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filterPrivacy="1" defaultThemeVersion="124226"/>
  <xr:revisionPtr revIDLastSave="0" documentId="13_ncr:1_{72742283-0FC8-A244-9B70-D5F0F037B545}" xr6:coauthVersionLast="47" xr6:coauthVersionMax="47" xr10:uidLastSave="{00000000-0000-0000-0000-000000000000}"/>
  <bookViews>
    <workbookView xWindow="0" yWindow="600" windowWidth="18560" windowHeight="15520" tabRatio="807" activeTab="1" xr2:uid="{00000000-000D-0000-FFFF-FFFF00000000}"/>
  </bookViews>
  <sheets>
    <sheet name="Assumptions" sheetId="14" r:id="rId1"/>
    <sheet name="Asset Stats" sheetId="1" r:id="rId2"/>
    <sheet name="SPY" sheetId="8" r:id="rId3"/>
    <sheet name="AGG" sheetId="9" r:id="rId4"/>
    <sheet name="GLD" sheetId="10" r:id="rId5"/>
    <sheet name="VNQ" sheetId="11" r:id="rId6"/>
    <sheet name="PE" sheetId="2" r:id="rId7"/>
    <sheet name="T-Bills" sheetId="13" r:id="rId8"/>
    <sheet name="Combined" sheetId="12" r:id="rId9"/>
    <sheet name="Corr_Cov 36- Month" sheetId="3" r:id="rId10"/>
    <sheet name="Portfolio Frontier" sheetId="15" r:id="rId11"/>
    <sheet name="Portfolio references" sheetId="19" r:id="rId12"/>
    <sheet name="Optimization Details" sheetId="4" r:id="rId13"/>
    <sheet name="Optimization Details (2)" sheetId="16" r:id="rId14"/>
    <sheet name="Optimization Details (3)" sheetId="17" r:id="rId15"/>
    <sheet name="Rank" sheetId="18" r:id="rId16"/>
    <sheet name="Optimization Summary" sheetId="5" r:id="rId17"/>
  </sheets>
  <definedNames>
    <definedName name="AGGMin">Assumptions!$C$15</definedName>
    <definedName name="AUM">Assumptions!$C$4</definedName>
    <definedName name="DrawdownMax">Assumptions!$C$21</definedName>
    <definedName name="EndDate">Assumptions!$C$8</definedName>
    <definedName name="EndDate36M">Assumptions!$D$8</definedName>
    <definedName name="ExpectedReturnMax">Assumptions!$D$20</definedName>
    <definedName name="ExpectedReturnMin">Assumptions!$C$20</definedName>
    <definedName name="GLDMax">Assumptions!$D$16</definedName>
    <definedName name="GLDMin">Assumptions!$C$16</definedName>
    <definedName name="LiquidMin">Assumptions!$C$19</definedName>
    <definedName name="PE_Return">PE!$J$15</definedName>
    <definedName name="PEMax">Assumptions!$D$18</definedName>
    <definedName name="PEMin">Assumptions!$C$18</definedName>
    <definedName name="RiskFree">Assumptions!$C$23</definedName>
    <definedName name="SpyMin">Assumptions!$C$14</definedName>
    <definedName name="StartDate">Assumptions!$C$7</definedName>
    <definedName name="StartDate36M">Assumptions!$D$7</definedName>
    <definedName name="VNQMin">Assumptions!$C$17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17" i="1"/>
  <c r="C9" i="1"/>
  <c r="C4" i="14"/>
  <c r="F25" i="1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2" i="19"/>
  <c r="C27" i="1" l="1"/>
  <c r="Y12" i="18"/>
  <c r="Y55" i="16" l="1"/>
  <c r="Y25" i="16"/>
  <c r="Y30" i="16"/>
  <c r="Y40" i="16"/>
  <c r="Y64" i="16"/>
  <c r="Y20" i="16"/>
  <c r="Y37" i="4"/>
  <c r="Y20" i="4"/>
  <c r="Y135" i="18" l="1"/>
  <c r="R135" i="18"/>
  <c r="Q135" i="18"/>
  <c r="P135" i="18"/>
  <c r="O135" i="18"/>
  <c r="N135" i="18"/>
  <c r="M135" i="18"/>
  <c r="L135" i="18"/>
  <c r="S135" i="18" s="1"/>
  <c r="Y145" i="18"/>
  <c r="R145" i="18"/>
  <c r="Q145" i="18"/>
  <c r="P145" i="18"/>
  <c r="O145" i="18"/>
  <c r="N145" i="18"/>
  <c r="M145" i="18"/>
  <c r="L145" i="18"/>
  <c r="S145" i="18" s="1"/>
  <c r="Y152" i="18"/>
  <c r="R152" i="18"/>
  <c r="Q152" i="18"/>
  <c r="P152" i="18"/>
  <c r="O152" i="18"/>
  <c r="N152" i="18"/>
  <c r="M152" i="18"/>
  <c r="L152" i="18"/>
  <c r="S152" i="18" s="1"/>
  <c r="Y103" i="18"/>
  <c r="R103" i="18"/>
  <c r="Q103" i="18"/>
  <c r="P103" i="18"/>
  <c r="O103" i="18"/>
  <c r="N103" i="18"/>
  <c r="M103" i="18"/>
  <c r="L103" i="18"/>
  <c r="S103" i="18" s="1"/>
  <c r="Y121" i="18"/>
  <c r="R121" i="18"/>
  <c r="Q121" i="18"/>
  <c r="P121" i="18"/>
  <c r="O121" i="18"/>
  <c r="N121" i="18"/>
  <c r="M121" i="18"/>
  <c r="L121" i="18"/>
  <c r="S121" i="18" s="1"/>
  <c r="Y139" i="18"/>
  <c r="R139" i="18"/>
  <c r="Q139" i="18"/>
  <c r="P139" i="18"/>
  <c r="O139" i="18"/>
  <c r="N139" i="18"/>
  <c r="M139" i="18"/>
  <c r="L139" i="18"/>
  <c r="S139" i="18" s="1"/>
  <c r="Y66" i="18"/>
  <c r="R66" i="18"/>
  <c r="Q66" i="18"/>
  <c r="P66" i="18"/>
  <c r="O66" i="18"/>
  <c r="N66" i="18"/>
  <c r="M66" i="18"/>
  <c r="L66" i="18"/>
  <c r="S66" i="18" s="1"/>
  <c r="Y90" i="18"/>
  <c r="R90" i="18"/>
  <c r="Q90" i="18"/>
  <c r="P90" i="18"/>
  <c r="O90" i="18"/>
  <c r="N90" i="18"/>
  <c r="M90" i="18"/>
  <c r="L90" i="18"/>
  <c r="S90" i="18" s="1"/>
  <c r="Y114" i="18"/>
  <c r="R114" i="18"/>
  <c r="Q114" i="18"/>
  <c r="P114" i="18"/>
  <c r="O114" i="18"/>
  <c r="N114" i="18"/>
  <c r="M114" i="18"/>
  <c r="L114" i="18"/>
  <c r="S114" i="18" s="1"/>
  <c r="Y132" i="18"/>
  <c r="R132" i="18"/>
  <c r="Q132" i="18"/>
  <c r="P132" i="18"/>
  <c r="O132" i="18"/>
  <c r="N132" i="18"/>
  <c r="M132" i="18"/>
  <c r="L132" i="18"/>
  <c r="S132" i="18" s="1"/>
  <c r="Y144" i="18"/>
  <c r="R144" i="18"/>
  <c r="Q144" i="18"/>
  <c r="P144" i="18"/>
  <c r="O144" i="18"/>
  <c r="N144" i="18"/>
  <c r="M144" i="18"/>
  <c r="L144" i="18"/>
  <c r="S144" i="18" s="1"/>
  <c r="Y151" i="18"/>
  <c r="R151" i="18"/>
  <c r="Q151" i="18"/>
  <c r="P151" i="18"/>
  <c r="O151" i="18"/>
  <c r="N151" i="18"/>
  <c r="M151" i="18"/>
  <c r="L151" i="18"/>
  <c r="S151" i="18" s="1"/>
  <c r="Y98" i="18"/>
  <c r="R98" i="18"/>
  <c r="Q98" i="18"/>
  <c r="P98" i="18"/>
  <c r="O98" i="18"/>
  <c r="N98" i="18"/>
  <c r="M98" i="18"/>
  <c r="L98" i="18"/>
  <c r="S98" i="18" s="1"/>
  <c r="Y119" i="18"/>
  <c r="R119" i="18"/>
  <c r="Q119" i="18"/>
  <c r="P119" i="18"/>
  <c r="O119" i="18"/>
  <c r="N119" i="18"/>
  <c r="M119" i="18"/>
  <c r="L119" i="18"/>
  <c r="S119" i="18" s="1"/>
  <c r="Y137" i="18"/>
  <c r="R137" i="18"/>
  <c r="Q137" i="18"/>
  <c r="P137" i="18"/>
  <c r="O137" i="18"/>
  <c r="N137" i="18"/>
  <c r="M137" i="18"/>
  <c r="L137" i="18"/>
  <c r="S137" i="18" s="1"/>
  <c r="Y61" i="18"/>
  <c r="R61" i="18"/>
  <c r="Q61" i="18"/>
  <c r="P61" i="18"/>
  <c r="O61" i="18"/>
  <c r="N61" i="18"/>
  <c r="M61" i="18"/>
  <c r="L61" i="18"/>
  <c r="S61" i="18" s="1"/>
  <c r="Y85" i="18"/>
  <c r="R85" i="18"/>
  <c r="Q85" i="18"/>
  <c r="P85" i="18"/>
  <c r="O85" i="18"/>
  <c r="N85" i="18"/>
  <c r="M85" i="18"/>
  <c r="L85" i="18"/>
  <c r="S85" i="18" s="1"/>
  <c r="Y109" i="18"/>
  <c r="R109" i="18"/>
  <c r="Q109" i="18"/>
  <c r="P109" i="18"/>
  <c r="O109" i="18"/>
  <c r="N109" i="18"/>
  <c r="M109" i="18"/>
  <c r="L109" i="18"/>
  <c r="S109" i="18" s="1"/>
  <c r="Y128" i="18"/>
  <c r="R128" i="18"/>
  <c r="Q128" i="18"/>
  <c r="P128" i="18"/>
  <c r="O128" i="18"/>
  <c r="N128" i="18"/>
  <c r="M128" i="18"/>
  <c r="L128" i="18"/>
  <c r="S128" i="18" s="1"/>
  <c r="Y143" i="18"/>
  <c r="R143" i="18"/>
  <c r="Q143" i="18"/>
  <c r="P143" i="18"/>
  <c r="O143" i="18"/>
  <c r="N143" i="18"/>
  <c r="M143" i="18"/>
  <c r="L143" i="18"/>
  <c r="S143" i="18" s="1"/>
  <c r="Y150" i="18"/>
  <c r="R150" i="18"/>
  <c r="Q150" i="18"/>
  <c r="P150" i="18"/>
  <c r="O150" i="18"/>
  <c r="N150" i="18"/>
  <c r="M150" i="18"/>
  <c r="L150" i="18"/>
  <c r="S150" i="18" s="1"/>
  <c r="Y92" i="18"/>
  <c r="R92" i="18"/>
  <c r="Q92" i="18"/>
  <c r="P92" i="18"/>
  <c r="O92" i="18"/>
  <c r="N92" i="18"/>
  <c r="M92" i="18"/>
  <c r="L92" i="18"/>
  <c r="S92" i="18" s="1"/>
  <c r="Y118" i="18"/>
  <c r="R118" i="18"/>
  <c r="Q118" i="18"/>
  <c r="P118" i="18"/>
  <c r="O118" i="18"/>
  <c r="N118" i="18"/>
  <c r="M118" i="18"/>
  <c r="L118" i="18"/>
  <c r="S118" i="18" s="1"/>
  <c r="Y134" i="18"/>
  <c r="R134" i="18"/>
  <c r="Q134" i="18"/>
  <c r="P134" i="18"/>
  <c r="O134" i="18"/>
  <c r="N134" i="18"/>
  <c r="M134" i="18"/>
  <c r="L134" i="18"/>
  <c r="S134" i="18" s="1"/>
  <c r="Y55" i="18"/>
  <c r="R55" i="18"/>
  <c r="Q55" i="18"/>
  <c r="P55" i="18"/>
  <c r="O55" i="18"/>
  <c r="N55" i="18"/>
  <c r="M55" i="18"/>
  <c r="L55" i="18"/>
  <c r="S55" i="18" s="1"/>
  <c r="Y81" i="18"/>
  <c r="R81" i="18"/>
  <c r="Q81" i="18"/>
  <c r="P81" i="18"/>
  <c r="O81" i="18"/>
  <c r="N81" i="18"/>
  <c r="M81" i="18"/>
  <c r="L81" i="18"/>
  <c r="S81" i="18" s="1"/>
  <c r="Y106" i="18"/>
  <c r="R106" i="18"/>
  <c r="Q106" i="18"/>
  <c r="P106" i="18"/>
  <c r="O106" i="18"/>
  <c r="N106" i="18"/>
  <c r="M106" i="18"/>
  <c r="L106" i="18"/>
  <c r="S106" i="18" s="1"/>
  <c r="Y125" i="18"/>
  <c r="R125" i="18"/>
  <c r="Q125" i="18"/>
  <c r="P125" i="18"/>
  <c r="O125" i="18"/>
  <c r="N125" i="18"/>
  <c r="M125" i="18"/>
  <c r="L125" i="18"/>
  <c r="S125" i="18" s="1"/>
  <c r="Y142" i="18"/>
  <c r="R142" i="18"/>
  <c r="Q142" i="18"/>
  <c r="P142" i="18"/>
  <c r="O142" i="18"/>
  <c r="N142" i="18"/>
  <c r="M142" i="18"/>
  <c r="L142" i="18"/>
  <c r="S142" i="18" s="1"/>
  <c r="Y148" i="18"/>
  <c r="R148" i="18"/>
  <c r="Q148" i="18"/>
  <c r="P148" i="18"/>
  <c r="O148" i="18"/>
  <c r="N148" i="18"/>
  <c r="M148" i="18"/>
  <c r="L148" i="18"/>
  <c r="Y87" i="18"/>
  <c r="R87" i="18"/>
  <c r="Q87" i="18"/>
  <c r="P87" i="18"/>
  <c r="O87" i="18"/>
  <c r="N87" i="18"/>
  <c r="M87" i="18"/>
  <c r="L87" i="18"/>
  <c r="S87" i="18" s="1"/>
  <c r="Y116" i="18"/>
  <c r="R116" i="18"/>
  <c r="Q116" i="18"/>
  <c r="P116" i="18"/>
  <c r="O116" i="18"/>
  <c r="N116" i="18"/>
  <c r="M116" i="18"/>
  <c r="L116" i="18"/>
  <c r="S116" i="18" s="1"/>
  <c r="Y131" i="18"/>
  <c r="R131" i="18"/>
  <c r="Q131" i="18"/>
  <c r="P131" i="18"/>
  <c r="O131" i="18"/>
  <c r="N131" i="18"/>
  <c r="M131" i="18"/>
  <c r="L131" i="18"/>
  <c r="S131" i="18" s="1"/>
  <c r="Y76" i="18"/>
  <c r="R76" i="18"/>
  <c r="Q76" i="18"/>
  <c r="P76" i="18"/>
  <c r="O76" i="18"/>
  <c r="N76" i="18"/>
  <c r="M76" i="18"/>
  <c r="L76" i="18"/>
  <c r="S76" i="18" s="1"/>
  <c r="Y101" i="18"/>
  <c r="R101" i="18"/>
  <c r="Q101" i="18"/>
  <c r="P101" i="18"/>
  <c r="O101" i="18"/>
  <c r="N101" i="18"/>
  <c r="M101" i="18"/>
  <c r="L101" i="18"/>
  <c r="S101" i="18" s="1"/>
  <c r="Y123" i="18"/>
  <c r="R123" i="18"/>
  <c r="Q123" i="18"/>
  <c r="P123" i="18"/>
  <c r="O123" i="18"/>
  <c r="N123" i="18"/>
  <c r="M123" i="18"/>
  <c r="L123" i="18"/>
  <c r="S123" i="18" s="1"/>
  <c r="Y141" i="18"/>
  <c r="R141" i="18"/>
  <c r="Q141" i="18"/>
  <c r="P141" i="18"/>
  <c r="O141" i="18"/>
  <c r="N141" i="18"/>
  <c r="M141" i="18"/>
  <c r="L141" i="18"/>
  <c r="S141" i="18" s="1"/>
  <c r="Y146" i="18"/>
  <c r="R146" i="18"/>
  <c r="Q146" i="18"/>
  <c r="P146" i="18"/>
  <c r="O146" i="18"/>
  <c r="N146" i="18"/>
  <c r="M146" i="18"/>
  <c r="L146" i="18"/>
  <c r="S146" i="18" s="1"/>
  <c r="Y112" i="18"/>
  <c r="R112" i="18"/>
  <c r="Q112" i="18"/>
  <c r="P112" i="18"/>
  <c r="O112" i="18"/>
  <c r="N112" i="18"/>
  <c r="M112" i="18"/>
  <c r="L112" i="18"/>
  <c r="S112" i="18" s="1"/>
  <c r="Y129" i="18"/>
  <c r="R129" i="18"/>
  <c r="Q129" i="18"/>
  <c r="P129" i="18"/>
  <c r="O129" i="18"/>
  <c r="N129" i="18"/>
  <c r="M129" i="18"/>
  <c r="L129" i="18"/>
  <c r="S129" i="18" s="1"/>
  <c r="Y96" i="18"/>
  <c r="R96" i="18"/>
  <c r="Q96" i="18"/>
  <c r="P96" i="18"/>
  <c r="O96" i="18"/>
  <c r="N96" i="18"/>
  <c r="M96" i="18"/>
  <c r="L96" i="18"/>
  <c r="S96" i="18" s="1"/>
  <c r="Y140" i="18"/>
  <c r="R140" i="18"/>
  <c r="Q140" i="18"/>
  <c r="P140" i="18"/>
  <c r="O140" i="18"/>
  <c r="N140" i="18"/>
  <c r="M140" i="18"/>
  <c r="L140" i="18"/>
  <c r="S140" i="18" s="1"/>
  <c r="Y147" i="18"/>
  <c r="R147" i="18"/>
  <c r="Q147" i="18"/>
  <c r="P147" i="18"/>
  <c r="O147" i="18"/>
  <c r="N147" i="18"/>
  <c r="M147" i="18"/>
  <c r="L147" i="18"/>
  <c r="S147" i="18" s="1"/>
  <c r="Y126" i="18"/>
  <c r="R126" i="18"/>
  <c r="Q126" i="18"/>
  <c r="P126" i="18"/>
  <c r="O126" i="18"/>
  <c r="N126" i="18"/>
  <c r="M126" i="18"/>
  <c r="L126" i="18"/>
  <c r="S126" i="18" s="1"/>
  <c r="Y149" i="18"/>
  <c r="R149" i="18"/>
  <c r="Q149" i="18"/>
  <c r="P149" i="18"/>
  <c r="O149" i="18"/>
  <c r="N149" i="18"/>
  <c r="M149" i="18"/>
  <c r="L149" i="18"/>
  <c r="S149" i="18" s="1"/>
  <c r="Y105" i="18"/>
  <c r="R105" i="18"/>
  <c r="Q105" i="18"/>
  <c r="P105" i="18"/>
  <c r="O105" i="18"/>
  <c r="N105" i="18"/>
  <c r="M105" i="18"/>
  <c r="L105" i="18"/>
  <c r="S105" i="18" s="1"/>
  <c r="Y122" i="18"/>
  <c r="R122" i="18"/>
  <c r="Q122" i="18"/>
  <c r="P122" i="18"/>
  <c r="O122" i="18"/>
  <c r="N122" i="18"/>
  <c r="M122" i="18"/>
  <c r="L122" i="18"/>
  <c r="S122" i="18" s="1"/>
  <c r="Y138" i="18"/>
  <c r="R138" i="18"/>
  <c r="Q138" i="18"/>
  <c r="P138" i="18"/>
  <c r="O138" i="18"/>
  <c r="N138" i="18"/>
  <c r="M138" i="18"/>
  <c r="L138" i="18"/>
  <c r="S138" i="18" s="1"/>
  <c r="Y67" i="18"/>
  <c r="R67" i="18"/>
  <c r="Q67" i="18"/>
  <c r="P67" i="18"/>
  <c r="O67" i="18"/>
  <c r="N67" i="18"/>
  <c r="M67" i="18"/>
  <c r="L67" i="18"/>
  <c r="S67" i="18" s="1"/>
  <c r="Y88" i="18"/>
  <c r="R88" i="18"/>
  <c r="Q88" i="18"/>
  <c r="P88" i="18"/>
  <c r="O88" i="18"/>
  <c r="N88" i="18"/>
  <c r="M88" i="18"/>
  <c r="L88" i="18"/>
  <c r="S88" i="18" s="1"/>
  <c r="Y111" i="18"/>
  <c r="R111" i="18"/>
  <c r="Q111" i="18"/>
  <c r="P111" i="18"/>
  <c r="O111" i="18"/>
  <c r="N111" i="18"/>
  <c r="M111" i="18"/>
  <c r="L111" i="18"/>
  <c r="S111" i="18" s="1"/>
  <c r="Y36" i="18"/>
  <c r="R36" i="18"/>
  <c r="Q36" i="18"/>
  <c r="P36" i="18"/>
  <c r="O36" i="18"/>
  <c r="N36" i="18"/>
  <c r="M36" i="18"/>
  <c r="L36" i="18"/>
  <c r="S36" i="18" s="1"/>
  <c r="Y56" i="18"/>
  <c r="R56" i="18"/>
  <c r="Q56" i="18"/>
  <c r="P56" i="18"/>
  <c r="O56" i="18"/>
  <c r="N56" i="18"/>
  <c r="M56" i="18"/>
  <c r="L56" i="18"/>
  <c r="S56" i="18" s="1"/>
  <c r="Y78" i="18"/>
  <c r="R78" i="18"/>
  <c r="Q78" i="18"/>
  <c r="P78" i="18"/>
  <c r="O78" i="18"/>
  <c r="N78" i="18"/>
  <c r="M78" i="18"/>
  <c r="L78" i="18"/>
  <c r="S78" i="18" s="1"/>
  <c r="Y100" i="18"/>
  <c r="R100" i="18"/>
  <c r="Q100" i="18"/>
  <c r="P100" i="18"/>
  <c r="O100" i="18"/>
  <c r="N100" i="18"/>
  <c r="M100" i="18"/>
  <c r="L100" i="18"/>
  <c r="S100" i="18" s="1"/>
  <c r="Y120" i="18"/>
  <c r="R120" i="18"/>
  <c r="Q120" i="18"/>
  <c r="P120" i="18"/>
  <c r="O120" i="18"/>
  <c r="N120" i="18"/>
  <c r="M120" i="18"/>
  <c r="L120" i="18"/>
  <c r="S120" i="18" s="1"/>
  <c r="Y136" i="18"/>
  <c r="R136" i="18"/>
  <c r="Q136" i="18"/>
  <c r="P136" i="18"/>
  <c r="O136" i="18"/>
  <c r="N136" i="18"/>
  <c r="M136" i="18"/>
  <c r="L136" i="18"/>
  <c r="S136" i="18" s="1"/>
  <c r="Y60" i="18"/>
  <c r="R60" i="18"/>
  <c r="Q60" i="18"/>
  <c r="P60" i="18"/>
  <c r="O60" i="18"/>
  <c r="N60" i="18"/>
  <c r="M60" i="18"/>
  <c r="L60" i="18"/>
  <c r="S60" i="18" s="1"/>
  <c r="Y84" i="18"/>
  <c r="R84" i="18"/>
  <c r="Q84" i="18"/>
  <c r="P84" i="18"/>
  <c r="O84" i="18"/>
  <c r="N84" i="18"/>
  <c r="M84" i="18"/>
  <c r="L84" i="18"/>
  <c r="S84" i="18" s="1"/>
  <c r="Y107" i="18"/>
  <c r="R107" i="18"/>
  <c r="Q107" i="18"/>
  <c r="P107" i="18"/>
  <c r="O107" i="18"/>
  <c r="N107" i="18"/>
  <c r="M107" i="18"/>
  <c r="L107" i="18"/>
  <c r="S107" i="18" s="1"/>
  <c r="Y31" i="18"/>
  <c r="R31" i="18"/>
  <c r="Q31" i="18"/>
  <c r="P31" i="18"/>
  <c r="O31" i="18"/>
  <c r="N31" i="18"/>
  <c r="M31" i="18"/>
  <c r="L31" i="18"/>
  <c r="S31" i="18" s="1"/>
  <c r="Y50" i="18"/>
  <c r="R50" i="18"/>
  <c r="Q50" i="18"/>
  <c r="P50" i="18"/>
  <c r="O50" i="18"/>
  <c r="N50" i="18"/>
  <c r="M50" i="18"/>
  <c r="L50" i="18"/>
  <c r="S50" i="18" s="1"/>
  <c r="Y72" i="18"/>
  <c r="R72" i="18"/>
  <c r="Q72" i="18"/>
  <c r="P72" i="18"/>
  <c r="O72" i="18"/>
  <c r="N72" i="18"/>
  <c r="M72" i="18"/>
  <c r="L72" i="18"/>
  <c r="S72" i="18" s="1"/>
  <c r="Y94" i="18"/>
  <c r="R94" i="18"/>
  <c r="Q94" i="18"/>
  <c r="P94" i="18"/>
  <c r="O94" i="18"/>
  <c r="N94" i="18"/>
  <c r="M94" i="18"/>
  <c r="L94" i="18"/>
  <c r="S94" i="18" s="1"/>
  <c r="Y117" i="18"/>
  <c r="R117" i="18"/>
  <c r="Q117" i="18"/>
  <c r="P117" i="18"/>
  <c r="O117" i="18"/>
  <c r="N117" i="18"/>
  <c r="M117" i="18"/>
  <c r="L117" i="18"/>
  <c r="S117" i="18" s="1"/>
  <c r="Y133" i="18"/>
  <c r="R133" i="18"/>
  <c r="Q133" i="18"/>
  <c r="P133" i="18"/>
  <c r="O133" i="18"/>
  <c r="N133" i="18"/>
  <c r="M133" i="18"/>
  <c r="L133" i="18"/>
  <c r="S133" i="18" s="1"/>
  <c r="Y54" i="18"/>
  <c r="R54" i="18"/>
  <c r="Q54" i="18"/>
  <c r="P54" i="18"/>
  <c r="O54" i="18"/>
  <c r="N54" i="18"/>
  <c r="M54" i="18"/>
  <c r="L54" i="18"/>
  <c r="S54" i="18" s="1"/>
  <c r="Y80" i="18"/>
  <c r="R80" i="18"/>
  <c r="Q80" i="18"/>
  <c r="P80" i="18"/>
  <c r="O80" i="18"/>
  <c r="N80" i="18"/>
  <c r="M80" i="18"/>
  <c r="L80" i="18"/>
  <c r="S80" i="18" s="1"/>
  <c r="Y102" i="18"/>
  <c r="R102" i="18"/>
  <c r="Q102" i="18"/>
  <c r="P102" i="18"/>
  <c r="O102" i="18"/>
  <c r="N102" i="18"/>
  <c r="M102" i="18"/>
  <c r="L102" i="18"/>
  <c r="S102" i="18" s="1"/>
  <c r="Y44" i="18"/>
  <c r="R44" i="18"/>
  <c r="Q44" i="18"/>
  <c r="P44" i="18"/>
  <c r="O44" i="18"/>
  <c r="N44" i="18"/>
  <c r="M44" i="18"/>
  <c r="L44" i="18"/>
  <c r="S44" i="18" s="1"/>
  <c r="Y69" i="18"/>
  <c r="R69" i="18"/>
  <c r="Q69" i="18"/>
  <c r="P69" i="18"/>
  <c r="O69" i="18"/>
  <c r="N69" i="18"/>
  <c r="M69" i="18"/>
  <c r="L69" i="18"/>
  <c r="S69" i="18" s="1"/>
  <c r="Y89" i="18"/>
  <c r="R89" i="18"/>
  <c r="Q89" i="18"/>
  <c r="P89" i="18"/>
  <c r="O89" i="18"/>
  <c r="N89" i="18"/>
  <c r="M89" i="18"/>
  <c r="L89" i="18"/>
  <c r="S89" i="18" s="1"/>
  <c r="Y115" i="18"/>
  <c r="R115" i="18"/>
  <c r="Q115" i="18"/>
  <c r="P115" i="18"/>
  <c r="O115" i="18"/>
  <c r="N115" i="18"/>
  <c r="M115" i="18"/>
  <c r="L115" i="18"/>
  <c r="S115" i="18" s="1"/>
  <c r="Y130" i="18"/>
  <c r="R130" i="18"/>
  <c r="Q130" i="18"/>
  <c r="P130" i="18"/>
  <c r="O130" i="18"/>
  <c r="N130" i="18"/>
  <c r="M130" i="18"/>
  <c r="L130" i="18"/>
  <c r="S130" i="18" s="1"/>
  <c r="Y74" i="18"/>
  <c r="R74" i="18"/>
  <c r="Q74" i="18"/>
  <c r="P74" i="18"/>
  <c r="O74" i="18"/>
  <c r="N74" i="18"/>
  <c r="M74" i="18"/>
  <c r="L74" i="18"/>
  <c r="S74" i="18" s="1"/>
  <c r="Y97" i="18"/>
  <c r="R97" i="18"/>
  <c r="Q97" i="18"/>
  <c r="P97" i="18"/>
  <c r="O97" i="18"/>
  <c r="N97" i="18"/>
  <c r="M97" i="18"/>
  <c r="L97" i="18"/>
  <c r="S97" i="18" s="1"/>
  <c r="Y63" i="18"/>
  <c r="R63" i="18"/>
  <c r="Q63" i="18"/>
  <c r="P63" i="18"/>
  <c r="O63" i="18"/>
  <c r="N63" i="18"/>
  <c r="M63" i="18"/>
  <c r="L63" i="18"/>
  <c r="S63" i="18" s="1"/>
  <c r="Y110" i="18"/>
  <c r="R110" i="18"/>
  <c r="Q110" i="18"/>
  <c r="P110" i="18"/>
  <c r="O110" i="18"/>
  <c r="N110" i="18"/>
  <c r="M110" i="18"/>
  <c r="L110" i="18"/>
  <c r="S110" i="18" s="1"/>
  <c r="Y127" i="18"/>
  <c r="R127" i="18"/>
  <c r="Q127" i="18"/>
  <c r="P127" i="18"/>
  <c r="O127" i="18"/>
  <c r="N127" i="18"/>
  <c r="M127" i="18"/>
  <c r="L127" i="18"/>
  <c r="S127" i="18" s="1"/>
  <c r="Y93" i="18"/>
  <c r="R93" i="18"/>
  <c r="Q93" i="18"/>
  <c r="P93" i="18"/>
  <c r="O93" i="18"/>
  <c r="N93" i="18"/>
  <c r="M93" i="18"/>
  <c r="L93" i="18"/>
  <c r="S93" i="18" s="1"/>
  <c r="Y124" i="18"/>
  <c r="R124" i="18"/>
  <c r="Q124" i="18"/>
  <c r="P124" i="18"/>
  <c r="O124" i="18"/>
  <c r="N124" i="18"/>
  <c r="M124" i="18"/>
  <c r="L124" i="18"/>
  <c r="S124" i="18" s="1"/>
  <c r="Y70" i="18"/>
  <c r="R70" i="18"/>
  <c r="Q70" i="18"/>
  <c r="P70" i="18"/>
  <c r="O70" i="18"/>
  <c r="N70" i="18"/>
  <c r="M70" i="18"/>
  <c r="L70" i="18"/>
  <c r="S70" i="18" s="1"/>
  <c r="Y91" i="18"/>
  <c r="R91" i="18"/>
  <c r="Q91" i="18"/>
  <c r="P91" i="18"/>
  <c r="O91" i="18"/>
  <c r="N91" i="18"/>
  <c r="M91" i="18"/>
  <c r="L91" i="18"/>
  <c r="S91" i="18" s="1"/>
  <c r="Y113" i="18"/>
  <c r="R113" i="18"/>
  <c r="Q113" i="18"/>
  <c r="P113" i="18"/>
  <c r="O113" i="18"/>
  <c r="N113" i="18"/>
  <c r="M113" i="18"/>
  <c r="L113" i="18"/>
  <c r="S113" i="18" s="1"/>
  <c r="Y37" i="18"/>
  <c r="R37" i="18"/>
  <c r="Q37" i="18"/>
  <c r="P37" i="18"/>
  <c r="O37" i="18"/>
  <c r="N37" i="18"/>
  <c r="M37" i="18"/>
  <c r="L37" i="18"/>
  <c r="S37" i="18" s="1"/>
  <c r="Y57" i="18"/>
  <c r="R57" i="18"/>
  <c r="Q57" i="18"/>
  <c r="P57" i="18"/>
  <c r="O57" i="18"/>
  <c r="N57" i="18"/>
  <c r="M57" i="18"/>
  <c r="L57" i="18"/>
  <c r="S57" i="18" s="1"/>
  <c r="Y79" i="18"/>
  <c r="R79" i="18"/>
  <c r="Q79" i="18"/>
  <c r="P79" i="18"/>
  <c r="O79" i="18"/>
  <c r="N79" i="18"/>
  <c r="M79" i="18"/>
  <c r="L79" i="18"/>
  <c r="S79" i="18" s="1"/>
  <c r="Y17" i="18"/>
  <c r="R17" i="18"/>
  <c r="Q17" i="18"/>
  <c r="P17" i="18"/>
  <c r="O17" i="18"/>
  <c r="N17" i="18"/>
  <c r="M17" i="18"/>
  <c r="L17" i="18"/>
  <c r="S17" i="18" s="1"/>
  <c r="Y29" i="18"/>
  <c r="R29" i="18"/>
  <c r="Q29" i="18"/>
  <c r="P29" i="18"/>
  <c r="O29" i="18"/>
  <c r="N29" i="18"/>
  <c r="M29" i="18"/>
  <c r="L29" i="18"/>
  <c r="S29" i="18" s="1"/>
  <c r="Y47" i="18"/>
  <c r="R47" i="18"/>
  <c r="Q47" i="18"/>
  <c r="P47" i="18"/>
  <c r="O47" i="18"/>
  <c r="N47" i="18"/>
  <c r="M47" i="18"/>
  <c r="L47" i="18"/>
  <c r="S47" i="18" s="1"/>
  <c r="Y64" i="18"/>
  <c r="R64" i="18"/>
  <c r="Q64" i="18"/>
  <c r="P64" i="18"/>
  <c r="O64" i="18"/>
  <c r="N64" i="18"/>
  <c r="M64" i="18"/>
  <c r="L64" i="18"/>
  <c r="S64" i="18" s="1"/>
  <c r="Y86" i="18"/>
  <c r="R86" i="18"/>
  <c r="Q86" i="18"/>
  <c r="P86" i="18"/>
  <c r="O86" i="18"/>
  <c r="N86" i="18"/>
  <c r="M86" i="18"/>
  <c r="L86" i="18"/>
  <c r="S86" i="18" s="1"/>
  <c r="Y108" i="18"/>
  <c r="R108" i="18"/>
  <c r="Q108" i="18"/>
  <c r="P108" i="18"/>
  <c r="O108" i="18"/>
  <c r="N108" i="18"/>
  <c r="M108" i="18"/>
  <c r="L108" i="18"/>
  <c r="S108" i="18" s="1"/>
  <c r="Y33" i="18"/>
  <c r="R33" i="18"/>
  <c r="Q33" i="18"/>
  <c r="P33" i="18"/>
  <c r="O33" i="18"/>
  <c r="N33" i="18"/>
  <c r="M33" i="18"/>
  <c r="L33" i="18"/>
  <c r="S33" i="18" s="1"/>
  <c r="Y51" i="18"/>
  <c r="R51" i="18"/>
  <c r="Q51" i="18"/>
  <c r="P51" i="18"/>
  <c r="O51" i="18"/>
  <c r="N51" i="18"/>
  <c r="M51" i="18"/>
  <c r="L51" i="18"/>
  <c r="S51" i="18" s="1"/>
  <c r="Y73" i="18"/>
  <c r="R73" i="18"/>
  <c r="Q73" i="18"/>
  <c r="P73" i="18"/>
  <c r="O73" i="18"/>
  <c r="N73" i="18"/>
  <c r="M73" i="18"/>
  <c r="L73" i="18"/>
  <c r="S73" i="18" s="1"/>
  <c r="Y23" i="18"/>
  <c r="R23" i="18"/>
  <c r="Q23" i="18"/>
  <c r="P23" i="18"/>
  <c r="O23" i="18"/>
  <c r="N23" i="18"/>
  <c r="M23" i="18"/>
  <c r="L23" i="18"/>
  <c r="S23" i="18" s="1"/>
  <c r="Y42" i="18"/>
  <c r="R42" i="18"/>
  <c r="Q42" i="18"/>
  <c r="P42" i="18"/>
  <c r="O42" i="18"/>
  <c r="N42" i="18"/>
  <c r="M42" i="18"/>
  <c r="L42" i="18"/>
  <c r="S42" i="18" s="1"/>
  <c r="Y58" i="18"/>
  <c r="R58" i="18"/>
  <c r="Q58" i="18"/>
  <c r="P58" i="18"/>
  <c r="O58" i="18"/>
  <c r="N58" i="18"/>
  <c r="M58" i="18"/>
  <c r="L58" i="18"/>
  <c r="S58" i="18" s="1"/>
  <c r="Y83" i="18"/>
  <c r="R83" i="18"/>
  <c r="Q83" i="18"/>
  <c r="P83" i="18"/>
  <c r="O83" i="18"/>
  <c r="N83" i="18"/>
  <c r="M83" i="18"/>
  <c r="L83" i="18"/>
  <c r="S83" i="18" s="1"/>
  <c r="Y104" i="18"/>
  <c r="R104" i="18"/>
  <c r="Q104" i="18"/>
  <c r="P104" i="18"/>
  <c r="O104" i="18"/>
  <c r="N104" i="18"/>
  <c r="M104" i="18"/>
  <c r="L104" i="18"/>
  <c r="S104" i="18" s="1"/>
  <c r="Y45" i="18"/>
  <c r="R45" i="18"/>
  <c r="Q45" i="18"/>
  <c r="P45" i="18"/>
  <c r="O45" i="18"/>
  <c r="N45" i="18"/>
  <c r="M45" i="18"/>
  <c r="L45" i="18"/>
  <c r="S45" i="18" s="1"/>
  <c r="Y68" i="18"/>
  <c r="R68" i="18"/>
  <c r="Q68" i="18"/>
  <c r="P68" i="18"/>
  <c r="O68" i="18"/>
  <c r="N68" i="18"/>
  <c r="M68" i="18"/>
  <c r="L68" i="18"/>
  <c r="S68" i="18" s="1"/>
  <c r="Y38" i="18"/>
  <c r="R38" i="18"/>
  <c r="Q38" i="18"/>
  <c r="P38" i="18"/>
  <c r="O38" i="18"/>
  <c r="N38" i="18"/>
  <c r="M38" i="18"/>
  <c r="L38" i="18"/>
  <c r="S38" i="18" s="1"/>
  <c r="Y77" i="18"/>
  <c r="R77" i="18"/>
  <c r="Q77" i="18"/>
  <c r="P77" i="18"/>
  <c r="O77" i="18"/>
  <c r="N77" i="18"/>
  <c r="M77" i="18"/>
  <c r="L77" i="18"/>
  <c r="S77" i="18" s="1"/>
  <c r="Y99" i="18"/>
  <c r="R99" i="18"/>
  <c r="Q99" i="18"/>
  <c r="P99" i="18"/>
  <c r="O99" i="18"/>
  <c r="N99" i="18"/>
  <c r="M99" i="18"/>
  <c r="L99" i="18"/>
  <c r="S99" i="18" s="1"/>
  <c r="Y62" i="18"/>
  <c r="R62" i="18"/>
  <c r="Q62" i="18"/>
  <c r="P62" i="18"/>
  <c r="O62" i="18"/>
  <c r="N62" i="18"/>
  <c r="M62" i="18"/>
  <c r="L62" i="18"/>
  <c r="S62" i="18" s="1"/>
  <c r="Y95" i="18"/>
  <c r="R95" i="18"/>
  <c r="Q95" i="18"/>
  <c r="P95" i="18"/>
  <c r="O95" i="18"/>
  <c r="N95" i="18"/>
  <c r="M95" i="18"/>
  <c r="L95" i="18"/>
  <c r="S95" i="18" s="1"/>
  <c r="Y40" i="18"/>
  <c r="R40" i="18"/>
  <c r="Q40" i="18"/>
  <c r="P40" i="18"/>
  <c r="O40" i="18"/>
  <c r="N40" i="18"/>
  <c r="M40" i="18"/>
  <c r="L40" i="18"/>
  <c r="S40" i="18" s="1"/>
  <c r="Y59" i="18"/>
  <c r="R59" i="18"/>
  <c r="Q59" i="18"/>
  <c r="P59" i="18"/>
  <c r="O59" i="18"/>
  <c r="N59" i="18"/>
  <c r="M59" i="18"/>
  <c r="L59" i="18"/>
  <c r="S59" i="18" s="1"/>
  <c r="Y82" i="18"/>
  <c r="R82" i="18"/>
  <c r="Q82" i="18"/>
  <c r="P82" i="18"/>
  <c r="O82" i="18"/>
  <c r="N82" i="18"/>
  <c r="M82" i="18"/>
  <c r="L82" i="18"/>
  <c r="S82" i="18" s="1"/>
  <c r="Y18" i="18"/>
  <c r="R18" i="18"/>
  <c r="Q18" i="18"/>
  <c r="P18" i="18"/>
  <c r="O18" i="18"/>
  <c r="N18" i="18"/>
  <c r="M18" i="18"/>
  <c r="L18" i="18"/>
  <c r="S18" i="18" s="1"/>
  <c r="Y32" i="18"/>
  <c r="R32" i="18"/>
  <c r="Q32" i="18"/>
  <c r="P32" i="18"/>
  <c r="O32" i="18"/>
  <c r="N32" i="18"/>
  <c r="M32" i="18"/>
  <c r="L32" i="18"/>
  <c r="S32" i="18" s="1"/>
  <c r="Y49" i="18"/>
  <c r="R49" i="18"/>
  <c r="Q49" i="18"/>
  <c r="P49" i="18"/>
  <c r="O49" i="18"/>
  <c r="N49" i="18"/>
  <c r="M49" i="18"/>
  <c r="L49" i="18"/>
  <c r="S49" i="18" s="1"/>
  <c r="Y14" i="18"/>
  <c r="R14" i="18"/>
  <c r="Q14" i="18"/>
  <c r="P14" i="18"/>
  <c r="O14" i="18"/>
  <c r="N14" i="18"/>
  <c r="M14" i="18"/>
  <c r="L14" i="18"/>
  <c r="S14" i="18" s="1"/>
  <c r="Y24" i="18"/>
  <c r="R24" i="18"/>
  <c r="Q24" i="18"/>
  <c r="P24" i="18"/>
  <c r="O24" i="18"/>
  <c r="N24" i="18"/>
  <c r="M24" i="18"/>
  <c r="L24" i="18"/>
  <c r="S24" i="18" s="1"/>
  <c r="Y35" i="18"/>
  <c r="R35" i="18"/>
  <c r="Q35" i="18"/>
  <c r="P35" i="18"/>
  <c r="O35" i="18"/>
  <c r="N35" i="18"/>
  <c r="M35" i="18"/>
  <c r="L35" i="18"/>
  <c r="S35" i="18" s="1"/>
  <c r="Y53" i="18"/>
  <c r="R53" i="18"/>
  <c r="Q53" i="18"/>
  <c r="P53" i="18"/>
  <c r="O53" i="18"/>
  <c r="N53" i="18"/>
  <c r="M53" i="18"/>
  <c r="L53" i="18"/>
  <c r="S53" i="18" s="1"/>
  <c r="Y75" i="18"/>
  <c r="R75" i="18"/>
  <c r="Q75" i="18"/>
  <c r="P75" i="18"/>
  <c r="O75" i="18"/>
  <c r="N75" i="18"/>
  <c r="M75" i="18"/>
  <c r="L75" i="18"/>
  <c r="S75" i="18" s="1"/>
  <c r="Y26" i="18"/>
  <c r="R26" i="18"/>
  <c r="Q26" i="18"/>
  <c r="P26" i="18"/>
  <c r="O26" i="18"/>
  <c r="N26" i="18"/>
  <c r="M26" i="18"/>
  <c r="L26" i="18"/>
  <c r="S26" i="18" s="1"/>
  <c r="Y43" i="18"/>
  <c r="R43" i="18"/>
  <c r="Q43" i="18"/>
  <c r="P43" i="18"/>
  <c r="O43" i="18"/>
  <c r="N43" i="18"/>
  <c r="M43" i="18"/>
  <c r="L43" i="18"/>
  <c r="S43" i="18" s="1"/>
  <c r="Y21" i="18"/>
  <c r="R21" i="18"/>
  <c r="Q21" i="18"/>
  <c r="P21" i="18"/>
  <c r="O21" i="18"/>
  <c r="N21" i="18"/>
  <c r="M21" i="18"/>
  <c r="L21" i="18"/>
  <c r="S21" i="18" s="1"/>
  <c r="Y48" i="18"/>
  <c r="R48" i="18"/>
  <c r="Q48" i="18"/>
  <c r="P48" i="18"/>
  <c r="O48" i="18"/>
  <c r="N48" i="18"/>
  <c r="M48" i="18"/>
  <c r="L48" i="18"/>
  <c r="S48" i="18" s="1"/>
  <c r="Y71" i="18"/>
  <c r="R71" i="18"/>
  <c r="Q71" i="18"/>
  <c r="P71" i="18"/>
  <c r="O71" i="18"/>
  <c r="N71" i="18"/>
  <c r="M71" i="18"/>
  <c r="L71" i="18"/>
  <c r="S71" i="18" s="1"/>
  <c r="Y39" i="18"/>
  <c r="R39" i="18"/>
  <c r="Q39" i="18"/>
  <c r="P39" i="18"/>
  <c r="O39" i="18"/>
  <c r="N39" i="18"/>
  <c r="M39" i="18"/>
  <c r="L39" i="18"/>
  <c r="S39" i="18" s="1"/>
  <c r="Y65" i="18"/>
  <c r="R65" i="18"/>
  <c r="Q65" i="18"/>
  <c r="P65" i="18"/>
  <c r="O65" i="18"/>
  <c r="N65" i="18"/>
  <c r="M65" i="18"/>
  <c r="L65" i="18"/>
  <c r="S65" i="18" s="1"/>
  <c r="Y20" i="18"/>
  <c r="R20" i="18"/>
  <c r="Q20" i="18"/>
  <c r="P20" i="18"/>
  <c r="O20" i="18"/>
  <c r="N20" i="18"/>
  <c r="M20" i="18"/>
  <c r="L20" i="18"/>
  <c r="S20" i="18" s="1"/>
  <c r="Y34" i="18"/>
  <c r="R34" i="18"/>
  <c r="Q34" i="18"/>
  <c r="P34" i="18"/>
  <c r="O34" i="18"/>
  <c r="N34" i="18"/>
  <c r="M34" i="18"/>
  <c r="L34" i="18"/>
  <c r="S34" i="18" s="1"/>
  <c r="Y52" i="18"/>
  <c r="R52" i="18"/>
  <c r="Q52" i="18"/>
  <c r="P52" i="18"/>
  <c r="O52" i="18"/>
  <c r="N52" i="18"/>
  <c r="M52" i="18"/>
  <c r="L52" i="18"/>
  <c r="S52" i="18" s="1"/>
  <c r="Y15" i="18"/>
  <c r="R15" i="18"/>
  <c r="Q15" i="18"/>
  <c r="P15" i="18"/>
  <c r="O15" i="18"/>
  <c r="N15" i="18"/>
  <c r="M15" i="18"/>
  <c r="L15" i="18"/>
  <c r="S15" i="18" s="1"/>
  <c r="Y27" i="18"/>
  <c r="R27" i="18"/>
  <c r="Q27" i="18"/>
  <c r="P27" i="18"/>
  <c r="O27" i="18"/>
  <c r="N27" i="18"/>
  <c r="M27" i="18"/>
  <c r="L27" i="18"/>
  <c r="S27" i="18" s="1"/>
  <c r="R12" i="18"/>
  <c r="Q12" i="18"/>
  <c r="P12" i="18"/>
  <c r="O12" i="18"/>
  <c r="N12" i="18"/>
  <c r="M12" i="18"/>
  <c r="L12" i="18"/>
  <c r="S12" i="18" s="1"/>
  <c r="Y28" i="18"/>
  <c r="R28" i="18"/>
  <c r="Q28" i="18"/>
  <c r="P28" i="18"/>
  <c r="O28" i="18"/>
  <c r="N28" i="18"/>
  <c r="M28" i="18"/>
  <c r="L28" i="18"/>
  <c r="S28" i="18" s="1"/>
  <c r="Y46" i="18"/>
  <c r="R46" i="18"/>
  <c r="Q46" i="18"/>
  <c r="P46" i="18"/>
  <c r="O46" i="18"/>
  <c r="N46" i="18"/>
  <c r="M46" i="18"/>
  <c r="L46" i="18"/>
  <c r="S46" i="18" s="1"/>
  <c r="Y22" i="18"/>
  <c r="R22" i="18"/>
  <c r="Q22" i="18"/>
  <c r="P22" i="18"/>
  <c r="O22" i="18"/>
  <c r="N22" i="18"/>
  <c r="M22" i="18"/>
  <c r="L22" i="18"/>
  <c r="S22" i="18" s="1"/>
  <c r="Y41" i="18"/>
  <c r="R41" i="18"/>
  <c r="Q41" i="18"/>
  <c r="P41" i="18"/>
  <c r="O41" i="18"/>
  <c r="N41" i="18"/>
  <c r="M41" i="18"/>
  <c r="L41" i="18"/>
  <c r="S41" i="18" s="1"/>
  <c r="Y19" i="18"/>
  <c r="R19" i="18"/>
  <c r="Q19" i="18"/>
  <c r="P19" i="18"/>
  <c r="O19" i="18"/>
  <c r="N19" i="18"/>
  <c r="M19" i="18"/>
  <c r="L19" i="18"/>
  <c r="S19" i="18" s="1"/>
  <c r="Y30" i="18"/>
  <c r="R30" i="18"/>
  <c r="Q30" i="18"/>
  <c r="P30" i="18"/>
  <c r="O30" i="18"/>
  <c r="N30" i="18"/>
  <c r="M30" i="18"/>
  <c r="L30" i="18"/>
  <c r="S30" i="18" s="1"/>
  <c r="Y13" i="18"/>
  <c r="R13" i="18"/>
  <c r="Q13" i="18"/>
  <c r="P13" i="18"/>
  <c r="O13" i="18"/>
  <c r="N13" i="18"/>
  <c r="M13" i="18"/>
  <c r="L13" i="18"/>
  <c r="Y25" i="18"/>
  <c r="R25" i="18"/>
  <c r="Q25" i="18"/>
  <c r="P25" i="18"/>
  <c r="O25" i="18"/>
  <c r="N25" i="18"/>
  <c r="M25" i="18"/>
  <c r="L25" i="18"/>
  <c r="S25" i="18" s="1"/>
  <c r="Y16" i="18"/>
  <c r="R16" i="18"/>
  <c r="Q16" i="18"/>
  <c r="P16" i="18"/>
  <c r="O16" i="18"/>
  <c r="N16" i="18"/>
  <c r="M16" i="18"/>
  <c r="L16" i="18"/>
  <c r="S16" i="18" s="1"/>
  <c r="C8" i="14"/>
  <c r="D7" i="14" s="1"/>
  <c r="J15" i="2"/>
  <c r="L122" i="4"/>
  <c r="M122" i="4"/>
  <c r="N122" i="4"/>
  <c r="O122" i="4"/>
  <c r="P122" i="4"/>
  <c r="Q122" i="4"/>
  <c r="R122" i="4"/>
  <c r="L125" i="4"/>
  <c r="S125" i="4" s="1"/>
  <c r="M125" i="4"/>
  <c r="N125" i="4"/>
  <c r="O125" i="4"/>
  <c r="P125" i="4"/>
  <c r="Q125" i="4"/>
  <c r="R125" i="4"/>
  <c r="L124" i="4"/>
  <c r="S124" i="4" s="1"/>
  <c r="M124" i="4"/>
  <c r="N124" i="4"/>
  <c r="O124" i="4"/>
  <c r="P124" i="4"/>
  <c r="Q124" i="4"/>
  <c r="R124" i="4"/>
  <c r="L126" i="4"/>
  <c r="S126" i="4" s="1"/>
  <c r="M126" i="4"/>
  <c r="N126" i="4"/>
  <c r="O126" i="4"/>
  <c r="P126" i="4"/>
  <c r="Q126" i="4"/>
  <c r="R126" i="4"/>
  <c r="L11" i="4"/>
  <c r="S11" i="4" s="1"/>
  <c r="M11" i="4"/>
  <c r="N11" i="4"/>
  <c r="O11" i="4"/>
  <c r="P11" i="4"/>
  <c r="Q11" i="4"/>
  <c r="R11" i="4"/>
  <c r="L12" i="4"/>
  <c r="M12" i="4"/>
  <c r="N12" i="4"/>
  <c r="O12" i="4"/>
  <c r="P12" i="4"/>
  <c r="Q12" i="4"/>
  <c r="R12" i="4"/>
  <c r="L13" i="4"/>
  <c r="M13" i="4"/>
  <c r="N13" i="4"/>
  <c r="O13" i="4"/>
  <c r="P13" i="4"/>
  <c r="Q13" i="4"/>
  <c r="R13" i="4"/>
  <c r="L127" i="4"/>
  <c r="S127" i="4" s="1"/>
  <c r="M127" i="4"/>
  <c r="N127" i="4"/>
  <c r="O127" i="4"/>
  <c r="P127" i="4"/>
  <c r="Q127" i="4"/>
  <c r="R127" i="4"/>
  <c r="L14" i="4"/>
  <c r="S14" i="4" s="1"/>
  <c r="M14" i="4"/>
  <c r="N14" i="4"/>
  <c r="O14" i="4"/>
  <c r="P14" i="4"/>
  <c r="Q14" i="4"/>
  <c r="R14" i="4"/>
  <c r="L128" i="4"/>
  <c r="S128" i="4" s="1"/>
  <c r="M128" i="4"/>
  <c r="N128" i="4"/>
  <c r="O128" i="4"/>
  <c r="P128" i="4"/>
  <c r="Q128" i="4"/>
  <c r="R128" i="4"/>
  <c r="L129" i="4"/>
  <c r="S129" i="4" s="1"/>
  <c r="M129" i="4"/>
  <c r="N129" i="4"/>
  <c r="O129" i="4"/>
  <c r="P129" i="4"/>
  <c r="Q129" i="4"/>
  <c r="R129" i="4"/>
  <c r="L130" i="4"/>
  <c r="S130" i="4" s="1"/>
  <c r="M130" i="4"/>
  <c r="N130" i="4"/>
  <c r="O130" i="4"/>
  <c r="P130" i="4"/>
  <c r="Q130" i="4"/>
  <c r="R130" i="4"/>
  <c r="L15" i="4"/>
  <c r="S15" i="4" s="1"/>
  <c r="M15" i="4"/>
  <c r="N15" i="4"/>
  <c r="O15" i="4"/>
  <c r="P15" i="4"/>
  <c r="Q15" i="4"/>
  <c r="R15" i="4"/>
  <c r="L16" i="4"/>
  <c r="S16" i="4" s="1"/>
  <c r="M16" i="4"/>
  <c r="N16" i="4"/>
  <c r="O16" i="4"/>
  <c r="P16" i="4"/>
  <c r="Q16" i="4"/>
  <c r="R16" i="4"/>
  <c r="L131" i="4"/>
  <c r="S131" i="4" s="1"/>
  <c r="M131" i="4"/>
  <c r="N131" i="4"/>
  <c r="O131" i="4"/>
  <c r="P131" i="4"/>
  <c r="Q131" i="4"/>
  <c r="R131" i="4"/>
  <c r="L20" i="4"/>
  <c r="S20" i="4" s="1"/>
  <c r="M20" i="4"/>
  <c r="N20" i="4"/>
  <c r="O20" i="4"/>
  <c r="P20" i="4"/>
  <c r="Q20" i="4"/>
  <c r="R20" i="4"/>
  <c r="L19" i="4"/>
  <c r="S19" i="4" s="1"/>
  <c r="M19" i="4"/>
  <c r="N19" i="4"/>
  <c r="O19" i="4"/>
  <c r="P19" i="4"/>
  <c r="Q19" i="4"/>
  <c r="R19" i="4"/>
  <c r="L21" i="4"/>
  <c r="S21" i="4" s="1"/>
  <c r="M21" i="4"/>
  <c r="N21" i="4"/>
  <c r="O21" i="4"/>
  <c r="P21" i="4"/>
  <c r="Q21" i="4"/>
  <c r="R21" i="4"/>
  <c r="L17" i="4"/>
  <c r="S17" i="4" s="1"/>
  <c r="M17" i="4"/>
  <c r="N17" i="4"/>
  <c r="O17" i="4"/>
  <c r="P17" i="4"/>
  <c r="Q17" i="4"/>
  <c r="R17" i="4"/>
  <c r="Y138" i="17"/>
  <c r="R138" i="17"/>
  <c r="Q138" i="17"/>
  <c r="P138" i="17"/>
  <c r="O138" i="17"/>
  <c r="N138" i="17"/>
  <c r="M138" i="17"/>
  <c r="L138" i="17"/>
  <c r="S138" i="17" s="1"/>
  <c r="Y108" i="17"/>
  <c r="R108" i="17"/>
  <c r="Q108" i="17"/>
  <c r="P108" i="17"/>
  <c r="O108" i="17"/>
  <c r="N108" i="17"/>
  <c r="M108" i="17"/>
  <c r="L108" i="17"/>
  <c r="S108" i="17" s="1"/>
  <c r="Y126" i="17"/>
  <c r="R126" i="17"/>
  <c r="Q126" i="17"/>
  <c r="P126" i="17"/>
  <c r="O126" i="17"/>
  <c r="N126" i="17"/>
  <c r="M126" i="17"/>
  <c r="L126" i="17"/>
  <c r="S126" i="17" s="1"/>
  <c r="Y55" i="17"/>
  <c r="R55" i="17"/>
  <c r="Q55" i="17"/>
  <c r="P55" i="17"/>
  <c r="O55" i="17"/>
  <c r="N55" i="17"/>
  <c r="M55" i="17"/>
  <c r="L55" i="17"/>
  <c r="S55" i="17" s="1"/>
  <c r="Y128" i="17"/>
  <c r="R128" i="17"/>
  <c r="Q128" i="17"/>
  <c r="P128" i="17"/>
  <c r="O128" i="17"/>
  <c r="N128" i="17"/>
  <c r="M128" i="17"/>
  <c r="L128" i="17"/>
  <c r="S128" i="17" s="1"/>
  <c r="Y71" i="17"/>
  <c r="R71" i="17"/>
  <c r="Q71" i="17"/>
  <c r="P71" i="17"/>
  <c r="O71" i="17"/>
  <c r="N71" i="17"/>
  <c r="M71" i="17"/>
  <c r="L71" i="17"/>
  <c r="S71" i="17" s="1"/>
  <c r="Y78" i="17"/>
  <c r="R78" i="17"/>
  <c r="Q78" i="17"/>
  <c r="P78" i="17"/>
  <c r="O78" i="17"/>
  <c r="N78" i="17"/>
  <c r="M78" i="17"/>
  <c r="L78" i="17"/>
  <c r="S78" i="17" s="1"/>
  <c r="Y69" i="17"/>
  <c r="R69" i="17"/>
  <c r="Q69" i="17"/>
  <c r="P69" i="17"/>
  <c r="O69" i="17"/>
  <c r="N69" i="17"/>
  <c r="M69" i="17"/>
  <c r="L69" i="17"/>
  <c r="S69" i="17" s="1"/>
  <c r="Y90" i="17"/>
  <c r="R90" i="17"/>
  <c r="Q90" i="17"/>
  <c r="P90" i="17"/>
  <c r="O90" i="17"/>
  <c r="N90" i="17"/>
  <c r="M90" i="17"/>
  <c r="L90" i="17"/>
  <c r="S90" i="17" s="1"/>
  <c r="Y130" i="17"/>
  <c r="R130" i="17"/>
  <c r="Q130" i="17"/>
  <c r="P130" i="17"/>
  <c r="O130" i="17"/>
  <c r="N130" i="17"/>
  <c r="M130" i="17"/>
  <c r="L130" i="17"/>
  <c r="S130" i="17" s="1"/>
  <c r="Y132" i="17"/>
  <c r="R132" i="17"/>
  <c r="Q132" i="17"/>
  <c r="P132" i="17"/>
  <c r="O132" i="17"/>
  <c r="N132" i="17"/>
  <c r="M132" i="17"/>
  <c r="L132" i="17"/>
  <c r="S132" i="17" s="1"/>
  <c r="Y144" i="17"/>
  <c r="R144" i="17"/>
  <c r="Q144" i="17"/>
  <c r="P144" i="17"/>
  <c r="O144" i="17"/>
  <c r="N144" i="17"/>
  <c r="M144" i="17"/>
  <c r="L144" i="17"/>
  <c r="S144" i="17" s="1"/>
  <c r="Y114" i="17"/>
  <c r="R114" i="17"/>
  <c r="Q114" i="17"/>
  <c r="P114" i="17"/>
  <c r="O114" i="17"/>
  <c r="N114" i="17"/>
  <c r="M114" i="17"/>
  <c r="L114" i="17"/>
  <c r="S114" i="17" s="1"/>
  <c r="Y124" i="17"/>
  <c r="R124" i="17"/>
  <c r="Q124" i="17"/>
  <c r="P124" i="17"/>
  <c r="O124" i="17"/>
  <c r="N124" i="17"/>
  <c r="M124" i="17"/>
  <c r="L124" i="17"/>
  <c r="S124" i="17" s="1"/>
  <c r="Y115" i="17"/>
  <c r="R115" i="17"/>
  <c r="Q115" i="17"/>
  <c r="P115" i="17"/>
  <c r="O115" i="17"/>
  <c r="N115" i="17"/>
  <c r="M115" i="17"/>
  <c r="L115" i="17"/>
  <c r="S115" i="17" s="1"/>
  <c r="Y38" i="17"/>
  <c r="R38" i="17"/>
  <c r="Q38" i="17"/>
  <c r="P38" i="17"/>
  <c r="O38" i="17"/>
  <c r="N38" i="17"/>
  <c r="M38" i="17"/>
  <c r="L38" i="17"/>
  <c r="S38" i="17" s="1"/>
  <c r="Y129" i="17"/>
  <c r="R129" i="17"/>
  <c r="Q129" i="17"/>
  <c r="P129" i="17"/>
  <c r="O129" i="17"/>
  <c r="N129" i="17"/>
  <c r="M129" i="17"/>
  <c r="L129" i="17"/>
  <c r="S129" i="17" s="1"/>
  <c r="Y94" i="17"/>
  <c r="R94" i="17"/>
  <c r="Q94" i="17"/>
  <c r="P94" i="17"/>
  <c r="O94" i="17"/>
  <c r="N94" i="17"/>
  <c r="M94" i="17"/>
  <c r="L94" i="17"/>
  <c r="S94" i="17" s="1"/>
  <c r="Y92" i="17"/>
  <c r="R92" i="17"/>
  <c r="Q92" i="17"/>
  <c r="P92" i="17"/>
  <c r="O92" i="17"/>
  <c r="N92" i="17"/>
  <c r="M92" i="17"/>
  <c r="L92" i="17"/>
  <c r="S92" i="17" s="1"/>
  <c r="Y91" i="17"/>
  <c r="R91" i="17"/>
  <c r="Q91" i="17"/>
  <c r="P91" i="17"/>
  <c r="O91" i="17"/>
  <c r="N91" i="17"/>
  <c r="M91" i="17"/>
  <c r="L91" i="17"/>
  <c r="S91" i="17" s="1"/>
  <c r="Y151" i="17"/>
  <c r="R151" i="17"/>
  <c r="Q151" i="17"/>
  <c r="P151" i="17"/>
  <c r="O151" i="17"/>
  <c r="N151" i="17"/>
  <c r="M151" i="17"/>
  <c r="L151" i="17"/>
  <c r="S151" i="17" s="1"/>
  <c r="Y131" i="17"/>
  <c r="R131" i="17"/>
  <c r="Q131" i="17"/>
  <c r="P131" i="17"/>
  <c r="O131" i="17"/>
  <c r="N131" i="17"/>
  <c r="M131" i="17"/>
  <c r="L131" i="17"/>
  <c r="S131" i="17" s="1"/>
  <c r="Y116" i="17"/>
  <c r="R116" i="17"/>
  <c r="Q116" i="17"/>
  <c r="P116" i="17"/>
  <c r="O116" i="17"/>
  <c r="N116" i="17"/>
  <c r="M116" i="17"/>
  <c r="L116" i="17"/>
  <c r="S116" i="17" s="1"/>
  <c r="Y103" i="17"/>
  <c r="R103" i="17"/>
  <c r="Q103" i="17"/>
  <c r="P103" i="17"/>
  <c r="O103" i="17"/>
  <c r="N103" i="17"/>
  <c r="M103" i="17"/>
  <c r="L103" i="17"/>
  <c r="S103" i="17" s="1"/>
  <c r="Y11" i="17"/>
  <c r="R11" i="17"/>
  <c r="Q11" i="17"/>
  <c r="P11" i="17"/>
  <c r="O11" i="17"/>
  <c r="N11" i="17"/>
  <c r="M11" i="17"/>
  <c r="L11" i="17"/>
  <c r="S11" i="17" s="1"/>
  <c r="Y86" i="17"/>
  <c r="R86" i="17"/>
  <c r="Q86" i="17"/>
  <c r="P86" i="17"/>
  <c r="O86" i="17"/>
  <c r="N86" i="17"/>
  <c r="M86" i="17"/>
  <c r="L86" i="17"/>
  <c r="S86" i="17" s="1"/>
  <c r="Y23" i="17"/>
  <c r="R23" i="17"/>
  <c r="Q23" i="17"/>
  <c r="P23" i="17"/>
  <c r="O23" i="17"/>
  <c r="N23" i="17"/>
  <c r="M23" i="17"/>
  <c r="L23" i="17"/>
  <c r="S23" i="17" s="1"/>
  <c r="Y137" i="17"/>
  <c r="R137" i="17"/>
  <c r="Q137" i="17"/>
  <c r="P137" i="17"/>
  <c r="O137" i="17"/>
  <c r="N137" i="17"/>
  <c r="M137" i="17"/>
  <c r="L137" i="17"/>
  <c r="S137" i="17" s="1"/>
  <c r="Y125" i="17"/>
  <c r="R125" i="17"/>
  <c r="Q125" i="17"/>
  <c r="P125" i="17"/>
  <c r="O125" i="17"/>
  <c r="N125" i="17"/>
  <c r="M125" i="17"/>
  <c r="L125" i="17"/>
  <c r="S125" i="17" s="1"/>
  <c r="Y95" i="17"/>
  <c r="R95" i="17"/>
  <c r="Q95" i="17"/>
  <c r="P95" i="17"/>
  <c r="O95" i="17"/>
  <c r="N95" i="17"/>
  <c r="M95" i="17"/>
  <c r="L95" i="17"/>
  <c r="S95" i="17" s="1"/>
  <c r="Y93" i="17"/>
  <c r="R93" i="17"/>
  <c r="Q93" i="17"/>
  <c r="P93" i="17"/>
  <c r="O93" i="17"/>
  <c r="N93" i="17"/>
  <c r="M93" i="17"/>
  <c r="L93" i="17"/>
  <c r="S93" i="17" s="1"/>
  <c r="Y136" i="17"/>
  <c r="R136" i="17"/>
  <c r="Q136" i="17"/>
  <c r="P136" i="17"/>
  <c r="O136" i="17"/>
  <c r="N136" i="17"/>
  <c r="M136" i="17"/>
  <c r="L136" i="17"/>
  <c r="S136" i="17" s="1"/>
  <c r="Y135" i="17"/>
  <c r="R135" i="17"/>
  <c r="Q135" i="17"/>
  <c r="P135" i="17"/>
  <c r="O135" i="17"/>
  <c r="N135" i="17"/>
  <c r="M135" i="17"/>
  <c r="L135" i="17"/>
  <c r="S135" i="17" s="1"/>
  <c r="Y25" i="17"/>
  <c r="R25" i="17"/>
  <c r="Q25" i="17"/>
  <c r="P25" i="17"/>
  <c r="O25" i="17"/>
  <c r="N25" i="17"/>
  <c r="M25" i="17"/>
  <c r="L25" i="17"/>
  <c r="S25" i="17" s="1"/>
  <c r="Y74" i="17"/>
  <c r="R74" i="17"/>
  <c r="Q74" i="17"/>
  <c r="P74" i="17"/>
  <c r="O74" i="17"/>
  <c r="N74" i="17"/>
  <c r="M74" i="17"/>
  <c r="L74" i="17"/>
  <c r="S74" i="17" s="1"/>
  <c r="Y123" i="17"/>
  <c r="R123" i="17"/>
  <c r="Q123" i="17"/>
  <c r="P123" i="17"/>
  <c r="O123" i="17"/>
  <c r="N123" i="17"/>
  <c r="M123" i="17"/>
  <c r="L123" i="17"/>
  <c r="S123" i="17" s="1"/>
  <c r="Y143" i="17"/>
  <c r="R143" i="17"/>
  <c r="Q143" i="17"/>
  <c r="P143" i="17"/>
  <c r="O143" i="17"/>
  <c r="N143" i="17"/>
  <c r="M143" i="17"/>
  <c r="L143" i="17"/>
  <c r="S143" i="17" s="1"/>
  <c r="Y122" i="17"/>
  <c r="R122" i="17"/>
  <c r="Q122" i="17"/>
  <c r="P122" i="17"/>
  <c r="O122" i="17"/>
  <c r="N122" i="17"/>
  <c r="M122" i="17"/>
  <c r="L122" i="17"/>
  <c r="S122" i="17" s="1"/>
  <c r="Y75" i="17"/>
  <c r="R75" i="17"/>
  <c r="Q75" i="17"/>
  <c r="P75" i="17"/>
  <c r="O75" i="17"/>
  <c r="N75" i="17"/>
  <c r="M75" i="17"/>
  <c r="L75" i="17"/>
  <c r="S75" i="17" s="1"/>
  <c r="Y119" i="17"/>
  <c r="R119" i="17"/>
  <c r="Q119" i="17"/>
  <c r="P119" i="17"/>
  <c r="O119" i="17"/>
  <c r="N119" i="17"/>
  <c r="M119" i="17"/>
  <c r="L119" i="17"/>
  <c r="S119" i="17" s="1"/>
  <c r="Y100" i="17"/>
  <c r="R100" i="17"/>
  <c r="Q100" i="17"/>
  <c r="P100" i="17"/>
  <c r="O100" i="17"/>
  <c r="N100" i="17"/>
  <c r="M100" i="17"/>
  <c r="L100" i="17"/>
  <c r="S100" i="17" s="1"/>
  <c r="Y150" i="17"/>
  <c r="R150" i="17"/>
  <c r="Q150" i="17"/>
  <c r="P150" i="17"/>
  <c r="O150" i="17"/>
  <c r="N150" i="17"/>
  <c r="M150" i="17"/>
  <c r="L150" i="17"/>
  <c r="S150" i="17" s="1"/>
  <c r="Y140" i="17"/>
  <c r="R140" i="17"/>
  <c r="Q140" i="17"/>
  <c r="P140" i="17"/>
  <c r="O140" i="17"/>
  <c r="N140" i="17"/>
  <c r="M140" i="17"/>
  <c r="L140" i="17"/>
  <c r="S140" i="17" s="1"/>
  <c r="Y84" i="17"/>
  <c r="R84" i="17"/>
  <c r="Q84" i="17"/>
  <c r="P84" i="17"/>
  <c r="O84" i="17"/>
  <c r="N84" i="17"/>
  <c r="M84" i="17"/>
  <c r="L84" i="17"/>
  <c r="S84" i="17" s="1"/>
  <c r="Y61" i="17"/>
  <c r="R61" i="17"/>
  <c r="Q61" i="17"/>
  <c r="P61" i="17"/>
  <c r="O61" i="17"/>
  <c r="N61" i="17"/>
  <c r="M61" i="17"/>
  <c r="L61" i="17"/>
  <c r="S61" i="17" s="1"/>
  <c r="Y120" i="17"/>
  <c r="R120" i="17"/>
  <c r="Q120" i="17"/>
  <c r="P120" i="17"/>
  <c r="O120" i="17"/>
  <c r="N120" i="17"/>
  <c r="M120" i="17"/>
  <c r="L120" i="17"/>
  <c r="S120" i="17" s="1"/>
  <c r="Y146" i="17"/>
  <c r="R146" i="17"/>
  <c r="Q146" i="17"/>
  <c r="P146" i="17"/>
  <c r="O146" i="17"/>
  <c r="N146" i="17"/>
  <c r="M146" i="17"/>
  <c r="L146" i="17"/>
  <c r="S146" i="17" s="1"/>
  <c r="Y117" i="17"/>
  <c r="R117" i="17"/>
  <c r="Q117" i="17"/>
  <c r="P117" i="17"/>
  <c r="O117" i="17"/>
  <c r="N117" i="17"/>
  <c r="M117" i="17"/>
  <c r="L117" i="17"/>
  <c r="S117" i="17" s="1"/>
  <c r="Y112" i="17"/>
  <c r="R112" i="17"/>
  <c r="Q112" i="17"/>
  <c r="P112" i="17"/>
  <c r="O112" i="17"/>
  <c r="N112" i="17"/>
  <c r="M112" i="17"/>
  <c r="L112" i="17"/>
  <c r="S112" i="17" s="1"/>
  <c r="Y40" i="17"/>
  <c r="R40" i="17"/>
  <c r="Q40" i="17"/>
  <c r="P40" i="17"/>
  <c r="O40" i="17"/>
  <c r="N40" i="17"/>
  <c r="M40" i="17"/>
  <c r="L40" i="17"/>
  <c r="S40" i="17" s="1"/>
  <c r="Y63" i="17"/>
  <c r="R63" i="17"/>
  <c r="Q63" i="17"/>
  <c r="P63" i="17"/>
  <c r="O63" i="17"/>
  <c r="N63" i="17"/>
  <c r="M63" i="17"/>
  <c r="L63" i="17"/>
  <c r="S63" i="17" s="1"/>
  <c r="Y36" i="17"/>
  <c r="R36" i="17"/>
  <c r="Q36" i="17"/>
  <c r="P36" i="17"/>
  <c r="O36" i="17"/>
  <c r="N36" i="17"/>
  <c r="M36" i="17"/>
  <c r="L36" i="17"/>
  <c r="S36" i="17" s="1"/>
  <c r="Y101" i="17"/>
  <c r="R101" i="17"/>
  <c r="Q101" i="17"/>
  <c r="P101" i="17"/>
  <c r="O101" i="17"/>
  <c r="N101" i="17"/>
  <c r="M101" i="17"/>
  <c r="L101" i="17"/>
  <c r="S101" i="17" s="1"/>
  <c r="Y64" i="17"/>
  <c r="R64" i="17"/>
  <c r="Q64" i="17"/>
  <c r="P64" i="17"/>
  <c r="O64" i="17"/>
  <c r="N64" i="17"/>
  <c r="M64" i="17"/>
  <c r="L64" i="17"/>
  <c r="S64" i="17" s="1"/>
  <c r="Y87" i="17"/>
  <c r="R87" i="17"/>
  <c r="Q87" i="17"/>
  <c r="P87" i="17"/>
  <c r="O87" i="17"/>
  <c r="N87" i="17"/>
  <c r="M87" i="17"/>
  <c r="L87" i="17"/>
  <c r="S87" i="17" s="1"/>
  <c r="Y97" i="17"/>
  <c r="R97" i="17"/>
  <c r="Q97" i="17"/>
  <c r="P97" i="17"/>
  <c r="O97" i="17"/>
  <c r="N97" i="17"/>
  <c r="M97" i="17"/>
  <c r="L97" i="17"/>
  <c r="S97" i="17" s="1"/>
  <c r="Y102" i="17"/>
  <c r="R102" i="17"/>
  <c r="Q102" i="17"/>
  <c r="P102" i="17"/>
  <c r="O102" i="17"/>
  <c r="N102" i="17"/>
  <c r="M102" i="17"/>
  <c r="L102" i="17"/>
  <c r="S102" i="17" s="1"/>
  <c r="Y70" i="17"/>
  <c r="R70" i="17"/>
  <c r="Q70" i="17"/>
  <c r="P70" i="17"/>
  <c r="O70" i="17"/>
  <c r="N70" i="17"/>
  <c r="M70" i="17"/>
  <c r="L70" i="17"/>
  <c r="S70" i="17" s="1"/>
  <c r="Y104" i="17"/>
  <c r="R104" i="17"/>
  <c r="Q104" i="17"/>
  <c r="P104" i="17"/>
  <c r="O104" i="17"/>
  <c r="N104" i="17"/>
  <c r="M104" i="17"/>
  <c r="L104" i="17"/>
  <c r="S104" i="17" s="1"/>
  <c r="Y83" i="17"/>
  <c r="R83" i="17"/>
  <c r="Q83" i="17"/>
  <c r="P83" i="17"/>
  <c r="O83" i="17"/>
  <c r="N83" i="17"/>
  <c r="M83" i="17"/>
  <c r="L83" i="17"/>
  <c r="S83" i="17" s="1"/>
  <c r="Y22" i="17"/>
  <c r="R22" i="17"/>
  <c r="Q22" i="17"/>
  <c r="P22" i="17"/>
  <c r="O22" i="17"/>
  <c r="N22" i="17"/>
  <c r="M22" i="17"/>
  <c r="L22" i="17"/>
  <c r="S22" i="17" s="1"/>
  <c r="Y30" i="17"/>
  <c r="R30" i="17"/>
  <c r="Q30" i="17"/>
  <c r="P30" i="17"/>
  <c r="O30" i="17"/>
  <c r="N30" i="17"/>
  <c r="M30" i="17"/>
  <c r="L30" i="17"/>
  <c r="S30" i="17" s="1"/>
  <c r="Y29" i="17"/>
  <c r="R29" i="17"/>
  <c r="Q29" i="17"/>
  <c r="P29" i="17"/>
  <c r="O29" i="17"/>
  <c r="N29" i="17"/>
  <c r="M29" i="17"/>
  <c r="L29" i="17"/>
  <c r="S29" i="17" s="1"/>
  <c r="Y79" i="17"/>
  <c r="R79" i="17"/>
  <c r="Q79" i="17"/>
  <c r="P79" i="17"/>
  <c r="O79" i="17"/>
  <c r="N79" i="17"/>
  <c r="M79" i="17"/>
  <c r="L79" i="17"/>
  <c r="S79" i="17" s="1"/>
  <c r="Y139" i="17"/>
  <c r="R139" i="17"/>
  <c r="Q139" i="17"/>
  <c r="P139" i="17"/>
  <c r="O139" i="17"/>
  <c r="N139" i="17"/>
  <c r="M139" i="17"/>
  <c r="L139" i="17"/>
  <c r="S139" i="17" s="1"/>
  <c r="Y147" i="17"/>
  <c r="R147" i="17"/>
  <c r="Q147" i="17"/>
  <c r="P147" i="17"/>
  <c r="O147" i="17"/>
  <c r="N147" i="17"/>
  <c r="M147" i="17"/>
  <c r="L147" i="17"/>
  <c r="S147" i="17" s="1"/>
  <c r="Y33" i="17"/>
  <c r="R33" i="17"/>
  <c r="Q33" i="17"/>
  <c r="P33" i="17"/>
  <c r="O33" i="17"/>
  <c r="N33" i="17"/>
  <c r="M33" i="17"/>
  <c r="L33" i="17"/>
  <c r="S33" i="17" s="1"/>
  <c r="Y58" i="17"/>
  <c r="R58" i="17"/>
  <c r="Q58" i="17"/>
  <c r="P58" i="17"/>
  <c r="O58" i="17"/>
  <c r="N58" i="17"/>
  <c r="M58" i="17"/>
  <c r="L58" i="17"/>
  <c r="S58" i="17" s="1"/>
  <c r="Y48" i="17"/>
  <c r="R48" i="17"/>
  <c r="Q48" i="17"/>
  <c r="P48" i="17"/>
  <c r="O48" i="17"/>
  <c r="N48" i="17"/>
  <c r="M48" i="17"/>
  <c r="L48" i="17"/>
  <c r="S48" i="17" s="1"/>
  <c r="Y73" i="17"/>
  <c r="R73" i="17"/>
  <c r="Q73" i="17"/>
  <c r="P73" i="17"/>
  <c r="O73" i="17"/>
  <c r="N73" i="17"/>
  <c r="M73" i="17"/>
  <c r="L73" i="17"/>
  <c r="S73" i="17" s="1"/>
  <c r="Y43" i="17"/>
  <c r="R43" i="17"/>
  <c r="Q43" i="17"/>
  <c r="P43" i="17"/>
  <c r="O43" i="17"/>
  <c r="N43" i="17"/>
  <c r="M43" i="17"/>
  <c r="L43" i="17"/>
  <c r="S43" i="17" s="1"/>
  <c r="Y96" i="17"/>
  <c r="R96" i="17"/>
  <c r="Q96" i="17"/>
  <c r="P96" i="17"/>
  <c r="O96" i="17"/>
  <c r="N96" i="17"/>
  <c r="M96" i="17"/>
  <c r="L96" i="17"/>
  <c r="S96" i="17" s="1"/>
  <c r="Y57" i="17"/>
  <c r="R57" i="17"/>
  <c r="Q57" i="17"/>
  <c r="P57" i="17"/>
  <c r="O57" i="17"/>
  <c r="N57" i="17"/>
  <c r="M57" i="17"/>
  <c r="L57" i="17"/>
  <c r="S57" i="17" s="1"/>
  <c r="Y99" i="17"/>
  <c r="R99" i="17"/>
  <c r="Q99" i="17"/>
  <c r="P99" i="17"/>
  <c r="O99" i="17"/>
  <c r="N99" i="17"/>
  <c r="M99" i="17"/>
  <c r="L99" i="17"/>
  <c r="S99" i="17" s="1"/>
  <c r="Y50" i="17"/>
  <c r="R50" i="17"/>
  <c r="Q50" i="17"/>
  <c r="P50" i="17"/>
  <c r="O50" i="17"/>
  <c r="N50" i="17"/>
  <c r="M50" i="17"/>
  <c r="L50" i="17"/>
  <c r="S50" i="17" s="1"/>
  <c r="Y105" i="17"/>
  <c r="R105" i="17"/>
  <c r="Q105" i="17"/>
  <c r="P105" i="17"/>
  <c r="O105" i="17"/>
  <c r="N105" i="17"/>
  <c r="M105" i="17"/>
  <c r="L105" i="17"/>
  <c r="S105" i="17" s="1"/>
  <c r="Y98" i="17"/>
  <c r="R98" i="17"/>
  <c r="Q98" i="17"/>
  <c r="P98" i="17"/>
  <c r="O98" i="17"/>
  <c r="N98" i="17"/>
  <c r="M98" i="17"/>
  <c r="L98" i="17"/>
  <c r="S98" i="17" s="1"/>
  <c r="Y110" i="17"/>
  <c r="R110" i="17"/>
  <c r="Q110" i="17"/>
  <c r="P110" i="17"/>
  <c r="O110" i="17"/>
  <c r="N110" i="17"/>
  <c r="M110" i="17"/>
  <c r="L110" i="17"/>
  <c r="S110" i="17" s="1"/>
  <c r="Y145" i="17"/>
  <c r="R145" i="17"/>
  <c r="Q145" i="17"/>
  <c r="P145" i="17"/>
  <c r="O145" i="17"/>
  <c r="N145" i="17"/>
  <c r="M145" i="17"/>
  <c r="L145" i="17"/>
  <c r="S145" i="17" s="1"/>
  <c r="Y66" i="17"/>
  <c r="R66" i="17"/>
  <c r="Q66" i="17"/>
  <c r="P66" i="17"/>
  <c r="O66" i="17"/>
  <c r="N66" i="17"/>
  <c r="M66" i="17"/>
  <c r="L66" i="17"/>
  <c r="S66" i="17" s="1"/>
  <c r="Y53" i="17"/>
  <c r="R53" i="17"/>
  <c r="Q53" i="17"/>
  <c r="P53" i="17"/>
  <c r="O53" i="17"/>
  <c r="N53" i="17"/>
  <c r="M53" i="17"/>
  <c r="L53" i="17"/>
  <c r="S53" i="17" s="1"/>
  <c r="Y52" i="17"/>
  <c r="R52" i="17"/>
  <c r="Q52" i="17"/>
  <c r="P52" i="17"/>
  <c r="O52" i="17"/>
  <c r="N52" i="17"/>
  <c r="M52" i="17"/>
  <c r="L52" i="17"/>
  <c r="S52" i="17" s="1"/>
  <c r="Y44" i="17"/>
  <c r="R44" i="17"/>
  <c r="Q44" i="17"/>
  <c r="P44" i="17"/>
  <c r="O44" i="17"/>
  <c r="N44" i="17"/>
  <c r="M44" i="17"/>
  <c r="L44" i="17"/>
  <c r="S44" i="17" s="1"/>
  <c r="Y111" i="17"/>
  <c r="R111" i="17"/>
  <c r="Q111" i="17"/>
  <c r="P111" i="17"/>
  <c r="O111" i="17"/>
  <c r="N111" i="17"/>
  <c r="M111" i="17"/>
  <c r="L111" i="17"/>
  <c r="S111" i="17" s="1"/>
  <c r="Y39" i="17"/>
  <c r="R39" i="17"/>
  <c r="Q39" i="17"/>
  <c r="P39" i="17"/>
  <c r="O39" i="17"/>
  <c r="N39" i="17"/>
  <c r="M39" i="17"/>
  <c r="L39" i="17"/>
  <c r="S39" i="17" s="1"/>
  <c r="Y41" i="17"/>
  <c r="R41" i="17"/>
  <c r="Q41" i="17"/>
  <c r="P41" i="17"/>
  <c r="O41" i="17"/>
  <c r="N41" i="17"/>
  <c r="M41" i="17"/>
  <c r="L41" i="17"/>
  <c r="S41" i="17" s="1"/>
  <c r="Y127" i="17"/>
  <c r="R127" i="17"/>
  <c r="Q127" i="17"/>
  <c r="P127" i="17"/>
  <c r="O127" i="17"/>
  <c r="N127" i="17"/>
  <c r="M127" i="17"/>
  <c r="L127" i="17"/>
  <c r="S127" i="17" s="1"/>
  <c r="Y19" i="17"/>
  <c r="R19" i="17"/>
  <c r="Q19" i="17"/>
  <c r="P19" i="17"/>
  <c r="O19" i="17"/>
  <c r="N19" i="17"/>
  <c r="M19" i="17"/>
  <c r="L19" i="17"/>
  <c r="S19" i="17" s="1"/>
  <c r="Y28" i="17"/>
  <c r="R28" i="17"/>
  <c r="Q28" i="17"/>
  <c r="P28" i="17"/>
  <c r="O28" i="17"/>
  <c r="N28" i="17"/>
  <c r="M28" i="17"/>
  <c r="L28" i="17"/>
  <c r="S28" i="17" s="1"/>
  <c r="Y56" i="17"/>
  <c r="R56" i="17"/>
  <c r="Q56" i="17"/>
  <c r="P56" i="17"/>
  <c r="O56" i="17"/>
  <c r="N56" i="17"/>
  <c r="M56" i="17"/>
  <c r="L56" i="17"/>
  <c r="S56" i="17" s="1"/>
  <c r="Y80" i="17"/>
  <c r="R80" i="17"/>
  <c r="Q80" i="17"/>
  <c r="P80" i="17"/>
  <c r="O80" i="17"/>
  <c r="N80" i="17"/>
  <c r="M80" i="17"/>
  <c r="L80" i="17"/>
  <c r="S80" i="17" s="1"/>
  <c r="Y68" i="17"/>
  <c r="R68" i="17"/>
  <c r="Q68" i="17"/>
  <c r="P68" i="17"/>
  <c r="O68" i="17"/>
  <c r="N68" i="17"/>
  <c r="M68" i="17"/>
  <c r="L68" i="17"/>
  <c r="S68" i="17" s="1"/>
  <c r="Y32" i="17"/>
  <c r="R32" i="17"/>
  <c r="Q32" i="17"/>
  <c r="P32" i="17"/>
  <c r="O32" i="17"/>
  <c r="N32" i="17"/>
  <c r="M32" i="17"/>
  <c r="L32" i="17"/>
  <c r="S32" i="17" s="1"/>
  <c r="Y51" i="17"/>
  <c r="R51" i="17"/>
  <c r="Q51" i="17"/>
  <c r="P51" i="17"/>
  <c r="O51" i="17"/>
  <c r="N51" i="17"/>
  <c r="M51" i="17"/>
  <c r="L51" i="17"/>
  <c r="S51" i="17" s="1"/>
  <c r="Y14" i="17"/>
  <c r="R14" i="17"/>
  <c r="Q14" i="17"/>
  <c r="P14" i="17"/>
  <c r="O14" i="17"/>
  <c r="N14" i="17"/>
  <c r="M14" i="17"/>
  <c r="L14" i="17"/>
  <c r="S14" i="17" s="1"/>
  <c r="Y12" i="17"/>
  <c r="R12" i="17"/>
  <c r="Q12" i="17"/>
  <c r="P12" i="17"/>
  <c r="O12" i="17"/>
  <c r="N12" i="17"/>
  <c r="M12" i="17"/>
  <c r="L12" i="17"/>
  <c r="S12" i="17" s="1"/>
  <c r="Y18" i="17"/>
  <c r="R18" i="17"/>
  <c r="Q18" i="17"/>
  <c r="P18" i="17"/>
  <c r="O18" i="17"/>
  <c r="N18" i="17"/>
  <c r="M18" i="17"/>
  <c r="L18" i="17"/>
  <c r="S18" i="17" s="1"/>
  <c r="Y20" i="17"/>
  <c r="R20" i="17"/>
  <c r="Q20" i="17"/>
  <c r="P20" i="17"/>
  <c r="O20" i="17"/>
  <c r="N20" i="17"/>
  <c r="M20" i="17"/>
  <c r="L20" i="17"/>
  <c r="S20" i="17" s="1"/>
  <c r="Y62" i="17"/>
  <c r="R62" i="17"/>
  <c r="Q62" i="17"/>
  <c r="P62" i="17"/>
  <c r="O62" i="17"/>
  <c r="N62" i="17"/>
  <c r="M62" i="17"/>
  <c r="L62" i="17"/>
  <c r="S62" i="17" s="1"/>
  <c r="Y118" i="17"/>
  <c r="R118" i="17"/>
  <c r="Q118" i="17"/>
  <c r="P118" i="17"/>
  <c r="O118" i="17"/>
  <c r="N118" i="17"/>
  <c r="M118" i="17"/>
  <c r="L118" i="17"/>
  <c r="S118" i="17" s="1"/>
  <c r="Y82" i="17"/>
  <c r="R82" i="17"/>
  <c r="Q82" i="17"/>
  <c r="P82" i="17"/>
  <c r="O82" i="17"/>
  <c r="N82" i="17"/>
  <c r="M82" i="17"/>
  <c r="L82" i="17"/>
  <c r="S82" i="17" s="1"/>
  <c r="Y24" i="17"/>
  <c r="R24" i="17"/>
  <c r="Q24" i="17"/>
  <c r="P24" i="17"/>
  <c r="O24" i="17"/>
  <c r="N24" i="17"/>
  <c r="M24" i="17"/>
  <c r="L24" i="17"/>
  <c r="S24" i="17" s="1"/>
  <c r="Y21" i="17"/>
  <c r="R21" i="17"/>
  <c r="Q21" i="17"/>
  <c r="P21" i="17"/>
  <c r="O21" i="17"/>
  <c r="N21" i="17"/>
  <c r="M21" i="17"/>
  <c r="L21" i="17"/>
  <c r="S21" i="17" s="1"/>
  <c r="Y60" i="17"/>
  <c r="R60" i="17"/>
  <c r="Q60" i="17"/>
  <c r="P60" i="17"/>
  <c r="O60" i="17"/>
  <c r="N60" i="17"/>
  <c r="M60" i="17"/>
  <c r="L60" i="17"/>
  <c r="S60" i="17" s="1"/>
  <c r="Y59" i="17"/>
  <c r="R59" i="17"/>
  <c r="Q59" i="17"/>
  <c r="P59" i="17"/>
  <c r="O59" i="17"/>
  <c r="N59" i="17"/>
  <c r="M59" i="17"/>
  <c r="L59" i="17"/>
  <c r="S59" i="17" s="1"/>
  <c r="Y133" i="17"/>
  <c r="R133" i="17"/>
  <c r="Q133" i="17"/>
  <c r="P133" i="17"/>
  <c r="O133" i="17"/>
  <c r="N133" i="17"/>
  <c r="M133" i="17"/>
  <c r="L133" i="17"/>
  <c r="S133" i="17" s="1"/>
  <c r="Y72" i="17"/>
  <c r="R72" i="17"/>
  <c r="Q72" i="17"/>
  <c r="P72" i="17"/>
  <c r="O72" i="17"/>
  <c r="N72" i="17"/>
  <c r="M72" i="17"/>
  <c r="L72" i="17"/>
  <c r="S72" i="17" s="1"/>
  <c r="Y109" i="17"/>
  <c r="R109" i="17"/>
  <c r="Q109" i="17"/>
  <c r="P109" i="17"/>
  <c r="O109" i="17"/>
  <c r="N109" i="17"/>
  <c r="M109" i="17"/>
  <c r="L109" i="17"/>
  <c r="S109" i="17" s="1"/>
  <c r="Y47" i="17"/>
  <c r="R47" i="17"/>
  <c r="Q47" i="17"/>
  <c r="P47" i="17"/>
  <c r="O47" i="17"/>
  <c r="N47" i="17"/>
  <c r="M47" i="17"/>
  <c r="L47" i="17"/>
  <c r="S47" i="17" s="1"/>
  <c r="Y49" i="17"/>
  <c r="R49" i="17"/>
  <c r="Q49" i="17"/>
  <c r="P49" i="17"/>
  <c r="O49" i="17"/>
  <c r="N49" i="17"/>
  <c r="M49" i="17"/>
  <c r="L49" i="17"/>
  <c r="S49" i="17" s="1"/>
  <c r="Y142" i="17"/>
  <c r="R142" i="17"/>
  <c r="Q142" i="17"/>
  <c r="P142" i="17"/>
  <c r="O142" i="17"/>
  <c r="N142" i="17"/>
  <c r="M142" i="17"/>
  <c r="L142" i="17"/>
  <c r="S142" i="17" s="1"/>
  <c r="Y27" i="17"/>
  <c r="R27" i="17"/>
  <c r="Q27" i="17"/>
  <c r="P27" i="17"/>
  <c r="O27" i="17"/>
  <c r="N27" i="17"/>
  <c r="M27" i="17"/>
  <c r="L27" i="17"/>
  <c r="S27" i="17" s="1"/>
  <c r="Y31" i="17"/>
  <c r="R31" i="17"/>
  <c r="Q31" i="17"/>
  <c r="P31" i="17"/>
  <c r="O31" i="17"/>
  <c r="N31" i="17"/>
  <c r="M31" i="17"/>
  <c r="L31" i="17"/>
  <c r="S31" i="17" s="1"/>
  <c r="Y89" i="17"/>
  <c r="R89" i="17"/>
  <c r="Q89" i="17"/>
  <c r="P89" i="17"/>
  <c r="O89" i="17"/>
  <c r="N89" i="17"/>
  <c r="M89" i="17"/>
  <c r="L89" i="17"/>
  <c r="S89" i="17" s="1"/>
  <c r="Y148" i="17"/>
  <c r="R148" i="17"/>
  <c r="Q148" i="17"/>
  <c r="P148" i="17"/>
  <c r="O148" i="17"/>
  <c r="N148" i="17"/>
  <c r="M148" i="17"/>
  <c r="L148" i="17"/>
  <c r="S148" i="17" s="1"/>
  <c r="Y134" i="17"/>
  <c r="R134" i="17"/>
  <c r="Q134" i="17"/>
  <c r="P134" i="17"/>
  <c r="O134" i="17"/>
  <c r="N134" i="17"/>
  <c r="M134" i="17"/>
  <c r="L134" i="17"/>
  <c r="S134" i="17" s="1"/>
  <c r="Y15" i="17"/>
  <c r="R15" i="17"/>
  <c r="Q15" i="17"/>
  <c r="P15" i="17"/>
  <c r="O15" i="17"/>
  <c r="N15" i="17"/>
  <c r="M15" i="17"/>
  <c r="L15" i="17"/>
  <c r="S15" i="17" s="1"/>
  <c r="Y37" i="17"/>
  <c r="R37" i="17"/>
  <c r="Q37" i="17"/>
  <c r="P37" i="17"/>
  <c r="O37" i="17"/>
  <c r="N37" i="17"/>
  <c r="M37" i="17"/>
  <c r="L37" i="17"/>
  <c r="S37" i="17" s="1"/>
  <c r="Y34" i="17"/>
  <c r="R34" i="17"/>
  <c r="Q34" i="17"/>
  <c r="P34" i="17"/>
  <c r="O34" i="17"/>
  <c r="N34" i="17"/>
  <c r="M34" i="17"/>
  <c r="L34" i="17"/>
  <c r="S34" i="17" s="1"/>
  <c r="Y42" i="17"/>
  <c r="R42" i="17"/>
  <c r="Q42" i="17"/>
  <c r="P42" i="17"/>
  <c r="O42" i="17"/>
  <c r="N42" i="17"/>
  <c r="M42" i="17"/>
  <c r="L42" i="17"/>
  <c r="S42" i="17" s="1"/>
  <c r="Y81" i="17"/>
  <c r="R81" i="17"/>
  <c r="Q81" i="17"/>
  <c r="P81" i="17"/>
  <c r="O81" i="17"/>
  <c r="N81" i="17"/>
  <c r="M81" i="17"/>
  <c r="L81" i="17"/>
  <c r="S81" i="17" s="1"/>
  <c r="Y16" i="17"/>
  <c r="R16" i="17"/>
  <c r="Q16" i="17"/>
  <c r="P16" i="17"/>
  <c r="O16" i="17"/>
  <c r="N16" i="17"/>
  <c r="M16" i="17"/>
  <c r="L16" i="17"/>
  <c r="S16" i="17" s="1"/>
  <c r="Y54" i="17"/>
  <c r="R54" i="17"/>
  <c r="Q54" i="17"/>
  <c r="P54" i="17"/>
  <c r="O54" i="17"/>
  <c r="N54" i="17"/>
  <c r="M54" i="17"/>
  <c r="L54" i="17"/>
  <c r="Y88" i="17"/>
  <c r="R88" i="17"/>
  <c r="Q88" i="17"/>
  <c r="P88" i="17"/>
  <c r="O88" i="17"/>
  <c r="N88" i="17"/>
  <c r="M88" i="17"/>
  <c r="L88" i="17"/>
  <c r="S88" i="17" s="1"/>
  <c r="Y17" i="17"/>
  <c r="R17" i="17"/>
  <c r="Q17" i="17"/>
  <c r="P17" i="17"/>
  <c r="O17" i="17"/>
  <c r="N17" i="17"/>
  <c r="M17" i="17"/>
  <c r="L17" i="17"/>
  <c r="S17" i="17" s="1"/>
  <c r="Y107" i="17"/>
  <c r="R107" i="17"/>
  <c r="Q107" i="17"/>
  <c r="P107" i="17"/>
  <c r="O107" i="17"/>
  <c r="N107" i="17"/>
  <c r="M107" i="17"/>
  <c r="L107" i="17"/>
  <c r="Y35" i="17"/>
  <c r="R35" i="17"/>
  <c r="Q35" i="17"/>
  <c r="P35" i="17"/>
  <c r="O35" i="17"/>
  <c r="N35" i="17"/>
  <c r="M35" i="17"/>
  <c r="L35" i="17"/>
  <c r="S35" i="17" s="1"/>
  <c r="Y67" i="17"/>
  <c r="R67" i="17"/>
  <c r="Q67" i="17"/>
  <c r="P67" i="17"/>
  <c r="O67" i="17"/>
  <c r="N67" i="17"/>
  <c r="M67" i="17"/>
  <c r="L67" i="17"/>
  <c r="S67" i="17" s="1"/>
  <c r="Y65" i="17"/>
  <c r="R65" i="17"/>
  <c r="Q65" i="17"/>
  <c r="P65" i="17"/>
  <c r="O65" i="17"/>
  <c r="N65" i="17"/>
  <c r="M65" i="17"/>
  <c r="L65" i="17"/>
  <c r="S65" i="17" s="1"/>
  <c r="Y121" i="17"/>
  <c r="R121" i="17"/>
  <c r="Q121" i="17"/>
  <c r="P121" i="17"/>
  <c r="O121" i="17"/>
  <c r="N121" i="17"/>
  <c r="M121" i="17"/>
  <c r="L121" i="17"/>
  <c r="S121" i="17" s="1"/>
  <c r="Y85" i="17"/>
  <c r="R85" i="17"/>
  <c r="Q85" i="17"/>
  <c r="P85" i="17"/>
  <c r="O85" i="17"/>
  <c r="N85" i="17"/>
  <c r="M85" i="17"/>
  <c r="L85" i="17"/>
  <c r="S85" i="17" s="1"/>
  <c r="Y77" i="17"/>
  <c r="R77" i="17"/>
  <c r="Q77" i="17"/>
  <c r="P77" i="17"/>
  <c r="O77" i="17"/>
  <c r="N77" i="17"/>
  <c r="M77" i="17"/>
  <c r="L77" i="17"/>
  <c r="S77" i="17" s="1"/>
  <c r="Y13" i="17"/>
  <c r="R13" i="17"/>
  <c r="Q13" i="17"/>
  <c r="P13" i="17"/>
  <c r="O13" i="17"/>
  <c r="N13" i="17"/>
  <c r="M13" i="17"/>
  <c r="L13" i="17"/>
  <c r="S13" i="17" s="1"/>
  <c r="Y26" i="17"/>
  <c r="R26" i="17"/>
  <c r="Q26" i="17"/>
  <c r="P26" i="17"/>
  <c r="O26" i="17"/>
  <c r="N26" i="17"/>
  <c r="M26" i="17"/>
  <c r="L26" i="17"/>
  <c r="Y45" i="17"/>
  <c r="R45" i="17"/>
  <c r="Q45" i="17"/>
  <c r="P45" i="17"/>
  <c r="O45" i="17"/>
  <c r="N45" i="17"/>
  <c r="M45" i="17"/>
  <c r="L45" i="17"/>
  <c r="S45" i="17" s="1"/>
  <c r="Y46" i="17"/>
  <c r="R46" i="17"/>
  <c r="Q46" i="17"/>
  <c r="P46" i="17"/>
  <c r="O46" i="17"/>
  <c r="N46" i="17"/>
  <c r="M46" i="17"/>
  <c r="L46" i="17"/>
  <c r="S46" i="17" s="1"/>
  <c r="Y76" i="17"/>
  <c r="R76" i="17"/>
  <c r="Q76" i="17"/>
  <c r="P76" i="17"/>
  <c r="O76" i="17"/>
  <c r="N76" i="17"/>
  <c r="M76" i="17"/>
  <c r="L76" i="17"/>
  <c r="S76" i="17" s="1"/>
  <c r="Y149" i="17"/>
  <c r="R149" i="17"/>
  <c r="Q149" i="17"/>
  <c r="P149" i="17"/>
  <c r="O149" i="17"/>
  <c r="N149" i="17"/>
  <c r="M149" i="17"/>
  <c r="L149" i="17"/>
  <c r="S149" i="17" s="1"/>
  <c r="Y141" i="17"/>
  <c r="R141" i="17"/>
  <c r="Q141" i="17"/>
  <c r="P141" i="17"/>
  <c r="O141" i="17"/>
  <c r="N141" i="17"/>
  <c r="M141" i="17"/>
  <c r="L141" i="17"/>
  <c r="S141" i="17" s="1"/>
  <c r="Y113" i="17"/>
  <c r="R113" i="17"/>
  <c r="Q113" i="17"/>
  <c r="P113" i="17"/>
  <c r="O113" i="17"/>
  <c r="N113" i="17"/>
  <c r="M113" i="17"/>
  <c r="L113" i="17"/>
  <c r="S113" i="17" s="1"/>
  <c r="Y106" i="17"/>
  <c r="R106" i="17"/>
  <c r="Q106" i="17"/>
  <c r="P106" i="17"/>
  <c r="O106" i="17"/>
  <c r="N106" i="17"/>
  <c r="M106" i="17"/>
  <c r="L106" i="17"/>
  <c r="S106" i="17" s="1"/>
  <c r="Y115" i="16"/>
  <c r="R115" i="16"/>
  <c r="Q115" i="16"/>
  <c r="P115" i="16"/>
  <c r="O115" i="16"/>
  <c r="N115" i="16"/>
  <c r="M115" i="16"/>
  <c r="L115" i="16"/>
  <c r="S115" i="16" s="1"/>
  <c r="Y120" i="16"/>
  <c r="R120" i="16"/>
  <c r="Q120" i="16"/>
  <c r="P120" i="16"/>
  <c r="O120" i="16"/>
  <c r="N120" i="16"/>
  <c r="M120" i="16"/>
  <c r="L120" i="16"/>
  <c r="S120" i="16" s="1"/>
  <c r="Y151" i="16"/>
  <c r="R151" i="16"/>
  <c r="Q151" i="16"/>
  <c r="P151" i="16"/>
  <c r="O151" i="16"/>
  <c r="N151" i="16"/>
  <c r="M151" i="16"/>
  <c r="L151" i="16"/>
  <c r="S151" i="16" s="1"/>
  <c r="Y94" i="16"/>
  <c r="R94" i="16"/>
  <c r="Q94" i="16"/>
  <c r="P94" i="16"/>
  <c r="O94" i="16"/>
  <c r="N94" i="16"/>
  <c r="M94" i="16"/>
  <c r="L94" i="16"/>
  <c r="S94" i="16" s="1"/>
  <c r="Y108" i="16"/>
  <c r="R108" i="16"/>
  <c r="Q108" i="16"/>
  <c r="P108" i="16"/>
  <c r="O108" i="16"/>
  <c r="N108" i="16"/>
  <c r="M108" i="16"/>
  <c r="L108" i="16"/>
  <c r="S108" i="16" s="1"/>
  <c r="Y118" i="16"/>
  <c r="R118" i="16"/>
  <c r="Q118" i="16"/>
  <c r="P118" i="16"/>
  <c r="O118" i="16"/>
  <c r="N118" i="16"/>
  <c r="M118" i="16"/>
  <c r="L118" i="16"/>
  <c r="S118" i="16" s="1"/>
  <c r="Y56" i="16"/>
  <c r="R56" i="16"/>
  <c r="Q56" i="16"/>
  <c r="P56" i="16"/>
  <c r="O56" i="16"/>
  <c r="N56" i="16"/>
  <c r="M56" i="16"/>
  <c r="L56" i="16"/>
  <c r="S56" i="16" s="1"/>
  <c r="Y81" i="16"/>
  <c r="R81" i="16"/>
  <c r="Q81" i="16"/>
  <c r="P81" i="16"/>
  <c r="O81" i="16"/>
  <c r="N81" i="16"/>
  <c r="M81" i="16"/>
  <c r="L81" i="16"/>
  <c r="S81" i="16" s="1"/>
  <c r="Y102" i="16"/>
  <c r="R102" i="16"/>
  <c r="Q102" i="16"/>
  <c r="P102" i="16"/>
  <c r="O102" i="16"/>
  <c r="N102" i="16"/>
  <c r="M102" i="16"/>
  <c r="L102" i="16"/>
  <c r="S102" i="16" s="1"/>
  <c r="Y112" i="16"/>
  <c r="R112" i="16"/>
  <c r="Q112" i="16"/>
  <c r="P112" i="16"/>
  <c r="O112" i="16"/>
  <c r="N112" i="16"/>
  <c r="M112" i="16"/>
  <c r="L112" i="16"/>
  <c r="S112" i="16" s="1"/>
  <c r="Y119" i="16"/>
  <c r="R119" i="16"/>
  <c r="Q119" i="16"/>
  <c r="P119" i="16"/>
  <c r="O119" i="16"/>
  <c r="N119" i="16"/>
  <c r="M119" i="16"/>
  <c r="L119" i="16"/>
  <c r="S119" i="16" s="1"/>
  <c r="Y150" i="16"/>
  <c r="R150" i="16"/>
  <c r="Q150" i="16"/>
  <c r="P150" i="16"/>
  <c r="O150" i="16"/>
  <c r="N150" i="16"/>
  <c r="M150" i="16"/>
  <c r="L150" i="16"/>
  <c r="S150" i="16" s="1"/>
  <c r="Y87" i="16"/>
  <c r="R87" i="16"/>
  <c r="Q87" i="16"/>
  <c r="P87" i="16"/>
  <c r="O87" i="16"/>
  <c r="N87" i="16"/>
  <c r="M87" i="16"/>
  <c r="L87" i="16"/>
  <c r="S87" i="16" s="1"/>
  <c r="Y105" i="16"/>
  <c r="R105" i="16"/>
  <c r="Q105" i="16"/>
  <c r="P105" i="16"/>
  <c r="O105" i="16"/>
  <c r="N105" i="16"/>
  <c r="M105" i="16"/>
  <c r="L105" i="16"/>
  <c r="S105" i="16" s="1"/>
  <c r="Y116" i="16"/>
  <c r="R116" i="16"/>
  <c r="Q116" i="16"/>
  <c r="P116" i="16"/>
  <c r="O116" i="16"/>
  <c r="N116" i="16"/>
  <c r="M116" i="16"/>
  <c r="L116" i="16"/>
  <c r="S116" i="16" s="1"/>
  <c r="Y48" i="16"/>
  <c r="R48" i="16"/>
  <c r="Q48" i="16"/>
  <c r="P48" i="16"/>
  <c r="O48" i="16"/>
  <c r="N48" i="16"/>
  <c r="M48" i="16"/>
  <c r="L48" i="16"/>
  <c r="S48" i="16" s="1"/>
  <c r="Y73" i="16"/>
  <c r="R73" i="16"/>
  <c r="Q73" i="16"/>
  <c r="P73" i="16"/>
  <c r="O73" i="16"/>
  <c r="N73" i="16"/>
  <c r="M73" i="16"/>
  <c r="L73" i="16"/>
  <c r="S73" i="16" s="1"/>
  <c r="Y97" i="16"/>
  <c r="R97" i="16"/>
  <c r="Q97" i="16"/>
  <c r="P97" i="16"/>
  <c r="O97" i="16"/>
  <c r="N97" i="16"/>
  <c r="M97" i="16"/>
  <c r="L97" i="16"/>
  <c r="S97" i="16" s="1"/>
  <c r="Y139" i="16"/>
  <c r="R139" i="16"/>
  <c r="Q139" i="16"/>
  <c r="P139" i="16"/>
  <c r="O139" i="16"/>
  <c r="N139" i="16"/>
  <c r="M139" i="16"/>
  <c r="L139" i="16"/>
  <c r="S139" i="16" s="1"/>
  <c r="Y144" i="16"/>
  <c r="R144" i="16"/>
  <c r="Q144" i="16"/>
  <c r="P144" i="16"/>
  <c r="O144" i="16"/>
  <c r="N144" i="16"/>
  <c r="M144" i="16"/>
  <c r="L144" i="16"/>
  <c r="S144" i="16" s="1"/>
  <c r="Y149" i="16"/>
  <c r="R149" i="16"/>
  <c r="Q149" i="16"/>
  <c r="P149" i="16"/>
  <c r="O149" i="16"/>
  <c r="N149" i="16"/>
  <c r="M149" i="16"/>
  <c r="L149" i="16"/>
  <c r="S149" i="16" s="1"/>
  <c r="Y78" i="16"/>
  <c r="R78" i="16"/>
  <c r="Q78" i="16"/>
  <c r="P78" i="16"/>
  <c r="O78" i="16"/>
  <c r="N78" i="16"/>
  <c r="M78" i="16"/>
  <c r="L78" i="16"/>
  <c r="S78" i="16" s="1"/>
  <c r="Y101" i="16"/>
  <c r="R101" i="16"/>
  <c r="Q101" i="16"/>
  <c r="P101" i="16"/>
  <c r="O101" i="16"/>
  <c r="N101" i="16"/>
  <c r="M101" i="16"/>
  <c r="L101" i="16"/>
  <c r="S101" i="16" s="1"/>
  <c r="Y113" i="16"/>
  <c r="R113" i="16"/>
  <c r="Q113" i="16"/>
  <c r="P113" i="16"/>
  <c r="O113" i="16"/>
  <c r="N113" i="16"/>
  <c r="M113" i="16"/>
  <c r="L113" i="16"/>
  <c r="S113" i="16" s="1"/>
  <c r="Y37" i="16"/>
  <c r="R37" i="16"/>
  <c r="Q37" i="16"/>
  <c r="P37" i="16"/>
  <c r="O37" i="16"/>
  <c r="N37" i="16"/>
  <c r="M37" i="16"/>
  <c r="L37" i="16"/>
  <c r="S37" i="16" s="1"/>
  <c r="Y65" i="16"/>
  <c r="R65" i="16"/>
  <c r="Q65" i="16"/>
  <c r="P65" i="16"/>
  <c r="O65" i="16"/>
  <c r="N65" i="16"/>
  <c r="M65" i="16"/>
  <c r="L65" i="16"/>
  <c r="S65" i="16" s="1"/>
  <c r="Y91" i="16"/>
  <c r="R91" i="16"/>
  <c r="Q91" i="16"/>
  <c r="P91" i="16"/>
  <c r="O91" i="16"/>
  <c r="N91" i="16"/>
  <c r="M91" i="16"/>
  <c r="L91" i="16"/>
  <c r="S91" i="16" s="1"/>
  <c r="Y137" i="16"/>
  <c r="R137" i="16"/>
  <c r="Q137" i="16"/>
  <c r="P137" i="16"/>
  <c r="O137" i="16"/>
  <c r="N137" i="16"/>
  <c r="M137" i="16"/>
  <c r="L137" i="16"/>
  <c r="S137" i="16" s="1"/>
  <c r="Y142" i="16"/>
  <c r="R142" i="16"/>
  <c r="Q142" i="16"/>
  <c r="P142" i="16"/>
  <c r="O142" i="16"/>
  <c r="N142" i="16"/>
  <c r="M142" i="16"/>
  <c r="L142" i="16"/>
  <c r="S142" i="16" s="1"/>
  <c r="Y148" i="16"/>
  <c r="R148" i="16"/>
  <c r="Q148" i="16"/>
  <c r="P148" i="16"/>
  <c r="O148" i="16"/>
  <c r="N148" i="16"/>
  <c r="M148" i="16"/>
  <c r="L148" i="16"/>
  <c r="S148" i="16" s="1"/>
  <c r="Y69" i="16"/>
  <c r="R69" i="16"/>
  <c r="Q69" i="16"/>
  <c r="P69" i="16"/>
  <c r="O69" i="16"/>
  <c r="N69" i="16"/>
  <c r="M69" i="16"/>
  <c r="L69" i="16"/>
  <c r="S69" i="16" s="1"/>
  <c r="Y95" i="16"/>
  <c r="R95" i="16"/>
  <c r="Q95" i="16"/>
  <c r="P95" i="16"/>
  <c r="O95" i="16"/>
  <c r="N95" i="16"/>
  <c r="M95" i="16"/>
  <c r="L95" i="16"/>
  <c r="S95" i="16" s="1"/>
  <c r="Y110" i="16"/>
  <c r="R110" i="16"/>
  <c r="Q110" i="16"/>
  <c r="P110" i="16"/>
  <c r="O110" i="16"/>
  <c r="N110" i="16"/>
  <c r="M110" i="16"/>
  <c r="L110" i="16"/>
  <c r="S110" i="16" s="1"/>
  <c r="Y58" i="16"/>
  <c r="R58" i="16"/>
  <c r="Q58" i="16"/>
  <c r="P58" i="16"/>
  <c r="O58" i="16"/>
  <c r="N58" i="16"/>
  <c r="M58" i="16"/>
  <c r="L58" i="16"/>
  <c r="S58" i="16" s="1"/>
  <c r="Y84" i="16"/>
  <c r="R84" i="16"/>
  <c r="Q84" i="16"/>
  <c r="P84" i="16"/>
  <c r="O84" i="16"/>
  <c r="N84" i="16"/>
  <c r="M84" i="16"/>
  <c r="L84" i="16"/>
  <c r="S84" i="16" s="1"/>
  <c r="Y133" i="16"/>
  <c r="R133" i="16"/>
  <c r="Q133" i="16"/>
  <c r="P133" i="16"/>
  <c r="O133" i="16"/>
  <c r="N133" i="16"/>
  <c r="M133" i="16"/>
  <c r="L133" i="16"/>
  <c r="S133" i="16" s="1"/>
  <c r="Y141" i="16"/>
  <c r="R141" i="16"/>
  <c r="Q141" i="16"/>
  <c r="P141" i="16"/>
  <c r="O141" i="16"/>
  <c r="N141" i="16"/>
  <c r="M141" i="16"/>
  <c r="L141" i="16"/>
  <c r="S141" i="16" s="1"/>
  <c r="Y147" i="16"/>
  <c r="R147" i="16"/>
  <c r="Q147" i="16"/>
  <c r="P147" i="16"/>
  <c r="O147" i="16"/>
  <c r="N147" i="16"/>
  <c r="M147" i="16"/>
  <c r="L147" i="16"/>
  <c r="S147" i="16" s="1"/>
  <c r="Y89" i="16"/>
  <c r="R89" i="16"/>
  <c r="Q89" i="16"/>
  <c r="P89" i="16"/>
  <c r="O89" i="16"/>
  <c r="N89" i="16"/>
  <c r="M89" i="16"/>
  <c r="L89" i="16"/>
  <c r="S89" i="16" s="1"/>
  <c r="Y138" i="16"/>
  <c r="R138" i="16"/>
  <c r="Q138" i="16"/>
  <c r="P138" i="16"/>
  <c r="O138" i="16"/>
  <c r="N138" i="16"/>
  <c r="M138" i="16"/>
  <c r="L138" i="16"/>
  <c r="S138" i="16" s="1"/>
  <c r="Y76" i="16"/>
  <c r="R76" i="16"/>
  <c r="Q76" i="16"/>
  <c r="P76" i="16"/>
  <c r="O76" i="16"/>
  <c r="N76" i="16"/>
  <c r="M76" i="16"/>
  <c r="L76" i="16"/>
  <c r="S76" i="16" s="1"/>
  <c r="Y140" i="16"/>
  <c r="R140" i="16"/>
  <c r="Q140" i="16"/>
  <c r="P140" i="16"/>
  <c r="O140" i="16"/>
  <c r="N140" i="16"/>
  <c r="M140" i="16"/>
  <c r="L140" i="16"/>
  <c r="S140" i="16" s="1"/>
  <c r="Y146" i="16"/>
  <c r="R146" i="16"/>
  <c r="Q146" i="16"/>
  <c r="P146" i="16"/>
  <c r="O146" i="16"/>
  <c r="N146" i="16"/>
  <c r="M146" i="16"/>
  <c r="L146" i="16"/>
  <c r="S146" i="16" s="1"/>
  <c r="Y135" i="16"/>
  <c r="R135" i="16"/>
  <c r="Q135" i="16"/>
  <c r="P135" i="16"/>
  <c r="O135" i="16"/>
  <c r="N135" i="16"/>
  <c r="M135" i="16"/>
  <c r="L135" i="16"/>
  <c r="S135" i="16" s="1"/>
  <c r="Y145" i="16"/>
  <c r="R145" i="16"/>
  <c r="Q145" i="16"/>
  <c r="P145" i="16"/>
  <c r="O145" i="16"/>
  <c r="N145" i="16"/>
  <c r="M145" i="16"/>
  <c r="L145" i="16"/>
  <c r="S145" i="16" s="1"/>
  <c r="Y96" i="16"/>
  <c r="R96" i="16"/>
  <c r="Q96" i="16"/>
  <c r="P96" i="16"/>
  <c r="O96" i="16"/>
  <c r="N96" i="16"/>
  <c r="M96" i="16"/>
  <c r="L96" i="16"/>
  <c r="S96" i="16" s="1"/>
  <c r="Y109" i="16"/>
  <c r="R109" i="16"/>
  <c r="Q109" i="16"/>
  <c r="P109" i="16"/>
  <c r="O109" i="16"/>
  <c r="N109" i="16"/>
  <c r="M109" i="16"/>
  <c r="L109" i="16"/>
  <c r="S109" i="16" s="1"/>
  <c r="Y143" i="16"/>
  <c r="R143" i="16"/>
  <c r="Q143" i="16"/>
  <c r="P143" i="16"/>
  <c r="O143" i="16"/>
  <c r="N143" i="16"/>
  <c r="M143" i="16"/>
  <c r="L143" i="16"/>
  <c r="S143" i="16" s="1"/>
  <c r="Y59" i="16"/>
  <c r="R59" i="16"/>
  <c r="Q59" i="16"/>
  <c r="P59" i="16"/>
  <c r="O59" i="16"/>
  <c r="N59" i="16"/>
  <c r="M59" i="16"/>
  <c r="L59" i="16"/>
  <c r="S59" i="16" s="1"/>
  <c r="Y82" i="16"/>
  <c r="R82" i="16"/>
  <c r="Q82" i="16"/>
  <c r="P82" i="16"/>
  <c r="O82" i="16"/>
  <c r="N82" i="16"/>
  <c r="M82" i="16"/>
  <c r="L82" i="16"/>
  <c r="S82" i="16" s="1"/>
  <c r="Y103" i="16"/>
  <c r="R103" i="16"/>
  <c r="Q103" i="16"/>
  <c r="P103" i="16"/>
  <c r="O103" i="16"/>
  <c r="N103" i="16"/>
  <c r="M103" i="16"/>
  <c r="L103" i="16"/>
  <c r="S103" i="16" s="1"/>
  <c r="Y24" i="16"/>
  <c r="R24" i="16"/>
  <c r="Q24" i="16"/>
  <c r="P24" i="16"/>
  <c r="O24" i="16"/>
  <c r="N24" i="16"/>
  <c r="M24" i="16"/>
  <c r="L24" i="16"/>
  <c r="S24" i="16" s="1"/>
  <c r="Y46" i="16"/>
  <c r="R46" i="16"/>
  <c r="Q46" i="16"/>
  <c r="P46" i="16"/>
  <c r="O46" i="16"/>
  <c r="N46" i="16"/>
  <c r="M46" i="16"/>
  <c r="L46" i="16"/>
  <c r="S46" i="16" s="1"/>
  <c r="Y70" i="16"/>
  <c r="R70" i="16"/>
  <c r="Q70" i="16"/>
  <c r="P70" i="16"/>
  <c r="O70" i="16"/>
  <c r="N70" i="16"/>
  <c r="M70" i="16"/>
  <c r="L70" i="16"/>
  <c r="S70" i="16" s="1"/>
  <c r="Y88" i="16"/>
  <c r="R88" i="16"/>
  <c r="Q88" i="16"/>
  <c r="P88" i="16"/>
  <c r="O88" i="16"/>
  <c r="N88" i="16"/>
  <c r="M88" i="16"/>
  <c r="L88" i="16"/>
  <c r="S88" i="16" s="1"/>
  <c r="Y106" i="16"/>
  <c r="R106" i="16"/>
  <c r="Q106" i="16"/>
  <c r="P106" i="16"/>
  <c r="O106" i="16"/>
  <c r="N106" i="16"/>
  <c r="M106" i="16"/>
  <c r="L106" i="16"/>
  <c r="S106" i="16" s="1"/>
  <c r="Y117" i="16"/>
  <c r="R117" i="16"/>
  <c r="Q117" i="16"/>
  <c r="P117" i="16"/>
  <c r="O117" i="16"/>
  <c r="N117" i="16"/>
  <c r="M117" i="16"/>
  <c r="L117" i="16"/>
  <c r="S117" i="16" s="1"/>
  <c r="Y49" i="16"/>
  <c r="R49" i="16"/>
  <c r="Q49" i="16"/>
  <c r="P49" i="16"/>
  <c r="O49" i="16"/>
  <c r="N49" i="16"/>
  <c r="M49" i="16"/>
  <c r="L49" i="16"/>
  <c r="S49" i="16" s="1"/>
  <c r="Y74" i="16"/>
  <c r="R74" i="16"/>
  <c r="Q74" i="16"/>
  <c r="P74" i="16"/>
  <c r="O74" i="16"/>
  <c r="N74" i="16"/>
  <c r="M74" i="16"/>
  <c r="L74" i="16"/>
  <c r="S74" i="16" s="1"/>
  <c r="Y98" i="16"/>
  <c r="R98" i="16"/>
  <c r="Q98" i="16"/>
  <c r="P98" i="16"/>
  <c r="O98" i="16"/>
  <c r="N98" i="16"/>
  <c r="M98" i="16"/>
  <c r="L98" i="16"/>
  <c r="S98" i="16" s="1"/>
  <c r="Y17" i="16"/>
  <c r="R17" i="16"/>
  <c r="Q17" i="16"/>
  <c r="P17" i="16"/>
  <c r="O17" i="16"/>
  <c r="N17" i="16"/>
  <c r="M17" i="16"/>
  <c r="L17" i="16"/>
  <c r="S17" i="16" s="1"/>
  <c r="Y35" i="16"/>
  <c r="R35" i="16"/>
  <c r="Q35" i="16"/>
  <c r="P35" i="16"/>
  <c r="O35" i="16"/>
  <c r="N35" i="16"/>
  <c r="M35" i="16"/>
  <c r="L35" i="16"/>
  <c r="S35" i="16" s="1"/>
  <c r="Y63" i="16"/>
  <c r="R63" i="16"/>
  <c r="Q63" i="16"/>
  <c r="P63" i="16"/>
  <c r="O63" i="16"/>
  <c r="N63" i="16"/>
  <c r="M63" i="16"/>
  <c r="L63" i="16"/>
  <c r="S63" i="16" s="1"/>
  <c r="Y80" i="16"/>
  <c r="R80" i="16"/>
  <c r="Q80" i="16"/>
  <c r="P80" i="16"/>
  <c r="O80" i="16"/>
  <c r="N80" i="16"/>
  <c r="M80" i="16"/>
  <c r="L80" i="16"/>
  <c r="S80" i="16" s="1"/>
  <c r="Y104" i="16"/>
  <c r="R104" i="16"/>
  <c r="Q104" i="16"/>
  <c r="P104" i="16"/>
  <c r="O104" i="16"/>
  <c r="N104" i="16"/>
  <c r="M104" i="16"/>
  <c r="L104" i="16"/>
  <c r="S104" i="16" s="1"/>
  <c r="Y114" i="16"/>
  <c r="R114" i="16"/>
  <c r="Q114" i="16"/>
  <c r="P114" i="16"/>
  <c r="O114" i="16"/>
  <c r="N114" i="16"/>
  <c r="M114" i="16"/>
  <c r="L114" i="16"/>
  <c r="S114" i="16" s="1"/>
  <c r="Y39" i="16"/>
  <c r="R39" i="16"/>
  <c r="Q39" i="16"/>
  <c r="P39" i="16"/>
  <c r="O39" i="16"/>
  <c r="N39" i="16"/>
  <c r="M39" i="16"/>
  <c r="L39" i="16"/>
  <c r="S39" i="16" s="1"/>
  <c r="Y66" i="16"/>
  <c r="R66" i="16"/>
  <c r="Q66" i="16"/>
  <c r="P66" i="16"/>
  <c r="O66" i="16"/>
  <c r="N66" i="16"/>
  <c r="M66" i="16"/>
  <c r="L66" i="16"/>
  <c r="S66" i="16" s="1"/>
  <c r="Y90" i="16"/>
  <c r="R90" i="16"/>
  <c r="Q90" i="16"/>
  <c r="P90" i="16"/>
  <c r="O90" i="16"/>
  <c r="N90" i="16"/>
  <c r="M90" i="16"/>
  <c r="L90" i="16"/>
  <c r="S90" i="16" s="1"/>
  <c r="Y28" i="16"/>
  <c r="R28" i="16"/>
  <c r="Q28" i="16"/>
  <c r="P28" i="16"/>
  <c r="O28" i="16"/>
  <c r="N28" i="16"/>
  <c r="M28" i="16"/>
  <c r="L28" i="16"/>
  <c r="S28" i="16" s="1"/>
  <c r="Y54" i="16"/>
  <c r="R54" i="16"/>
  <c r="Q54" i="16"/>
  <c r="P54" i="16"/>
  <c r="O54" i="16"/>
  <c r="N54" i="16"/>
  <c r="M54" i="16"/>
  <c r="L54" i="16"/>
  <c r="S54" i="16" s="1"/>
  <c r="Y72" i="16"/>
  <c r="R72" i="16"/>
  <c r="Q72" i="16"/>
  <c r="P72" i="16"/>
  <c r="O72" i="16"/>
  <c r="N72" i="16"/>
  <c r="M72" i="16"/>
  <c r="L72" i="16"/>
  <c r="S72" i="16" s="1"/>
  <c r="Y99" i="16"/>
  <c r="R99" i="16"/>
  <c r="Q99" i="16"/>
  <c r="P99" i="16"/>
  <c r="O99" i="16"/>
  <c r="N99" i="16"/>
  <c r="M99" i="16"/>
  <c r="L99" i="16"/>
  <c r="S99" i="16" s="1"/>
  <c r="Y111" i="16"/>
  <c r="R111" i="16"/>
  <c r="Q111" i="16"/>
  <c r="P111" i="16"/>
  <c r="O111" i="16"/>
  <c r="N111" i="16"/>
  <c r="M111" i="16"/>
  <c r="L111" i="16"/>
  <c r="S111" i="16" s="1"/>
  <c r="Y57" i="16"/>
  <c r="R57" i="16"/>
  <c r="Q57" i="16"/>
  <c r="P57" i="16"/>
  <c r="O57" i="16"/>
  <c r="N57" i="16"/>
  <c r="M57" i="16"/>
  <c r="L57" i="16"/>
  <c r="S57" i="16" s="1"/>
  <c r="Y83" i="16"/>
  <c r="R83" i="16"/>
  <c r="Q83" i="16"/>
  <c r="P83" i="16"/>
  <c r="O83" i="16"/>
  <c r="N83" i="16"/>
  <c r="M83" i="16"/>
  <c r="L83" i="16"/>
  <c r="S83" i="16" s="1"/>
  <c r="Y44" i="16"/>
  <c r="R44" i="16"/>
  <c r="Q44" i="16"/>
  <c r="P44" i="16"/>
  <c r="O44" i="16"/>
  <c r="N44" i="16"/>
  <c r="M44" i="16"/>
  <c r="L44" i="16"/>
  <c r="S44" i="16" s="1"/>
  <c r="Y92" i="16"/>
  <c r="R92" i="16"/>
  <c r="Q92" i="16"/>
  <c r="P92" i="16"/>
  <c r="O92" i="16"/>
  <c r="N92" i="16"/>
  <c r="M92" i="16"/>
  <c r="L92" i="16"/>
  <c r="S92" i="16" s="1"/>
  <c r="Y107" i="16"/>
  <c r="R107" i="16"/>
  <c r="Q107" i="16"/>
  <c r="P107" i="16"/>
  <c r="O107" i="16"/>
  <c r="N107" i="16"/>
  <c r="M107" i="16"/>
  <c r="L107" i="16"/>
  <c r="S107" i="16" s="1"/>
  <c r="Y75" i="16"/>
  <c r="R75" i="16"/>
  <c r="Q75" i="16"/>
  <c r="P75" i="16"/>
  <c r="O75" i="16"/>
  <c r="N75" i="16"/>
  <c r="M75" i="16"/>
  <c r="L75" i="16"/>
  <c r="S75" i="16" s="1"/>
  <c r="Y136" i="16"/>
  <c r="R136" i="16"/>
  <c r="Q136" i="16"/>
  <c r="P136" i="16"/>
  <c r="O136" i="16"/>
  <c r="N136" i="16"/>
  <c r="M136" i="16"/>
  <c r="L136" i="16"/>
  <c r="S136" i="16" s="1"/>
  <c r="Y62" i="16"/>
  <c r="R62" i="16"/>
  <c r="Q62" i="16"/>
  <c r="P62" i="16"/>
  <c r="O62" i="16"/>
  <c r="N62" i="16"/>
  <c r="M62" i="16"/>
  <c r="L62" i="16"/>
  <c r="S62" i="16" s="1"/>
  <c r="Y85" i="16"/>
  <c r="R85" i="16"/>
  <c r="Q85" i="16"/>
  <c r="P85" i="16"/>
  <c r="O85" i="16"/>
  <c r="N85" i="16"/>
  <c r="M85" i="16"/>
  <c r="L85" i="16"/>
  <c r="S85" i="16" s="1"/>
  <c r="Y134" i="16"/>
  <c r="R134" i="16"/>
  <c r="Q134" i="16"/>
  <c r="P134" i="16"/>
  <c r="O134" i="16"/>
  <c r="N134" i="16"/>
  <c r="M134" i="16"/>
  <c r="L134" i="16"/>
  <c r="S134" i="16" s="1"/>
  <c r="Y27" i="16"/>
  <c r="R27" i="16"/>
  <c r="Q27" i="16"/>
  <c r="P27" i="16"/>
  <c r="O27" i="16"/>
  <c r="N27" i="16"/>
  <c r="M27" i="16"/>
  <c r="L27" i="16"/>
  <c r="S27" i="16" s="1"/>
  <c r="Y50" i="16"/>
  <c r="R50" i="16"/>
  <c r="Q50" i="16"/>
  <c r="P50" i="16"/>
  <c r="O50" i="16"/>
  <c r="N50" i="16"/>
  <c r="M50" i="16"/>
  <c r="L50" i="16"/>
  <c r="S50" i="16" s="1"/>
  <c r="Y71" i="16"/>
  <c r="R71" i="16"/>
  <c r="Q71" i="16"/>
  <c r="P71" i="16"/>
  <c r="O71" i="16"/>
  <c r="N71" i="16"/>
  <c r="M71" i="16"/>
  <c r="L71" i="16"/>
  <c r="S71" i="16" s="1"/>
  <c r="Y11" i="16"/>
  <c r="R11" i="16"/>
  <c r="Q11" i="16"/>
  <c r="P11" i="16"/>
  <c r="O11" i="16"/>
  <c r="N11" i="16"/>
  <c r="M11" i="16"/>
  <c r="L11" i="16"/>
  <c r="S11" i="16" s="1"/>
  <c r="Y19" i="16"/>
  <c r="R19" i="16"/>
  <c r="Q19" i="16"/>
  <c r="P19" i="16"/>
  <c r="O19" i="16"/>
  <c r="N19" i="16"/>
  <c r="M19" i="16"/>
  <c r="L19" i="16"/>
  <c r="S19" i="16" s="1"/>
  <c r="Y38" i="16"/>
  <c r="R38" i="16"/>
  <c r="Q38" i="16"/>
  <c r="P38" i="16"/>
  <c r="O38" i="16"/>
  <c r="N38" i="16"/>
  <c r="M38" i="16"/>
  <c r="L38" i="16"/>
  <c r="S38" i="16" s="1"/>
  <c r="Y52" i="16"/>
  <c r="R52" i="16"/>
  <c r="Q52" i="16"/>
  <c r="P52" i="16"/>
  <c r="O52" i="16"/>
  <c r="N52" i="16"/>
  <c r="M52" i="16"/>
  <c r="L52" i="16"/>
  <c r="S52" i="16" s="1"/>
  <c r="Y77" i="16"/>
  <c r="R77" i="16"/>
  <c r="Q77" i="16"/>
  <c r="P77" i="16"/>
  <c r="O77" i="16"/>
  <c r="N77" i="16"/>
  <c r="M77" i="16"/>
  <c r="L77" i="16"/>
  <c r="S77" i="16" s="1"/>
  <c r="Y100" i="16"/>
  <c r="R100" i="16"/>
  <c r="Q100" i="16"/>
  <c r="P100" i="16"/>
  <c r="O100" i="16"/>
  <c r="N100" i="16"/>
  <c r="M100" i="16"/>
  <c r="L100" i="16"/>
  <c r="S100" i="16" s="1"/>
  <c r="Y18" i="16"/>
  <c r="R18" i="16"/>
  <c r="Q18" i="16"/>
  <c r="P18" i="16"/>
  <c r="O18" i="16"/>
  <c r="N18" i="16"/>
  <c r="M18" i="16"/>
  <c r="L18" i="16"/>
  <c r="S18" i="16" s="1"/>
  <c r="R40" i="16"/>
  <c r="Q40" i="16"/>
  <c r="P40" i="16"/>
  <c r="O40" i="16"/>
  <c r="N40" i="16"/>
  <c r="M40" i="16"/>
  <c r="L40" i="16"/>
  <c r="S40" i="16" s="1"/>
  <c r="R64" i="16"/>
  <c r="Q64" i="16"/>
  <c r="P64" i="16"/>
  <c r="O64" i="16"/>
  <c r="N64" i="16"/>
  <c r="M64" i="16"/>
  <c r="L64" i="16"/>
  <c r="S64" i="16" s="1"/>
  <c r="Y15" i="16"/>
  <c r="R15" i="16"/>
  <c r="Q15" i="16"/>
  <c r="P15" i="16"/>
  <c r="O15" i="16"/>
  <c r="N15" i="16"/>
  <c r="M15" i="16"/>
  <c r="L15" i="16"/>
  <c r="S15" i="16" s="1"/>
  <c r="R30" i="16"/>
  <c r="Q30" i="16"/>
  <c r="P30" i="16"/>
  <c r="O30" i="16"/>
  <c r="N30" i="16"/>
  <c r="M30" i="16"/>
  <c r="L30" i="16"/>
  <c r="S30" i="16" s="1"/>
  <c r="Y42" i="16"/>
  <c r="R42" i="16"/>
  <c r="Q42" i="16"/>
  <c r="P42" i="16"/>
  <c r="O42" i="16"/>
  <c r="N42" i="16"/>
  <c r="M42" i="16"/>
  <c r="L42" i="16"/>
  <c r="S42" i="16" s="1"/>
  <c r="Y68" i="16"/>
  <c r="R68" i="16"/>
  <c r="Q68" i="16"/>
  <c r="P68" i="16"/>
  <c r="O68" i="16"/>
  <c r="N68" i="16"/>
  <c r="M68" i="16"/>
  <c r="L68" i="16"/>
  <c r="S68" i="16" s="1"/>
  <c r="Y93" i="16"/>
  <c r="R93" i="16"/>
  <c r="Q93" i="16"/>
  <c r="P93" i="16"/>
  <c r="O93" i="16"/>
  <c r="N93" i="16"/>
  <c r="M93" i="16"/>
  <c r="L93" i="16"/>
  <c r="S93" i="16" s="1"/>
  <c r="Y32" i="16"/>
  <c r="R32" i="16"/>
  <c r="Q32" i="16"/>
  <c r="P32" i="16"/>
  <c r="O32" i="16"/>
  <c r="N32" i="16"/>
  <c r="M32" i="16"/>
  <c r="L32" i="16"/>
  <c r="S32" i="16" s="1"/>
  <c r="R55" i="16"/>
  <c r="Q55" i="16"/>
  <c r="P55" i="16"/>
  <c r="O55" i="16"/>
  <c r="N55" i="16"/>
  <c r="M55" i="16"/>
  <c r="L55" i="16"/>
  <c r="S55" i="16" s="1"/>
  <c r="Y23" i="16"/>
  <c r="R23" i="16"/>
  <c r="Q23" i="16"/>
  <c r="P23" i="16"/>
  <c r="O23" i="16"/>
  <c r="N23" i="16"/>
  <c r="M23" i="16"/>
  <c r="L23" i="16"/>
  <c r="S23" i="16" s="1"/>
  <c r="Y61" i="16"/>
  <c r="R61" i="16"/>
  <c r="Q61" i="16"/>
  <c r="P61" i="16"/>
  <c r="O61" i="16"/>
  <c r="N61" i="16"/>
  <c r="M61" i="16"/>
  <c r="L61" i="16"/>
  <c r="S61" i="16" s="1"/>
  <c r="Y86" i="16"/>
  <c r="R86" i="16"/>
  <c r="Q86" i="16"/>
  <c r="P86" i="16"/>
  <c r="O86" i="16"/>
  <c r="N86" i="16"/>
  <c r="M86" i="16"/>
  <c r="L86" i="16"/>
  <c r="S86" i="16" s="1"/>
  <c r="Y47" i="16"/>
  <c r="R47" i="16"/>
  <c r="Q47" i="16"/>
  <c r="P47" i="16"/>
  <c r="O47" i="16"/>
  <c r="N47" i="16"/>
  <c r="M47" i="16"/>
  <c r="L47" i="16"/>
  <c r="S47" i="16" s="1"/>
  <c r="Y79" i="16"/>
  <c r="R79" i="16"/>
  <c r="Q79" i="16"/>
  <c r="P79" i="16"/>
  <c r="O79" i="16"/>
  <c r="N79" i="16"/>
  <c r="M79" i="16"/>
  <c r="L79" i="16"/>
  <c r="S79" i="16" s="1"/>
  <c r="Y31" i="16"/>
  <c r="R31" i="16"/>
  <c r="Q31" i="16"/>
  <c r="P31" i="16"/>
  <c r="O31" i="16"/>
  <c r="N31" i="16"/>
  <c r="M31" i="16"/>
  <c r="L31" i="16"/>
  <c r="S31" i="16" s="1"/>
  <c r="Y53" i="16"/>
  <c r="R53" i="16"/>
  <c r="Q53" i="16"/>
  <c r="P53" i="16"/>
  <c r="O53" i="16"/>
  <c r="N53" i="16"/>
  <c r="M53" i="16"/>
  <c r="L53" i="16"/>
  <c r="S53" i="16" s="1"/>
  <c r="Y132" i="16"/>
  <c r="R132" i="16"/>
  <c r="Q132" i="16"/>
  <c r="P132" i="16"/>
  <c r="O132" i="16"/>
  <c r="N132" i="16"/>
  <c r="M132" i="16"/>
  <c r="L132" i="16"/>
  <c r="S132" i="16" s="1"/>
  <c r="Y12" i="16"/>
  <c r="R12" i="16"/>
  <c r="Q12" i="16"/>
  <c r="P12" i="16"/>
  <c r="O12" i="16"/>
  <c r="N12" i="16"/>
  <c r="M12" i="16"/>
  <c r="L12" i="16"/>
  <c r="S12" i="16" s="1"/>
  <c r="Y21" i="16"/>
  <c r="R21" i="16"/>
  <c r="Q21" i="16"/>
  <c r="P21" i="16"/>
  <c r="O21" i="16"/>
  <c r="N21" i="16"/>
  <c r="M21" i="16"/>
  <c r="L21" i="16"/>
  <c r="S21" i="16" s="1"/>
  <c r="Y41" i="16"/>
  <c r="R41" i="16"/>
  <c r="Q41" i="16"/>
  <c r="P41" i="16"/>
  <c r="O41" i="16"/>
  <c r="N41" i="16"/>
  <c r="M41" i="16"/>
  <c r="L41" i="16"/>
  <c r="S41" i="16" s="1"/>
  <c r="Y122" i="16"/>
  <c r="R122" i="16"/>
  <c r="Q122" i="16"/>
  <c r="P122" i="16"/>
  <c r="O122" i="16"/>
  <c r="N122" i="16"/>
  <c r="M122" i="16"/>
  <c r="L122" i="16"/>
  <c r="S122" i="16" s="1"/>
  <c r="Y128" i="16"/>
  <c r="R128" i="16"/>
  <c r="Q128" i="16"/>
  <c r="P128" i="16"/>
  <c r="O128" i="16"/>
  <c r="N128" i="16"/>
  <c r="M128" i="16"/>
  <c r="L128" i="16"/>
  <c r="S128" i="16" s="1"/>
  <c r="Y22" i="16"/>
  <c r="R22" i="16"/>
  <c r="Q22" i="16"/>
  <c r="P22" i="16"/>
  <c r="O22" i="16"/>
  <c r="N22" i="16"/>
  <c r="M22" i="16"/>
  <c r="L22" i="16"/>
  <c r="S22" i="16" s="1"/>
  <c r="Y43" i="16"/>
  <c r="R43" i="16"/>
  <c r="Q43" i="16"/>
  <c r="P43" i="16"/>
  <c r="O43" i="16"/>
  <c r="N43" i="16"/>
  <c r="M43" i="16"/>
  <c r="L43" i="16"/>
  <c r="S43" i="16" s="1"/>
  <c r="Y67" i="16"/>
  <c r="R67" i="16"/>
  <c r="Q67" i="16"/>
  <c r="P67" i="16"/>
  <c r="O67" i="16"/>
  <c r="N67" i="16"/>
  <c r="M67" i="16"/>
  <c r="L67" i="16"/>
  <c r="S67" i="16" s="1"/>
  <c r="Y16" i="16"/>
  <c r="R16" i="16"/>
  <c r="Q16" i="16"/>
  <c r="P16" i="16"/>
  <c r="O16" i="16"/>
  <c r="N16" i="16"/>
  <c r="M16" i="16"/>
  <c r="L16" i="16"/>
  <c r="S16" i="16" s="1"/>
  <c r="Y33" i="16"/>
  <c r="R33" i="16"/>
  <c r="Q33" i="16"/>
  <c r="P33" i="16"/>
  <c r="O33" i="16"/>
  <c r="N33" i="16"/>
  <c r="M33" i="16"/>
  <c r="L33" i="16"/>
  <c r="S33" i="16" s="1"/>
  <c r="Y13" i="16"/>
  <c r="R13" i="16"/>
  <c r="Q13" i="16"/>
  <c r="P13" i="16"/>
  <c r="O13" i="16"/>
  <c r="N13" i="16"/>
  <c r="M13" i="16"/>
  <c r="L13" i="16"/>
  <c r="S13" i="16" s="1"/>
  <c r="Y34" i="16"/>
  <c r="R34" i="16"/>
  <c r="Q34" i="16"/>
  <c r="P34" i="16"/>
  <c r="O34" i="16"/>
  <c r="N34" i="16"/>
  <c r="M34" i="16"/>
  <c r="L34" i="16"/>
  <c r="Y60" i="16"/>
  <c r="R60" i="16"/>
  <c r="Q60" i="16"/>
  <c r="P60" i="16"/>
  <c r="O60" i="16"/>
  <c r="N60" i="16"/>
  <c r="M60" i="16"/>
  <c r="L60" i="16"/>
  <c r="S60" i="16" s="1"/>
  <c r="R25" i="16"/>
  <c r="Q25" i="16"/>
  <c r="P25" i="16"/>
  <c r="O25" i="16"/>
  <c r="N25" i="16"/>
  <c r="M25" i="16"/>
  <c r="L25" i="16"/>
  <c r="S25" i="16" s="1"/>
  <c r="Y51" i="16"/>
  <c r="R51" i="16"/>
  <c r="Q51" i="16"/>
  <c r="P51" i="16"/>
  <c r="O51" i="16"/>
  <c r="N51" i="16"/>
  <c r="M51" i="16"/>
  <c r="L51" i="16"/>
  <c r="S51" i="16" s="1"/>
  <c r="Y14" i="16"/>
  <c r="R14" i="16"/>
  <c r="Q14" i="16"/>
  <c r="P14" i="16"/>
  <c r="O14" i="16"/>
  <c r="N14" i="16"/>
  <c r="M14" i="16"/>
  <c r="L14" i="16"/>
  <c r="S14" i="16" s="1"/>
  <c r="Y26" i="16"/>
  <c r="R26" i="16"/>
  <c r="Q26" i="16"/>
  <c r="P26" i="16"/>
  <c r="O26" i="16"/>
  <c r="N26" i="16"/>
  <c r="M26" i="16"/>
  <c r="L26" i="16"/>
  <c r="Y45" i="16"/>
  <c r="R45" i="16"/>
  <c r="Q45" i="16"/>
  <c r="P45" i="16"/>
  <c r="O45" i="16"/>
  <c r="N45" i="16"/>
  <c r="M45" i="16"/>
  <c r="L45" i="16"/>
  <c r="S45" i="16" s="1"/>
  <c r="Y124" i="16"/>
  <c r="R124" i="16"/>
  <c r="Q124" i="16"/>
  <c r="P124" i="16"/>
  <c r="O124" i="16"/>
  <c r="N124" i="16"/>
  <c r="M124" i="16"/>
  <c r="L124" i="16"/>
  <c r="S124" i="16" s="1"/>
  <c r="Y130" i="16"/>
  <c r="R130" i="16"/>
  <c r="Q130" i="16"/>
  <c r="P130" i="16"/>
  <c r="O130" i="16"/>
  <c r="N130" i="16"/>
  <c r="M130" i="16"/>
  <c r="L130" i="16"/>
  <c r="S130" i="16" s="1"/>
  <c r="Y121" i="16"/>
  <c r="R121" i="16"/>
  <c r="Q121" i="16"/>
  <c r="P121" i="16"/>
  <c r="O121" i="16"/>
  <c r="N121" i="16"/>
  <c r="M121" i="16"/>
  <c r="L121" i="16"/>
  <c r="S121" i="16" s="1"/>
  <c r="R20" i="16"/>
  <c r="Q20" i="16"/>
  <c r="P20" i="16"/>
  <c r="O20" i="16"/>
  <c r="N20" i="16"/>
  <c r="M20" i="16"/>
  <c r="L20" i="16"/>
  <c r="S20" i="16" s="1"/>
  <c r="Y36" i="16"/>
  <c r="R36" i="16"/>
  <c r="Q36" i="16"/>
  <c r="P36" i="16"/>
  <c r="O36" i="16"/>
  <c r="N36" i="16"/>
  <c r="M36" i="16"/>
  <c r="L36" i="16"/>
  <c r="S36" i="16" s="1"/>
  <c r="Y127" i="16"/>
  <c r="R127" i="16"/>
  <c r="Q127" i="16"/>
  <c r="P127" i="16"/>
  <c r="O127" i="16"/>
  <c r="N127" i="16"/>
  <c r="M127" i="16"/>
  <c r="L127" i="16"/>
  <c r="S127" i="16" s="1"/>
  <c r="Y29" i="16"/>
  <c r="R29" i="16"/>
  <c r="Q29" i="16"/>
  <c r="P29" i="16"/>
  <c r="O29" i="16"/>
  <c r="N29" i="16"/>
  <c r="M29" i="16"/>
  <c r="L29" i="16"/>
  <c r="Y126" i="16"/>
  <c r="R126" i="16"/>
  <c r="Q126" i="16"/>
  <c r="P126" i="16"/>
  <c r="O126" i="16"/>
  <c r="N126" i="16"/>
  <c r="M126" i="16"/>
  <c r="L126" i="16"/>
  <c r="S126" i="16" s="1"/>
  <c r="Y131" i="16"/>
  <c r="R131" i="16"/>
  <c r="Q131" i="16"/>
  <c r="P131" i="16"/>
  <c r="O131" i="16"/>
  <c r="N131" i="16"/>
  <c r="M131" i="16"/>
  <c r="L131" i="16"/>
  <c r="S131" i="16" s="1"/>
  <c r="Y123" i="16"/>
  <c r="R123" i="16"/>
  <c r="Q123" i="16"/>
  <c r="P123" i="16"/>
  <c r="O123" i="16"/>
  <c r="N123" i="16"/>
  <c r="M123" i="16"/>
  <c r="L123" i="16"/>
  <c r="S123" i="16" s="1"/>
  <c r="Y129" i="16"/>
  <c r="R129" i="16"/>
  <c r="Q129" i="16"/>
  <c r="P129" i="16"/>
  <c r="O129" i="16"/>
  <c r="N129" i="16"/>
  <c r="M129" i="16"/>
  <c r="L129" i="16"/>
  <c r="S129" i="16" s="1"/>
  <c r="Y125" i="16"/>
  <c r="R125" i="16"/>
  <c r="Q125" i="16"/>
  <c r="P125" i="16"/>
  <c r="O125" i="16"/>
  <c r="N125" i="16"/>
  <c r="M125" i="16"/>
  <c r="L125" i="16"/>
  <c r="S125" i="16" s="1"/>
  <c r="N123" i="4"/>
  <c r="O123" i="4"/>
  <c r="P123" i="4"/>
  <c r="Q123" i="4"/>
  <c r="R123" i="4"/>
  <c r="N26" i="4"/>
  <c r="O26" i="4"/>
  <c r="P26" i="4"/>
  <c r="Q26" i="4"/>
  <c r="R26" i="4"/>
  <c r="N18" i="4"/>
  <c r="O18" i="4"/>
  <c r="P18" i="4"/>
  <c r="Q18" i="4"/>
  <c r="R18" i="4"/>
  <c r="N23" i="4"/>
  <c r="O23" i="4"/>
  <c r="P23" i="4"/>
  <c r="Q23" i="4"/>
  <c r="R23" i="4"/>
  <c r="N25" i="4"/>
  <c r="O25" i="4"/>
  <c r="P25" i="4"/>
  <c r="Q25" i="4"/>
  <c r="R25" i="4"/>
  <c r="N22" i="4"/>
  <c r="O22" i="4"/>
  <c r="P22" i="4"/>
  <c r="Q22" i="4"/>
  <c r="R22" i="4"/>
  <c r="N29" i="4"/>
  <c r="O29" i="4"/>
  <c r="P29" i="4"/>
  <c r="Q29" i="4"/>
  <c r="R29" i="4"/>
  <c r="N24" i="4"/>
  <c r="O24" i="4"/>
  <c r="P24" i="4"/>
  <c r="Q24" i="4"/>
  <c r="R24" i="4"/>
  <c r="N30" i="4"/>
  <c r="O30" i="4"/>
  <c r="P30" i="4"/>
  <c r="Q30" i="4"/>
  <c r="R30" i="4"/>
  <c r="N27" i="4"/>
  <c r="O27" i="4"/>
  <c r="P27" i="4"/>
  <c r="Q27" i="4"/>
  <c r="R27" i="4"/>
  <c r="N33" i="4"/>
  <c r="O33" i="4"/>
  <c r="P33" i="4"/>
  <c r="Q33" i="4"/>
  <c r="R33" i="4"/>
  <c r="N31" i="4"/>
  <c r="O31" i="4"/>
  <c r="P31" i="4"/>
  <c r="Q31" i="4"/>
  <c r="R31" i="4"/>
  <c r="N36" i="4"/>
  <c r="O36" i="4"/>
  <c r="P36" i="4"/>
  <c r="Q36" i="4"/>
  <c r="R36" i="4"/>
  <c r="N38" i="4"/>
  <c r="O38" i="4"/>
  <c r="P38" i="4"/>
  <c r="Q38" i="4"/>
  <c r="R38" i="4"/>
  <c r="N41" i="4"/>
  <c r="O41" i="4"/>
  <c r="P41" i="4"/>
  <c r="Q41" i="4"/>
  <c r="R41" i="4"/>
  <c r="N28" i="4"/>
  <c r="O28" i="4"/>
  <c r="P28" i="4"/>
  <c r="Q28" i="4"/>
  <c r="R28" i="4"/>
  <c r="N32" i="4"/>
  <c r="O32" i="4"/>
  <c r="P32" i="4"/>
  <c r="Q32" i="4"/>
  <c r="R32" i="4"/>
  <c r="N45" i="4"/>
  <c r="O45" i="4"/>
  <c r="P45" i="4"/>
  <c r="Q45" i="4"/>
  <c r="R45" i="4"/>
  <c r="N34" i="4"/>
  <c r="O34" i="4"/>
  <c r="P34" i="4"/>
  <c r="Q34" i="4"/>
  <c r="R34" i="4"/>
  <c r="N35" i="4"/>
  <c r="O35" i="4"/>
  <c r="P35" i="4"/>
  <c r="Q35" i="4"/>
  <c r="R35" i="4"/>
  <c r="N40" i="4"/>
  <c r="O40" i="4"/>
  <c r="P40" i="4"/>
  <c r="Q40" i="4"/>
  <c r="R40" i="4"/>
  <c r="N43" i="4"/>
  <c r="O43" i="4"/>
  <c r="P43" i="4"/>
  <c r="Q43" i="4"/>
  <c r="R43" i="4"/>
  <c r="N46" i="4"/>
  <c r="O46" i="4"/>
  <c r="P46" i="4"/>
  <c r="Q46" i="4"/>
  <c r="R46" i="4"/>
  <c r="N50" i="4"/>
  <c r="O50" i="4"/>
  <c r="P50" i="4"/>
  <c r="Q50" i="4"/>
  <c r="R50" i="4"/>
  <c r="N53" i="4"/>
  <c r="O53" i="4"/>
  <c r="P53" i="4"/>
  <c r="Q53" i="4"/>
  <c r="R53" i="4"/>
  <c r="N47" i="4"/>
  <c r="O47" i="4"/>
  <c r="P47" i="4"/>
  <c r="Q47" i="4"/>
  <c r="R47" i="4"/>
  <c r="N44" i="4"/>
  <c r="O44" i="4"/>
  <c r="P44" i="4"/>
  <c r="Q44" i="4"/>
  <c r="R44" i="4"/>
  <c r="N39" i="4"/>
  <c r="O39" i="4"/>
  <c r="P39" i="4"/>
  <c r="Q39" i="4"/>
  <c r="R39" i="4"/>
  <c r="N37" i="4"/>
  <c r="O37" i="4"/>
  <c r="P37" i="4"/>
  <c r="Q37" i="4"/>
  <c r="R37" i="4"/>
  <c r="N51" i="4"/>
  <c r="O51" i="4"/>
  <c r="P51" i="4"/>
  <c r="Q51" i="4"/>
  <c r="R51" i="4"/>
  <c r="N42" i="4"/>
  <c r="O42" i="4"/>
  <c r="P42" i="4"/>
  <c r="Q42" i="4"/>
  <c r="R42" i="4"/>
  <c r="N55" i="4"/>
  <c r="O55" i="4"/>
  <c r="P55" i="4"/>
  <c r="Q55" i="4"/>
  <c r="R55" i="4"/>
  <c r="N54" i="4"/>
  <c r="O54" i="4"/>
  <c r="P54" i="4"/>
  <c r="Q54" i="4"/>
  <c r="R54" i="4"/>
  <c r="N49" i="4"/>
  <c r="O49" i="4"/>
  <c r="P49" i="4"/>
  <c r="Q49" i="4"/>
  <c r="R49" i="4"/>
  <c r="N48" i="4"/>
  <c r="O48" i="4"/>
  <c r="P48" i="4"/>
  <c r="Q48" i="4"/>
  <c r="R48" i="4"/>
  <c r="N60" i="4"/>
  <c r="O60" i="4"/>
  <c r="P60" i="4"/>
  <c r="Q60" i="4"/>
  <c r="R60" i="4"/>
  <c r="N52" i="4"/>
  <c r="O52" i="4"/>
  <c r="P52" i="4"/>
  <c r="Q52" i="4"/>
  <c r="R52" i="4"/>
  <c r="N63" i="4"/>
  <c r="O63" i="4"/>
  <c r="P63" i="4"/>
  <c r="Q63" i="4"/>
  <c r="R63" i="4"/>
  <c r="N64" i="4"/>
  <c r="O64" i="4"/>
  <c r="P64" i="4"/>
  <c r="Q64" i="4"/>
  <c r="R64" i="4"/>
  <c r="N59" i="4"/>
  <c r="O59" i="4"/>
  <c r="P59" i="4"/>
  <c r="Q59" i="4"/>
  <c r="R59" i="4"/>
  <c r="N56" i="4"/>
  <c r="O56" i="4"/>
  <c r="P56" i="4"/>
  <c r="Q56" i="4"/>
  <c r="R56" i="4"/>
  <c r="N67" i="4"/>
  <c r="O67" i="4"/>
  <c r="P67" i="4"/>
  <c r="Q67" i="4"/>
  <c r="R67" i="4"/>
  <c r="N62" i="4"/>
  <c r="O62" i="4"/>
  <c r="P62" i="4"/>
  <c r="Q62" i="4"/>
  <c r="R62" i="4"/>
  <c r="N70" i="4"/>
  <c r="O70" i="4"/>
  <c r="P70" i="4"/>
  <c r="Q70" i="4"/>
  <c r="R70" i="4"/>
  <c r="N71" i="4"/>
  <c r="O71" i="4"/>
  <c r="P71" i="4"/>
  <c r="Q71" i="4"/>
  <c r="R71" i="4"/>
  <c r="N57" i="4"/>
  <c r="O57" i="4"/>
  <c r="P57" i="4"/>
  <c r="Q57" i="4"/>
  <c r="R57" i="4"/>
  <c r="N132" i="4"/>
  <c r="O132" i="4"/>
  <c r="P132" i="4"/>
  <c r="Q132" i="4"/>
  <c r="R132" i="4"/>
  <c r="N61" i="4"/>
  <c r="O61" i="4"/>
  <c r="P61" i="4"/>
  <c r="Q61" i="4"/>
  <c r="R61" i="4"/>
  <c r="N58" i="4"/>
  <c r="O58" i="4"/>
  <c r="P58" i="4"/>
  <c r="Q58" i="4"/>
  <c r="R58" i="4"/>
  <c r="N66" i="4"/>
  <c r="O66" i="4"/>
  <c r="P66" i="4"/>
  <c r="Q66" i="4"/>
  <c r="R66" i="4"/>
  <c r="N68" i="4"/>
  <c r="O68" i="4"/>
  <c r="P68" i="4"/>
  <c r="Q68" i="4"/>
  <c r="R68" i="4"/>
  <c r="N65" i="4"/>
  <c r="O65" i="4"/>
  <c r="P65" i="4"/>
  <c r="Q65" i="4"/>
  <c r="R65" i="4"/>
  <c r="N74" i="4"/>
  <c r="O74" i="4"/>
  <c r="P74" i="4"/>
  <c r="Q74" i="4"/>
  <c r="R74" i="4"/>
  <c r="N73" i="4"/>
  <c r="O73" i="4"/>
  <c r="P73" i="4"/>
  <c r="Q73" i="4"/>
  <c r="R73" i="4"/>
  <c r="N77" i="4"/>
  <c r="O77" i="4"/>
  <c r="P77" i="4"/>
  <c r="Q77" i="4"/>
  <c r="R77" i="4"/>
  <c r="N82" i="4"/>
  <c r="O82" i="4"/>
  <c r="P82" i="4"/>
  <c r="Q82" i="4"/>
  <c r="R82" i="4"/>
  <c r="N81" i="4"/>
  <c r="O81" i="4"/>
  <c r="P81" i="4"/>
  <c r="Q81" i="4"/>
  <c r="R81" i="4"/>
  <c r="N85" i="4"/>
  <c r="O85" i="4"/>
  <c r="P85" i="4"/>
  <c r="Q85" i="4"/>
  <c r="R85" i="4"/>
  <c r="N75" i="4"/>
  <c r="O75" i="4"/>
  <c r="P75" i="4"/>
  <c r="Q75" i="4"/>
  <c r="R75" i="4"/>
  <c r="N79" i="4"/>
  <c r="O79" i="4"/>
  <c r="P79" i="4"/>
  <c r="Q79" i="4"/>
  <c r="R79" i="4"/>
  <c r="N76" i="4"/>
  <c r="O76" i="4"/>
  <c r="P76" i="4"/>
  <c r="Q76" i="4"/>
  <c r="R76" i="4"/>
  <c r="N83" i="4"/>
  <c r="O83" i="4"/>
  <c r="P83" i="4"/>
  <c r="Q83" i="4"/>
  <c r="R83" i="4"/>
  <c r="N86" i="4"/>
  <c r="O86" i="4"/>
  <c r="P86" i="4"/>
  <c r="Q86" i="4"/>
  <c r="R86" i="4"/>
  <c r="N72" i="4"/>
  <c r="O72" i="4"/>
  <c r="P72" i="4"/>
  <c r="Q72" i="4"/>
  <c r="R72" i="4"/>
  <c r="N69" i="4"/>
  <c r="O69" i="4"/>
  <c r="P69" i="4"/>
  <c r="Q69" i="4"/>
  <c r="R69" i="4"/>
  <c r="N84" i="4"/>
  <c r="O84" i="4"/>
  <c r="P84" i="4"/>
  <c r="Q84" i="4"/>
  <c r="R84" i="4"/>
  <c r="N90" i="4"/>
  <c r="O90" i="4"/>
  <c r="P90" i="4"/>
  <c r="Q90" i="4"/>
  <c r="R90" i="4"/>
  <c r="N93" i="4"/>
  <c r="O93" i="4"/>
  <c r="P93" i="4"/>
  <c r="Q93" i="4"/>
  <c r="R93" i="4"/>
  <c r="N78" i="4"/>
  <c r="O78" i="4"/>
  <c r="P78" i="4"/>
  <c r="Q78" i="4"/>
  <c r="R78" i="4"/>
  <c r="N80" i="4"/>
  <c r="O80" i="4"/>
  <c r="P80" i="4"/>
  <c r="Q80" i="4"/>
  <c r="R80" i="4"/>
  <c r="N91" i="4"/>
  <c r="O91" i="4"/>
  <c r="P91" i="4"/>
  <c r="Q91" i="4"/>
  <c r="R91" i="4"/>
  <c r="N98" i="4"/>
  <c r="O98" i="4"/>
  <c r="P98" i="4"/>
  <c r="Q98" i="4"/>
  <c r="R98" i="4"/>
  <c r="N100" i="4"/>
  <c r="O100" i="4"/>
  <c r="P100" i="4"/>
  <c r="Q100" i="4"/>
  <c r="R100" i="4"/>
  <c r="N87" i="4"/>
  <c r="O87" i="4"/>
  <c r="P87" i="4"/>
  <c r="Q87" i="4"/>
  <c r="R87" i="4"/>
  <c r="N88" i="4"/>
  <c r="O88" i="4"/>
  <c r="P88" i="4"/>
  <c r="Q88" i="4"/>
  <c r="R88" i="4"/>
  <c r="N97" i="4"/>
  <c r="O97" i="4"/>
  <c r="P97" i="4"/>
  <c r="Q97" i="4"/>
  <c r="R97" i="4"/>
  <c r="N103" i="4"/>
  <c r="O103" i="4"/>
  <c r="P103" i="4"/>
  <c r="Q103" i="4"/>
  <c r="R103" i="4"/>
  <c r="N134" i="4"/>
  <c r="O134" i="4"/>
  <c r="P134" i="4"/>
  <c r="Q134" i="4"/>
  <c r="R134" i="4"/>
  <c r="N94" i="4"/>
  <c r="O94" i="4"/>
  <c r="P94" i="4"/>
  <c r="Q94" i="4"/>
  <c r="R94" i="4"/>
  <c r="N102" i="4"/>
  <c r="O102" i="4"/>
  <c r="P102" i="4"/>
  <c r="Q102" i="4"/>
  <c r="R102" i="4"/>
  <c r="N96" i="4"/>
  <c r="O96" i="4"/>
  <c r="P96" i="4"/>
  <c r="Q96" i="4"/>
  <c r="R96" i="4"/>
  <c r="N92" i="4"/>
  <c r="O92" i="4"/>
  <c r="P92" i="4"/>
  <c r="Q92" i="4"/>
  <c r="R92" i="4"/>
  <c r="N89" i="4"/>
  <c r="O89" i="4"/>
  <c r="P89" i="4"/>
  <c r="Q89" i="4"/>
  <c r="R89" i="4"/>
  <c r="N99" i="4"/>
  <c r="O99" i="4"/>
  <c r="P99" i="4"/>
  <c r="Q99" i="4"/>
  <c r="R99" i="4"/>
  <c r="N95" i="4"/>
  <c r="O95" i="4"/>
  <c r="P95" i="4"/>
  <c r="Q95" i="4"/>
  <c r="R95" i="4"/>
  <c r="N104" i="4"/>
  <c r="O104" i="4"/>
  <c r="P104" i="4"/>
  <c r="Q104" i="4"/>
  <c r="R104" i="4"/>
  <c r="N101" i="4"/>
  <c r="O101" i="4"/>
  <c r="P101" i="4"/>
  <c r="Q101" i="4"/>
  <c r="R101" i="4"/>
  <c r="N106" i="4"/>
  <c r="O106" i="4"/>
  <c r="P106" i="4"/>
  <c r="Q106" i="4"/>
  <c r="R106" i="4"/>
  <c r="N105" i="4"/>
  <c r="O105" i="4"/>
  <c r="P105" i="4"/>
  <c r="Q105" i="4"/>
  <c r="R105" i="4"/>
  <c r="N109" i="4"/>
  <c r="O109" i="4"/>
  <c r="P109" i="4"/>
  <c r="Q109" i="4"/>
  <c r="R109" i="4"/>
  <c r="N108" i="4"/>
  <c r="O108" i="4"/>
  <c r="P108" i="4"/>
  <c r="Q108" i="4"/>
  <c r="R108" i="4"/>
  <c r="N136" i="4"/>
  <c r="O136" i="4"/>
  <c r="P136" i="4"/>
  <c r="Q136" i="4"/>
  <c r="R136" i="4"/>
  <c r="N107" i="4"/>
  <c r="O107" i="4"/>
  <c r="P107" i="4"/>
  <c r="Q107" i="4"/>
  <c r="R107" i="4"/>
  <c r="N135" i="4"/>
  <c r="O135" i="4"/>
  <c r="P135" i="4"/>
  <c r="Q135" i="4"/>
  <c r="R135" i="4"/>
  <c r="N138" i="4"/>
  <c r="O138" i="4"/>
  <c r="P138" i="4"/>
  <c r="Q138" i="4"/>
  <c r="R138" i="4"/>
  <c r="N111" i="4"/>
  <c r="O111" i="4"/>
  <c r="P111" i="4"/>
  <c r="Q111" i="4"/>
  <c r="R111" i="4"/>
  <c r="N110" i="4"/>
  <c r="O110" i="4"/>
  <c r="P110" i="4"/>
  <c r="Q110" i="4"/>
  <c r="R110" i="4"/>
  <c r="N114" i="4"/>
  <c r="O114" i="4"/>
  <c r="P114" i="4"/>
  <c r="Q114" i="4"/>
  <c r="R114" i="4"/>
  <c r="N113" i="4"/>
  <c r="O113" i="4"/>
  <c r="P113" i="4"/>
  <c r="Q113" i="4"/>
  <c r="R113" i="4"/>
  <c r="N117" i="4"/>
  <c r="O117" i="4"/>
  <c r="P117" i="4"/>
  <c r="Q117" i="4"/>
  <c r="R117" i="4"/>
  <c r="N116" i="4"/>
  <c r="O116" i="4"/>
  <c r="P116" i="4"/>
  <c r="Q116" i="4"/>
  <c r="R116" i="4"/>
  <c r="N133" i="4"/>
  <c r="O133" i="4"/>
  <c r="P133" i="4"/>
  <c r="Q133" i="4"/>
  <c r="R133" i="4"/>
  <c r="N143" i="4"/>
  <c r="O143" i="4"/>
  <c r="P143" i="4"/>
  <c r="Q143" i="4"/>
  <c r="R143" i="4"/>
  <c r="N137" i="4"/>
  <c r="O137" i="4"/>
  <c r="P137" i="4"/>
  <c r="Q137" i="4"/>
  <c r="R137" i="4"/>
  <c r="N118" i="4"/>
  <c r="O118" i="4"/>
  <c r="P118" i="4"/>
  <c r="Q118" i="4"/>
  <c r="R118" i="4"/>
  <c r="N139" i="4"/>
  <c r="O139" i="4"/>
  <c r="P139" i="4"/>
  <c r="Q139" i="4"/>
  <c r="R139" i="4"/>
  <c r="N112" i="4"/>
  <c r="O112" i="4"/>
  <c r="P112" i="4"/>
  <c r="Q112" i="4"/>
  <c r="R112" i="4"/>
  <c r="N115" i="4"/>
  <c r="O115" i="4"/>
  <c r="P115" i="4"/>
  <c r="Q115" i="4"/>
  <c r="R115" i="4"/>
  <c r="N141" i="4"/>
  <c r="O141" i="4"/>
  <c r="P141" i="4"/>
  <c r="Q141" i="4"/>
  <c r="R141" i="4"/>
  <c r="N140" i="4"/>
  <c r="O140" i="4"/>
  <c r="P140" i="4"/>
  <c r="Q140" i="4"/>
  <c r="R140" i="4"/>
  <c r="N142" i="4"/>
  <c r="O142" i="4"/>
  <c r="P142" i="4"/>
  <c r="Q142" i="4"/>
  <c r="R142" i="4"/>
  <c r="N144" i="4"/>
  <c r="O144" i="4"/>
  <c r="P144" i="4"/>
  <c r="Q144" i="4"/>
  <c r="R144" i="4"/>
  <c r="N119" i="4"/>
  <c r="O119" i="4"/>
  <c r="P119" i="4"/>
  <c r="Q119" i="4"/>
  <c r="R119" i="4"/>
  <c r="N120" i="4"/>
  <c r="O120" i="4"/>
  <c r="P120" i="4"/>
  <c r="Q120" i="4"/>
  <c r="R120" i="4"/>
  <c r="N148" i="4"/>
  <c r="O148" i="4"/>
  <c r="P148" i="4"/>
  <c r="Q148" i="4"/>
  <c r="R148" i="4"/>
  <c r="N149" i="4"/>
  <c r="O149" i="4"/>
  <c r="P149" i="4"/>
  <c r="Q149" i="4"/>
  <c r="R149" i="4"/>
  <c r="N147" i="4"/>
  <c r="O147" i="4"/>
  <c r="P147" i="4"/>
  <c r="Q147" i="4"/>
  <c r="R147" i="4"/>
  <c r="N150" i="4"/>
  <c r="O150" i="4"/>
  <c r="P150" i="4"/>
  <c r="Q150" i="4"/>
  <c r="R150" i="4"/>
  <c r="N151" i="4"/>
  <c r="O151" i="4"/>
  <c r="P151" i="4"/>
  <c r="Q151" i="4"/>
  <c r="R151" i="4"/>
  <c r="N146" i="4"/>
  <c r="O146" i="4"/>
  <c r="P146" i="4"/>
  <c r="Q146" i="4"/>
  <c r="R146" i="4"/>
  <c r="N145" i="4"/>
  <c r="O145" i="4"/>
  <c r="P145" i="4"/>
  <c r="Q145" i="4"/>
  <c r="R145" i="4"/>
  <c r="R121" i="4"/>
  <c r="Q121" i="4"/>
  <c r="P121" i="4"/>
  <c r="O121" i="4"/>
  <c r="N121" i="4"/>
  <c r="S148" i="18" l="1"/>
  <c r="S13" i="18"/>
  <c r="D8" i="14"/>
  <c r="C23" i="14" s="1" a="1"/>
  <c r="C23" i="14" s="1"/>
  <c r="S13" i="4"/>
  <c r="S12" i="4"/>
  <c r="S122" i="4"/>
  <c r="S26" i="17"/>
  <c r="S54" i="17"/>
  <c r="S107" i="17"/>
  <c r="S29" i="16"/>
  <c r="S26" i="16"/>
  <c r="S34" i="16"/>
  <c r="F4" i="2" l="1"/>
  <c r="G4" i="2" s="1"/>
  <c r="F4" i="10"/>
  <c r="G4" i="10" s="1"/>
  <c r="F4" i="9"/>
  <c r="G4" i="9" s="1"/>
  <c r="F4" i="8"/>
  <c r="G4" i="8" s="1"/>
  <c r="F4" i="11"/>
  <c r="G4" i="11" s="1"/>
  <c r="M151" i="4" l="1"/>
  <c r="L151" i="4"/>
  <c r="S151" i="4" s="1"/>
  <c r="M150" i="4"/>
  <c r="L150" i="4"/>
  <c r="S150" i="4" s="1"/>
  <c r="M149" i="4"/>
  <c r="L149" i="4"/>
  <c r="S149" i="4" s="1"/>
  <c r="M148" i="4"/>
  <c r="L148" i="4"/>
  <c r="S148" i="4" s="1"/>
  <c r="M147" i="4"/>
  <c r="L147" i="4"/>
  <c r="S147" i="4" s="1"/>
  <c r="M146" i="4"/>
  <c r="L146" i="4"/>
  <c r="S146" i="4" s="1"/>
  <c r="M145" i="4"/>
  <c r="L145" i="4"/>
  <c r="S145" i="4" s="1"/>
  <c r="M144" i="4"/>
  <c r="L144" i="4"/>
  <c r="S144" i="4" s="1"/>
  <c r="M143" i="4"/>
  <c r="L143" i="4"/>
  <c r="S143" i="4" s="1"/>
  <c r="M142" i="4"/>
  <c r="L142" i="4"/>
  <c r="S142" i="4" s="1"/>
  <c r="M141" i="4"/>
  <c r="L141" i="4"/>
  <c r="S141" i="4" s="1"/>
  <c r="M140" i="4"/>
  <c r="L140" i="4"/>
  <c r="S140" i="4" s="1"/>
  <c r="M139" i="4"/>
  <c r="L139" i="4"/>
  <c r="S139" i="4" s="1"/>
  <c r="M138" i="4"/>
  <c r="L138" i="4"/>
  <c r="S138" i="4" s="1"/>
  <c r="M137" i="4"/>
  <c r="L137" i="4"/>
  <c r="S137" i="4" s="1"/>
  <c r="M136" i="4"/>
  <c r="L136" i="4"/>
  <c r="S136" i="4" s="1"/>
  <c r="M135" i="4"/>
  <c r="L135" i="4"/>
  <c r="S135" i="4" s="1"/>
  <c r="M134" i="4"/>
  <c r="L134" i="4"/>
  <c r="S134" i="4" s="1"/>
  <c r="M133" i="4"/>
  <c r="L133" i="4"/>
  <c r="S133" i="4" s="1"/>
  <c r="M132" i="4"/>
  <c r="L132" i="4"/>
  <c r="S132" i="4" s="1"/>
  <c r="M123" i="4"/>
  <c r="L123" i="4"/>
  <c r="M121" i="4"/>
  <c r="L121" i="4"/>
  <c r="M120" i="4"/>
  <c r="L120" i="4"/>
  <c r="S120" i="4" s="1"/>
  <c r="M119" i="4"/>
  <c r="L119" i="4"/>
  <c r="S119" i="4" s="1"/>
  <c r="M118" i="4"/>
  <c r="L118" i="4"/>
  <c r="S118" i="4" s="1"/>
  <c r="M117" i="4"/>
  <c r="L117" i="4"/>
  <c r="S117" i="4" s="1"/>
  <c r="M116" i="4"/>
  <c r="L116" i="4"/>
  <c r="S116" i="4" s="1"/>
  <c r="M115" i="4"/>
  <c r="L115" i="4"/>
  <c r="S115" i="4" s="1"/>
  <c r="M114" i="4"/>
  <c r="L114" i="4"/>
  <c r="S114" i="4" s="1"/>
  <c r="M113" i="4"/>
  <c r="L113" i="4"/>
  <c r="S113" i="4" s="1"/>
  <c r="M112" i="4"/>
  <c r="L112" i="4"/>
  <c r="S112" i="4" s="1"/>
  <c r="M111" i="4"/>
  <c r="L111" i="4"/>
  <c r="S111" i="4" s="1"/>
  <c r="M110" i="4"/>
  <c r="L110" i="4"/>
  <c r="S110" i="4" s="1"/>
  <c r="M109" i="4"/>
  <c r="L109" i="4"/>
  <c r="S109" i="4" s="1"/>
  <c r="M108" i="4"/>
  <c r="L108" i="4"/>
  <c r="S108" i="4" s="1"/>
  <c r="M107" i="4"/>
  <c r="L107" i="4"/>
  <c r="S107" i="4" s="1"/>
  <c r="M106" i="4"/>
  <c r="L106" i="4"/>
  <c r="S106" i="4" s="1"/>
  <c r="M105" i="4"/>
  <c r="L105" i="4"/>
  <c r="S105" i="4" s="1"/>
  <c r="M104" i="4"/>
  <c r="L104" i="4"/>
  <c r="S104" i="4" s="1"/>
  <c r="M103" i="4"/>
  <c r="L103" i="4"/>
  <c r="S103" i="4" s="1"/>
  <c r="M102" i="4"/>
  <c r="L102" i="4"/>
  <c r="S102" i="4" s="1"/>
  <c r="M101" i="4"/>
  <c r="L101" i="4"/>
  <c r="S101" i="4" s="1"/>
  <c r="M100" i="4"/>
  <c r="L100" i="4"/>
  <c r="S100" i="4" s="1"/>
  <c r="M99" i="4"/>
  <c r="L99" i="4"/>
  <c r="S99" i="4" s="1"/>
  <c r="M98" i="4"/>
  <c r="L98" i="4"/>
  <c r="S98" i="4" s="1"/>
  <c r="M97" i="4"/>
  <c r="L97" i="4"/>
  <c r="S97" i="4" s="1"/>
  <c r="M96" i="4"/>
  <c r="L96" i="4"/>
  <c r="S96" i="4" s="1"/>
  <c r="M95" i="4"/>
  <c r="L95" i="4"/>
  <c r="S95" i="4" s="1"/>
  <c r="M94" i="4"/>
  <c r="L94" i="4"/>
  <c r="S94" i="4" s="1"/>
  <c r="M93" i="4"/>
  <c r="L93" i="4"/>
  <c r="S93" i="4" s="1"/>
  <c r="M92" i="4"/>
  <c r="L92" i="4"/>
  <c r="S92" i="4" s="1"/>
  <c r="M91" i="4"/>
  <c r="L91" i="4"/>
  <c r="S91" i="4" s="1"/>
  <c r="M90" i="4"/>
  <c r="L90" i="4"/>
  <c r="S90" i="4" s="1"/>
  <c r="M89" i="4"/>
  <c r="L89" i="4"/>
  <c r="S89" i="4" s="1"/>
  <c r="M88" i="4"/>
  <c r="L88" i="4"/>
  <c r="S88" i="4" s="1"/>
  <c r="M87" i="4"/>
  <c r="L87" i="4"/>
  <c r="S87" i="4" s="1"/>
  <c r="M86" i="4"/>
  <c r="L86" i="4"/>
  <c r="S86" i="4" s="1"/>
  <c r="M85" i="4"/>
  <c r="L85" i="4"/>
  <c r="S85" i="4" s="1"/>
  <c r="M84" i="4"/>
  <c r="L84" i="4"/>
  <c r="S84" i="4" s="1"/>
  <c r="M83" i="4"/>
  <c r="L83" i="4"/>
  <c r="S83" i="4" s="1"/>
  <c r="M82" i="4"/>
  <c r="L82" i="4"/>
  <c r="S82" i="4" s="1"/>
  <c r="M81" i="4"/>
  <c r="L81" i="4"/>
  <c r="S81" i="4" s="1"/>
  <c r="M80" i="4"/>
  <c r="L80" i="4"/>
  <c r="S80" i="4" s="1"/>
  <c r="M79" i="4"/>
  <c r="L79" i="4"/>
  <c r="S79" i="4" s="1"/>
  <c r="M78" i="4"/>
  <c r="L78" i="4"/>
  <c r="S78" i="4" s="1"/>
  <c r="M77" i="4"/>
  <c r="L77" i="4"/>
  <c r="S77" i="4" s="1"/>
  <c r="M76" i="4"/>
  <c r="L76" i="4"/>
  <c r="S76" i="4" s="1"/>
  <c r="M75" i="4"/>
  <c r="L75" i="4"/>
  <c r="S75" i="4" s="1"/>
  <c r="M74" i="4"/>
  <c r="L74" i="4"/>
  <c r="S74" i="4" s="1"/>
  <c r="M73" i="4"/>
  <c r="L73" i="4"/>
  <c r="S73" i="4" s="1"/>
  <c r="M72" i="4"/>
  <c r="L72" i="4"/>
  <c r="S72" i="4" s="1"/>
  <c r="M71" i="4"/>
  <c r="L71" i="4"/>
  <c r="S71" i="4" s="1"/>
  <c r="M70" i="4"/>
  <c r="L70" i="4"/>
  <c r="S70" i="4" s="1"/>
  <c r="M69" i="4"/>
  <c r="L69" i="4"/>
  <c r="S69" i="4" s="1"/>
  <c r="M68" i="4"/>
  <c r="L68" i="4"/>
  <c r="S68" i="4" s="1"/>
  <c r="M67" i="4"/>
  <c r="L67" i="4"/>
  <c r="S67" i="4" s="1"/>
  <c r="M66" i="4"/>
  <c r="L66" i="4"/>
  <c r="S66" i="4" s="1"/>
  <c r="M65" i="4"/>
  <c r="L65" i="4"/>
  <c r="S65" i="4" s="1"/>
  <c r="M64" i="4"/>
  <c r="L64" i="4"/>
  <c r="S64" i="4" s="1"/>
  <c r="M63" i="4"/>
  <c r="L63" i="4"/>
  <c r="S63" i="4" s="1"/>
  <c r="M62" i="4"/>
  <c r="L62" i="4"/>
  <c r="S62" i="4" s="1"/>
  <c r="M61" i="4"/>
  <c r="L61" i="4"/>
  <c r="S61" i="4" s="1"/>
  <c r="M60" i="4"/>
  <c r="L60" i="4"/>
  <c r="S60" i="4" s="1"/>
  <c r="M59" i="4"/>
  <c r="L59" i="4"/>
  <c r="S59" i="4" s="1"/>
  <c r="M58" i="4"/>
  <c r="L58" i="4"/>
  <c r="S58" i="4" s="1"/>
  <c r="M57" i="4"/>
  <c r="L57" i="4"/>
  <c r="S57" i="4" s="1"/>
  <c r="M56" i="4"/>
  <c r="L56" i="4"/>
  <c r="S56" i="4" s="1"/>
  <c r="M55" i="4"/>
  <c r="L55" i="4"/>
  <c r="S55" i="4" s="1"/>
  <c r="M54" i="4"/>
  <c r="L54" i="4"/>
  <c r="S54" i="4" s="1"/>
  <c r="M53" i="4"/>
  <c r="L53" i="4"/>
  <c r="S53" i="4" s="1"/>
  <c r="M52" i="4"/>
  <c r="L52" i="4"/>
  <c r="S52" i="4" s="1"/>
  <c r="M51" i="4"/>
  <c r="L51" i="4"/>
  <c r="S51" i="4" s="1"/>
  <c r="M50" i="4"/>
  <c r="L50" i="4"/>
  <c r="S50" i="4" s="1"/>
  <c r="M49" i="4"/>
  <c r="L49" i="4"/>
  <c r="S49" i="4" s="1"/>
  <c r="M48" i="4"/>
  <c r="L48" i="4"/>
  <c r="S48" i="4" s="1"/>
  <c r="M47" i="4"/>
  <c r="L47" i="4"/>
  <c r="S47" i="4" s="1"/>
  <c r="M46" i="4"/>
  <c r="L46" i="4"/>
  <c r="S46" i="4" s="1"/>
  <c r="M45" i="4"/>
  <c r="L45" i="4"/>
  <c r="S45" i="4" s="1"/>
  <c r="M44" i="4"/>
  <c r="L44" i="4"/>
  <c r="S44" i="4" s="1"/>
  <c r="M43" i="4"/>
  <c r="L43" i="4"/>
  <c r="S43" i="4" s="1"/>
  <c r="M42" i="4"/>
  <c r="L42" i="4"/>
  <c r="S42" i="4" s="1"/>
  <c r="M41" i="4"/>
  <c r="L41" i="4"/>
  <c r="S41" i="4" s="1"/>
  <c r="M40" i="4"/>
  <c r="L40" i="4"/>
  <c r="S40" i="4" s="1"/>
  <c r="M39" i="4"/>
  <c r="L39" i="4"/>
  <c r="S39" i="4" s="1"/>
  <c r="M38" i="4"/>
  <c r="L38" i="4"/>
  <c r="S38" i="4" s="1"/>
  <c r="M37" i="4"/>
  <c r="L37" i="4"/>
  <c r="S37" i="4" s="1"/>
  <c r="M36" i="4"/>
  <c r="L36" i="4"/>
  <c r="S36" i="4" s="1"/>
  <c r="M35" i="4"/>
  <c r="L35" i="4"/>
  <c r="S35" i="4" s="1"/>
  <c r="M34" i="4"/>
  <c r="L34" i="4"/>
  <c r="S34" i="4" s="1"/>
  <c r="M33" i="4"/>
  <c r="L33" i="4"/>
  <c r="S33" i="4" s="1"/>
  <c r="M32" i="4"/>
  <c r="L32" i="4"/>
  <c r="S32" i="4" s="1"/>
  <c r="M31" i="4"/>
  <c r="L31" i="4"/>
  <c r="S31" i="4" s="1"/>
  <c r="M30" i="4"/>
  <c r="L30" i="4"/>
  <c r="S30" i="4" s="1"/>
  <c r="M29" i="4"/>
  <c r="L29" i="4"/>
  <c r="S29" i="4" s="1"/>
  <c r="M28" i="4"/>
  <c r="L28" i="4"/>
  <c r="S28" i="4" s="1"/>
  <c r="M27" i="4"/>
  <c r="L27" i="4"/>
  <c r="S27" i="4" s="1"/>
  <c r="M26" i="4"/>
  <c r="L26" i="4"/>
  <c r="S26" i="4" s="1"/>
  <c r="M25" i="4"/>
  <c r="L25" i="4"/>
  <c r="S25" i="4" s="1"/>
  <c r="M24" i="4"/>
  <c r="L24" i="4"/>
  <c r="S24" i="4" s="1"/>
  <c r="M23" i="4"/>
  <c r="L23" i="4"/>
  <c r="S23" i="4" s="1"/>
  <c r="M22" i="4"/>
  <c r="L22" i="4"/>
  <c r="S22" i="4" s="1"/>
  <c r="M18" i="4"/>
  <c r="L18" i="4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E5" i="11" s="1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E5" i="10" s="1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E5" i="9" s="1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E5" i="8" s="1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E5" i="2" s="1"/>
  <c r="Y11" i="4"/>
  <c r="Y12" i="4"/>
  <c r="Y13" i="4"/>
  <c r="Y14" i="4"/>
  <c r="Y15" i="4"/>
  <c r="Y16" i="4"/>
  <c r="Y17" i="4"/>
  <c r="Y18" i="4"/>
  <c r="Y19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D25" i="1" l="1" a="1"/>
  <c r="D25" i="1" s="1"/>
  <c r="S18" i="4"/>
  <c r="S121" i="4"/>
  <c r="S123" i="4"/>
  <c r="C16" i="1"/>
  <c r="C13" i="1"/>
  <c r="C24" i="1"/>
  <c r="C5" i="1"/>
  <c r="C28" i="1"/>
  <c r="C23" i="1"/>
  <c r="C15" i="1"/>
  <c r="C14" i="1"/>
  <c r="C22" i="1"/>
  <c r="C21" i="1"/>
  <c r="B17" i="12" a="1"/>
  <c r="B17" i="12" s="1"/>
  <c r="B17" i="15" s="1"/>
  <c r="B37" i="12" a="1"/>
  <c r="B37" i="12" s="1"/>
  <c r="B37" i="15" s="1"/>
  <c r="B57" i="12" a="1"/>
  <c r="B57" i="12" s="1"/>
  <c r="B57" i="15" s="1"/>
  <c r="B77" i="12" a="1"/>
  <c r="B77" i="12" s="1"/>
  <c r="B77" i="15" s="1"/>
  <c r="B97" i="12" a="1"/>
  <c r="B97" i="12" s="1"/>
  <c r="B97" i="15" s="1"/>
  <c r="B117" i="12" a="1"/>
  <c r="B117" i="12" s="1"/>
  <c r="B117" i="15" s="1"/>
  <c r="B101" i="12" a="1"/>
  <c r="B101" i="12" s="1"/>
  <c r="B101" i="15" s="1"/>
  <c r="B84" i="12" a="1"/>
  <c r="B84" i="12" s="1"/>
  <c r="B84" i="15" s="1"/>
  <c r="B27" i="12" a="1"/>
  <c r="B27" i="12" s="1"/>
  <c r="B27" i="15" s="1"/>
  <c r="B88" i="12" a="1"/>
  <c r="B88" i="12" s="1"/>
  <c r="B88" i="15" s="1"/>
  <c r="B29" i="12" a="1"/>
  <c r="B29" i="12" s="1"/>
  <c r="B29" i="15" s="1"/>
  <c r="B52" i="12" a="1"/>
  <c r="B52" i="12" s="1"/>
  <c r="B52" i="15" s="1"/>
  <c r="B18" i="12" a="1"/>
  <c r="B18" i="12" s="1"/>
  <c r="B18" i="15" s="1"/>
  <c r="B38" i="12" a="1"/>
  <c r="B38" i="12" s="1"/>
  <c r="B38" i="15" s="1"/>
  <c r="B58" i="12" a="1"/>
  <c r="B58" i="12" s="1"/>
  <c r="B58" i="15" s="1"/>
  <c r="B78" i="12" a="1"/>
  <c r="B78" i="12" s="1"/>
  <c r="B78" i="15" s="1"/>
  <c r="B98" i="12" a="1"/>
  <c r="B98" i="12" s="1"/>
  <c r="B98" i="15" s="1"/>
  <c r="B118" i="12" a="1"/>
  <c r="B118" i="12" s="1"/>
  <c r="B118" i="15" s="1"/>
  <c r="B83" i="12" a="1"/>
  <c r="B83" i="12" s="1"/>
  <c r="B83" i="15" s="1"/>
  <c r="B64" i="12" a="1"/>
  <c r="B64" i="12" s="1"/>
  <c r="B64" i="15" s="1"/>
  <c r="B67" i="12" a="1"/>
  <c r="B67" i="12" s="1"/>
  <c r="B67" i="15" s="1"/>
  <c r="B48" i="12" a="1"/>
  <c r="B48" i="12" s="1"/>
  <c r="B48" i="15" s="1"/>
  <c r="B49" i="12" a="1"/>
  <c r="B49" i="12" s="1"/>
  <c r="B49" i="15" s="1"/>
  <c r="B11" i="12" a="1"/>
  <c r="B11" i="12" s="1"/>
  <c r="B11" i="15" s="1"/>
  <c r="B12" i="12" a="1"/>
  <c r="B12" i="12" s="1"/>
  <c r="B12" i="15" s="1"/>
  <c r="B19" i="12" a="1"/>
  <c r="B19" i="12" s="1"/>
  <c r="B19" i="15" s="1"/>
  <c r="B39" i="12" a="1"/>
  <c r="B39" i="12" s="1"/>
  <c r="B39" i="15" s="1"/>
  <c r="B59" i="12" a="1"/>
  <c r="B59" i="12" s="1"/>
  <c r="B59" i="15" s="1"/>
  <c r="B79" i="12" a="1"/>
  <c r="B79" i="12" s="1"/>
  <c r="B79" i="15" s="1"/>
  <c r="B99" i="12" a="1"/>
  <c r="B99" i="12" s="1"/>
  <c r="B99" i="15" s="1"/>
  <c r="B119" i="12" a="1"/>
  <c r="B119" i="12" s="1"/>
  <c r="B119" i="15" s="1"/>
  <c r="B103" i="12" a="1"/>
  <c r="B103" i="12" s="1"/>
  <c r="B103" i="15" s="1"/>
  <c r="B105" i="12" a="1"/>
  <c r="B105" i="12" s="1"/>
  <c r="B105" i="15" s="1"/>
  <c r="B107" i="12" a="1"/>
  <c r="B107" i="12" s="1"/>
  <c r="B107" i="15" s="1"/>
  <c r="B108" i="12" a="1"/>
  <c r="B108" i="12" s="1"/>
  <c r="B108" i="15" s="1"/>
  <c r="B70" i="12" a="1"/>
  <c r="B70" i="12" s="1"/>
  <c r="B70" i="15" s="1"/>
  <c r="B71" i="12" a="1"/>
  <c r="B71" i="12" s="1"/>
  <c r="B71" i="15" s="1"/>
  <c r="B20" i="12" a="1"/>
  <c r="B20" i="12" s="1"/>
  <c r="B20" i="15" s="1"/>
  <c r="B40" i="12" a="1"/>
  <c r="B40" i="12" s="1"/>
  <c r="B40" i="15" s="1"/>
  <c r="B60" i="12" a="1"/>
  <c r="B60" i="12" s="1"/>
  <c r="B60" i="15" s="1"/>
  <c r="B80" i="12" a="1"/>
  <c r="B80" i="12" s="1"/>
  <c r="B80" i="15" s="1"/>
  <c r="B100" i="12" a="1"/>
  <c r="B100" i="12" s="1"/>
  <c r="B100" i="15" s="1"/>
  <c r="B4" i="12" a="1"/>
  <c r="B4" i="12" s="1"/>
  <c r="B4" i="15" s="1"/>
  <c r="B24" i="12" a="1"/>
  <c r="B24" i="12" s="1"/>
  <c r="B24" i="15" s="1"/>
  <c r="B47" i="12" a="1"/>
  <c r="B47" i="12" s="1"/>
  <c r="B47" i="15" s="1"/>
  <c r="B28" i="12" a="1"/>
  <c r="B28" i="12" s="1"/>
  <c r="B28" i="15" s="1"/>
  <c r="B109" i="12" a="1"/>
  <c r="B109" i="12" s="1"/>
  <c r="B109" i="15" s="1"/>
  <c r="B30" i="12" a="1"/>
  <c r="B30" i="12" s="1"/>
  <c r="B30" i="15" s="1"/>
  <c r="B51" i="12" a="1"/>
  <c r="B51" i="12" s="1"/>
  <c r="B51" i="15" s="1"/>
  <c r="B21" i="12" a="1"/>
  <c r="B21" i="12" s="1"/>
  <c r="B21" i="15" s="1"/>
  <c r="B41" i="12" a="1"/>
  <c r="B41" i="12" s="1"/>
  <c r="B41" i="15" s="1"/>
  <c r="B61" i="12" a="1"/>
  <c r="B61" i="12" s="1"/>
  <c r="B61" i="15" s="1"/>
  <c r="B81" i="12" a="1"/>
  <c r="B81" i="12" s="1"/>
  <c r="B81" i="15" s="1"/>
  <c r="B87" i="12" a="1"/>
  <c r="B87" i="12" s="1"/>
  <c r="B87" i="15" s="1"/>
  <c r="B50" i="12" a="1"/>
  <c r="B50" i="12" s="1"/>
  <c r="B50" i="15" s="1"/>
  <c r="B22" i="12" a="1"/>
  <c r="B22" i="12" s="1"/>
  <c r="B22" i="15" s="1"/>
  <c r="B42" i="12" a="1"/>
  <c r="B42" i="12" s="1"/>
  <c r="B42" i="15" s="1"/>
  <c r="B62" i="12" a="1"/>
  <c r="B62" i="12" s="1"/>
  <c r="B62" i="15" s="1"/>
  <c r="B82" i="12" a="1"/>
  <c r="B82" i="12" s="1"/>
  <c r="B82" i="15" s="1"/>
  <c r="B102" i="12" a="1"/>
  <c r="B102" i="12" s="1"/>
  <c r="B102" i="15" s="1"/>
  <c r="B63" i="12" a="1"/>
  <c r="B63" i="12" s="1"/>
  <c r="B63" i="15" s="1"/>
  <c r="B104" i="12" a="1"/>
  <c r="B104" i="12" s="1"/>
  <c r="B104" i="15" s="1"/>
  <c r="B89" i="12" a="1"/>
  <c r="B89" i="12" s="1"/>
  <c r="B89" i="15" s="1"/>
  <c r="B111" i="12" a="1"/>
  <c r="B111" i="12" s="1"/>
  <c r="B111" i="15" s="1"/>
  <c r="B72" i="12" a="1"/>
  <c r="B72" i="12" s="1"/>
  <c r="B72" i="15" s="1"/>
  <c r="B23" i="12" a="1"/>
  <c r="B23" i="12" s="1"/>
  <c r="B23" i="15" s="1"/>
  <c r="B43" i="12" a="1"/>
  <c r="B43" i="12" s="1"/>
  <c r="B43" i="15" s="1"/>
  <c r="B44" i="12" a="1"/>
  <c r="B44" i="12" s="1"/>
  <c r="B44" i="15" s="1"/>
  <c r="B106" i="12" a="1"/>
  <c r="B106" i="12" s="1"/>
  <c r="B106" i="15" s="1"/>
  <c r="B8" i="12" a="1"/>
  <c r="B8" i="12" s="1"/>
  <c r="B8" i="15" s="1"/>
  <c r="B69" i="12" a="1"/>
  <c r="B69" i="12" s="1"/>
  <c r="B69" i="15" s="1"/>
  <c r="B110" i="12" a="1"/>
  <c r="B110" i="12" s="1"/>
  <c r="B110" i="15" s="1"/>
  <c r="B31" i="12" a="1"/>
  <c r="B31" i="12" s="1"/>
  <c r="B31" i="15" s="1"/>
  <c r="B112" i="12" a="1"/>
  <c r="B112" i="12" s="1"/>
  <c r="B112" i="15" s="1"/>
  <c r="B5" i="12" a="1"/>
  <c r="B5" i="12" s="1"/>
  <c r="B5" i="15" s="1"/>
  <c r="B25" i="12" a="1"/>
  <c r="B25" i="12" s="1"/>
  <c r="B25" i="15" s="1"/>
  <c r="B45" i="12" a="1"/>
  <c r="B45" i="12" s="1"/>
  <c r="B45" i="15" s="1"/>
  <c r="B65" i="12" a="1"/>
  <c r="B65" i="12" s="1"/>
  <c r="B65" i="15" s="1"/>
  <c r="B85" i="12" a="1"/>
  <c r="B85" i="12" s="1"/>
  <c r="B85" i="15" s="1"/>
  <c r="B90" i="12" a="1"/>
  <c r="B90" i="12" s="1"/>
  <c r="B90" i="15" s="1"/>
  <c r="B6" i="12" a="1"/>
  <c r="B6" i="12" s="1"/>
  <c r="B6" i="15" s="1"/>
  <c r="B26" i="12" a="1"/>
  <c r="B26" i="12" s="1"/>
  <c r="B26" i="15" s="1"/>
  <c r="B46" i="12" a="1"/>
  <c r="B46" i="12" s="1"/>
  <c r="B46" i="15" s="1"/>
  <c r="B66" i="12" a="1"/>
  <c r="B66" i="12" s="1"/>
  <c r="B66" i="15" s="1"/>
  <c r="B86" i="12" a="1"/>
  <c r="B86" i="12" s="1"/>
  <c r="B86" i="15" s="1"/>
  <c r="B9" i="12" a="1"/>
  <c r="B9" i="12" s="1"/>
  <c r="B9" i="15" s="1"/>
  <c r="B10" i="12" a="1"/>
  <c r="B10" i="12" s="1"/>
  <c r="B10" i="15" s="1"/>
  <c r="B32" i="12" a="1"/>
  <c r="B32" i="12" s="1"/>
  <c r="B32" i="15" s="1"/>
  <c r="B7" i="12" a="1"/>
  <c r="B7" i="12" s="1"/>
  <c r="B7" i="15" s="1"/>
  <c r="B91" i="12" a="1"/>
  <c r="B91" i="12" s="1"/>
  <c r="B91" i="15" s="1"/>
  <c r="B92" i="12" a="1"/>
  <c r="B92" i="12" s="1"/>
  <c r="B92" i="15" s="1"/>
  <c r="B68" i="12" a="1"/>
  <c r="B68" i="12" s="1"/>
  <c r="B68" i="15" s="1"/>
  <c r="B13" i="12" a="1"/>
  <c r="B13" i="12" s="1"/>
  <c r="B13" i="15" s="1"/>
  <c r="B33" i="12" a="1"/>
  <c r="B33" i="12" s="1"/>
  <c r="B33" i="15" s="1"/>
  <c r="B53" i="12" a="1"/>
  <c r="B53" i="12" s="1"/>
  <c r="B53" i="15" s="1"/>
  <c r="B73" i="12" a="1"/>
  <c r="B73" i="12" s="1"/>
  <c r="B73" i="15" s="1"/>
  <c r="B93" i="12" a="1"/>
  <c r="B93" i="12" s="1"/>
  <c r="B93" i="15" s="1"/>
  <c r="B113" i="12" a="1"/>
  <c r="B113" i="12" s="1"/>
  <c r="B113" i="15" s="1"/>
  <c r="B34" i="12" a="1"/>
  <c r="B34" i="12" s="1"/>
  <c r="B34" i="15" s="1"/>
  <c r="B74" i="12" a="1"/>
  <c r="B74" i="12" s="1"/>
  <c r="B74" i="15" s="1"/>
  <c r="B94" i="12" a="1"/>
  <c r="B94" i="12" s="1"/>
  <c r="B94" i="15" s="1"/>
  <c r="B76" i="12" a="1"/>
  <c r="B76" i="12" s="1"/>
  <c r="B76" i="15" s="1"/>
  <c r="B14" i="12" a="1"/>
  <c r="B14" i="12" s="1"/>
  <c r="B14" i="15" s="1"/>
  <c r="B54" i="12" a="1"/>
  <c r="B54" i="12" s="1"/>
  <c r="B54" i="15" s="1"/>
  <c r="B114" i="12" a="1"/>
  <c r="B114" i="12" s="1"/>
  <c r="B114" i="15" s="1"/>
  <c r="B15" i="12" a="1"/>
  <c r="B15" i="12" s="1"/>
  <c r="B15" i="15" s="1"/>
  <c r="B35" i="12" a="1"/>
  <c r="B35" i="12" s="1"/>
  <c r="B35" i="15" s="1"/>
  <c r="B55" i="12" a="1"/>
  <c r="B55" i="12" s="1"/>
  <c r="B55" i="15" s="1"/>
  <c r="B75" i="12" a="1"/>
  <c r="B75" i="12" s="1"/>
  <c r="B75" i="15" s="1"/>
  <c r="B95" i="12" a="1"/>
  <c r="B95" i="12" s="1"/>
  <c r="B95" i="15" s="1"/>
  <c r="B115" i="12" a="1"/>
  <c r="B115" i="12" s="1"/>
  <c r="B115" i="15" s="1"/>
  <c r="B36" i="12" a="1"/>
  <c r="B36" i="12" s="1"/>
  <c r="B36" i="15" s="1"/>
  <c r="B56" i="12" a="1"/>
  <c r="B56" i="12" s="1"/>
  <c r="B56" i="15" s="1"/>
  <c r="B96" i="12" a="1"/>
  <c r="B96" i="12" s="1"/>
  <c r="B96" i="15" s="1"/>
  <c r="B16" i="12" a="1"/>
  <c r="B16" i="12" s="1"/>
  <c r="B16" i="15" s="1"/>
  <c r="B116" i="12" a="1"/>
  <c r="B116" i="12" s="1"/>
  <c r="B116" i="15" s="1"/>
  <c r="E6" i="10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F5" i="10"/>
  <c r="E6" i="2"/>
  <c r="E7" i="2" s="1"/>
  <c r="C6" i="1"/>
  <c r="C7" i="1"/>
  <c r="C8" i="1"/>
  <c r="F5" i="11"/>
  <c r="E6" i="11"/>
  <c r="F5" i="9"/>
  <c r="E6" i="9"/>
  <c r="F5" i="8"/>
  <c r="G5" i="8" s="1"/>
  <c r="E6" i="8"/>
  <c r="F5" i="2"/>
  <c r="C29" i="1"/>
  <c r="H94" i="17" l="1"/>
  <c r="H122" i="17"/>
  <c r="H70" i="17"/>
  <c r="H110" i="17"/>
  <c r="H20" i="17"/>
  <c r="H37" i="17"/>
  <c r="H149" i="17"/>
  <c r="H92" i="17"/>
  <c r="T92" i="17" s="1"/>
  <c r="H75" i="17"/>
  <c r="T75" i="17" s="1"/>
  <c r="H104" i="17"/>
  <c r="T104" i="17" s="1"/>
  <c r="H145" i="17"/>
  <c r="T145" i="17" s="1"/>
  <c r="H62" i="17"/>
  <c r="T62" i="17" s="1"/>
  <c r="H34" i="17"/>
  <c r="T34" i="17" s="1"/>
  <c r="H141" i="17"/>
  <c r="H91" i="17"/>
  <c r="T91" i="17" s="1"/>
  <c r="H119" i="17"/>
  <c r="T119" i="17" s="1"/>
  <c r="H83" i="17"/>
  <c r="T83" i="17" s="1"/>
  <c r="H66" i="17"/>
  <c r="T66" i="17" s="1"/>
  <c r="H118" i="17"/>
  <c r="T118" i="17" s="1"/>
  <c r="H42" i="17"/>
  <c r="H113" i="17"/>
  <c r="H138" i="17"/>
  <c r="H151" i="17"/>
  <c r="H100" i="17"/>
  <c r="H22" i="17"/>
  <c r="H53" i="17"/>
  <c r="H82" i="17"/>
  <c r="H81" i="17"/>
  <c r="T81" i="17" s="1"/>
  <c r="H106" i="17"/>
  <c r="H108" i="17"/>
  <c r="T108" i="17" s="1"/>
  <c r="H131" i="17"/>
  <c r="T131" i="17" s="1"/>
  <c r="H150" i="17"/>
  <c r="T150" i="17" s="1"/>
  <c r="H30" i="17"/>
  <c r="T30" i="17" s="1"/>
  <c r="H52" i="17"/>
  <c r="T52" i="17" s="1"/>
  <c r="H24" i="17"/>
  <c r="H16" i="17"/>
  <c r="H126" i="17"/>
  <c r="T126" i="17" s="1"/>
  <c r="H116" i="17"/>
  <c r="T116" i="17" s="1"/>
  <c r="H140" i="17"/>
  <c r="T140" i="17" s="1"/>
  <c r="H29" i="17"/>
  <c r="T29" i="17" s="1"/>
  <c r="H44" i="17"/>
  <c r="T44" i="17" s="1"/>
  <c r="H21" i="17"/>
  <c r="T21" i="17" s="1"/>
  <c r="H54" i="17"/>
  <c r="H55" i="17"/>
  <c r="H103" i="17"/>
  <c r="H84" i="17"/>
  <c r="H79" i="17"/>
  <c r="H111" i="17"/>
  <c r="H60" i="17"/>
  <c r="H88" i="17"/>
  <c r="H130" i="17"/>
  <c r="T130" i="17" s="1"/>
  <c r="H128" i="17"/>
  <c r="H11" i="17"/>
  <c r="T11" i="17" s="1"/>
  <c r="H61" i="17"/>
  <c r="T61" i="17" s="1"/>
  <c r="H139" i="17"/>
  <c r="T139" i="17" s="1"/>
  <c r="H39" i="17"/>
  <c r="T39" i="17" s="1"/>
  <c r="H59" i="17"/>
  <c r="H17" i="17"/>
  <c r="T17" i="17" s="1"/>
  <c r="H40" i="17"/>
  <c r="T40" i="17" s="1"/>
  <c r="H121" i="17"/>
  <c r="T121" i="17" s="1"/>
  <c r="H71" i="17"/>
  <c r="T71" i="17" s="1"/>
  <c r="H86" i="17"/>
  <c r="H120" i="17"/>
  <c r="H147" i="17"/>
  <c r="H41" i="17"/>
  <c r="H133" i="17"/>
  <c r="T133" i="17" s="1"/>
  <c r="H107" i="17"/>
  <c r="H78" i="17"/>
  <c r="H23" i="17"/>
  <c r="H146" i="17"/>
  <c r="H33" i="17"/>
  <c r="H127" i="17"/>
  <c r="H72" i="17"/>
  <c r="H35" i="17"/>
  <c r="T35" i="17" s="1"/>
  <c r="H69" i="17"/>
  <c r="H137" i="17"/>
  <c r="H117" i="17"/>
  <c r="H58" i="17"/>
  <c r="T58" i="17" s="1"/>
  <c r="H19" i="17"/>
  <c r="H109" i="17"/>
  <c r="H67" i="17"/>
  <c r="H90" i="17"/>
  <c r="H125" i="17"/>
  <c r="H112" i="17"/>
  <c r="H48" i="17"/>
  <c r="T48" i="17" s="1"/>
  <c r="H28" i="17"/>
  <c r="H47" i="17"/>
  <c r="H65" i="17"/>
  <c r="H95" i="17"/>
  <c r="T95" i="17" s="1"/>
  <c r="H73" i="17"/>
  <c r="T73" i="17" s="1"/>
  <c r="H56" i="17"/>
  <c r="H49" i="17"/>
  <c r="H132" i="17"/>
  <c r="H93" i="17"/>
  <c r="H63" i="17"/>
  <c r="H43" i="17"/>
  <c r="H80" i="17"/>
  <c r="H142" i="17"/>
  <c r="H85" i="17"/>
  <c r="H144" i="17"/>
  <c r="H136" i="17"/>
  <c r="H36" i="17"/>
  <c r="H96" i="17"/>
  <c r="H68" i="17"/>
  <c r="H27" i="17"/>
  <c r="H77" i="17"/>
  <c r="H114" i="17"/>
  <c r="H135" i="17"/>
  <c r="H101" i="17"/>
  <c r="H57" i="17"/>
  <c r="H32" i="17"/>
  <c r="H31" i="17"/>
  <c r="H13" i="17"/>
  <c r="T13" i="17" s="1"/>
  <c r="H124" i="17"/>
  <c r="H25" i="17"/>
  <c r="H64" i="17"/>
  <c r="H99" i="17"/>
  <c r="H51" i="17"/>
  <c r="H89" i="17"/>
  <c r="H26" i="17"/>
  <c r="H115" i="17"/>
  <c r="T115" i="17" s="1"/>
  <c r="H74" i="17"/>
  <c r="H87" i="17"/>
  <c r="H50" i="17"/>
  <c r="H14" i="17"/>
  <c r="H148" i="17"/>
  <c r="H45" i="17"/>
  <c r="T45" i="17" s="1"/>
  <c r="H38" i="17"/>
  <c r="H123" i="17"/>
  <c r="H97" i="17"/>
  <c r="H105" i="17"/>
  <c r="H12" i="17"/>
  <c r="H134" i="17"/>
  <c r="H46" i="17"/>
  <c r="H129" i="17"/>
  <c r="T129" i="17" s="1"/>
  <c r="H143" i="17"/>
  <c r="T143" i="17" s="1"/>
  <c r="H102" i="17"/>
  <c r="T102" i="17" s="1"/>
  <c r="H98" i="17"/>
  <c r="T98" i="17" s="1"/>
  <c r="H18" i="17"/>
  <c r="H15" i="17"/>
  <c r="T15" i="17" s="1"/>
  <c r="H76" i="17"/>
  <c r="T76" i="17" s="1"/>
  <c r="H124" i="4"/>
  <c r="H127" i="4"/>
  <c r="H15" i="4"/>
  <c r="H21" i="4"/>
  <c r="H122" i="4"/>
  <c r="H12" i="4"/>
  <c r="H129" i="4"/>
  <c r="H20" i="4"/>
  <c r="H126" i="4"/>
  <c r="H14" i="4"/>
  <c r="H16" i="4"/>
  <c r="H17" i="4"/>
  <c r="H125" i="4"/>
  <c r="H13" i="4"/>
  <c r="H130" i="4"/>
  <c r="H19" i="4"/>
  <c r="H11" i="4"/>
  <c r="H128" i="4"/>
  <c r="H131" i="4"/>
  <c r="H73" i="16"/>
  <c r="H141" i="16"/>
  <c r="T141" i="16" s="1"/>
  <c r="H117" i="16"/>
  <c r="H44" i="16"/>
  <c r="H15" i="16"/>
  <c r="H22" i="16"/>
  <c r="H126" i="16"/>
  <c r="H138" i="16"/>
  <c r="H97" i="16"/>
  <c r="T97" i="16" s="1"/>
  <c r="H147" i="16"/>
  <c r="T147" i="16" s="1"/>
  <c r="H49" i="16"/>
  <c r="T49" i="16" s="1"/>
  <c r="H92" i="16"/>
  <c r="T92" i="16" s="1"/>
  <c r="H30" i="16"/>
  <c r="H43" i="16"/>
  <c r="T43" i="16" s="1"/>
  <c r="H131" i="16"/>
  <c r="H98" i="16"/>
  <c r="T98" i="16" s="1"/>
  <c r="H139" i="16"/>
  <c r="T139" i="16" s="1"/>
  <c r="H89" i="16"/>
  <c r="T89" i="16" s="1"/>
  <c r="H74" i="16"/>
  <c r="T74" i="16" s="1"/>
  <c r="H107" i="16"/>
  <c r="T107" i="16" s="1"/>
  <c r="H42" i="16"/>
  <c r="T42" i="16" s="1"/>
  <c r="H67" i="16"/>
  <c r="T67" i="16" s="1"/>
  <c r="H123" i="16"/>
  <c r="H144" i="16"/>
  <c r="H115" i="16"/>
  <c r="H149" i="16"/>
  <c r="H76" i="16"/>
  <c r="T76" i="16" s="1"/>
  <c r="H17" i="16"/>
  <c r="H136" i="16"/>
  <c r="H93" i="16"/>
  <c r="H33" i="16"/>
  <c r="H125" i="16"/>
  <c r="H120" i="16"/>
  <c r="H78" i="16"/>
  <c r="H140" i="16"/>
  <c r="H35" i="16"/>
  <c r="H62" i="16"/>
  <c r="H32" i="16"/>
  <c r="H13" i="16"/>
  <c r="H151" i="16"/>
  <c r="H101" i="16"/>
  <c r="H146" i="16"/>
  <c r="H63" i="16"/>
  <c r="H85" i="16"/>
  <c r="H55" i="16"/>
  <c r="H34" i="16"/>
  <c r="H142" i="16"/>
  <c r="H94" i="16"/>
  <c r="T94" i="16" s="1"/>
  <c r="H113" i="16"/>
  <c r="H135" i="16"/>
  <c r="H80" i="16"/>
  <c r="H134" i="16"/>
  <c r="H23" i="16"/>
  <c r="H60" i="16"/>
  <c r="H31" i="16"/>
  <c r="H108" i="16"/>
  <c r="T108" i="16" s="1"/>
  <c r="H37" i="16"/>
  <c r="T37" i="16" s="1"/>
  <c r="H145" i="16"/>
  <c r="H104" i="16"/>
  <c r="T104" i="16" s="1"/>
  <c r="H27" i="16"/>
  <c r="H61" i="16"/>
  <c r="T61" i="16" s="1"/>
  <c r="H25" i="16"/>
  <c r="H19" i="16"/>
  <c r="H118" i="16"/>
  <c r="T118" i="16" s="1"/>
  <c r="H65" i="16"/>
  <c r="T65" i="16" s="1"/>
  <c r="H96" i="16"/>
  <c r="T96" i="16" s="1"/>
  <c r="H114" i="16"/>
  <c r="T114" i="16" s="1"/>
  <c r="H50" i="16"/>
  <c r="T50" i="16" s="1"/>
  <c r="H86" i="16"/>
  <c r="T86" i="16" s="1"/>
  <c r="H51" i="16"/>
  <c r="H59" i="16"/>
  <c r="H56" i="16"/>
  <c r="H91" i="16"/>
  <c r="H109" i="16"/>
  <c r="H39" i="16"/>
  <c r="H71" i="16"/>
  <c r="H47" i="16"/>
  <c r="H14" i="16"/>
  <c r="H81" i="16"/>
  <c r="H137" i="16"/>
  <c r="H143" i="16"/>
  <c r="H66" i="16"/>
  <c r="H11" i="16"/>
  <c r="H79" i="16"/>
  <c r="H26" i="16"/>
  <c r="H102" i="16"/>
  <c r="H90" i="16"/>
  <c r="H45" i="16"/>
  <c r="H112" i="16"/>
  <c r="T112" i="16" s="1"/>
  <c r="H148" i="16"/>
  <c r="T148" i="16" s="1"/>
  <c r="H82" i="16"/>
  <c r="T82" i="16" s="1"/>
  <c r="H28" i="16"/>
  <c r="T28" i="16" s="1"/>
  <c r="H38" i="16"/>
  <c r="T38" i="16" s="1"/>
  <c r="H53" i="16"/>
  <c r="T53" i="16" s="1"/>
  <c r="H124" i="16"/>
  <c r="H119" i="16"/>
  <c r="H69" i="16"/>
  <c r="H103" i="16"/>
  <c r="H54" i="16"/>
  <c r="H52" i="16"/>
  <c r="H132" i="16"/>
  <c r="H130" i="16"/>
  <c r="T130" i="16" s="1"/>
  <c r="H68" i="16"/>
  <c r="T68" i="16" s="1"/>
  <c r="H150" i="16"/>
  <c r="H95" i="16"/>
  <c r="H24" i="16"/>
  <c r="H72" i="16"/>
  <c r="H77" i="16"/>
  <c r="H12" i="16"/>
  <c r="H121" i="16"/>
  <c r="T121" i="16" s="1"/>
  <c r="H75" i="16"/>
  <c r="H87" i="16"/>
  <c r="H110" i="16"/>
  <c r="H46" i="16"/>
  <c r="H99" i="16"/>
  <c r="H100" i="16"/>
  <c r="H21" i="16"/>
  <c r="H20" i="16"/>
  <c r="H105" i="16"/>
  <c r="H58" i="16"/>
  <c r="H70" i="16"/>
  <c r="H111" i="16"/>
  <c r="H18" i="16"/>
  <c r="H41" i="16"/>
  <c r="H36" i="16"/>
  <c r="H129" i="16"/>
  <c r="H116" i="16"/>
  <c r="H84" i="16"/>
  <c r="H88" i="16"/>
  <c r="H57" i="16"/>
  <c r="H40" i="16"/>
  <c r="H122" i="16"/>
  <c r="H127" i="16"/>
  <c r="H16" i="16"/>
  <c r="T16" i="16" s="1"/>
  <c r="H48" i="16"/>
  <c r="H133" i="16"/>
  <c r="H106" i="16"/>
  <c r="H83" i="16"/>
  <c r="H64" i="16"/>
  <c r="H128" i="16"/>
  <c r="H29" i="16"/>
  <c r="G4" i="12"/>
  <c r="F4" i="12"/>
  <c r="E4" i="12"/>
  <c r="D4" i="12"/>
  <c r="C4" i="12"/>
  <c r="D24" i="1" a="1"/>
  <c r="D24" i="1" s="1"/>
  <c r="F24" i="1" s="1"/>
  <c r="D14" i="1" a="1"/>
  <c r="D14" i="1" s="1"/>
  <c r="F14" i="1" s="1"/>
  <c r="D22" i="1" a="1"/>
  <c r="D22" i="1" s="1"/>
  <c r="F22" i="1" s="1"/>
  <c r="D21" i="1" a="1"/>
  <c r="D21" i="1" s="1"/>
  <c r="F21" i="1" s="1"/>
  <c r="D17" i="1" a="1"/>
  <c r="D17" i="1" s="1"/>
  <c r="F17" i="1" s="1"/>
  <c r="D13" i="1" a="1"/>
  <c r="D13" i="1" s="1"/>
  <c r="F13" i="1" s="1"/>
  <c r="D15" i="1" a="1"/>
  <c r="D15" i="1" s="1"/>
  <c r="F15" i="1" s="1"/>
  <c r="D23" i="1" a="1"/>
  <c r="D23" i="1" s="1"/>
  <c r="F23" i="1" s="1"/>
  <c r="D16" i="1" a="1"/>
  <c r="D16" i="1" s="1"/>
  <c r="F16" i="1" s="1"/>
  <c r="B26" i="3" a="1"/>
  <c r="B26" i="3" s="1"/>
  <c r="B6" i="3" a="1"/>
  <c r="B6" i="3" s="1"/>
  <c r="B25" i="3" a="1"/>
  <c r="B25" i="3" s="1"/>
  <c r="B5" i="3" a="1"/>
  <c r="B5" i="3" s="1"/>
  <c r="B21" i="3" a="1"/>
  <c r="B21" i="3" s="1"/>
  <c r="B15" i="3" a="1"/>
  <c r="B15" i="3" s="1"/>
  <c r="B23" i="3" a="1"/>
  <c r="B23" i="3" s="1"/>
  <c r="B12" i="3" a="1"/>
  <c r="B12" i="3" s="1"/>
  <c r="B24" i="3" a="1"/>
  <c r="B24" i="3" s="1"/>
  <c r="B4" i="3" a="1"/>
  <c r="B4" i="3" s="1"/>
  <c r="B35" i="3" a="1"/>
  <c r="B35" i="3" s="1"/>
  <c r="B33" i="3" a="1"/>
  <c r="B33" i="3" s="1"/>
  <c r="B19" i="3" a="1"/>
  <c r="B19" i="3" s="1"/>
  <c r="B34" i="3" a="1"/>
  <c r="B34" i="3" s="1"/>
  <c r="B32" i="3" a="1"/>
  <c r="B32" i="3" s="1"/>
  <c r="B22" i="3" a="1"/>
  <c r="B22" i="3" s="1"/>
  <c r="B39" i="3" a="1"/>
  <c r="B39" i="3" s="1"/>
  <c r="B36" i="3" a="1"/>
  <c r="B36" i="3" s="1"/>
  <c r="B14" i="3" a="1"/>
  <c r="B14" i="3" s="1"/>
  <c r="B13" i="3" a="1"/>
  <c r="B13" i="3" s="1"/>
  <c r="B20" i="3" a="1"/>
  <c r="B20" i="3" s="1"/>
  <c r="B38" i="3" a="1"/>
  <c r="B38" i="3" s="1"/>
  <c r="B18" i="3" a="1"/>
  <c r="B18" i="3" s="1"/>
  <c r="B17" i="3" a="1"/>
  <c r="B17" i="3" s="1"/>
  <c r="B37" i="3" a="1"/>
  <c r="B37" i="3" s="1"/>
  <c r="B16" i="3" a="1"/>
  <c r="B16" i="3" s="1"/>
  <c r="B30" i="3" a="1"/>
  <c r="B30" i="3" s="1"/>
  <c r="B10" i="3" a="1"/>
  <c r="B10" i="3" s="1"/>
  <c r="B29" i="3" a="1"/>
  <c r="B29" i="3" s="1"/>
  <c r="B27" i="3" a="1"/>
  <c r="B27" i="3" s="1"/>
  <c r="B9" i="3" a="1"/>
  <c r="B9" i="3" s="1"/>
  <c r="B7" i="3" a="1"/>
  <c r="B7" i="3" s="1"/>
  <c r="B28" i="3" a="1"/>
  <c r="B28" i="3" s="1"/>
  <c r="B8" i="3" a="1"/>
  <c r="B8" i="3" s="1"/>
  <c r="B31" i="3" a="1"/>
  <c r="B31" i="3" s="1"/>
  <c r="B11" i="3" a="1"/>
  <c r="B11" i="3" s="1"/>
  <c r="D7" i="1" a="1"/>
  <c r="D7" i="1" s="1"/>
  <c r="F7" i="1" s="1"/>
  <c r="C119" i="12"/>
  <c r="D119" i="12"/>
  <c r="G119" i="12"/>
  <c r="F119" i="12"/>
  <c r="E119" i="12"/>
  <c r="C34" i="12"/>
  <c r="D34" i="12"/>
  <c r="F34" i="12"/>
  <c r="G34" i="12"/>
  <c r="E34" i="12"/>
  <c r="E68" i="12"/>
  <c r="D68" i="12"/>
  <c r="G68" i="12"/>
  <c r="F68" i="12"/>
  <c r="C68" i="12"/>
  <c r="E96" i="12"/>
  <c r="D96" i="12"/>
  <c r="G96" i="12"/>
  <c r="F96" i="12"/>
  <c r="C96" i="12"/>
  <c r="D32" i="12"/>
  <c r="C32" i="12"/>
  <c r="G32" i="12"/>
  <c r="F32" i="12"/>
  <c r="E32" i="12"/>
  <c r="F82" i="12"/>
  <c r="C82" i="12"/>
  <c r="G82" i="12"/>
  <c r="D82" i="12"/>
  <c r="E82" i="12"/>
  <c r="F117" i="12"/>
  <c r="C117" i="12"/>
  <c r="G117" i="12"/>
  <c r="E117" i="12"/>
  <c r="D117" i="12"/>
  <c r="D77" i="12"/>
  <c r="E77" i="12"/>
  <c r="C77" i="12"/>
  <c r="G77" i="12"/>
  <c r="F77" i="12"/>
  <c r="F55" i="12"/>
  <c r="D55" i="12"/>
  <c r="C55" i="12"/>
  <c r="E55" i="12"/>
  <c r="G55" i="12"/>
  <c r="F51" i="12"/>
  <c r="G51" i="12"/>
  <c r="C51" i="12"/>
  <c r="E51" i="12"/>
  <c r="D51" i="12"/>
  <c r="E102" i="12"/>
  <c r="F102" i="12"/>
  <c r="G102" i="12"/>
  <c r="D102" i="12"/>
  <c r="C102" i="12"/>
  <c r="F20" i="12"/>
  <c r="D20" i="12"/>
  <c r="C20" i="12"/>
  <c r="E20" i="12"/>
  <c r="G20" i="12"/>
  <c r="C15" i="12"/>
  <c r="G15" i="12"/>
  <c r="E15" i="12"/>
  <c r="F15" i="12"/>
  <c r="D15" i="12"/>
  <c r="F64" i="12"/>
  <c r="D64" i="12"/>
  <c r="G64" i="12"/>
  <c r="C64" i="12"/>
  <c r="E64" i="12"/>
  <c r="F61" i="12"/>
  <c r="G61" i="12"/>
  <c r="C61" i="12"/>
  <c r="D61" i="12"/>
  <c r="E61" i="12"/>
  <c r="D58" i="12"/>
  <c r="E58" i="12"/>
  <c r="C58" i="12"/>
  <c r="G58" i="12"/>
  <c r="F58" i="12"/>
  <c r="C21" i="12"/>
  <c r="D21" i="12"/>
  <c r="E21" i="12"/>
  <c r="G21" i="12"/>
  <c r="F21" i="12"/>
  <c r="E80" i="12"/>
  <c r="F80" i="12"/>
  <c r="C80" i="12"/>
  <c r="D80" i="12"/>
  <c r="G80" i="12"/>
  <c r="E74" i="12"/>
  <c r="D74" i="12"/>
  <c r="G74" i="12"/>
  <c r="C74" i="12"/>
  <c r="F74" i="12"/>
  <c r="F108" i="12"/>
  <c r="D108" i="12"/>
  <c r="E108" i="12"/>
  <c r="C108" i="12"/>
  <c r="G108" i="12"/>
  <c r="E104" i="12"/>
  <c r="F104" i="12"/>
  <c r="C104" i="12"/>
  <c r="D104" i="12"/>
  <c r="G104" i="12"/>
  <c r="G45" i="12"/>
  <c r="F45" i="12"/>
  <c r="D45" i="12"/>
  <c r="C45" i="12"/>
  <c r="E45" i="12"/>
  <c r="E116" i="12"/>
  <c r="C116" i="12"/>
  <c r="F116" i="12"/>
  <c r="D116" i="12"/>
  <c r="G116" i="12"/>
  <c r="F40" i="12"/>
  <c r="C40" i="12"/>
  <c r="E40" i="12"/>
  <c r="D40" i="12"/>
  <c r="G40" i="12"/>
  <c r="G111" i="12"/>
  <c r="D111" i="12"/>
  <c r="C111" i="12"/>
  <c r="F111" i="12"/>
  <c r="E111" i="12"/>
  <c r="C89" i="12"/>
  <c r="D89" i="12"/>
  <c r="F89" i="12"/>
  <c r="E89" i="12"/>
  <c r="G89" i="12"/>
  <c r="D85" i="12"/>
  <c r="F85" i="12"/>
  <c r="C85" i="12"/>
  <c r="G85" i="12"/>
  <c r="E85" i="12"/>
  <c r="G29" i="12"/>
  <c r="C29" i="12"/>
  <c r="E29" i="12"/>
  <c r="D29" i="12"/>
  <c r="F29" i="12"/>
  <c r="E79" i="12"/>
  <c r="G79" i="12"/>
  <c r="D79" i="12"/>
  <c r="C79" i="12"/>
  <c r="F79" i="12"/>
  <c r="C24" i="12"/>
  <c r="D24" i="12"/>
  <c r="G24" i="12"/>
  <c r="F24" i="12"/>
  <c r="E24" i="12"/>
  <c r="C92" i="12"/>
  <c r="D92" i="12"/>
  <c r="E92" i="12"/>
  <c r="G92" i="12"/>
  <c r="F92" i="12"/>
  <c r="C70" i="12"/>
  <c r="G70" i="12"/>
  <c r="D70" i="12"/>
  <c r="F70" i="12"/>
  <c r="E70" i="12"/>
  <c r="D67" i="12"/>
  <c r="C67" i="12"/>
  <c r="E67" i="12"/>
  <c r="G67" i="12"/>
  <c r="F67" i="12"/>
  <c r="F12" i="12"/>
  <c r="G12" i="12"/>
  <c r="C12" i="12"/>
  <c r="D12" i="12"/>
  <c r="E12" i="12"/>
  <c r="D19" i="12"/>
  <c r="C19" i="12"/>
  <c r="E19" i="12"/>
  <c r="G19" i="12"/>
  <c r="F19" i="12"/>
  <c r="F6" i="12"/>
  <c r="G6" i="12"/>
  <c r="D6" i="12"/>
  <c r="C6" i="12"/>
  <c r="E6" i="12"/>
  <c r="F73" i="12"/>
  <c r="E73" i="12"/>
  <c r="C73" i="12"/>
  <c r="G73" i="12"/>
  <c r="D73" i="12"/>
  <c r="C110" i="12"/>
  <c r="D110" i="12"/>
  <c r="E110" i="12"/>
  <c r="F110" i="12"/>
  <c r="G110" i="12"/>
  <c r="E107" i="12"/>
  <c r="F107" i="12"/>
  <c r="D107" i="12"/>
  <c r="G107" i="12"/>
  <c r="C107" i="12"/>
  <c r="E84" i="12"/>
  <c r="F84" i="12"/>
  <c r="C84" i="12"/>
  <c r="D84" i="12"/>
  <c r="G84" i="12"/>
  <c r="F63" i="12"/>
  <c r="G63" i="12"/>
  <c r="C63" i="12"/>
  <c r="D63" i="12"/>
  <c r="E63" i="12"/>
  <c r="F60" i="12"/>
  <c r="E60" i="12"/>
  <c r="C60" i="12"/>
  <c r="D60" i="12"/>
  <c r="G60" i="12"/>
  <c r="E57" i="12"/>
  <c r="C57" i="12"/>
  <c r="D57" i="12"/>
  <c r="G57" i="12"/>
  <c r="F57" i="12"/>
  <c r="C91" i="12"/>
  <c r="E91" i="12"/>
  <c r="D91" i="12"/>
  <c r="F91" i="12"/>
  <c r="G91" i="12"/>
  <c r="F101" i="12"/>
  <c r="C101" i="12"/>
  <c r="D101" i="12"/>
  <c r="E101" i="12"/>
  <c r="G101" i="12"/>
  <c r="F81" i="12"/>
  <c r="G81" i="12"/>
  <c r="D81" i="12"/>
  <c r="E81" i="12"/>
  <c r="C81" i="12"/>
  <c r="E88" i="12"/>
  <c r="F88" i="12"/>
  <c r="G88" i="12"/>
  <c r="C88" i="12"/>
  <c r="D88" i="12"/>
  <c r="G66" i="12"/>
  <c r="C66" i="12"/>
  <c r="F66" i="12"/>
  <c r="D66" i="12"/>
  <c r="E66" i="12"/>
  <c r="F44" i="12"/>
  <c r="E44" i="12"/>
  <c r="G44" i="12"/>
  <c r="D44" i="12"/>
  <c r="C44" i="12"/>
  <c r="D42" i="12"/>
  <c r="F42" i="12"/>
  <c r="C42" i="12"/>
  <c r="G42" i="12"/>
  <c r="E42" i="12"/>
  <c r="F39" i="12"/>
  <c r="D39" i="12"/>
  <c r="E39" i="12"/>
  <c r="C39" i="12"/>
  <c r="G39" i="12"/>
  <c r="F72" i="12"/>
  <c r="E72" i="12"/>
  <c r="C72" i="12"/>
  <c r="D72" i="12"/>
  <c r="G72" i="12"/>
  <c r="F69" i="12"/>
  <c r="C69" i="12"/>
  <c r="E69" i="12"/>
  <c r="D69" i="12"/>
  <c r="G69" i="12"/>
  <c r="C47" i="12"/>
  <c r="D47" i="12"/>
  <c r="G47" i="12"/>
  <c r="E47" i="12"/>
  <c r="F47" i="12"/>
  <c r="F28" i="12"/>
  <c r="D28" i="12"/>
  <c r="G28" i="12"/>
  <c r="C28" i="12"/>
  <c r="E28" i="12"/>
  <c r="D26" i="12"/>
  <c r="F26" i="12"/>
  <c r="E26" i="12"/>
  <c r="C26" i="12"/>
  <c r="G26" i="12"/>
  <c r="C23" i="12"/>
  <c r="G23" i="12"/>
  <c r="E23" i="12"/>
  <c r="D23" i="12"/>
  <c r="F23" i="12"/>
  <c r="G53" i="12"/>
  <c r="D53" i="12"/>
  <c r="C53" i="12"/>
  <c r="F53" i="12"/>
  <c r="E53" i="12"/>
  <c r="D95" i="12"/>
  <c r="C95" i="12"/>
  <c r="E95" i="12"/>
  <c r="F95" i="12"/>
  <c r="G95" i="12"/>
  <c r="G50" i="12"/>
  <c r="D50" i="12"/>
  <c r="C50" i="12"/>
  <c r="F50" i="12"/>
  <c r="E50" i="12"/>
  <c r="C14" i="12"/>
  <c r="G14" i="12"/>
  <c r="E14" i="12"/>
  <c r="D14" i="12"/>
  <c r="F14" i="12"/>
  <c r="E11" i="12"/>
  <c r="F11" i="12"/>
  <c r="C11" i="12"/>
  <c r="G11" i="12"/>
  <c r="D11" i="12"/>
  <c r="F8" i="12"/>
  <c r="E8" i="12"/>
  <c r="C8" i="12"/>
  <c r="D8" i="12"/>
  <c r="G8" i="12"/>
  <c r="G113" i="12"/>
  <c r="C113" i="12"/>
  <c r="E113" i="12"/>
  <c r="D113" i="12"/>
  <c r="F113" i="12"/>
  <c r="F36" i="12"/>
  <c r="C36" i="12"/>
  <c r="D36" i="12"/>
  <c r="E36" i="12"/>
  <c r="G36" i="12"/>
  <c r="E31" i="12"/>
  <c r="C31" i="12"/>
  <c r="G31" i="12"/>
  <c r="D31" i="12"/>
  <c r="F31" i="12"/>
  <c r="E16" i="12"/>
  <c r="C16" i="12"/>
  <c r="D16" i="12"/>
  <c r="G16" i="12"/>
  <c r="F16" i="12"/>
  <c r="F5" i="12"/>
  <c r="G5" i="12"/>
  <c r="E5" i="12"/>
  <c r="D5" i="12"/>
  <c r="C5" i="12"/>
  <c r="F118" i="12"/>
  <c r="G118" i="12"/>
  <c r="D118" i="12"/>
  <c r="C118" i="12"/>
  <c r="E118" i="12"/>
  <c r="C97" i="12"/>
  <c r="E97" i="12"/>
  <c r="D97" i="12"/>
  <c r="F97" i="12"/>
  <c r="G97" i="12"/>
  <c r="C94" i="12"/>
  <c r="G94" i="12"/>
  <c r="E94" i="12"/>
  <c r="F94" i="12"/>
  <c r="D94" i="12"/>
  <c r="G109" i="12"/>
  <c r="E109" i="12"/>
  <c r="C109" i="12"/>
  <c r="D109" i="12"/>
  <c r="F109" i="12"/>
  <c r="D48" i="12"/>
  <c r="E48" i="12"/>
  <c r="G48" i="12"/>
  <c r="F48" i="12"/>
  <c r="C48" i="12"/>
  <c r="E9" i="12"/>
  <c r="F9" i="12"/>
  <c r="C9" i="12"/>
  <c r="D9" i="12"/>
  <c r="G9" i="12"/>
  <c r="D106" i="12"/>
  <c r="E106" i="12"/>
  <c r="F106" i="12"/>
  <c r="C106" i="12"/>
  <c r="G106" i="12"/>
  <c r="G83" i="12"/>
  <c r="E83" i="12"/>
  <c r="D83" i="12"/>
  <c r="F83" i="12"/>
  <c r="C83" i="12"/>
  <c r="E100" i="12"/>
  <c r="D100" i="12"/>
  <c r="C100" i="12"/>
  <c r="F100" i="12"/>
  <c r="G100" i="12"/>
  <c r="C78" i="12"/>
  <c r="G78" i="12"/>
  <c r="F78" i="12"/>
  <c r="E78" i="12"/>
  <c r="D78" i="12"/>
  <c r="F75" i="12"/>
  <c r="C75" i="12"/>
  <c r="D75" i="12"/>
  <c r="E75" i="12"/>
  <c r="G75" i="12"/>
  <c r="F90" i="12"/>
  <c r="G90" i="12"/>
  <c r="C90" i="12"/>
  <c r="D90" i="12"/>
  <c r="E90" i="12"/>
  <c r="C87" i="12"/>
  <c r="E87" i="12"/>
  <c r="G87" i="12"/>
  <c r="D87" i="12"/>
  <c r="F87" i="12"/>
  <c r="F65" i="12"/>
  <c r="G65" i="12"/>
  <c r="E65" i="12"/>
  <c r="C65" i="12"/>
  <c r="D65" i="12"/>
  <c r="C62" i="12"/>
  <c r="G62" i="12"/>
  <c r="E62" i="12"/>
  <c r="F62" i="12"/>
  <c r="D62" i="12"/>
  <c r="D59" i="12"/>
  <c r="C59" i="12"/>
  <c r="E59" i="12"/>
  <c r="G59" i="12"/>
  <c r="F59" i="12"/>
  <c r="F56" i="12"/>
  <c r="C56" i="12"/>
  <c r="D56" i="12"/>
  <c r="E56" i="12"/>
  <c r="G56" i="12"/>
  <c r="C71" i="12"/>
  <c r="D71" i="12"/>
  <c r="F71" i="12"/>
  <c r="G71" i="12"/>
  <c r="E71" i="12"/>
  <c r="C114" i="12"/>
  <c r="F114" i="12"/>
  <c r="G114" i="12"/>
  <c r="E114" i="12"/>
  <c r="D114" i="12"/>
  <c r="C103" i="12"/>
  <c r="F103" i="12"/>
  <c r="E103" i="12"/>
  <c r="D103" i="12"/>
  <c r="G103" i="12"/>
  <c r="C49" i="12"/>
  <c r="G49" i="12"/>
  <c r="E49" i="12"/>
  <c r="D49" i="12"/>
  <c r="F49" i="12"/>
  <c r="G46" i="12"/>
  <c r="F46" i="12"/>
  <c r="D46" i="12"/>
  <c r="C46" i="12"/>
  <c r="E46" i="12"/>
  <c r="F43" i="12"/>
  <c r="E43" i="12"/>
  <c r="G43" i="12"/>
  <c r="C43" i="12"/>
  <c r="D43" i="12"/>
  <c r="F41" i="12"/>
  <c r="G41" i="12"/>
  <c r="E41" i="12"/>
  <c r="D41" i="12"/>
  <c r="C41" i="12"/>
  <c r="C38" i="12"/>
  <c r="F38" i="12"/>
  <c r="G38" i="12"/>
  <c r="E38" i="12"/>
  <c r="D38" i="12"/>
  <c r="G52" i="12"/>
  <c r="D52" i="12"/>
  <c r="F52" i="12"/>
  <c r="C52" i="12"/>
  <c r="E52" i="12"/>
  <c r="C76" i="12"/>
  <c r="G76" i="12"/>
  <c r="E76" i="12"/>
  <c r="F76" i="12"/>
  <c r="D76" i="12"/>
  <c r="F33" i="12"/>
  <c r="C33" i="12"/>
  <c r="E33" i="12"/>
  <c r="G33" i="12"/>
  <c r="D33" i="12"/>
  <c r="C30" i="12"/>
  <c r="E30" i="12"/>
  <c r="D30" i="12"/>
  <c r="G30" i="12"/>
  <c r="F30" i="12"/>
  <c r="D10" i="12"/>
  <c r="F10" i="12"/>
  <c r="E10" i="12"/>
  <c r="C10" i="12"/>
  <c r="G10" i="12"/>
  <c r="E25" i="12"/>
  <c r="D25" i="12"/>
  <c r="F25" i="12"/>
  <c r="C25" i="12"/>
  <c r="G25" i="12"/>
  <c r="C22" i="12"/>
  <c r="F22" i="12"/>
  <c r="G22" i="12"/>
  <c r="E22" i="12"/>
  <c r="D22" i="12"/>
  <c r="F35" i="12"/>
  <c r="E35" i="12"/>
  <c r="D35" i="12"/>
  <c r="C35" i="12"/>
  <c r="G35" i="12"/>
  <c r="G54" i="12"/>
  <c r="C54" i="12"/>
  <c r="F54" i="12"/>
  <c r="D54" i="12"/>
  <c r="E54" i="12"/>
  <c r="D37" i="12"/>
  <c r="G37" i="12"/>
  <c r="C37" i="12"/>
  <c r="E37" i="12"/>
  <c r="F37" i="12"/>
  <c r="E98" i="12"/>
  <c r="G98" i="12"/>
  <c r="F98" i="12"/>
  <c r="C98" i="12"/>
  <c r="D98" i="12"/>
  <c r="F105" i="12"/>
  <c r="E105" i="12"/>
  <c r="G105" i="12"/>
  <c r="C105" i="12"/>
  <c r="D105" i="12"/>
  <c r="F13" i="12"/>
  <c r="E13" i="12"/>
  <c r="C13" i="12"/>
  <c r="D13" i="12"/>
  <c r="G13" i="12"/>
  <c r="E99" i="12"/>
  <c r="C99" i="12"/>
  <c r="D99" i="12"/>
  <c r="G99" i="12"/>
  <c r="F99" i="12"/>
  <c r="G7" i="12"/>
  <c r="E7" i="12"/>
  <c r="D7" i="12"/>
  <c r="F7" i="12"/>
  <c r="C7" i="12"/>
  <c r="F112" i="12"/>
  <c r="D112" i="12"/>
  <c r="G112" i="12"/>
  <c r="E112" i="12"/>
  <c r="C112" i="12"/>
  <c r="E18" i="12"/>
  <c r="F18" i="12"/>
  <c r="C18" i="12"/>
  <c r="G18" i="12"/>
  <c r="D18" i="12"/>
  <c r="E17" i="12"/>
  <c r="C17" i="12"/>
  <c r="G17" i="12"/>
  <c r="F17" i="12"/>
  <c r="D17" i="12"/>
  <c r="G86" i="12"/>
  <c r="C86" i="12"/>
  <c r="D86" i="12"/>
  <c r="E86" i="12"/>
  <c r="F86" i="12"/>
  <c r="C27" i="12"/>
  <c r="F27" i="12"/>
  <c r="G27" i="12"/>
  <c r="E27" i="12"/>
  <c r="D27" i="12"/>
  <c r="D115" i="12"/>
  <c r="E115" i="12"/>
  <c r="C115" i="12"/>
  <c r="G115" i="12"/>
  <c r="F115" i="12"/>
  <c r="G93" i="12"/>
  <c r="F93" i="12"/>
  <c r="C93" i="12"/>
  <c r="E93" i="12"/>
  <c r="D93" i="12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6" i="11"/>
  <c r="G6" i="11" s="1"/>
  <c r="D6" i="1" a="1"/>
  <c r="D6" i="1" s="1"/>
  <c r="F6" i="1" s="1"/>
  <c r="F6" i="2"/>
  <c r="F7" i="2" s="1"/>
  <c r="G7" i="2" s="1"/>
  <c r="D9" i="1" a="1"/>
  <c r="D9" i="1" s="1"/>
  <c r="D8" i="1" a="1"/>
  <c r="D8" i="1" s="1"/>
  <c r="F8" i="1" s="1"/>
  <c r="D5" i="1" a="1"/>
  <c r="D5" i="1" s="1"/>
  <c r="F5" i="1" s="1"/>
  <c r="E7" i="11"/>
  <c r="G5" i="11"/>
  <c r="G5" i="10"/>
  <c r="E7" i="9"/>
  <c r="F6" i="9"/>
  <c r="G6" i="9" s="1"/>
  <c r="G5" i="9"/>
  <c r="E7" i="8"/>
  <c r="F6" i="8"/>
  <c r="G5" i="2"/>
  <c r="E8" i="2"/>
  <c r="H36" i="4"/>
  <c r="H56" i="4"/>
  <c r="H76" i="4"/>
  <c r="H96" i="4"/>
  <c r="H116" i="4"/>
  <c r="H136" i="4"/>
  <c r="H61" i="4"/>
  <c r="H121" i="4"/>
  <c r="H22" i="4"/>
  <c r="H82" i="4"/>
  <c r="H142" i="4"/>
  <c r="H43" i="4"/>
  <c r="H123" i="4"/>
  <c r="H24" i="4"/>
  <c r="H84" i="4"/>
  <c r="H25" i="4"/>
  <c r="H85" i="4"/>
  <c r="H26" i="4"/>
  <c r="H106" i="4"/>
  <c r="H67" i="4"/>
  <c r="H88" i="4"/>
  <c r="H29" i="4"/>
  <c r="H69" i="4"/>
  <c r="H109" i="4"/>
  <c r="H51" i="4"/>
  <c r="H151" i="4"/>
  <c r="H52" i="4"/>
  <c r="H132" i="4"/>
  <c r="H73" i="4"/>
  <c r="H54" i="4"/>
  <c r="H114" i="4"/>
  <c r="H55" i="4"/>
  <c r="H115" i="4"/>
  <c r="H37" i="4"/>
  <c r="H57" i="4"/>
  <c r="H77" i="4"/>
  <c r="H97" i="4"/>
  <c r="H117" i="4"/>
  <c r="H137" i="4"/>
  <c r="H38" i="4"/>
  <c r="H58" i="4"/>
  <c r="H78" i="4"/>
  <c r="H98" i="4"/>
  <c r="H118" i="4"/>
  <c r="H138" i="4"/>
  <c r="H39" i="4"/>
  <c r="H59" i="4"/>
  <c r="H79" i="4"/>
  <c r="H119" i="4"/>
  <c r="H40" i="4"/>
  <c r="H80" i="4"/>
  <c r="H140" i="4"/>
  <c r="H41" i="4"/>
  <c r="H81" i="4"/>
  <c r="H62" i="4"/>
  <c r="H23" i="4"/>
  <c r="H103" i="4"/>
  <c r="H143" i="4"/>
  <c r="H44" i="4"/>
  <c r="H104" i="4"/>
  <c r="H65" i="4"/>
  <c r="H145" i="4"/>
  <c r="H66" i="4"/>
  <c r="H146" i="4"/>
  <c r="H47" i="4"/>
  <c r="H107" i="4"/>
  <c r="H48" i="4"/>
  <c r="H108" i="4"/>
  <c r="H50" i="4"/>
  <c r="H90" i="4"/>
  <c r="H150" i="4"/>
  <c r="H71" i="4"/>
  <c r="H72" i="4"/>
  <c r="H33" i="4"/>
  <c r="H133" i="4"/>
  <c r="H74" i="4"/>
  <c r="H134" i="4"/>
  <c r="H75" i="4"/>
  <c r="H18" i="4"/>
  <c r="H99" i="4"/>
  <c r="H139" i="4"/>
  <c r="H60" i="4"/>
  <c r="H100" i="4"/>
  <c r="H120" i="4"/>
  <c r="H101" i="4"/>
  <c r="H141" i="4"/>
  <c r="H42" i="4"/>
  <c r="H102" i="4"/>
  <c r="H83" i="4"/>
  <c r="H64" i="4"/>
  <c r="H144" i="4"/>
  <c r="H45" i="4"/>
  <c r="H105" i="4"/>
  <c r="H46" i="4"/>
  <c r="H87" i="4"/>
  <c r="H147" i="4"/>
  <c r="H28" i="4"/>
  <c r="H31" i="4"/>
  <c r="H111" i="4"/>
  <c r="H32" i="4"/>
  <c r="H92" i="4"/>
  <c r="H93" i="4"/>
  <c r="H95" i="4"/>
  <c r="H63" i="4"/>
  <c r="H86" i="4"/>
  <c r="H27" i="4"/>
  <c r="H68" i="4"/>
  <c r="H148" i="4"/>
  <c r="H49" i="4"/>
  <c r="H89" i="4"/>
  <c r="H149" i="4"/>
  <c r="H30" i="4"/>
  <c r="H70" i="4"/>
  <c r="H110" i="4"/>
  <c r="H91" i="4"/>
  <c r="H112" i="4"/>
  <c r="H53" i="4"/>
  <c r="H113" i="4"/>
  <c r="H34" i="4"/>
  <c r="H94" i="4"/>
  <c r="H35" i="4"/>
  <c r="H135" i="4"/>
  <c r="UM115" i="15" l="1"/>
  <c r="TS115" i="15"/>
  <c r="SY115" i="15"/>
  <c r="SE115" i="15"/>
  <c r="RK115" i="15"/>
  <c r="QQ115" i="15"/>
  <c r="PW115" i="15"/>
  <c r="PC115" i="15"/>
  <c r="OI115" i="15"/>
  <c r="NO115" i="15"/>
  <c r="MU115" i="15"/>
  <c r="MA115" i="15"/>
  <c r="LG115" i="15"/>
  <c r="KM115" i="15"/>
  <c r="JS115" i="15"/>
  <c r="IY115" i="15"/>
  <c r="IE115" i="15"/>
  <c r="HK115" i="15"/>
  <c r="GQ115" i="15"/>
  <c r="FW115" i="15"/>
  <c r="DG115" i="15"/>
  <c r="AA115" i="15"/>
  <c r="UE115" i="15"/>
  <c r="SM115" i="15"/>
  <c r="QU115" i="15"/>
  <c r="OE115" i="15"/>
  <c r="MM115" i="15"/>
  <c r="KU115" i="15"/>
  <c r="JC115" i="15"/>
  <c r="GM115" i="15"/>
  <c r="EA115" i="15"/>
  <c r="AU115" i="15"/>
  <c r="DC115" i="15"/>
  <c r="W115" i="15"/>
  <c r="SQ115" i="15"/>
  <c r="RO115" i="15"/>
  <c r="PK115" i="15"/>
  <c r="NG115" i="15"/>
  <c r="ME115" i="15"/>
  <c r="LC115" i="15"/>
  <c r="GA115" i="15"/>
  <c r="GY115" i="15"/>
  <c r="NC115" i="15"/>
  <c r="IU115" i="15"/>
  <c r="QA115" i="15"/>
  <c r="JO115" i="15"/>
  <c r="IM115" i="15"/>
  <c r="HG115" i="15"/>
  <c r="GE115" i="15"/>
  <c r="FC115" i="15"/>
  <c r="BW115" i="15"/>
  <c r="S115" i="15"/>
  <c r="SI115" i="15"/>
  <c r="RC115" i="15"/>
  <c r="OQ115" i="15"/>
  <c r="DW115" i="15"/>
  <c r="TO115" i="15"/>
  <c r="NK115" i="15"/>
  <c r="EY115" i="15"/>
  <c r="CU115" i="15"/>
  <c r="UQ115" i="15"/>
  <c r="TK115" i="15"/>
  <c r="QY115" i="15"/>
  <c r="OM115" i="15"/>
  <c r="DS115" i="15"/>
  <c r="UA115" i="15"/>
  <c r="PG115" i="15"/>
  <c r="EQ115" i="15"/>
  <c r="CE115" i="15"/>
  <c r="NS115" i="15"/>
  <c r="HO115" i="15"/>
  <c r="DK115" i="15"/>
  <c r="CA115" i="15"/>
  <c r="AQ115" i="15"/>
  <c r="K115" i="15"/>
  <c r="LW115" i="15"/>
  <c r="KI115" i="15"/>
  <c r="QM115" i="15"/>
  <c r="LS115" i="15"/>
  <c r="IQ115" i="15"/>
  <c r="HC115" i="15"/>
  <c r="FS115" i="15"/>
  <c r="C115" i="15"/>
  <c r="SU115" i="15"/>
  <c r="KY115" i="15"/>
  <c r="DO115" i="15"/>
  <c r="AE115" i="15"/>
  <c r="QI115" i="15"/>
  <c r="MQ115" i="15"/>
  <c r="KQ115" i="15"/>
  <c r="GU115" i="15"/>
  <c r="FG115" i="15"/>
  <c r="BS115" i="15"/>
  <c r="QE115" i="15"/>
  <c r="PS115" i="15"/>
  <c r="NW115" i="15"/>
  <c r="JW115" i="15"/>
  <c r="GI115" i="15"/>
  <c r="EM115" i="15"/>
  <c r="BG115" i="15"/>
  <c r="KA115" i="15"/>
  <c r="CY115" i="15"/>
  <c r="UI115" i="15"/>
  <c r="AY115" i="15"/>
  <c r="RS115" i="15"/>
  <c r="CQ115" i="15"/>
  <c r="AM115" i="15"/>
  <c r="TW115" i="15"/>
  <c r="RG115" i="15"/>
  <c r="OU115" i="15"/>
  <c r="JK115" i="15"/>
  <c r="AI115" i="15"/>
  <c r="CM115" i="15"/>
  <c r="RW115" i="15"/>
  <c r="HS115" i="15"/>
  <c r="EE115" i="15"/>
  <c r="BC115" i="15"/>
  <c r="KE115" i="15"/>
  <c r="MY115" i="15"/>
  <c r="TG115" i="15"/>
  <c r="JG115" i="15"/>
  <c r="EI115" i="15"/>
  <c r="PO115" i="15"/>
  <c r="OY115" i="15"/>
  <c r="II115" i="15"/>
  <c r="IA115" i="15"/>
  <c r="CI115" i="15"/>
  <c r="OA115" i="15"/>
  <c r="HW115" i="15"/>
  <c r="TC115" i="15"/>
  <c r="FO115" i="15"/>
  <c r="SA115" i="15"/>
  <c r="EU115" i="15"/>
  <c r="BO115" i="15"/>
  <c r="MI115" i="15"/>
  <c r="LO115" i="15"/>
  <c r="FK115" i="15"/>
  <c r="LK115" i="15"/>
  <c r="BK115" i="15"/>
  <c r="O115" i="15"/>
  <c r="G115" i="15"/>
  <c r="UI18" i="15"/>
  <c r="TO18" i="15"/>
  <c r="SU18" i="15"/>
  <c r="SA18" i="15"/>
  <c r="RG18" i="15"/>
  <c r="QM18" i="15"/>
  <c r="PS18" i="15"/>
  <c r="OY18" i="15"/>
  <c r="OE18" i="15"/>
  <c r="NK18" i="15"/>
  <c r="MQ18" i="15"/>
  <c r="LW18" i="15"/>
  <c r="LC18" i="15"/>
  <c r="KI18" i="15"/>
  <c r="JO18" i="15"/>
  <c r="IU18" i="15"/>
  <c r="IA18" i="15"/>
  <c r="HG18" i="15"/>
  <c r="GM18" i="15"/>
  <c r="FS18" i="15"/>
  <c r="EY18" i="15"/>
  <c r="EE18" i="15"/>
  <c r="DK18" i="15"/>
  <c r="CQ18" i="15"/>
  <c r="BW18" i="15"/>
  <c r="BC18" i="15"/>
  <c r="AI18" i="15"/>
  <c r="O18" i="15"/>
  <c r="UE18" i="15"/>
  <c r="TK18" i="15"/>
  <c r="SQ18" i="15"/>
  <c r="RW18" i="15"/>
  <c r="RC18" i="15"/>
  <c r="QI18" i="15"/>
  <c r="PO18" i="15"/>
  <c r="OU18" i="15"/>
  <c r="OA18" i="15"/>
  <c r="NG18" i="15"/>
  <c r="MM18" i="15"/>
  <c r="LS18" i="15"/>
  <c r="KY18" i="15"/>
  <c r="KE18" i="15"/>
  <c r="JK18" i="15"/>
  <c r="IQ18" i="15"/>
  <c r="HW18" i="15"/>
  <c r="HC18" i="15"/>
  <c r="GI18" i="15"/>
  <c r="FO18" i="15"/>
  <c r="EU18" i="15"/>
  <c r="EA18" i="15"/>
  <c r="DG18" i="15"/>
  <c r="CM18" i="15"/>
  <c r="BS18" i="15"/>
  <c r="AY18" i="15"/>
  <c r="AE18" i="15"/>
  <c r="K18" i="15"/>
  <c r="CI18" i="15"/>
  <c r="BG18" i="15"/>
  <c r="UA18" i="15"/>
  <c r="SY18" i="15"/>
  <c r="RO18" i="15"/>
  <c r="QE18" i="15"/>
  <c r="PC18" i="15"/>
  <c r="NS18" i="15"/>
  <c r="MI18" i="15"/>
  <c r="LG18" i="15"/>
  <c r="JW18" i="15"/>
  <c r="IM18" i="15"/>
  <c r="HK18" i="15"/>
  <c r="GA18" i="15"/>
  <c r="EQ18" i="15"/>
  <c r="DO18" i="15"/>
  <c r="W18" i="15"/>
  <c r="CE18" i="15"/>
  <c r="TW18" i="15"/>
  <c r="SM18" i="15"/>
  <c r="RK18" i="15"/>
  <c r="QA18" i="15"/>
  <c r="OQ18" i="15"/>
  <c r="NO18" i="15"/>
  <c r="ME18" i="15"/>
  <c r="KU18" i="15"/>
  <c r="JS18" i="15"/>
  <c r="II18" i="15"/>
  <c r="GY18" i="15"/>
  <c r="FW18" i="15"/>
  <c r="EM18" i="15"/>
  <c r="AU18" i="15"/>
  <c r="DC18" i="15"/>
  <c r="S18" i="15"/>
  <c r="CA18" i="15"/>
  <c r="TS18" i="15"/>
  <c r="SI18" i="15"/>
  <c r="QY18" i="15"/>
  <c r="PW18" i="15"/>
  <c r="OM18" i="15"/>
  <c r="NC18" i="15"/>
  <c r="MA18" i="15"/>
  <c r="KQ18" i="15"/>
  <c r="JG18" i="15"/>
  <c r="IE18" i="15"/>
  <c r="GU18" i="15"/>
  <c r="FK18" i="15"/>
  <c r="EI18" i="15"/>
  <c r="AQ18" i="15"/>
  <c r="CY18" i="15"/>
  <c r="G18" i="15"/>
  <c r="CU18" i="15"/>
  <c r="C18" i="15"/>
  <c r="UQ18" i="15"/>
  <c r="PK18" i="15"/>
  <c r="KM18" i="15"/>
  <c r="FG18" i="15"/>
  <c r="AM18" i="15"/>
  <c r="UM18" i="15"/>
  <c r="PG18" i="15"/>
  <c r="KA18" i="15"/>
  <c r="FC18" i="15"/>
  <c r="AA18" i="15"/>
  <c r="TG18" i="15"/>
  <c r="OI18" i="15"/>
  <c r="JC18" i="15"/>
  <c r="DW18" i="15"/>
  <c r="MU18" i="15"/>
  <c r="RS18" i="15"/>
  <c r="TC18" i="15"/>
  <c r="NW18" i="15"/>
  <c r="IY18" i="15"/>
  <c r="DS18" i="15"/>
  <c r="HO18" i="15"/>
  <c r="SE18" i="15"/>
  <c r="MY18" i="15"/>
  <c r="HS18" i="15"/>
  <c r="BO18" i="15"/>
  <c r="QU18" i="15"/>
  <c r="LO18" i="15"/>
  <c r="GQ18" i="15"/>
  <c r="LK18" i="15"/>
  <c r="GE18" i="15"/>
  <c r="QQ18" i="15"/>
  <c r="BK18" i="15"/>
  <c r="UM13" i="15"/>
  <c r="TS13" i="15"/>
  <c r="SY13" i="15"/>
  <c r="SE13" i="15"/>
  <c r="RK13" i="15"/>
  <c r="QQ13" i="15"/>
  <c r="PW13" i="15"/>
  <c r="PC13" i="15"/>
  <c r="OI13" i="15"/>
  <c r="NG13" i="15"/>
  <c r="KA13" i="15"/>
  <c r="GU13" i="15"/>
  <c r="EI13" i="15"/>
  <c r="BC13" i="15"/>
  <c r="UA13" i="15"/>
  <c r="SI13" i="15"/>
  <c r="PS13" i="15"/>
  <c r="OA13" i="15"/>
  <c r="KU13" i="15"/>
  <c r="HO13" i="15"/>
  <c r="FC13" i="15"/>
  <c r="BW13" i="15"/>
  <c r="LO13" i="15"/>
  <c r="II13" i="15"/>
  <c r="FW13" i="15"/>
  <c r="CQ13" i="15"/>
  <c r="K13" i="15"/>
  <c r="TC13" i="15"/>
  <c r="QM13" i="15"/>
  <c r="OU13" i="15"/>
  <c r="MI13" i="15"/>
  <c r="JC13" i="15"/>
  <c r="GQ13" i="15"/>
  <c r="DK13" i="15"/>
  <c r="AE13" i="15"/>
  <c r="NC13" i="15"/>
  <c r="JW13" i="15"/>
  <c r="HK13" i="15"/>
  <c r="EE13" i="15"/>
  <c r="AY13" i="15"/>
  <c r="TW13" i="15"/>
  <c r="RG13" i="15"/>
  <c r="PO13" i="15"/>
  <c r="NW13" i="15"/>
  <c r="KQ13" i="15"/>
  <c r="IE13" i="15"/>
  <c r="EY13" i="15"/>
  <c r="BS13" i="15"/>
  <c r="LK13" i="15"/>
  <c r="IY13" i="15"/>
  <c r="FS13" i="15"/>
  <c r="CM13" i="15"/>
  <c r="G13" i="15"/>
  <c r="UQ13" i="15"/>
  <c r="SA13" i="15"/>
  <c r="QI13" i="15"/>
  <c r="OQ13" i="15"/>
  <c r="ME13" i="15"/>
  <c r="JS13" i="15"/>
  <c r="GM13" i="15"/>
  <c r="DG13" i="15"/>
  <c r="AA13" i="15"/>
  <c r="MY13" i="15"/>
  <c r="KM13" i="15"/>
  <c r="HG13" i="15"/>
  <c r="EA13" i="15"/>
  <c r="AU13" i="15"/>
  <c r="SU13" i="15"/>
  <c r="RC13" i="15"/>
  <c r="PK13" i="15"/>
  <c r="NS13" i="15"/>
  <c r="LG13" i="15"/>
  <c r="IA13" i="15"/>
  <c r="EU13" i="15"/>
  <c r="BO13" i="15"/>
  <c r="MA13" i="15"/>
  <c r="IU13" i="15"/>
  <c r="FO13" i="15"/>
  <c r="CI13" i="15"/>
  <c r="C13" i="15"/>
  <c r="TO13" i="15"/>
  <c r="RW13" i="15"/>
  <c r="QE13" i="15"/>
  <c r="OM13" i="15"/>
  <c r="MU13" i="15"/>
  <c r="JO13" i="15"/>
  <c r="GI13" i="15"/>
  <c r="DC13" i="15"/>
  <c r="NO13" i="15"/>
  <c r="KI13" i="15"/>
  <c r="TK13" i="15"/>
  <c r="RS13" i="15"/>
  <c r="QA13" i="15"/>
  <c r="MQ13" i="15"/>
  <c r="JK13" i="15"/>
  <c r="GE13" i="15"/>
  <c r="CY13" i="15"/>
  <c r="AM13" i="15"/>
  <c r="NK13" i="15"/>
  <c r="HS13" i="15"/>
  <c r="FG13" i="15"/>
  <c r="AQ13" i="15"/>
  <c r="HC13" i="15"/>
  <c r="CU13" i="15"/>
  <c r="TG13" i="15"/>
  <c r="MM13" i="15"/>
  <c r="SQ13" i="15"/>
  <c r="PG13" i="15"/>
  <c r="EQ13" i="15"/>
  <c r="KY13" i="15"/>
  <c r="LW13" i="15"/>
  <c r="GY13" i="15"/>
  <c r="SM13" i="15"/>
  <c r="LS13" i="15"/>
  <c r="JG13" i="15"/>
  <c r="EM13" i="15"/>
  <c r="CE13" i="15"/>
  <c r="AI13" i="15"/>
  <c r="OY13" i="15"/>
  <c r="W13" i="15"/>
  <c r="LC13" i="15"/>
  <c r="CA13" i="15"/>
  <c r="IQ13" i="15"/>
  <c r="DW13" i="15"/>
  <c r="OE13" i="15"/>
  <c r="S13" i="15"/>
  <c r="UI13" i="15"/>
  <c r="QY13" i="15"/>
  <c r="BK13" i="15"/>
  <c r="O13" i="15"/>
  <c r="GA13" i="15"/>
  <c r="FK13" i="15"/>
  <c r="RO13" i="15"/>
  <c r="DS13" i="15"/>
  <c r="QU13" i="15"/>
  <c r="DO13" i="15"/>
  <c r="IM13" i="15"/>
  <c r="BG13" i="15"/>
  <c r="HW13" i="15"/>
  <c r="UE13" i="15"/>
  <c r="KE13" i="15"/>
  <c r="UE9" i="15"/>
  <c r="TK9" i="15"/>
  <c r="SQ9" i="15"/>
  <c r="RW9" i="15"/>
  <c r="RC9" i="15"/>
  <c r="QI9" i="15"/>
  <c r="PO9" i="15"/>
  <c r="OU9" i="15"/>
  <c r="OA9" i="15"/>
  <c r="NG9" i="15"/>
  <c r="MM9" i="15"/>
  <c r="LS9" i="15"/>
  <c r="KY9" i="15"/>
  <c r="KE9" i="15"/>
  <c r="JK9" i="15"/>
  <c r="IQ9" i="15"/>
  <c r="HW9" i="15"/>
  <c r="HC9" i="15"/>
  <c r="GI9" i="15"/>
  <c r="FO9" i="15"/>
  <c r="EU9" i="15"/>
  <c r="EA9" i="15"/>
  <c r="DG9" i="15"/>
  <c r="CM9" i="15"/>
  <c r="BS9" i="15"/>
  <c r="AY9" i="15"/>
  <c r="AE9" i="15"/>
  <c r="K9" i="15"/>
  <c r="UQ9" i="15"/>
  <c r="RO9" i="15"/>
  <c r="OM9" i="15"/>
  <c r="LK9" i="15"/>
  <c r="II9" i="15"/>
  <c r="FG9" i="15"/>
  <c r="CI9" i="15"/>
  <c r="TO9" i="15"/>
  <c r="SM9" i="15"/>
  <c r="QM9" i="15"/>
  <c r="PK9" i="15"/>
  <c r="NK9" i="15"/>
  <c r="MI9" i="15"/>
  <c r="KI9" i="15"/>
  <c r="JG9" i="15"/>
  <c r="HG9" i="15"/>
  <c r="GE9" i="15"/>
  <c r="UM9" i="15"/>
  <c r="RK9" i="15"/>
  <c r="OI9" i="15"/>
  <c r="LG9" i="15"/>
  <c r="IE9" i="15"/>
  <c r="FC9" i="15"/>
  <c r="EE9" i="15"/>
  <c r="CE9" i="15"/>
  <c r="BG9" i="15"/>
  <c r="AI9" i="15"/>
  <c r="DC9" i="15"/>
  <c r="G9" i="15"/>
  <c r="SI9" i="15"/>
  <c r="PG9" i="15"/>
  <c r="ME9" i="15"/>
  <c r="JC9" i="15"/>
  <c r="GA9" i="15"/>
  <c r="UI9" i="15"/>
  <c r="TG9" i="15"/>
  <c r="RG9" i="15"/>
  <c r="QE9" i="15"/>
  <c r="OE9" i="15"/>
  <c r="NC9" i="15"/>
  <c r="LC9" i="15"/>
  <c r="KA9" i="15"/>
  <c r="IA9" i="15"/>
  <c r="GY9" i="15"/>
  <c r="EY9" i="15"/>
  <c r="CY9" i="15"/>
  <c r="CA9" i="15"/>
  <c r="BC9" i="15"/>
  <c r="C9" i="15"/>
  <c r="SE9" i="15"/>
  <c r="PC9" i="15"/>
  <c r="MA9" i="15"/>
  <c r="IY9" i="15"/>
  <c r="FW9" i="15"/>
  <c r="DW9" i="15"/>
  <c r="AA9" i="15"/>
  <c r="TC9" i="15"/>
  <c r="QA9" i="15"/>
  <c r="MY9" i="15"/>
  <c r="JW9" i="15"/>
  <c r="GU9" i="15"/>
  <c r="BW9" i="15"/>
  <c r="W9" i="15"/>
  <c r="DS9" i="15"/>
  <c r="CU9" i="15"/>
  <c r="UA9" i="15"/>
  <c r="SA9" i="15"/>
  <c r="QY9" i="15"/>
  <c r="OY9" i="15"/>
  <c r="NW9" i="15"/>
  <c r="LW9" i="15"/>
  <c r="KU9" i="15"/>
  <c r="IU9" i="15"/>
  <c r="HS9" i="15"/>
  <c r="FS9" i="15"/>
  <c r="EQ9" i="15"/>
  <c r="AU9" i="15"/>
  <c r="TW9" i="15"/>
  <c r="QU9" i="15"/>
  <c r="NS9" i="15"/>
  <c r="KQ9" i="15"/>
  <c r="HO9" i="15"/>
  <c r="EM9" i="15"/>
  <c r="DO9" i="15"/>
  <c r="CQ9" i="15"/>
  <c r="AQ9" i="15"/>
  <c r="S9" i="15"/>
  <c r="BO9" i="15"/>
  <c r="PW9" i="15"/>
  <c r="BK9" i="15"/>
  <c r="EI9" i="15"/>
  <c r="PS9" i="15"/>
  <c r="LO9" i="15"/>
  <c r="TS9" i="15"/>
  <c r="HK9" i="15"/>
  <c r="MQ9" i="15"/>
  <c r="DK9" i="15"/>
  <c r="O9" i="15"/>
  <c r="SY9" i="15"/>
  <c r="GQ9" i="15"/>
  <c r="OQ9" i="15"/>
  <c r="NO9" i="15"/>
  <c r="AM9" i="15"/>
  <c r="SU9" i="15"/>
  <c r="GM9" i="15"/>
  <c r="KM9" i="15"/>
  <c r="JS9" i="15"/>
  <c r="QQ9" i="15"/>
  <c r="IM9" i="15"/>
  <c r="RS9" i="15"/>
  <c r="JO9" i="15"/>
  <c r="FK9" i="15"/>
  <c r="MU9" i="15"/>
  <c r="UM11" i="15"/>
  <c r="TS11" i="15"/>
  <c r="SY11" i="15"/>
  <c r="SE11" i="15"/>
  <c r="RK11" i="15"/>
  <c r="QQ11" i="15"/>
  <c r="PW11" i="15"/>
  <c r="PC11" i="15"/>
  <c r="OI11" i="15"/>
  <c r="NO11" i="15"/>
  <c r="MU11" i="15"/>
  <c r="MA11" i="15"/>
  <c r="LG11" i="15"/>
  <c r="KM11" i="15"/>
  <c r="JS11" i="15"/>
  <c r="IY11" i="15"/>
  <c r="IE11" i="15"/>
  <c r="HK11" i="15"/>
  <c r="GQ11" i="15"/>
  <c r="FW11" i="15"/>
  <c r="FC11" i="15"/>
  <c r="EI11" i="15"/>
  <c r="DO11" i="15"/>
  <c r="CU11" i="15"/>
  <c r="CA11" i="15"/>
  <c r="BG11" i="15"/>
  <c r="AM11" i="15"/>
  <c r="S11" i="15"/>
  <c r="UE11" i="15"/>
  <c r="TK11" i="15"/>
  <c r="SQ11" i="15"/>
  <c r="RW11" i="15"/>
  <c r="RC11" i="15"/>
  <c r="QI11" i="15"/>
  <c r="PO11" i="15"/>
  <c r="OU11" i="15"/>
  <c r="OA11" i="15"/>
  <c r="NG11" i="15"/>
  <c r="MM11" i="15"/>
  <c r="LS11" i="15"/>
  <c r="KY11" i="15"/>
  <c r="KE11" i="15"/>
  <c r="JK11" i="15"/>
  <c r="IQ11" i="15"/>
  <c r="HW11" i="15"/>
  <c r="HC11" i="15"/>
  <c r="GI11" i="15"/>
  <c r="FO11" i="15"/>
  <c r="EU11" i="15"/>
  <c r="EA11" i="15"/>
  <c r="DG11" i="15"/>
  <c r="CM11" i="15"/>
  <c r="BS11" i="15"/>
  <c r="AY11" i="15"/>
  <c r="AE11" i="15"/>
  <c r="K11" i="15"/>
  <c r="TC11" i="15"/>
  <c r="RS11" i="15"/>
  <c r="PG11" i="15"/>
  <c r="NW11" i="15"/>
  <c r="EM11" i="15"/>
  <c r="GU11" i="15"/>
  <c r="CE11" i="15"/>
  <c r="NC11" i="15"/>
  <c r="SU11" i="15"/>
  <c r="OY11" i="15"/>
  <c r="JC11" i="15"/>
  <c r="EE11" i="15"/>
  <c r="DS11" i="15"/>
  <c r="LK11" i="15"/>
  <c r="GM11" i="15"/>
  <c r="FK11" i="15"/>
  <c r="DC11" i="15"/>
  <c r="W11" i="15"/>
  <c r="UA11" i="15"/>
  <c r="RO11" i="15"/>
  <c r="QE11" i="15"/>
  <c r="NS11" i="15"/>
  <c r="IU11" i="15"/>
  <c r="HS11" i="15"/>
  <c r="BW11" i="15"/>
  <c r="LC11" i="15"/>
  <c r="KA11" i="15"/>
  <c r="AU11" i="15"/>
  <c r="RG11" i="15"/>
  <c r="NK11" i="15"/>
  <c r="MI11" i="15"/>
  <c r="O11" i="15"/>
  <c r="G11" i="15"/>
  <c r="FG11" i="15"/>
  <c r="CY11" i="15"/>
  <c r="TW11" i="15"/>
  <c r="SM11" i="15"/>
  <c r="QA11" i="15"/>
  <c r="OQ11" i="15"/>
  <c r="HO11" i="15"/>
  <c r="JW11" i="15"/>
  <c r="EY11" i="15"/>
  <c r="DW11" i="15"/>
  <c r="AQ11" i="15"/>
  <c r="TO11" i="15"/>
  <c r="PS11" i="15"/>
  <c r="ME11" i="15"/>
  <c r="HG11" i="15"/>
  <c r="GE11" i="15"/>
  <c r="CQ11" i="15"/>
  <c r="JO11" i="15"/>
  <c r="IM11" i="15"/>
  <c r="BO11" i="15"/>
  <c r="SI11" i="15"/>
  <c r="QY11" i="15"/>
  <c r="OM11" i="15"/>
  <c r="LW11" i="15"/>
  <c r="KU11" i="15"/>
  <c r="AI11" i="15"/>
  <c r="II11" i="15"/>
  <c r="BK11" i="15"/>
  <c r="UQ11" i="15"/>
  <c r="TG11" i="15"/>
  <c r="QU11" i="15"/>
  <c r="PK11" i="15"/>
  <c r="KQ11" i="15"/>
  <c r="FS11" i="15"/>
  <c r="EQ11" i="15"/>
  <c r="DK11" i="15"/>
  <c r="KI11" i="15"/>
  <c r="C11" i="15"/>
  <c r="BC11" i="15"/>
  <c r="LO11" i="15"/>
  <c r="JG11" i="15"/>
  <c r="OE11" i="15"/>
  <c r="AA11" i="15"/>
  <c r="UI11" i="15"/>
  <c r="IA11" i="15"/>
  <c r="CI11" i="15"/>
  <c r="QM11" i="15"/>
  <c r="MY11" i="15"/>
  <c r="SA11" i="15"/>
  <c r="MQ11" i="15"/>
  <c r="GY11" i="15"/>
  <c r="GA11" i="15"/>
  <c r="UI53" i="15"/>
  <c r="TO53" i="15"/>
  <c r="SU53" i="15"/>
  <c r="SA53" i="15"/>
  <c r="RG53" i="15"/>
  <c r="QM53" i="15"/>
  <c r="PS53" i="15"/>
  <c r="OY53" i="15"/>
  <c r="OE53" i="15"/>
  <c r="NK53" i="15"/>
  <c r="MQ53" i="15"/>
  <c r="LW53" i="15"/>
  <c r="LC53" i="15"/>
  <c r="KI53" i="15"/>
  <c r="JO53" i="15"/>
  <c r="IU53" i="15"/>
  <c r="IA53" i="15"/>
  <c r="HG53" i="15"/>
  <c r="GM53" i="15"/>
  <c r="FS53" i="15"/>
  <c r="EY53" i="15"/>
  <c r="EE53" i="15"/>
  <c r="DK53" i="15"/>
  <c r="CQ53" i="15"/>
  <c r="BW53" i="15"/>
  <c r="BC53" i="15"/>
  <c r="AI53" i="15"/>
  <c r="O53" i="15"/>
  <c r="UE53" i="15"/>
  <c r="TK53" i="15"/>
  <c r="SQ53" i="15"/>
  <c r="RW53" i="15"/>
  <c r="RC53" i="15"/>
  <c r="QI53" i="15"/>
  <c r="PO53" i="15"/>
  <c r="OU53" i="15"/>
  <c r="OA53" i="15"/>
  <c r="NG53" i="15"/>
  <c r="MM53" i="15"/>
  <c r="LS53" i="15"/>
  <c r="KY53" i="15"/>
  <c r="KE53" i="15"/>
  <c r="JK53" i="15"/>
  <c r="IQ53" i="15"/>
  <c r="HW53" i="15"/>
  <c r="HC53" i="15"/>
  <c r="GI53" i="15"/>
  <c r="FO53" i="15"/>
  <c r="EU53" i="15"/>
  <c r="EA53" i="15"/>
  <c r="DG53" i="15"/>
  <c r="CM53" i="15"/>
  <c r="BS53" i="15"/>
  <c r="AY53" i="15"/>
  <c r="AE53" i="15"/>
  <c r="K53" i="15"/>
  <c r="UA53" i="15"/>
  <c r="TG53" i="15"/>
  <c r="SM53" i="15"/>
  <c r="RS53" i="15"/>
  <c r="QY53" i="15"/>
  <c r="QE53" i="15"/>
  <c r="PK53" i="15"/>
  <c r="OQ53" i="15"/>
  <c r="NW53" i="15"/>
  <c r="NC53" i="15"/>
  <c r="MI53" i="15"/>
  <c r="LO53" i="15"/>
  <c r="KU53" i="15"/>
  <c r="UM53" i="15"/>
  <c r="TS53" i="15"/>
  <c r="SY53" i="15"/>
  <c r="SE53" i="15"/>
  <c r="RK53" i="15"/>
  <c r="QQ53" i="15"/>
  <c r="JS53" i="15"/>
  <c r="II53" i="15"/>
  <c r="FW53" i="15"/>
  <c r="CI53" i="15"/>
  <c r="PG53" i="15"/>
  <c r="NS53" i="15"/>
  <c r="EM53" i="15"/>
  <c r="BG53" i="15"/>
  <c r="QU53" i="15"/>
  <c r="ME53" i="15"/>
  <c r="GY53" i="15"/>
  <c r="AA53" i="15"/>
  <c r="CE53" i="15"/>
  <c r="SI53" i="15"/>
  <c r="PC53" i="15"/>
  <c r="NO53" i="15"/>
  <c r="KQ53" i="15"/>
  <c r="IE53" i="15"/>
  <c r="GU53" i="15"/>
  <c r="EI53" i="15"/>
  <c r="W53" i="15"/>
  <c r="TW53" i="15"/>
  <c r="MA53" i="15"/>
  <c r="JG53" i="15"/>
  <c r="FK53" i="15"/>
  <c r="DC53" i="15"/>
  <c r="KM53" i="15"/>
  <c r="JC53" i="15"/>
  <c r="GQ53" i="15"/>
  <c r="FG53" i="15"/>
  <c r="AU53" i="15"/>
  <c r="CY53" i="15"/>
  <c r="S53" i="15"/>
  <c r="HS53" i="15"/>
  <c r="PW53" i="15"/>
  <c r="OI53" i="15"/>
  <c r="KA53" i="15"/>
  <c r="GE53" i="15"/>
  <c r="BO53" i="15"/>
  <c r="TC53" i="15"/>
  <c r="MU53" i="15"/>
  <c r="DS53" i="15"/>
  <c r="AM53" i="15"/>
  <c r="JW53" i="15"/>
  <c r="HK53" i="15"/>
  <c r="GA53" i="15"/>
  <c r="G53" i="15"/>
  <c r="OM53" i="15"/>
  <c r="DO53" i="15"/>
  <c r="CU53" i="15"/>
  <c r="MY53" i="15"/>
  <c r="RO53" i="15"/>
  <c r="IY53" i="15"/>
  <c r="CA53" i="15"/>
  <c r="C53" i="15"/>
  <c r="FC53" i="15"/>
  <c r="QA53" i="15"/>
  <c r="EQ53" i="15"/>
  <c r="BK53" i="15"/>
  <c r="UQ53" i="15"/>
  <c r="DW53" i="15"/>
  <c r="AQ53" i="15"/>
  <c r="LG53" i="15"/>
  <c r="HO53" i="15"/>
  <c r="LK53" i="15"/>
  <c r="IM53" i="15"/>
  <c r="UA42" i="15"/>
  <c r="RO42" i="15"/>
  <c r="OI42" i="15"/>
  <c r="LC42" i="15"/>
  <c r="HW42" i="15"/>
  <c r="SI42" i="15"/>
  <c r="PC42" i="15"/>
  <c r="LW42" i="15"/>
  <c r="IQ42" i="15"/>
  <c r="TC42" i="15"/>
  <c r="PW42" i="15"/>
  <c r="MQ42" i="15"/>
  <c r="JK42" i="15"/>
  <c r="TW42" i="15"/>
  <c r="QQ42" i="15"/>
  <c r="NK42" i="15"/>
  <c r="KE42" i="15"/>
  <c r="GY42" i="15"/>
  <c r="GE42" i="15"/>
  <c r="FK42" i="15"/>
  <c r="EQ42" i="15"/>
  <c r="DW42" i="15"/>
  <c r="DC42" i="15"/>
  <c r="CI42" i="15"/>
  <c r="BO42" i="15"/>
  <c r="AU42" i="15"/>
  <c r="AA42" i="15"/>
  <c r="G42" i="15"/>
  <c r="UQ42" i="15"/>
  <c r="RK42" i="15"/>
  <c r="OE42" i="15"/>
  <c r="KY42" i="15"/>
  <c r="HS42" i="15"/>
  <c r="SE42" i="15"/>
  <c r="OY42" i="15"/>
  <c r="LS42" i="15"/>
  <c r="IM42" i="15"/>
  <c r="SY42" i="15"/>
  <c r="PS42" i="15"/>
  <c r="MM42" i="15"/>
  <c r="JG42" i="15"/>
  <c r="UM42" i="15"/>
  <c r="RG42" i="15"/>
  <c r="OA42" i="15"/>
  <c r="KU42" i="15"/>
  <c r="II42" i="15"/>
  <c r="SA42" i="15"/>
  <c r="OU42" i="15"/>
  <c r="LO42" i="15"/>
  <c r="JC42" i="15"/>
  <c r="TO42" i="15"/>
  <c r="QI42" i="15"/>
  <c r="QU42" i="15"/>
  <c r="EY42" i="15"/>
  <c r="CA42" i="15"/>
  <c r="AQ42" i="15"/>
  <c r="TS42" i="15"/>
  <c r="QM42" i="15"/>
  <c r="HO42" i="15"/>
  <c r="K42" i="15"/>
  <c r="GI42" i="15"/>
  <c r="DK42" i="15"/>
  <c r="AM42" i="15"/>
  <c r="C42" i="15"/>
  <c r="NO42" i="15"/>
  <c r="MA42" i="15"/>
  <c r="KM42" i="15"/>
  <c r="IY42" i="15"/>
  <c r="HK42" i="15"/>
  <c r="GA42" i="15"/>
  <c r="RW42" i="15"/>
  <c r="NG42" i="15"/>
  <c r="EU42" i="15"/>
  <c r="BW42" i="15"/>
  <c r="FW42" i="15"/>
  <c r="EM42" i="15"/>
  <c r="TK42" i="15"/>
  <c r="QE42" i="15"/>
  <c r="OQ42" i="15"/>
  <c r="NC42" i="15"/>
  <c r="DG42" i="15"/>
  <c r="AI42" i="15"/>
  <c r="KI42" i="15"/>
  <c r="IU42" i="15"/>
  <c r="HG42" i="15"/>
  <c r="EI42" i="15"/>
  <c r="CY42" i="15"/>
  <c r="RS42" i="15"/>
  <c r="KA42" i="15"/>
  <c r="BS42" i="15"/>
  <c r="TG42" i="15"/>
  <c r="AE42" i="15"/>
  <c r="HC42" i="15"/>
  <c r="EE42" i="15"/>
  <c r="BG42" i="15"/>
  <c r="W42" i="15"/>
  <c r="SQ42" i="15"/>
  <c r="EA42" i="15"/>
  <c r="BC42" i="15"/>
  <c r="PK42" i="15"/>
  <c r="NW42" i="15"/>
  <c r="MI42" i="15"/>
  <c r="FC42" i="15"/>
  <c r="DS42" i="15"/>
  <c r="MU42" i="15"/>
  <c r="AY42" i="15"/>
  <c r="QY42" i="15"/>
  <c r="IE42" i="15"/>
  <c r="IA42" i="15"/>
  <c r="S42" i="15"/>
  <c r="QA42" i="15"/>
  <c r="ME42" i="15"/>
  <c r="UI42" i="15"/>
  <c r="PO42" i="15"/>
  <c r="LK42" i="15"/>
  <c r="DO42" i="15"/>
  <c r="O42" i="15"/>
  <c r="GQ42" i="15"/>
  <c r="CQ42" i="15"/>
  <c r="PG42" i="15"/>
  <c r="JW42" i="15"/>
  <c r="CE42" i="15"/>
  <c r="FS42" i="15"/>
  <c r="FO42" i="15"/>
  <c r="SM42" i="15"/>
  <c r="JO42" i="15"/>
  <c r="FG42" i="15"/>
  <c r="NS42" i="15"/>
  <c r="GU42" i="15"/>
  <c r="GM42" i="15"/>
  <c r="UE42" i="15"/>
  <c r="SU42" i="15"/>
  <c r="RC42" i="15"/>
  <c r="CU42" i="15"/>
  <c r="CM42" i="15"/>
  <c r="BK42" i="15"/>
  <c r="OM42" i="15"/>
  <c r="MY42" i="15"/>
  <c r="LG42" i="15"/>
  <c r="KQ42" i="15"/>
  <c r="JS42" i="15"/>
  <c r="UA60" i="15"/>
  <c r="TG60" i="15"/>
  <c r="SM60" i="15"/>
  <c r="RS60" i="15"/>
  <c r="QY60" i="15"/>
  <c r="QE60" i="15"/>
  <c r="PK60" i="15"/>
  <c r="OQ60" i="15"/>
  <c r="NW60" i="15"/>
  <c r="NC60" i="15"/>
  <c r="MI60" i="15"/>
  <c r="LO60" i="15"/>
  <c r="KU60" i="15"/>
  <c r="KA60" i="15"/>
  <c r="JG60" i="15"/>
  <c r="IM60" i="15"/>
  <c r="HS60" i="15"/>
  <c r="GY60" i="15"/>
  <c r="GE60" i="15"/>
  <c r="FK60" i="15"/>
  <c r="EQ60" i="15"/>
  <c r="DW60" i="15"/>
  <c r="DC60" i="15"/>
  <c r="CI60" i="15"/>
  <c r="BO60" i="15"/>
  <c r="AU60" i="15"/>
  <c r="AA60" i="15"/>
  <c r="G60" i="15"/>
  <c r="UQ60" i="15"/>
  <c r="TW60" i="15"/>
  <c r="TC60" i="15"/>
  <c r="SI60" i="15"/>
  <c r="RO60" i="15"/>
  <c r="QU60" i="15"/>
  <c r="QA60" i="15"/>
  <c r="UM60" i="15"/>
  <c r="TS60" i="15"/>
  <c r="SY60" i="15"/>
  <c r="SE60" i="15"/>
  <c r="RK60" i="15"/>
  <c r="QQ60" i="15"/>
  <c r="PW60" i="15"/>
  <c r="PC60" i="15"/>
  <c r="OI60" i="15"/>
  <c r="NO60" i="15"/>
  <c r="MU60" i="15"/>
  <c r="MA60" i="15"/>
  <c r="LG60" i="15"/>
  <c r="KM60" i="15"/>
  <c r="JS60" i="15"/>
  <c r="IY60" i="15"/>
  <c r="IE60" i="15"/>
  <c r="HK60" i="15"/>
  <c r="GQ60" i="15"/>
  <c r="FW60" i="15"/>
  <c r="FC60" i="15"/>
  <c r="EI60" i="15"/>
  <c r="DO60" i="15"/>
  <c r="CU60" i="15"/>
  <c r="CA60" i="15"/>
  <c r="BG60" i="15"/>
  <c r="AM60" i="15"/>
  <c r="S60" i="15"/>
  <c r="NK60" i="15"/>
  <c r="KI60" i="15"/>
  <c r="HG60" i="15"/>
  <c r="EE60" i="15"/>
  <c r="BC60" i="15"/>
  <c r="QM60" i="15"/>
  <c r="SQ60" i="15"/>
  <c r="PG60" i="15"/>
  <c r="ME60" i="15"/>
  <c r="JC60" i="15"/>
  <c r="GA60" i="15"/>
  <c r="CY60" i="15"/>
  <c r="W60" i="15"/>
  <c r="NG60" i="15"/>
  <c r="KE60" i="15"/>
  <c r="HC60" i="15"/>
  <c r="EA60" i="15"/>
  <c r="AY60" i="15"/>
  <c r="TO60" i="15"/>
  <c r="QI60" i="15"/>
  <c r="OE60" i="15"/>
  <c r="LC60" i="15"/>
  <c r="IA60" i="15"/>
  <c r="EY60" i="15"/>
  <c r="BW60" i="15"/>
  <c r="MY60" i="15"/>
  <c r="JW60" i="15"/>
  <c r="GU60" i="15"/>
  <c r="DS60" i="15"/>
  <c r="AQ60" i="15"/>
  <c r="TK60" i="15"/>
  <c r="OA60" i="15"/>
  <c r="KY60" i="15"/>
  <c r="HW60" i="15"/>
  <c r="EU60" i="15"/>
  <c r="BS60" i="15"/>
  <c r="OY60" i="15"/>
  <c r="LW60" i="15"/>
  <c r="IU60" i="15"/>
  <c r="FS60" i="15"/>
  <c r="CQ60" i="15"/>
  <c r="O60" i="15"/>
  <c r="UI60" i="15"/>
  <c r="RC60" i="15"/>
  <c r="UE60" i="15"/>
  <c r="PS60" i="15"/>
  <c r="OM60" i="15"/>
  <c r="II60" i="15"/>
  <c r="CE60" i="15"/>
  <c r="RG60" i="15"/>
  <c r="MM60" i="15"/>
  <c r="GI60" i="15"/>
  <c r="AE60" i="15"/>
  <c r="NS60" i="15"/>
  <c r="HO60" i="15"/>
  <c r="BK60" i="15"/>
  <c r="JO60" i="15"/>
  <c r="DK60" i="15"/>
  <c r="PO60" i="15"/>
  <c r="SA60" i="15"/>
  <c r="KQ60" i="15"/>
  <c r="EM60" i="15"/>
  <c r="C60" i="15"/>
  <c r="RW60" i="15"/>
  <c r="JK60" i="15"/>
  <c r="OU60" i="15"/>
  <c r="IQ60" i="15"/>
  <c r="CM60" i="15"/>
  <c r="MQ60" i="15"/>
  <c r="GM60" i="15"/>
  <c r="FO60" i="15"/>
  <c r="FG60" i="15"/>
  <c r="DG60" i="15"/>
  <c r="AI60" i="15"/>
  <c r="SU60" i="15"/>
  <c r="K60" i="15"/>
  <c r="LS60" i="15"/>
  <c r="LK60" i="15"/>
  <c r="UA12" i="15"/>
  <c r="TO12" i="15"/>
  <c r="SU12" i="15"/>
  <c r="SA12" i="15"/>
  <c r="RG12" i="15"/>
  <c r="QM12" i="15"/>
  <c r="PS12" i="15"/>
  <c r="OY12" i="15"/>
  <c r="OE12" i="15"/>
  <c r="NK12" i="15"/>
  <c r="MQ12" i="15"/>
  <c r="LW12" i="15"/>
  <c r="LC12" i="15"/>
  <c r="KI12" i="15"/>
  <c r="JO12" i="15"/>
  <c r="IU12" i="15"/>
  <c r="IA12" i="15"/>
  <c r="HG12" i="15"/>
  <c r="GM12" i="15"/>
  <c r="FS12" i="15"/>
  <c r="EY12" i="15"/>
  <c r="EE12" i="15"/>
  <c r="DK12" i="15"/>
  <c r="CQ12" i="15"/>
  <c r="BW12" i="15"/>
  <c r="BC12" i="15"/>
  <c r="AI12" i="15"/>
  <c r="O12" i="15"/>
  <c r="UI12" i="15"/>
  <c r="TK12" i="15"/>
  <c r="SQ12" i="15"/>
  <c r="RW12" i="15"/>
  <c r="RC12" i="15"/>
  <c r="QI12" i="15"/>
  <c r="PO12" i="15"/>
  <c r="OU12" i="15"/>
  <c r="OA12" i="15"/>
  <c r="NG12" i="15"/>
  <c r="MM12" i="15"/>
  <c r="LS12" i="15"/>
  <c r="KY12" i="15"/>
  <c r="KE12" i="15"/>
  <c r="JK12" i="15"/>
  <c r="IQ12" i="15"/>
  <c r="HW12" i="15"/>
  <c r="HC12" i="15"/>
  <c r="GI12" i="15"/>
  <c r="FO12" i="15"/>
  <c r="EU12" i="15"/>
  <c r="EA12" i="15"/>
  <c r="DG12" i="15"/>
  <c r="CM12" i="15"/>
  <c r="BS12" i="15"/>
  <c r="AY12" i="15"/>
  <c r="AE12" i="15"/>
  <c r="K12" i="15"/>
  <c r="UE12" i="15"/>
  <c r="TG12" i="15"/>
  <c r="SM12" i="15"/>
  <c r="RS12" i="15"/>
  <c r="QY12" i="15"/>
  <c r="QE12" i="15"/>
  <c r="PK12" i="15"/>
  <c r="OQ12" i="15"/>
  <c r="NW12" i="15"/>
  <c r="NC12" i="15"/>
  <c r="MI12" i="15"/>
  <c r="LO12" i="15"/>
  <c r="KU12" i="15"/>
  <c r="KA12" i="15"/>
  <c r="JG12" i="15"/>
  <c r="IM12" i="15"/>
  <c r="HS12" i="15"/>
  <c r="GY12" i="15"/>
  <c r="GE12" i="15"/>
  <c r="FK12" i="15"/>
  <c r="EQ12" i="15"/>
  <c r="DW12" i="15"/>
  <c r="UQ12" i="15"/>
  <c r="MA12" i="15"/>
  <c r="PG12" i="15"/>
  <c r="CI12" i="15"/>
  <c r="NO12" i="15"/>
  <c r="II12" i="15"/>
  <c r="GU12" i="15"/>
  <c r="FG12" i="15"/>
  <c r="DS12" i="15"/>
  <c r="CY12" i="15"/>
  <c r="UM12" i="15"/>
  <c r="QU12" i="15"/>
  <c r="S12" i="15"/>
  <c r="PC12" i="15"/>
  <c r="JW12" i="15"/>
  <c r="CE12" i="15"/>
  <c r="AU12" i="15"/>
  <c r="SI12" i="15"/>
  <c r="OI12" i="15"/>
  <c r="QQ12" i="15"/>
  <c r="LK12" i="15"/>
  <c r="IE12" i="15"/>
  <c r="GQ12" i="15"/>
  <c r="FC12" i="15"/>
  <c r="DO12" i="15"/>
  <c r="TW12" i="15"/>
  <c r="JS12" i="15"/>
  <c r="AQ12" i="15"/>
  <c r="SE12" i="15"/>
  <c r="MY12" i="15"/>
  <c r="CA12" i="15"/>
  <c r="G12" i="15"/>
  <c r="LG12" i="15"/>
  <c r="TS12" i="15"/>
  <c r="OM12" i="15"/>
  <c r="DC12" i="15"/>
  <c r="JC12" i="15"/>
  <c r="MU12" i="15"/>
  <c r="AM12" i="15"/>
  <c r="C12" i="15"/>
  <c r="QA12" i="15"/>
  <c r="HO12" i="15"/>
  <c r="GA12" i="15"/>
  <c r="EM12" i="15"/>
  <c r="BO12" i="15"/>
  <c r="PW12" i="15"/>
  <c r="KQ12" i="15"/>
  <c r="BK12" i="15"/>
  <c r="TC12" i="15"/>
  <c r="IY12" i="15"/>
  <c r="HK12" i="15"/>
  <c r="FW12" i="15"/>
  <c r="EI12" i="15"/>
  <c r="AA12" i="15"/>
  <c r="BG12" i="15"/>
  <c r="W12" i="15"/>
  <c r="CU12" i="15"/>
  <c r="NS12" i="15"/>
  <c r="RK12" i="15"/>
  <c r="ME12" i="15"/>
  <c r="RO12" i="15"/>
  <c r="KM12" i="15"/>
  <c r="SY12" i="15"/>
  <c r="UA80" i="15"/>
  <c r="TG80" i="15"/>
  <c r="SM80" i="15"/>
  <c r="RS80" i="15"/>
  <c r="QY80" i="15"/>
  <c r="QE80" i="15"/>
  <c r="PK80" i="15"/>
  <c r="OQ80" i="15"/>
  <c r="NW80" i="15"/>
  <c r="NC80" i="15"/>
  <c r="MI80" i="15"/>
  <c r="LO80" i="15"/>
  <c r="KU80" i="15"/>
  <c r="KA80" i="15"/>
  <c r="JG80" i="15"/>
  <c r="IM80" i="15"/>
  <c r="HS80" i="15"/>
  <c r="GY80" i="15"/>
  <c r="GE80" i="15"/>
  <c r="FK80" i="15"/>
  <c r="UQ80" i="15"/>
  <c r="RO80" i="15"/>
  <c r="OM80" i="15"/>
  <c r="LK80" i="15"/>
  <c r="II80" i="15"/>
  <c r="FG80" i="15"/>
  <c r="BK80" i="15"/>
  <c r="SQ80" i="15"/>
  <c r="PO80" i="15"/>
  <c r="MM80" i="15"/>
  <c r="JK80" i="15"/>
  <c r="GI80" i="15"/>
  <c r="CI80" i="15"/>
  <c r="TO80" i="15"/>
  <c r="QM80" i="15"/>
  <c r="NK80" i="15"/>
  <c r="KI80" i="15"/>
  <c r="HG80" i="15"/>
  <c r="UM80" i="15"/>
  <c r="RK80" i="15"/>
  <c r="OI80" i="15"/>
  <c r="LG80" i="15"/>
  <c r="IE80" i="15"/>
  <c r="FC80" i="15"/>
  <c r="EE80" i="15"/>
  <c r="DG80" i="15"/>
  <c r="BG80" i="15"/>
  <c r="AI80" i="15"/>
  <c r="K80" i="15"/>
  <c r="CE80" i="15"/>
  <c r="SI80" i="15"/>
  <c r="PG80" i="15"/>
  <c r="ME80" i="15"/>
  <c r="JC80" i="15"/>
  <c r="GA80" i="15"/>
  <c r="DC80" i="15"/>
  <c r="G80" i="15"/>
  <c r="TK80" i="15"/>
  <c r="QI80" i="15"/>
  <c r="NG80" i="15"/>
  <c r="KE80" i="15"/>
  <c r="HC80" i="15"/>
  <c r="SE80" i="15"/>
  <c r="PC80" i="15"/>
  <c r="MA80" i="15"/>
  <c r="IY80" i="15"/>
  <c r="FW80" i="15"/>
  <c r="CY80" i="15"/>
  <c r="C80" i="15"/>
  <c r="DW80" i="15"/>
  <c r="AA80" i="15"/>
  <c r="UE80" i="15"/>
  <c r="RC80" i="15"/>
  <c r="OA80" i="15"/>
  <c r="KY80" i="15"/>
  <c r="HW80" i="15"/>
  <c r="EU80" i="15"/>
  <c r="CU80" i="15"/>
  <c r="BW80" i="15"/>
  <c r="AY80" i="15"/>
  <c r="OU80" i="15"/>
  <c r="IQ80" i="15"/>
  <c r="EM80" i="15"/>
  <c r="AQ80" i="15"/>
  <c r="SU80" i="15"/>
  <c r="MQ80" i="15"/>
  <c r="GM80" i="15"/>
  <c r="QQ80" i="15"/>
  <c r="KM80" i="15"/>
  <c r="EI80" i="15"/>
  <c r="CM80" i="15"/>
  <c r="AM80" i="15"/>
  <c r="UI80" i="15"/>
  <c r="OE80" i="15"/>
  <c r="IA80" i="15"/>
  <c r="EA80" i="15"/>
  <c r="CA80" i="15"/>
  <c r="AE80" i="15"/>
  <c r="QA80" i="15"/>
  <c r="JW80" i="15"/>
  <c r="SA80" i="15"/>
  <c r="LW80" i="15"/>
  <c r="FS80" i="15"/>
  <c r="DS80" i="15"/>
  <c r="W80" i="15"/>
  <c r="RW80" i="15"/>
  <c r="LS80" i="15"/>
  <c r="FO80" i="15"/>
  <c r="PS80" i="15"/>
  <c r="JO80" i="15"/>
  <c r="BO80" i="15"/>
  <c r="RG80" i="15"/>
  <c r="LC80" i="15"/>
  <c r="EY80" i="15"/>
  <c r="BC80" i="15"/>
  <c r="TC80" i="15"/>
  <c r="MY80" i="15"/>
  <c r="GU80" i="15"/>
  <c r="SY80" i="15"/>
  <c r="MU80" i="15"/>
  <c r="GQ80" i="15"/>
  <c r="EQ80" i="15"/>
  <c r="AU80" i="15"/>
  <c r="S80" i="15"/>
  <c r="QU80" i="15"/>
  <c r="O80" i="15"/>
  <c r="JS80" i="15"/>
  <c r="DO80" i="15"/>
  <c r="IU80" i="15"/>
  <c r="DK80" i="15"/>
  <c r="TW80" i="15"/>
  <c r="TS80" i="15"/>
  <c r="NS80" i="15"/>
  <c r="CQ80" i="15"/>
  <c r="PW80" i="15"/>
  <c r="OY80" i="15"/>
  <c r="NO80" i="15"/>
  <c r="KQ80" i="15"/>
  <c r="HO80" i="15"/>
  <c r="HK80" i="15"/>
  <c r="BS80" i="15"/>
  <c r="UQ51" i="15"/>
  <c r="TW51" i="15"/>
  <c r="TC51" i="15"/>
  <c r="SI51" i="15"/>
  <c r="RO51" i="15"/>
  <c r="QU51" i="15"/>
  <c r="QA51" i="15"/>
  <c r="PG51" i="15"/>
  <c r="OM51" i="15"/>
  <c r="NS51" i="15"/>
  <c r="MY51" i="15"/>
  <c r="ME51" i="15"/>
  <c r="LK51" i="15"/>
  <c r="KQ51" i="15"/>
  <c r="JW51" i="15"/>
  <c r="JC51" i="15"/>
  <c r="II51" i="15"/>
  <c r="HO51" i="15"/>
  <c r="GU51" i="15"/>
  <c r="GA51" i="15"/>
  <c r="FG51" i="15"/>
  <c r="EM51" i="15"/>
  <c r="DS51" i="15"/>
  <c r="CY51" i="15"/>
  <c r="CE51" i="15"/>
  <c r="BK51" i="15"/>
  <c r="AQ51" i="15"/>
  <c r="W51" i="15"/>
  <c r="C51" i="15"/>
  <c r="UM51" i="15"/>
  <c r="TS51" i="15"/>
  <c r="SY51" i="15"/>
  <c r="SE51" i="15"/>
  <c r="RK51" i="15"/>
  <c r="QQ51" i="15"/>
  <c r="PW51" i="15"/>
  <c r="PC51" i="15"/>
  <c r="OI51" i="15"/>
  <c r="NO51" i="15"/>
  <c r="MU51" i="15"/>
  <c r="MA51" i="15"/>
  <c r="LG51" i="15"/>
  <c r="KM51" i="15"/>
  <c r="JS51" i="15"/>
  <c r="IY51" i="15"/>
  <c r="IE51" i="15"/>
  <c r="HK51" i="15"/>
  <c r="GQ51" i="15"/>
  <c r="FW51" i="15"/>
  <c r="FC51" i="15"/>
  <c r="EI51" i="15"/>
  <c r="DO51" i="15"/>
  <c r="CU51" i="15"/>
  <c r="CA51" i="15"/>
  <c r="BG51" i="15"/>
  <c r="AM51" i="15"/>
  <c r="S51" i="15"/>
  <c r="UI51" i="15"/>
  <c r="TO51" i="15"/>
  <c r="SU51" i="15"/>
  <c r="SA51" i="15"/>
  <c r="RG51" i="15"/>
  <c r="QM51" i="15"/>
  <c r="PS51" i="15"/>
  <c r="OY51" i="15"/>
  <c r="OE51" i="15"/>
  <c r="NK51" i="15"/>
  <c r="MQ51" i="15"/>
  <c r="LW51" i="15"/>
  <c r="LC51" i="15"/>
  <c r="KI51" i="15"/>
  <c r="JO51" i="15"/>
  <c r="IU51" i="15"/>
  <c r="IA51" i="15"/>
  <c r="HG51" i="15"/>
  <c r="GM51" i="15"/>
  <c r="FS51" i="15"/>
  <c r="EY51" i="15"/>
  <c r="EE51" i="15"/>
  <c r="DK51" i="15"/>
  <c r="CQ51" i="15"/>
  <c r="BW51" i="15"/>
  <c r="BC51" i="15"/>
  <c r="AI51" i="15"/>
  <c r="O51" i="15"/>
  <c r="TK51" i="15"/>
  <c r="QE51" i="15"/>
  <c r="LS51" i="15"/>
  <c r="IM51" i="15"/>
  <c r="EA51" i="15"/>
  <c r="AU51" i="15"/>
  <c r="RC51" i="15"/>
  <c r="NW51" i="15"/>
  <c r="JK51" i="15"/>
  <c r="GE51" i="15"/>
  <c r="BS51" i="15"/>
  <c r="TG51" i="15"/>
  <c r="OU51" i="15"/>
  <c r="LO51" i="15"/>
  <c r="HC51" i="15"/>
  <c r="DW51" i="15"/>
  <c r="K51" i="15"/>
  <c r="RW51" i="15"/>
  <c r="OQ51" i="15"/>
  <c r="KE51" i="15"/>
  <c r="GY51" i="15"/>
  <c r="CM51" i="15"/>
  <c r="G51" i="15"/>
  <c r="SQ51" i="15"/>
  <c r="PK51" i="15"/>
  <c r="KY51" i="15"/>
  <c r="HS51" i="15"/>
  <c r="DG51" i="15"/>
  <c r="AA51" i="15"/>
  <c r="PO51" i="15"/>
  <c r="MM51" i="15"/>
  <c r="MI51" i="15"/>
  <c r="JG51" i="15"/>
  <c r="GI51" i="15"/>
  <c r="DC51" i="15"/>
  <c r="SM51" i="15"/>
  <c r="IQ51" i="15"/>
  <c r="FO51" i="15"/>
  <c r="FK51" i="15"/>
  <c r="CI51" i="15"/>
  <c r="RS51" i="15"/>
  <c r="HW51" i="15"/>
  <c r="EU51" i="15"/>
  <c r="EQ51" i="15"/>
  <c r="BO51" i="15"/>
  <c r="UE51" i="15"/>
  <c r="AY51" i="15"/>
  <c r="QI51" i="15"/>
  <c r="NG51" i="15"/>
  <c r="OA51" i="15"/>
  <c r="NC51" i="15"/>
  <c r="UA51" i="15"/>
  <c r="QY51" i="15"/>
  <c r="KA51" i="15"/>
  <c r="KU51" i="15"/>
  <c r="AE51" i="15"/>
  <c r="UI31" i="15"/>
  <c r="TO31" i="15"/>
  <c r="SU31" i="15"/>
  <c r="SA31" i="15"/>
  <c r="RG31" i="15"/>
  <c r="QM31" i="15"/>
  <c r="PS31" i="15"/>
  <c r="OY31" i="15"/>
  <c r="OE31" i="15"/>
  <c r="NK31" i="15"/>
  <c r="MQ31" i="15"/>
  <c r="LW31" i="15"/>
  <c r="LC31" i="15"/>
  <c r="KI31" i="15"/>
  <c r="JO31" i="15"/>
  <c r="IU31" i="15"/>
  <c r="IA31" i="15"/>
  <c r="HG31" i="15"/>
  <c r="GM31" i="15"/>
  <c r="FS31" i="15"/>
  <c r="EY31" i="15"/>
  <c r="EE31" i="15"/>
  <c r="DK31" i="15"/>
  <c r="CQ31" i="15"/>
  <c r="BW31" i="15"/>
  <c r="BC31" i="15"/>
  <c r="AI31" i="15"/>
  <c r="O31" i="15"/>
  <c r="UE31" i="15"/>
  <c r="TK31" i="15"/>
  <c r="SQ31" i="15"/>
  <c r="RW31" i="15"/>
  <c r="RC31" i="15"/>
  <c r="QI31" i="15"/>
  <c r="PO31" i="15"/>
  <c r="OU31" i="15"/>
  <c r="OA31" i="15"/>
  <c r="NG31" i="15"/>
  <c r="MM31" i="15"/>
  <c r="LS31" i="15"/>
  <c r="KY31" i="15"/>
  <c r="KE31" i="15"/>
  <c r="JK31" i="15"/>
  <c r="IQ31" i="15"/>
  <c r="HW31" i="15"/>
  <c r="HC31" i="15"/>
  <c r="GI31" i="15"/>
  <c r="FO31" i="15"/>
  <c r="EU31" i="15"/>
  <c r="EA31" i="15"/>
  <c r="DG31" i="15"/>
  <c r="UA31" i="15"/>
  <c r="TG31" i="15"/>
  <c r="SM31" i="15"/>
  <c r="RS31" i="15"/>
  <c r="QY31" i="15"/>
  <c r="QE31" i="15"/>
  <c r="PK31" i="15"/>
  <c r="OQ31" i="15"/>
  <c r="NW31" i="15"/>
  <c r="NC31" i="15"/>
  <c r="MI31" i="15"/>
  <c r="LO31" i="15"/>
  <c r="KU31" i="15"/>
  <c r="KA31" i="15"/>
  <c r="JG31" i="15"/>
  <c r="IM31" i="15"/>
  <c r="HS31" i="15"/>
  <c r="GY31" i="15"/>
  <c r="GE31" i="15"/>
  <c r="FK31" i="15"/>
  <c r="EQ31" i="15"/>
  <c r="DW31" i="15"/>
  <c r="DC31" i="15"/>
  <c r="CI31" i="15"/>
  <c r="BO31" i="15"/>
  <c r="AU31" i="15"/>
  <c r="AA31" i="15"/>
  <c r="G31" i="15"/>
  <c r="UQ31" i="15"/>
  <c r="TW31" i="15"/>
  <c r="TC31" i="15"/>
  <c r="SI31" i="15"/>
  <c r="RO31" i="15"/>
  <c r="QU31" i="15"/>
  <c r="QA31" i="15"/>
  <c r="PG31" i="15"/>
  <c r="OM31" i="15"/>
  <c r="NS31" i="15"/>
  <c r="MY31" i="15"/>
  <c r="TS31" i="15"/>
  <c r="QQ31" i="15"/>
  <c r="FC31" i="15"/>
  <c r="BK31" i="15"/>
  <c r="S31" i="15"/>
  <c r="LK31" i="15"/>
  <c r="CY31" i="15"/>
  <c r="BG31" i="15"/>
  <c r="JC31" i="15"/>
  <c r="K31" i="15"/>
  <c r="NO31" i="15"/>
  <c r="LG31" i="15"/>
  <c r="GU31" i="15"/>
  <c r="CU31" i="15"/>
  <c r="SY31" i="15"/>
  <c r="IY31" i="15"/>
  <c r="AY31" i="15"/>
  <c r="PW31" i="15"/>
  <c r="GQ31" i="15"/>
  <c r="EM31" i="15"/>
  <c r="CM31" i="15"/>
  <c r="C31" i="15"/>
  <c r="EI31" i="15"/>
  <c r="KQ31" i="15"/>
  <c r="AQ31" i="15"/>
  <c r="SE31" i="15"/>
  <c r="MU31" i="15"/>
  <c r="II31" i="15"/>
  <c r="PC31" i="15"/>
  <c r="IE31" i="15"/>
  <c r="FW31" i="15"/>
  <c r="CA31" i="15"/>
  <c r="DS31" i="15"/>
  <c r="AE31" i="15"/>
  <c r="UM31" i="15"/>
  <c r="RK31" i="15"/>
  <c r="ME31" i="15"/>
  <c r="JW31" i="15"/>
  <c r="DO31" i="15"/>
  <c r="BS31" i="15"/>
  <c r="CE31" i="15"/>
  <c r="MA31" i="15"/>
  <c r="KM31" i="15"/>
  <c r="AM31" i="15"/>
  <c r="JS31" i="15"/>
  <c r="W31" i="15"/>
  <c r="HO31" i="15"/>
  <c r="GA31" i="15"/>
  <c r="OI31" i="15"/>
  <c r="HK31" i="15"/>
  <c r="FG31" i="15"/>
  <c r="UA82" i="15"/>
  <c r="TG82" i="15"/>
  <c r="SM82" i="15"/>
  <c r="RS82" i="15"/>
  <c r="QY82" i="15"/>
  <c r="QE82" i="15"/>
  <c r="PK82" i="15"/>
  <c r="OQ82" i="15"/>
  <c r="NW82" i="15"/>
  <c r="NC82" i="15"/>
  <c r="MI82" i="15"/>
  <c r="LO82" i="15"/>
  <c r="KU82" i="15"/>
  <c r="KA82" i="15"/>
  <c r="JG82" i="15"/>
  <c r="IM82" i="15"/>
  <c r="HS82" i="15"/>
  <c r="GY82" i="15"/>
  <c r="GE82" i="15"/>
  <c r="FK82" i="15"/>
  <c r="EQ82" i="15"/>
  <c r="UQ82" i="15"/>
  <c r="TW82" i="15"/>
  <c r="TC82" i="15"/>
  <c r="SI82" i="15"/>
  <c r="RO82" i="15"/>
  <c r="QU82" i="15"/>
  <c r="QA82" i="15"/>
  <c r="PG82" i="15"/>
  <c r="OM82" i="15"/>
  <c r="NS82" i="15"/>
  <c r="MY82" i="15"/>
  <c r="ME82" i="15"/>
  <c r="LK82" i="15"/>
  <c r="KQ82" i="15"/>
  <c r="JW82" i="15"/>
  <c r="JC82" i="15"/>
  <c r="II82" i="15"/>
  <c r="HO82" i="15"/>
  <c r="GU82" i="15"/>
  <c r="GA82" i="15"/>
  <c r="FG82" i="15"/>
  <c r="DC82" i="15"/>
  <c r="AQ82" i="15"/>
  <c r="SQ82" i="15"/>
  <c r="PO82" i="15"/>
  <c r="MM82" i="15"/>
  <c r="JO82" i="15"/>
  <c r="IQ82" i="15"/>
  <c r="FS82" i="15"/>
  <c r="EU82" i="15"/>
  <c r="BK82" i="15"/>
  <c r="TO82" i="15"/>
  <c r="QM82" i="15"/>
  <c r="NK82" i="15"/>
  <c r="KM82" i="15"/>
  <c r="GQ82" i="15"/>
  <c r="DW82" i="15"/>
  <c r="CE82" i="15"/>
  <c r="CY82" i="15"/>
  <c r="S82" i="15"/>
  <c r="UM82" i="15"/>
  <c r="RK82" i="15"/>
  <c r="OI82" i="15"/>
  <c r="AM82" i="15"/>
  <c r="KI82" i="15"/>
  <c r="JK82" i="15"/>
  <c r="GM82" i="15"/>
  <c r="FO82" i="15"/>
  <c r="TK82" i="15"/>
  <c r="QI82" i="15"/>
  <c r="NG82" i="15"/>
  <c r="LG82" i="15"/>
  <c r="HK82" i="15"/>
  <c r="CA82" i="15"/>
  <c r="SE82" i="15"/>
  <c r="PC82" i="15"/>
  <c r="LC82" i="15"/>
  <c r="KE82" i="15"/>
  <c r="HG82" i="15"/>
  <c r="GI82" i="15"/>
  <c r="DO82" i="15"/>
  <c r="BC82" i="15"/>
  <c r="SY82" i="15"/>
  <c r="PW82" i="15"/>
  <c r="MU82" i="15"/>
  <c r="SA82" i="15"/>
  <c r="OE82" i="15"/>
  <c r="DG82" i="15"/>
  <c r="BW82" i="15"/>
  <c r="AU82" i="15"/>
  <c r="K82" i="15"/>
  <c r="EI82" i="15"/>
  <c r="RW82" i="15"/>
  <c r="OA82" i="15"/>
  <c r="MA82" i="15"/>
  <c r="IY82" i="15"/>
  <c r="FW82" i="15"/>
  <c r="BS82" i="15"/>
  <c r="G82" i="15"/>
  <c r="TS82" i="15"/>
  <c r="EE82" i="15"/>
  <c r="CU82" i="15"/>
  <c r="AI82" i="15"/>
  <c r="PS82" i="15"/>
  <c r="CQ82" i="15"/>
  <c r="BO82" i="15"/>
  <c r="AE82" i="15"/>
  <c r="EA82" i="15"/>
  <c r="RC82" i="15"/>
  <c r="NO82" i="15"/>
  <c r="BG82" i="15"/>
  <c r="LS82" i="15"/>
  <c r="DS82" i="15"/>
  <c r="IA82" i="15"/>
  <c r="EY82" i="15"/>
  <c r="W82" i="15"/>
  <c r="JS82" i="15"/>
  <c r="UE82" i="15"/>
  <c r="AY82" i="15"/>
  <c r="SU82" i="15"/>
  <c r="IU82" i="15"/>
  <c r="EM82" i="15"/>
  <c r="IE82" i="15"/>
  <c r="DK82" i="15"/>
  <c r="LW82" i="15"/>
  <c r="HW82" i="15"/>
  <c r="O82" i="15"/>
  <c r="HC82" i="15"/>
  <c r="CI82" i="15"/>
  <c r="UI82" i="15"/>
  <c r="FC82" i="15"/>
  <c r="RG82" i="15"/>
  <c r="QQ82" i="15"/>
  <c r="CM82" i="15"/>
  <c r="OU82" i="15"/>
  <c r="MQ82" i="15"/>
  <c r="AA82" i="15"/>
  <c r="KY82" i="15"/>
  <c r="C82" i="15"/>
  <c r="OY82" i="15"/>
  <c r="UI71" i="15"/>
  <c r="TW71" i="15"/>
  <c r="TC71" i="15"/>
  <c r="SI71" i="15"/>
  <c r="RO71" i="15"/>
  <c r="QU71" i="15"/>
  <c r="QA71" i="15"/>
  <c r="PG71" i="15"/>
  <c r="OM71" i="15"/>
  <c r="NS71" i="15"/>
  <c r="MY71" i="15"/>
  <c r="ME71" i="15"/>
  <c r="LK71" i="15"/>
  <c r="KQ71" i="15"/>
  <c r="JW71" i="15"/>
  <c r="JC71" i="15"/>
  <c r="II71" i="15"/>
  <c r="HO71" i="15"/>
  <c r="GU71" i="15"/>
  <c r="GA71" i="15"/>
  <c r="FG71" i="15"/>
  <c r="EM71" i="15"/>
  <c r="DS71" i="15"/>
  <c r="CY71" i="15"/>
  <c r="CE71" i="15"/>
  <c r="BK71" i="15"/>
  <c r="AQ71" i="15"/>
  <c r="W71" i="15"/>
  <c r="C71" i="15"/>
  <c r="UQ71" i="15"/>
  <c r="SA71" i="15"/>
  <c r="UA71" i="15"/>
  <c r="SY71" i="15"/>
  <c r="QY71" i="15"/>
  <c r="OA71" i="15"/>
  <c r="NC71" i="15"/>
  <c r="KE71" i="15"/>
  <c r="JG71" i="15"/>
  <c r="GI71" i="15"/>
  <c r="FK71" i="15"/>
  <c r="CM71" i="15"/>
  <c r="BO71" i="15"/>
  <c r="RW71" i="15"/>
  <c r="PW71" i="15"/>
  <c r="OY71" i="15"/>
  <c r="MA71" i="15"/>
  <c r="LC71" i="15"/>
  <c r="IE71" i="15"/>
  <c r="HG71" i="15"/>
  <c r="EI71" i="15"/>
  <c r="DK71" i="15"/>
  <c r="AM71" i="15"/>
  <c r="O71" i="15"/>
  <c r="SU71" i="15"/>
  <c r="OU71" i="15"/>
  <c r="NW71" i="15"/>
  <c r="KY71" i="15"/>
  <c r="KA71" i="15"/>
  <c r="HC71" i="15"/>
  <c r="GE71" i="15"/>
  <c r="DG71" i="15"/>
  <c r="CI71" i="15"/>
  <c r="K71" i="15"/>
  <c r="TS71" i="15"/>
  <c r="RS71" i="15"/>
  <c r="QQ71" i="15"/>
  <c r="PS71" i="15"/>
  <c r="MU71" i="15"/>
  <c r="LW71" i="15"/>
  <c r="IY71" i="15"/>
  <c r="IA71" i="15"/>
  <c r="FC71" i="15"/>
  <c r="EE71" i="15"/>
  <c r="BG71" i="15"/>
  <c r="AI71" i="15"/>
  <c r="SQ71" i="15"/>
  <c r="PO71" i="15"/>
  <c r="OQ71" i="15"/>
  <c r="LS71" i="15"/>
  <c r="KU71" i="15"/>
  <c r="HW71" i="15"/>
  <c r="GY71" i="15"/>
  <c r="EA71" i="15"/>
  <c r="DC71" i="15"/>
  <c r="AE71" i="15"/>
  <c r="G71" i="15"/>
  <c r="TO71" i="15"/>
  <c r="QM71" i="15"/>
  <c r="NO71" i="15"/>
  <c r="MQ71" i="15"/>
  <c r="JS71" i="15"/>
  <c r="IU71" i="15"/>
  <c r="FW71" i="15"/>
  <c r="EY71" i="15"/>
  <c r="CA71" i="15"/>
  <c r="BC71" i="15"/>
  <c r="QI71" i="15"/>
  <c r="PK71" i="15"/>
  <c r="MM71" i="15"/>
  <c r="LO71" i="15"/>
  <c r="IQ71" i="15"/>
  <c r="HS71" i="15"/>
  <c r="EU71" i="15"/>
  <c r="DW71" i="15"/>
  <c r="AY71" i="15"/>
  <c r="AA71" i="15"/>
  <c r="OI71" i="15"/>
  <c r="NK71" i="15"/>
  <c r="KM71" i="15"/>
  <c r="JO71" i="15"/>
  <c r="GQ71" i="15"/>
  <c r="FS71" i="15"/>
  <c r="CU71" i="15"/>
  <c r="BW71" i="15"/>
  <c r="LG71" i="15"/>
  <c r="RG71" i="15"/>
  <c r="EQ71" i="15"/>
  <c r="UM71" i="15"/>
  <c r="OE71" i="15"/>
  <c r="RC71" i="15"/>
  <c r="HK71" i="15"/>
  <c r="UE71" i="15"/>
  <c r="AU71" i="15"/>
  <c r="KI71" i="15"/>
  <c r="NG71" i="15"/>
  <c r="TK71" i="15"/>
  <c r="DO71" i="15"/>
  <c r="QE71" i="15"/>
  <c r="TG71" i="15"/>
  <c r="GM71" i="15"/>
  <c r="JK71" i="15"/>
  <c r="S71" i="15"/>
  <c r="FO71" i="15"/>
  <c r="SE71" i="15"/>
  <c r="PC71" i="15"/>
  <c r="CQ71" i="15"/>
  <c r="BS71" i="15"/>
  <c r="MI71" i="15"/>
  <c r="IM71" i="15"/>
  <c r="SM71" i="15"/>
  <c r="RK71" i="15"/>
  <c r="UM47" i="15"/>
  <c r="TS47" i="15"/>
  <c r="SY47" i="15"/>
  <c r="SE47" i="15"/>
  <c r="RK47" i="15"/>
  <c r="QQ47" i="15"/>
  <c r="PW47" i="15"/>
  <c r="PC47" i="15"/>
  <c r="OI47" i="15"/>
  <c r="NO47" i="15"/>
  <c r="MU47" i="15"/>
  <c r="MA47" i="15"/>
  <c r="LG47" i="15"/>
  <c r="KM47" i="15"/>
  <c r="JS47" i="15"/>
  <c r="IY47" i="15"/>
  <c r="IE47" i="15"/>
  <c r="HK47" i="15"/>
  <c r="GQ47" i="15"/>
  <c r="FW47" i="15"/>
  <c r="FC47" i="15"/>
  <c r="EI47" i="15"/>
  <c r="DO47" i="15"/>
  <c r="CU47" i="15"/>
  <c r="CA47" i="15"/>
  <c r="BG47" i="15"/>
  <c r="AM47" i="15"/>
  <c r="S47" i="15"/>
  <c r="UI47" i="15"/>
  <c r="TO47" i="15"/>
  <c r="SU47" i="15"/>
  <c r="SA47" i="15"/>
  <c r="RG47" i="15"/>
  <c r="QM47" i="15"/>
  <c r="PS47" i="15"/>
  <c r="OY47" i="15"/>
  <c r="OE47" i="15"/>
  <c r="NK47" i="15"/>
  <c r="MQ47" i="15"/>
  <c r="LW47" i="15"/>
  <c r="LC47" i="15"/>
  <c r="KI47" i="15"/>
  <c r="JO47" i="15"/>
  <c r="IU47" i="15"/>
  <c r="IA47" i="15"/>
  <c r="HG47" i="15"/>
  <c r="GM47" i="15"/>
  <c r="FS47" i="15"/>
  <c r="EY47" i="15"/>
  <c r="EE47" i="15"/>
  <c r="DK47" i="15"/>
  <c r="CQ47" i="15"/>
  <c r="BW47" i="15"/>
  <c r="BC47" i="15"/>
  <c r="AI47" i="15"/>
  <c r="O47" i="15"/>
  <c r="UE47" i="15"/>
  <c r="TK47" i="15"/>
  <c r="SQ47" i="15"/>
  <c r="RW47" i="15"/>
  <c r="RC47" i="15"/>
  <c r="QI47" i="15"/>
  <c r="PO47" i="15"/>
  <c r="OU47" i="15"/>
  <c r="OA47" i="15"/>
  <c r="NG47" i="15"/>
  <c r="MM47" i="15"/>
  <c r="LS47" i="15"/>
  <c r="KY47" i="15"/>
  <c r="KE47" i="15"/>
  <c r="JK47" i="15"/>
  <c r="IQ47" i="15"/>
  <c r="HW47" i="15"/>
  <c r="HC47" i="15"/>
  <c r="GI47" i="15"/>
  <c r="FO47" i="15"/>
  <c r="EU47" i="15"/>
  <c r="EA47" i="15"/>
  <c r="DG47" i="15"/>
  <c r="CM47" i="15"/>
  <c r="BS47" i="15"/>
  <c r="AY47" i="15"/>
  <c r="AE47" i="15"/>
  <c r="K47" i="15"/>
  <c r="LK47" i="15"/>
  <c r="IM47" i="15"/>
  <c r="CY47" i="15"/>
  <c r="AA47" i="15"/>
  <c r="UA47" i="15"/>
  <c r="SM47" i="15"/>
  <c r="QY47" i="15"/>
  <c r="PK47" i="15"/>
  <c r="JW47" i="15"/>
  <c r="GY47" i="15"/>
  <c r="NW47" i="15"/>
  <c r="BK47" i="15"/>
  <c r="II47" i="15"/>
  <c r="FK47" i="15"/>
  <c r="MI47" i="15"/>
  <c r="W47" i="15"/>
  <c r="TW47" i="15"/>
  <c r="SI47" i="15"/>
  <c r="QU47" i="15"/>
  <c r="PG47" i="15"/>
  <c r="GU47" i="15"/>
  <c r="DW47" i="15"/>
  <c r="FG47" i="15"/>
  <c r="CI47" i="15"/>
  <c r="ME47" i="15"/>
  <c r="JG47" i="15"/>
  <c r="DS47" i="15"/>
  <c r="AU47" i="15"/>
  <c r="KQ47" i="15"/>
  <c r="HS47" i="15"/>
  <c r="NC47" i="15"/>
  <c r="AQ47" i="15"/>
  <c r="HO47" i="15"/>
  <c r="EQ47" i="15"/>
  <c r="UQ47" i="15"/>
  <c r="TC47" i="15"/>
  <c r="RO47" i="15"/>
  <c r="QA47" i="15"/>
  <c r="OM47" i="15"/>
  <c r="LO47" i="15"/>
  <c r="C47" i="15"/>
  <c r="OQ47" i="15"/>
  <c r="KA47" i="15"/>
  <c r="TG47" i="15"/>
  <c r="NS47" i="15"/>
  <c r="JC47" i="15"/>
  <c r="EM47" i="15"/>
  <c r="G47" i="15"/>
  <c r="MY47" i="15"/>
  <c r="DC47" i="15"/>
  <c r="QE47" i="15"/>
  <c r="CE47" i="15"/>
  <c r="RS47" i="15"/>
  <c r="GA47" i="15"/>
  <c r="KU47" i="15"/>
  <c r="GE47" i="15"/>
  <c r="BO47" i="15"/>
  <c r="UI110" i="15"/>
  <c r="TO110" i="15"/>
  <c r="SU110" i="15"/>
  <c r="SA110" i="15"/>
  <c r="RG110" i="15"/>
  <c r="QM110" i="15"/>
  <c r="PS110" i="15"/>
  <c r="SE110" i="15"/>
  <c r="PK110" i="15"/>
  <c r="NS110" i="15"/>
  <c r="MA110" i="15"/>
  <c r="JK110" i="15"/>
  <c r="HS110" i="15"/>
  <c r="GA110" i="15"/>
  <c r="EI110" i="15"/>
  <c r="BS110" i="15"/>
  <c r="G110" i="15"/>
  <c r="LC110" i="15"/>
  <c r="DK110" i="15"/>
  <c r="AA110" i="15"/>
  <c r="PG110" i="15"/>
  <c r="NO110" i="15"/>
  <c r="KY110" i="15"/>
  <c r="JG110" i="15"/>
  <c r="HO110" i="15"/>
  <c r="FW110" i="15"/>
  <c r="DG110" i="15"/>
  <c r="BO110" i="15"/>
  <c r="C110" i="15"/>
  <c r="SQ110" i="15"/>
  <c r="PC110" i="15"/>
  <c r="MM110" i="15"/>
  <c r="KU110" i="15"/>
  <c r="JC110" i="15"/>
  <c r="HK110" i="15"/>
  <c r="EU110" i="15"/>
  <c r="DC110" i="15"/>
  <c r="BK110" i="15"/>
  <c r="TC110" i="15"/>
  <c r="KI110" i="15"/>
  <c r="AQ110" i="15"/>
  <c r="PO110" i="15"/>
  <c r="OM110" i="15"/>
  <c r="NK110" i="15"/>
  <c r="MI110" i="15"/>
  <c r="KE110" i="15"/>
  <c r="CU110" i="15"/>
  <c r="SY110" i="15"/>
  <c r="RS110" i="15"/>
  <c r="IA110" i="15"/>
  <c r="O110" i="15"/>
  <c r="TW110" i="15"/>
  <c r="ME110" i="15"/>
  <c r="IY110" i="15"/>
  <c r="HW110" i="15"/>
  <c r="GU110" i="15"/>
  <c r="FS110" i="15"/>
  <c r="EQ110" i="15"/>
  <c r="CM110" i="15"/>
  <c r="K110" i="15"/>
  <c r="NG110" i="15"/>
  <c r="GQ110" i="15"/>
  <c r="EA110" i="15"/>
  <c r="QA110" i="15"/>
  <c r="KQ110" i="15"/>
  <c r="CQ110" i="15"/>
  <c r="BG110" i="15"/>
  <c r="RK110" i="15"/>
  <c r="LW110" i="15"/>
  <c r="GM110" i="15"/>
  <c r="SM110" i="15"/>
  <c r="RC110" i="15"/>
  <c r="OI110" i="15"/>
  <c r="KM110" i="15"/>
  <c r="GI110" i="15"/>
  <c r="FC110" i="15"/>
  <c r="OE110" i="15"/>
  <c r="S110" i="15"/>
  <c r="TS110" i="15"/>
  <c r="SI110" i="15"/>
  <c r="OA110" i="15"/>
  <c r="MU110" i="15"/>
  <c r="KA110" i="15"/>
  <c r="GE110" i="15"/>
  <c r="AU110" i="15"/>
  <c r="QI110" i="15"/>
  <c r="AY110" i="15"/>
  <c r="UM110" i="15"/>
  <c r="IM110" i="15"/>
  <c r="CY110" i="15"/>
  <c r="QE110" i="15"/>
  <c r="UE110" i="15"/>
  <c r="EM110" i="15"/>
  <c r="UA110" i="15"/>
  <c r="II110" i="15"/>
  <c r="AM110" i="15"/>
  <c r="RW110" i="15"/>
  <c r="PW110" i="15"/>
  <c r="NW110" i="15"/>
  <c r="JW110" i="15"/>
  <c r="CI110" i="15"/>
  <c r="CE110" i="15"/>
  <c r="LS110" i="15"/>
  <c r="IE110" i="15"/>
  <c r="AI110" i="15"/>
  <c r="TK110" i="15"/>
  <c r="RO110" i="15"/>
  <c r="LO110" i="15"/>
  <c r="EE110" i="15"/>
  <c r="JS110" i="15"/>
  <c r="CA110" i="15"/>
  <c r="DW110" i="15"/>
  <c r="AE110" i="15"/>
  <c r="HC110" i="15"/>
  <c r="TG110" i="15"/>
  <c r="OY110" i="15"/>
  <c r="GY110" i="15"/>
  <c r="BW110" i="15"/>
  <c r="OQ110" i="15"/>
  <c r="BC110" i="15"/>
  <c r="QQ110" i="15"/>
  <c r="DS110" i="15"/>
  <c r="JO110" i="15"/>
  <c r="DO110" i="15"/>
  <c r="IU110" i="15"/>
  <c r="NC110" i="15"/>
  <c r="UQ110" i="15"/>
  <c r="MY110" i="15"/>
  <c r="LK110" i="15"/>
  <c r="FK110" i="15"/>
  <c r="IQ110" i="15"/>
  <c r="HG110" i="15"/>
  <c r="FO110" i="15"/>
  <c r="FG110" i="15"/>
  <c r="EY110" i="15"/>
  <c r="QY110" i="15"/>
  <c r="QU110" i="15"/>
  <c r="OU110" i="15"/>
  <c r="W110" i="15"/>
  <c r="LG110" i="15"/>
  <c r="MQ110" i="15"/>
  <c r="UA24" i="15"/>
  <c r="TG24" i="15"/>
  <c r="SM24" i="15"/>
  <c r="RS24" i="15"/>
  <c r="QY24" i="15"/>
  <c r="QE24" i="15"/>
  <c r="PK24" i="15"/>
  <c r="OQ24" i="15"/>
  <c r="NW24" i="15"/>
  <c r="NC24" i="15"/>
  <c r="MI24" i="15"/>
  <c r="LO24" i="15"/>
  <c r="KU24" i="15"/>
  <c r="KA24" i="15"/>
  <c r="JG24" i="15"/>
  <c r="IM24" i="15"/>
  <c r="HS24" i="15"/>
  <c r="GY24" i="15"/>
  <c r="GE24" i="15"/>
  <c r="FK24" i="15"/>
  <c r="EQ24" i="15"/>
  <c r="DW24" i="15"/>
  <c r="DC24" i="15"/>
  <c r="CI24" i="15"/>
  <c r="BO24" i="15"/>
  <c r="AU24" i="15"/>
  <c r="AA24" i="15"/>
  <c r="G24" i="15"/>
  <c r="UQ24" i="15"/>
  <c r="TW24" i="15"/>
  <c r="TC24" i="15"/>
  <c r="SI24" i="15"/>
  <c r="RO24" i="15"/>
  <c r="QU24" i="15"/>
  <c r="QA24" i="15"/>
  <c r="PG24" i="15"/>
  <c r="OM24" i="15"/>
  <c r="NS24" i="15"/>
  <c r="MY24" i="15"/>
  <c r="ME24" i="15"/>
  <c r="LK24" i="15"/>
  <c r="KQ24" i="15"/>
  <c r="JW24" i="15"/>
  <c r="JC24" i="15"/>
  <c r="II24" i="15"/>
  <c r="UM24" i="15"/>
  <c r="TS24" i="15"/>
  <c r="SY24" i="15"/>
  <c r="SE24" i="15"/>
  <c r="RK24" i="15"/>
  <c r="QQ24" i="15"/>
  <c r="PW24" i="15"/>
  <c r="PC24" i="15"/>
  <c r="OI24" i="15"/>
  <c r="NO24" i="15"/>
  <c r="MU24" i="15"/>
  <c r="MA24" i="15"/>
  <c r="LG24" i="15"/>
  <c r="KM24" i="15"/>
  <c r="JS24" i="15"/>
  <c r="IY24" i="15"/>
  <c r="IE24" i="15"/>
  <c r="UI24" i="15"/>
  <c r="TO24" i="15"/>
  <c r="SU24" i="15"/>
  <c r="SQ24" i="15"/>
  <c r="PS24" i="15"/>
  <c r="DO24" i="15"/>
  <c r="GU24" i="15"/>
  <c r="FS24" i="15"/>
  <c r="CM24" i="15"/>
  <c r="C24" i="15"/>
  <c r="RC24" i="15"/>
  <c r="BG24" i="15"/>
  <c r="UE24" i="15"/>
  <c r="OE24" i="15"/>
  <c r="LS24" i="15"/>
  <c r="KI24" i="15"/>
  <c r="HW24" i="15"/>
  <c r="EM24" i="15"/>
  <c r="DK24" i="15"/>
  <c r="AE24" i="15"/>
  <c r="PO24" i="15"/>
  <c r="GQ24" i="15"/>
  <c r="FO24" i="15"/>
  <c r="CE24" i="15"/>
  <c r="BC24" i="15"/>
  <c r="EI24" i="15"/>
  <c r="CA24" i="15"/>
  <c r="QM24" i="15"/>
  <c r="FG24" i="15"/>
  <c r="EE24" i="15"/>
  <c r="AY24" i="15"/>
  <c r="FC24" i="15"/>
  <c r="QI24" i="15"/>
  <c r="HG24" i="15"/>
  <c r="EA24" i="15"/>
  <c r="AQ24" i="15"/>
  <c r="O24" i="15"/>
  <c r="OU24" i="15"/>
  <c r="NK24" i="15"/>
  <c r="KY24" i="15"/>
  <c r="JO24" i="15"/>
  <c r="GA24" i="15"/>
  <c r="EY24" i="15"/>
  <c r="BS24" i="15"/>
  <c r="AM24" i="15"/>
  <c r="HC24" i="15"/>
  <c r="DS24" i="15"/>
  <c r="CQ24" i="15"/>
  <c r="K24" i="15"/>
  <c r="OA24" i="15"/>
  <c r="FW24" i="15"/>
  <c r="SA24" i="15"/>
  <c r="BW24" i="15"/>
  <c r="JK24" i="15"/>
  <c r="RW24" i="15"/>
  <c r="IU24" i="15"/>
  <c r="NG24" i="15"/>
  <c r="BK24" i="15"/>
  <c r="RG24" i="15"/>
  <c r="MQ24" i="15"/>
  <c r="IQ24" i="15"/>
  <c r="EU24" i="15"/>
  <c r="MM24" i="15"/>
  <c r="IA24" i="15"/>
  <c r="HO24" i="15"/>
  <c r="LW24" i="15"/>
  <c r="HK24" i="15"/>
  <c r="AI24" i="15"/>
  <c r="W24" i="15"/>
  <c r="OY24" i="15"/>
  <c r="GM24" i="15"/>
  <c r="CY24" i="15"/>
  <c r="LC24" i="15"/>
  <c r="KE24" i="15"/>
  <c r="TK24" i="15"/>
  <c r="GI24" i="15"/>
  <c r="DG24" i="15"/>
  <c r="CU24" i="15"/>
  <c r="S24" i="15"/>
  <c r="UA89" i="15"/>
  <c r="TG89" i="15"/>
  <c r="SM89" i="15"/>
  <c r="RS89" i="15"/>
  <c r="UQ89" i="15"/>
  <c r="TW89" i="15"/>
  <c r="TC89" i="15"/>
  <c r="SI89" i="15"/>
  <c r="QI89" i="15"/>
  <c r="NC89" i="15"/>
  <c r="KQ89" i="15"/>
  <c r="HK89" i="15"/>
  <c r="GQ89" i="15"/>
  <c r="FW89" i="15"/>
  <c r="FC89" i="15"/>
  <c r="EI89" i="15"/>
  <c r="DO89" i="15"/>
  <c r="CU89" i="15"/>
  <c r="CA89" i="15"/>
  <c r="BG89" i="15"/>
  <c r="AM89" i="15"/>
  <c r="S89" i="15"/>
  <c r="TS89" i="15"/>
  <c r="RC89" i="15"/>
  <c r="NW89" i="15"/>
  <c r="LK89" i="15"/>
  <c r="IE89" i="15"/>
  <c r="SU89" i="15"/>
  <c r="OQ89" i="15"/>
  <c r="ME89" i="15"/>
  <c r="IY89" i="15"/>
  <c r="RW89" i="15"/>
  <c r="PK89" i="15"/>
  <c r="MY89" i="15"/>
  <c r="UM89" i="15"/>
  <c r="QE89" i="15"/>
  <c r="NS89" i="15"/>
  <c r="TO89" i="15"/>
  <c r="QY89" i="15"/>
  <c r="OM89" i="15"/>
  <c r="LG89" i="15"/>
  <c r="IA89" i="15"/>
  <c r="SQ89" i="15"/>
  <c r="PG89" i="15"/>
  <c r="MA89" i="15"/>
  <c r="IU89" i="15"/>
  <c r="PC89" i="15"/>
  <c r="LW89" i="15"/>
  <c r="IQ89" i="15"/>
  <c r="RG89" i="15"/>
  <c r="KU89" i="15"/>
  <c r="HG89" i="15"/>
  <c r="BS89" i="15"/>
  <c r="O89" i="15"/>
  <c r="OI89" i="15"/>
  <c r="DW89" i="15"/>
  <c r="AQ89" i="15"/>
  <c r="PS89" i="15"/>
  <c r="JK89" i="15"/>
  <c r="II89" i="15"/>
  <c r="HC89" i="15"/>
  <c r="EY89" i="15"/>
  <c r="K89" i="15"/>
  <c r="MU89" i="15"/>
  <c r="LS89" i="15"/>
  <c r="GA89" i="15"/>
  <c r="BO89" i="15"/>
  <c r="QU89" i="15"/>
  <c r="OE89" i="15"/>
  <c r="KM89" i="15"/>
  <c r="EU89" i="15"/>
  <c r="CQ89" i="15"/>
  <c r="GY89" i="15"/>
  <c r="DS89" i="15"/>
  <c r="G89" i="15"/>
  <c r="SE89" i="15"/>
  <c r="PO89" i="15"/>
  <c r="MQ89" i="15"/>
  <c r="KI89" i="15"/>
  <c r="JG89" i="15"/>
  <c r="CM89" i="15"/>
  <c r="AI89" i="15"/>
  <c r="OA89" i="15"/>
  <c r="FS89" i="15"/>
  <c r="AE89" i="15"/>
  <c r="TK89" i="15"/>
  <c r="KE89" i="15"/>
  <c r="JC89" i="15"/>
  <c r="HW89" i="15"/>
  <c r="GU89" i="15"/>
  <c r="CI89" i="15"/>
  <c r="C89" i="15"/>
  <c r="SA89" i="15"/>
  <c r="MM89" i="15"/>
  <c r="FO89" i="15"/>
  <c r="DK89" i="15"/>
  <c r="QA89" i="15"/>
  <c r="NK89" i="15"/>
  <c r="HO89" i="15"/>
  <c r="DC89" i="15"/>
  <c r="W89" i="15"/>
  <c r="SY89" i="15"/>
  <c r="OU89" i="15"/>
  <c r="JS89" i="15"/>
  <c r="RK89" i="15"/>
  <c r="KY89" i="15"/>
  <c r="NO89" i="15"/>
  <c r="HS89" i="15"/>
  <c r="FG89" i="15"/>
  <c r="CY89" i="15"/>
  <c r="AA89" i="15"/>
  <c r="QQ89" i="15"/>
  <c r="UI89" i="15"/>
  <c r="QM89" i="15"/>
  <c r="EQ89" i="15"/>
  <c r="EM89" i="15"/>
  <c r="CE89" i="15"/>
  <c r="UE89" i="15"/>
  <c r="NG89" i="15"/>
  <c r="KA89" i="15"/>
  <c r="JW89" i="15"/>
  <c r="PW89" i="15"/>
  <c r="EE89" i="15"/>
  <c r="BW89" i="15"/>
  <c r="JO89" i="15"/>
  <c r="MI89" i="15"/>
  <c r="GM89" i="15"/>
  <c r="EA89" i="15"/>
  <c r="BK89" i="15"/>
  <c r="GI89" i="15"/>
  <c r="LO89" i="15"/>
  <c r="DG89" i="15"/>
  <c r="AY89" i="15"/>
  <c r="LC89" i="15"/>
  <c r="BC89" i="15"/>
  <c r="IM89" i="15"/>
  <c r="AU89" i="15"/>
  <c r="OY89" i="15"/>
  <c r="GE89" i="15"/>
  <c r="FK89" i="15"/>
  <c r="RO89" i="15"/>
  <c r="UA34" i="15"/>
  <c r="TG34" i="15"/>
  <c r="SM34" i="15"/>
  <c r="RS34" i="15"/>
  <c r="QY34" i="15"/>
  <c r="QE34" i="15"/>
  <c r="PK34" i="15"/>
  <c r="OQ34" i="15"/>
  <c r="NW34" i="15"/>
  <c r="NC34" i="15"/>
  <c r="MI34" i="15"/>
  <c r="LO34" i="15"/>
  <c r="KU34" i="15"/>
  <c r="KA34" i="15"/>
  <c r="JG34" i="15"/>
  <c r="IM34" i="15"/>
  <c r="UQ34" i="15"/>
  <c r="TW34" i="15"/>
  <c r="TC34" i="15"/>
  <c r="SI34" i="15"/>
  <c r="RO34" i="15"/>
  <c r="QU34" i="15"/>
  <c r="QA34" i="15"/>
  <c r="PG34" i="15"/>
  <c r="OM34" i="15"/>
  <c r="NS34" i="15"/>
  <c r="MY34" i="15"/>
  <c r="ME34" i="15"/>
  <c r="LK34" i="15"/>
  <c r="KQ34" i="15"/>
  <c r="QI34" i="15"/>
  <c r="NO34" i="15"/>
  <c r="JC34" i="15"/>
  <c r="GQ34" i="15"/>
  <c r="SY34" i="15"/>
  <c r="MQ34" i="15"/>
  <c r="HK34" i="15"/>
  <c r="SA34" i="15"/>
  <c r="LS34" i="15"/>
  <c r="JW34" i="15"/>
  <c r="IE34" i="15"/>
  <c r="RC34" i="15"/>
  <c r="OI34" i="15"/>
  <c r="FS34" i="15"/>
  <c r="EY34" i="15"/>
  <c r="EE34" i="15"/>
  <c r="DK34" i="15"/>
  <c r="CQ34" i="15"/>
  <c r="BW34" i="15"/>
  <c r="BC34" i="15"/>
  <c r="AI34" i="15"/>
  <c r="O34" i="15"/>
  <c r="SQ34" i="15"/>
  <c r="PW34" i="15"/>
  <c r="HC34" i="15"/>
  <c r="OY34" i="15"/>
  <c r="JO34" i="15"/>
  <c r="HW34" i="15"/>
  <c r="QM34" i="15"/>
  <c r="PC34" i="15"/>
  <c r="IU34" i="15"/>
  <c r="MM34" i="15"/>
  <c r="HO34" i="15"/>
  <c r="FG34" i="15"/>
  <c r="CA34" i="15"/>
  <c r="AU34" i="15"/>
  <c r="IQ34" i="15"/>
  <c r="GI34" i="15"/>
  <c r="UE34" i="15"/>
  <c r="SU34" i="15"/>
  <c r="LC34" i="15"/>
  <c r="EA34" i="15"/>
  <c r="CY34" i="15"/>
  <c r="S34" i="15"/>
  <c r="JS34" i="15"/>
  <c r="GE34" i="15"/>
  <c r="RK34" i="15"/>
  <c r="HG34" i="15"/>
  <c r="FC34" i="15"/>
  <c r="DW34" i="15"/>
  <c r="BS34" i="15"/>
  <c r="AQ34" i="15"/>
  <c r="OU34" i="15"/>
  <c r="NK34" i="15"/>
  <c r="KY34" i="15"/>
  <c r="GA34" i="15"/>
  <c r="CU34" i="15"/>
  <c r="BO34" i="15"/>
  <c r="K34" i="15"/>
  <c r="TS34" i="15"/>
  <c r="MA34" i="15"/>
  <c r="II34" i="15"/>
  <c r="RG34" i="15"/>
  <c r="EU34" i="15"/>
  <c r="DS34" i="15"/>
  <c r="AM34" i="15"/>
  <c r="G34" i="15"/>
  <c r="NG34" i="15"/>
  <c r="JK34" i="15"/>
  <c r="TO34" i="15"/>
  <c r="LW34" i="15"/>
  <c r="KM34" i="15"/>
  <c r="IA34" i="15"/>
  <c r="DO34" i="15"/>
  <c r="CI34" i="15"/>
  <c r="AE34" i="15"/>
  <c r="C34" i="15"/>
  <c r="TK34" i="15"/>
  <c r="SE34" i="15"/>
  <c r="KI34" i="15"/>
  <c r="GU34" i="15"/>
  <c r="PO34" i="15"/>
  <c r="OE34" i="15"/>
  <c r="FO34" i="15"/>
  <c r="EM34" i="15"/>
  <c r="BG34" i="15"/>
  <c r="AA34" i="15"/>
  <c r="QQ34" i="15"/>
  <c r="IY34" i="15"/>
  <c r="FW34" i="15"/>
  <c r="FK34" i="15"/>
  <c r="RW34" i="15"/>
  <c r="LG34" i="15"/>
  <c r="W34" i="15"/>
  <c r="EQ34" i="15"/>
  <c r="KE34" i="15"/>
  <c r="EI34" i="15"/>
  <c r="PS34" i="15"/>
  <c r="DG34" i="15"/>
  <c r="CM34" i="15"/>
  <c r="UM34" i="15"/>
  <c r="OA34" i="15"/>
  <c r="CE34" i="15"/>
  <c r="HS34" i="15"/>
  <c r="UI34" i="15"/>
  <c r="GY34" i="15"/>
  <c r="BK34" i="15"/>
  <c r="MU34" i="15"/>
  <c r="GM34" i="15"/>
  <c r="DC34" i="15"/>
  <c r="AY34" i="15"/>
  <c r="UM48" i="15"/>
  <c r="TS48" i="15"/>
  <c r="SY48" i="15"/>
  <c r="SE48" i="15"/>
  <c r="RK48" i="15"/>
  <c r="QQ48" i="15"/>
  <c r="PW48" i="15"/>
  <c r="PC48" i="15"/>
  <c r="OI48" i="15"/>
  <c r="UE48" i="15"/>
  <c r="SM48" i="15"/>
  <c r="QU48" i="15"/>
  <c r="OE48" i="15"/>
  <c r="KY48" i="15"/>
  <c r="HS48" i="15"/>
  <c r="EM48" i="15"/>
  <c r="BG48" i="15"/>
  <c r="LS48" i="15"/>
  <c r="IM48" i="15"/>
  <c r="FG48" i="15"/>
  <c r="CA48" i="15"/>
  <c r="O48" i="15"/>
  <c r="TG48" i="15"/>
  <c r="RO48" i="15"/>
  <c r="OY48" i="15"/>
  <c r="MM48" i="15"/>
  <c r="JG48" i="15"/>
  <c r="GA48" i="15"/>
  <c r="CU48" i="15"/>
  <c r="AI48" i="15"/>
  <c r="NG48" i="15"/>
  <c r="KA48" i="15"/>
  <c r="GU48" i="15"/>
  <c r="DO48" i="15"/>
  <c r="BC48" i="15"/>
  <c r="UA48" i="15"/>
  <c r="SI48" i="15"/>
  <c r="PS48" i="15"/>
  <c r="OA48" i="15"/>
  <c r="KU48" i="15"/>
  <c r="HO48" i="15"/>
  <c r="EI48" i="15"/>
  <c r="BW48" i="15"/>
  <c r="LO48" i="15"/>
  <c r="II48" i="15"/>
  <c r="FC48" i="15"/>
  <c r="CQ48" i="15"/>
  <c r="K48" i="15"/>
  <c r="TC48" i="15"/>
  <c r="QM48" i="15"/>
  <c r="OU48" i="15"/>
  <c r="MI48" i="15"/>
  <c r="JC48" i="15"/>
  <c r="FW48" i="15"/>
  <c r="DK48" i="15"/>
  <c r="AE48" i="15"/>
  <c r="TW48" i="15"/>
  <c r="RG48" i="15"/>
  <c r="PO48" i="15"/>
  <c r="NW48" i="15"/>
  <c r="KQ48" i="15"/>
  <c r="HK48" i="15"/>
  <c r="EY48" i="15"/>
  <c r="BS48" i="15"/>
  <c r="LK48" i="15"/>
  <c r="IE48" i="15"/>
  <c r="FS48" i="15"/>
  <c r="CM48" i="15"/>
  <c r="G48" i="15"/>
  <c r="UQ48" i="15"/>
  <c r="SA48" i="15"/>
  <c r="QI48" i="15"/>
  <c r="OQ48" i="15"/>
  <c r="ME48" i="15"/>
  <c r="IY48" i="15"/>
  <c r="GM48" i="15"/>
  <c r="DG48" i="15"/>
  <c r="AA48" i="15"/>
  <c r="TO48" i="15"/>
  <c r="UI48" i="15"/>
  <c r="SQ48" i="15"/>
  <c r="QY48" i="15"/>
  <c r="PG48" i="15"/>
  <c r="NO48" i="15"/>
  <c r="IA48" i="15"/>
  <c r="EU48" i="15"/>
  <c r="BO48" i="15"/>
  <c r="SU48" i="15"/>
  <c r="LG48" i="15"/>
  <c r="JO48" i="15"/>
  <c r="GI48" i="15"/>
  <c r="DC48" i="15"/>
  <c r="W48" i="15"/>
  <c r="MU48" i="15"/>
  <c r="OM48" i="15"/>
  <c r="LC48" i="15"/>
  <c r="HW48" i="15"/>
  <c r="EQ48" i="15"/>
  <c r="BK48" i="15"/>
  <c r="MQ48" i="15"/>
  <c r="JK48" i="15"/>
  <c r="GE48" i="15"/>
  <c r="CY48" i="15"/>
  <c r="S48" i="15"/>
  <c r="EE48" i="15"/>
  <c r="AY48" i="15"/>
  <c r="QA48" i="15"/>
  <c r="HG48" i="15"/>
  <c r="EA48" i="15"/>
  <c r="AU48" i="15"/>
  <c r="KM48" i="15"/>
  <c r="RW48" i="15"/>
  <c r="NS48" i="15"/>
  <c r="IU48" i="15"/>
  <c r="FO48" i="15"/>
  <c r="CI48" i="15"/>
  <c r="C48" i="15"/>
  <c r="LW48" i="15"/>
  <c r="IQ48" i="15"/>
  <c r="FK48" i="15"/>
  <c r="CE48" i="15"/>
  <c r="DW48" i="15"/>
  <c r="DS48" i="15"/>
  <c r="NK48" i="15"/>
  <c r="NC48" i="15"/>
  <c r="TK48" i="15"/>
  <c r="MY48" i="15"/>
  <c r="HC48" i="15"/>
  <c r="GQ48" i="15"/>
  <c r="QE48" i="15"/>
  <c r="KI48" i="15"/>
  <c r="KE48" i="15"/>
  <c r="JW48" i="15"/>
  <c r="JS48" i="15"/>
  <c r="RS48" i="15"/>
  <c r="AM48" i="15"/>
  <c r="PK48" i="15"/>
  <c r="RC48" i="15"/>
  <c r="MA48" i="15"/>
  <c r="GY48" i="15"/>
  <c r="AQ48" i="15"/>
  <c r="UI44" i="15"/>
  <c r="TO44" i="15"/>
  <c r="SU44" i="15"/>
  <c r="SA44" i="15"/>
  <c r="RG44" i="15"/>
  <c r="QM44" i="15"/>
  <c r="PS44" i="15"/>
  <c r="OY44" i="15"/>
  <c r="OE44" i="15"/>
  <c r="NK44" i="15"/>
  <c r="MQ44" i="15"/>
  <c r="LW44" i="15"/>
  <c r="LC44" i="15"/>
  <c r="KI44" i="15"/>
  <c r="JO44" i="15"/>
  <c r="IU44" i="15"/>
  <c r="IA44" i="15"/>
  <c r="HG44" i="15"/>
  <c r="GM44" i="15"/>
  <c r="FS44" i="15"/>
  <c r="EY44" i="15"/>
  <c r="EE44" i="15"/>
  <c r="DK44" i="15"/>
  <c r="CQ44" i="15"/>
  <c r="BW44" i="15"/>
  <c r="BC44" i="15"/>
  <c r="AI44" i="15"/>
  <c r="O44" i="15"/>
  <c r="RW44" i="15"/>
  <c r="QU44" i="15"/>
  <c r="OQ44" i="15"/>
  <c r="LO44" i="15"/>
  <c r="IM44" i="15"/>
  <c r="FK44" i="15"/>
  <c r="CI44" i="15"/>
  <c r="G44" i="15"/>
  <c r="UA44" i="15"/>
  <c r="MM44" i="15"/>
  <c r="JK44" i="15"/>
  <c r="GI44" i="15"/>
  <c r="DG44" i="15"/>
  <c r="AE44" i="15"/>
  <c r="SY44" i="15"/>
  <c r="PO44" i="15"/>
  <c r="NO44" i="15"/>
  <c r="KM44" i="15"/>
  <c r="HK44" i="15"/>
  <c r="EI44" i="15"/>
  <c r="BG44" i="15"/>
  <c r="RS44" i="15"/>
  <c r="OM44" i="15"/>
  <c r="LK44" i="15"/>
  <c r="II44" i="15"/>
  <c r="FG44" i="15"/>
  <c r="CE44" i="15"/>
  <c r="C44" i="15"/>
  <c r="TW44" i="15"/>
  <c r="QQ44" i="15"/>
  <c r="PK44" i="15"/>
  <c r="MI44" i="15"/>
  <c r="JG44" i="15"/>
  <c r="GE44" i="15"/>
  <c r="DC44" i="15"/>
  <c r="AA44" i="15"/>
  <c r="SQ44" i="15"/>
  <c r="RO44" i="15"/>
  <c r="NG44" i="15"/>
  <c r="KE44" i="15"/>
  <c r="HC44" i="15"/>
  <c r="EA44" i="15"/>
  <c r="AY44" i="15"/>
  <c r="TS44" i="15"/>
  <c r="QI44" i="15"/>
  <c r="PG44" i="15"/>
  <c r="ME44" i="15"/>
  <c r="JC44" i="15"/>
  <c r="GA44" i="15"/>
  <c r="CY44" i="15"/>
  <c r="W44" i="15"/>
  <c r="SM44" i="15"/>
  <c r="UQ44" i="15"/>
  <c r="RK44" i="15"/>
  <c r="NC44" i="15"/>
  <c r="KA44" i="15"/>
  <c r="GY44" i="15"/>
  <c r="DW44" i="15"/>
  <c r="AU44" i="15"/>
  <c r="QE44" i="15"/>
  <c r="OA44" i="15"/>
  <c r="KY44" i="15"/>
  <c r="HW44" i="15"/>
  <c r="EU44" i="15"/>
  <c r="BS44" i="15"/>
  <c r="UM44" i="15"/>
  <c r="RC44" i="15"/>
  <c r="QA44" i="15"/>
  <c r="TG44" i="15"/>
  <c r="NW44" i="15"/>
  <c r="KU44" i="15"/>
  <c r="HS44" i="15"/>
  <c r="EQ44" i="15"/>
  <c r="BO44" i="15"/>
  <c r="SE44" i="15"/>
  <c r="OU44" i="15"/>
  <c r="LS44" i="15"/>
  <c r="IQ44" i="15"/>
  <c r="FO44" i="15"/>
  <c r="CM44" i="15"/>
  <c r="K44" i="15"/>
  <c r="NS44" i="15"/>
  <c r="GU44" i="15"/>
  <c r="QY44" i="15"/>
  <c r="GQ44" i="15"/>
  <c r="S44" i="15"/>
  <c r="JW44" i="15"/>
  <c r="JS44" i="15"/>
  <c r="CU44" i="15"/>
  <c r="UE44" i="15"/>
  <c r="MY44" i="15"/>
  <c r="MU44" i="15"/>
  <c r="FW44" i="15"/>
  <c r="TK44" i="15"/>
  <c r="IY44" i="15"/>
  <c r="PW44" i="15"/>
  <c r="CA44" i="15"/>
  <c r="TC44" i="15"/>
  <c r="FC44" i="15"/>
  <c r="PC44" i="15"/>
  <c r="OI44" i="15"/>
  <c r="HO44" i="15"/>
  <c r="AQ44" i="15"/>
  <c r="EM44" i="15"/>
  <c r="DS44" i="15"/>
  <c r="BK44" i="15"/>
  <c r="LG44" i="15"/>
  <c r="KQ44" i="15"/>
  <c r="IE44" i="15"/>
  <c r="DO44" i="15"/>
  <c r="AM44" i="15"/>
  <c r="SI44" i="15"/>
  <c r="MA44" i="15"/>
  <c r="TW105" i="15"/>
  <c r="TC105" i="15"/>
  <c r="SI105" i="15"/>
  <c r="RO105" i="15"/>
  <c r="QU105" i="15"/>
  <c r="QA105" i="15"/>
  <c r="PG105" i="15"/>
  <c r="OM105" i="15"/>
  <c r="NS105" i="15"/>
  <c r="MY105" i="15"/>
  <c r="ME105" i="15"/>
  <c r="LK105" i="15"/>
  <c r="KQ105" i="15"/>
  <c r="JW105" i="15"/>
  <c r="JC105" i="15"/>
  <c r="II105" i="15"/>
  <c r="HO105" i="15"/>
  <c r="GU105" i="15"/>
  <c r="GA105" i="15"/>
  <c r="UQ105" i="15"/>
  <c r="SE105" i="15"/>
  <c r="OQ105" i="15"/>
  <c r="LW105" i="15"/>
  <c r="FO105" i="15"/>
  <c r="DW105" i="15"/>
  <c r="BG105" i="15"/>
  <c r="O105" i="15"/>
  <c r="UA105" i="15"/>
  <c r="RG105" i="15"/>
  <c r="KY105" i="15"/>
  <c r="IE105" i="15"/>
  <c r="CY105" i="15"/>
  <c r="QI105" i="15"/>
  <c r="NO105" i="15"/>
  <c r="KA105" i="15"/>
  <c r="HG105" i="15"/>
  <c r="EQ105" i="15"/>
  <c r="CA105" i="15"/>
  <c r="AI105" i="15"/>
  <c r="RC105" i="15"/>
  <c r="OI105" i="15"/>
  <c r="KU105" i="15"/>
  <c r="IA105" i="15"/>
  <c r="EM105" i="15"/>
  <c r="QY105" i="15"/>
  <c r="OE105" i="15"/>
  <c r="HW105" i="15"/>
  <c r="IU105" i="15"/>
  <c r="GM105" i="15"/>
  <c r="TO105" i="15"/>
  <c r="SM105" i="15"/>
  <c r="GI105" i="15"/>
  <c r="FC105" i="15"/>
  <c r="BS105" i="15"/>
  <c r="AQ105" i="15"/>
  <c r="PW105" i="15"/>
  <c r="OU105" i="15"/>
  <c r="MI105" i="15"/>
  <c r="EA105" i="15"/>
  <c r="CU105" i="15"/>
  <c r="K105" i="15"/>
  <c r="TK105" i="15"/>
  <c r="EY105" i="15"/>
  <c r="CQ105" i="15"/>
  <c r="BO105" i="15"/>
  <c r="G105" i="15"/>
  <c r="UM105" i="15"/>
  <c r="PS105" i="15"/>
  <c r="NG105" i="15"/>
  <c r="DS105" i="15"/>
  <c r="TG105" i="15"/>
  <c r="EU105" i="15"/>
  <c r="LO105" i="15"/>
  <c r="JS105" i="15"/>
  <c r="BK105" i="15"/>
  <c r="UE105" i="15"/>
  <c r="OY105" i="15"/>
  <c r="NC105" i="15"/>
  <c r="JO105" i="15"/>
  <c r="GE105" i="15"/>
  <c r="DC105" i="15"/>
  <c r="S105" i="15"/>
  <c r="SA105" i="15"/>
  <c r="QM105" i="15"/>
  <c r="BC105" i="15"/>
  <c r="EI105" i="15"/>
  <c r="AM105" i="15"/>
  <c r="RK105" i="15"/>
  <c r="IQ105" i="15"/>
  <c r="GQ105" i="15"/>
  <c r="CI105" i="15"/>
  <c r="PC105" i="15"/>
  <c r="MU105" i="15"/>
  <c r="KM105" i="15"/>
  <c r="AE105" i="15"/>
  <c r="MQ105" i="15"/>
  <c r="IM105" i="15"/>
  <c r="EE105" i="15"/>
  <c r="SY105" i="15"/>
  <c r="FW105" i="15"/>
  <c r="CE105" i="15"/>
  <c r="AA105" i="15"/>
  <c r="DO105" i="15"/>
  <c r="MA105" i="15"/>
  <c r="SQ105" i="15"/>
  <c r="KE105" i="15"/>
  <c r="HS105" i="15"/>
  <c r="DK105" i="15"/>
  <c r="AU105" i="15"/>
  <c r="TS105" i="15"/>
  <c r="LS105" i="15"/>
  <c r="HK105" i="15"/>
  <c r="PO105" i="15"/>
  <c r="PK105" i="15"/>
  <c r="LG105" i="15"/>
  <c r="HC105" i="15"/>
  <c r="W105" i="15"/>
  <c r="SU105" i="15"/>
  <c r="LC105" i="15"/>
  <c r="C105" i="15"/>
  <c r="GY105" i="15"/>
  <c r="DG105" i="15"/>
  <c r="RW105" i="15"/>
  <c r="OA105" i="15"/>
  <c r="KI105" i="15"/>
  <c r="RS105" i="15"/>
  <c r="JK105" i="15"/>
  <c r="FS105" i="15"/>
  <c r="JG105" i="15"/>
  <c r="AY105" i="15"/>
  <c r="IY105" i="15"/>
  <c r="QQ105" i="15"/>
  <c r="FK105" i="15"/>
  <c r="NW105" i="15"/>
  <c r="FG105" i="15"/>
  <c r="CM105" i="15"/>
  <c r="BW105" i="15"/>
  <c r="QE105" i="15"/>
  <c r="UI105" i="15"/>
  <c r="NK105" i="15"/>
  <c r="MM105" i="15"/>
  <c r="UQ35" i="15"/>
  <c r="TW35" i="15"/>
  <c r="TC35" i="15"/>
  <c r="SI35" i="15"/>
  <c r="RO35" i="15"/>
  <c r="QU35" i="15"/>
  <c r="QA35" i="15"/>
  <c r="PG35" i="15"/>
  <c r="OM35" i="15"/>
  <c r="NS35" i="15"/>
  <c r="MY35" i="15"/>
  <c r="ME35" i="15"/>
  <c r="LK35" i="15"/>
  <c r="KQ35" i="15"/>
  <c r="JW35" i="15"/>
  <c r="JC35" i="15"/>
  <c r="II35" i="15"/>
  <c r="HO35" i="15"/>
  <c r="GU35" i="15"/>
  <c r="GA35" i="15"/>
  <c r="FG35" i="15"/>
  <c r="EM35" i="15"/>
  <c r="DS35" i="15"/>
  <c r="CY35" i="15"/>
  <c r="AA35" i="15"/>
  <c r="UA35" i="15"/>
  <c r="SY35" i="15"/>
  <c r="QY35" i="15"/>
  <c r="PW35" i="15"/>
  <c r="NW35" i="15"/>
  <c r="MU35" i="15"/>
  <c r="KU35" i="15"/>
  <c r="JS35" i="15"/>
  <c r="HS35" i="15"/>
  <c r="GQ35" i="15"/>
  <c r="EQ35" i="15"/>
  <c r="CQ35" i="15"/>
  <c r="C35" i="15"/>
  <c r="RW35" i="15"/>
  <c r="OU35" i="15"/>
  <c r="LS35" i="15"/>
  <c r="IQ35" i="15"/>
  <c r="FO35" i="15"/>
  <c r="DO35" i="15"/>
  <c r="BS35" i="15"/>
  <c r="SU35" i="15"/>
  <c r="PS35" i="15"/>
  <c r="MQ35" i="15"/>
  <c r="JO35" i="15"/>
  <c r="GM35" i="15"/>
  <c r="AU35" i="15"/>
  <c r="W35" i="15"/>
  <c r="TO35" i="15"/>
  <c r="QM35" i="15"/>
  <c r="NK35" i="15"/>
  <c r="KI35" i="15"/>
  <c r="EE35" i="15"/>
  <c r="DG35" i="15"/>
  <c r="CI35" i="15"/>
  <c r="AM35" i="15"/>
  <c r="O35" i="15"/>
  <c r="BK35" i="15"/>
  <c r="RG35" i="15"/>
  <c r="OA35" i="15"/>
  <c r="KM35" i="15"/>
  <c r="IY35" i="15"/>
  <c r="HG35" i="15"/>
  <c r="CU35" i="15"/>
  <c r="BG35" i="15"/>
  <c r="PO35" i="15"/>
  <c r="FS35" i="15"/>
  <c r="UM35" i="15"/>
  <c r="PK35" i="15"/>
  <c r="IU35" i="15"/>
  <c r="HC35" i="15"/>
  <c r="EA35" i="15"/>
  <c r="CM35" i="15"/>
  <c r="S35" i="15"/>
  <c r="MA35" i="15"/>
  <c r="KE35" i="15"/>
  <c r="BC35" i="15"/>
  <c r="UI35" i="15"/>
  <c r="RC35" i="15"/>
  <c r="NO35" i="15"/>
  <c r="FK35" i="15"/>
  <c r="SQ35" i="15"/>
  <c r="LW35" i="15"/>
  <c r="IM35" i="15"/>
  <c r="SM35" i="15"/>
  <c r="GY35" i="15"/>
  <c r="DW35" i="15"/>
  <c r="PC35" i="15"/>
  <c r="NG35" i="15"/>
  <c r="KA35" i="15"/>
  <c r="FC35" i="15"/>
  <c r="AY35" i="15"/>
  <c r="K35" i="15"/>
  <c r="UE35" i="15"/>
  <c r="QQ35" i="15"/>
  <c r="LO35" i="15"/>
  <c r="IE35" i="15"/>
  <c r="CE35" i="15"/>
  <c r="OY35" i="15"/>
  <c r="EY35" i="15"/>
  <c r="DK35" i="15"/>
  <c r="LG35" i="15"/>
  <c r="IA35" i="15"/>
  <c r="CA35" i="15"/>
  <c r="AQ35" i="15"/>
  <c r="TS35" i="15"/>
  <c r="OQ35" i="15"/>
  <c r="LC35" i="15"/>
  <c r="GI35" i="15"/>
  <c r="SA35" i="15"/>
  <c r="JK35" i="15"/>
  <c r="EU35" i="15"/>
  <c r="BW35" i="15"/>
  <c r="AI35" i="15"/>
  <c r="OI35" i="15"/>
  <c r="HW35" i="15"/>
  <c r="GE35" i="15"/>
  <c r="TK35" i="15"/>
  <c r="QE35" i="15"/>
  <c r="JG35" i="15"/>
  <c r="DC35" i="15"/>
  <c r="RS35" i="15"/>
  <c r="OE35" i="15"/>
  <c r="KY35" i="15"/>
  <c r="BO35" i="15"/>
  <c r="TG35" i="15"/>
  <c r="SE35" i="15"/>
  <c r="RK35" i="15"/>
  <c r="QI35" i="15"/>
  <c r="AE35" i="15"/>
  <c r="HK35" i="15"/>
  <c r="G35" i="15"/>
  <c r="FW35" i="15"/>
  <c r="NC35" i="15"/>
  <c r="MM35" i="15"/>
  <c r="EI35" i="15"/>
  <c r="MI35" i="15"/>
  <c r="UQ118" i="15"/>
  <c r="TS118" i="15"/>
  <c r="NK118" i="15"/>
  <c r="HC118" i="15"/>
  <c r="GE118" i="15"/>
  <c r="FG118" i="15"/>
  <c r="EI118" i="15"/>
  <c r="SU118" i="15"/>
  <c r="MM118" i="15"/>
  <c r="LO118" i="15"/>
  <c r="KQ118" i="15"/>
  <c r="JS118" i="15"/>
  <c r="DK118" i="15"/>
  <c r="TO118" i="15"/>
  <c r="NG118" i="15"/>
  <c r="MI118" i="15"/>
  <c r="LK118" i="15"/>
  <c r="KM118" i="15"/>
  <c r="TK118" i="15"/>
  <c r="SM118" i="15"/>
  <c r="RK118" i="15"/>
  <c r="KA118" i="15"/>
  <c r="IY118" i="15"/>
  <c r="HW118" i="15"/>
  <c r="DW118" i="15"/>
  <c r="BW118" i="15"/>
  <c r="W118" i="15"/>
  <c r="OE118" i="15"/>
  <c r="NC118" i="15"/>
  <c r="MA118" i="15"/>
  <c r="GU118" i="15"/>
  <c r="CU118" i="15"/>
  <c r="S118" i="15"/>
  <c r="RG118" i="15"/>
  <c r="OA118" i="15"/>
  <c r="MY118" i="15"/>
  <c r="GQ118" i="15"/>
  <c r="BS118" i="15"/>
  <c r="UI118" i="15"/>
  <c r="RC118" i="15"/>
  <c r="PW118" i="15"/>
  <c r="IM118" i="15"/>
  <c r="GM118" i="15"/>
  <c r="EM118" i="15"/>
  <c r="BK118" i="15"/>
  <c r="KE118" i="15"/>
  <c r="HK118" i="15"/>
  <c r="DS118" i="15"/>
  <c r="AA118" i="15"/>
  <c r="SA118" i="15"/>
  <c r="QQ118" i="15"/>
  <c r="IQ118" i="15"/>
  <c r="EY118" i="15"/>
  <c r="CI118" i="15"/>
  <c r="PC118" i="15"/>
  <c r="JW118" i="15"/>
  <c r="HG118" i="15"/>
  <c r="CE118" i="15"/>
  <c r="SY118" i="15"/>
  <c r="RO118" i="15"/>
  <c r="NO118" i="15"/>
  <c r="KY118" i="15"/>
  <c r="FS118" i="15"/>
  <c r="AQ118" i="15"/>
  <c r="K118" i="15"/>
  <c r="NW118" i="15"/>
  <c r="ME118" i="15"/>
  <c r="CQ118" i="15"/>
  <c r="UM118" i="15"/>
  <c r="NS118" i="15"/>
  <c r="QY118" i="15"/>
  <c r="PK118" i="15"/>
  <c r="KI118" i="15"/>
  <c r="EA118" i="15"/>
  <c r="AU118" i="15"/>
  <c r="QM118" i="15"/>
  <c r="MQ118" i="15"/>
  <c r="DC118" i="15"/>
  <c r="SI118" i="15"/>
  <c r="BG118" i="15"/>
  <c r="G118" i="15"/>
  <c r="UE118" i="15"/>
  <c r="QI118" i="15"/>
  <c r="OM118" i="15"/>
  <c r="II118" i="15"/>
  <c r="EU118" i="15"/>
  <c r="SE118" i="15"/>
  <c r="QE118" i="15"/>
  <c r="EQ118" i="15"/>
  <c r="UA118" i="15"/>
  <c r="OI118" i="15"/>
  <c r="QA118" i="15"/>
  <c r="IE118" i="15"/>
  <c r="LC118" i="15"/>
  <c r="FW118" i="15"/>
  <c r="BC118" i="15"/>
  <c r="AY118" i="15"/>
  <c r="CY118" i="15"/>
  <c r="QU118" i="15"/>
  <c r="GY118" i="15"/>
  <c r="AM118" i="15"/>
  <c r="TW118" i="15"/>
  <c r="JO118" i="15"/>
  <c r="AI118" i="15"/>
  <c r="PS118" i="15"/>
  <c r="MU118" i="15"/>
  <c r="GI118" i="15"/>
  <c r="OY118" i="15"/>
  <c r="FK118" i="15"/>
  <c r="LG118" i="15"/>
  <c r="CM118" i="15"/>
  <c r="OU118" i="15"/>
  <c r="SQ118" i="15"/>
  <c r="OQ118" i="15"/>
  <c r="FO118" i="15"/>
  <c r="RW118" i="15"/>
  <c r="LW118" i="15"/>
  <c r="LS118" i="15"/>
  <c r="GA118" i="15"/>
  <c r="FC118" i="15"/>
  <c r="AE118" i="15"/>
  <c r="KU118" i="15"/>
  <c r="JK118" i="15"/>
  <c r="O118" i="15"/>
  <c r="PO118" i="15"/>
  <c r="IA118" i="15"/>
  <c r="PG118" i="15"/>
  <c r="CA118" i="15"/>
  <c r="BO118" i="15"/>
  <c r="C118" i="15"/>
  <c r="JG118" i="15"/>
  <c r="JC118" i="15"/>
  <c r="IU118" i="15"/>
  <c r="HO118" i="15"/>
  <c r="TG118" i="15"/>
  <c r="TC118" i="15"/>
  <c r="RS118" i="15"/>
  <c r="EE118" i="15"/>
  <c r="DO118" i="15"/>
  <c r="HS118" i="15"/>
  <c r="DG118" i="15"/>
  <c r="UE79" i="15"/>
  <c r="TK79" i="15"/>
  <c r="SQ79" i="15"/>
  <c r="RW79" i="15"/>
  <c r="RC79" i="15"/>
  <c r="QI79" i="15"/>
  <c r="PO79" i="15"/>
  <c r="OU79" i="15"/>
  <c r="OA79" i="15"/>
  <c r="NG79" i="15"/>
  <c r="MM79" i="15"/>
  <c r="LS79" i="15"/>
  <c r="KY79" i="15"/>
  <c r="KE79" i="15"/>
  <c r="JK79" i="15"/>
  <c r="IQ79" i="15"/>
  <c r="HW79" i="15"/>
  <c r="HC79" i="15"/>
  <c r="GI79" i="15"/>
  <c r="FO79" i="15"/>
  <c r="UI79" i="15"/>
  <c r="SI79" i="15"/>
  <c r="RK79" i="15"/>
  <c r="QM79" i="15"/>
  <c r="OM79" i="15"/>
  <c r="NO79" i="15"/>
  <c r="MQ79" i="15"/>
  <c r="KQ79" i="15"/>
  <c r="JS79" i="15"/>
  <c r="IU79" i="15"/>
  <c r="GU79" i="15"/>
  <c r="FW79" i="15"/>
  <c r="EY79" i="15"/>
  <c r="DC79" i="15"/>
  <c r="CE79" i="15"/>
  <c r="TG79" i="15"/>
  <c r="PK79" i="15"/>
  <c r="LO79" i="15"/>
  <c r="HS79" i="15"/>
  <c r="BG79" i="15"/>
  <c r="K79" i="15"/>
  <c r="EU79" i="15"/>
  <c r="AI79" i="15"/>
  <c r="DW79" i="15"/>
  <c r="CY79" i="15"/>
  <c r="TC79" i="15"/>
  <c r="SE79" i="15"/>
  <c r="RG79" i="15"/>
  <c r="PG79" i="15"/>
  <c r="OI79" i="15"/>
  <c r="NK79" i="15"/>
  <c r="LK79" i="15"/>
  <c r="KM79" i="15"/>
  <c r="JO79" i="15"/>
  <c r="HO79" i="15"/>
  <c r="UA79" i="15"/>
  <c r="QE79" i="15"/>
  <c r="MI79" i="15"/>
  <c r="IM79" i="15"/>
  <c r="BC79" i="15"/>
  <c r="G79" i="15"/>
  <c r="EQ79" i="15"/>
  <c r="DS79" i="15"/>
  <c r="TW79" i="15"/>
  <c r="SY79" i="15"/>
  <c r="SA79" i="15"/>
  <c r="QA79" i="15"/>
  <c r="PC79" i="15"/>
  <c r="OE79" i="15"/>
  <c r="ME79" i="15"/>
  <c r="QY79" i="15"/>
  <c r="NC79" i="15"/>
  <c r="JG79" i="15"/>
  <c r="FK79" i="15"/>
  <c r="EM79" i="15"/>
  <c r="UM79" i="15"/>
  <c r="QQ79" i="15"/>
  <c r="MY79" i="15"/>
  <c r="LG79" i="15"/>
  <c r="AY79" i="15"/>
  <c r="SM79" i="15"/>
  <c r="GM79" i="15"/>
  <c r="FC79" i="15"/>
  <c r="DO79" i="15"/>
  <c r="CI79" i="15"/>
  <c r="S79" i="15"/>
  <c r="OQ79" i="15"/>
  <c r="LC79" i="15"/>
  <c r="IA79" i="15"/>
  <c r="AU79" i="15"/>
  <c r="MU79" i="15"/>
  <c r="GE79" i="15"/>
  <c r="DK79" i="15"/>
  <c r="CA79" i="15"/>
  <c r="O79" i="15"/>
  <c r="TS79" i="15"/>
  <c r="AQ79" i="15"/>
  <c r="KU79" i="15"/>
  <c r="HK79" i="15"/>
  <c r="GA79" i="15"/>
  <c r="BS79" i="15"/>
  <c r="TO79" i="15"/>
  <c r="RO79" i="15"/>
  <c r="NW79" i="15"/>
  <c r="PS79" i="15"/>
  <c r="MA79" i="15"/>
  <c r="IY79" i="15"/>
  <c r="HG79" i="15"/>
  <c r="EI79" i="15"/>
  <c r="LW79" i="15"/>
  <c r="FG79" i="15"/>
  <c r="EA79" i="15"/>
  <c r="CM79" i="15"/>
  <c r="W79" i="15"/>
  <c r="IE79" i="15"/>
  <c r="QU79" i="15"/>
  <c r="BK79" i="15"/>
  <c r="EE79" i="15"/>
  <c r="PW79" i="15"/>
  <c r="GY79" i="15"/>
  <c r="DG79" i="15"/>
  <c r="GQ79" i="15"/>
  <c r="OY79" i="15"/>
  <c r="CU79" i="15"/>
  <c r="AE79" i="15"/>
  <c r="KA79" i="15"/>
  <c r="JW79" i="15"/>
  <c r="JC79" i="15"/>
  <c r="SU79" i="15"/>
  <c r="NS79" i="15"/>
  <c r="BW79" i="15"/>
  <c r="UQ79" i="15"/>
  <c r="RS79" i="15"/>
  <c r="CQ79" i="15"/>
  <c r="BO79" i="15"/>
  <c r="AM79" i="15"/>
  <c r="AA79" i="15"/>
  <c r="II79" i="15"/>
  <c r="C79" i="15"/>
  <c r="KI79" i="15"/>
  <c r="FS79" i="15"/>
  <c r="UM100" i="15"/>
  <c r="TS100" i="15"/>
  <c r="SY100" i="15"/>
  <c r="SE100" i="15"/>
  <c r="RK100" i="15"/>
  <c r="QQ100" i="15"/>
  <c r="PW100" i="15"/>
  <c r="PC100" i="15"/>
  <c r="OI100" i="15"/>
  <c r="NO100" i="15"/>
  <c r="MU100" i="15"/>
  <c r="MA100" i="15"/>
  <c r="LG100" i="15"/>
  <c r="KM100" i="15"/>
  <c r="JS100" i="15"/>
  <c r="IY100" i="15"/>
  <c r="IE100" i="15"/>
  <c r="HK100" i="15"/>
  <c r="GQ100" i="15"/>
  <c r="FW100" i="15"/>
  <c r="FC100" i="15"/>
  <c r="EI100" i="15"/>
  <c r="DO100" i="15"/>
  <c r="CU100" i="15"/>
  <c r="CA100" i="15"/>
  <c r="BG100" i="15"/>
  <c r="AM100" i="15"/>
  <c r="S100" i="15"/>
  <c r="UI100" i="15"/>
  <c r="RC100" i="15"/>
  <c r="NW100" i="15"/>
  <c r="KQ100" i="15"/>
  <c r="EY100" i="15"/>
  <c r="BS100" i="15"/>
  <c r="RW100" i="15"/>
  <c r="OQ100" i="15"/>
  <c r="LK100" i="15"/>
  <c r="FS100" i="15"/>
  <c r="CM100" i="15"/>
  <c r="G100" i="15"/>
  <c r="SQ100" i="15"/>
  <c r="PK100" i="15"/>
  <c r="ME100" i="15"/>
  <c r="GM100" i="15"/>
  <c r="DG100" i="15"/>
  <c r="AA100" i="15"/>
  <c r="RO100" i="15"/>
  <c r="LW100" i="15"/>
  <c r="IQ100" i="15"/>
  <c r="TG100" i="15"/>
  <c r="RG100" i="15"/>
  <c r="QE100" i="15"/>
  <c r="OE100" i="15"/>
  <c r="UE100" i="15"/>
  <c r="LC100" i="15"/>
  <c r="IA100" i="15"/>
  <c r="HC100" i="15"/>
  <c r="GE100" i="15"/>
  <c r="FG100" i="15"/>
  <c r="CI100" i="15"/>
  <c r="BK100" i="15"/>
  <c r="JC100" i="15"/>
  <c r="TC100" i="15"/>
  <c r="NC100" i="15"/>
  <c r="KA100" i="15"/>
  <c r="MI100" i="15"/>
  <c r="HG100" i="15"/>
  <c r="DW100" i="15"/>
  <c r="AQ100" i="15"/>
  <c r="SM100" i="15"/>
  <c r="NK100" i="15"/>
  <c r="JO100" i="15"/>
  <c r="O100" i="15"/>
  <c r="KU100" i="15"/>
  <c r="GA100" i="15"/>
  <c r="BO100" i="15"/>
  <c r="TO100" i="15"/>
  <c r="NG100" i="15"/>
  <c r="GY100" i="15"/>
  <c r="AI100" i="15"/>
  <c r="UQ100" i="15"/>
  <c r="SA100" i="15"/>
  <c r="QU100" i="15"/>
  <c r="LS100" i="15"/>
  <c r="EQ100" i="15"/>
  <c r="DC100" i="15"/>
  <c r="BW100" i="15"/>
  <c r="C100" i="15"/>
  <c r="OA100" i="15"/>
  <c r="PS100" i="15"/>
  <c r="MM100" i="15"/>
  <c r="HO100" i="15"/>
  <c r="EM100" i="15"/>
  <c r="IU100" i="15"/>
  <c r="PO100" i="15"/>
  <c r="CY100" i="15"/>
  <c r="AE100" i="15"/>
  <c r="QY100" i="15"/>
  <c r="NS100" i="15"/>
  <c r="KI100" i="15"/>
  <c r="FO100" i="15"/>
  <c r="EE100" i="15"/>
  <c r="CQ100" i="15"/>
  <c r="PG100" i="15"/>
  <c r="KE100" i="15"/>
  <c r="W100" i="15"/>
  <c r="IM100" i="15"/>
  <c r="GU100" i="15"/>
  <c r="FK100" i="15"/>
  <c r="BC100" i="15"/>
  <c r="UA100" i="15"/>
  <c r="OY100" i="15"/>
  <c r="II100" i="15"/>
  <c r="SI100" i="15"/>
  <c r="LO100" i="15"/>
  <c r="MY100" i="15"/>
  <c r="GI100" i="15"/>
  <c r="RS100" i="15"/>
  <c r="JK100" i="15"/>
  <c r="CE100" i="15"/>
  <c r="K100" i="15"/>
  <c r="JG100" i="15"/>
  <c r="QM100" i="15"/>
  <c r="MQ100" i="15"/>
  <c r="HW100" i="15"/>
  <c r="EU100" i="15"/>
  <c r="QA100" i="15"/>
  <c r="HS100" i="15"/>
  <c r="EA100" i="15"/>
  <c r="OM100" i="15"/>
  <c r="DS100" i="15"/>
  <c r="KY100" i="15"/>
  <c r="DK100" i="15"/>
  <c r="TW100" i="15"/>
  <c r="TK100" i="15"/>
  <c r="JW100" i="15"/>
  <c r="AU100" i="15"/>
  <c r="AY100" i="15"/>
  <c r="QI100" i="15"/>
  <c r="OU100" i="15"/>
  <c r="SU100" i="15"/>
  <c r="UE63" i="15"/>
  <c r="TK63" i="15"/>
  <c r="SQ63" i="15"/>
  <c r="NK63" i="15"/>
  <c r="LO63" i="15"/>
  <c r="KQ63" i="15"/>
  <c r="IY63" i="15"/>
  <c r="GM63" i="15"/>
  <c r="QY63" i="15"/>
  <c r="QA63" i="15"/>
  <c r="MM63" i="15"/>
  <c r="HG63" i="15"/>
  <c r="UQ63" i="15"/>
  <c r="TS63" i="15"/>
  <c r="SU63" i="15"/>
  <c r="RW63" i="15"/>
  <c r="PC63" i="15"/>
  <c r="JS63" i="15"/>
  <c r="IA63" i="15"/>
  <c r="OE63" i="15"/>
  <c r="MI63" i="15"/>
  <c r="LK63" i="15"/>
  <c r="FO63" i="15"/>
  <c r="EU63" i="15"/>
  <c r="EA63" i="15"/>
  <c r="DG63" i="15"/>
  <c r="CM63" i="15"/>
  <c r="BS63" i="15"/>
  <c r="AY63" i="15"/>
  <c r="AE63" i="15"/>
  <c r="K63" i="15"/>
  <c r="RS63" i="15"/>
  <c r="QU63" i="15"/>
  <c r="NG63" i="15"/>
  <c r="KM63" i="15"/>
  <c r="IU63" i="15"/>
  <c r="GI63" i="15"/>
  <c r="PW63" i="15"/>
  <c r="HC63" i="15"/>
  <c r="UM63" i="15"/>
  <c r="TO63" i="15"/>
  <c r="OY63" i="15"/>
  <c r="NC63" i="15"/>
  <c r="ME63" i="15"/>
  <c r="JO63" i="15"/>
  <c r="HW63" i="15"/>
  <c r="SM63" i="15"/>
  <c r="RO63" i="15"/>
  <c r="OA63" i="15"/>
  <c r="LG63" i="15"/>
  <c r="GE63" i="15"/>
  <c r="FK63" i="15"/>
  <c r="EQ63" i="15"/>
  <c r="DW63" i="15"/>
  <c r="DC63" i="15"/>
  <c r="CI63" i="15"/>
  <c r="BO63" i="15"/>
  <c r="AU63" i="15"/>
  <c r="QQ63" i="15"/>
  <c r="KI63" i="15"/>
  <c r="IQ63" i="15"/>
  <c r="GY63" i="15"/>
  <c r="PS63" i="15"/>
  <c r="NW63" i="15"/>
  <c r="MY63" i="15"/>
  <c r="HS63" i="15"/>
  <c r="UI63" i="15"/>
  <c r="SI63" i="15"/>
  <c r="OU63" i="15"/>
  <c r="MA63" i="15"/>
  <c r="JK63" i="15"/>
  <c r="IM63" i="15"/>
  <c r="TG63" i="15"/>
  <c r="RK63" i="15"/>
  <c r="LC63" i="15"/>
  <c r="GA63" i="15"/>
  <c r="FG63" i="15"/>
  <c r="QM63" i="15"/>
  <c r="OQ63" i="15"/>
  <c r="NS63" i="15"/>
  <c r="KE63" i="15"/>
  <c r="JG63" i="15"/>
  <c r="GU63" i="15"/>
  <c r="UA63" i="15"/>
  <c r="RG63" i="15"/>
  <c r="PK63" i="15"/>
  <c r="OM63" i="15"/>
  <c r="KY63" i="15"/>
  <c r="FW63" i="15"/>
  <c r="FC63" i="15"/>
  <c r="EI63" i="15"/>
  <c r="DO63" i="15"/>
  <c r="CU63" i="15"/>
  <c r="CA63" i="15"/>
  <c r="BG63" i="15"/>
  <c r="AM63" i="15"/>
  <c r="S63" i="15"/>
  <c r="LS63" i="15"/>
  <c r="BW63" i="15"/>
  <c r="II63" i="15"/>
  <c r="W63" i="15"/>
  <c r="BK63" i="15"/>
  <c r="OI63" i="15"/>
  <c r="FS63" i="15"/>
  <c r="IE63" i="15"/>
  <c r="DK63" i="15"/>
  <c r="RC63" i="15"/>
  <c r="KU63" i="15"/>
  <c r="CY63" i="15"/>
  <c r="QI63" i="15"/>
  <c r="O63" i="15"/>
  <c r="TC63" i="15"/>
  <c r="KA63" i="15"/>
  <c r="HK63" i="15"/>
  <c r="EY63" i="15"/>
  <c r="BC63" i="15"/>
  <c r="G63" i="15"/>
  <c r="QE63" i="15"/>
  <c r="MU63" i="15"/>
  <c r="EM63" i="15"/>
  <c r="AQ63" i="15"/>
  <c r="C63" i="15"/>
  <c r="SY63" i="15"/>
  <c r="PO63" i="15"/>
  <c r="JW63" i="15"/>
  <c r="CQ63" i="15"/>
  <c r="SE63" i="15"/>
  <c r="PG63" i="15"/>
  <c r="JC63" i="15"/>
  <c r="EE63" i="15"/>
  <c r="CE63" i="15"/>
  <c r="SA63" i="15"/>
  <c r="GQ63" i="15"/>
  <c r="AA63" i="15"/>
  <c r="MQ63" i="15"/>
  <c r="DS63" i="15"/>
  <c r="AI63" i="15"/>
  <c r="TW63" i="15"/>
  <c r="NO63" i="15"/>
  <c r="LW63" i="15"/>
  <c r="HO63" i="15"/>
  <c r="UQ73" i="15"/>
  <c r="TW73" i="15"/>
  <c r="TC73" i="15"/>
  <c r="SI73" i="15"/>
  <c r="RO73" i="15"/>
  <c r="QU73" i="15"/>
  <c r="QA73" i="15"/>
  <c r="PG73" i="15"/>
  <c r="OM73" i="15"/>
  <c r="NS73" i="15"/>
  <c r="MY73" i="15"/>
  <c r="ME73" i="15"/>
  <c r="LK73" i="15"/>
  <c r="KQ73" i="15"/>
  <c r="JW73" i="15"/>
  <c r="JC73" i="15"/>
  <c r="II73" i="15"/>
  <c r="HO73" i="15"/>
  <c r="GU73" i="15"/>
  <c r="GA73" i="15"/>
  <c r="FG73" i="15"/>
  <c r="EM73" i="15"/>
  <c r="DS73" i="15"/>
  <c r="CY73" i="15"/>
  <c r="CE73" i="15"/>
  <c r="BK73" i="15"/>
  <c r="AQ73" i="15"/>
  <c r="UM73" i="15"/>
  <c r="TS73" i="15"/>
  <c r="SY73" i="15"/>
  <c r="SE73" i="15"/>
  <c r="RK73" i="15"/>
  <c r="QQ73" i="15"/>
  <c r="PW73" i="15"/>
  <c r="PC73" i="15"/>
  <c r="OI73" i="15"/>
  <c r="AA73" i="15"/>
  <c r="TO73" i="15"/>
  <c r="PK73" i="15"/>
  <c r="C73" i="15"/>
  <c r="QI73" i="15"/>
  <c r="SM73" i="15"/>
  <c r="RG73" i="15"/>
  <c r="OE73" i="15"/>
  <c r="NG73" i="15"/>
  <c r="MI73" i="15"/>
  <c r="LG73" i="15"/>
  <c r="KI73" i="15"/>
  <c r="JK73" i="15"/>
  <c r="IM73" i="15"/>
  <c r="HK73" i="15"/>
  <c r="GM73" i="15"/>
  <c r="FO73" i="15"/>
  <c r="EQ73" i="15"/>
  <c r="DO73" i="15"/>
  <c r="CQ73" i="15"/>
  <c r="BS73" i="15"/>
  <c r="AU73" i="15"/>
  <c r="W73" i="15"/>
  <c r="TK73" i="15"/>
  <c r="OY73" i="15"/>
  <c r="AM73" i="15"/>
  <c r="TG73" i="15"/>
  <c r="SA73" i="15"/>
  <c r="O73" i="15"/>
  <c r="PO73" i="15"/>
  <c r="NO73" i="15"/>
  <c r="KA73" i="15"/>
  <c r="IE73" i="15"/>
  <c r="GQ73" i="15"/>
  <c r="DC73" i="15"/>
  <c r="RC73" i="15"/>
  <c r="LS73" i="15"/>
  <c r="IA73" i="15"/>
  <c r="QY73" i="15"/>
  <c r="GI73" i="15"/>
  <c r="EU73" i="15"/>
  <c r="BC73" i="15"/>
  <c r="NK73" i="15"/>
  <c r="JS73" i="15"/>
  <c r="GE73" i="15"/>
  <c r="K73" i="15"/>
  <c r="SU73" i="15"/>
  <c r="EI73" i="15"/>
  <c r="CU73" i="15"/>
  <c r="OU73" i="15"/>
  <c r="NC73" i="15"/>
  <c r="LO73" i="15"/>
  <c r="HW73" i="15"/>
  <c r="EE73" i="15"/>
  <c r="MU73" i="15"/>
  <c r="CM73" i="15"/>
  <c r="AY73" i="15"/>
  <c r="LC73" i="15"/>
  <c r="JO73" i="15"/>
  <c r="FW73" i="15"/>
  <c r="CI73" i="15"/>
  <c r="G73" i="15"/>
  <c r="UI73" i="15"/>
  <c r="SQ73" i="15"/>
  <c r="KY73" i="15"/>
  <c r="UE73" i="15"/>
  <c r="QM73" i="15"/>
  <c r="OQ73" i="15"/>
  <c r="JG73" i="15"/>
  <c r="HS73" i="15"/>
  <c r="EA73" i="15"/>
  <c r="MQ73" i="15"/>
  <c r="IY73" i="15"/>
  <c r="AI73" i="15"/>
  <c r="UA73" i="15"/>
  <c r="RW73" i="15"/>
  <c r="FK73" i="15"/>
  <c r="DW73" i="15"/>
  <c r="OA73" i="15"/>
  <c r="MM73" i="15"/>
  <c r="IU73" i="15"/>
  <c r="FC73" i="15"/>
  <c r="AE73" i="15"/>
  <c r="PS73" i="15"/>
  <c r="NW73" i="15"/>
  <c r="DK73" i="15"/>
  <c r="BW73" i="15"/>
  <c r="HG73" i="15"/>
  <c r="HC73" i="15"/>
  <c r="GY73" i="15"/>
  <c r="S73" i="15"/>
  <c r="FS73" i="15"/>
  <c r="MA73" i="15"/>
  <c r="LW73" i="15"/>
  <c r="EY73" i="15"/>
  <c r="KU73" i="15"/>
  <c r="KM73" i="15"/>
  <c r="DG73" i="15"/>
  <c r="QE73" i="15"/>
  <c r="CA73" i="15"/>
  <c r="KE73" i="15"/>
  <c r="IQ73" i="15"/>
  <c r="BO73" i="15"/>
  <c r="BG73" i="15"/>
  <c r="RS73" i="15"/>
  <c r="UM111" i="15"/>
  <c r="TS111" i="15"/>
  <c r="SY111" i="15"/>
  <c r="SE111" i="15"/>
  <c r="RK111" i="15"/>
  <c r="QQ111" i="15"/>
  <c r="UQ111" i="15"/>
  <c r="SA111" i="15"/>
  <c r="QI111" i="15"/>
  <c r="NC111" i="15"/>
  <c r="JW111" i="15"/>
  <c r="GQ111" i="15"/>
  <c r="EE111" i="15"/>
  <c r="AY111" i="15"/>
  <c r="AE111" i="15"/>
  <c r="K111" i="15"/>
  <c r="NW111" i="15"/>
  <c r="KQ111" i="15"/>
  <c r="HK111" i="15"/>
  <c r="EY111" i="15"/>
  <c r="BS111" i="15"/>
  <c r="SU111" i="15"/>
  <c r="RC111" i="15"/>
  <c r="OQ111" i="15"/>
  <c r="LK111" i="15"/>
  <c r="IE111" i="15"/>
  <c r="FS111" i="15"/>
  <c r="CM111" i="15"/>
  <c r="UE111" i="15"/>
  <c r="C111" i="15"/>
  <c r="BW111" i="15"/>
  <c r="UA111" i="15"/>
  <c r="QY111" i="15"/>
  <c r="TW111" i="15"/>
  <c r="QU111" i="15"/>
  <c r="QE111" i="15"/>
  <c r="OY111" i="15"/>
  <c r="NS111" i="15"/>
  <c r="KE111" i="15"/>
  <c r="IY111" i="15"/>
  <c r="FK111" i="15"/>
  <c r="AQ111" i="15"/>
  <c r="O111" i="15"/>
  <c r="GM111" i="15"/>
  <c r="QA111" i="15"/>
  <c r="LG111" i="15"/>
  <c r="PW111" i="15"/>
  <c r="MI111" i="15"/>
  <c r="HO111" i="15"/>
  <c r="CU111" i="15"/>
  <c r="G111" i="15"/>
  <c r="TK111" i="15"/>
  <c r="OU111" i="15"/>
  <c r="KM111" i="15"/>
  <c r="IU111" i="15"/>
  <c r="HG111" i="15"/>
  <c r="EM111" i="15"/>
  <c r="CY111" i="15"/>
  <c r="AA111" i="15"/>
  <c r="NG111" i="15"/>
  <c r="KI111" i="15"/>
  <c r="RS111" i="15"/>
  <c r="W111" i="15"/>
  <c r="TG111" i="15"/>
  <c r="OM111" i="15"/>
  <c r="KA111" i="15"/>
  <c r="EA111" i="15"/>
  <c r="MY111" i="15"/>
  <c r="IM111" i="15"/>
  <c r="FO111" i="15"/>
  <c r="S111" i="15"/>
  <c r="TC111" i="15"/>
  <c r="RO111" i="15"/>
  <c r="BC111" i="15"/>
  <c r="OI111" i="15"/>
  <c r="MU111" i="15"/>
  <c r="JS111" i="15"/>
  <c r="II111" i="15"/>
  <c r="FG111" i="15"/>
  <c r="UI111" i="15"/>
  <c r="RG111" i="15"/>
  <c r="OE111" i="15"/>
  <c r="LC111" i="15"/>
  <c r="DS111" i="15"/>
  <c r="AU111" i="15"/>
  <c r="PS111" i="15"/>
  <c r="NO111" i="15"/>
  <c r="DK111" i="15"/>
  <c r="SI111" i="15"/>
  <c r="PO111" i="15"/>
  <c r="NK111" i="15"/>
  <c r="KU111" i="15"/>
  <c r="IA111" i="15"/>
  <c r="GA111" i="15"/>
  <c r="DG111" i="15"/>
  <c r="PK111" i="15"/>
  <c r="FW111" i="15"/>
  <c r="AM111" i="15"/>
  <c r="RW111" i="15"/>
  <c r="MQ111" i="15"/>
  <c r="HW111" i="15"/>
  <c r="FC111" i="15"/>
  <c r="DC111" i="15"/>
  <c r="AI111" i="15"/>
  <c r="PG111" i="15"/>
  <c r="MM111" i="15"/>
  <c r="HS111" i="15"/>
  <c r="CQ111" i="15"/>
  <c r="CI111" i="15"/>
  <c r="PC111" i="15"/>
  <c r="ME111" i="15"/>
  <c r="JO111" i="15"/>
  <c r="EU111" i="15"/>
  <c r="CE111" i="15"/>
  <c r="JG111" i="15"/>
  <c r="TO111" i="15"/>
  <c r="OA111" i="15"/>
  <c r="DO111" i="15"/>
  <c r="JC111" i="15"/>
  <c r="GY111" i="15"/>
  <c r="CA111" i="15"/>
  <c r="LW111" i="15"/>
  <c r="GI111" i="15"/>
  <c r="BK111" i="15"/>
  <c r="JK111" i="15"/>
  <c r="BO111" i="15"/>
  <c r="BG111" i="15"/>
  <c r="IQ111" i="15"/>
  <c r="HC111" i="15"/>
  <c r="QM111" i="15"/>
  <c r="GE111" i="15"/>
  <c r="MA111" i="15"/>
  <c r="EQ111" i="15"/>
  <c r="DW111" i="15"/>
  <c r="SQ111" i="15"/>
  <c r="SM111" i="15"/>
  <c r="LS111" i="15"/>
  <c r="KY111" i="15"/>
  <c r="GU111" i="15"/>
  <c r="LO111" i="15"/>
  <c r="EI111" i="15"/>
  <c r="UA104" i="15"/>
  <c r="TG104" i="15"/>
  <c r="SM104" i="15"/>
  <c r="RS104" i="15"/>
  <c r="QY104" i="15"/>
  <c r="QE104" i="15"/>
  <c r="PK104" i="15"/>
  <c r="OQ104" i="15"/>
  <c r="NW104" i="15"/>
  <c r="NC104" i="15"/>
  <c r="MI104" i="15"/>
  <c r="LO104" i="15"/>
  <c r="KU104" i="15"/>
  <c r="KA104" i="15"/>
  <c r="JG104" i="15"/>
  <c r="IM104" i="15"/>
  <c r="HS104" i="15"/>
  <c r="GY104" i="15"/>
  <c r="GE104" i="15"/>
  <c r="FK104" i="15"/>
  <c r="CQ104" i="15"/>
  <c r="K104" i="15"/>
  <c r="TO104" i="15"/>
  <c r="RW104" i="15"/>
  <c r="PG104" i="15"/>
  <c r="NO104" i="15"/>
  <c r="LW104" i="15"/>
  <c r="KE104" i="15"/>
  <c r="HO104" i="15"/>
  <c r="FW104" i="15"/>
  <c r="DK104" i="15"/>
  <c r="AE104" i="15"/>
  <c r="EE104" i="15"/>
  <c r="AY104" i="15"/>
  <c r="TK104" i="15"/>
  <c r="QU104" i="15"/>
  <c r="PC104" i="15"/>
  <c r="NK104" i="15"/>
  <c r="LS104" i="15"/>
  <c r="SI104" i="15"/>
  <c r="QQ104" i="15"/>
  <c r="OY104" i="15"/>
  <c r="NG104" i="15"/>
  <c r="KQ104" i="15"/>
  <c r="IY104" i="15"/>
  <c r="HG104" i="15"/>
  <c r="FO104" i="15"/>
  <c r="DW104" i="15"/>
  <c r="AQ104" i="15"/>
  <c r="OM104" i="15"/>
  <c r="LC104" i="15"/>
  <c r="HW104" i="15"/>
  <c r="GU104" i="15"/>
  <c r="BO104" i="15"/>
  <c r="SY104" i="15"/>
  <c r="PO104" i="15"/>
  <c r="OI104" i="15"/>
  <c r="KY104" i="15"/>
  <c r="JW104" i="15"/>
  <c r="GQ104" i="15"/>
  <c r="O104" i="15"/>
  <c r="IU104" i="15"/>
  <c r="DO104" i="15"/>
  <c r="CM104" i="15"/>
  <c r="AM104" i="15"/>
  <c r="SU104" i="15"/>
  <c r="GM104" i="15"/>
  <c r="CI104" i="15"/>
  <c r="G104" i="15"/>
  <c r="SQ104" i="15"/>
  <c r="MY104" i="15"/>
  <c r="IQ104" i="15"/>
  <c r="AI104" i="15"/>
  <c r="II104" i="15"/>
  <c r="C104" i="15"/>
  <c r="TW104" i="15"/>
  <c r="FS104" i="15"/>
  <c r="CU104" i="15"/>
  <c r="SE104" i="15"/>
  <c r="HC104" i="15"/>
  <c r="TS104" i="15"/>
  <c r="QM104" i="15"/>
  <c r="OU104" i="15"/>
  <c r="LK104" i="15"/>
  <c r="OA104" i="15"/>
  <c r="DG104" i="15"/>
  <c r="BW104" i="15"/>
  <c r="AA104" i="15"/>
  <c r="SA104" i="15"/>
  <c r="PW104" i="15"/>
  <c r="BS104" i="15"/>
  <c r="UE104" i="15"/>
  <c r="ME104" i="15"/>
  <c r="KI104" i="15"/>
  <c r="DC104" i="15"/>
  <c r="MA104" i="15"/>
  <c r="IE104" i="15"/>
  <c r="EU104" i="15"/>
  <c r="RO104" i="15"/>
  <c r="PS104" i="15"/>
  <c r="GI104" i="15"/>
  <c r="BK104" i="15"/>
  <c r="W104" i="15"/>
  <c r="RK104" i="15"/>
  <c r="NS104" i="15"/>
  <c r="EQ104" i="15"/>
  <c r="CY104" i="15"/>
  <c r="RG104" i="15"/>
  <c r="JO104" i="15"/>
  <c r="EI104" i="15"/>
  <c r="BC104" i="15"/>
  <c r="GA104" i="15"/>
  <c r="TC104" i="15"/>
  <c r="LG104" i="15"/>
  <c r="IA104" i="15"/>
  <c r="FC104" i="15"/>
  <c r="CA104" i="15"/>
  <c r="EY104" i="15"/>
  <c r="EM104" i="15"/>
  <c r="HK104" i="15"/>
  <c r="EA104" i="15"/>
  <c r="BG104" i="15"/>
  <c r="OE104" i="15"/>
  <c r="AU104" i="15"/>
  <c r="UQ104" i="15"/>
  <c r="RC104" i="15"/>
  <c r="JS104" i="15"/>
  <c r="DS104" i="15"/>
  <c r="CE104" i="15"/>
  <c r="MU104" i="15"/>
  <c r="UI104" i="15"/>
  <c r="MM104" i="15"/>
  <c r="S104" i="15"/>
  <c r="FG104" i="15"/>
  <c r="JK104" i="15"/>
  <c r="JC104" i="15"/>
  <c r="UM104" i="15"/>
  <c r="QI104" i="15"/>
  <c r="MQ104" i="15"/>
  <c r="QA104" i="15"/>
  <c r="KM104" i="15"/>
  <c r="UQ55" i="15"/>
  <c r="TW55" i="15"/>
  <c r="TC55" i="15"/>
  <c r="SI55" i="15"/>
  <c r="RO55" i="15"/>
  <c r="QU55" i="15"/>
  <c r="QA55" i="15"/>
  <c r="PG55" i="15"/>
  <c r="OM55" i="15"/>
  <c r="NS55" i="15"/>
  <c r="MY55" i="15"/>
  <c r="ME55" i="15"/>
  <c r="LK55" i="15"/>
  <c r="KQ55" i="15"/>
  <c r="JW55" i="15"/>
  <c r="JC55" i="15"/>
  <c r="II55" i="15"/>
  <c r="HO55" i="15"/>
  <c r="GU55" i="15"/>
  <c r="UA55" i="15"/>
  <c r="PK55" i="15"/>
  <c r="MQ55" i="15"/>
  <c r="FS55" i="15"/>
  <c r="CM55" i="15"/>
  <c r="G55" i="15"/>
  <c r="SY55" i="15"/>
  <c r="SA55" i="15"/>
  <c r="LS55" i="15"/>
  <c r="IE55" i="15"/>
  <c r="GM55" i="15"/>
  <c r="DG55" i="15"/>
  <c r="AA55" i="15"/>
  <c r="RC55" i="15"/>
  <c r="OI55" i="15"/>
  <c r="KU55" i="15"/>
  <c r="EA55" i="15"/>
  <c r="AU55" i="15"/>
  <c r="QE55" i="15"/>
  <c r="NK55" i="15"/>
  <c r="IY55" i="15"/>
  <c r="HG55" i="15"/>
  <c r="EU55" i="15"/>
  <c r="BO55" i="15"/>
  <c r="SU55" i="15"/>
  <c r="MM55" i="15"/>
  <c r="FO55" i="15"/>
  <c r="CI55" i="15"/>
  <c r="C55" i="15"/>
  <c r="TS55" i="15"/>
  <c r="RW55" i="15"/>
  <c r="PC55" i="15"/>
  <c r="LO55" i="15"/>
  <c r="JS55" i="15"/>
  <c r="IA55" i="15"/>
  <c r="GI55" i="15"/>
  <c r="DC55" i="15"/>
  <c r="W55" i="15"/>
  <c r="QY55" i="15"/>
  <c r="OE55" i="15"/>
  <c r="DW55" i="15"/>
  <c r="AQ55" i="15"/>
  <c r="TO55" i="15"/>
  <c r="SQ55" i="15"/>
  <c r="PW55" i="15"/>
  <c r="MI55" i="15"/>
  <c r="FK55" i="15"/>
  <c r="CE55" i="15"/>
  <c r="S55" i="15"/>
  <c r="UM55" i="15"/>
  <c r="RS55" i="15"/>
  <c r="OY55" i="15"/>
  <c r="JO55" i="15"/>
  <c r="HW55" i="15"/>
  <c r="GE55" i="15"/>
  <c r="CY55" i="15"/>
  <c r="AM55" i="15"/>
  <c r="OA55" i="15"/>
  <c r="LG55" i="15"/>
  <c r="DS55" i="15"/>
  <c r="BG55" i="15"/>
  <c r="RK55" i="15"/>
  <c r="NW55" i="15"/>
  <c r="LC55" i="15"/>
  <c r="EI55" i="15"/>
  <c r="BC55" i="15"/>
  <c r="QM55" i="15"/>
  <c r="KE55" i="15"/>
  <c r="IM55" i="15"/>
  <c r="FC55" i="15"/>
  <c r="BW55" i="15"/>
  <c r="UE55" i="15"/>
  <c r="TG55" i="15"/>
  <c r="PO55" i="15"/>
  <c r="MU55" i="15"/>
  <c r="FW55" i="15"/>
  <c r="CQ55" i="15"/>
  <c r="K55" i="15"/>
  <c r="IU55" i="15"/>
  <c r="EE55" i="15"/>
  <c r="IQ55" i="15"/>
  <c r="BS55" i="15"/>
  <c r="QI55" i="15"/>
  <c r="BK55" i="15"/>
  <c r="NO55" i="15"/>
  <c r="KY55" i="15"/>
  <c r="GA55" i="15"/>
  <c r="SM55" i="15"/>
  <c r="NG55" i="15"/>
  <c r="DO55" i="15"/>
  <c r="PS55" i="15"/>
  <c r="NC55" i="15"/>
  <c r="KM55" i="15"/>
  <c r="DK55" i="15"/>
  <c r="AY55" i="15"/>
  <c r="HS55" i="15"/>
  <c r="FG55" i="15"/>
  <c r="OU55" i="15"/>
  <c r="HC55" i="15"/>
  <c r="EY55" i="15"/>
  <c r="AE55" i="15"/>
  <c r="RG55" i="15"/>
  <c r="OQ55" i="15"/>
  <c r="MA55" i="15"/>
  <c r="GY55" i="15"/>
  <c r="EQ55" i="15"/>
  <c r="LW55" i="15"/>
  <c r="JK55" i="15"/>
  <c r="EM55" i="15"/>
  <c r="UI55" i="15"/>
  <c r="O55" i="15"/>
  <c r="TK55" i="15"/>
  <c r="SE55" i="15"/>
  <c r="KA55" i="15"/>
  <c r="CU55" i="15"/>
  <c r="QQ55" i="15"/>
  <c r="JG55" i="15"/>
  <c r="KI55" i="15"/>
  <c r="HK55" i="15"/>
  <c r="CA55" i="15"/>
  <c r="GQ55" i="15"/>
  <c r="AI55" i="15"/>
  <c r="UI101" i="15"/>
  <c r="TO101" i="15"/>
  <c r="SU101" i="15"/>
  <c r="SA101" i="15"/>
  <c r="RG101" i="15"/>
  <c r="QM101" i="15"/>
  <c r="PS101" i="15"/>
  <c r="OY101" i="15"/>
  <c r="OE101" i="15"/>
  <c r="NK101" i="15"/>
  <c r="MQ101" i="15"/>
  <c r="LW101" i="15"/>
  <c r="LC101" i="15"/>
  <c r="KI101" i="15"/>
  <c r="JO101" i="15"/>
  <c r="IU101" i="15"/>
  <c r="IA101" i="15"/>
  <c r="HG101" i="15"/>
  <c r="SQ101" i="15"/>
  <c r="QY101" i="15"/>
  <c r="PG101" i="15"/>
  <c r="NO101" i="15"/>
  <c r="KY101" i="15"/>
  <c r="JG101" i="15"/>
  <c r="HO101" i="15"/>
  <c r="FC101" i="15"/>
  <c r="BW101" i="15"/>
  <c r="K101" i="15"/>
  <c r="FW101" i="15"/>
  <c r="CQ101" i="15"/>
  <c r="AE101" i="15"/>
  <c r="TK101" i="15"/>
  <c r="RS101" i="15"/>
  <c r="QA101" i="15"/>
  <c r="OI101" i="15"/>
  <c r="LS101" i="15"/>
  <c r="KA101" i="15"/>
  <c r="II101" i="15"/>
  <c r="GQ101" i="15"/>
  <c r="DK101" i="15"/>
  <c r="AY101" i="15"/>
  <c r="GI101" i="15"/>
  <c r="DC101" i="15"/>
  <c r="W101" i="15"/>
  <c r="MA101" i="15"/>
  <c r="HS101" i="15"/>
  <c r="BO101" i="15"/>
  <c r="SI101" i="15"/>
  <c r="PC101" i="15"/>
  <c r="OA101" i="15"/>
  <c r="KU101" i="15"/>
  <c r="FO101" i="15"/>
  <c r="CM101" i="15"/>
  <c r="O101" i="15"/>
  <c r="UM101" i="15"/>
  <c r="QE101" i="15"/>
  <c r="MY101" i="15"/>
  <c r="JS101" i="15"/>
  <c r="IQ101" i="15"/>
  <c r="DO101" i="15"/>
  <c r="AM101" i="15"/>
  <c r="TG101" i="15"/>
  <c r="GM101" i="15"/>
  <c r="EM101" i="15"/>
  <c r="BK101" i="15"/>
  <c r="UA101" i="15"/>
  <c r="QU101" i="15"/>
  <c r="MM101" i="15"/>
  <c r="GE101" i="15"/>
  <c r="IY101" i="15"/>
  <c r="DG101" i="15"/>
  <c r="CA101" i="15"/>
  <c r="RK101" i="15"/>
  <c r="PW101" i="15"/>
  <c r="NC101" i="15"/>
  <c r="LO101" i="15"/>
  <c r="GA101" i="15"/>
  <c r="AQ101" i="15"/>
  <c r="OM101" i="15"/>
  <c r="KE101" i="15"/>
  <c r="EQ101" i="15"/>
  <c r="TW101" i="15"/>
  <c r="SM101" i="15"/>
  <c r="PO101" i="15"/>
  <c r="MU101" i="15"/>
  <c r="IM101" i="15"/>
  <c r="AI101" i="15"/>
  <c r="LG101" i="15"/>
  <c r="JW101" i="15"/>
  <c r="GY101" i="15"/>
  <c r="EE101" i="15"/>
  <c r="TS101" i="15"/>
  <c r="ME101" i="15"/>
  <c r="IE101" i="15"/>
  <c r="EU101" i="15"/>
  <c r="BC101" i="15"/>
  <c r="G101" i="15"/>
  <c r="CU101" i="15"/>
  <c r="C101" i="15"/>
  <c r="NS101" i="15"/>
  <c r="EI101" i="15"/>
  <c r="RO101" i="15"/>
  <c r="AU101" i="15"/>
  <c r="PK101" i="15"/>
  <c r="HW101" i="15"/>
  <c r="EA101" i="15"/>
  <c r="CI101" i="15"/>
  <c r="TC101" i="15"/>
  <c r="RC101" i="15"/>
  <c r="LK101" i="15"/>
  <c r="JK101" i="15"/>
  <c r="FS101" i="15"/>
  <c r="DW101" i="15"/>
  <c r="CE101" i="15"/>
  <c r="SY101" i="15"/>
  <c r="NG101" i="15"/>
  <c r="FK101" i="15"/>
  <c r="AA101" i="15"/>
  <c r="HK101" i="15"/>
  <c r="OU101" i="15"/>
  <c r="HC101" i="15"/>
  <c r="UQ101" i="15"/>
  <c r="QQ101" i="15"/>
  <c r="JC101" i="15"/>
  <c r="DS101" i="15"/>
  <c r="BS101" i="15"/>
  <c r="EY101" i="15"/>
  <c r="SE101" i="15"/>
  <c r="NW101" i="15"/>
  <c r="S101" i="15"/>
  <c r="RW101" i="15"/>
  <c r="MI101" i="15"/>
  <c r="OQ101" i="15"/>
  <c r="BG101" i="15"/>
  <c r="KQ101" i="15"/>
  <c r="KM101" i="15"/>
  <c r="UE101" i="15"/>
  <c r="GU101" i="15"/>
  <c r="FG101" i="15"/>
  <c r="CY101" i="15"/>
  <c r="QI101" i="15"/>
  <c r="UE67" i="15"/>
  <c r="TK67" i="15"/>
  <c r="SQ67" i="15"/>
  <c r="RW67" i="15"/>
  <c r="RC67" i="15"/>
  <c r="QI67" i="15"/>
  <c r="PO67" i="15"/>
  <c r="OU67" i="15"/>
  <c r="OA67" i="15"/>
  <c r="NG67" i="15"/>
  <c r="MM67" i="15"/>
  <c r="LS67" i="15"/>
  <c r="KY67" i="15"/>
  <c r="KE67" i="15"/>
  <c r="JK67" i="15"/>
  <c r="IQ67" i="15"/>
  <c r="HW67" i="15"/>
  <c r="HC67" i="15"/>
  <c r="GI67" i="15"/>
  <c r="FO67" i="15"/>
  <c r="EU67" i="15"/>
  <c r="EA67" i="15"/>
  <c r="DG67" i="15"/>
  <c r="CM67" i="15"/>
  <c r="BS67" i="15"/>
  <c r="AY67" i="15"/>
  <c r="AE67" i="15"/>
  <c r="K67" i="15"/>
  <c r="UA67" i="15"/>
  <c r="TG67" i="15"/>
  <c r="SM67" i="15"/>
  <c r="RS67" i="15"/>
  <c r="QY67" i="15"/>
  <c r="QE67" i="15"/>
  <c r="PK67" i="15"/>
  <c r="OQ67" i="15"/>
  <c r="NW67" i="15"/>
  <c r="NC67" i="15"/>
  <c r="MI67" i="15"/>
  <c r="LO67" i="15"/>
  <c r="UQ67" i="15"/>
  <c r="TW67" i="15"/>
  <c r="TC67" i="15"/>
  <c r="SI67" i="15"/>
  <c r="RO67" i="15"/>
  <c r="QU67" i="15"/>
  <c r="QA67" i="15"/>
  <c r="PG67" i="15"/>
  <c r="OM67" i="15"/>
  <c r="IU67" i="15"/>
  <c r="EI67" i="15"/>
  <c r="BC67" i="15"/>
  <c r="AA67" i="15"/>
  <c r="MA67" i="15"/>
  <c r="HO67" i="15"/>
  <c r="FK67" i="15"/>
  <c r="TO67" i="15"/>
  <c r="SE67" i="15"/>
  <c r="PS67" i="15"/>
  <c r="OI67" i="15"/>
  <c r="JS67" i="15"/>
  <c r="GM67" i="15"/>
  <c r="CA67" i="15"/>
  <c r="KU67" i="15"/>
  <c r="FG67" i="15"/>
  <c r="DC67" i="15"/>
  <c r="W67" i="15"/>
  <c r="HK67" i="15"/>
  <c r="EE67" i="15"/>
  <c r="MY67" i="15"/>
  <c r="LW67" i="15"/>
  <c r="KQ67" i="15"/>
  <c r="IM67" i="15"/>
  <c r="CY67" i="15"/>
  <c r="AU67" i="15"/>
  <c r="UM67" i="15"/>
  <c r="SA67" i="15"/>
  <c r="QQ67" i="15"/>
  <c r="OE67" i="15"/>
  <c r="JO67" i="15"/>
  <c r="FC67" i="15"/>
  <c r="BW67" i="15"/>
  <c r="S67" i="15"/>
  <c r="II67" i="15"/>
  <c r="GE67" i="15"/>
  <c r="MU67" i="15"/>
  <c r="KM67" i="15"/>
  <c r="HG67" i="15"/>
  <c r="CU67" i="15"/>
  <c r="AQ67" i="15"/>
  <c r="GA67" i="15"/>
  <c r="DW67" i="15"/>
  <c r="UI67" i="15"/>
  <c r="SY67" i="15"/>
  <c r="QM67" i="15"/>
  <c r="PC67" i="15"/>
  <c r="IE67" i="15"/>
  <c r="EY67" i="15"/>
  <c r="O67" i="15"/>
  <c r="LK67" i="15"/>
  <c r="JG67" i="15"/>
  <c r="DS67" i="15"/>
  <c r="BO67" i="15"/>
  <c r="AM67" i="15"/>
  <c r="NS67" i="15"/>
  <c r="MQ67" i="15"/>
  <c r="KI67" i="15"/>
  <c r="FW67" i="15"/>
  <c r="CQ67" i="15"/>
  <c r="NO67" i="15"/>
  <c r="GU67" i="15"/>
  <c r="EQ67" i="15"/>
  <c r="AI67" i="15"/>
  <c r="G67" i="15"/>
  <c r="IY67" i="15"/>
  <c r="FS67" i="15"/>
  <c r="BG67" i="15"/>
  <c r="GY67" i="15"/>
  <c r="LG67" i="15"/>
  <c r="CI67" i="15"/>
  <c r="PW67" i="15"/>
  <c r="LC67" i="15"/>
  <c r="GQ67" i="15"/>
  <c r="CE67" i="15"/>
  <c r="BK67" i="15"/>
  <c r="TS67" i="15"/>
  <c r="JW67" i="15"/>
  <c r="JC67" i="15"/>
  <c r="SU67" i="15"/>
  <c r="EM67" i="15"/>
  <c r="RK67" i="15"/>
  <c r="IA67" i="15"/>
  <c r="DO67" i="15"/>
  <c r="NK67" i="15"/>
  <c r="ME67" i="15"/>
  <c r="C67" i="15"/>
  <c r="KA67" i="15"/>
  <c r="RG67" i="15"/>
  <c r="HS67" i="15"/>
  <c r="OY67" i="15"/>
  <c r="DK67" i="15"/>
  <c r="UA32" i="15"/>
  <c r="TG32" i="15"/>
  <c r="SM32" i="15"/>
  <c r="RS32" i="15"/>
  <c r="QY32" i="15"/>
  <c r="UM32" i="15"/>
  <c r="TS32" i="15"/>
  <c r="TW32" i="15"/>
  <c r="SY32" i="15"/>
  <c r="BW32" i="15"/>
  <c r="SA32" i="15"/>
  <c r="PK32" i="15"/>
  <c r="OM32" i="15"/>
  <c r="MU32" i="15"/>
  <c r="LC32" i="15"/>
  <c r="JK32" i="15"/>
  <c r="HS32" i="15"/>
  <c r="GU32" i="15"/>
  <c r="FC32" i="15"/>
  <c r="CQ32" i="15"/>
  <c r="K32" i="15"/>
  <c r="RC32" i="15"/>
  <c r="DK32" i="15"/>
  <c r="AE32" i="15"/>
  <c r="QE32" i="15"/>
  <c r="PG32" i="15"/>
  <c r="NO32" i="15"/>
  <c r="LW32" i="15"/>
  <c r="KE32" i="15"/>
  <c r="IM32" i="15"/>
  <c r="HO32" i="15"/>
  <c r="FW32" i="15"/>
  <c r="EE32" i="15"/>
  <c r="AY32" i="15"/>
  <c r="UQ32" i="15"/>
  <c r="SU32" i="15"/>
  <c r="BS32" i="15"/>
  <c r="RW32" i="15"/>
  <c r="QA32" i="15"/>
  <c r="OI32" i="15"/>
  <c r="MQ32" i="15"/>
  <c r="KY32" i="15"/>
  <c r="JG32" i="15"/>
  <c r="II32" i="15"/>
  <c r="GQ32" i="15"/>
  <c r="EY32" i="15"/>
  <c r="CM32" i="15"/>
  <c r="G32" i="15"/>
  <c r="DG32" i="15"/>
  <c r="AA32" i="15"/>
  <c r="TO32" i="15"/>
  <c r="QU32" i="15"/>
  <c r="PC32" i="15"/>
  <c r="NK32" i="15"/>
  <c r="LS32" i="15"/>
  <c r="KA32" i="15"/>
  <c r="JC32" i="15"/>
  <c r="HK32" i="15"/>
  <c r="FS32" i="15"/>
  <c r="EA32" i="15"/>
  <c r="AU32" i="15"/>
  <c r="SQ32" i="15"/>
  <c r="BO32" i="15"/>
  <c r="C32" i="15"/>
  <c r="PW32" i="15"/>
  <c r="OE32" i="15"/>
  <c r="MM32" i="15"/>
  <c r="KU32" i="15"/>
  <c r="JW32" i="15"/>
  <c r="IE32" i="15"/>
  <c r="GM32" i="15"/>
  <c r="EU32" i="15"/>
  <c r="CI32" i="15"/>
  <c r="W32" i="15"/>
  <c r="RO32" i="15"/>
  <c r="DC32" i="15"/>
  <c r="AQ32" i="15"/>
  <c r="CE32" i="15"/>
  <c r="SI32" i="15"/>
  <c r="PS32" i="15"/>
  <c r="OA32" i="15"/>
  <c r="MI32" i="15"/>
  <c r="LK32" i="15"/>
  <c r="JS32" i="15"/>
  <c r="IA32" i="15"/>
  <c r="GI32" i="15"/>
  <c r="EQ32" i="15"/>
  <c r="CY32" i="15"/>
  <c r="S32" i="15"/>
  <c r="RK32" i="15"/>
  <c r="DS32" i="15"/>
  <c r="AM32" i="15"/>
  <c r="UE32" i="15"/>
  <c r="QM32" i="15"/>
  <c r="OU32" i="15"/>
  <c r="NC32" i="15"/>
  <c r="ME32" i="15"/>
  <c r="KM32" i="15"/>
  <c r="IU32" i="15"/>
  <c r="HC32" i="15"/>
  <c r="FK32" i="15"/>
  <c r="EM32" i="15"/>
  <c r="BG32" i="15"/>
  <c r="TC32" i="15"/>
  <c r="CA32" i="15"/>
  <c r="FO32" i="15"/>
  <c r="BK32" i="15"/>
  <c r="SE32" i="15"/>
  <c r="NW32" i="15"/>
  <c r="JO32" i="15"/>
  <c r="FG32" i="15"/>
  <c r="NS32" i="15"/>
  <c r="BC32" i="15"/>
  <c r="NG32" i="15"/>
  <c r="IY32" i="15"/>
  <c r="MY32" i="15"/>
  <c r="RG32" i="15"/>
  <c r="AI32" i="15"/>
  <c r="IQ32" i="15"/>
  <c r="EI32" i="15"/>
  <c r="QQ32" i="15"/>
  <c r="DW32" i="15"/>
  <c r="HW32" i="15"/>
  <c r="DO32" i="15"/>
  <c r="O32" i="15"/>
  <c r="UI32" i="15"/>
  <c r="LO32" i="15"/>
  <c r="HG32" i="15"/>
  <c r="PO32" i="15"/>
  <c r="LG32" i="15"/>
  <c r="CU32" i="15"/>
  <c r="GY32" i="15"/>
  <c r="TK32" i="15"/>
  <c r="OY32" i="15"/>
  <c r="KQ32" i="15"/>
  <c r="GE32" i="15"/>
  <c r="GA32" i="15"/>
  <c r="QI32" i="15"/>
  <c r="OQ32" i="15"/>
  <c r="MA32" i="15"/>
  <c r="KI32" i="15"/>
  <c r="UI112" i="15"/>
  <c r="TO112" i="15"/>
  <c r="SU112" i="15"/>
  <c r="SA112" i="15"/>
  <c r="RG112" i="15"/>
  <c r="QM112" i="15"/>
  <c r="PS112" i="15"/>
  <c r="OY112" i="15"/>
  <c r="OE112" i="15"/>
  <c r="NK112" i="15"/>
  <c r="MQ112" i="15"/>
  <c r="LW112" i="15"/>
  <c r="LC112" i="15"/>
  <c r="KI112" i="15"/>
  <c r="JO112" i="15"/>
  <c r="IU112" i="15"/>
  <c r="IA112" i="15"/>
  <c r="HG112" i="15"/>
  <c r="GM112" i="15"/>
  <c r="TG112" i="15"/>
  <c r="MY112" i="15"/>
  <c r="KE112" i="15"/>
  <c r="GQ112" i="15"/>
  <c r="SI112" i="15"/>
  <c r="PO112" i="15"/>
  <c r="MA112" i="15"/>
  <c r="JG112" i="15"/>
  <c r="FS112" i="15"/>
  <c r="EU112" i="15"/>
  <c r="DC112" i="15"/>
  <c r="BK112" i="15"/>
  <c r="S112" i="15"/>
  <c r="RK112" i="15"/>
  <c r="OQ112" i="15"/>
  <c r="II112" i="15"/>
  <c r="SE112" i="15"/>
  <c r="PK112" i="15"/>
  <c r="JC112" i="15"/>
  <c r="GI112" i="15"/>
  <c r="EQ112" i="15"/>
  <c r="CY112" i="15"/>
  <c r="BG112" i="15"/>
  <c r="MM112" i="15"/>
  <c r="FW112" i="15"/>
  <c r="CQ112" i="15"/>
  <c r="BO112" i="15"/>
  <c r="K112" i="15"/>
  <c r="UM112" i="15"/>
  <c r="OU112" i="15"/>
  <c r="LK112" i="15"/>
  <c r="TC112" i="15"/>
  <c r="MI112" i="15"/>
  <c r="KA112" i="15"/>
  <c r="IY112" i="15"/>
  <c r="EM112" i="15"/>
  <c r="G112" i="15"/>
  <c r="ME112" i="15"/>
  <c r="EI112" i="15"/>
  <c r="DG112" i="15"/>
  <c r="BC112" i="15"/>
  <c r="C112" i="15"/>
  <c r="UE112" i="15"/>
  <c r="QA112" i="15"/>
  <c r="NC112" i="15"/>
  <c r="HK112" i="15"/>
  <c r="DK112" i="15"/>
  <c r="UA112" i="15"/>
  <c r="SQ112" i="15"/>
  <c r="GA112" i="15"/>
  <c r="PW112" i="15"/>
  <c r="OI112" i="15"/>
  <c r="LO112" i="15"/>
  <c r="IQ112" i="15"/>
  <c r="SM112" i="15"/>
  <c r="QY112" i="15"/>
  <c r="MU112" i="15"/>
  <c r="JW112" i="15"/>
  <c r="BS112" i="15"/>
  <c r="TW112" i="15"/>
  <c r="HS112" i="15"/>
  <c r="QI112" i="15"/>
  <c r="KY112" i="15"/>
  <c r="JK112" i="15"/>
  <c r="EE112" i="15"/>
  <c r="CM112" i="15"/>
  <c r="FO112" i="15"/>
  <c r="QE112" i="15"/>
  <c r="FK112" i="15"/>
  <c r="DW112" i="15"/>
  <c r="CI112" i="15"/>
  <c r="AQ112" i="15"/>
  <c r="HC112" i="15"/>
  <c r="CE112" i="15"/>
  <c r="AM112" i="15"/>
  <c r="RS112" i="15"/>
  <c r="AI112" i="15"/>
  <c r="TK112" i="15"/>
  <c r="GY112" i="15"/>
  <c r="BW112" i="15"/>
  <c r="DO112" i="15"/>
  <c r="NO112" i="15"/>
  <c r="KQ112" i="15"/>
  <c r="HW112" i="15"/>
  <c r="CA112" i="15"/>
  <c r="QQ112" i="15"/>
  <c r="KM112" i="15"/>
  <c r="EY112" i="15"/>
  <c r="O112" i="15"/>
  <c r="HO112" i="15"/>
  <c r="SY112" i="15"/>
  <c r="NG112" i="15"/>
  <c r="GU112" i="15"/>
  <c r="JS112" i="15"/>
  <c r="EA112" i="15"/>
  <c r="PG112" i="15"/>
  <c r="DS112" i="15"/>
  <c r="AY112" i="15"/>
  <c r="FC112" i="15"/>
  <c r="RC112" i="15"/>
  <c r="LG112" i="15"/>
  <c r="KU112" i="15"/>
  <c r="QU112" i="15"/>
  <c r="IM112" i="15"/>
  <c r="UQ112" i="15"/>
  <c r="OM112" i="15"/>
  <c r="IE112" i="15"/>
  <c r="FG112" i="15"/>
  <c r="OA112" i="15"/>
  <c r="NW112" i="15"/>
  <c r="CU112" i="15"/>
  <c r="NS112" i="15"/>
  <c r="LS112" i="15"/>
  <c r="AE112" i="15"/>
  <c r="AA112" i="15"/>
  <c r="RW112" i="15"/>
  <c r="TS112" i="15"/>
  <c r="RO112" i="15"/>
  <c r="PC112" i="15"/>
  <c r="AU112" i="15"/>
  <c r="W112" i="15"/>
  <c r="GE112" i="15"/>
  <c r="UE69" i="15"/>
  <c r="TK69" i="15"/>
  <c r="SQ69" i="15"/>
  <c r="RW69" i="15"/>
  <c r="RC69" i="15"/>
  <c r="QI69" i="15"/>
  <c r="PO69" i="15"/>
  <c r="OU69" i="15"/>
  <c r="OA69" i="15"/>
  <c r="NG69" i="15"/>
  <c r="MM69" i="15"/>
  <c r="LS69" i="15"/>
  <c r="KY69" i="15"/>
  <c r="KE69" i="15"/>
  <c r="JK69" i="15"/>
  <c r="IQ69" i="15"/>
  <c r="HW69" i="15"/>
  <c r="HC69" i="15"/>
  <c r="GI69" i="15"/>
  <c r="FO69" i="15"/>
  <c r="EU69" i="15"/>
  <c r="SE69" i="15"/>
  <c r="OY69" i="15"/>
  <c r="JG69" i="15"/>
  <c r="GA69" i="15"/>
  <c r="SY69" i="15"/>
  <c r="PS69" i="15"/>
  <c r="KA69" i="15"/>
  <c r="GU69" i="15"/>
  <c r="TS69" i="15"/>
  <c r="QM69" i="15"/>
  <c r="KU69" i="15"/>
  <c r="HO69" i="15"/>
  <c r="EI69" i="15"/>
  <c r="DO69" i="15"/>
  <c r="CU69" i="15"/>
  <c r="CA69" i="15"/>
  <c r="BG69" i="15"/>
  <c r="AM69" i="15"/>
  <c r="S69" i="15"/>
  <c r="UM69" i="15"/>
  <c r="RG69" i="15"/>
  <c r="LO69" i="15"/>
  <c r="II69" i="15"/>
  <c r="FC69" i="15"/>
  <c r="SA69" i="15"/>
  <c r="MI69" i="15"/>
  <c r="JC69" i="15"/>
  <c r="FW69" i="15"/>
  <c r="SU69" i="15"/>
  <c r="NC69" i="15"/>
  <c r="JW69" i="15"/>
  <c r="GQ69" i="15"/>
  <c r="TO69" i="15"/>
  <c r="NW69" i="15"/>
  <c r="KQ69" i="15"/>
  <c r="HK69" i="15"/>
  <c r="EE69" i="15"/>
  <c r="DK69" i="15"/>
  <c r="CQ69" i="15"/>
  <c r="BW69" i="15"/>
  <c r="BC69" i="15"/>
  <c r="AI69" i="15"/>
  <c r="O69" i="15"/>
  <c r="UI69" i="15"/>
  <c r="OQ69" i="15"/>
  <c r="LK69" i="15"/>
  <c r="IE69" i="15"/>
  <c r="EY69" i="15"/>
  <c r="PK69" i="15"/>
  <c r="ME69" i="15"/>
  <c r="IY69" i="15"/>
  <c r="FS69" i="15"/>
  <c r="QE69" i="15"/>
  <c r="MY69" i="15"/>
  <c r="JS69" i="15"/>
  <c r="GM69" i="15"/>
  <c r="QY69" i="15"/>
  <c r="NS69" i="15"/>
  <c r="KM69" i="15"/>
  <c r="HG69" i="15"/>
  <c r="EA69" i="15"/>
  <c r="DG69" i="15"/>
  <c r="CM69" i="15"/>
  <c r="BS69" i="15"/>
  <c r="AY69" i="15"/>
  <c r="AE69" i="15"/>
  <c r="RS69" i="15"/>
  <c r="OM69" i="15"/>
  <c r="LG69" i="15"/>
  <c r="IA69" i="15"/>
  <c r="UA69" i="15"/>
  <c r="QU69" i="15"/>
  <c r="NO69" i="15"/>
  <c r="KI69" i="15"/>
  <c r="EQ69" i="15"/>
  <c r="DW69" i="15"/>
  <c r="DC69" i="15"/>
  <c r="CI69" i="15"/>
  <c r="RO69" i="15"/>
  <c r="OI69" i="15"/>
  <c r="LC69" i="15"/>
  <c r="FK69" i="15"/>
  <c r="QA69" i="15"/>
  <c r="SM69" i="15"/>
  <c r="NK69" i="15"/>
  <c r="PW69" i="15"/>
  <c r="FG69" i="15"/>
  <c r="SI69" i="15"/>
  <c r="HS69" i="15"/>
  <c r="AA69" i="15"/>
  <c r="MU69" i="15"/>
  <c r="PG69" i="15"/>
  <c r="CE69" i="15"/>
  <c r="MQ69" i="15"/>
  <c r="W69" i="15"/>
  <c r="PC69" i="15"/>
  <c r="EM69" i="15"/>
  <c r="UQ69" i="15"/>
  <c r="JO69" i="15"/>
  <c r="GY69" i="15"/>
  <c r="K69" i="15"/>
  <c r="MA69" i="15"/>
  <c r="BO69" i="15"/>
  <c r="LW69" i="15"/>
  <c r="G69" i="15"/>
  <c r="RK69" i="15"/>
  <c r="BK69" i="15"/>
  <c r="TG69" i="15"/>
  <c r="OE69" i="15"/>
  <c r="AU69" i="15"/>
  <c r="AQ69" i="15"/>
  <c r="TW69" i="15"/>
  <c r="IU69" i="15"/>
  <c r="TC69" i="15"/>
  <c r="IM69" i="15"/>
  <c r="GE69" i="15"/>
  <c r="QQ69" i="15"/>
  <c r="DS69" i="15"/>
  <c r="CY69" i="15"/>
  <c r="C69" i="15"/>
  <c r="UI27" i="15"/>
  <c r="TO27" i="15"/>
  <c r="SU27" i="15"/>
  <c r="SA27" i="15"/>
  <c r="RG27" i="15"/>
  <c r="QM27" i="15"/>
  <c r="PS27" i="15"/>
  <c r="OY27" i="15"/>
  <c r="OE27" i="15"/>
  <c r="NK27" i="15"/>
  <c r="MQ27" i="15"/>
  <c r="LW27" i="15"/>
  <c r="LC27" i="15"/>
  <c r="KI27" i="15"/>
  <c r="UA27" i="15"/>
  <c r="TG27" i="15"/>
  <c r="SM27" i="15"/>
  <c r="RS27" i="15"/>
  <c r="QY27" i="15"/>
  <c r="QE27" i="15"/>
  <c r="PK27" i="15"/>
  <c r="OQ27" i="15"/>
  <c r="NW27" i="15"/>
  <c r="NC27" i="15"/>
  <c r="MI27" i="15"/>
  <c r="LO27" i="15"/>
  <c r="KU27" i="15"/>
  <c r="TC27" i="15"/>
  <c r="SE27" i="15"/>
  <c r="PG27" i="15"/>
  <c r="OI27" i="15"/>
  <c r="LK27" i="15"/>
  <c r="KM27" i="15"/>
  <c r="RC27" i="15"/>
  <c r="NG27" i="15"/>
  <c r="JO27" i="15"/>
  <c r="IQ27" i="15"/>
  <c r="GY27" i="15"/>
  <c r="FG27" i="15"/>
  <c r="DO27" i="15"/>
  <c r="BW27" i="15"/>
  <c r="AY27" i="15"/>
  <c r="G27" i="15"/>
  <c r="JK27" i="15"/>
  <c r="HS27" i="15"/>
  <c r="GA27" i="15"/>
  <c r="EI27" i="15"/>
  <c r="CQ27" i="15"/>
  <c r="BS27" i="15"/>
  <c r="AA27" i="15"/>
  <c r="TW27" i="15"/>
  <c r="SY27" i="15"/>
  <c r="QA27" i="15"/>
  <c r="PC27" i="15"/>
  <c r="ME27" i="15"/>
  <c r="LG27" i="15"/>
  <c r="RW27" i="15"/>
  <c r="OA27" i="15"/>
  <c r="KE27" i="15"/>
  <c r="IM27" i="15"/>
  <c r="GU27" i="15"/>
  <c r="FC27" i="15"/>
  <c r="DK27" i="15"/>
  <c r="CM27" i="15"/>
  <c r="AU27" i="15"/>
  <c r="C27" i="15"/>
  <c r="JG27" i="15"/>
  <c r="HO27" i="15"/>
  <c r="FW27" i="15"/>
  <c r="EE27" i="15"/>
  <c r="DG27" i="15"/>
  <c r="BO27" i="15"/>
  <c r="W27" i="15"/>
  <c r="UQ27" i="15"/>
  <c r="TS27" i="15"/>
  <c r="QU27" i="15"/>
  <c r="PW27" i="15"/>
  <c r="MY27" i="15"/>
  <c r="MA27" i="15"/>
  <c r="SQ27" i="15"/>
  <c r="OU27" i="15"/>
  <c r="KY27" i="15"/>
  <c r="KA27" i="15"/>
  <c r="II27" i="15"/>
  <c r="GQ27" i="15"/>
  <c r="EY27" i="15"/>
  <c r="EA27" i="15"/>
  <c r="CI27" i="15"/>
  <c r="AQ27" i="15"/>
  <c r="UM27" i="15"/>
  <c r="RO27" i="15"/>
  <c r="QQ27" i="15"/>
  <c r="NS27" i="15"/>
  <c r="MU27" i="15"/>
  <c r="TK27" i="15"/>
  <c r="PO27" i="15"/>
  <c r="LS27" i="15"/>
  <c r="JW27" i="15"/>
  <c r="IE27" i="15"/>
  <c r="GM27" i="15"/>
  <c r="FO27" i="15"/>
  <c r="DW27" i="15"/>
  <c r="CE27" i="15"/>
  <c r="AM27" i="15"/>
  <c r="IY27" i="15"/>
  <c r="HG27" i="15"/>
  <c r="GI27" i="15"/>
  <c r="EQ27" i="15"/>
  <c r="CY27" i="15"/>
  <c r="BG27" i="15"/>
  <c r="O27" i="15"/>
  <c r="SI27" i="15"/>
  <c r="RK27" i="15"/>
  <c r="OM27" i="15"/>
  <c r="NO27" i="15"/>
  <c r="KQ27" i="15"/>
  <c r="JC27" i="15"/>
  <c r="EU27" i="15"/>
  <c r="AI27" i="15"/>
  <c r="IU27" i="15"/>
  <c r="EM27" i="15"/>
  <c r="AE27" i="15"/>
  <c r="S27" i="15"/>
  <c r="MM27" i="15"/>
  <c r="IA27" i="15"/>
  <c r="DS27" i="15"/>
  <c r="K27" i="15"/>
  <c r="HK27" i="15"/>
  <c r="DC27" i="15"/>
  <c r="QI27" i="15"/>
  <c r="HC27" i="15"/>
  <c r="UE27" i="15"/>
  <c r="CA27" i="15"/>
  <c r="GE27" i="15"/>
  <c r="FS27" i="15"/>
  <c r="BK27" i="15"/>
  <c r="JS27" i="15"/>
  <c r="FK27" i="15"/>
  <c r="HW27" i="15"/>
  <c r="CU27" i="15"/>
  <c r="BC27" i="15"/>
  <c r="UM30" i="15"/>
  <c r="TS30" i="15"/>
  <c r="SY30" i="15"/>
  <c r="SE30" i="15"/>
  <c r="RK30" i="15"/>
  <c r="QQ30" i="15"/>
  <c r="PW30" i="15"/>
  <c r="PC30" i="15"/>
  <c r="OI30" i="15"/>
  <c r="NO30" i="15"/>
  <c r="MU30" i="15"/>
  <c r="MA30" i="15"/>
  <c r="LG30" i="15"/>
  <c r="KM30" i="15"/>
  <c r="JS30" i="15"/>
  <c r="IY30" i="15"/>
  <c r="IE30" i="15"/>
  <c r="HK30" i="15"/>
  <c r="GQ30" i="15"/>
  <c r="FW30" i="15"/>
  <c r="FC30" i="15"/>
  <c r="EI30" i="15"/>
  <c r="DO30" i="15"/>
  <c r="CU30" i="15"/>
  <c r="CA30" i="15"/>
  <c r="BG30" i="15"/>
  <c r="AM30" i="15"/>
  <c r="S30" i="15"/>
  <c r="UI30" i="15"/>
  <c r="TO30" i="15"/>
  <c r="SU30" i="15"/>
  <c r="UA30" i="15"/>
  <c r="TG30" i="15"/>
  <c r="SM30" i="15"/>
  <c r="SA30" i="15"/>
  <c r="OE30" i="15"/>
  <c r="KI30" i="15"/>
  <c r="GM30" i="15"/>
  <c r="CQ30" i="15"/>
  <c r="QU30" i="15"/>
  <c r="PK30" i="15"/>
  <c r="MY30" i="15"/>
  <c r="LO30" i="15"/>
  <c r="JC30" i="15"/>
  <c r="HS30" i="15"/>
  <c r="FG30" i="15"/>
  <c r="DW30" i="15"/>
  <c r="BK30" i="15"/>
  <c r="AA30" i="15"/>
  <c r="TK30" i="15"/>
  <c r="RW30" i="15"/>
  <c r="OA30" i="15"/>
  <c r="KE30" i="15"/>
  <c r="GI30" i="15"/>
  <c r="CM30" i="15"/>
  <c r="QM30" i="15"/>
  <c r="MQ30" i="15"/>
  <c r="IU30" i="15"/>
  <c r="EY30" i="15"/>
  <c r="BC30" i="15"/>
  <c r="RS30" i="15"/>
  <c r="PG30" i="15"/>
  <c r="NW30" i="15"/>
  <c r="LK30" i="15"/>
  <c r="KA30" i="15"/>
  <c r="HO30" i="15"/>
  <c r="GE30" i="15"/>
  <c r="DS30" i="15"/>
  <c r="CI30" i="15"/>
  <c r="W30" i="15"/>
  <c r="QI30" i="15"/>
  <c r="MM30" i="15"/>
  <c r="IQ30" i="15"/>
  <c r="EU30" i="15"/>
  <c r="AY30" i="15"/>
  <c r="TC30" i="15"/>
  <c r="OY30" i="15"/>
  <c r="LC30" i="15"/>
  <c r="HG30" i="15"/>
  <c r="DK30" i="15"/>
  <c r="O30" i="15"/>
  <c r="UQ30" i="15"/>
  <c r="RO30" i="15"/>
  <c r="QE30" i="15"/>
  <c r="NS30" i="15"/>
  <c r="MI30" i="15"/>
  <c r="JW30" i="15"/>
  <c r="IM30" i="15"/>
  <c r="GA30" i="15"/>
  <c r="EQ30" i="15"/>
  <c r="CE30" i="15"/>
  <c r="AU30" i="15"/>
  <c r="SQ30" i="15"/>
  <c r="RG30" i="15"/>
  <c r="NK30" i="15"/>
  <c r="JO30" i="15"/>
  <c r="FS30" i="15"/>
  <c r="BW30" i="15"/>
  <c r="UE30" i="15"/>
  <c r="QA30" i="15"/>
  <c r="OQ30" i="15"/>
  <c r="ME30" i="15"/>
  <c r="KU30" i="15"/>
  <c r="II30" i="15"/>
  <c r="GY30" i="15"/>
  <c r="EM30" i="15"/>
  <c r="DC30" i="15"/>
  <c r="AQ30" i="15"/>
  <c r="G30" i="15"/>
  <c r="RC30" i="15"/>
  <c r="NG30" i="15"/>
  <c r="JK30" i="15"/>
  <c r="FO30" i="15"/>
  <c r="BS30" i="15"/>
  <c r="DG30" i="15"/>
  <c r="PS30" i="15"/>
  <c r="JG30" i="15"/>
  <c r="CY30" i="15"/>
  <c r="PO30" i="15"/>
  <c r="OU30" i="15"/>
  <c r="IA30" i="15"/>
  <c r="OM30" i="15"/>
  <c r="BO30" i="15"/>
  <c r="HC30" i="15"/>
  <c r="AI30" i="15"/>
  <c r="K30" i="15"/>
  <c r="LW30" i="15"/>
  <c r="LS30" i="15"/>
  <c r="KY30" i="15"/>
  <c r="EE30" i="15"/>
  <c r="QY30" i="15"/>
  <c r="NC30" i="15"/>
  <c r="KQ30" i="15"/>
  <c r="HW30" i="15"/>
  <c r="GU30" i="15"/>
  <c r="FK30" i="15"/>
  <c r="AE30" i="15"/>
  <c r="TW30" i="15"/>
  <c r="SI30" i="15"/>
  <c r="EA30" i="15"/>
  <c r="C30" i="15"/>
  <c r="RS38" i="15"/>
  <c r="NW38" i="15"/>
  <c r="KA38" i="15"/>
  <c r="JC38" i="15"/>
  <c r="FO38" i="15"/>
  <c r="CU38" i="15"/>
  <c r="IE38" i="15"/>
  <c r="BW38" i="15"/>
  <c r="AA38" i="15"/>
  <c r="C38" i="15"/>
  <c r="HG38" i="15"/>
  <c r="FK38" i="15"/>
  <c r="EM38" i="15"/>
  <c r="AY38" i="15"/>
  <c r="UM38" i="15"/>
  <c r="TO38" i="15"/>
  <c r="SQ38" i="15"/>
  <c r="RO38" i="15"/>
  <c r="QQ38" i="15"/>
  <c r="PS38" i="15"/>
  <c r="OU38" i="15"/>
  <c r="NS38" i="15"/>
  <c r="MU38" i="15"/>
  <c r="LW38" i="15"/>
  <c r="KY38" i="15"/>
  <c r="JW38" i="15"/>
  <c r="SM38" i="15"/>
  <c r="OQ38" i="15"/>
  <c r="KU38" i="15"/>
  <c r="IY38" i="15"/>
  <c r="IA38" i="15"/>
  <c r="GE38" i="15"/>
  <c r="FG38" i="15"/>
  <c r="BS38" i="15"/>
  <c r="HC38" i="15"/>
  <c r="EI38" i="15"/>
  <c r="UI38" i="15"/>
  <c r="TK38" i="15"/>
  <c r="SI38" i="15"/>
  <c r="RK38" i="15"/>
  <c r="QM38" i="15"/>
  <c r="PO38" i="15"/>
  <c r="OM38" i="15"/>
  <c r="NO38" i="15"/>
  <c r="MQ38" i="15"/>
  <c r="LS38" i="15"/>
  <c r="KQ38" i="15"/>
  <c r="JS38" i="15"/>
  <c r="DK38" i="15"/>
  <c r="BO38" i="15"/>
  <c r="AQ38" i="15"/>
  <c r="TG38" i="15"/>
  <c r="PK38" i="15"/>
  <c r="LO38" i="15"/>
  <c r="IU38" i="15"/>
  <c r="GY38" i="15"/>
  <c r="GA38" i="15"/>
  <c r="UE38" i="15"/>
  <c r="TC38" i="15"/>
  <c r="QY38" i="15"/>
  <c r="KE38" i="15"/>
  <c r="II38" i="15"/>
  <c r="GQ38" i="15"/>
  <c r="W38" i="15"/>
  <c r="UQ38" i="15"/>
  <c r="SU38" i="15"/>
  <c r="PC38" i="15"/>
  <c r="LK38" i="15"/>
  <c r="CI38" i="15"/>
  <c r="S38" i="15"/>
  <c r="DS38" i="15"/>
  <c r="QU38" i="15"/>
  <c r="NG38" i="15"/>
  <c r="JO38" i="15"/>
  <c r="HW38" i="15"/>
  <c r="EY38" i="15"/>
  <c r="DO38" i="15"/>
  <c r="BC38" i="15"/>
  <c r="UA38" i="15"/>
  <c r="SE38" i="15"/>
  <c r="NC38" i="15"/>
  <c r="GM38" i="15"/>
  <c r="CE38" i="15"/>
  <c r="OY38" i="15"/>
  <c r="LG38" i="15"/>
  <c r="HS38" i="15"/>
  <c r="GI38" i="15"/>
  <c r="O38" i="15"/>
  <c r="SA38" i="15"/>
  <c r="OI38" i="15"/>
  <c r="HO38" i="15"/>
  <c r="DG38" i="15"/>
  <c r="CA38" i="15"/>
  <c r="LC38" i="15"/>
  <c r="JG38" i="15"/>
  <c r="FW38" i="15"/>
  <c r="EQ38" i="15"/>
  <c r="K38" i="15"/>
  <c r="QA38" i="15"/>
  <c r="MM38" i="15"/>
  <c r="DC38" i="15"/>
  <c r="AM38" i="15"/>
  <c r="RW38" i="15"/>
  <c r="OE38" i="15"/>
  <c r="KM38" i="15"/>
  <c r="HK38" i="15"/>
  <c r="FS38" i="15"/>
  <c r="EE38" i="15"/>
  <c r="CY38" i="15"/>
  <c r="RG38" i="15"/>
  <c r="IQ38" i="15"/>
  <c r="BK38" i="15"/>
  <c r="OA38" i="15"/>
  <c r="KI38" i="15"/>
  <c r="GU38" i="15"/>
  <c r="SY38" i="15"/>
  <c r="PG38" i="15"/>
  <c r="IM38" i="15"/>
  <c r="EU38" i="15"/>
  <c r="AU38" i="15"/>
  <c r="JK38" i="15"/>
  <c r="EA38" i="15"/>
  <c r="AI38" i="15"/>
  <c r="TW38" i="15"/>
  <c r="DW38" i="15"/>
  <c r="AE38" i="15"/>
  <c r="TS38" i="15"/>
  <c r="NK38" i="15"/>
  <c r="MY38" i="15"/>
  <c r="G38" i="15"/>
  <c r="MI38" i="15"/>
  <c r="MA38" i="15"/>
  <c r="CM38" i="15"/>
  <c r="RC38" i="15"/>
  <c r="QI38" i="15"/>
  <c r="FC38" i="15"/>
  <c r="CQ38" i="15"/>
  <c r="BG38" i="15"/>
  <c r="QE38" i="15"/>
  <c r="PW38" i="15"/>
  <c r="ME38" i="15"/>
  <c r="UI49" i="15"/>
  <c r="TO49" i="15"/>
  <c r="SU49" i="15"/>
  <c r="SA49" i="15"/>
  <c r="RG49" i="15"/>
  <c r="QM49" i="15"/>
  <c r="PS49" i="15"/>
  <c r="OY49" i="15"/>
  <c r="OE49" i="15"/>
  <c r="NK49" i="15"/>
  <c r="MQ49" i="15"/>
  <c r="LW49" i="15"/>
  <c r="LC49" i="15"/>
  <c r="KI49" i="15"/>
  <c r="JO49" i="15"/>
  <c r="IU49" i="15"/>
  <c r="IA49" i="15"/>
  <c r="HG49" i="15"/>
  <c r="GM49" i="15"/>
  <c r="FS49" i="15"/>
  <c r="EY49" i="15"/>
  <c r="EE49" i="15"/>
  <c r="DK49" i="15"/>
  <c r="CQ49" i="15"/>
  <c r="BW49" i="15"/>
  <c r="UE49" i="15"/>
  <c r="TK49" i="15"/>
  <c r="SQ49" i="15"/>
  <c r="RW49" i="15"/>
  <c r="RC49" i="15"/>
  <c r="QI49" i="15"/>
  <c r="PO49" i="15"/>
  <c r="OU49" i="15"/>
  <c r="OA49" i="15"/>
  <c r="NG49" i="15"/>
  <c r="MM49" i="15"/>
  <c r="LS49" i="15"/>
  <c r="KY49" i="15"/>
  <c r="KE49" i="15"/>
  <c r="JK49" i="15"/>
  <c r="IQ49" i="15"/>
  <c r="HW49" i="15"/>
  <c r="UA49" i="15"/>
  <c r="DS49" i="15"/>
  <c r="SY49" i="15"/>
  <c r="GI49" i="15"/>
  <c r="CU49" i="15"/>
  <c r="AY49" i="15"/>
  <c r="G49" i="15"/>
  <c r="FK49" i="15"/>
  <c r="TW49" i="15"/>
  <c r="RS49" i="15"/>
  <c r="QU49" i="15"/>
  <c r="PW49" i="15"/>
  <c r="NW49" i="15"/>
  <c r="MY49" i="15"/>
  <c r="MA49" i="15"/>
  <c r="KA49" i="15"/>
  <c r="JC49" i="15"/>
  <c r="IE49" i="15"/>
  <c r="EM49" i="15"/>
  <c r="BS49" i="15"/>
  <c r="AA49" i="15"/>
  <c r="HC49" i="15"/>
  <c r="DO49" i="15"/>
  <c r="GE49" i="15"/>
  <c r="AU49" i="15"/>
  <c r="C49" i="15"/>
  <c r="FG49" i="15"/>
  <c r="CM49" i="15"/>
  <c r="SM49" i="15"/>
  <c r="GY49" i="15"/>
  <c r="UQ49" i="15"/>
  <c r="GA49" i="15"/>
  <c r="DG49" i="15"/>
  <c r="AQ49" i="15"/>
  <c r="FC49" i="15"/>
  <c r="CI49" i="15"/>
  <c r="TG49" i="15"/>
  <c r="CE49" i="15"/>
  <c r="SE49" i="15"/>
  <c r="QE49" i="15"/>
  <c r="PG49" i="15"/>
  <c r="OI49" i="15"/>
  <c r="MI49" i="15"/>
  <c r="LK49" i="15"/>
  <c r="KM49" i="15"/>
  <c r="IM49" i="15"/>
  <c r="HO49" i="15"/>
  <c r="EU49" i="15"/>
  <c r="BG49" i="15"/>
  <c r="O49" i="15"/>
  <c r="GQ49" i="15"/>
  <c r="DW49" i="15"/>
  <c r="PK49" i="15"/>
  <c r="MU49" i="15"/>
  <c r="JW49" i="15"/>
  <c r="HK49" i="15"/>
  <c r="JS49" i="15"/>
  <c r="EQ49" i="15"/>
  <c r="CA49" i="15"/>
  <c r="K49" i="15"/>
  <c r="EI49" i="15"/>
  <c r="GU49" i="15"/>
  <c r="BO49" i="15"/>
  <c r="RO49" i="15"/>
  <c r="PC49" i="15"/>
  <c r="EA49" i="15"/>
  <c r="BK49" i="15"/>
  <c r="RK49" i="15"/>
  <c r="OQ49" i="15"/>
  <c r="ME49" i="15"/>
  <c r="LO49" i="15"/>
  <c r="IY49" i="15"/>
  <c r="BC49" i="15"/>
  <c r="TS49" i="15"/>
  <c r="QY49" i="15"/>
  <c r="NO49" i="15"/>
  <c r="KU49" i="15"/>
  <c r="II49" i="15"/>
  <c r="FO49" i="15"/>
  <c r="CY49" i="15"/>
  <c r="AM49" i="15"/>
  <c r="TC49" i="15"/>
  <c r="KQ49" i="15"/>
  <c r="AI49" i="15"/>
  <c r="HS49" i="15"/>
  <c r="JG49" i="15"/>
  <c r="SI49" i="15"/>
  <c r="AE49" i="15"/>
  <c r="W49" i="15"/>
  <c r="QQ49" i="15"/>
  <c r="S49" i="15"/>
  <c r="QA49" i="15"/>
  <c r="FW49" i="15"/>
  <c r="OM49" i="15"/>
  <c r="NS49" i="15"/>
  <c r="UM49" i="15"/>
  <c r="LG49" i="15"/>
  <c r="NC49" i="15"/>
  <c r="DC49" i="15"/>
  <c r="UA87" i="15"/>
  <c r="TG87" i="15"/>
  <c r="SM87" i="15"/>
  <c r="RS87" i="15"/>
  <c r="QY87" i="15"/>
  <c r="QE87" i="15"/>
  <c r="PK87" i="15"/>
  <c r="OQ87" i="15"/>
  <c r="NW87" i="15"/>
  <c r="NC87" i="15"/>
  <c r="MI87" i="15"/>
  <c r="LO87" i="15"/>
  <c r="KU87" i="15"/>
  <c r="KA87" i="15"/>
  <c r="JG87" i="15"/>
  <c r="IM87" i="15"/>
  <c r="HS87" i="15"/>
  <c r="GY87" i="15"/>
  <c r="GE87" i="15"/>
  <c r="FK87" i="15"/>
  <c r="EQ87" i="15"/>
  <c r="UQ87" i="15"/>
  <c r="TW87" i="15"/>
  <c r="TC87" i="15"/>
  <c r="SI87" i="15"/>
  <c r="RO87" i="15"/>
  <c r="QU87" i="15"/>
  <c r="QA87" i="15"/>
  <c r="PG87" i="15"/>
  <c r="OM87" i="15"/>
  <c r="NS87" i="15"/>
  <c r="UM87" i="15"/>
  <c r="TS87" i="15"/>
  <c r="SY87" i="15"/>
  <c r="SE87" i="15"/>
  <c r="RK87" i="15"/>
  <c r="PW87" i="15"/>
  <c r="OY87" i="15"/>
  <c r="OA87" i="15"/>
  <c r="KI87" i="15"/>
  <c r="HO87" i="15"/>
  <c r="EA87" i="15"/>
  <c r="DC87" i="15"/>
  <c r="AQ87" i="15"/>
  <c r="RW87" i="15"/>
  <c r="MY87" i="15"/>
  <c r="JK87" i="15"/>
  <c r="GQ87" i="15"/>
  <c r="BK87" i="15"/>
  <c r="SU87" i="15"/>
  <c r="MA87" i="15"/>
  <c r="FS87" i="15"/>
  <c r="DW87" i="15"/>
  <c r="CE87" i="15"/>
  <c r="LC87" i="15"/>
  <c r="II87" i="15"/>
  <c r="EU87" i="15"/>
  <c r="QQ87" i="15"/>
  <c r="PS87" i="15"/>
  <c r="OU87" i="15"/>
  <c r="KE87" i="15"/>
  <c r="HK87" i="15"/>
  <c r="CY87" i="15"/>
  <c r="AM87" i="15"/>
  <c r="SQ87" i="15"/>
  <c r="LW87" i="15"/>
  <c r="JC87" i="15"/>
  <c r="FO87" i="15"/>
  <c r="DS87" i="15"/>
  <c r="CA87" i="15"/>
  <c r="LS87" i="15"/>
  <c r="IY87" i="15"/>
  <c r="DO87" i="15"/>
  <c r="BW87" i="15"/>
  <c r="TK87" i="15"/>
  <c r="QI87" i="15"/>
  <c r="HW87" i="15"/>
  <c r="CM87" i="15"/>
  <c r="AE87" i="15"/>
  <c r="GI87" i="15"/>
  <c r="C87" i="15"/>
  <c r="KM87" i="15"/>
  <c r="CI87" i="15"/>
  <c r="NG87" i="15"/>
  <c r="EY87" i="15"/>
  <c r="BC87" i="15"/>
  <c r="AA87" i="15"/>
  <c r="DK87" i="15"/>
  <c r="GA87" i="15"/>
  <c r="OI87" i="15"/>
  <c r="IU87" i="15"/>
  <c r="EM87" i="15"/>
  <c r="AY87" i="15"/>
  <c r="LK87" i="15"/>
  <c r="DG87" i="15"/>
  <c r="S87" i="15"/>
  <c r="UI87" i="15"/>
  <c r="JW87" i="15"/>
  <c r="FW87" i="15"/>
  <c r="EI87" i="15"/>
  <c r="AU87" i="15"/>
  <c r="PO87" i="15"/>
  <c r="OE87" i="15"/>
  <c r="MQ87" i="15"/>
  <c r="IQ87" i="15"/>
  <c r="HC87" i="15"/>
  <c r="RC87" i="15"/>
  <c r="O87" i="15"/>
  <c r="LG87" i="15"/>
  <c r="JS87" i="15"/>
  <c r="BS87" i="15"/>
  <c r="GU87" i="15"/>
  <c r="FG87" i="15"/>
  <c r="BO87" i="15"/>
  <c r="NO87" i="15"/>
  <c r="JO87" i="15"/>
  <c r="SA87" i="15"/>
  <c r="RG87" i="15"/>
  <c r="NK87" i="15"/>
  <c r="MU87" i="15"/>
  <c r="MM87" i="15"/>
  <c r="FC87" i="15"/>
  <c r="IE87" i="15"/>
  <c r="BG87" i="15"/>
  <c r="ME87" i="15"/>
  <c r="HG87" i="15"/>
  <c r="TO87" i="15"/>
  <c r="KY87" i="15"/>
  <c r="PC87" i="15"/>
  <c r="CU87" i="15"/>
  <c r="W87" i="15"/>
  <c r="GM87" i="15"/>
  <c r="QM87" i="15"/>
  <c r="EE87" i="15"/>
  <c r="CQ87" i="15"/>
  <c r="KQ87" i="15"/>
  <c r="AI87" i="15"/>
  <c r="K87" i="15"/>
  <c r="UE87" i="15"/>
  <c r="IA87" i="15"/>
  <c r="G87" i="15"/>
  <c r="UI14" i="15"/>
  <c r="TO14" i="15"/>
  <c r="SU14" i="15"/>
  <c r="SA14" i="15"/>
  <c r="SY14" i="15"/>
  <c r="RC14" i="15"/>
  <c r="PK14" i="15"/>
  <c r="NS14" i="15"/>
  <c r="MA14" i="15"/>
  <c r="JK14" i="15"/>
  <c r="HS14" i="15"/>
  <c r="GA14" i="15"/>
  <c r="EI14" i="15"/>
  <c r="BS14" i="15"/>
  <c r="AA14" i="15"/>
  <c r="LC14" i="15"/>
  <c r="DK14" i="15"/>
  <c r="UQ14" i="15"/>
  <c r="RW14" i="15"/>
  <c r="QE14" i="15"/>
  <c r="OM14" i="15"/>
  <c r="MU14" i="15"/>
  <c r="KE14" i="15"/>
  <c r="IM14" i="15"/>
  <c r="GU14" i="15"/>
  <c r="FC14" i="15"/>
  <c r="CM14" i="15"/>
  <c r="AU14" i="15"/>
  <c r="C14" i="15"/>
  <c r="TS14" i="15"/>
  <c r="LW14" i="15"/>
  <c r="EE14" i="15"/>
  <c r="QY14" i="15"/>
  <c r="PG14" i="15"/>
  <c r="NO14" i="15"/>
  <c r="KY14" i="15"/>
  <c r="JG14" i="15"/>
  <c r="HO14" i="15"/>
  <c r="FW14" i="15"/>
  <c r="DG14" i="15"/>
  <c r="BO14" i="15"/>
  <c r="W14" i="15"/>
  <c r="SQ14" i="15"/>
  <c r="MQ14" i="15"/>
  <c r="EY14" i="15"/>
  <c r="UM14" i="15"/>
  <c r="RS14" i="15"/>
  <c r="QA14" i="15"/>
  <c r="OI14" i="15"/>
  <c r="LS14" i="15"/>
  <c r="KA14" i="15"/>
  <c r="II14" i="15"/>
  <c r="GQ14" i="15"/>
  <c r="EA14" i="15"/>
  <c r="CI14" i="15"/>
  <c r="AQ14" i="15"/>
  <c r="NK14" i="15"/>
  <c r="FS14" i="15"/>
  <c r="TK14" i="15"/>
  <c r="QU14" i="15"/>
  <c r="PC14" i="15"/>
  <c r="MM14" i="15"/>
  <c r="KU14" i="15"/>
  <c r="JC14" i="15"/>
  <c r="HK14" i="15"/>
  <c r="EU14" i="15"/>
  <c r="DC14" i="15"/>
  <c r="BK14" i="15"/>
  <c r="S14" i="15"/>
  <c r="SM14" i="15"/>
  <c r="OE14" i="15"/>
  <c r="GM14" i="15"/>
  <c r="RO14" i="15"/>
  <c r="PW14" i="15"/>
  <c r="NG14" i="15"/>
  <c r="LO14" i="15"/>
  <c r="JW14" i="15"/>
  <c r="IE14" i="15"/>
  <c r="FO14" i="15"/>
  <c r="DW14" i="15"/>
  <c r="CE14" i="15"/>
  <c r="AM14" i="15"/>
  <c r="UE14" i="15"/>
  <c r="OY14" i="15"/>
  <c r="HG14" i="15"/>
  <c r="O14" i="15"/>
  <c r="TG14" i="15"/>
  <c r="QQ14" i="15"/>
  <c r="OA14" i="15"/>
  <c r="MI14" i="15"/>
  <c r="KQ14" i="15"/>
  <c r="IY14" i="15"/>
  <c r="GI14" i="15"/>
  <c r="EQ14" i="15"/>
  <c r="CY14" i="15"/>
  <c r="BG14" i="15"/>
  <c r="UA14" i="15"/>
  <c r="QM14" i="15"/>
  <c r="IU14" i="15"/>
  <c r="BC14" i="15"/>
  <c r="TC14" i="15"/>
  <c r="PO14" i="15"/>
  <c r="NW14" i="15"/>
  <c r="ME14" i="15"/>
  <c r="KM14" i="15"/>
  <c r="HW14" i="15"/>
  <c r="GE14" i="15"/>
  <c r="EM14" i="15"/>
  <c r="CU14" i="15"/>
  <c r="AE14" i="15"/>
  <c r="SI14" i="15"/>
  <c r="IA14" i="15"/>
  <c r="OU14" i="15"/>
  <c r="LK14" i="15"/>
  <c r="G14" i="15"/>
  <c r="SE14" i="15"/>
  <c r="OQ14" i="15"/>
  <c r="LG14" i="15"/>
  <c r="AY14" i="15"/>
  <c r="AI14" i="15"/>
  <c r="RK14" i="15"/>
  <c r="HC14" i="15"/>
  <c r="DS14" i="15"/>
  <c r="MY14" i="15"/>
  <c r="RG14" i="15"/>
  <c r="GY14" i="15"/>
  <c r="DO14" i="15"/>
  <c r="KI14" i="15"/>
  <c r="QI14" i="15"/>
  <c r="NC14" i="15"/>
  <c r="JS14" i="15"/>
  <c r="K14" i="15"/>
  <c r="JO14" i="15"/>
  <c r="PS14" i="15"/>
  <c r="FK14" i="15"/>
  <c r="CA14" i="15"/>
  <c r="IQ14" i="15"/>
  <c r="TW14" i="15"/>
  <c r="CQ14" i="15"/>
  <c r="FG14" i="15"/>
  <c r="BW14" i="15"/>
  <c r="UE23" i="15"/>
  <c r="TK23" i="15"/>
  <c r="SQ23" i="15"/>
  <c r="RW23" i="15"/>
  <c r="RC23" i="15"/>
  <c r="QI23" i="15"/>
  <c r="PO23" i="15"/>
  <c r="OU23" i="15"/>
  <c r="OA23" i="15"/>
  <c r="NG23" i="15"/>
  <c r="MM23" i="15"/>
  <c r="LS23" i="15"/>
  <c r="KY23" i="15"/>
  <c r="KE23" i="15"/>
  <c r="JK23" i="15"/>
  <c r="IQ23" i="15"/>
  <c r="HW23" i="15"/>
  <c r="HC23" i="15"/>
  <c r="GI23" i="15"/>
  <c r="FO23" i="15"/>
  <c r="EU23" i="15"/>
  <c r="EA23" i="15"/>
  <c r="DG23" i="15"/>
  <c r="CM23" i="15"/>
  <c r="BS23" i="15"/>
  <c r="AY23" i="15"/>
  <c r="AE23" i="15"/>
  <c r="K23" i="15"/>
  <c r="UA23" i="15"/>
  <c r="TG23" i="15"/>
  <c r="SM23" i="15"/>
  <c r="RS23" i="15"/>
  <c r="UQ23" i="15"/>
  <c r="TW23" i="15"/>
  <c r="TC23" i="15"/>
  <c r="SI23" i="15"/>
  <c r="RO23" i="15"/>
  <c r="QU23" i="15"/>
  <c r="QA23" i="15"/>
  <c r="PG23" i="15"/>
  <c r="OM23" i="15"/>
  <c r="NS23" i="15"/>
  <c r="MY23" i="15"/>
  <c r="SU23" i="15"/>
  <c r="TS23" i="15"/>
  <c r="PK23" i="15"/>
  <c r="MI23" i="15"/>
  <c r="LK23" i="15"/>
  <c r="KM23" i="15"/>
  <c r="JO23" i="15"/>
  <c r="IM23" i="15"/>
  <c r="HO23" i="15"/>
  <c r="GQ23" i="15"/>
  <c r="FS23" i="15"/>
  <c r="EQ23" i="15"/>
  <c r="DS23" i="15"/>
  <c r="CU23" i="15"/>
  <c r="BW23" i="15"/>
  <c r="AU23" i="15"/>
  <c r="W23" i="15"/>
  <c r="QM23" i="15"/>
  <c r="NK23" i="15"/>
  <c r="RK23" i="15"/>
  <c r="OI23" i="15"/>
  <c r="TO23" i="15"/>
  <c r="ME23" i="15"/>
  <c r="LG23" i="15"/>
  <c r="KI23" i="15"/>
  <c r="JG23" i="15"/>
  <c r="II23" i="15"/>
  <c r="HK23" i="15"/>
  <c r="GM23" i="15"/>
  <c r="FK23" i="15"/>
  <c r="EM23" i="15"/>
  <c r="DO23" i="15"/>
  <c r="CQ23" i="15"/>
  <c r="BO23" i="15"/>
  <c r="AQ23" i="15"/>
  <c r="S23" i="15"/>
  <c r="UM23" i="15"/>
  <c r="RG23" i="15"/>
  <c r="OE23" i="15"/>
  <c r="PC23" i="15"/>
  <c r="UI23" i="15"/>
  <c r="QY23" i="15"/>
  <c r="NW23" i="15"/>
  <c r="OY23" i="15"/>
  <c r="SY23" i="15"/>
  <c r="OQ23" i="15"/>
  <c r="NC23" i="15"/>
  <c r="GU23" i="15"/>
  <c r="QQ23" i="15"/>
  <c r="JW23" i="15"/>
  <c r="DK23" i="15"/>
  <c r="AI23" i="15"/>
  <c r="QE23" i="15"/>
  <c r="JS23" i="15"/>
  <c r="AA23" i="15"/>
  <c r="MU23" i="15"/>
  <c r="GE23" i="15"/>
  <c r="DC23" i="15"/>
  <c r="MQ23" i="15"/>
  <c r="CY23" i="15"/>
  <c r="PW23" i="15"/>
  <c r="JC23" i="15"/>
  <c r="GA23" i="15"/>
  <c r="O23" i="15"/>
  <c r="PS23" i="15"/>
  <c r="FW23" i="15"/>
  <c r="MA23" i="15"/>
  <c r="IY23" i="15"/>
  <c r="CI23" i="15"/>
  <c r="G23" i="15"/>
  <c r="IU23" i="15"/>
  <c r="C23" i="15"/>
  <c r="LW23" i="15"/>
  <c r="FG23" i="15"/>
  <c r="CE23" i="15"/>
  <c r="LO23" i="15"/>
  <c r="CA23" i="15"/>
  <c r="SE23" i="15"/>
  <c r="IE23" i="15"/>
  <c r="FC23" i="15"/>
  <c r="EY23" i="15"/>
  <c r="KU23" i="15"/>
  <c r="EI23" i="15"/>
  <c r="BG23" i="15"/>
  <c r="KQ23" i="15"/>
  <c r="BC23" i="15"/>
  <c r="SA23" i="15"/>
  <c r="EE23" i="15"/>
  <c r="DW23" i="15"/>
  <c r="BK23" i="15"/>
  <c r="NO23" i="15"/>
  <c r="AM23" i="15"/>
  <c r="LC23" i="15"/>
  <c r="IA23" i="15"/>
  <c r="HS23" i="15"/>
  <c r="GY23" i="15"/>
  <c r="KA23" i="15"/>
  <c r="HG23" i="15"/>
  <c r="UM21" i="15"/>
  <c r="TS21" i="15"/>
  <c r="SY21" i="15"/>
  <c r="SE21" i="15"/>
  <c r="RK21" i="15"/>
  <c r="QQ21" i="15"/>
  <c r="PW21" i="15"/>
  <c r="PC21" i="15"/>
  <c r="OI21" i="15"/>
  <c r="NO21" i="15"/>
  <c r="MU21" i="15"/>
  <c r="MA21" i="15"/>
  <c r="LG21" i="15"/>
  <c r="KM21" i="15"/>
  <c r="JS21" i="15"/>
  <c r="IY21" i="15"/>
  <c r="IE21" i="15"/>
  <c r="HK21" i="15"/>
  <c r="GQ21" i="15"/>
  <c r="FW21" i="15"/>
  <c r="FC21" i="15"/>
  <c r="EI21" i="15"/>
  <c r="DO21" i="15"/>
  <c r="CU21" i="15"/>
  <c r="CA21" i="15"/>
  <c r="BG21" i="15"/>
  <c r="AM21" i="15"/>
  <c r="S21" i="15"/>
  <c r="UI21" i="15"/>
  <c r="TK21" i="15"/>
  <c r="SM21" i="15"/>
  <c r="RO21" i="15"/>
  <c r="QM21" i="15"/>
  <c r="PO21" i="15"/>
  <c r="OQ21" i="15"/>
  <c r="NS21" i="15"/>
  <c r="MQ21" i="15"/>
  <c r="LS21" i="15"/>
  <c r="KU21" i="15"/>
  <c r="JW21" i="15"/>
  <c r="IU21" i="15"/>
  <c r="HW21" i="15"/>
  <c r="GY21" i="15"/>
  <c r="GA21" i="15"/>
  <c r="EY21" i="15"/>
  <c r="EA21" i="15"/>
  <c r="DC21" i="15"/>
  <c r="CE21" i="15"/>
  <c r="BC21" i="15"/>
  <c r="AE21" i="15"/>
  <c r="G21" i="15"/>
  <c r="UE21" i="15"/>
  <c r="TG21" i="15"/>
  <c r="SI21" i="15"/>
  <c r="RG21" i="15"/>
  <c r="QI21" i="15"/>
  <c r="PK21" i="15"/>
  <c r="OM21" i="15"/>
  <c r="NK21" i="15"/>
  <c r="MM21" i="15"/>
  <c r="LO21" i="15"/>
  <c r="KQ21" i="15"/>
  <c r="JO21" i="15"/>
  <c r="IQ21" i="15"/>
  <c r="HS21" i="15"/>
  <c r="GU21" i="15"/>
  <c r="FS21" i="15"/>
  <c r="EU21" i="15"/>
  <c r="DW21" i="15"/>
  <c r="CY21" i="15"/>
  <c r="BW21" i="15"/>
  <c r="AY21" i="15"/>
  <c r="AA21" i="15"/>
  <c r="C21" i="15"/>
  <c r="UA21" i="15"/>
  <c r="TC21" i="15"/>
  <c r="SA21" i="15"/>
  <c r="RC21" i="15"/>
  <c r="QE21" i="15"/>
  <c r="PG21" i="15"/>
  <c r="OE21" i="15"/>
  <c r="NG21" i="15"/>
  <c r="MI21" i="15"/>
  <c r="LK21" i="15"/>
  <c r="KI21" i="15"/>
  <c r="JK21" i="15"/>
  <c r="IM21" i="15"/>
  <c r="HO21" i="15"/>
  <c r="GM21" i="15"/>
  <c r="FO21" i="15"/>
  <c r="EQ21" i="15"/>
  <c r="DS21" i="15"/>
  <c r="CQ21" i="15"/>
  <c r="BS21" i="15"/>
  <c r="AU21" i="15"/>
  <c r="W21" i="15"/>
  <c r="TW21" i="15"/>
  <c r="SU21" i="15"/>
  <c r="RW21" i="15"/>
  <c r="QY21" i="15"/>
  <c r="QA21" i="15"/>
  <c r="OY21" i="15"/>
  <c r="OA21" i="15"/>
  <c r="NC21" i="15"/>
  <c r="ME21" i="15"/>
  <c r="LC21" i="15"/>
  <c r="KE21" i="15"/>
  <c r="JG21" i="15"/>
  <c r="II21" i="15"/>
  <c r="HG21" i="15"/>
  <c r="GI21" i="15"/>
  <c r="FK21" i="15"/>
  <c r="EM21" i="15"/>
  <c r="DK21" i="15"/>
  <c r="CM21" i="15"/>
  <c r="BO21" i="15"/>
  <c r="AQ21" i="15"/>
  <c r="O21" i="15"/>
  <c r="UQ21" i="15"/>
  <c r="TO21" i="15"/>
  <c r="SQ21" i="15"/>
  <c r="RS21" i="15"/>
  <c r="QU21" i="15"/>
  <c r="PS21" i="15"/>
  <c r="OU21" i="15"/>
  <c r="NW21" i="15"/>
  <c r="MY21" i="15"/>
  <c r="LW21" i="15"/>
  <c r="KY21" i="15"/>
  <c r="KA21" i="15"/>
  <c r="JC21" i="15"/>
  <c r="IA21" i="15"/>
  <c r="HC21" i="15"/>
  <c r="GE21" i="15"/>
  <c r="FG21" i="15"/>
  <c r="EE21" i="15"/>
  <c r="DG21" i="15"/>
  <c r="CI21" i="15"/>
  <c r="BK21" i="15"/>
  <c r="AI21" i="15"/>
  <c r="K21" i="15"/>
  <c r="UE15" i="15"/>
  <c r="TK15" i="15"/>
  <c r="SQ15" i="15"/>
  <c r="RW15" i="15"/>
  <c r="RC15" i="15"/>
  <c r="QI15" i="15"/>
  <c r="PO15" i="15"/>
  <c r="OU15" i="15"/>
  <c r="OA15" i="15"/>
  <c r="NG15" i="15"/>
  <c r="MM15" i="15"/>
  <c r="LS15" i="15"/>
  <c r="KY15" i="15"/>
  <c r="KE15" i="15"/>
  <c r="JK15" i="15"/>
  <c r="IQ15" i="15"/>
  <c r="HW15" i="15"/>
  <c r="HC15" i="15"/>
  <c r="GI15" i="15"/>
  <c r="FO15" i="15"/>
  <c r="EU15" i="15"/>
  <c r="EA15" i="15"/>
  <c r="DG15" i="15"/>
  <c r="CM15" i="15"/>
  <c r="BS15" i="15"/>
  <c r="AY15" i="15"/>
  <c r="UQ15" i="15"/>
  <c r="TW15" i="15"/>
  <c r="TC15" i="15"/>
  <c r="SI15" i="15"/>
  <c r="RO15" i="15"/>
  <c r="QU15" i="15"/>
  <c r="QA15" i="15"/>
  <c r="PG15" i="15"/>
  <c r="OM15" i="15"/>
  <c r="NS15" i="15"/>
  <c r="MY15" i="15"/>
  <c r="ME15" i="15"/>
  <c r="LK15" i="15"/>
  <c r="KQ15" i="15"/>
  <c r="JW15" i="15"/>
  <c r="JC15" i="15"/>
  <c r="II15" i="15"/>
  <c r="HO15" i="15"/>
  <c r="GU15" i="15"/>
  <c r="GA15" i="15"/>
  <c r="FG15" i="15"/>
  <c r="EM15" i="15"/>
  <c r="DS15" i="15"/>
  <c r="CY15" i="15"/>
  <c r="CE15" i="15"/>
  <c r="BK15" i="15"/>
  <c r="AQ15" i="15"/>
  <c r="W15" i="15"/>
  <c r="TG15" i="15"/>
  <c r="QE15" i="15"/>
  <c r="NC15" i="15"/>
  <c r="KA15" i="15"/>
  <c r="GY15" i="15"/>
  <c r="DW15" i="15"/>
  <c r="AU15" i="15"/>
  <c r="UI15" i="15"/>
  <c r="RG15" i="15"/>
  <c r="OE15" i="15"/>
  <c r="LC15" i="15"/>
  <c r="IA15" i="15"/>
  <c r="EY15" i="15"/>
  <c r="BW15" i="15"/>
  <c r="SE15" i="15"/>
  <c r="PC15" i="15"/>
  <c r="MA15" i="15"/>
  <c r="IY15" i="15"/>
  <c r="FW15" i="15"/>
  <c r="CU15" i="15"/>
  <c r="S15" i="15"/>
  <c r="UA15" i="15"/>
  <c r="QY15" i="15"/>
  <c r="NW15" i="15"/>
  <c r="KU15" i="15"/>
  <c r="HS15" i="15"/>
  <c r="EQ15" i="15"/>
  <c r="BO15" i="15"/>
  <c r="SA15" i="15"/>
  <c r="OY15" i="15"/>
  <c r="LW15" i="15"/>
  <c r="IU15" i="15"/>
  <c r="FS15" i="15"/>
  <c r="CQ15" i="15"/>
  <c r="SY15" i="15"/>
  <c r="PW15" i="15"/>
  <c r="MU15" i="15"/>
  <c r="JS15" i="15"/>
  <c r="GQ15" i="15"/>
  <c r="DO15" i="15"/>
  <c r="AM15" i="15"/>
  <c r="O15" i="15"/>
  <c r="RS15" i="15"/>
  <c r="OQ15" i="15"/>
  <c r="LO15" i="15"/>
  <c r="IM15" i="15"/>
  <c r="FK15" i="15"/>
  <c r="CI15" i="15"/>
  <c r="K15" i="15"/>
  <c r="SU15" i="15"/>
  <c r="PS15" i="15"/>
  <c r="MQ15" i="15"/>
  <c r="JO15" i="15"/>
  <c r="GM15" i="15"/>
  <c r="DK15" i="15"/>
  <c r="AI15" i="15"/>
  <c r="AE15" i="15"/>
  <c r="SM15" i="15"/>
  <c r="PK15" i="15"/>
  <c r="MI15" i="15"/>
  <c r="JG15" i="15"/>
  <c r="GE15" i="15"/>
  <c r="DC15" i="15"/>
  <c r="QQ15" i="15"/>
  <c r="EI15" i="15"/>
  <c r="QM15" i="15"/>
  <c r="EE15" i="15"/>
  <c r="AA15" i="15"/>
  <c r="CA15" i="15"/>
  <c r="UM15" i="15"/>
  <c r="IE15" i="15"/>
  <c r="TS15" i="15"/>
  <c r="HK15" i="15"/>
  <c r="G15" i="15"/>
  <c r="TO15" i="15"/>
  <c r="HG15" i="15"/>
  <c r="C15" i="15"/>
  <c r="OI15" i="15"/>
  <c r="LG15" i="15"/>
  <c r="KM15" i="15"/>
  <c r="KI15" i="15"/>
  <c r="NO15" i="15"/>
  <c r="BG15" i="15"/>
  <c r="NK15" i="15"/>
  <c r="FC15" i="15"/>
  <c r="BC15" i="15"/>
  <c r="RK15" i="15"/>
  <c r="UQ119" i="15"/>
  <c r="TS119" i="15"/>
  <c r="SU119" i="15"/>
  <c r="MM119" i="15"/>
  <c r="GE119" i="15"/>
  <c r="FG119" i="15"/>
  <c r="EI119" i="15"/>
  <c r="DK119" i="15"/>
  <c r="RW119" i="15"/>
  <c r="LO119" i="15"/>
  <c r="KQ119" i="15"/>
  <c r="JS119" i="15"/>
  <c r="IU119" i="15"/>
  <c r="CM119" i="15"/>
  <c r="SQ119" i="15"/>
  <c r="MI119" i="15"/>
  <c r="LK119" i="15"/>
  <c r="KM119" i="15"/>
  <c r="JO119" i="15"/>
  <c r="DG119" i="15"/>
  <c r="SM119" i="15"/>
  <c r="RO119" i="15"/>
  <c r="QQ119" i="15"/>
  <c r="PS119" i="15"/>
  <c r="JK119" i="15"/>
  <c r="DC119" i="15"/>
  <c r="CE119" i="15"/>
  <c r="BG119" i="15"/>
  <c r="AI119" i="15"/>
  <c r="TK119" i="15"/>
  <c r="QA119" i="15"/>
  <c r="MQ119" i="15"/>
  <c r="KI119" i="15"/>
  <c r="JG119" i="15"/>
  <c r="AE119" i="15"/>
  <c r="C119" i="15"/>
  <c r="UM119" i="15"/>
  <c r="OU119" i="15"/>
  <c r="NS119" i="15"/>
  <c r="GY119" i="15"/>
  <c r="FS119" i="15"/>
  <c r="DO119" i="15"/>
  <c r="QY119" i="15"/>
  <c r="NO119" i="15"/>
  <c r="LG119" i="15"/>
  <c r="HW119" i="15"/>
  <c r="AA119" i="15"/>
  <c r="PO119" i="15"/>
  <c r="OM119" i="15"/>
  <c r="ME119" i="15"/>
  <c r="GM119" i="15"/>
  <c r="S119" i="15"/>
  <c r="UI119" i="15"/>
  <c r="SY119" i="15"/>
  <c r="NG119" i="15"/>
  <c r="LW119" i="15"/>
  <c r="JC119" i="15"/>
  <c r="HO119" i="15"/>
  <c r="G119" i="15"/>
  <c r="OQ119" i="15"/>
  <c r="EU119" i="15"/>
  <c r="BW119" i="15"/>
  <c r="AM119" i="15"/>
  <c r="LS119" i="15"/>
  <c r="KE119" i="15"/>
  <c r="GA119" i="15"/>
  <c r="TW119" i="15"/>
  <c r="MU119" i="15"/>
  <c r="IM119" i="15"/>
  <c r="EE119" i="15"/>
  <c r="UE119" i="15"/>
  <c r="OY119" i="15"/>
  <c r="NC119" i="15"/>
  <c r="SI119" i="15"/>
  <c r="QM119" i="15"/>
  <c r="MY119" i="15"/>
  <c r="LC119" i="15"/>
  <c r="AU119" i="15"/>
  <c r="UA119" i="15"/>
  <c r="FC119" i="15"/>
  <c r="CY119" i="15"/>
  <c r="PK119" i="15"/>
  <c r="HC119" i="15"/>
  <c r="AY119" i="15"/>
  <c r="RK119" i="15"/>
  <c r="NK119" i="15"/>
  <c r="KY119" i="15"/>
  <c r="IY119" i="15"/>
  <c r="EY119" i="15"/>
  <c r="CU119" i="15"/>
  <c r="GU119" i="15"/>
  <c r="AQ119" i="15"/>
  <c r="PC119" i="15"/>
  <c r="EQ119" i="15"/>
  <c r="CQ119" i="15"/>
  <c r="TO119" i="15"/>
  <c r="W119" i="15"/>
  <c r="NW119" i="15"/>
  <c r="KU119" i="15"/>
  <c r="FK119" i="15"/>
  <c r="CI119" i="15"/>
  <c r="IE119" i="15"/>
  <c r="O119" i="15"/>
  <c r="TC119" i="15"/>
  <c r="PW119" i="15"/>
  <c r="HS119" i="15"/>
  <c r="K119" i="15"/>
  <c r="TG119" i="15"/>
  <c r="MA119" i="15"/>
  <c r="BO119" i="15"/>
  <c r="PG119" i="15"/>
  <c r="EM119" i="15"/>
  <c r="BK119" i="15"/>
  <c r="II119" i="15"/>
  <c r="IA119" i="15"/>
  <c r="EA119" i="15"/>
  <c r="BC119" i="15"/>
  <c r="QI119" i="15"/>
  <c r="SE119" i="15"/>
  <c r="HG119" i="15"/>
  <c r="SA119" i="15"/>
  <c r="GQ119" i="15"/>
  <c r="RG119" i="15"/>
  <c r="RC119" i="15"/>
  <c r="BS119" i="15"/>
  <c r="GI119" i="15"/>
  <c r="QU119" i="15"/>
  <c r="OI119" i="15"/>
  <c r="OA119" i="15"/>
  <c r="RS119" i="15"/>
  <c r="CA119" i="15"/>
  <c r="QE119" i="15"/>
  <c r="IQ119" i="15"/>
  <c r="HK119" i="15"/>
  <c r="OE119" i="15"/>
  <c r="FW119" i="15"/>
  <c r="DW119" i="15"/>
  <c r="KA119" i="15"/>
  <c r="JW119" i="15"/>
  <c r="FO119" i="15"/>
  <c r="DS119" i="15"/>
  <c r="UI56" i="15"/>
  <c r="TO56" i="15"/>
  <c r="SU56" i="15"/>
  <c r="SA56" i="15"/>
  <c r="RG56" i="15"/>
  <c r="QM56" i="15"/>
  <c r="PS56" i="15"/>
  <c r="OY56" i="15"/>
  <c r="OE56" i="15"/>
  <c r="NK56" i="15"/>
  <c r="MQ56" i="15"/>
  <c r="LW56" i="15"/>
  <c r="LC56" i="15"/>
  <c r="KI56" i="15"/>
  <c r="JO56" i="15"/>
  <c r="IU56" i="15"/>
  <c r="IA56" i="15"/>
  <c r="HG56" i="15"/>
  <c r="GM56" i="15"/>
  <c r="FS56" i="15"/>
  <c r="EY56" i="15"/>
  <c r="EE56" i="15"/>
  <c r="DK56" i="15"/>
  <c r="CQ56" i="15"/>
  <c r="BW56" i="15"/>
  <c r="BC56" i="15"/>
  <c r="AI56" i="15"/>
  <c r="O56" i="15"/>
  <c r="SQ56" i="15"/>
  <c r="PO56" i="15"/>
  <c r="MM56" i="15"/>
  <c r="JK56" i="15"/>
  <c r="GI56" i="15"/>
  <c r="DG56" i="15"/>
  <c r="AE56" i="15"/>
  <c r="TS56" i="15"/>
  <c r="QQ56" i="15"/>
  <c r="NO56" i="15"/>
  <c r="KM56" i="15"/>
  <c r="HK56" i="15"/>
  <c r="EI56" i="15"/>
  <c r="BG56" i="15"/>
  <c r="UQ56" i="15"/>
  <c r="RO56" i="15"/>
  <c r="OM56" i="15"/>
  <c r="LK56" i="15"/>
  <c r="II56" i="15"/>
  <c r="FG56" i="15"/>
  <c r="CE56" i="15"/>
  <c r="C56" i="15"/>
  <c r="SM56" i="15"/>
  <c r="PK56" i="15"/>
  <c r="MI56" i="15"/>
  <c r="JG56" i="15"/>
  <c r="GE56" i="15"/>
  <c r="DC56" i="15"/>
  <c r="AA56" i="15"/>
  <c r="TK56" i="15"/>
  <c r="QI56" i="15"/>
  <c r="NG56" i="15"/>
  <c r="KE56" i="15"/>
  <c r="HC56" i="15"/>
  <c r="EA56" i="15"/>
  <c r="AY56" i="15"/>
  <c r="SI56" i="15"/>
  <c r="PG56" i="15"/>
  <c r="ME56" i="15"/>
  <c r="JC56" i="15"/>
  <c r="GA56" i="15"/>
  <c r="CY56" i="15"/>
  <c r="W56" i="15"/>
  <c r="TG56" i="15"/>
  <c r="QE56" i="15"/>
  <c r="NC56" i="15"/>
  <c r="KA56" i="15"/>
  <c r="GY56" i="15"/>
  <c r="DW56" i="15"/>
  <c r="AU56" i="15"/>
  <c r="UE56" i="15"/>
  <c r="RC56" i="15"/>
  <c r="OA56" i="15"/>
  <c r="KY56" i="15"/>
  <c r="HW56" i="15"/>
  <c r="EU56" i="15"/>
  <c r="BS56" i="15"/>
  <c r="UA56" i="15"/>
  <c r="QY56" i="15"/>
  <c r="NW56" i="15"/>
  <c r="KU56" i="15"/>
  <c r="HS56" i="15"/>
  <c r="EQ56" i="15"/>
  <c r="BO56" i="15"/>
  <c r="RW56" i="15"/>
  <c r="OU56" i="15"/>
  <c r="LS56" i="15"/>
  <c r="IQ56" i="15"/>
  <c r="FO56" i="15"/>
  <c r="CM56" i="15"/>
  <c r="K56" i="15"/>
  <c r="MA56" i="15"/>
  <c r="IY56" i="15"/>
  <c r="UM56" i="15"/>
  <c r="RS56" i="15"/>
  <c r="FW56" i="15"/>
  <c r="RK56" i="15"/>
  <c r="OQ56" i="15"/>
  <c r="CU56" i="15"/>
  <c r="OI56" i="15"/>
  <c r="LO56" i="15"/>
  <c r="S56" i="15"/>
  <c r="LG56" i="15"/>
  <c r="IM56" i="15"/>
  <c r="IE56" i="15"/>
  <c r="FK56" i="15"/>
  <c r="QU56" i="15"/>
  <c r="CA56" i="15"/>
  <c r="G56" i="15"/>
  <c r="NS56" i="15"/>
  <c r="KQ56" i="15"/>
  <c r="PW56" i="15"/>
  <c r="MY56" i="15"/>
  <c r="MU56" i="15"/>
  <c r="JW56" i="15"/>
  <c r="JS56" i="15"/>
  <c r="GU56" i="15"/>
  <c r="QA56" i="15"/>
  <c r="GQ56" i="15"/>
  <c r="PC56" i="15"/>
  <c r="FC56" i="15"/>
  <c r="DS56" i="15"/>
  <c r="TW56" i="15"/>
  <c r="DO56" i="15"/>
  <c r="SE56" i="15"/>
  <c r="BK56" i="15"/>
  <c r="TC56" i="15"/>
  <c r="SY56" i="15"/>
  <c r="HO56" i="15"/>
  <c r="AQ56" i="15"/>
  <c r="AM56" i="15"/>
  <c r="EM56" i="15"/>
  <c r="CI56" i="15"/>
  <c r="TW36" i="15"/>
  <c r="SU36" i="15"/>
  <c r="QU36" i="15"/>
  <c r="PS36" i="15"/>
  <c r="NS36" i="15"/>
  <c r="MQ36" i="15"/>
  <c r="KQ36" i="15"/>
  <c r="JO36" i="15"/>
  <c r="HO36" i="15"/>
  <c r="GM36" i="15"/>
  <c r="EM36" i="15"/>
  <c r="DK36" i="15"/>
  <c r="BK36" i="15"/>
  <c r="AI36" i="15"/>
  <c r="RS36" i="15"/>
  <c r="OQ36" i="15"/>
  <c r="LO36" i="15"/>
  <c r="IM36" i="15"/>
  <c r="FK36" i="15"/>
  <c r="CI36" i="15"/>
  <c r="G36" i="15"/>
  <c r="SQ36" i="15"/>
  <c r="PO36" i="15"/>
  <c r="MM36" i="15"/>
  <c r="JK36" i="15"/>
  <c r="GI36" i="15"/>
  <c r="DG36" i="15"/>
  <c r="AE36" i="15"/>
  <c r="TS36" i="15"/>
  <c r="QQ36" i="15"/>
  <c r="NO36" i="15"/>
  <c r="KM36" i="15"/>
  <c r="HK36" i="15"/>
  <c r="EI36" i="15"/>
  <c r="BG36" i="15"/>
  <c r="UQ36" i="15"/>
  <c r="TO36" i="15"/>
  <c r="RO36" i="15"/>
  <c r="QM36" i="15"/>
  <c r="OM36" i="15"/>
  <c r="NK36" i="15"/>
  <c r="LK36" i="15"/>
  <c r="KI36" i="15"/>
  <c r="II36" i="15"/>
  <c r="UM36" i="15"/>
  <c r="RK36" i="15"/>
  <c r="OI36" i="15"/>
  <c r="LG36" i="15"/>
  <c r="IE36" i="15"/>
  <c r="FC36" i="15"/>
  <c r="CA36" i="15"/>
  <c r="UI36" i="15"/>
  <c r="SI36" i="15"/>
  <c r="RG36" i="15"/>
  <c r="PG36" i="15"/>
  <c r="OE36" i="15"/>
  <c r="ME36" i="15"/>
  <c r="LC36" i="15"/>
  <c r="JC36" i="15"/>
  <c r="IA36" i="15"/>
  <c r="GA36" i="15"/>
  <c r="EY36" i="15"/>
  <c r="CY36" i="15"/>
  <c r="BW36" i="15"/>
  <c r="W36" i="15"/>
  <c r="UE36" i="15"/>
  <c r="RC36" i="15"/>
  <c r="OA36" i="15"/>
  <c r="KY36" i="15"/>
  <c r="TC36" i="15"/>
  <c r="UA36" i="15"/>
  <c r="QY36" i="15"/>
  <c r="NW36" i="15"/>
  <c r="SY36" i="15"/>
  <c r="JS36" i="15"/>
  <c r="CM36" i="15"/>
  <c r="SM36" i="15"/>
  <c r="QA36" i="15"/>
  <c r="JG36" i="15"/>
  <c r="FW36" i="15"/>
  <c r="EA36" i="15"/>
  <c r="NG36" i="15"/>
  <c r="FS36" i="15"/>
  <c r="DW36" i="15"/>
  <c r="AQ36" i="15"/>
  <c r="NC36" i="15"/>
  <c r="HG36" i="15"/>
  <c r="CE36" i="15"/>
  <c r="SE36" i="15"/>
  <c r="PW36" i="15"/>
  <c r="FO36" i="15"/>
  <c r="SA36" i="15"/>
  <c r="PK36" i="15"/>
  <c r="MY36" i="15"/>
  <c r="HC36" i="15"/>
  <c r="RW36" i="15"/>
  <c r="KU36" i="15"/>
  <c r="IY36" i="15"/>
  <c r="GY36" i="15"/>
  <c r="DS36" i="15"/>
  <c r="AM36" i="15"/>
  <c r="IU36" i="15"/>
  <c r="FG36" i="15"/>
  <c r="BS36" i="15"/>
  <c r="PC36" i="15"/>
  <c r="AA36" i="15"/>
  <c r="OY36" i="15"/>
  <c r="MU36" i="15"/>
  <c r="IQ36" i="15"/>
  <c r="OU36" i="15"/>
  <c r="MI36" i="15"/>
  <c r="GU36" i="15"/>
  <c r="DO36" i="15"/>
  <c r="KA36" i="15"/>
  <c r="DC36" i="15"/>
  <c r="S36" i="15"/>
  <c r="MA36" i="15"/>
  <c r="GQ36" i="15"/>
  <c r="O36" i="15"/>
  <c r="TK36" i="15"/>
  <c r="LW36" i="15"/>
  <c r="HW36" i="15"/>
  <c r="EQ36" i="15"/>
  <c r="BC36" i="15"/>
  <c r="TG36" i="15"/>
  <c r="JW36" i="15"/>
  <c r="GE36" i="15"/>
  <c r="K36" i="15"/>
  <c r="QI36" i="15"/>
  <c r="QE36" i="15"/>
  <c r="EU36" i="15"/>
  <c r="EE36" i="15"/>
  <c r="LS36" i="15"/>
  <c r="CU36" i="15"/>
  <c r="CQ36" i="15"/>
  <c r="KE36" i="15"/>
  <c r="BO36" i="15"/>
  <c r="AY36" i="15"/>
  <c r="AU36" i="15"/>
  <c r="HS36" i="15"/>
  <c r="C36" i="15"/>
  <c r="UM7" i="15"/>
  <c r="TS7" i="15"/>
  <c r="SY7" i="15"/>
  <c r="SE7" i="15"/>
  <c r="QM7" i="15"/>
  <c r="NG7" i="15"/>
  <c r="KA7" i="15"/>
  <c r="GU7" i="15"/>
  <c r="EI7" i="15"/>
  <c r="BC7" i="15"/>
  <c r="TW7" i="15"/>
  <c r="RG7" i="15"/>
  <c r="OA7" i="15"/>
  <c r="KU7" i="15"/>
  <c r="HO7" i="15"/>
  <c r="FC7" i="15"/>
  <c r="BW7" i="15"/>
  <c r="PO7" i="15"/>
  <c r="GQ7" i="15"/>
  <c r="AE7" i="15"/>
  <c r="SU7" i="15"/>
  <c r="HK7" i="15"/>
  <c r="AY7" i="15"/>
  <c r="SA7" i="15"/>
  <c r="OU7" i="15"/>
  <c r="LO7" i="15"/>
  <c r="II7" i="15"/>
  <c r="FW7" i="15"/>
  <c r="CQ7" i="15"/>
  <c r="K7" i="15"/>
  <c r="MI7" i="15"/>
  <c r="JC7" i="15"/>
  <c r="DK7" i="15"/>
  <c r="NC7" i="15"/>
  <c r="JW7" i="15"/>
  <c r="EE7" i="15"/>
  <c r="HC7" i="15"/>
  <c r="QI7" i="15"/>
  <c r="AQ7" i="15"/>
  <c r="UQ7" i="15"/>
  <c r="RC7" i="15"/>
  <c r="NW7" i="15"/>
  <c r="KQ7" i="15"/>
  <c r="IE7" i="15"/>
  <c r="EY7" i="15"/>
  <c r="BS7" i="15"/>
  <c r="TO7" i="15"/>
  <c r="OQ7" i="15"/>
  <c r="LK7" i="15"/>
  <c r="IY7" i="15"/>
  <c r="FS7" i="15"/>
  <c r="G7" i="15"/>
  <c r="RW7" i="15"/>
  <c r="CM7" i="15"/>
  <c r="PK7" i="15"/>
  <c r="ME7" i="15"/>
  <c r="JS7" i="15"/>
  <c r="GM7" i="15"/>
  <c r="DG7" i="15"/>
  <c r="AA7" i="15"/>
  <c r="SQ7" i="15"/>
  <c r="QE7" i="15"/>
  <c r="MY7" i="15"/>
  <c r="KM7" i="15"/>
  <c r="HG7" i="15"/>
  <c r="EA7" i="15"/>
  <c r="AU7" i="15"/>
  <c r="UI7" i="15"/>
  <c r="QY7" i="15"/>
  <c r="NS7" i="15"/>
  <c r="LG7" i="15"/>
  <c r="IA7" i="15"/>
  <c r="EU7" i="15"/>
  <c r="BO7" i="15"/>
  <c r="TK7" i="15"/>
  <c r="RS7" i="15"/>
  <c r="OM7" i="15"/>
  <c r="MA7" i="15"/>
  <c r="IU7" i="15"/>
  <c r="FO7" i="15"/>
  <c r="CI7" i="15"/>
  <c r="C7" i="15"/>
  <c r="PG7" i="15"/>
  <c r="MU7" i="15"/>
  <c r="GI7" i="15"/>
  <c r="W7" i="15"/>
  <c r="NO7" i="15"/>
  <c r="KI7" i="15"/>
  <c r="JO7" i="15"/>
  <c r="DC7" i="15"/>
  <c r="SM7" i="15"/>
  <c r="QA7" i="15"/>
  <c r="DW7" i="15"/>
  <c r="PW7" i="15"/>
  <c r="MQ7" i="15"/>
  <c r="JK7" i="15"/>
  <c r="GE7" i="15"/>
  <c r="CY7" i="15"/>
  <c r="AM7" i="15"/>
  <c r="SI7" i="15"/>
  <c r="QQ7" i="15"/>
  <c r="NK7" i="15"/>
  <c r="KE7" i="15"/>
  <c r="GY7" i="15"/>
  <c r="DS7" i="15"/>
  <c r="BG7" i="15"/>
  <c r="UE7" i="15"/>
  <c r="QU7" i="15"/>
  <c r="EM7" i="15"/>
  <c r="UA7" i="15"/>
  <c r="FG7" i="15"/>
  <c r="DO7" i="15"/>
  <c r="AI7" i="15"/>
  <c r="TG7" i="15"/>
  <c r="LS7" i="15"/>
  <c r="S7" i="15"/>
  <c r="HS7" i="15"/>
  <c r="OY7" i="15"/>
  <c r="TC7" i="15"/>
  <c r="CU7" i="15"/>
  <c r="O7" i="15"/>
  <c r="PS7" i="15"/>
  <c r="MM7" i="15"/>
  <c r="JG7" i="15"/>
  <c r="GA7" i="15"/>
  <c r="IM7" i="15"/>
  <c r="RK7" i="15"/>
  <c r="PC7" i="15"/>
  <c r="LW7" i="15"/>
  <c r="IQ7" i="15"/>
  <c r="FK7" i="15"/>
  <c r="CE7" i="15"/>
  <c r="CA7" i="15"/>
  <c r="OI7" i="15"/>
  <c r="LC7" i="15"/>
  <c r="HW7" i="15"/>
  <c r="EQ7" i="15"/>
  <c r="BK7" i="15"/>
  <c r="OE7" i="15"/>
  <c r="RO7" i="15"/>
  <c r="KY7" i="15"/>
  <c r="UI41" i="15"/>
  <c r="TO41" i="15"/>
  <c r="SU41" i="15"/>
  <c r="SA41" i="15"/>
  <c r="RG41" i="15"/>
  <c r="QM41" i="15"/>
  <c r="PS41" i="15"/>
  <c r="OY41" i="15"/>
  <c r="OE41" i="15"/>
  <c r="NK41" i="15"/>
  <c r="MQ41" i="15"/>
  <c r="LW41" i="15"/>
  <c r="LC41" i="15"/>
  <c r="KI41" i="15"/>
  <c r="JO41" i="15"/>
  <c r="IU41" i="15"/>
  <c r="IA41" i="15"/>
  <c r="HG41" i="15"/>
  <c r="GM41" i="15"/>
  <c r="FS41" i="15"/>
  <c r="EY41" i="15"/>
  <c r="EE41" i="15"/>
  <c r="DK41" i="15"/>
  <c r="CQ41" i="15"/>
  <c r="BW41" i="15"/>
  <c r="BC41" i="15"/>
  <c r="AI41" i="15"/>
  <c r="O41" i="15"/>
  <c r="UE41" i="15"/>
  <c r="TK41" i="15"/>
  <c r="SQ41" i="15"/>
  <c r="RW41" i="15"/>
  <c r="RC41" i="15"/>
  <c r="QI41" i="15"/>
  <c r="PO41" i="15"/>
  <c r="OU41" i="15"/>
  <c r="OA41" i="15"/>
  <c r="NG41" i="15"/>
  <c r="MM41" i="15"/>
  <c r="UA41" i="15"/>
  <c r="TG41" i="15"/>
  <c r="SM41" i="15"/>
  <c r="TS41" i="15"/>
  <c r="ME41" i="15"/>
  <c r="IY41" i="15"/>
  <c r="EM41" i="15"/>
  <c r="BG41" i="15"/>
  <c r="OM41" i="15"/>
  <c r="HS41" i="15"/>
  <c r="FO41" i="15"/>
  <c r="AA41" i="15"/>
  <c r="SE41" i="15"/>
  <c r="QU41" i="15"/>
  <c r="JW41" i="15"/>
  <c r="GQ41" i="15"/>
  <c r="CE41" i="15"/>
  <c r="KY41" i="15"/>
  <c r="FK41" i="15"/>
  <c r="DG41" i="15"/>
  <c r="NC41" i="15"/>
  <c r="MA41" i="15"/>
  <c r="HO41" i="15"/>
  <c r="EI41" i="15"/>
  <c r="W41" i="15"/>
  <c r="UQ41" i="15"/>
  <c r="PK41" i="15"/>
  <c r="OI41" i="15"/>
  <c r="KU41" i="15"/>
  <c r="IQ41" i="15"/>
  <c r="DC41" i="15"/>
  <c r="AY41" i="15"/>
  <c r="QQ41" i="15"/>
  <c r="JS41" i="15"/>
  <c r="FG41" i="15"/>
  <c r="CA41" i="15"/>
  <c r="TC41" i="15"/>
  <c r="RS41" i="15"/>
  <c r="MY41" i="15"/>
  <c r="IM41" i="15"/>
  <c r="GI41" i="15"/>
  <c r="AU41" i="15"/>
  <c r="PG41" i="15"/>
  <c r="KQ41" i="15"/>
  <c r="HK41" i="15"/>
  <c r="CY41" i="15"/>
  <c r="S41" i="15"/>
  <c r="RO41" i="15"/>
  <c r="II41" i="15"/>
  <c r="FC41" i="15"/>
  <c r="AQ41" i="15"/>
  <c r="SY41" i="15"/>
  <c r="NW41" i="15"/>
  <c r="MU41" i="15"/>
  <c r="LO41" i="15"/>
  <c r="JK41" i="15"/>
  <c r="DW41" i="15"/>
  <c r="BS41" i="15"/>
  <c r="QA41" i="15"/>
  <c r="GY41" i="15"/>
  <c r="EU41" i="15"/>
  <c r="G41" i="15"/>
  <c r="TW41" i="15"/>
  <c r="JC41" i="15"/>
  <c r="FW41" i="15"/>
  <c r="BK41" i="15"/>
  <c r="SI41" i="15"/>
  <c r="LK41" i="15"/>
  <c r="OQ41" i="15"/>
  <c r="IE41" i="15"/>
  <c r="LG41" i="15"/>
  <c r="BO41" i="15"/>
  <c r="EQ41" i="15"/>
  <c r="HW41" i="15"/>
  <c r="RK41" i="15"/>
  <c r="KM41" i="15"/>
  <c r="UM41" i="15"/>
  <c r="QY41" i="15"/>
  <c r="NO41" i="15"/>
  <c r="KE41" i="15"/>
  <c r="DS41" i="15"/>
  <c r="QE41" i="15"/>
  <c r="KA41" i="15"/>
  <c r="GU41" i="15"/>
  <c r="AM41" i="15"/>
  <c r="GE41" i="15"/>
  <c r="JG41" i="15"/>
  <c r="GA41" i="15"/>
  <c r="AE41" i="15"/>
  <c r="PW41" i="15"/>
  <c r="K41" i="15"/>
  <c r="PC41" i="15"/>
  <c r="LS41" i="15"/>
  <c r="CM41" i="15"/>
  <c r="EA41" i="15"/>
  <c r="NS41" i="15"/>
  <c r="DO41" i="15"/>
  <c r="CU41" i="15"/>
  <c r="MI41" i="15"/>
  <c r="CI41" i="15"/>
  <c r="C41" i="15"/>
  <c r="HC41" i="15"/>
  <c r="UM83" i="15"/>
  <c r="TS83" i="15"/>
  <c r="TC83" i="15"/>
  <c r="SI83" i="15"/>
  <c r="RO83" i="15"/>
  <c r="QU83" i="15"/>
  <c r="QA83" i="15"/>
  <c r="PG83" i="15"/>
  <c r="OM83" i="15"/>
  <c r="NS83" i="15"/>
  <c r="MY83" i="15"/>
  <c r="ME83" i="15"/>
  <c r="LK83" i="15"/>
  <c r="KQ83" i="15"/>
  <c r="JW83" i="15"/>
  <c r="JC83" i="15"/>
  <c r="II83" i="15"/>
  <c r="HO83" i="15"/>
  <c r="GU83" i="15"/>
  <c r="GA83" i="15"/>
  <c r="FG83" i="15"/>
  <c r="EM83" i="15"/>
  <c r="DS83" i="15"/>
  <c r="CY83" i="15"/>
  <c r="CE83" i="15"/>
  <c r="BK83" i="15"/>
  <c r="AQ83" i="15"/>
  <c r="W83" i="15"/>
  <c r="C83" i="15"/>
  <c r="TW83" i="15"/>
  <c r="UQ83" i="15"/>
  <c r="QY83" i="15"/>
  <c r="MM83" i="15"/>
  <c r="JG83" i="15"/>
  <c r="IE83" i="15"/>
  <c r="GE83" i="15"/>
  <c r="FC83" i="15"/>
  <c r="DC83" i="15"/>
  <c r="CA83" i="15"/>
  <c r="AA83" i="15"/>
  <c r="UE83" i="15"/>
  <c r="PS83" i="15"/>
  <c r="NO83" i="15"/>
  <c r="HC83" i="15"/>
  <c r="EA83" i="15"/>
  <c r="AY83" i="15"/>
  <c r="RW83" i="15"/>
  <c r="OQ83" i="15"/>
  <c r="KE83" i="15"/>
  <c r="SY83" i="15"/>
  <c r="NK83" i="15"/>
  <c r="LG83" i="15"/>
  <c r="IA83" i="15"/>
  <c r="EY83" i="15"/>
  <c r="BW83" i="15"/>
  <c r="PO83" i="15"/>
  <c r="MI83" i="15"/>
  <c r="UA83" i="15"/>
  <c r="SU83" i="15"/>
  <c r="QQ83" i="15"/>
  <c r="LC83" i="15"/>
  <c r="IY83" i="15"/>
  <c r="GY83" i="15"/>
  <c r="FW83" i="15"/>
  <c r="DW83" i="15"/>
  <c r="CU83" i="15"/>
  <c r="AU83" i="15"/>
  <c r="S83" i="15"/>
  <c r="RS83" i="15"/>
  <c r="NG83" i="15"/>
  <c r="KA83" i="15"/>
  <c r="HW83" i="15"/>
  <c r="EU83" i="15"/>
  <c r="BS83" i="15"/>
  <c r="OE83" i="15"/>
  <c r="MA83" i="15"/>
  <c r="SM83" i="15"/>
  <c r="OA83" i="15"/>
  <c r="KU83" i="15"/>
  <c r="RG83" i="15"/>
  <c r="PC83" i="15"/>
  <c r="JO83" i="15"/>
  <c r="GM83" i="15"/>
  <c r="DK83" i="15"/>
  <c r="AI83" i="15"/>
  <c r="TK83" i="15"/>
  <c r="QE83" i="15"/>
  <c r="LS83" i="15"/>
  <c r="OY83" i="15"/>
  <c r="MU83" i="15"/>
  <c r="IM83" i="15"/>
  <c r="HK83" i="15"/>
  <c r="FK83" i="15"/>
  <c r="SE83" i="15"/>
  <c r="MQ83" i="15"/>
  <c r="NC83" i="15"/>
  <c r="KI83" i="15"/>
  <c r="CQ83" i="15"/>
  <c r="TG83" i="15"/>
  <c r="CM83" i="15"/>
  <c r="AE83" i="15"/>
  <c r="PW83" i="15"/>
  <c r="HG83" i="15"/>
  <c r="EQ83" i="15"/>
  <c r="CI83" i="15"/>
  <c r="SQ83" i="15"/>
  <c r="JS83" i="15"/>
  <c r="PK83" i="15"/>
  <c r="JK83" i="15"/>
  <c r="EI83" i="15"/>
  <c r="LW83" i="15"/>
  <c r="EE83" i="15"/>
  <c r="SA83" i="15"/>
  <c r="OU83" i="15"/>
  <c r="GI83" i="15"/>
  <c r="K83" i="15"/>
  <c r="IU83" i="15"/>
  <c r="BO83" i="15"/>
  <c r="OI83" i="15"/>
  <c r="LO83" i="15"/>
  <c r="G83" i="15"/>
  <c r="UI83" i="15"/>
  <c r="RC83" i="15"/>
  <c r="KY83" i="15"/>
  <c r="FS83" i="15"/>
  <c r="NW83" i="15"/>
  <c r="DG83" i="15"/>
  <c r="BC83" i="15"/>
  <c r="DO83" i="15"/>
  <c r="TO83" i="15"/>
  <c r="KM83" i="15"/>
  <c r="RK83" i="15"/>
  <c r="IQ83" i="15"/>
  <c r="QM83" i="15"/>
  <c r="GQ83" i="15"/>
  <c r="AM83" i="15"/>
  <c r="O83" i="15"/>
  <c r="FO83" i="15"/>
  <c r="QI83" i="15"/>
  <c r="BG83" i="15"/>
  <c r="HS83" i="15"/>
  <c r="UE5" i="15"/>
  <c r="TK5" i="15"/>
  <c r="SQ5" i="15"/>
  <c r="RW5" i="15"/>
  <c r="RC5" i="15"/>
  <c r="QI5" i="15"/>
  <c r="PO5" i="15"/>
  <c r="OU5" i="15"/>
  <c r="PK5" i="15"/>
  <c r="NS5" i="15"/>
  <c r="JC5" i="15"/>
  <c r="EM5" i="15"/>
  <c r="AQ5" i="15"/>
  <c r="LG5" i="15"/>
  <c r="QE5" i="15"/>
  <c r="OM5" i="15"/>
  <c r="LK5" i="15"/>
  <c r="JW5" i="15"/>
  <c r="GU5" i="15"/>
  <c r="GA5" i="15"/>
  <c r="CY5" i="15"/>
  <c r="BK5" i="15"/>
  <c r="C5" i="15"/>
  <c r="JS5" i="15"/>
  <c r="GQ5" i="15"/>
  <c r="CU5" i="15"/>
  <c r="QY5" i="15"/>
  <c r="RS5" i="15"/>
  <c r="MY5" i="15"/>
  <c r="KQ5" i="15"/>
  <c r="HO5" i="15"/>
  <c r="FG5" i="15"/>
  <c r="CE5" i="15"/>
  <c r="W5" i="15"/>
  <c r="SM5" i="15"/>
  <c r="RO5" i="15"/>
  <c r="MA5" i="15"/>
  <c r="HK5" i="15"/>
  <c r="DO5" i="15"/>
  <c r="S5" i="15"/>
  <c r="PC5" i="15"/>
  <c r="ME5" i="15"/>
  <c r="II5" i="15"/>
  <c r="DS5" i="15"/>
  <c r="PG5" i="15"/>
  <c r="NO5" i="15"/>
  <c r="AM5" i="15"/>
  <c r="KM5" i="15"/>
  <c r="CA5" i="15"/>
  <c r="TG5" i="15"/>
  <c r="QA5" i="15"/>
  <c r="UA5" i="15"/>
  <c r="QU5" i="15"/>
  <c r="MU5" i="15"/>
  <c r="IE5" i="15"/>
  <c r="FC5" i="15"/>
  <c r="BG5" i="15"/>
  <c r="SE5" i="15"/>
  <c r="IY5" i="15"/>
  <c r="EI5" i="15"/>
  <c r="OI5" i="15"/>
  <c r="FW5" i="15"/>
  <c r="SI5" i="15"/>
  <c r="TC5" i="15"/>
  <c r="PW5" i="15"/>
  <c r="TW5" i="15"/>
  <c r="QQ5" i="15"/>
  <c r="RK5" i="15"/>
  <c r="OE5" i="15"/>
  <c r="MQ5" i="15"/>
  <c r="LC5" i="15"/>
  <c r="KI5" i="15"/>
  <c r="IU5" i="15"/>
  <c r="IA5" i="15"/>
  <c r="GM5" i="15"/>
  <c r="FS5" i="15"/>
  <c r="EE5" i="15"/>
  <c r="DK5" i="15"/>
  <c r="BW5" i="15"/>
  <c r="BC5" i="15"/>
  <c r="O5" i="15"/>
  <c r="OY5" i="15"/>
  <c r="UQ5" i="15"/>
  <c r="NK5" i="15"/>
  <c r="LW5" i="15"/>
  <c r="JO5" i="15"/>
  <c r="HG5" i="15"/>
  <c r="EY5" i="15"/>
  <c r="CQ5" i="15"/>
  <c r="AI5" i="15"/>
  <c r="UM5" i="15"/>
  <c r="RG5" i="15"/>
  <c r="OA5" i="15"/>
  <c r="NG5" i="15"/>
  <c r="MM5" i="15"/>
  <c r="LS5" i="15"/>
  <c r="KY5" i="15"/>
  <c r="KE5" i="15"/>
  <c r="JK5" i="15"/>
  <c r="IQ5" i="15"/>
  <c r="HW5" i="15"/>
  <c r="HC5" i="15"/>
  <c r="GI5" i="15"/>
  <c r="FO5" i="15"/>
  <c r="EU5" i="15"/>
  <c r="EA5" i="15"/>
  <c r="DG5" i="15"/>
  <c r="CM5" i="15"/>
  <c r="BS5" i="15"/>
  <c r="AY5" i="15"/>
  <c r="SA5" i="15"/>
  <c r="DC5" i="15"/>
  <c r="IM5" i="15"/>
  <c r="MI5" i="15"/>
  <c r="AE5" i="15"/>
  <c r="LO5" i="15"/>
  <c r="FK5" i="15"/>
  <c r="TS5" i="15"/>
  <c r="KA5" i="15"/>
  <c r="AU5" i="15"/>
  <c r="JG5" i="15"/>
  <c r="OQ5" i="15"/>
  <c r="BO5" i="15"/>
  <c r="GE5" i="15"/>
  <c r="CI5" i="15"/>
  <c r="TO5" i="15"/>
  <c r="AA5" i="15"/>
  <c r="EQ5" i="15"/>
  <c r="G5" i="15"/>
  <c r="NC5" i="15"/>
  <c r="DW5" i="15"/>
  <c r="K5" i="15"/>
  <c r="HS5" i="15"/>
  <c r="GY5" i="15"/>
  <c r="UI5" i="15"/>
  <c r="NW5" i="15"/>
  <c r="KU5" i="15"/>
  <c r="SU5" i="15"/>
  <c r="QM5" i="15"/>
  <c r="SY5" i="15"/>
  <c r="PS5" i="15"/>
  <c r="UA96" i="15"/>
  <c r="TW96" i="15"/>
  <c r="TC96" i="15"/>
  <c r="SI96" i="15"/>
  <c r="RO96" i="15"/>
  <c r="QU96" i="15"/>
  <c r="QA96" i="15"/>
  <c r="PG96" i="15"/>
  <c r="OM96" i="15"/>
  <c r="NS96" i="15"/>
  <c r="MY96" i="15"/>
  <c r="KU96" i="15"/>
  <c r="IA96" i="15"/>
  <c r="FK96" i="15"/>
  <c r="CU96" i="15"/>
  <c r="BC96" i="15"/>
  <c r="K96" i="15"/>
  <c r="HC96" i="15"/>
  <c r="EM96" i="15"/>
  <c r="TG96" i="15"/>
  <c r="SE96" i="15"/>
  <c r="RG96" i="15"/>
  <c r="QI96" i="15"/>
  <c r="PK96" i="15"/>
  <c r="OI96" i="15"/>
  <c r="NK96" i="15"/>
  <c r="MM96" i="15"/>
  <c r="KQ96" i="15"/>
  <c r="JS96" i="15"/>
  <c r="GE96" i="15"/>
  <c r="DO96" i="15"/>
  <c r="BW96" i="15"/>
  <c r="AE96" i="15"/>
  <c r="UE96" i="15"/>
  <c r="LO96" i="15"/>
  <c r="IU96" i="15"/>
  <c r="FG96" i="15"/>
  <c r="HW96" i="15"/>
  <c r="EI96" i="15"/>
  <c r="CQ96" i="15"/>
  <c r="AY96" i="15"/>
  <c r="LK96" i="15"/>
  <c r="KM96" i="15"/>
  <c r="GY96" i="15"/>
  <c r="GA96" i="15"/>
  <c r="SY96" i="15"/>
  <c r="SA96" i="15"/>
  <c r="RC96" i="15"/>
  <c r="QE96" i="15"/>
  <c r="PC96" i="15"/>
  <c r="OE96" i="15"/>
  <c r="NG96" i="15"/>
  <c r="MI96" i="15"/>
  <c r="JO96" i="15"/>
  <c r="FC96" i="15"/>
  <c r="DK96" i="15"/>
  <c r="BS96" i="15"/>
  <c r="AA96" i="15"/>
  <c r="IQ96" i="15"/>
  <c r="GU96" i="15"/>
  <c r="C96" i="15"/>
  <c r="ME96" i="15"/>
  <c r="LG96" i="15"/>
  <c r="HS96" i="15"/>
  <c r="KI96" i="15"/>
  <c r="W96" i="15"/>
  <c r="NC96" i="15"/>
  <c r="JK96" i="15"/>
  <c r="HO96" i="15"/>
  <c r="BK96" i="15"/>
  <c r="RK96" i="15"/>
  <c r="OY96" i="15"/>
  <c r="FW96" i="15"/>
  <c r="EQ96" i="15"/>
  <c r="LC96" i="15"/>
  <c r="CY96" i="15"/>
  <c r="S96" i="15"/>
  <c r="TK96" i="15"/>
  <c r="QY96" i="15"/>
  <c r="HK96" i="15"/>
  <c r="EE96" i="15"/>
  <c r="BG96" i="15"/>
  <c r="OU96" i="15"/>
  <c r="MU96" i="15"/>
  <c r="JG96" i="15"/>
  <c r="FS96" i="15"/>
  <c r="SU96" i="15"/>
  <c r="CM96" i="15"/>
  <c r="QQ96" i="15"/>
  <c r="KY96" i="15"/>
  <c r="JC96" i="15"/>
  <c r="EA96" i="15"/>
  <c r="O96" i="15"/>
  <c r="HG96" i="15"/>
  <c r="AU96" i="15"/>
  <c r="IY96" i="15"/>
  <c r="AQ96" i="15"/>
  <c r="QM96" i="15"/>
  <c r="OA96" i="15"/>
  <c r="DW96" i="15"/>
  <c r="G96" i="15"/>
  <c r="SM96" i="15"/>
  <c r="PW96" i="15"/>
  <c r="AM96" i="15"/>
  <c r="KE96" i="15"/>
  <c r="II96" i="15"/>
  <c r="EY96" i="15"/>
  <c r="DS96" i="15"/>
  <c r="PS96" i="15"/>
  <c r="LS96" i="15"/>
  <c r="GM96" i="15"/>
  <c r="DC96" i="15"/>
  <c r="UQ96" i="15"/>
  <c r="CI96" i="15"/>
  <c r="UM96" i="15"/>
  <c r="CE96" i="15"/>
  <c r="CA96" i="15"/>
  <c r="UI96" i="15"/>
  <c r="PO96" i="15"/>
  <c r="GI96" i="15"/>
  <c r="TS96" i="15"/>
  <c r="OQ96" i="15"/>
  <c r="FO96" i="15"/>
  <c r="NW96" i="15"/>
  <c r="TO96" i="15"/>
  <c r="JW96" i="15"/>
  <c r="SQ96" i="15"/>
  <c r="IM96" i="15"/>
  <c r="EU96" i="15"/>
  <c r="RW96" i="15"/>
  <c r="NO96" i="15"/>
  <c r="RS96" i="15"/>
  <c r="DG96" i="15"/>
  <c r="MQ96" i="15"/>
  <c r="BO96" i="15"/>
  <c r="LW96" i="15"/>
  <c r="AI96" i="15"/>
  <c r="IE96" i="15"/>
  <c r="MA96" i="15"/>
  <c r="GQ96" i="15"/>
  <c r="KA96" i="15"/>
  <c r="TK98" i="15"/>
  <c r="PW98" i="15"/>
  <c r="NC98" i="15"/>
  <c r="KI98" i="15"/>
  <c r="GU98" i="15"/>
  <c r="FC98" i="15"/>
  <c r="EE98" i="15"/>
  <c r="CM98" i="15"/>
  <c r="AU98" i="15"/>
  <c r="SM98" i="15"/>
  <c r="PS98" i="15"/>
  <c r="ME98" i="15"/>
  <c r="JK98" i="15"/>
  <c r="RO98" i="15"/>
  <c r="OU98" i="15"/>
  <c r="LG98" i="15"/>
  <c r="IM98" i="15"/>
  <c r="FW98" i="15"/>
  <c r="EY98" i="15"/>
  <c r="DG98" i="15"/>
  <c r="BO98" i="15"/>
  <c r="C98" i="15"/>
  <c r="UE98" i="15"/>
  <c r="QQ98" i="15"/>
  <c r="NW98" i="15"/>
  <c r="LC98" i="15"/>
  <c r="TG98" i="15"/>
  <c r="QM98" i="15"/>
  <c r="SI98" i="15"/>
  <c r="PO98" i="15"/>
  <c r="MA98" i="15"/>
  <c r="JG98" i="15"/>
  <c r="RK98" i="15"/>
  <c r="OQ98" i="15"/>
  <c r="LW98" i="15"/>
  <c r="II98" i="15"/>
  <c r="GM98" i="15"/>
  <c r="EU98" i="15"/>
  <c r="DC98" i="15"/>
  <c r="BK98" i="15"/>
  <c r="TC98" i="15"/>
  <c r="QI98" i="15"/>
  <c r="SA98" i="15"/>
  <c r="OM98" i="15"/>
  <c r="LS98" i="15"/>
  <c r="IE98" i="15"/>
  <c r="TW98" i="15"/>
  <c r="MI98" i="15"/>
  <c r="KU98" i="15"/>
  <c r="JO98" i="15"/>
  <c r="SE98" i="15"/>
  <c r="QU98" i="15"/>
  <c r="NO98" i="15"/>
  <c r="EQ98" i="15"/>
  <c r="BG98" i="15"/>
  <c r="AE98" i="15"/>
  <c r="PC98" i="15"/>
  <c r="NK98" i="15"/>
  <c r="IA98" i="15"/>
  <c r="GY98" i="15"/>
  <c r="FS98" i="15"/>
  <c r="DO98" i="15"/>
  <c r="CI98" i="15"/>
  <c r="OY98" i="15"/>
  <c r="BC98" i="15"/>
  <c r="TS98" i="15"/>
  <c r="KQ98" i="15"/>
  <c r="FO98" i="15"/>
  <c r="DK98" i="15"/>
  <c r="CE98" i="15"/>
  <c r="TO98" i="15"/>
  <c r="RW98" i="15"/>
  <c r="QE98" i="15"/>
  <c r="EM98" i="15"/>
  <c r="AA98" i="15"/>
  <c r="NG98" i="15"/>
  <c r="HW98" i="15"/>
  <c r="W98" i="15"/>
  <c r="JC98" i="15"/>
  <c r="GQ98" i="15"/>
  <c r="AY98" i="15"/>
  <c r="KM98" i="15"/>
  <c r="FK98" i="15"/>
  <c r="CA98" i="15"/>
  <c r="S98" i="15"/>
  <c r="RS98" i="15"/>
  <c r="QA98" i="15"/>
  <c r="EI98" i="15"/>
  <c r="RG98" i="15"/>
  <c r="OI98" i="15"/>
  <c r="IU98" i="15"/>
  <c r="HO98" i="15"/>
  <c r="GI98" i="15"/>
  <c r="CY98" i="15"/>
  <c r="O98" i="15"/>
  <c r="UQ98" i="15"/>
  <c r="SY98" i="15"/>
  <c r="OE98" i="15"/>
  <c r="MU98" i="15"/>
  <c r="KA98" i="15"/>
  <c r="FG98" i="15"/>
  <c r="EA98" i="15"/>
  <c r="AQ98" i="15"/>
  <c r="RC98" i="15"/>
  <c r="NS98" i="15"/>
  <c r="HC98" i="15"/>
  <c r="DW98" i="15"/>
  <c r="JW98" i="15"/>
  <c r="MY98" i="15"/>
  <c r="QY98" i="15"/>
  <c r="MQ98" i="15"/>
  <c r="DS98" i="15"/>
  <c r="AM98" i="15"/>
  <c r="JS98" i="15"/>
  <c r="GE98" i="15"/>
  <c r="UM98" i="15"/>
  <c r="MM98" i="15"/>
  <c r="IY98" i="15"/>
  <c r="UA98" i="15"/>
  <c r="PK98" i="15"/>
  <c r="IQ98" i="15"/>
  <c r="GA98" i="15"/>
  <c r="CU98" i="15"/>
  <c r="SU98" i="15"/>
  <c r="CQ98" i="15"/>
  <c r="PG98" i="15"/>
  <c r="LK98" i="15"/>
  <c r="UI98" i="15"/>
  <c r="KY98" i="15"/>
  <c r="KE98" i="15"/>
  <c r="BW98" i="15"/>
  <c r="SQ98" i="15"/>
  <c r="HS98" i="15"/>
  <c r="HK98" i="15"/>
  <c r="AI98" i="15"/>
  <c r="HG98" i="15"/>
  <c r="K98" i="15"/>
  <c r="LO98" i="15"/>
  <c r="BS98" i="15"/>
  <c r="OA98" i="15"/>
  <c r="G98" i="15"/>
  <c r="UM26" i="15"/>
  <c r="TS26" i="15"/>
  <c r="SY26" i="15"/>
  <c r="SE26" i="15"/>
  <c r="UE26" i="15"/>
  <c r="SM26" i="15"/>
  <c r="QA26" i="15"/>
  <c r="MU26" i="15"/>
  <c r="KI26" i="15"/>
  <c r="HC26" i="15"/>
  <c r="DW26" i="15"/>
  <c r="AQ26" i="15"/>
  <c r="QU26" i="15"/>
  <c r="NO26" i="15"/>
  <c r="LC26" i="15"/>
  <c r="HW26" i="15"/>
  <c r="EQ26" i="15"/>
  <c r="BK26" i="15"/>
  <c r="TG26" i="15"/>
  <c r="RO26" i="15"/>
  <c r="OI26" i="15"/>
  <c r="LW26" i="15"/>
  <c r="IQ26" i="15"/>
  <c r="FK26" i="15"/>
  <c r="CE26" i="15"/>
  <c r="PC26" i="15"/>
  <c r="MQ26" i="15"/>
  <c r="JK26" i="15"/>
  <c r="GE26" i="15"/>
  <c r="CY26" i="15"/>
  <c r="S26" i="15"/>
  <c r="UA26" i="15"/>
  <c r="SI26" i="15"/>
  <c r="PW26" i="15"/>
  <c r="NK26" i="15"/>
  <c r="KE26" i="15"/>
  <c r="GY26" i="15"/>
  <c r="DS26" i="15"/>
  <c r="AM26" i="15"/>
  <c r="QQ26" i="15"/>
  <c r="OE26" i="15"/>
  <c r="KY26" i="15"/>
  <c r="HS26" i="15"/>
  <c r="EM26" i="15"/>
  <c r="BG26" i="15"/>
  <c r="TC26" i="15"/>
  <c r="RK26" i="15"/>
  <c r="OY26" i="15"/>
  <c r="LS26" i="15"/>
  <c r="IM26" i="15"/>
  <c r="FG26" i="15"/>
  <c r="CA26" i="15"/>
  <c r="O26" i="15"/>
  <c r="PS26" i="15"/>
  <c r="MM26" i="15"/>
  <c r="JG26" i="15"/>
  <c r="GA26" i="15"/>
  <c r="CU26" i="15"/>
  <c r="AI26" i="15"/>
  <c r="TW26" i="15"/>
  <c r="QM26" i="15"/>
  <c r="NG26" i="15"/>
  <c r="KA26" i="15"/>
  <c r="GU26" i="15"/>
  <c r="DO26" i="15"/>
  <c r="BC26" i="15"/>
  <c r="RG26" i="15"/>
  <c r="OA26" i="15"/>
  <c r="KU26" i="15"/>
  <c r="HO26" i="15"/>
  <c r="EI26" i="15"/>
  <c r="BW26" i="15"/>
  <c r="UQ26" i="15"/>
  <c r="SA26" i="15"/>
  <c r="OU26" i="15"/>
  <c r="LO26" i="15"/>
  <c r="II26" i="15"/>
  <c r="FC26" i="15"/>
  <c r="CQ26" i="15"/>
  <c r="K26" i="15"/>
  <c r="SU26" i="15"/>
  <c r="QI26" i="15"/>
  <c r="NC26" i="15"/>
  <c r="JW26" i="15"/>
  <c r="GQ26" i="15"/>
  <c r="EE26" i="15"/>
  <c r="AY26" i="15"/>
  <c r="RC26" i="15"/>
  <c r="NW26" i="15"/>
  <c r="KQ26" i="15"/>
  <c r="HK26" i="15"/>
  <c r="EY26" i="15"/>
  <c r="BS26" i="15"/>
  <c r="TO26" i="15"/>
  <c r="RW26" i="15"/>
  <c r="OQ26" i="15"/>
  <c r="LK26" i="15"/>
  <c r="IE26" i="15"/>
  <c r="FS26" i="15"/>
  <c r="CM26" i="15"/>
  <c r="G26" i="15"/>
  <c r="PK26" i="15"/>
  <c r="ME26" i="15"/>
  <c r="IY26" i="15"/>
  <c r="GM26" i="15"/>
  <c r="DG26" i="15"/>
  <c r="AA26" i="15"/>
  <c r="UI26" i="15"/>
  <c r="SQ26" i="15"/>
  <c r="QE26" i="15"/>
  <c r="MY26" i="15"/>
  <c r="JS26" i="15"/>
  <c r="HG26" i="15"/>
  <c r="EA26" i="15"/>
  <c r="AU26" i="15"/>
  <c r="FW26" i="15"/>
  <c r="NS26" i="15"/>
  <c r="BO26" i="15"/>
  <c r="RS26" i="15"/>
  <c r="FO26" i="15"/>
  <c r="JO26" i="15"/>
  <c r="JC26" i="15"/>
  <c r="QY26" i="15"/>
  <c r="EU26" i="15"/>
  <c r="IU26" i="15"/>
  <c r="MI26" i="15"/>
  <c r="AE26" i="15"/>
  <c r="IA26" i="15"/>
  <c r="PO26" i="15"/>
  <c r="DK26" i="15"/>
  <c r="PG26" i="15"/>
  <c r="DC26" i="15"/>
  <c r="KM26" i="15"/>
  <c r="CI26" i="15"/>
  <c r="OM26" i="15"/>
  <c r="W26" i="15"/>
  <c r="C26" i="15"/>
  <c r="MA26" i="15"/>
  <c r="LG26" i="15"/>
  <c r="TK26" i="15"/>
  <c r="GI26" i="15"/>
  <c r="SU6" i="15"/>
  <c r="PO6" i="15"/>
  <c r="MI6" i="15"/>
  <c r="JW6" i="15"/>
  <c r="GQ6" i="15"/>
  <c r="DK6" i="15"/>
  <c r="AE6" i="15"/>
  <c r="SQ6" i="15"/>
  <c r="JS6" i="15"/>
  <c r="MU6" i="15"/>
  <c r="DS6" i="15"/>
  <c r="TO6" i="15"/>
  <c r="QI6" i="15"/>
  <c r="NC6" i="15"/>
  <c r="KQ6" i="15"/>
  <c r="HK6" i="15"/>
  <c r="EE6" i="15"/>
  <c r="AY6" i="15"/>
  <c r="ME6" i="15"/>
  <c r="IY6" i="15"/>
  <c r="G6" i="15"/>
  <c r="PK6" i="15"/>
  <c r="AA6" i="15"/>
  <c r="W6" i="15"/>
  <c r="GI6" i="15"/>
  <c r="UI6" i="15"/>
  <c r="RC6" i="15"/>
  <c r="NW6" i="15"/>
  <c r="LK6" i="15"/>
  <c r="IE6" i="15"/>
  <c r="EY6" i="15"/>
  <c r="BS6" i="15"/>
  <c r="RW6" i="15"/>
  <c r="FS6" i="15"/>
  <c r="CM6" i="15"/>
  <c r="RS6" i="15"/>
  <c r="OQ6" i="15"/>
  <c r="GM6" i="15"/>
  <c r="PG6" i="15"/>
  <c r="MY6" i="15"/>
  <c r="DG6" i="15"/>
  <c r="TK6" i="15"/>
  <c r="QE6" i="15"/>
  <c r="NS6" i="15"/>
  <c r="KM6" i="15"/>
  <c r="HG6" i="15"/>
  <c r="EA6" i="15"/>
  <c r="AU6" i="15"/>
  <c r="QY6" i="15"/>
  <c r="LG6" i="15"/>
  <c r="IA6" i="15"/>
  <c r="BO6" i="15"/>
  <c r="FO6" i="15"/>
  <c r="AQ6" i="15"/>
  <c r="UE6" i="15"/>
  <c r="OM6" i="15"/>
  <c r="EU6" i="15"/>
  <c r="C6" i="15"/>
  <c r="CI6" i="15"/>
  <c r="DC6" i="15"/>
  <c r="GE6" i="15"/>
  <c r="MA6" i="15"/>
  <c r="IU6" i="15"/>
  <c r="SM6" i="15"/>
  <c r="AM6" i="15"/>
  <c r="QA6" i="15"/>
  <c r="JO6" i="15"/>
  <c r="TG6" i="15"/>
  <c r="QU6" i="15"/>
  <c r="NO6" i="15"/>
  <c r="KI6" i="15"/>
  <c r="HC6" i="15"/>
  <c r="DW6" i="15"/>
  <c r="BK6" i="15"/>
  <c r="UA6" i="15"/>
  <c r="RO6" i="15"/>
  <c r="OI6" i="15"/>
  <c r="LC6" i="15"/>
  <c r="HW6" i="15"/>
  <c r="EQ6" i="15"/>
  <c r="CE6" i="15"/>
  <c r="SI6" i="15"/>
  <c r="PC6" i="15"/>
  <c r="IQ6" i="15"/>
  <c r="FK6" i="15"/>
  <c r="CY6" i="15"/>
  <c r="S6" i="15"/>
  <c r="TC6" i="15"/>
  <c r="PW6" i="15"/>
  <c r="JK6" i="15"/>
  <c r="LW6" i="15"/>
  <c r="MQ6" i="15"/>
  <c r="SE6" i="15"/>
  <c r="OY6" i="15"/>
  <c r="LS6" i="15"/>
  <c r="IM6" i="15"/>
  <c r="GA6" i="15"/>
  <c r="CU6" i="15"/>
  <c r="O6" i="15"/>
  <c r="SY6" i="15"/>
  <c r="PS6" i="15"/>
  <c r="MM6" i="15"/>
  <c r="JG6" i="15"/>
  <c r="GU6" i="15"/>
  <c r="DO6" i="15"/>
  <c r="AI6" i="15"/>
  <c r="CQ6" i="15"/>
  <c r="FW6" i="15"/>
  <c r="KY6" i="15"/>
  <c r="K6" i="15"/>
  <c r="FG6" i="15"/>
  <c r="QM6" i="15"/>
  <c r="UM6" i="15"/>
  <c r="JC6" i="15"/>
  <c r="CA6" i="15"/>
  <c r="OE6" i="15"/>
  <c r="TS6" i="15"/>
  <c r="BG6" i="15"/>
  <c r="BC6" i="15"/>
  <c r="OA6" i="15"/>
  <c r="EM6" i="15"/>
  <c r="KA6" i="15"/>
  <c r="II6" i="15"/>
  <c r="FC6" i="15"/>
  <c r="BW6" i="15"/>
  <c r="RK6" i="15"/>
  <c r="KU6" i="15"/>
  <c r="NG6" i="15"/>
  <c r="SA6" i="15"/>
  <c r="OU6" i="15"/>
  <c r="LO6" i="15"/>
  <c r="HS6" i="15"/>
  <c r="UQ6" i="15"/>
  <c r="RG6" i="15"/>
  <c r="HO6" i="15"/>
  <c r="EI6" i="15"/>
  <c r="TW6" i="15"/>
  <c r="QQ6" i="15"/>
  <c r="NK6" i="15"/>
  <c r="KE6" i="15"/>
  <c r="GY6" i="15"/>
  <c r="UI108" i="15"/>
  <c r="TO108" i="15"/>
  <c r="SU108" i="15"/>
  <c r="SA108" i="15"/>
  <c r="RG108" i="15"/>
  <c r="QM108" i="15"/>
  <c r="PS108" i="15"/>
  <c r="OY108" i="15"/>
  <c r="OE108" i="15"/>
  <c r="NK108" i="15"/>
  <c r="MQ108" i="15"/>
  <c r="LW108" i="15"/>
  <c r="LC108" i="15"/>
  <c r="KI108" i="15"/>
  <c r="JO108" i="15"/>
  <c r="IU108" i="15"/>
  <c r="IA108" i="15"/>
  <c r="HG108" i="15"/>
  <c r="GM108" i="15"/>
  <c r="FS108" i="15"/>
  <c r="EY108" i="15"/>
  <c r="EE108" i="15"/>
  <c r="DK108" i="15"/>
  <c r="CQ108" i="15"/>
  <c r="BW108" i="15"/>
  <c r="BC108" i="15"/>
  <c r="AI108" i="15"/>
  <c r="O108" i="15"/>
  <c r="TG108" i="15"/>
  <c r="RO108" i="15"/>
  <c r="PW108" i="15"/>
  <c r="NG108" i="15"/>
  <c r="LO108" i="15"/>
  <c r="JW108" i="15"/>
  <c r="IE108" i="15"/>
  <c r="FO108" i="15"/>
  <c r="DW108" i="15"/>
  <c r="CE108" i="15"/>
  <c r="AM108" i="15"/>
  <c r="TC108" i="15"/>
  <c r="RK108" i="15"/>
  <c r="OU108" i="15"/>
  <c r="NC108" i="15"/>
  <c r="LK108" i="15"/>
  <c r="JS108" i="15"/>
  <c r="HC108" i="15"/>
  <c r="FK108" i="15"/>
  <c r="DS108" i="15"/>
  <c r="CA108" i="15"/>
  <c r="K108" i="15"/>
  <c r="IY108" i="15"/>
  <c r="EQ108" i="15"/>
  <c r="UQ108" i="15"/>
  <c r="QI108" i="15"/>
  <c r="OI108" i="15"/>
  <c r="KA108" i="15"/>
  <c r="GU108" i="15"/>
  <c r="DO108" i="15"/>
  <c r="CM108" i="15"/>
  <c r="G108" i="15"/>
  <c r="UM108" i="15"/>
  <c r="TK108" i="15"/>
  <c r="QE108" i="15"/>
  <c r="MY108" i="15"/>
  <c r="IQ108" i="15"/>
  <c r="GQ108" i="15"/>
  <c r="CI108" i="15"/>
  <c r="C108" i="15"/>
  <c r="QA108" i="15"/>
  <c r="MU108" i="15"/>
  <c r="LS108" i="15"/>
  <c r="IM108" i="15"/>
  <c r="FG108" i="15"/>
  <c r="AY108" i="15"/>
  <c r="JC108" i="15"/>
  <c r="EU108" i="15"/>
  <c r="GA108" i="15"/>
  <c r="EM108" i="15"/>
  <c r="BS108" i="15"/>
  <c r="AE108" i="15"/>
  <c r="UE108" i="15"/>
  <c r="HK108" i="15"/>
  <c r="DC108" i="15"/>
  <c r="UA108" i="15"/>
  <c r="OM108" i="15"/>
  <c r="KE108" i="15"/>
  <c r="CY108" i="15"/>
  <c r="RC108" i="15"/>
  <c r="EI108" i="15"/>
  <c r="AA108" i="15"/>
  <c r="SQ108" i="15"/>
  <c r="FW108" i="15"/>
  <c r="BO108" i="15"/>
  <c r="TW108" i="15"/>
  <c r="SM108" i="15"/>
  <c r="PO108" i="15"/>
  <c r="CU108" i="15"/>
  <c r="BK108" i="15"/>
  <c r="SI108" i="15"/>
  <c r="QY108" i="15"/>
  <c r="OA108" i="15"/>
  <c r="LG108" i="15"/>
  <c r="GY108" i="15"/>
  <c r="SE108" i="15"/>
  <c r="NW108" i="15"/>
  <c r="II108" i="15"/>
  <c r="EA108" i="15"/>
  <c r="TS108" i="15"/>
  <c r="ME108" i="15"/>
  <c r="MA108" i="15"/>
  <c r="JG108" i="15"/>
  <c r="GI108" i="15"/>
  <c r="RS108" i="15"/>
  <c r="GE108" i="15"/>
  <c r="MM108" i="15"/>
  <c r="MI108" i="15"/>
  <c r="PK108" i="15"/>
  <c r="FC108" i="15"/>
  <c r="PG108" i="15"/>
  <c r="OQ108" i="15"/>
  <c r="AU108" i="15"/>
  <c r="KU108" i="15"/>
  <c r="KQ108" i="15"/>
  <c r="HO108" i="15"/>
  <c r="KM108" i="15"/>
  <c r="AQ108" i="15"/>
  <c r="SY108" i="15"/>
  <c r="KY108" i="15"/>
  <c r="RW108" i="15"/>
  <c r="QU108" i="15"/>
  <c r="QQ108" i="15"/>
  <c r="DG108" i="15"/>
  <c r="JK108" i="15"/>
  <c r="HW108" i="15"/>
  <c r="HS108" i="15"/>
  <c r="BG108" i="15"/>
  <c r="PC108" i="15"/>
  <c r="NS108" i="15"/>
  <c r="NO108" i="15"/>
  <c r="W108" i="15"/>
  <c r="S108" i="15"/>
  <c r="UQ90" i="15"/>
  <c r="TW90" i="15"/>
  <c r="TC90" i="15"/>
  <c r="SI90" i="15"/>
  <c r="RO90" i="15"/>
  <c r="QU90" i="15"/>
  <c r="QA90" i="15"/>
  <c r="PG90" i="15"/>
  <c r="OM90" i="15"/>
  <c r="NS90" i="15"/>
  <c r="MY90" i="15"/>
  <c r="ME90" i="15"/>
  <c r="SU90" i="15"/>
  <c r="PS90" i="15"/>
  <c r="MQ90" i="15"/>
  <c r="JW90" i="15"/>
  <c r="HC90" i="15"/>
  <c r="AU90" i="15"/>
  <c r="GE90" i="15"/>
  <c r="EI90" i="15"/>
  <c r="DK90" i="15"/>
  <c r="W90" i="15"/>
  <c r="JS90" i="15"/>
  <c r="IU90" i="15"/>
  <c r="FG90" i="15"/>
  <c r="CM90" i="15"/>
  <c r="TS90" i="15"/>
  <c r="RS90" i="15"/>
  <c r="QQ90" i="15"/>
  <c r="OQ90" i="15"/>
  <c r="NO90" i="15"/>
  <c r="LO90" i="15"/>
  <c r="KQ90" i="15"/>
  <c r="HW90" i="15"/>
  <c r="BO90" i="15"/>
  <c r="S90" i="15"/>
  <c r="SQ90" i="15"/>
  <c r="PO90" i="15"/>
  <c r="MM90" i="15"/>
  <c r="GY90" i="15"/>
  <c r="FC90" i="15"/>
  <c r="EE90" i="15"/>
  <c r="AQ90" i="15"/>
  <c r="TO90" i="15"/>
  <c r="QM90" i="15"/>
  <c r="NK90" i="15"/>
  <c r="KM90" i="15"/>
  <c r="JO90" i="15"/>
  <c r="GA90" i="15"/>
  <c r="DG90" i="15"/>
  <c r="IQ90" i="15"/>
  <c r="CI90" i="15"/>
  <c r="AM90" i="15"/>
  <c r="O90" i="15"/>
  <c r="UM90" i="15"/>
  <c r="SM90" i="15"/>
  <c r="RK90" i="15"/>
  <c r="PK90" i="15"/>
  <c r="OI90" i="15"/>
  <c r="MI90" i="15"/>
  <c r="KI90" i="15"/>
  <c r="GU90" i="15"/>
  <c r="EA90" i="15"/>
  <c r="TK90" i="15"/>
  <c r="QI90" i="15"/>
  <c r="NG90" i="15"/>
  <c r="LG90" i="15"/>
  <c r="JK90" i="15"/>
  <c r="DC90" i="15"/>
  <c r="UI90" i="15"/>
  <c r="RG90" i="15"/>
  <c r="OE90" i="15"/>
  <c r="IM90" i="15"/>
  <c r="GQ90" i="15"/>
  <c r="FS90" i="15"/>
  <c r="CE90" i="15"/>
  <c r="K90" i="15"/>
  <c r="UE90" i="15"/>
  <c r="OA90" i="15"/>
  <c r="II90" i="15"/>
  <c r="CY90" i="15"/>
  <c r="AA90" i="15"/>
  <c r="SA90" i="15"/>
  <c r="LW90" i="15"/>
  <c r="EQ90" i="15"/>
  <c r="BG90" i="15"/>
  <c r="KA90" i="15"/>
  <c r="IE90" i="15"/>
  <c r="CU90" i="15"/>
  <c r="GI90" i="15"/>
  <c r="BC90" i="15"/>
  <c r="UA90" i="15"/>
  <c r="PW90" i="15"/>
  <c r="NW90" i="15"/>
  <c r="RW90" i="15"/>
  <c r="LS90" i="15"/>
  <c r="IA90" i="15"/>
  <c r="EM90" i="15"/>
  <c r="CQ90" i="15"/>
  <c r="LK90" i="15"/>
  <c r="HS90" i="15"/>
  <c r="FW90" i="15"/>
  <c r="DW90" i="15"/>
  <c r="TG90" i="15"/>
  <c r="PC90" i="15"/>
  <c r="NC90" i="15"/>
  <c r="JG90" i="15"/>
  <c r="HK90" i="15"/>
  <c r="G90" i="15"/>
  <c r="RC90" i="15"/>
  <c r="FO90" i="15"/>
  <c r="SY90" i="15"/>
  <c r="QY90" i="15"/>
  <c r="MU90" i="15"/>
  <c r="FK90" i="15"/>
  <c r="DO90" i="15"/>
  <c r="BW90" i="15"/>
  <c r="OU90" i="15"/>
  <c r="KU90" i="15"/>
  <c r="IY90" i="15"/>
  <c r="EU90" i="15"/>
  <c r="JC90" i="15"/>
  <c r="DS90" i="15"/>
  <c r="C90" i="15"/>
  <c r="HO90" i="15"/>
  <c r="HG90" i="15"/>
  <c r="CA90" i="15"/>
  <c r="SE90" i="15"/>
  <c r="MA90" i="15"/>
  <c r="LC90" i="15"/>
  <c r="GM90" i="15"/>
  <c r="BS90" i="15"/>
  <c r="KY90" i="15"/>
  <c r="BK90" i="15"/>
  <c r="AY90" i="15"/>
  <c r="QE90" i="15"/>
  <c r="KE90" i="15"/>
  <c r="EY90" i="15"/>
  <c r="AI90" i="15"/>
  <c r="OY90" i="15"/>
  <c r="AE90" i="15"/>
  <c r="UM109" i="15"/>
  <c r="UE109" i="15"/>
  <c r="TK109" i="15"/>
  <c r="SQ109" i="15"/>
  <c r="RW109" i="15"/>
  <c r="RC109" i="15"/>
  <c r="QI109" i="15"/>
  <c r="PO109" i="15"/>
  <c r="OU109" i="15"/>
  <c r="OA109" i="15"/>
  <c r="NG109" i="15"/>
  <c r="MM109" i="15"/>
  <c r="LS109" i="15"/>
  <c r="KY109" i="15"/>
  <c r="KE109" i="15"/>
  <c r="JK109" i="15"/>
  <c r="IQ109" i="15"/>
  <c r="HW109" i="15"/>
  <c r="HC109" i="15"/>
  <c r="GI109" i="15"/>
  <c r="FO109" i="15"/>
  <c r="EU109" i="15"/>
  <c r="EA109" i="15"/>
  <c r="DG109" i="15"/>
  <c r="CM109" i="15"/>
  <c r="BS109" i="15"/>
  <c r="AY109" i="15"/>
  <c r="AE109" i="15"/>
  <c r="K109" i="15"/>
  <c r="UA109" i="15"/>
  <c r="TG109" i="15"/>
  <c r="SM109" i="15"/>
  <c r="RS109" i="15"/>
  <c r="QY109" i="15"/>
  <c r="QE109" i="15"/>
  <c r="PK109" i="15"/>
  <c r="OQ109" i="15"/>
  <c r="NW109" i="15"/>
  <c r="NC109" i="15"/>
  <c r="MI109" i="15"/>
  <c r="LO109" i="15"/>
  <c r="KU109" i="15"/>
  <c r="KA109" i="15"/>
  <c r="JG109" i="15"/>
  <c r="IM109" i="15"/>
  <c r="HS109" i="15"/>
  <c r="GY109" i="15"/>
  <c r="GE109" i="15"/>
  <c r="FK109" i="15"/>
  <c r="EQ109" i="15"/>
  <c r="DW109" i="15"/>
  <c r="DC109" i="15"/>
  <c r="CI109" i="15"/>
  <c r="BO109" i="15"/>
  <c r="TW109" i="15"/>
  <c r="TC109" i="15"/>
  <c r="SI109" i="15"/>
  <c r="RO109" i="15"/>
  <c r="QU109" i="15"/>
  <c r="QA109" i="15"/>
  <c r="PG109" i="15"/>
  <c r="OM109" i="15"/>
  <c r="NS109" i="15"/>
  <c r="MY109" i="15"/>
  <c r="ME109" i="15"/>
  <c r="LK109" i="15"/>
  <c r="KQ109" i="15"/>
  <c r="JW109" i="15"/>
  <c r="JC109" i="15"/>
  <c r="II109" i="15"/>
  <c r="HO109" i="15"/>
  <c r="GU109" i="15"/>
  <c r="GA109" i="15"/>
  <c r="FG109" i="15"/>
  <c r="EM109" i="15"/>
  <c r="DS109" i="15"/>
  <c r="CY109" i="15"/>
  <c r="CE109" i="15"/>
  <c r="BK109" i="15"/>
  <c r="AQ109" i="15"/>
  <c r="W109" i="15"/>
  <c r="C109" i="15"/>
  <c r="UI109" i="15"/>
  <c r="RK109" i="15"/>
  <c r="QM109" i="15"/>
  <c r="NO109" i="15"/>
  <c r="MQ109" i="15"/>
  <c r="JS109" i="15"/>
  <c r="IU109" i="15"/>
  <c r="FW109" i="15"/>
  <c r="EY109" i="15"/>
  <c r="CA109" i="15"/>
  <c r="BC109" i="15"/>
  <c r="G109" i="15"/>
  <c r="SE109" i="15"/>
  <c r="RG109" i="15"/>
  <c r="OI109" i="15"/>
  <c r="NK109" i="15"/>
  <c r="KM109" i="15"/>
  <c r="JO109" i="15"/>
  <c r="GQ109" i="15"/>
  <c r="FS109" i="15"/>
  <c r="CU109" i="15"/>
  <c r="BW109" i="15"/>
  <c r="SA109" i="15"/>
  <c r="PS109" i="15"/>
  <c r="MA109" i="15"/>
  <c r="HG109" i="15"/>
  <c r="DO109" i="15"/>
  <c r="BG109" i="15"/>
  <c r="AA109" i="15"/>
  <c r="SY109" i="15"/>
  <c r="QQ109" i="15"/>
  <c r="OE109" i="15"/>
  <c r="LW109" i="15"/>
  <c r="IE109" i="15"/>
  <c r="DK109" i="15"/>
  <c r="SU109" i="15"/>
  <c r="PC109" i="15"/>
  <c r="MU109" i="15"/>
  <c r="KI109" i="15"/>
  <c r="IA109" i="15"/>
  <c r="EI109" i="15"/>
  <c r="PW109" i="15"/>
  <c r="LC109" i="15"/>
  <c r="UQ109" i="15"/>
  <c r="S109" i="15"/>
  <c r="O109" i="15"/>
  <c r="HK109" i="15"/>
  <c r="CQ109" i="15"/>
  <c r="IY109" i="15"/>
  <c r="EE109" i="15"/>
  <c r="AU109" i="15"/>
  <c r="GM109" i="15"/>
  <c r="TS109" i="15"/>
  <c r="OY109" i="15"/>
  <c r="LG109" i="15"/>
  <c r="TO109" i="15"/>
  <c r="FC109" i="15"/>
  <c r="AM109" i="15"/>
  <c r="AI109" i="15"/>
  <c r="UI50" i="15"/>
  <c r="RC50" i="15"/>
  <c r="PW50" i="15"/>
  <c r="MQ50" i="15"/>
  <c r="JK50" i="15"/>
  <c r="IE50" i="15"/>
  <c r="EY50" i="15"/>
  <c r="BS50" i="15"/>
  <c r="AM50" i="15"/>
  <c r="TC50" i="15"/>
  <c r="QY50" i="15"/>
  <c r="LK50" i="15"/>
  <c r="JG50" i="15"/>
  <c r="DS50" i="15"/>
  <c r="BO50" i="15"/>
  <c r="SA50" i="15"/>
  <c r="OU50" i="15"/>
  <c r="NO50" i="15"/>
  <c r="KI50" i="15"/>
  <c r="HC50" i="15"/>
  <c r="FW50" i="15"/>
  <c r="CQ50" i="15"/>
  <c r="K50" i="15"/>
  <c r="QU50" i="15"/>
  <c r="OQ50" i="15"/>
  <c r="JC50" i="15"/>
  <c r="GY50" i="15"/>
  <c r="BK50" i="15"/>
  <c r="G50" i="15"/>
  <c r="UE50" i="15"/>
  <c r="SY50" i="15"/>
  <c r="PS50" i="15"/>
  <c r="MM50" i="15"/>
  <c r="LG50" i="15"/>
  <c r="IA50" i="15"/>
  <c r="EU50" i="15"/>
  <c r="DO50" i="15"/>
  <c r="AI50" i="15"/>
  <c r="UA50" i="15"/>
  <c r="OM50" i="15"/>
  <c r="MI50" i="15"/>
  <c r="GU50" i="15"/>
  <c r="EQ50" i="15"/>
  <c r="C50" i="15"/>
  <c r="RW50" i="15"/>
  <c r="QQ50" i="15"/>
  <c r="NK50" i="15"/>
  <c r="KE50" i="15"/>
  <c r="IY50" i="15"/>
  <c r="FS50" i="15"/>
  <c r="CM50" i="15"/>
  <c r="BG50" i="15"/>
  <c r="SU50" i="15"/>
  <c r="PO50" i="15"/>
  <c r="OI50" i="15"/>
  <c r="LC50" i="15"/>
  <c r="HW50" i="15"/>
  <c r="GQ50" i="15"/>
  <c r="DK50" i="15"/>
  <c r="AE50" i="15"/>
  <c r="RO50" i="15"/>
  <c r="PK50" i="15"/>
  <c r="JW50" i="15"/>
  <c r="HS50" i="15"/>
  <c r="CE50" i="15"/>
  <c r="AA50" i="15"/>
  <c r="TS50" i="15"/>
  <c r="QM50" i="15"/>
  <c r="NG50" i="15"/>
  <c r="MA50" i="15"/>
  <c r="IU50" i="15"/>
  <c r="FO50" i="15"/>
  <c r="EI50" i="15"/>
  <c r="BC50" i="15"/>
  <c r="TO50" i="15"/>
  <c r="QI50" i="15"/>
  <c r="PC50" i="15"/>
  <c r="LW50" i="15"/>
  <c r="IQ50" i="15"/>
  <c r="HK50" i="15"/>
  <c r="EE50" i="15"/>
  <c r="AY50" i="15"/>
  <c r="S50" i="15"/>
  <c r="SI50" i="15"/>
  <c r="QE50" i="15"/>
  <c r="KQ50" i="15"/>
  <c r="IM50" i="15"/>
  <c r="CY50" i="15"/>
  <c r="AU50" i="15"/>
  <c r="UM50" i="15"/>
  <c r="RG50" i="15"/>
  <c r="OA50" i="15"/>
  <c r="MU50" i="15"/>
  <c r="JO50" i="15"/>
  <c r="GI50" i="15"/>
  <c r="FC50" i="15"/>
  <c r="BW50" i="15"/>
  <c r="SQ50" i="15"/>
  <c r="PG50" i="15"/>
  <c r="ME50" i="15"/>
  <c r="SM50" i="15"/>
  <c r="GA50" i="15"/>
  <c r="CU50" i="15"/>
  <c r="O50" i="15"/>
  <c r="SE50" i="15"/>
  <c r="FK50" i="15"/>
  <c r="CI50" i="15"/>
  <c r="OY50" i="15"/>
  <c r="RS50" i="15"/>
  <c r="LS50" i="15"/>
  <c r="II50" i="15"/>
  <c r="FG50" i="15"/>
  <c r="CA50" i="15"/>
  <c r="LO50" i="15"/>
  <c r="OE50" i="15"/>
  <c r="KY50" i="15"/>
  <c r="HO50" i="15"/>
  <c r="EM50" i="15"/>
  <c r="NW50" i="15"/>
  <c r="KU50" i="15"/>
  <c r="TW50" i="15"/>
  <c r="NC50" i="15"/>
  <c r="KA50" i="15"/>
  <c r="EA50" i="15"/>
  <c r="AQ50" i="15"/>
  <c r="DW50" i="15"/>
  <c r="TK50" i="15"/>
  <c r="QA50" i="15"/>
  <c r="MY50" i="15"/>
  <c r="JS50" i="15"/>
  <c r="RK50" i="15"/>
  <c r="HG50" i="15"/>
  <c r="GM50" i="15"/>
  <c r="GE50" i="15"/>
  <c r="NS50" i="15"/>
  <c r="DG50" i="15"/>
  <c r="UQ50" i="15"/>
  <c r="TG50" i="15"/>
  <c r="KM50" i="15"/>
  <c r="DC50" i="15"/>
  <c r="W50" i="15"/>
  <c r="UA72" i="15"/>
  <c r="TG72" i="15"/>
  <c r="SM72" i="15"/>
  <c r="RS72" i="15"/>
  <c r="QY72" i="15"/>
  <c r="QE72" i="15"/>
  <c r="PK72" i="15"/>
  <c r="OQ72" i="15"/>
  <c r="NW72" i="15"/>
  <c r="NC72" i="15"/>
  <c r="MI72" i="15"/>
  <c r="LO72" i="15"/>
  <c r="KU72" i="15"/>
  <c r="KA72" i="15"/>
  <c r="JG72" i="15"/>
  <c r="IM72" i="15"/>
  <c r="HS72" i="15"/>
  <c r="GY72" i="15"/>
  <c r="GE72" i="15"/>
  <c r="FK72" i="15"/>
  <c r="EQ72" i="15"/>
  <c r="CE72" i="15"/>
  <c r="TC72" i="15"/>
  <c r="RK72" i="15"/>
  <c r="PS72" i="15"/>
  <c r="OA72" i="15"/>
  <c r="LK72" i="15"/>
  <c r="JS72" i="15"/>
  <c r="IA72" i="15"/>
  <c r="GI72" i="15"/>
  <c r="CY72" i="15"/>
  <c r="S72" i="15"/>
  <c r="DS72" i="15"/>
  <c r="AM72" i="15"/>
  <c r="TW72" i="15"/>
  <c r="SE72" i="15"/>
  <c r="QM72" i="15"/>
  <c r="OU72" i="15"/>
  <c r="ME72" i="15"/>
  <c r="KM72" i="15"/>
  <c r="IU72" i="15"/>
  <c r="HC72" i="15"/>
  <c r="EM72" i="15"/>
  <c r="BG72" i="15"/>
  <c r="UQ72" i="15"/>
  <c r="SY72" i="15"/>
  <c r="UM72" i="15"/>
  <c r="SU72" i="15"/>
  <c r="RC72" i="15"/>
  <c r="OM72" i="15"/>
  <c r="MU72" i="15"/>
  <c r="LC72" i="15"/>
  <c r="JK72" i="15"/>
  <c r="GU72" i="15"/>
  <c r="FC72" i="15"/>
  <c r="CQ72" i="15"/>
  <c r="K72" i="15"/>
  <c r="DK72" i="15"/>
  <c r="AE72" i="15"/>
  <c r="FO72" i="15"/>
  <c r="BW72" i="15"/>
  <c r="LW72" i="15"/>
  <c r="GQ72" i="15"/>
  <c r="FG72" i="15"/>
  <c r="PW72" i="15"/>
  <c r="KQ72" i="15"/>
  <c r="HW72" i="15"/>
  <c r="BS72" i="15"/>
  <c r="AQ72" i="15"/>
  <c r="TS72" i="15"/>
  <c r="NG72" i="15"/>
  <c r="EA72" i="15"/>
  <c r="CU72" i="15"/>
  <c r="OI72" i="15"/>
  <c r="MY72" i="15"/>
  <c r="JC72" i="15"/>
  <c r="G72" i="15"/>
  <c r="TO72" i="15"/>
  <c r="SI72" i="15"/>
  <c r="PO72" i="15"/>
  <c r="LS72" i="15"/>
  <c r="KI72" i="15"/>
  <c r="GM72" i="15"/>
  <c r="BO72" i="15"/>
  <c r="HO72" i="15"/>
  <c r="DW72" i="15"/>
  <c r="AI72" i="15"/>
  <c r="QU72" i="15"/>
  <c r="KE72" i="15"/>
  <c r="EY72" i="15"/>
  <c r="SA72" i="15"/>
  <c r="OE72" i="15"/>
  <c r="IY72" i="15"/>
  <c r="C72" i="15"/>
  <c r="TK72" i="15"/>
  <c r="PG72" i="15"/>
  <c r="CM72" i="15"/>
  <c r="BK72" i="15"/>
  <c r="RW72" i="15"/>
  <c r="MQ72" i="15"/>
  <c r="LG72" i="15"/>
  <c r="HK72" i="15"/>
  <c r="GA72" i="15"/>
  <c r="DO72" i="15"/>
  <c r="QQ72" i="15"/>
  <c r="IQ72" i="15"/>
  <c r="EU72" i="15"/>
  <c r="AA72" i="15"/>
  <c r="QI72" i="15"/>
  <c r="MM72" i="15"/>
  <c r="HG72" i="15"/>
  <c r="UI72" i="15"/>
  <c r="NO72" i="15"/>
  <c r="II72" i="15"/>
  <c r="AY72" i="15"/>
  <c r="W72" i="15"/>
  <c r="RO72" i="15"/>
  <c r="MA72" i="15"/>
  <c r="O72" i="15"/>
  <c r="DC72" i="15"/>
  <c r="QA72" i="15"/>
  <c r="KY72" i="15"/>
  <c r="CI72" i="15"/>
  <c r="FW72" i="15"/>
  <c r="CA72" i="15"/>
  <c r="PC72" i="15"/>
  <c r="OY72" i="15"/>
  <c r="FS72" i="15"/>
  <c r="JW72" i="15"/>
  <c r="UE72" i="15"/>
  <c r="JO72" i="15"/>
  <c r="BC72" i="15"/>
  <c r="NS72" i="15"/>
  <c r="EE72" i="15"/>
  <c r="IE72" i="15"/>
  <c r="DG72" i="15"/>
  <c r="AU72" i="15"/>
  <c r="SQ72" i="15"/>
  <c r="NK72" i="15"/>
  <c r="EI72" i="15"/>
  <c r="RG72" i="15"/>
  <c r="SM84" i="15"/>
  <c r="QU84" i="15"/>
  <c r="NO84" i="15"/>
  <c r="KI84" i="15"/>
  <c r="HW84" i="15"/>
  <c r="EQ84" i="15"/>
  <c r="BK84" i="15"/>
  <c r="UE84" i="15"/>
  <c r="OI84" i="15"/>
  <c r="LC84" i="15"/>
  <c r="IQ84" i="15"/>
  <c r="FK84" i="15"/>
  <c r="CE84" i="15"/>
  <c r="TG84" i="15"/>
  <c r="RO84" i="15"/>
  <c r="PC84" i="15"/>
  <c r="LW84" i="15"/>
  <c r="JK84" i="15"/>
  <c r="GE84" i="15"/>
  <c r="CY84" i="15"/>
  <c r="S84" i="15"/>
  <c r="PW84" i="15"/>
  <c r="MQ84" i="15"/>
  <c r="KE84" i="15"/>
  <c r="UA84" i="15"/>
  <c r="SI84" i="15"/>
  <c r="QQ84" i="15"/>
  <c r="NK84" i="15"/>
  <c r="KY84" i="15"/>
  <c r="HS84" i="15"/>
  <c r="OE84" i="15"/>
  <c r="LS84" i="15"/>
  <c r="IM84" i="15"/>
  <c r="FG84" i="15"/>
  <c r="CA84" i="15"/>
  <c r="TC84" i="15"/>
  <c r="RK84" i="15"/>
  <c r="OY84" i="15"/>
  <c r="MM84" i="15"/>
  <c r="JG84" i="15"/>
  <c r="GA84" i="15"/>
  <c r="CU84" i="15"/>
  <c r="O84" i="15"/>
  <c r="TW84" i="15"/>
  <c r="SE84" i="15"/>
  <c r="QM84" i="15"/>
  <c r="OA84" i="15"/>
  <c r="UQ84" i="15"/>
  <c r="SY84" i="15"/>
  <c r="RG84" i="15"/>
  <c r="PO84" i="15"/>
  <c r="MI84" i="15"/>
  <c r="JC84" i="15"/>
  <c r="FW84" i="15"/>
  <c r="CQ84" i="15"/>
  <c r="AE84" i="15"/>
  <c r="QA84" i="15"/>
  <c r="OM84" i="15"/>
  <c r="LO84" i="15"/>
  <c r="AU84" i="15"/>
  <c r="PS84" i="15"/>
  <c r="MY84" i="15"/>
  <c r="IY84" i="15"/>
  <c r="EE84" i="15"/>
  <c r="DC84" i="15"/>
  <c r="BW84" i="15"/>
  <c r="KA84" i="15"/>
  <c r="HO84" i="15"/>
  <c r="GM84" i="15"/>
  <c r="UM84" i="15"/>
  <c r="SU84" i="15"/>
  <c r="RC84" i="15"/>
  <c r="LK84" i="15"/>
  <c r="BS84" i="15"/>
  <c r="K84" i="15"/>
  <c r="EA84" i="15"/>
  <c r="AQ84" i="15"/>
  <c r="MU84" i="15"/>
  <c r="JW84" i="15"/>
  <c r="IU84" i="15"/>
  <c r="HK84" i="15"/>
  <c r="GI84" i="15"/>
  <c r="FC84" i="15"/>
  <c r="AM84" i="15"/>
  <c r="EY84" i="15"/>
  <c r="DW84" i="15"/>
  <c r="TS84" i="15"/>
  <c r="SA84" i="15"/>
  <c r="KU84" i="15"/>
  <c r="EU84" i="15"/>
  <c r="DO84" i="15"/>
  <c r="QI84" i="15"/>
  <c r="ME84" i="15"/>
  <c r="HC84" i="15"/>
  <c r="BG84" i="15"/>
  <c r="OU84" i="15"/>
  <c r="JO84" i="15"/>
  <c r="IE84" i="15"/>
  <c r="GY84" i="15"/>
  <c r="AA84" i="15"/>
  <c r="RW84" i="15"/>
  <c r="NG84" i="15"/>
  <c r="KQ84" i="15"/>
  <c r="DK84" i="15"/>
  <c r="CI84" i="15"/>
  <c r="BC84" i="15"/>
  <c r="QE84" i="15"/>
  <c r="OQ84" i="15"/>
  <c r="MA84" i="15"/>
  <c r="EM84" i="15"/>
  <c r="AY84" i="15"/>
  <c r="LG84" i="15"/>
  <c r="EI84" i="15"/>
  <c r="TO84" i="15"/>
  <c r="PG84" i="15"/>
  <c r="HG84" i="15"/>
  <c r="TK84" i="15"/>
  <c r="DS84" i="15"/>
  <c r="AI84" i="15"/>
  <c r="SQ84" i="15"/>
  <c r="GU84" i="15"/>
  <c r="NW84" i="15"/>
  <c r="KM84" i="15"/>
  <c r="GQ84" i="15"/>
  <c r="DG84" i="15"/>
  <c r="NS84" i="15"/>
  <c r="JS84" i="15"/>
  <c r="RS84" i="15"/>
  <c r="G84" i="15"/>
  <c r="NC84" i="15"/>
  <c r="QY84" i="15"/>
  <c r="FS84" i="15"/>
  <c r="CM84" i="15"/>
  <c r="C84" i="15"/>
  <c r="II84" i="15"/>
  <c r="UI84" i="15"/>
  <c r="IA84" i="15"/>
  <c r="BO84" i="15"/>
  <c r="W84" i="15"/>
  <c r="PK84" i="15"/>
  <c r="FO84" i="15"/>
  <c r="UM58" i="15"/>
  <c r="TS58" i="15"/>
  <c r="SY58" i="15"/>
  <c r="SE58" i="15"/>
  <c r="RK58" i="15"/>
  <c r="QQ58" i="15"/>
  <c r="PW58" i="15"/>
  <c r="PC58" i="15"/>
  <c r="OI58" i="15"/>
  <c r="NO58" i="15"/>
  <c r="MU58" i="15"/>
  <c r="MA58" i="15"/>
  <c r="LG58" i="15"/>
  <c r="KM58" i="15"/>
  <c r="JS58" i="15"/>
  <c r="IY58" i="15"/>
  <c r="IE58" i="15"/>
  <c r="HK58" i="15"/>
  <c r="GQ58" i="15"/>
  <c r="FW58" i="15"/>
  <c r="FC58" i="15"/>
  <c r="EI58" i="15"/>
  <c r="DO58" i="15"/>
  <c r="CU58" i="15"/>
  <c r="CA58" i="15"/>
  <c r="AI58" i="15"/>
  <c r="K58" i="15"/>
  <c r="TK58" i="15"/>
  <c r="SM58" i="15"/>
  <c r="RO58" i="15"/>
  <c r="PO58" i="15"/>
  <c r="OQ58" i="15"/>
  <c r="NS58" i="15"/>
  <c r="LS58" i="15"/>
  <c r="KU58" i="15"/>
  <c r="JW58" i="15"/>
  <c r="HW58" i="15"/>
  <c r="GY58" i="15"/>
  <c r="GA58" i="15"/>
  <c r="EA58" i="15"/>
  <c r="DC58" i="15"/>
  <c r="CE58" i="15"/>
  <c r="BG58" i="15"/>
  <c r="UI58" i="15"/>
  <c r="QM58" i="15"/>
  <c r="MQ58" i="15"/>
  <c r="IU58" i="15"/>
  <c r="EY58" i="15"/>
  <c r="BC58" i="15"/>
  <c r="AE58" i="15"/>
  <c r="UE58" i="15"/>
  <c r="TG58" i="15"/>
  <c r="SI58" i="15"/>
  <c r="QI58" i="15"/>
  <c r="PK58" i="15"/>
  <c r="OM58" i="15"/>
  <c r="MM58" i="15"/>
  <c r="LO58" i="15"/>
  <c r="KQ58" i="15"/>
  <c r="IQ58" i="15"/>
  <c r="HS58" i="15"/>
  <c r="GU58" i="15"/>
  <c r="EU58" i="15"/>
  <c r="DW58" i="15"/>
  <c r="CY58" i="15"/>
  <c r="SA58" i="15"/>
  <c r="OE58" i="15"/>
  <c r="KI58" i="15"/>
  <c r="GM58" i="15"/>
  <c r="CQ58" i="15"/>
  <c r="AU58" i="15"/>
  <c r="SU58" i="15"/>
  <c r="NG58" i="15"/>
  <c r="DS58" i="15"/>
  <c r="RG58" i="15"/>
  <c r="QA58" i="15"/>
  <c r="GI58" i="15"/>
  <c r="CI58" i="15"/>
  <c r="S58" i="15"/>
  <c r="UA58" i="15"/>
  <c r="LW58" i="15"/>
  <c r="SQ58" i="15"/>
  <c r="NC58" i="15"/>
  <c r="JC58" i="15"/>
  <c r="O58" i="15"/>
  <c r="RC58" i="15"/>
  <c r="HO58" i="15"/>
  <c r="DK58" i="15"/>
  <c r="TW58" i="15"/>
  <c r="KE58" i="15"/>
  <c r="GE58" i="15"/>
  <c r="BW58" i="15"/>
  <c r="PS58" i="15"/>
  <c r="EQ58" i="15"/>
  <c r="AQ58" i="15"/>
  <c r="G58" i="15"/>
  <c r="LK58" i="15"/>
  <c r="HG58" i="15"/>
  <c r="BS58" i="15"/>
  <c r="OA58" i="15"/>
  <c r="KA58" i="15"/>
  <c r="FS58" i="15"/>
  <c r="EM58" i="15"/>
  <c r="C58" i="15"/>
  <c r="TO58" i="15"/>
  <c r="IM58" i="15"/>
  <c r="AM58" i="15"/>
  <c r="MI58" i="15"/>
  <c r="EE58" i="15"/>
  <c r="AA58" i="15"/>
  <c r="UQ58" i="15"/>
  <c r="KY58" i="15"/>
  <c r="FK58" i="15"/>
  <c r="BK58" i="15"/>
  <c r="TC58" i="15"/>
  <c r="OY58" i="15"/>
  <c r="JK58" i="15"/>
  <c r="PG58" i="15"/>
  <c r="LC58" i="15"/>
  <c r="HC58" i="15"/>
  <c r="DG58" i="15"/>
  <c r="OU58" i="15"/>
  <c r="CM58" i="15"/>
  <c r="RS58" i="15"/>
  <c r="NW58" i="15"/>
  <c r="NK58" i="15"/>
  <c r="JO58" i="15"/>
  <c r="FO58" i="15"/>
  <c r="BO58" i="15"/>
  <c r="AY58" i="15"/>
  <c r="QE58" i="15"/>
  <c r="ME58" i="15"/>
  <c r="II58" i="15"/>
  <c r="W58" i="15"/>
  <c r="JG58" i="15"/>
  <c r="IA58" i="15"/>
  <c r="RW58" i="15"/>
  <c r="QU58" i="15"/>
  <c r="FG58" i="15"/>
  <c r="MY58" i="15"/>
  <c r="QY58" i="15"/>
  <c r="UA20" i="15"/>
  <c r="TG20" i="15"/>
  <c r="SM20" i="15"/>
  <c r="RS20" i="15"/>
  <c r="QY20" i="15"/>
  <c r="QE20" i="15"/>
  <c r="PK20" i="15"/>
  <c r="OQ20" i="15"/>
  <c r="NW20" i="15"/>
  <c r="NC20" i="15"/>
  <c r="MI20" i="15"/>
  <c r="LO20" i="15"/>
  <c r="KU20" i="15"/>
  <c r="KA20" i="15"/>
  <c r="JG20" i="15"/>
  <c r="IM20" i="15"/>
  <c r="HS20" i="15"/>
  <c r="GY20" i="15"/>
  <c r="GE20" i="15"/>
  <c r="FK20" i="15"/>
  <c r="EQ20" i="15"/>
  <c r="DW20" i="15"/>
  <c r="DC20" i="15"/>
  <c r="CI20" i="15"/>
  <c r="BO20" i="15"/>
  <c r="AU20" i="15"/>
  <c r="AA20" i="15"/>
  <c r="G20" i="15"/>
  <c r="TW20" i="15"/>
  <c r="SY20" i="15"/>
  <c r="SA20" i="15"/>
  <c r="RC20" i="15"/>
  <c r="QA20" i="15"/>
  <c r="PC20" i="15"/>
  <c r="OE20" i="15"/>
  <c r="NG20" i="15"/>
  <c r="ME20" i="15"/>
  <c r="LG20" i="15"/>
  <c r="KI20" i="15"/>
  <c r="JK20" i="15"/>
  <c r="II20" i="15"/>
  <c r="HK20" i="15"/>
  <c r="GM20" i="15"/>
  <c r="FO20" i="15"/>
  <c r="EM20" i="15"/>
  <c r="DO20" i="15"/>
  <c r="CQ20" i="15"/>
  <c r="BS20" i="15"/>
  <c r="AQ20" i="15"/>
  <c r="S20" i="15"/>
  <c r="UQ20" i="15"/>
  <c r="TS20" i="15"/>
  <c r="SU20" i="15"/>
  <c r="RW20" i="15"/>
  <c r="QU20" i="15"/>
  <c r="PW20" i="15"/>
  <c r="OY20" i="15"/>
  <c r="OA20" i="15"/>
  <c r="MY20" i="15"/>
  <c r="MA20" i="15"/>
  <c r="LC20" i="15"/>
  <c r="KE20" i="15"/>
  <c r="JC20" i="15"/>
  <c r="IE20" i="15"/>
  <c r="HG20" i="15"/>
  <c r="GI20" i="15"/>
  <c r="FG20" i="15"/>
  <c r="EI20" i="15"/>
  <c r="DK20" i="15"/>
  <c r="CM20" i="15"/>
  <c r="BK20" i="15"/>
  <c r="AM20" i="15"/>
  <c r="O20" i="15"/>
  <c r="UM20" i="15"/>
  <c r="TO20" i="15"/>
  <c r="SQ20" i="15"/>
  <c r="RO20" i="15"/>
  <c r="QQ20" i="15"/>
  <c r="PS20" i="15"/>
  <c r="OU20" i="15"/>
  <c r="NS20" i="15"/>
  <c r="MU20" i="15"/>
  <c r="LW20" i="15"/>
  <c r="KY20" i="15"/>
  <c r="JW20" i="15"/>
  <c r="IY20" i="15"/>
  <c r="IA20" i="15"/>
  <c r="HC20" i="15"/>
  <c r="GA20" i="15"/>
  <c r="FC20" i="15"/>
  <c r="EE20" i="15"/>
  <c r="DG20" i="15"/>
  <c r="CE20" i="15"/>
  <c r="BG20" i="15"/>
  <c r="AI20" i="15"/>
  <c r="K20" i="15"/>
  <c r="UI20" i="15"/>
  <c r="TK20" i="15"/>
  <c r="SI20" i="15"/>
  <c r="RK20" i="15"/>
  <c r="QM20" i="15"/>
  <c r="PO20" i="15"/>
  <c r="OM20" i="15"/>
  <c r="NO20" i="15"/>
  <c r="MQ20" i="15"/>
  <c r="LS20" i="15"/>
  <c r="KQ20" i="15"/>
  <c r="JS20" i="15"/>
  <c r="IU20" i="15"/>
  <c r="HW20" i="15"/>
  <c r="GU20" i="15"/>
  <c r="FW20" i="15"/>
  <c r="EY20" i="15"/>
  <c r="EA20" i="15"/>
  <c r="CY20" i="15"/>
  <c r="CA20" i="15"/>
  <c r="BC20" i="15"/>
  <c r="AE20" i="15"/>
  <c r="C20" i="15"/>
  <c r="UE20" i="15"/>
  <c r="TC20" i="15"/>
  <c r="SE20" i="15"/>
  <c r="RG20" i="15"/>
  <c r="QI20" i="15"/>
  <c r="PG20" i="15"/>
  <c r="OI20" i="15"/>
  <c r="NK20" i="15"/>
  <c r="MM20" i="15"/>
  <c r="LK20" i="15"/>
  <c r="KM20" i="15"/>
  <c r="JO20" i="15"/>
  <c r="IQ20" i="15"/>
  <c r="HO20" i="15"/>
  <c r="GQ20" i="15"/>
  <c r="EU20" i="15"/>
  <c r="BW20" i="15"/>
  <c r="DS20" i="15"/>
  <c r="AY20" i="15"/>
  <c r="CU20" i="15"/>
  <c r="FS20" i="15"/>
  <c r="W20" i="15"/>
  <c r="UQ77" i="15"/>
  <c r="TW77" i="15"/>
  <c r="TC77" i="15"/>
  <c r="SI77" i="15"/>
  <c r="RO77" i="15"/>
  <c r="QU77" i="15"/>
  <c r="QA77" i="15"/>
  <c r="PG77" i="15"/>
  <c r="OM77" i="15"/>
  <c r="NS77" i="15"/>
  <c r="MY77" i="15"/>
  <c r="ME77" i="15"/>
  <c r="LK77" i="15"/>
  <c r="KQ77" i="15"/>
  <c r="JW77" i="15"/>
  <c r="JC77" i="15"/>
  <c r="II77" i="15"/>
  <c r="HO77" i="15"/>
  <c r="GU77" i="15"/>
  <c r="GA77" i="15"/>
  <c r="FG77" i="15"/>
  <c r="EM77" i="15"/>
  <c r="DS77" i="15"/>
  <c r="CY77" i="15"/>
  <c r="CE77" i="15"/>
  <c r="BK77" i="15"/>
  <c r="AQ77" i="15"/>
  <c r="W77" i="15"/>
  <c r="C77" i="15"/>
  <c r="UM77" i="15"/>
  <c r="TS77" i="15"/>
  <c r="SY77" i="15"/>
  <c r="SE77" i="15"/>
  <c r="RK77" i="15"/>
  <c r="QQ77" i="15"/>
  <c r="PW77" i="15"/>
  <c r="PC77" i="15"/>
  <c r="OI77" i="15"/>
  <c r="NO77" i="15"/>
  <c r="MU77" i="15"/>
  <c r="MA77" i="15"/>
  <c r="LG77" i="15"/>
  <c r="KM77" i="15"/>
  <c r="JS77" i="15"/>
  <c r="IY77" i="15"/>
  <c r="IE77" i="15"/>
  <c r="HK77" i="15"/>
  <c r="GQ77" i="15"/>
  <c r="FW77" i="15"/>
  <c r="FC77" i="15"/>
  <c r="EI77" i="15"/>
  <c r="DO77" i="15"/>
  <c r="CU77" i="15"/>
  <c r="CA77" i="15"/>
  <c r="UI77" i="15"/>
  <c r="TO77" i="15"/>
  <c r="SU77" i="15"/>
  <c r="SA77" i="15"/>
  <c r="RG77" i="15"/>
  <c r="QM77" i="15"/>
  <c r="PS77" i="15"/>
  <c r="OY77" i="15"/>
  <c r="OE77" i="15"/>
  <c r="NK77" i="15"/>
  <c r="MQ77" i="15"/>
  <c r="LW77" i="15"/>
  <c r="LC77" i="15"/>
  <c r="KI77" i="15"/>
  <c r="JO77" i="15"/>
  <c r="IU77" i="15"/>
  <c r="IA77" i="15"/>
  <c r="HG77" i="15"/>
  <c r="GM77" i="15"/>
  <c r="FS77" i="15"/>
  <c r="EY77" i="15"/>
  <c r="EE77" i="15"/>
  <c r="DK77" i="15"/>
  <c r="CQ77" i="15"/>
  <c r="BW77" i="15"/>
  <c r="RC77" i="15"/>
  <c r="NW77" i="15"/>
  <c r="JK77" i="15"/>
  <c r="GE77" i="15"/>
  <c r="AY77" i="15"/>
  <c r="AA77" i="15"/>
  <c r="TG77" i="15"/>
  <c r="OU77" i="15"/>
  <c r="LO77" i="15"/>
  <c r="HC77" i="15"/>
  <c r="DW77" i="15"/>
  <c r="BS77" i="15"/>
  <c r="UE77" i="15"/>
  <c r="QY77" i="15"/>
  <c r="MM77" i="15"/>
  <c r="JG77" i="15"/>
  <c r="EU77" i="15"/>
  <c r="AU77" i="15"/>
  <c r="BO77" i="15"/>
  <c r="RS77" i="15"/>
  <c r="NG77" i="15"/>
  <c r="KA77" i="15"/>
  <c r="FO77" i="15"/>
  <c r="O77" i="15"/>
  <c r="SM77" i="15"/>
  <c r="OA77" i="15"/>
  <c r="KU77" i="15"/>
  <c r="GI77" i="15"/>
  <c r="BC77" i="15"/>
  <c r="AI77" i="15"/>
  <c r="NC77" i="15"/>
  <c r="IQ77" i="15"/>
  <c r="AE77" i="15"/>
  <c r="TK77" i="15"/>
  <c r="IM77" i="15"/>
  <c r="EA77" i="15"/>
  <c r="OQ77" i="15"/>
  <c r="KE77" i="15"/>
  <c r="S77" i="15"/>
  <c r="MI77" i="15"/>
  <c r="HW77" i="15"/>
  <c r="SQ77" i="15"/>
  <c r="HS77" i="15"/>
  <c r="BG77" i="15"/>
  <c r="DG77" i="15"/>
  <c r="DC77" i="15"/>
  <c r="QE77" i="15"/>
  <c r="LS77" i="15"/>
  <c r="RW77" i="15"/>
  <c r="GY77" i="15"/>
  <c r="G77" i="15"/>
  <c r="CM77" i="15"/>
  <c r="QI77" i="15"/>
  <c r="CI77" i="15"/>
  <c r="PO77" i="15"/>
  <c r="PK77" i="15"/>
  <c r="AM77" i="15"/>
  <c r="K77" i="15"/>
  <c r="EQ77" i="15"/>
  <c r="KY77" i="15"/>
  <c r="FK77" i="15"/>
  <c r="UA77" i="15"/>
  <c r="TC86" i="15"/>
  <c r="SI86" i="15"/>
  <c r="RO86" i="15"/>
  <c r="QU86" i="15"/>
  <c r="QA86" i="15"/>
  <c r="PG86" i="15"/>
  <c r="OM86" i="15"/>
  <c r="NS86" i="15"/>
  <c r="MY86" i="15"/>
  <c r="ME86" i="15"/>
  <c r="LK86" i="15"/>
  <c r="KQ86" i="15"/>
  <c r="JW86" i="15"/>
  <c r="JC86" i="15"/>
  <c r="II86" i="15"/>
  <c r="HO86" i="15"/>
  <c r="GU86" i="15"/>
  <c r="GA86" i="15"/>
  <c r="FG86" i="15"/>
  <c r="EM86" i="15"/>
  <c r="DS86" i="15"/>
  <c r="CY86" i="15"/>
  <c r="CE86" i="15"/>
  <c r="BK86" i="15"/>
  <c r="AQ86" i="15"/>
  <c r="W86" i="15"/>
  <c r="C86" i="15"/>
  <c r="TW86" i="15"/>
  <c r="TO86" i="15"/>
  <c r="TS86" i="15"/>
  <c r="RS86" i="15"/>
  <c r="OQ86" i="15"/>
  <c r="LO86" i="15"/>
  <c r="IM86" i="15"/>
  <c r="FK86" i="15"/>
  <c r="CI86" i="15"/>
  <c r="G86" i="15"/>
  <c r="SQ86" i="15"/>
  <c r="PO86" i="15"/>
  <c r="MM86" i="15"/>
  <c r="JK86" i="15"/>
  <c r="GI86" i="15"/>
  <c r="DG86" i="15"/>
  <c r="AE86" i="15"/>
  <c r="UQ86" i="15"/>
  <c r="QM86" i="15"/>
  <c r="NK86" i="15"/>
  <c r="KI86" i="15"/>
  <c r="HG86" i="15"/>
  <c r="EE86" i="15"/>
  <c r="BC86" i="15"/>
  <c r="RK86" i="15"/>
  <c r="OI86" i="15"/>
  <c r="LG86" i="15"/>
  <c r="IE86" i="15"/>
  <c r="FC86" i="15"/>
  <c r="CA86" i="15"/>
  <c r="SM86" i="15"/>
  <c r="PK86" i="15"/>
  <c r="MI86" i="15"/>
  <c r="JG86" i="15"/>
  <c r="GE86" i="15"/>
  <c r="DC86" i="15"/>
  <c r="AA86" i="15"/>
  <c r="UM86" i="15"/>
  <c r="TK86" i="15"/>
  <c r="QI86" i="15"/>
  <c r="NG86" i="15"/>
  <c r="KE86" i="15"/>
  <c r="HC86" i="15"/>
  <c r="EA86" i="15"/>
  <c r="AY86" i="15"/>
  <c r="RG86" i="15"/>
  <c r="OE86" i="15"/>
  <c r="LC86" i="15"/>
  <c r="IA86" i="15"/>
  <c r="EY86" i="15"/>
  <c r="BW86" i="15"/>
  <c r="UI86" i="15"/>
  <c r="SE86" i="15"/>
  <c r="PC86" i="15"/>
  <c r="MA86" i="15"/>
  <c r="IY86" i="15"/>
  <c r="FW86" i="15"/>
  <c r="CU86" i="15"/>
  <c r="S86" i="15"/>
  <c r="TG86" i="15"/>
  <c r="QE86" i="15"/>
  <c r="NC86" i="15"/>
  <c r="KA86" i="15"/>
  <c r="GY86" i="15"/>
  <c r="DW86" i="15"/>
  <c r="AU86" i="15"/>
  <c r="RC86" i="15"/>
  <c r="OA86" i="15"/>
  <c r="KY86" i="15"/>
  <c r="HW86" i="15"/>
  <c r="EU86" i="15"/>
  <c r="BS86" i="15"/>
  <c r="UE86" i="15"/>
  <c r="QY86" i="15"/>
  <c r="NW86" i="15"/>
  <c r="KU86" i="15"/>
  <c r="HS86" i="15"/>
  <c r="EQ86" i="15"/>
  <c r="BO86" i="15"/>
  <c r="LS86" i="15"/>
  <c r="FS86" i="15"/>
  <c r="IQ86" i="15"/>
  <c r="CQ86" i="15"/>
  <c r="FO86" i="15"/>
  <c r="O86" i="15"/>
  <c r="CM86" i="15"/>
  <c r="UA86" i="15"/>
  <c r="K86" i="15"/>
  <c r="NO86" i="15"/>
  <c r="MU86" i="15"/>
  <c r="EI86" i="15"/>
  <c r="SU86" i="15"/>
  <c r="JS86" i="15"/>
  <c r="BG86" i="15"/>
  <c r="PS86" i="15"/>
  <c r="GQ86" i="15"/>
  <c r="MQ86" i="15"/>
  <c r="DO86" i="15"/>
  <c r="OY86" i="15"/>
  <c r="GM86" i="15"/>
  <c r="SY86" i="15"/>
  <c r="KM86" i="15"/>
  <c r="SA86" i="15"/>
  <c r="RW86" i="15"/>
  <c r="JO86" i="15"/>
  <c r="AM86" i="15"/>
  <c r="IU86" i="15"/>
  <c r="QQ86" i="15"/>
  <c r="AI86" i="15"/>
  <c r="PW86" i="15"/>
  <c r="HK86" i="15"/>
  <c r="OU86" i="15"/>
  <c r="LW86" i="15"/>
  <c r="DK86" i="15"/>
  <c r="UQ33" i="15"/>
  <c r="TW33" i="15"/>
  <c r="TC33" i="15"/>
  <c r="SI33" i="15"/>
  <c r="RO33" i="15"/>
  <c r="QU33" i="15"/>
  <c r="QA33" i="15"/>
  <c r="PG33" i="15"/>
  <c r="OM33" i="15"/>
  <c r="NS33" i="15"/>
  <c r="MY33" i="15"/>
  <c r="ME33" i="15"/>
  <c r="LK33" i="15"/>
  <c r="KQ33" i="15"/>
  <c r="JW33" i="15"/>
  <c r="JC33" i="15"/>
  <c r="II33" i="15"/>
  <c r="HO33" i="15"/>
  <c r="GU33" i="15"/>
  <c r="GA33" i="15"/>
  <c r="FG33" i="15"/>
  <c r="EM33" i="15"/>
  <c r="DS33" i="15"/>
  <c r="RG33" i="15"/>
  <c r="OE33" i="15"/>
  <c r="LC33" i="15"/>
  <c r="IA33" i="15"/>
  <c r="EY33" i="15"/>
  <c r="UI33" i="15"/>
  <c r="SE33" i="15"/>
  <c r="PC33" i="15"/>
  <c r="MA33" i="15"/>
  <c r="IY33" i="15"/>
  <c r="FW33" i="15"/>
  <c r="CY33" i="15"/>
  <c r="AY33" i="15"/>
  <c r="AA33" i="15"/>
  <c r="C33" i="15"/>
  <c r="TG33" i="15"/>
  <c r="QE33" i="15"/>
  <c r="NC33" i="15"/>
  <c r="KA33" i="15"/>
  <c r="GY33" i="15"/>
  <c r="DW33" i="15"/>
  <c r="CU33" i="15"/>
  <c r="BW33" i="15"/>
  <c r="UE33" i="15"/>
  <c r="RC33" i="15"/>
  <c r="OA33" i="15"/>
  <c r="KY33" i="15"/>
  <c r="HW33" i="15"/>
  <c r="EU33" i="15"/>
  <c r="SA33" i="15"/>
  <c r="OY33" i="15"/>
  <c r="LW33" i="15"/>
  <c r="IU33" i="15"/>
  <c r="FS33" i="15"/>
  <c r="BS33" i="15"/>
  <c r="AU33" i="15"/>
  <c r="W33" i="15"/>
  <c r="SY33" i="15"/>
  <c r="PW33" i="15"/>
  <c r="MU33" i="15"/>
  <c r="JS33" i="15"/>
  <c r="GQ33" i="15"/>
  <c r="DO33" i="15"/>
  <c r="CQ33" i="15"/>
  <c r="S33" i="15"/>
  <c r="UA33" i="15"/>
  <c r="QY33" i="15"/>
  <c r="NW33" i="15"/>
  <c r="KU33" i="15"/>
  <c r="HS33" i="15"/>
  <c r="EQ33" i="15"/>
  <c r="RW33" i="15"/>
  <c r="OU33" i="15"/>
  <c r="LS33" i="15"/>
  <c r="IQ33" i="15"/>
  <c r="FO33" i="15"/>
  <c r="CM33" i="15"/>
  <c r="BO33" i="15"/>
  <c r="AQ33" i="15"/>
  <c r="TS33" i="15"/>
  <c r="QQ33" i="15"/>
  <c r="NO33" i="15"/>
  <c r="KM33" i="15"/>
  <c r="HK33" i="15"/>
  <c r="EI33" i="15"/>
  <c r="RS33" i="15"/>
  <c r="OQ33" i="15"/>
  <c r="LO33" i="15"/>
  <c r="IM33" i="15"/>
  <c r="FK33" i="15"/>
  <c r="SQ33" i="15"/>
  <c r="PO33" i="15"/>
  <c r="MM33" i="15"/>
  <c r="JK33" i="15"/>
  <c r="GI33" i="15"/>
  <c r="DG33" i="15"/>
  <c r="CI33" i="15"/>
  <c r="BK33" i="15"/>
  <c r="K33" i="15"/>
  <c r="BG33" i="15"/>
  <c r="AI33" i="15"/>
  <c r="TO33" i="15"/>
  <c r="QM33" i="15"/>
  <c r="NK33" i="15"/>
  <c r="KI33" i="15"/>
  <c r="HG33" i="15"/>
  <c r="EE33" i="15"/>
  <c r="GM33" i="15"/>
  <c r="LG33" i="15"/>
  <c r="GE33" i="15"/>
  <c r="QI33" i="15"/>
  <c r="BC33" i="15"/>
  <c r="PS33" i="15"/>
  <c r="AM33" i="15"/>
  <c r="FC33" i="15"/>
  <c r="UM33" i="15"/>
  <c r="PK33" i="15"/>
  <c r="AE33" i="15"/>
  <c r="KE33" i="15"/>
  <c r="JO33" i="15"/>
  <c r="O33" i="15"/>
  <c r="OI33" i="15"/>
  <c r="JG33" i="15"/>
  <c r="G33" i="15"/>
  <c r="SU33" i="15"/>
  <c r="DK33" i="15"/>
  <c r="IE33" i="15"/>
  <c r="SM33" i="15"/>
  <c r="DC33" i="15"/>
  <c r="NG33" i="15"/>
  <c r="MQ33" i="15"/>
  <c r="HC33" i="15"/>
  <c r="EA33" i="15"/>
  <c r="CE33" i="15"/>
  <c r="TK33" i="15"/>
  <c r="RK33" i="15"/>
  <c r="MI33" i="15"/>
  <c r="CA33" i="15"/>
  <c r="SU59" i="15"/>
  <c r="PS59" i="15"/>
  <c r="MQ59" i="15"/>
  <c r="JO59" i="15"/>
  <c r="GM59" i="15"/>
  <c r="FK59" i="15"/>
  <c r="EM59" i="15"/>
  <c r="DO59" i="15"/>
  <c r="CQ59" i="15"/>
  <c r="BO59" i="15"/>
  <c r="AQ59" i="15"/>
  <c r="S59" i="15"/>
  <c r="TS59" i="15"/>
  <c r="SQ59" i="15"/>
  <c r="QQ59" i="15"/>
  <c r="PO59" i="15"/>
  <c r="NO59" i="15"/>
  <c r="MM59" i="15"/>
  <c r="KM59" i="15"/>
  <c r="JK59" i="15"/>
  <c r="HK59" i="15"/>
  <c r="GI59" i="15"/>
  <c r="CM59" i="15"/>
  <c r="UQ59" i="15"/>
  <c r="RO59" i="15"/>
  <c r="OM59" i="15"/>
  <c r="LK59" i="15"/>
  <c r="II59" i="15"/>
  <c r="SM59" i="15"/>
  <c r="PK59" i="15"/>
  <c r="MI59" i="15"/>
  <c r="JG59" i="15"/>
  <c r="GE59" i="15"/>
  <c r="FG59" i="15"/>
  <c r="EI59" i="15"/>
  <c r="TO59" i="15"/>
  <c r="QM59" i="15"/>
  <c r="NK59" i="15"/>
  <c r="KI59" i="15"/>
  <c r="HG59" i="15"/>
  <c r="DG59" i="15"/>
  <c r="K59" i="15"/>
  <c r="GA59" i="15"/>
  <c r="FC59" i="15"/>
  <c r="EE59" i="15"/>
  <c r="DC59" i="15"/>
  <c r="TG59" i="15"/>
  <c r="QE59" i="15"/>
  <c r="NC59" i="15"/>
  <c r="UI59" i="15"/>
  <c r="RG59" i="15"/>
  <c r="OE59" i="15"/>
  <c r="LC59" i="15"/>
  <c r="IA59" i="15"/>
  <c r="QA59" i="15"/>
  <c r="IY59" i="15"/>
  <c r="W59" i="15"/>
  <c r="TW59" i="15"/>
  <c r="SA59" i="15"/>
  <c r="OA59" i="15"/>
  <c r="HC59" i="15"/>
  <c r="FS59" i="15"/>
  <c r="DW59" i="15"/>
  <c r="RW59" i="15"/>
  <c r="ME59" i="15"/>
  <c r="KQ59" i="15"/>
  <c r="FO59" i="15"/>
  <c r="CI59" i="15"/>
  <c r="BC59" i="15"/>
  <c r="GY59" i="15"/>
  <c r="AY59" i="15"/>
  <c r="TK59" i="15"/>
  <c r="PW59" i="15"/>
  <c r="NW59" i="15"/>
  <c r="MA59" i="15"/>
  <c r="IU59" i="15"/>
  <c r="O59" i="15"/>
  <c r="RS59" i="15"/>
  <c r="KE59" i="15"/>
  <c r="IQ59" i="15"/>
  <c r="GU59" i="15"/>
  <c r="DS59" i="15"/>
  <c r="CE59" i="15"/>
  <c r="RK59" i="15"/>
  <c r="AU59" i="15"/>
  <c r="RC59" i="15"/>
  <c r="LW59" i="15"/>
  <c r="IM59" i="15"/>
  <c r="CA59" i="15"/>
  <c r="PG59" i="15"/>
  <c r="LS59" i="15"/>
  <c r="JW59" i="15"/>
  <c r="IE59" i="15"/>
  <c r="GQ59" i="15"/>
  <c r="EY59" i="15"/>
  <c r="DK59" i="15"/>
  <c r="PC59" i="15"/>
  <c r="NG59" i="15"/>
  <c r="EU59" i="15"/>
  <c r="AM59" i="15"/>
  <c r="C59" i="15"/>
  <c r="QU59" i="15"/>
  <c r="OY59" i="15"/>
  <c r="CY59" i="15"/>
  <c r="AE59" i="15"/>
  <c r="UE59" i="15"/>
  <c r="OU59" i="15"/>
  <c r="HS59" i="15"/>
  <c r="SI59" i="15"/>
  <c r="KY59" i="15"/>
  <c r="BK59" i="15"/>
  <c r="AA59" i="15"/>
  <c r="KU59" i="15"/>
  <c r="KA59" i="15"/>
  <c r="UM59" i="15"/>
  <c r="BG59" i="15"/>
  <c r="UA59" i="15"/>
  <c r="JS59" i="15"/>
  <c r="OQ59" i="15"/>
  <c r="EQ59" i="15"/>
  <c r="TC59" i="15"/>
  <c r="OI59" i="15"/>
  <c r="JC59" i="15"/>
  <c r="AI59" i="15"/>
  <c r="EA59" i="15"/>
  <c r="SE59" i="15"/>
  <c r="MY59" i="15"/>
  <c r="HW59" i="15"/>
  <c r="G59" i="15"/>
  <c r="QY59" i="15"/>
  <c r="CU59" i="15"/>
  <c r="LO59" i="15"/>
  <c r="LG59" i="15"/>
  <c r="HO59" i="15"/>
  <c r="SY59" i="15"/>
  <c r="FW59" i="15"/>
  <c r="QI59" i="15"/>
  <c r="NS59" i="15"/>
  <c r="BW59" i="15"/>
  <c r="BS59" i="15"/>
  <c r="MU59" i="15"/>
  <c r="RO113" i="15"/>
  <c r="OI113" i="15"/>
  <c r="UQ113" i="15"/>
  <c r="NC113" i="15"/>
  <c r="LK113" i="15"/>
  <c r="IE113" i="15"/>
  <c r="EY113" i="15"/>
  <c r="BS113" i="15"/>
  <c r="TW113" i="15"/>
  <c r="SE113" i="15"/>
  <c r="QM113" i="15"/>
  <c r="OU113" i="15"/>
  <c r="IY113" i="15"/>
  <c r="FS113" i="15"/>
  <c r="CM113" i="15"/>
  <c r="NW113" i="15"/>
  <c r="ME113" i="15"/>
  <c r="JS113" i="15"/>
  <c r="GM113" i="15"/>
  <c r="DG113" i="15"/>
  <c r="TS113" i="15"/>
  <c r="SA113" i="15"/>
  <c r="QI113" i="15"/>
  <c r="UA113" i="15"/>
  <c r="SU113" i="15"/>
  <c r="PS113" i="15"/>
  <c r="MQ113" i="15"/>
  <c r="K113" i="15"/>
  <c r="RS113" i="15"/>
  <c r="PO113" i="15"/>
  <c r="G113" i="15"/>
  <c r="QQ113" i="15"/>
  <c r="NO113" i="15"/>
  <c r="LO113" i="15"/>
  <c r="KQ113" i="15"/>
  <c r="HS113" i="15"/>
  <c r="GU113" i="15"/>
  <c r="FW113" i="15"/>
  <c r="DW113" i="15"/>
  <c r="CY113" i="15"/>
  <c r="CA113" i="15"/>
  <c r="BC113" i="15"/>
  <c r="NK113" i="15"/>
  <c r="C113" i="15"/>
  <c r="PK113" i="15"/>
  <c r="MY113" i="15"/>
  <c r="TK113" i="15"/>
  <c r="OE113" i="15"/>
  <c r="JG113" i="15"/>
  <c r="GY113" i="15"/>
  <c r="EM113" i="15"/>
  <c r="DK113" i="15"/>
  <c r="CE113" i="15"/>
  <c r="AY113" i="15"/>
  <c r="UM113" i="15"/>
  <c r="TG113" i="15"/>
  <c r="MU113" i="15"/>
  <c r="UI113" i="15"/>
  <c r="SY113" i="15"/>
  <c r="QE113" i="15"/>
  <c r="MM113" i="15"/>
  <c r="KE113" i="15"/>
  <c r="IQ113" i="15"/>
  <c r="W113" i="15"/>
  <c r="NG113" i="15"/>
  <c r="LS113" i="15"/>
  <c r="FO113" i="15"/>
  <c r="KA113" i="15"/>
  <c r="IM113" i="15"/>
  <c r="EE113" i="15"/>
  <c r="CQ113" i="15"/>
  <c r="BG113" i="15"/>
  <c r="S113" i="15"/>
  <c r="QA113" i="15"/>
  <c r="AU113" i="15"/>
  <c r="O113" i="15"/>
  <c r="JW113" i="15"/>
  <c r="II113" i="15"/>
  <c r="FG113" i="15"/>
  <c r="SI113" i="15"/>
  <c r="NS113" i="15"/>
  <c r="LW113" i="15"/>
  <c r="HO113" i="15"/>
  <c r="AE113" i="15"/>
  <c r="RW113" i="15"/>
  <c r="FK113" i="15"/>
  <c r="AA113" i="15"/>
  <c r="LG113" i="15"/>
  <c r="JK113" i="15"/>
  <c r="DO113" i="15"/>
  <c r="BO113" i="15"/>
  <c r="LC113" i="15"/>
  <c r="RK113" i="15"/>
  <c r="HK113" i="15"/>
  <c r="UE113" i="15"/>
  <c r="RG113" i="15"/>
  <c r="PG113" i="15"/>
  <c r="HG113" i="15"/>
  <c r="JC113" i="15"/>
  <c r="HC113" i="15"/>
  <c r="FC113" i="15"/>
  <c r="BK113" i="15"/>
  <c r="RC113" i="15"/>
  <c r="GQ113" i="15"/>
  <c r="EU113" i="15"/>
  <c r="KM113" i="15"/>
  <c r="SM113" i="15"/>
  <c r="KI113" i="15"/>
  <c r="DS113" i="15"/>
  <c r="AM113" i="15"/>
  <c r="OA113" i="15"/>
  <c r="GI113" i="15"/>
  <c r="DC113" i="15"/>
  <c r="CU113" i="15"/>
  <c r="QY113" i="15"/>
  <c r="GE113" i="15"/>
  <c r="AI113" i="15"/>
  <c r="JO113" i="15"/>
  <c r="QU113" i="15"/>
  <c r="MI113" i="15"/>
  <c r="IU113" i="15"/>
  <c r="CI113" i="15"/>
  <c r="GA113" i="15"/>
  <c r="SQ113" i="15"/>
  <c r="BW113" i="15"/>
  <c r="IA113" i="15"/>
  <c r="PW113" i="15"/>
  <c r="OM113" i="15"/>
  <c r="TC113" i="15"/>
  <c r="PC113" i="15"/>
  <c r="OY113" i="15"/>
  <c r="EI113" i="15"/>
  <c r="OQ113" i="15"/>
  <c r="EA113" i="15"/>
  <c r="MA113" i="15"/>
  <c r="TO113" i="15"/>
  <c r="KY113" i="15"/>
  <c r="HW113" i="15"/>
  <c r="KU113" i="15"/>
  <c r="EQ113" i="15"/>
  <c r="AQ113" i="15"/>
  <c r="UI66" i="15"/>
  <c r="TO66" i="15"/>
  <c r="SU66" i="15"/>
  <c r="SA66" i="15"/>
  <c r="RG66" i="15"/>
  <c r="QM66" i="15"/>
  <c r="PS66" i="15"/>
  <c r="OY66" i="15"/>
  <c r="OE66" i="15"/>
  <c r="NK66" i="15"/>
  <c r="MQ66" i="15"/>
  <c r="LW66" i="15"/>
  <c r="LC66" i="15"/>
  <c r="KI66" i="15"/>
  <c r="JO66" i="15"/>
  <c r="IU66" i="15"/>
  <c r="IA66" i="15"/>
  <c r="HG66" i="15"/>
  <c r="GM66" i="15"/>
  <c r="FS66" i="15"/>
  <c r="EY66" i="15"/>
  <c r="EE66" i="15"/>
  <c r="DK66" i="15"/>
  <c r="CQ66" i="15"/>
  <c r="BW66" i="15"/>
  <c r="BC66" i="15"/>
  <c r="AI66" i="15"/>
  <c r="O66" i="15"/>
  <c r="UE66" i="15"/>
  <c r="TK66" i="15"/>
  <c r="SQ66" i="15"/>
  <c r="RW66" i="15"/>
  <c r="RC66" i="15"/>
  <c r="QI66" i="15"/>
  <c r="PO66" i="15"/>
  <c r="OU66" i="15"/>
  <c r="OA66" i="15"/>
  <c r="NG66" i="15"/>
  <c r="MM66" i="15"/>
  <c r="LS66" i="15"/>
  <c r="KY66" i="15"/>
  <c r="KE66" i="15"/>
  <c r="JK66" i="15"/>
  <c r="IQ66" i="15"/>
  <c r="HW66" i="15"/>
  <c r="HC66" i="15"/>
  <c r="GI66" i="15"/>
  <c r="FO66" i="15"/>
  <c r="EU66" i="15"/>
  <c r="EA66" i="15"/>
  <c r="DG66" i="15"/>
  <c r="CM66" i="15"/>
  <c r="BS66" i="15"/>
  <c r="AY66" i="15"/>
  <c r="AE66" i="15"/>
  <c r="K66" i="15"/>
  <c r="UA66" i="15"/>
  <c r="TG66" i="15"/>
  <c r="SM66" i="15"/>
  <c r="RS66" i="15"/>
  <c r="QY66" i="15"/>
  <c r="QE66" i="15"/>
  <c r="PK66" i="15"/>
  <c r="OQ66" i="15"/>
  <c r="NW66" i="15"/>
  <c r="NC66" i="15"/>
  <c r="MI66" i="15"/>
  <c r="LO66" i="15"/>
  <c r="KU66" i="15"/>
  <c r="KA66" i="15"/>
  <c r="JG66" i="15"/>
  <c r="IM66" i="15"/>
  <c r="HS66" i="15"/>
  <c r="GY66" i="15"/>
  <c r="GE66" i="15"/>
  <c r="FK66" i="15"/>
  <c r="EQ66" i="15"/>
  <c r="DW66" i="15"/>
  <c r="DC66" i="15"/>
  <c r="CI66" i="15"/>
  <c r="BO66" i="15"/>
  <c r="AU66" i="15"/>
  <c r="AA66" i="15"/>
  <c r="G66" i="15"/>
  <c r="TS66" i="15"/>
  <c r="QQ66" i="15"/>
  <c r="NO66" i="15"/>
  <c r="KM66" i="15"/>
  <c r="HK66" i="15"/>
  <c r="EI66" i="15"/>
  <c r="BG66" i="15"/>
  <c r="UQ66" i="15"/>
  <c r="RO66" i="15"/>
  <c r="OM66" i="15"/>
  <c r="LK66" i="15"/>
  <c r="II66" i="15"/>
  <c r="FG66" i="15"/>
  <c r="CE66" i="15"/>
  <c r="C66" i="15"/>
  <c r="UM66" i="15"/>
  <c r="RK66" i="15"/>
  <c r="OI66" i="15"/>
  <c r="LG66" i="15"/>
  <c r="IE66" i="15"/>
  <c r="FC66" i="15"/>
  <c r="CA66" i="15"/>
  <c r="SI66" i="15"/>
  <c r="PG66" i="15"/>
  <c r="ME66" i="15"/>
  <c r="JC66" i="15"/>
  <c r="GA66" i="15"/>
  <c r="CY66" i="15"/>
  <c r="W66" i="15"/>
  <c r="SE66" i="15"/>
  <c r="PC66" i="15"/>
  <c r="MA66" i="15"/>
  <c r="IY66" i="15"/>
  <c r="FW66" i="15"/>
  <c r="CU66" i="15"/>
  <c r="S66" i="15"/>
  <c r="TC66" i="15"/>
  <c r="QA66" i="15"/>
  <c r="MY66" i="15"/>
  <c r="JW66" i="15"/>
  <c r="GU66" i="15"/>
  <c r="DS66" i="15"/>
  <c r="AQ66" i="15"/>
  <c r="SY66" i="15"/>
  <c r="PW66" i="15"/>
  <c r="MU66" i="15"/>
  <c r="TW66" i="15"/>
  <c r="BK66" i="15"/>
  <c r="EM66" i="15"/>
  <c r="AM66" i="15"/>
  <c r="KQ66" i="15"/>
  <c r="DO66" i="15"/>
  <c r="NS66" i="15"/>
  <c r="GQ66" i="15"/>
  <c r="JS66" i="15"/>
  <c r="HO66" i="15"/>
  <c r="QU66" i="15"/>
  <c r="UQ29" i="15"/>
  <c r="TW29" i="15"/>
  <c r="TC29" i="15"/>
  <c r="SI29" i="15"/>
  <c r="RO29" i="15"/>
  <c r="QU29" i="15"/>
  <c r="QA29" i="15"/>
  <c r="PG29" i="15"/>
  <c r="OM29" i="15"/>
  <c r="NS29" i="15"/>
  <c r="MY29" i="15"/>
  <c r="ME29" i="15"/>
  <c r="LK29" i="15"/>
  <c r="KQ29" i="15"/>
  <c r="JW29" i="15"/>
  <c r="JC29" i="15"/>
  <c r="II29" i="15"/>
  <c r="HO29" i="15"/>
  <c r="GU29" i="15"/>
  <c r="GA29" i="15"/>
  <c r="FG29" i="15"/>
  <c r="EM29" i="15"/>
  <c r="DS29" i="15"/>
  <c r="CY29" i="15"/>
  <c r="CE29" i="15"/>
  <c r="BK29" i="15"/>
  <c r="AQ29" i="15"/>
  <c r="W29" i="15"/>
  <c r="C29" i="15"/>
  <c r="RC29" i="15"/>
  <c r="PW29" i="15"/>
  <c r="LC29" i="15"/>
  <c r="HS29" i="15"/>
  <c r="BS29" i="15"/>
  <c r="AM29" i="15"/>
  <c r="TK29" i="15"/>
  <c r="SE29" i="15"/>
  <c r="NK29" i="15"/>
  <c r="KA29" i="15"/>
  <c r="EA29" i="15"/>
  <c r="CU29" i="15"/>
  <c r="UM29" i="15"/>
  <c r="PS29" i="15"/>
  <c r="MI29" i="15"/>
  <c r="GI29" i="15"/>
  <c r="FC29" i="15"/>
  <c r="AI29" i="15"/>
  <c r="SA29" i="15"/>
  <c r="OQ29" i="15"/>
  <c r="IQ29" i="15"/>
  <c r="HK29" i="15"/>
  <c r="CQ29" i="15"/>
  <c r="G29" i="15"/>
  <c r="UI29" i="15"/>
  <c r="QY29" i="15"/>
  <c r="KY29" i="15"/>
  <c r="JS29" i="15"/>
  <c r="EY29" i="15"/>
  <c r="BO29" i="15"/>
  <c r="TG29" i="15"/>
  <c r="NG29" i="15"/>
  <c r="MA29" i="15"/>
  <c r="HG29" i="15"/>
  <c r="DW29" i="15"/>
  <c r="PO29" i="15"/>
  <c r="OI29" i="15"/>
  <c r="JO29" i="15"/>
  <c r="GE29" i="15"/>
  <c r="AE29" i="15"/>
  <c r="RW29" i="15"/>
  <c r="QQ29" i="15"/>
  <c r="LW29" i="15"/>
  <c r="IM29" i="15"/>
  <c r="CM29" i="15"/>
  <c r="BG29" i="15"/>
  <c r="UE29" i="15"/>
  <c r="SY29" i="15"/>
  <c r="OE29" i="15"/>
  <c r="KU29" i="15"/>
  <c r="EU29" i="15"/>
  <c r="DO29" i="15"/>
  <c r="QM29" i="15"/>
  <c r="NC29" i="15"/>
  <c r="HC29" i="15"/>
  <c r="FW29" i="15"/>
  <c r="BC29" i="15"/>
  <c r="SU29" i="15"/>
  <c r="PK29" i="15"/>
  <c r="JK29" i="15"/>
  <c r="IE29" i="15"/>
  <c r="DK29" i="15"/>
  <c r="AA29" i="15"/>
  <c r="UA29" i="15"/>
  <c r="OA29" i="15"/>
  <c r="MU29" i="15"/>
  <c r="IA29" i="15"/>
  <c r="EQ29" i="15"/>
  <c r="QI29" i="15"/>
  <c r="PC29" i="15"/>
  <c r="KI29" i="15"/>
  <c r="GY29" i="15"/>
  <c r="AY29" i="15"/>
  <c r="S29" i="15"/>
  <c r="SQ29" i="15"/>
  <c r="RK29" i="15"/>
  <c r="MQ29" i="15"/>
  <c r="JG29" i="15"/>
  <c r="DG29" i="15"/>
  <c r="CA29" i="15"/>
  <c r="TS29" i="15"/>
  <c r="OY29" i="15"/>
  <c r="LO29" i="15"/>
  <c r="FO29" i="15"/>
  <c r="EI29" i="15"/>
  <c r="O29" i="15"/>
  <c r="RG29" i="15"/>
  <c r="NW29" i="15"/>
  <c r="HW29" i="15"/>
  <c r="GQ29" i="15"/>
  <c r="BW29" i="15"/>
  <c r="AU29" i="15"/>
  <c r="SM29" i="15"/>
  <c r="MM29" i="15"/>
  <c r="GM29" i="15"/>
  <c r="RS29" i="15"/>
  <c r="LS29" i="15"/>
  <c r="FS29" i="15"/>
  <c r="LG29" i="15"/>
  <c r="KM29" i="15"/>
  <c r="QE29" i="15"/>
  <c r="KE29" i="15"/>
  <c r="EE29" i="15"/>
  <c r="IY29" i="15"/>
  <c r="OU29" i="15"/>
  <c r="IU29" i="15"/>
  <c r="CI29" i="15"/>
  <c r="TO29" i="15"/>
  <c r="NO29" i="15"/>
  <c r="FK29" i="15"/>
  <c r="DC29" i="15"/>
  <c r="K29" i="15"/>
  <c r="UM40" i="15"/>
  <c r="TS40" i="15"/>
  <c r="SY40" i="15"/>
  <c r="SE40" i="15"/>
  <c r="RK40" i="15"/>
  <c r="QQ40" i="15"/>
  <c r="PW40" i="15"/>
  <c r="PC40" i="15"/>
  <c r="OI40" i="15"/>
  <c r="NO40" i="15"/>
  <c r="MU40" i="15"/>
  <c r="MA40" i="15"/>
  <c r="LG40" i="15"/>
  <c r="KM40" i="15"/>
  <c r="JS40" i="15"/>
  <c r="IY40" i="15"/>
  <c r="IE40" i="15"/>
  <c r="HK40" i="15"/>
  <c r="GQ40" i="15"/>
  <c r="FW40" i="15"/>
  <c r="FC40" i="15"/>
  <c r="EI40" i="15"/>
  <c r="DO40" i="15"/>
  <c r="CU40" i="15"/>
  <c r="CA40" i="15"/>
  <c r="BG40" i="15"/>
  <c r="AM40" i="15"/>
  <c r="S40" i="15"/>
  <c r="UI40" i="15"/>
  <c r="TO40" i="15"/>
  <c r="SU40" i="15"/>
  <c r="SA40" i="15"/>
  <c r="RG40" i="15"/>
  <c r="QM40" i="15"/>
  <c r="PS40" i="15"/>
  <c r="OY40" i="15"/>
  <c r="OE40" i="15"/>
  <c r="NK40" i="15"/>
  <c r="MQ40" i="15"/>
  <c r="LW40" i="15"/>
  <c r="LC40" i="15"/>
  <c r="KI40" i="15"/>
  <c r="JO40" i="15"/>
  <c r="IU40" i="15"/>
  <c r="IA40" i="15"/>
  <c r="HG40" i="15"/>
  <c r="GM40" i="15"/>
  <c r="FS40" i="15"/>
  <c r="EY40" i="15"/>
  <c r="EE40" i="15"/>
  <c r="DK40" i="15"/>
  <c r="CQ40" i="15"/>
  <c r="BW40" i="15"/>
  <c r="BC40" i="15"/>
  <c r="AI40" i="15"/>
  <c r="O40" i="15"/>
  <c r="UE40" i="15"/>
  <c r="TK40" i="15"/>
  <c r="SQ40" i="15"/>
  <c r="RW40" i="15"/>
  <c r="RC40" i="15"/>
  <c r="QI40" i="15"/>
  <c r="PO40" i="15"/>
  <c r="OU40" i="15"/>
  <c r="OA40" i="15"/>
  <c r="NG40" i="15"/>
  <c r="MM40" i="15"/>
  <c r="LS40" i="15"/>
  <c r="KY40" i="15"/>
  <c r="KE40" i="15"/>
  <c r="JK40" i="15"/>
  <c r="IQ40" i="15"/>
  <c r="HW40" i="15"/>
  <c r="HC40" i="15"/>
  <c r="GI40" i="15"/>
  <c r="FO40" i="15"/>
  <c r="EU40" i="15"/>
  <c r="EA40" i="15"/>
  <c r="DG40" i="15"/>
  <c r="CM40" i="15"/>
  <c r="BS40" i="15"/>
  <c r="AY40" i="15"/>
  <c r="AE40" i="15"/>
  <c r="K40" i="15"/>
  <c r="SM40" i="15"/>
  <c r="PG40" i="15"/>
  <c r="KU40" i="15"/>
  <c r="HO40" i="15"/>
  <c r="DC40" i="15"/>
  <c r="W40" i="15"/>
  <c r="UQ40" i="15"/>
  <c r="QE40" i="15"/>
  <c r="MY40" i="15"/>
  <c r="IM40" i="15"/>
  <c r="FG40" i="15"/>
  <c r="AU40" i="15"/>
  <c r="SI40" i="15"/>
  <c r="NW40" i="15"/>
  <c r="KQ40" i="15"/>
  <c r="GE40" i="15"/>
  <c r="CY40" i="15"/>
  <c r="TG40" i="15"/>
  <c r="QA40" i="15"/>
  <c r="LO40" i="15"/>
  <c r="II40" i="15"/>
  <c r="DW40" i="15"/>
  <c r="AQ40" i="15"/>
  <c r="TC40" i="15"/>
  <c r="OQ40" i="15"/>
  <c r="LK40" i="15"/>
  <c r="GY40" i="15"/>
  <c r="DS40" i="15"/>
  <c r="G40" i="15"/>
  <c r="RS40" i="15"/>
  <c r="OM40" i="15"/>
  <c r="KA40" i="15"/>
  <c r="GU40" i="15"/>
  <c r="CI40" i="15"/>
  <c r="C40" i="15"/>
  <c r="BO40" i="15"/>
  <c r="RO40" i="15"/>
  <c r="EQ40" i="15"/>
  <c r="QY40" i="15"/>
  <c r="HS40" i="15"/>
  <c r="BK40" i="15"/>
  <c r="UA40" i="15"/>
  <c r="NS40" i="15"/>
  <c r="EM40" i="15"/>
  <c r="QU40" i="15"/>
  <c r="TW40" i="15"/>
  <c r="NC40" i="15"/>
  <c r="JW40" i="15"/>
  <c r="MI40" i="15"/>
  <c r="GA40" i="15"/>
  <c r="PK40" i="15"/>
  <c r="JC40" i="15"/>
  <c r="FK40" i="15"/>
  <c r="ME40" i="15"/>
  <c r="CE40" i="15"/>
  <c r="AA40" i="15"/>
  <c r="JG40" i="15"/>
  <c r="UI103" i="15"/>
  <c r="RW103" i="15"/>
  <c r="OQ103" i="15"/>
  <c r="LK103" i="15"/>
  <c r="IE103" i="15"/>
  <c r="EY103" i="15"/>
  <c r="CM103" i="15"/>
  <c r="G103" i="15"/>
  <c r="SQ103" i="15"/>
  <c r="PK103" i="15"/>
  <c r="ME103" i="15"/>
  <c r="IY103" i="15"/>
  <c r="FS103" i="15"/>
  <c r="DG103" i="15"/>
  <c r="AA103" i="15"/>
  <c r="TK103" i="15"/>
  <c r="QE103" i="15"/>
  <c r="MY103" i="15"/>
  <c r="JS103" i="15"/>
  <c r="GM103" i="15"/>
  <c r="EA103" i="15"/>
  <c r="AU103" i="15"/>
  <c r="SI103" i="15"/>
  <c r="PC103" i="15"/>
  <c r="LW103" i="15"/>
  <c r="TG103" i="15"/>
  <c r="KE103" i="15"/>
  <c r="JG103" i="15"/>
  <c r="II103" i="15"/>
  <c r="HK103" i="15"/>
  <c r="GI103" i="15"/>
  <c r="FK103" i="15"/>
  <c r="EM103" i="15"/>
  <c r="DO103" i="15"/>
  <c r="CQ103" i="15"/>
  <c r="BO103" i="15"/>
  <c r="AQ103" i="15"/>
  <c r="S103" i="15"/>
  <c r="UE103" i="15"/>
  <c r="RG103" i="15"/>
  <c r="OE103" i="15"/>
  <c r="HG103" i="15"/>
  <c r="SE103" i="15"/>
  <c r="LC103" i="15"/>
  <c r="UA103" i="15"/>
  <c r="QY103" i="15"/>
  <c r="IA103" i="15"/>
  <c r="SA103" i="15"/>
  <c r="OY103" i="15"/>
  <c r="QU103" i="15"/>
  <c r="OU103" i="15"/>
  <c r="NS103" i="15"/>
  <c r="LS103" i="15"/>
  <c r="IU103" i="15"/>
  <c r="PS103" i="15"/>
  <c r="MU103" i="15"/>
  <c r="KA103" i="15"/>
  <c r="DC103" i="15"/>
  <c r="AM103" i="15"/>
  <c r="OI103" i="15"/>
  <c r="FW103" i="15"/>
  <c r="BW103" i="15"/>
  <c r="SM103" i="15"/>
  <c r="RC103" i="15"/>
  <c r="MQ103" i="15"/>
  <c r="JW103" i="15"/>
  <c r="HC103" i="15"/>
  <c r="AI103" i="15"/>
  <c r="PO103" i="15"/>
  <c r="LG103" i="15"/>
  <c r="IM103" i="15"/>
  <c r="CY103" i="15"/>
  <c r="TW103" i="15"/>
  <c r="OA103" i="15"/>
  <c r="MM103" i="15"/>
  <c r="FO103" i="15"/>
  <c r="MI103" i="15"/>
  <c r="JK103" i="15"/>
  <c r="DW103" i="15"/>
  <c r="W103" i="15"/>
  <c r="TO103" i="15"/>
  <c r="NO103" i="15"/>
  <c r="HW103" i="15"/>
  <c r="FG103" i="15"/>
  <c r="RS103" i="15"/>
  <c r="CU103" i="15"/>
  <c r="NG103" i="15"/>
  <c r="KU103" i="15"/>
  <c r="GQ103" i="15"/>
  <c r="UQ103" i="15"/>
  <c r="NC103" i="15"/>
  <c r="KQ103" i="15"/>
  <c r="EQ103" i="15"/>
  <c r="PG103" i="15"/>
  <c r="KM103" i="15"/>
  <c r="IQ103" i="15"/>
  <c r="EI103" i="15"/>
  <c r="CI103" i="15"/>
  <c r="RO103" i="15"/>
  <c r="EE103" i="15"/>
  <c r="CE103" i="15"/>
  <c r="AE103" i="15"/>
  <c r="UM103" i="15"/>
  <c r="TS103" i="15"/>
  <c r="RK103" i="15"/>
  <c r="KI103" i="15"/>
  <c r="MA103" i="15"/>
  <c r="QQ103" i="15"/>
  <c r="OM103" i="15"/>
  <c r="HS103" i="15"/>
  <c r="DS103" i="15"/>
  <c r="SU103" i="15"/>
  <c r="FC103" i="15"/>
  <c r="BS103" i="15"/>
  <c r="C103" i="15"/>
  <c r="NK103" i="15"/>
  <c r="JC103" i="15"/>
  <c r="BK103" i="15"/>
  <c r="EU103" i="15"/>
  <c r="BG103" i="15"/>
  <c r="QM103" i="15"/>
  <c r="BC103" i="15"/>
  <c r="QI103" i="15"/>
  <c r="HO103" i="15"/>
  <c r="AY103" i="15"/>
  <c r="LO103" i="15"/>
  <c r="QA103" i="15"/>
  <c r="PW103" i="15"/>
  <c r="GY103" i="15"/>
  <c r="GA103" i="15"/>
  <c r="NW103" i="15"/>
  <c r="DK103" i="15"/>
  <c r="KY103" i="15"/>
  <c r="CA103" i="15"/>
  <c r="JO103" i="15"/>
  <c r="K103" i="15"/>
  <c r="TC103" i="15"/>
  <c r="SY103" i="15"/>
  <c r="GU103" i="15"/>
  <c r="O103" i="15"/>
  <c r="GE103" i="15"/>
  <c r="TS91" i="15"/>
  <c r="QQ91" i="15"/>
  <c r="NO91" i="15"/>
  <c r="KM91" i="15"/>
  <c r="HK91" i="15"/>
  <c r="EI91" i="15"/>
  <c r="BG91" i="15"/>
  <c r="UQ91" i="15"/>
  <c r="TO91" i="15"/>
  <c r="RO91" i="15"/>
  <c r="QM91" i="15"/>
  <c r="OM91" i="15"/>
  <c r="NK91" i="15"/>
  <c r="LK91" i="15"/>
  <c r="KI91" i="15"/>
  <c r="II91" i="15"/>
  <c r="HG91" i="15"/>
  <c r="FG91" i="15"/>
  <c r="EE91" i="15"/>
  <c r="CE91" i="15"/>
  <c r="BC91" i="15"/>
  <c r="C91" i="15"/>
  <c r="SM91" i="15"/>
  <c r="PK91" i="15"/>
  <c r="MI91" i="15"/>
  <c r="JG91" i="15"/>
  <c r="GE91" i="15"/>
  <c r="DC91" i="15"/>
  <c r="AA91" i="15"/>
  <c r="TK91" i="15"/>
  <c r="QI91" i="15"/>
  <c r="NG91" i="15"/>
  <c r="KE91" i="15"/>
  <c r="HC91" i="15"/>
  <c r="EA91" i="15"/>
  <c r="AY91" i="15"/>
  <c r="UM91" i="15"/>
  <c r="RK91" i="15"/>
  <c r="OI91" i="15"/>
  <c r="LG91" i="15"/>
  <c r="IE91" i="15"/>
  <c r="FC91" i="15"/>
  <c r="CA91" i="15"/>
  <c r="TG91" i="15"/>
  <c r="QE91" i="15"/>
  <c r="NC91" i="15"/>
  <c r="KA91" i="15"/>
  <c r="GY91" i="15"/>
  <c r="DW91" i="15"/>
  <c r="AU91" i="15"/>
  <c r="UE91" i="15"/>
  <c r="RC91" i="15"/>
  <c r="OA91" i="15"/>
  <c r="KY91" i="15"/>
  <c r="HW91" i="15"/>
  <c r="EU91" i="15"/>
  <c r="BS91" i="15"/>
  <c r="SE91" i="15"/>
  <c r="PC91" i="15"/>
  <c r="MA91" i="15"/>
  <c r="IY91" i="15"/>
  <c r="FW91" i="15"/>
  <c r="TC91" i="15"/>
  <c r="SA91" i="15"/>
  <c r="QA91" i="15"/>
  <c r="OY91" i="15"/>
  <c r="MY91" i="15"/>
  <c r="LW91" i="15"/>
  <c r="JW91" i="15"/>
  <c r="IU91" i="15"/>
  <c r="GU91" i="15"/>
  <c r="FS91" i="15"/>
  <c r="RG91" i="15"/>
  <c r="ME91" i="15"/>
  <c r="JS91" i="15"/>
  <c r="CM91" i="15"/>
  <c r="TW91" i="15"/>
  <c r="QY91" i="15"/>
  <c r="JO91" i="15"/>
  <c r="OQ91" i="15"/>
  <c r="LS91" i="15"/>
  <c r="AM91" i="15"/>
  <c r="JK91" i="15"/>
  <c r="EM91" i="15"/>
  <c r="AI91" i="15"/>
  <c r="OE91" i="15"/>
  <c r="JC91" i="15"/>
  <c r="GQ91" i="15"/>
  <c r="CI91" i="15"/>
  <c r="QU91" i="15"/>
  <c r="NW91" i="15"/>
  <c r="GM91" i="15"/>
  <c r="AE91" i="15"/>
  <c r="LO91" i="15"/>
  <c r="IQ91" i="15"/>
  <c r="BW91" i="15"/>
  <c r="W91" i="15"/>
  <c r="SY91" i="15"/>
  <c r="LC91" i="15"/>
  <c r="GA91" i="15"/>
  <c r="DS91" i="15"/>
  <c r="O91" i="15"/>
  <c r="SU91" i="15"/>
  <c r="NS91" i="15"/>
  <c r="KU91" i="15"/>
  <c r="BO91" i="15"/>
  <c r="IM91" i="15"/>
  <c r="FO91" i="15"/>
  <c r="K91" i="15"/>
  <c r="RW91" i="15"/>
  <c r="FK91" i="15"/>
  <c r="G91" i="15"/>
  <c r="PO91" i="15"/>
  <c r="DG91" i="15"/>
  <c r="UA91" i="15"/>
  <c r="MQ91" i="15"/>
  <c r="HO91" i="15"/>
  <c r="CU91" i="15"/>
  <c r="SQ91" i="15"/>
  <c r="EQ91" i="15"/>
  <c r="SI91" i="15"/>
  <c r="KQ91" i="15"/>
  <c r="DO91" i="15"/>
  <c r="RS91" i="15"/>
  <c r="DK91" i="15"/>
  <c r="CY91" i="15"/>
  <c r="CQ91" i="15"/>
  <c r="PW91" i="15"/>
  <c r="PS91" i="15"/>
  <c r="IA91" i="15"/>
  <c r="PG91" i="15"/>
  <c r="HS91" i="15"/>
  <c r="OU91" i="15"/>
  <c r="BK91" i="15"/>
  <c r="S91" i="15"/>
  <c r="UI91" i="15"/>
  <c r="MM91" i="15"/>
  <c r="GI91" i="15"/>
  <c r="EY91" i="15"/>
  <c r="AQ91" i="15"/>
  <c r="MU91" i="15"/>
  <c r="UA70" i="15"/>
  <c r="TG70" i="15"/>
  <c r="SM70" i="15"/>
  <c r="RS70" i="15"/>
  <c r="QY70" i="15"/>
  <c r="QE70" i="15"/>
  <c r="PK70" i="15"/>
  <c r="OQ70" i="15"/>
  <c r="NW70" i="15"/>
  <c r="NC70" i="15"/>
  <c r="MI70" i="15"/>
  <c r="LO70" i="15"/>
  <c r="KU70" i="15"/>
  <c r="UM70" i="15"/>
  <c r="TS70" i="15"/>
  <c r="SY70" i="15"/>
  <c r="SE70" i="15"/>
  <c r="RK70" i="15"/>
  <c r="QQ70" i="15"/>
  <c r="PW70" i="15"/>
  <c r="PC70" i="15"/>
  <c r="OI70" i="15"/>
  <c r="NO70" i="15"/>
  <c r="RO70" i="15"/>
  <c r="NS70" i="15"/>
  <c r="MU70" i="15"/>
  <c r="JK70" i="15"/>
  <c r="GE70" i="15"/>
  <c r="DS70" i="15"/>
  <c r="AM70" i="15"/>
  <c r="LW70" i="15"/>
  <c r="KE70" i="15"/>
  <c r="GY70" i="15"/>
  <c r="EM70" i="15"/>
  <c r="BG70" i="15"/>
  <c r="HS70" i="15"/>
  <c r="FG70" i="15"/>
  <c r="CA70" i="15"/>
  <c r="UI70" i="15"/>
  <c r="TK70" i="15"/>
  <c r="QM70" i="15"/>
  <c r="PO70" i="15"/>
  <c r="KY70" i="15"/>
  <c r="IM70" i="15"/>
  <c r="GA70" i="15"/>
  <c r="CU70" i="15"/>
  <c r="O70" i="15"/>
  <c r="SI70" i="15"/>
  <c r="OM70" i="15"/>
  <c r="MQ70" i="15"/>
  <c r="JG70" i="15"/>
  <c r="GU70" i="15"/>
  <c r="DO70" i="15"/>
  <c r="AI70" i="15"/>
  <c r="LS70" i="15"/>
  <c r="KA70" i="15"/>
  <c r="HO70" i="15"/>
  <c r="EI70" i="15"/>
  <c r="BC70" i="15"/>
  <c r="II70" i="15"/>
  <c r="FC70" i="15"/>
  <c r="BW70" i="15"/>
  <c r="UE70" i="15"/>
  <c r="RG70" i="15"/>
  <c r="QI70" i="15"/>
  <c r="NK70" i="15"/>
  <c r="JC70" i="15"/>
  <c r="FW70" i="15"/>
  <c r="CQ70" i="15"/>
  <c r="K70" i="15"/>
  <c r="TC70" i="15"/>
  <c r="PG70" i="15"/>
  <c r="MM70" i="15"/>
  <c r="JW70" i="15"/>
  <c r="GQ70" i="15"/>
  <c r="DK70" i="15"/>
  <c r="AE70" i="15"/>
  <c r="KQ70" i="15"/>
  <c r="HK70" i="15"/>
  <c r="EE70" i="15"/>
  <c r="AY70" i="15"/>
  <c r="IE70" i="15"/>
  <c r="EY70" i="15"/>
  <c r="BS70" i="15"/>
  <c r="SA70" i="15"/>
  <c r="RC70" i="15"/>
  <c r="OE70" i="15"/>
  <c r="NG70" i="15"/>
  <c r="LK70" i="15"/>
  <c r="IY70" i="15"/>
  <c r="FS70" i="15"/>
  <c r="CM70" i="15"/>
  <c r="G70" i="15"/>
  <c r="IA70" i="15"/>
  <c r="EU70" i="15"/>
  <c r="BO70" i="15"/>
  <c r="C70" i="15"/>
  <c r="SU70" i="15"/>
  <c r="RW70" i="15"/>
  <c r="OY70" i="15"/>
  <c r="OA70" i="15"/>
  <c r="LG70" i="15"/>
  <c r="IU70" i="15"/>
  <c r="FO70" i="15"/>
  <c r="CI70" i="15"/>
  <c r="W70" i="15"/>
  <c r="KM70" i="15"/>
  <c r="FK70" i="15"/>
  <c r="HW70" i="15"/>
  <c r="KI70" i="15"/>
  <c r="S70" i="15"/>
  <c r="QA70" i="15"/>
  <c r="MY70" i="15"/>
  <c r="CE70" i="15"/>
  <c r="TO70" i="15"/>
  <c r="HG70" i="15"/>
  <c r="JS70" i="15"/>
  <c r="EQ70" i="15"/>
  <c r="HC70" i="15"/>
  <c r="JO70" i="15"/>
  <c r="PS70" i="15"/>
  <c r="ME70" i="15"/>
  <c r="EA70" i="15"/>
  <c r="BK70" i="15"/>
  <c r="GM70" i="15"/>
  <c r="SQ70" i="15"/>
  <c r="MA70" i="15"/>
  <c r="DW70" i="15"/>
  <c r="GI70" i="15"/>
  <c r="AU70" i="15"/>
  <c r="UQ70" i="15"/>
  <c r="DC70" i="15"/>
  <c r="IQ70" i="15"/>
  <c r="AQ70" i="15"/>
  <c r="AA70" i="15"/>
  <c r="LC70" i="15"/>
  <c r="TW70" i="15"/>
  <c r="DG70" i="15"/>
  <c r="OU70" i="15"/>
  <c r="CY70" i="15"/>
  <c r="QU70" i="15"/>
  <c r="UM107" i="15"/>
  <c r="SU107" i="15"/>
  <c r="RC107" i="15"/>
  <c r="PK107" i="15"/>
  <c r="NS107" i="15"/>
  <c r="MU107" i="15"/>
  <c r="LC107" i="15"/>
  <c r="JK107" i="15"/>
  <c r="HS107" i="15"/>
  <c r="GA107" i="15"/>
  <c r="FC107" i="15"/>
  <c r="DK107" i="15"/>
  <c r="BS107" i="15"/>
  <c r="AA107" i="15"/>
  <c r="TO107" i="15"/>
  <c r="RW107" i="15"/>
  <c r="QE107" i="15"/>
  <c r="OM107" i="15"/>
  <c r="NO107" i="15"/>
  <c r="LW107" i="15"/>
  <c r="KE107" i="15"/>
  <c r="IM107" i="15"/>
  <c r="GU107" i="15"/>
  <c r="FW107" i="15"/>
  <c r="EE107" i="15"/>
  <c r="CM107" i="15"/>
  <c r="AU107" i="15"/>
  <c r="C107" i="15"/>
  <c r="UA107" i="15"/>
  <c r="SY107" i="15"/>
  <c r="QU107" i="15"/>
  <c r="PS107" i="15"/>
  <c r="MM107" i="15"/>
  <c r="FK107" i="15"/>
  <c r="CI107" i="15"/>
  <c r="AI107" i="15"/>
  <c r="II107" i="15"/>
  <c r="GI107" i="15"/>
  <c r="EI107" i="15"/>
  <c r="DG107" i="15"/>
  <c r="BG107" i="15"/>
  <c r="RS107" i="15"/>
  <c r="QQ107" i="15"/>
  <c r="OQ107" i="15"/>
  <c r="NK107" i="15"/>
  <c r="LK107" i="15"/>
  <c r="KI107" i="15"/>
  <c r="JG107" i="15"/>
  <c r="HG107" i="15"/>
  <c r="SQ107" i="15"/>
  <c r="OI107" i="15"/>
  <c r="GE107" i="15"/>
  <c r="DC107" i="15"/>
  <c r="BC107" i="15"/>
  <c r="PG107" i="15"/>
  <c r="KY107" i="15"/>
  <c r="CY107" i="15"/>
  <c r="AY107" i="15"/>
  <c r="W107" i="15"/>
  <c r="TG107" i="15"/>
  <c r="OY107" i="15"/>
  <c r="ME107" i="15"/>
  <c r="BK107" i="15"/>
  <c r="UQ107" i="15"/>
  <c r="QI107" i="15"/>
  <c r="MA107" i="15"/>
  <c r="DW107" i="15"/>
  <c r="CQ107" i="15"/>
  <c r="KQ107" i="15"/>
  <c r="HW107" i="15"/>
  <c r="FG107" i="15"/>
  <c r="S107" i="15"/>
  <c r="RO107" i="15"/>
  <c r="NG107" i="15"/>
  <c r="UI107" i="15"/>
  <c r="TC107" i="15"/>
  <c r="OU107" i="15"/>
  <c r="RK107" i="15"/>
  <c r="QA107" i="15"/>
  <c r="LS107" i="15"/>
  <c r="IY107" i="15"/>
  <c r="DS107" i="15"/>
  <c r="NC107" i="15"/>
  <c r="O107" i="15"/>
  <c r="RG107" i="15"/>
  <c r="LO107" i="15"/>
  <c r="KA107" i="15"/>
  <c r="HK107" i="15"/>
  <c r="IU107" i="15"/>
  <c r="EY107" i="15"/>
  <c r="G107" i="15"/>
  <c r="UE107" i="15"/>
  <c r="PC107" i="15"/>
  <c r="KU107" i="15"/>
  <c r="GY107" i="15"/>
  <c r="EU107" i="15"/>
  <c r="SA107" i="15"/>
  <c r="MQ107" i="15"/>
  <c r="IQ107" i="15"/>
  <c r="GQ107" i="15"/>
  <c r="EM107" i="15"/>
  <c r="BW107" i="15"/>
  <c r="JC107" i="15"/>
  <c r="GM107" i="15"/>
  <c r="OA107" i="15"/>
  <c r="QY107" i="15"/>
  <c r="LG107" i="15"/>
  <c r="EA107" i="15"/>
  <c r="K107" i="15"/>
  <c r="TW107" i="15"/>
  <c r="TS107" i="15"/>
  <c r="BO107" i="15"/>
  <c r="TK107" i="15"/>
  <c r="QM107" i="15"/>
  <c r="KM107" i="15"/>
  <c r="FS107" i="15"/>
  <c r="AQ107" i="15"/>
  <c r="PW107" i="15"/>
  <c r="IA107" i="15"/>
  <c r="FO107" i="15"/>
  <c r="CU107" i="15"/>
  <c r="OE107" i="15"/>
  <c r="JO107" i="15"/>
  <c r="NW107" i="15"/>
  <c r="IE107" i="15"/>
  <c r="DO107" i="15"/>
  <c r="MY107" i="15"/>
  <c r="SM107" i="15"/>
  <c r="HO107" i="15"/>
  <c r="MI107" i="15"/>
  <c r="CE107" i="15"/>
  <c r="SE107" i="15"/>
  <c r="HC107" i="15"/>
  <c r="CA107" i="15"/>
  <c r="PO107" i="15"/>
  <c r="EQ107" i="15"/>
  <c r="AM107" i="15"/>
  <c r="JW107" i="15"/>
  <c r="JS107" i="15"/>
  <c r="AE107" i="15"/>
  <c r="SI107" i="15"/>
  <c r="UM102" i="15"/>
  <c r="UE102" i="15"/>
  <c r="TK102" i="15"/>
  <c r="SQ102" i="15"/>
  <c r="RW102" i="15"/>
  <c r="RC102" i="15"/>
  <c r="QI102" i="15"/>
  <c r="PO102" i="15"/>
  <c r="OU102" i="15"/>
  <c r="OA102" i="15"/>
  <c r="NG102" i="15"/>
  <c r="MM102" i="15"/>
  <c r="RS102" i="15"/>
  <c r="OE102" i="15"/>
  <c r="TO102" i="15"/>
  <c r="QU102" i="15"/>
  <c r="LK102" i="15"/>
  <c r="JS102" i="15"/>
  <c r="IA102" i="15"/>
  <c r="GI102" i="15"/>
  <c r="FK102" i="15"/>
  <c r="DS102" i="15"/>
  <c r="CA102" i="15"/>
  <c r="AI102" i="15"/>
  <c r="PW102" i="15"/>
  <c r="NC102" i="15"/>
  <c r="QQ102" i="15"/>
  <c r="NW102" i="15"/>
  <c r="LG102" i="15"/>
  <c r="JO102" i="15"/>
  <c r="HW102" i="15"/>
  <c r="GY102" i="15"/>
  <c r="FG102" i="15"/>
  <c r="DO102" i="15"/>
  <c r="BW102" i="15"/>
  <c r="UA102" i="15"/>
  <c r="QM102" i="15"/>
  <c r="NS102" i="15"/>
  <c r="LC102" i="15"/>
  <c r="JK102" i="15"/>
  <c r="IM102" i="15"/>
  <c r="GU102" i="15"/>
  <c r="FC102" i="15"/>
  <c r="DK102" i="15"/>
  <c r="BS102" i="15"/>
  <c r="AU102" i="15"/>
  <c r="C102" i="15"/>
  <c r="SI102" i="15"/>
  <c r="QA102" i="15"/>
  <c r="NO102" i="15"/>
  <c r="KA102" i="15"/>
  <c r="HS102" i="15"/>
  <c r="GQ102" i="15"/>
  <c r="EI102" i="15"/>
  <c r="DG102" i="15"/>
  <c r="AY102" i="15"/>
  <c r="OQ102" i="15"/>
  <c r="MI102" i="15"/>
  <c r="IY102" i="15"/>
  <c r="FO102" i="15"/>
  <c r="ME102" i="15"/>
  <c r="IU102" i="15"/>
  <c r="DC102" i="15"/>
  <c r="SE102" i="15"/>
  <c r="HO102" i="15"/>
  <c r="EE102" i="15"/>
  <c r="S102" i="15"/>
  <c r="MY102" i="15"/>
  <c r="DW102" i="15"/>
  <c r="AM102" i="15"/>
  <c r="RG102" i="15"/>
  <c r="KM102" i="15"/>
  <c r="JC102" i="15"/>
  <c r="EM102" i="15"/>
  <c r="CY102" i="15"/>
  <c r="BK102" i="15"/>
  <c r="QY102" i="15"/>
  <c r="PG102" i="15"/>
  <c r="HK102" i="15"/>
  <c r="FW102" i="15"/>
  <c r="CU102" i="15"/>
  <c r="SU102" i="15"/>
  <c r="LW102" i="15"/>
  <c r="W102" i="15"/>
  <c r="UI102" i="15"/>
  <c r="NK102" i="15"/>
  <c r="SM102" i="15"/>
  <c r="IQ102" i="15"/>
  <c r="HG102" i="15"/>
  <c r="PC102" i="15"/>
  <c r="LS102" i="15"/>
  <c r="HC102" i="15"/>
  <c r="FS102" i="15"/>
  <c r="BC102" i="15"/>
  <c r="LO102" i="15"/>
  <c r="K102" i="15"/>
  <c r="KQ102" i="15"/>
  <c r="AA102" i="15"/>
  <c r="PK102" i="15"/>
  <c r="KI102" i="15"/>
  <c r="IE102" i="15"/>
  <c r="GA102" i="15"/>
  <c r="UQ102" i="15"/>
  <c r="OY102" i="15"/>
  <c r="MQ102" i="15"/>
  <c r="KE102" i="15"/>
  <c r="RO102" i="15"/>
  <c r="JW102" i="15"/>
  <c r="BO102" i="15"/>
  <c r="O102" i="15"/>
  <c r="TW102" i="15"/>
  <c r="OM102" i="15"/>
  <c r="G102" i="15"/>
  <c r="RK102" i="15"/>
  <c r="TS102" i="15"/>
  <c r="OI102" i="15"/>
  <c r="TG102" i="15"/>
  <c r="EY102" i="15"/>
  <c r="AQ102" i="15"/>
  <c r="JG102" i="15"/>
  <c r="CQ102" i="15"/>
  <c r="TC102" i="15"/>
  <c r="SY102" i="15"/>
  <c r="MU102" i="15"/>
  <c r="CE102" i="15"/>
  <c r="MA102" i="15"/>
  <c r="GM102" i="15"/>
  <c r="BG102" i="15"/>
  <c r="SA102" i="15"/>
  <c r="KY102" i="15"/>
  <c r="GE102" i="15"/>
  <c r="QE102" i="15"/>
  <c r="KU102" i="15"/>
  <c r="EQ102" i="15"/>
  <c r="EA102" i="15"/>
  <c r="PS102" i="15"/>
  <c r="CM102" i="15"/>
  <c r="CI102" i="15"/>
  <c r="AE102" i="15"/>
  <c r="II102" i="15"/>
  <c r="EU102" i="15"/>
  <c r="UQ68" i="15"/>
  <c r="TW68" i="15"/>
  <c r="TC68" i="15"/>
  <c r="SI68" i="15"/>
  <c r="RO68" i="15"/>
  <c r="QU68" i="15"/>
  <c r="QA68" i="15"/>
  <c r="PG68" i="15"/>
  <c r="OM68" i="15"/>
  <c r="NS68" i="15"/>
  <c r="MY68" i="15"/>
  <c r="ME68" i="15"/>
  <c r="LK68" i="15"/>
  <c r="KQ68" i="15"/>
  <c r="JW68" i="15"/>
  <c r="UM68" i="15"/>
  <c r="TS68" i="15"/>
  <c r="SY68" i="15"/>
  <c r="SE68" i="15"/>
  <c r="UI68" i="15"/>
  <c r="TO68" i="15"/>
  <c r="SU68" i="15"/>
  <c r="SA68" i="15"/>
  <c r="RG68" i="15"/>
  <c r="QM68" i="15"/>
  <c r="PS68" i="15"/>
  <c r="OY68" i="15"/>
  <c r="UE68" i="15"/>
  <c r="TK68" i="15"/>
  <c r="SQ68" i="15"/>
  <c r="NO68" i="15"/>
  <c r="MI68" i="15"/>
  <c r="JK68" i="15"/>
  <c r="IA68" i="15"/>
  <c r="GY68" i="15"/>
  <c r="FO68" i="15"/>
  <c r="EE68" i="15"/>
  <c r="DC68" i="15"/>
  <c r="BS68" i="15"/>
  <c r="AI68" i="15"/>
  <c r="G68" i="15"/>
  <c r="NK68" i="15"/>
  <c r="MA68" i="15"/>
  <c r="GU68" i="15"/>
  <c r="CY68" i="15"/>
  <c r="C68" i="15"/>
  <c r="UA68" i="15"/>
  <c r="KU68" i="15"/>
  <c r="GQ68" i="15"/>
  <c r="CU68" i="15"/>
  <c r="RW68" i="15"/>
  <c r="QI68" i="15"/>
  <c r="OU68" i="15"/>
  <c r="LW68" i="15"/>
  <c r="KM68" i="15"/>
  <c r="JG68" i="15"/>
  <c r="HW68" i="15"/>
  <c r="GM68" i="15"/>
  <c r="FK68" i="15"/>
  <c r="EA68" i="15"/>
  <c r="CQ68" i="15"/>
  <c r="BO68" i="15"/>
  <c r="AE68" i="15"/>
  <c r="NG68" i="15"/>
  <c r="KI68" i="15"/>
  <c r="JC68" i="15"/>
  <c r="FG68" i="15"/>
  <c r="BK68" i="15"/>
  <c r="IY68" i="15"/>
  <c r="FC68" i="15"/>
  <c r="BG68" i="15"/>
  <c r="RS68" i="15"/>
  <c r="QE68" i="15"/>
  <c r="OQ68" i="15"/>
  <c r="LS68" i="15"/>
  <c r="RK68" i="15"/>
  <c r="PW68" i="15"/>
  <c r="OI68" i="15"/>
  <c r="IU68" i="15"/>
  <c r="HS68" i="15"/>
  <c r="GI68" i="15"/>
  <c r="EY68" i="15"/>
  <c r="DW68" i="15"/>
  <c r="CM68" i="15"/>
  <c r="BC68" i="15"/>
  <c r="AA68" i="15"/>
  <c r="NC68" i="15"/>
  <c r="KE68" i="15"/>
  <c r="HO68" i="15"/>
  <c r="DS68" i="15"/>
  <c r="W68" i="15"/>
  <c r="TG68" i="15"/>
  <c r="OE68" i="15"/>
  <c r="MU68" i="15"/>
  <c r="HK68" i="15"/>
  <c r="DO68" i="15"/>
  <c r="S68" i="15"/>
  <c r="LO68" i="15"/>
  <c r="OA68" i="15"/>
  <c r="LC68" i="15"/>
  <c r="JS68" i="15"/>
  <c r="FW68" i="15"/>
  <c r="CA68" i="15"/>
  <c r="EU68" i="15"/>
  <c r="O68" i="15"/>
  <c r="PO68" i="15"/>
  <c r="KA68" i="15"/>
  <c r="JO68" i="15"/>
  <c r="EQ68" i="15"/>
  <c r="K68" i="15"/>
  <c r="PK68" i="15"/>
  <c r="EM68" i="15"/>
  <c r="PC68" i="15"/>
  <c r="EI68" i="15"/>
  <c r="IQ68" i="15"/>
  <c r="DK68" i="15"/>
  <c r="II68" i="15"/>
  <c r="NW68" i="15"/>
  <c r="IE68" i="15"/>
  <c r="MQ68" i="15"/>
  <c r="HG68" i="15"/>
  <c r="CI68" i="15"/>
  <c r="CE68" i="15"/>
  <c r="MM68" i="15"/>
  <c r="HC68" i="15"/>
  <c r="BW68" i="15"/>
  <c r="LG68" i="15"/>
  <c r="GE68" i="15"/>
  <c r="AY68" i="15"/>
  <c r="RC68" i="15"/>
  <c r="GA68" i="15"/>
  <c r="FS68" i="15"/>
  <c r="DG68" i="15"/>
  <c r="SM68" i="15"/>
  <c r="QY68" i="15"/>
  <c r="AU68" i="15"/>
  <c r="QQ68" i="15"/>
  <c r="AQ68" i="15"/>
  <c r="AM68" i="15"/>
  <c r="KY68" i="15"/>
  <c r="IM68" i="15"/>
  <c r="SM97" i="15"/>
  <c r="PG97" i="15"/>
  <c r="MU97" i="15"/>
  <c r="JO97" i="15"/>
  <c r="GI97" i="15"/>
  <c r="DC97" i="15"/>
  <c r="W97" i="15"/>
  <c r="TG97" i="15"/>
  <c r="QA97" i="15"/>
  <c r="NO97" i="15"/>
  <c r="KI97" i="15"/>
  <c r="HC97" i="15"/>
  <c r="DW97" i="15"/>
  <c r="AQ97" i="15"/>
  <c r="UA97" i="15"/>
  <c r="QU97" i="15"/>
  <c r="OI97" i="15"/>
  <c r="LC97" i="15"/>
  <c r="HW97" i="15"/>
  <c r="EQ97" i="15"/>
  <c r="BK97" i="15"/>
  <c r="TC97" i="15"/>
  <c r="QQ97" i="15"/>
  <c r="NK97" i="15"/>
  <c r="KE97" i="15"/>
  <c r="GY97" i="15"/>
  <c r="DS97" i="15"/>
  <c r="BG97" i="15"/>
  <c r="TW97" i="15"/>
  <c r="RK97" i="15"/>
  <c r="OE97" i="15"/>
  <c r="KY97" i="15"/>
  <c r="HS97" i="15"/>
  <c r="EM97" i="15"/>
  <c r="TS97" i="15"/>
  <c r="RS97" i="15"/>
  <c r="QM97" i="15"/>
  <c r="OM97" i="15"/>
  <c r="NG97" i="15"/>
  <c r="KA97" i="15"/>
  <c r="GU97" i="15"/>
  <c r="DO97" i="15"/>
  <c r="RO97" i="15"/>
  <c r="IY97" i="15"/>
  <c r="FS97" i="15"/>
  <c r="AM97" i="15"/>
  <c r="SQ97" i="15"/>
  <c r="PK97" i="15"/>
  <c r="ME97" i="15"/>
  <c r="BO97" i="15"/>
  <c r="UQ97" i="15"/>
  <c r="GQ97" i="15"/>
  <c r="CM97" i="15"/>
  <c r="K97" i="15"/>
  <c r="TO97" i="15"/>
  <c r="QI97" i="15"/>
  <c r="NC97" i="15"/>
  <c r="JW97" i="15"/>
  <c r="DK97" i="15"/>
  <c r="AI97" i="15"/>
  <c r="MA97" i="15"/>
  <c r="IU97" i="15"/>
  <c r="FO97" i="15"/>
  <c r="EI97" i="15"/>
  <c r="UM97" i="15"/>
  <c r="RG97" i="15"/>
  <c r="PC97" i="15"/>
  <c r="OA97" i="15"/>
  <c r="LW97" i="15"/>
  <c r="KU97" i="15"/>
  <c r="IQ97" i="15"/>
  <c r="HO97" i="15"/>
  <c r="FK97" i="15"/>
  <c r="SI97" i="15"/>
  <c r="JS97" i="15"/>
  <c r="GM97" i="15"/>
  <c r="CI97" i="15"/>
  <c r="G97" i="15"/>
  <c r="TK97" i="15"/>
  <c r="SE97" i="15"/>
  <c r="QE97" i="15"/>
  <c r="OY97" i="15"/>
  <c r="MY97" i="15"/>
  <c r="LS97" i="15"/>
  <c r="IM97" i="15"/>
  <c r="FG97" i="15"/>
  <c r="DG97" i="15"/>
  <c r="CE97" i="15"/>
  <c r="AE97" i="15"/>
  <c r="HK97" i="15"/>
  <c r="EE97" i="15"/>
  <c r="BC97" i="15"/>
  <c r="FC97" i="15"/>
  <c r="C97" i="15"/>
  <c r="SA97" i="15"/>
  <c r="PW97" i="15"/>
  <c r="OU97" i="15"/>
  <c r="MQ97" i="15"/>
  <c r="LO97" i="15"/>
  <c r="JK97" i="15"/>
  <c r="II97" i="15"/>
  <c r="CA97" i="15"/>
  <c r="UE97" i="15"/>
  <c r="MI97" i="15"/>
  <c r="JG97" i="15"/>
  <c r="EU97" i="15"/>
  <c r="RC97" i="15"/>
  <c r="OQ97" i="15"/>
  <c r="BW97" i="15"/>
  <c r="S97" i="15"/>
  <c r="EA97" i="15"/>
  <c r="QY97" i="15"/>
  <c r="JC97" i="15"/>
  <c r="GE97" i="15"/>
  <c r="O97" i="15"/>
  <c r="NW97" i="15"/>
  <c r="LK97" i="15"/>
  <c r="GA97" i="15"/>
  <c r="BS97" i="15"/>
  <c r="SY97" i="15"/>
  <c r="NS97" i="15"/>
  <c r="LG97" i="15"/>
  <c r="IE97" i="15"/>
  <c r="FW97" i="15"/>
  <c r="KM97" i="15"/>
  <c r="SU97" i="15"/>
  <c r="PS97" i="15"/>
  <c r="CY97" i="15"/>
  <c r="AA97" i="15"/>
  <c r="KQ97" i="15"/>
  <c r="EY97" i="15"/>
  <c r="RW97" i="15"/>
  <c r="CU97" i="15"/>
  <c r="PO97" i="15"/>
  <c r="IA97" i="15"/>
  <c r="HG97" i="15"/>
  <c r="AY97" i="15"/>
  <c r="MM97" i="15"/>
  <c r="AU97" i="15"/>
  <c r="UI97" i="15"/>
  <c r="CQ97" i="15"/>
  <c r="UI22" i="15"/>
  <c r="TO22" i="15"/>
  <c r="SU22" i="15"/>
  <c r="SA22" i="15"/>
  <c r="RG22" i="15"/>
  <c r="QM22" i="15"/>
  <c r="PS22" i="15"/>
  <c r="OY22" i="15"/>
  <c r="OE22" i="15"/>
  <c r="NK22" i="15"/>
  <c r="MQ22" i="15"/>
  <c r="LW22" i="15"/>
  <c r="LC22" i="15"/>
  <c r="KI22" i="15"/>
  <c r="JO22" i="15"/>
  <c r="IU22" i="15"/>
  <c r="IA22" i="15"/>
  <c r="HG22" i="15"/>
  <c r="GM22" i="15"/>
  <c r="FS22" i="15"/>
  <c r="EY22" i="15"/>
  <c r="EE22" i="15"/>
  <c r="DK22" i="15"/>
  <c r="CQ22" i="15"/>
  <c r="BW22" i="15"/>
  <c r="BC22" i="15"/>
  <c r="AI22" i="15"/>
  <c r="O22" i="15"/>
  <c r="UQ22" i="15"/>
  <c r="TS22" i="15"/>
  <c r="SQ22" i="15"/>
  <c r="RS22" i="15"/>
  <c r="QU22" i="15"/>
  <c r="PW22" i="15"/>
  <c r="OU22" i="15"/>
  <c r="NW22" i="15"/>
  <c r="MY22" i="15"/>
  <c r="MA22" i="15"/>
  <c r="KY22" i="15"/>
  <c r="KA22" i="15"/>
  <c r="JC22" i="15"/>
  <c r="IE22" i="15"/>
  <c r="HC22" i="15"/>
  <c r="GE22" i="15"/>
  <c r="FG22" i="15"/>
  <c r="EI22" i="15"/>
  <c r="DG22" i="15"/>
  <c r="CI22" i="15"/>
  <c r="BK22" i="15"/>
  <c r="AM22" i="15"/>
  <c r="K22" i="15"/>
  <c r="UA22" i="15"/>
  <c r="TC22" i="15"/>
  <c r="SE22" i="15"/>
  <c r="RC22" i="15"/>
  <c r="QE22" i="15"/>
  <c r="PG22" i="15"/>
  <c r="OI22" i="15"/>
  <c r="NG22" i="15"/>
  <c r="MI22" i="15"/>
  <c r="LK22" i="15"/>
  <c r="KM22" i="15"/>
  <c r="JK22" i="15"/>
  <c r="IM22" i="15"/>
  <c r="HO22" i="15"/>
  <c r="GQ22" i="15"/>
  <c r="FO22" i="15"/>
  <c r="EQ22" i="15"/>
  <c r="DS22" i="15"/>
  <c r="CU22" i="15"/>
  <c r="BS22" i="15"/>
  <c r="AU22" i="15"/>
  <c r="W22" i="15"/>
  <c r="PO22" i="15"/>
  <c r="MM22" i="15"/>
  <c r="GA22" i="15"/>
  <c r="CY22" i="15"/>
  <c r="SY22" i="15"/>
  <c r="JG22" i="15"/>
  <c r="S22" i="15"/>
  <c r="SM22" i="15"/>
  <c r="PK22" i="15"/>
  <c r="IY22" i="15"/>
  <c r="FW22" i="15"/>
  <c r="G22" i="15"/>
  <c r="ME22" i="15"/>
  <c r="CM22" i="15"/>
  <c r="SI22" i="15"/>
  <c r="LS22" i="15"/>
  <c r="IQ22" i="15"/>
  <c r="CE22" i="15"/>
  <c r="C22" i="15"/>
  <c r="PC22" i="15"/>
  <c r="FK22" i="15"/>
  <c r="OQ22" i="15"/>
  <c r="LO22" i="15"/>
  <c r="FC22" i="15"/>
  <c r="CA22" i="15"/>
  <c r="RW22" i="15"/>
  <c r="II22" i="15"/>
  <c r="RO22" i="15"/>
  <c r="OM22" i="15"/>
  <c r="HW22" i="15"/>
  <c r="EU22" i="15"/>
  <c r="LG22" i="15"/>
  <c r="BO22" i="15"/>
  <c r="UM22" i="15"/>
  <c r="RK22" i="15"/>
  <c r="KU22" i="15"/>
  <c r="HS22" i="15"/>
  <c r="BG22" i="15"/>
  <c r="OA22" i="15"/>
  <c r="EM22" i="15"/>
  <c r="UE22" i="15"/>
  <c r="NS22" i="15"/>
  <c r="KQ22" i="15"/>
  <c r="EA22" i="15"/>
  <c r="AY22" i="15"/>
  <c r="TW22" i="15"/>
  <c r="KE22" i="15"/>
  <c r="AQ22" i="15"/>
  <c r="TK22" i="15"/>
  <c r="QI22" i="15"/>
  <c r="JW22" i="15"/>
  <c r="GU22" i="15"/>
  <c r="AE22" i="15"/>
  <c r="NO22" i="15"/>
  <c r="NC22" i="15"/>
  <c r="MU22" i="15"/>
  <c r="AA22" i="15"/>
  <c r="TG22" i="15"/>
  <c r="JS22" i="15"/>
  <c r="HK22" i="15"/>
  <c r="GY22" i="15"/>
  <c r="QY22" i="15"/>
  <c r="QQ22" i="15"/>
  <c r="DW22" i="15"/>
  <c r="QA22" i="15"/>
  <c r="GI22" i="15"/>
  <c r="DO22" i="15"/>
  <c r="DC22" i="15"/>
  <c r="UQ25" i="15"/>
  <c r="TW25" i="15"/>
  <c r="TC25" i="15"/>
  <c r="SI25" i="15"/>
  <c r="SE25" i="15"/>
  <c r="RK25" i="15"/>
  <c r="QQ25" i="15"/>
  <c r="PW25" i="15"/>
  <c r="PC25" i="15"/>
  <c r="OI25" i="15"/>
  <c r="NO25" i="15"/>
  <c r="MU25" i="15"/>
  <c r="MA25" i="15"/>
  <c r="LG25" i="15"/>
  <c r="KM25" i="15"/>
  <c r="JS25" i="15"/>
  <c r="IY25" i="15"/>
  <c r="IE25" i="15"/>
  <c r="HK25" i="15"/>
  <c r="GQ25" i="15"/>
  <c r="FW25" i="15"/>
  <c r="FC25" i="15"/>
  <c r="EI25" i="15"/>
  <c r="DO25" i="15"/>
  <c r="CU25" i="15"/>
  <c r="CA25" i="15"/>
  <c r="BG25" i="15"/>
  <c r="AM25" i="15"/>
  <c r="S25" i="15"/>
  <c r="SY25" i="15"/>
  <c r="TS25" i="15"/>
  <c r="UM25" i="15"/>
  <c r="SA25" i="15"/>
  <c r="RG25" i="15"/>
  <c r="QM25" i="15"/>
  <c r="PS25" i="15"/>
  <c r="OY25" i="15"/>
  <c r="OE25" i="15"/>
  <c r="NK25" i="15"/>
  <c r="MQ25" i="15"/>
  <c r="LW25" i="15"/>
  <c r="LC25" i="15"/>
  <c r="KI25" i="15"/>
  <c r="SU25" i="15"/>
  <c r="TO25" i="15"/>
  <c r="UI25" i="15"/>
  <c r="SQ25" i="15"/>
  <c r="TK25" i="15"/>
  <c r="UE25" i="15"/>
  <c r="RS25" i="15"/>
  <c r="QY25" i="15"/>
  <c r="SM25" i="15"/>
  <c r="QA25" i="15"/>
  <c r="MY25" i="15"/>
  <c r="JW25" i="15"/>
  <c r="HC25" i="15"/>
  <c r="CM25" i="15"/>
  <c r="TG25" i="15"/>
  <c r="PO25" i="15"/>
  <c r="MM25" i="15"/>
  <c r="JO25" i="15"/>
  <c r="GY25" i="15"/>
  <c r="PK25" i="15"/>
  <c r="MI25" i="15"/>
  <c r="JK25" i="15"/>
  <c r="EM25" i="15"/>
  <c r="CI25" i="15"/>
  <c r="AQ25" i="15"/>
  <c r="JG25" i="15"/>
  <c r="EE25" i="15"/>
  <c r="AI25" i="15"/>
  <c r="GU25" i="15"/>
  <c r="EA25" i="15"/>
  <c r="AE25" i="15"/>
  <c r="PG25" i="15"/>
  <c r="ME25" i="15"/>
  <c r="GM25" i="15"/>
  <c r="OU25" i="15"/>
  <c r="LS25" i="15"/>
  <c r="JC25" i="15"/>
  <c r="GI25" i="15"/>
  <c r="DW25" i="15"/>
  <c r="CE25" i="15"/>
  <c r="AA25" i="15"/>
  <c r="RW25" i="15"/>
  <c r="IQ25" i="15"/>
  <c r="BS25" i="15"/>
  <c r="IM25" i="15"/>
  <c r="RC25" i="15"/>
  <c r="NW25" i="15"/>
  <c r="KU25" i="15"/>
  <c r="II25" i="15"/>
  <c r="FO25" i="15"/>
  <c r="DG25" i="15"/>
  <c r="K25" i="15"/>
  <c r="IA25" i="15"/>
  <c r="FK25" i="15"/>
  <c r="QU25" i="15"/>
  <c r="NS25" i="15"/>
  <c r="KQ25" i="15"/>
  <c r="HS25" i="15"/>
  <c r="BC25" i="15"/>
  <c r="QI25" i="15"/>
  <c r="NG25" i="15"/>
  <c r="KE25" i="15"/>
  <c r="FG25" i="15"/>
  <c r="AY25" i="15"/>
  <c r="QE25" i="15"/>
  <c r="NC25" i="15"/>
  <c r="KA25" i="15"/>
  <c r="EY25" i="15"/>
  <c r="LO25" i="15"/>
  <c r="DK25" i="15"/>
  <c r="LK25" i="15"/>
  <c r="DC25" i="15"/>
  <c r="KY25" i="15"/>
  <c r="CY25" i="15"/>
  <c r="CQ25" i="15"/>
  <c r="BW25" i="15"/>
  <c r="BO25" i="15"/>
  <c r="UA25" i="15"/>
  <c r="IU25" i="15"/>
  <c r="BK25" i="15"/>
  <c r="AU25" i="15"/>
  <c r="HW25" i="15"/>
  <c r="RO25" i="15"/>
  <c r="HO25" i="15"/>
  <c r="HG25" i="15"/>
  <c r="W25" i="15"/>
  <c r="GE25" i="15"/>
  <c r="O25" i="15"/>
  <c r="OM25" i="15"/>
  <c r="OA25" i="15"/>
  <c r="EU25" i="15"/>
  <c r="OQ25" i="15"/>
  <c r="GA25" i="15"/>
  <c r="FS25" i="15"/>
  <c r="EQ25" i="15"/>
  <c r="DS25" i="15"/>
  <c r="G25" i="15"/>
  <c r="C25" i="15"/>
  <c r="UM43" i="15"/>
  <c r="TS43" i="15"/>
  <c r="SY43" i="15"/>
  <c r="SE43" i="15"/>
  <c r="RK43" i="15"/>
  <c r="QQ43" i="15"/>
  <c r="PW43" i="15"/>
  <c r="PC43" i="15"/>
  <c r="OI43" i="15"/>
  <c r="NO43" i="15"/>
  <c r="MU43" i="15"/>
  <c r="MA43" i="15"/>
  <c r="LG43" i="15"/>
  <c r="KM43" i="15"/>
  <c r="JS43" i="15"/>
  <c r="IY43" i="15"/>
  <c r="IE43" i="15"/>
  <c r="HK43" i="15"/>
  <c r="GQ43" i="15"/>
  <c r="FW43" i="15"/>
  <c r="FC43" i="15"/>
  <c r="EI43" i="15"/>
  <c r="DO43" i="15"/>
  <c r="CU43" i="15"/>
  <c r="CA43" i="15"/>
  <c r="BG43" i="15"/>
  <c r="AM43" i="15"/>
  <c r="UE43" i="15"/>
  <c r="TK43" i="15"/>
  <c r="SQ43" i="15"/>
  <c r="RW43" i="15"/>
  <c r="RC43" i="15"/>
  <c r="QI43" i="15"/>
  <c r="PO43" i="15"/>
  <c r="DK43" i="15"/>
  <c r="C43" i="15"/>
  <c r="OU43" i="15"/>
  <c r="NW43" i="15"/>
  <c r="MY43" i="15"/>
  <c r="LW43" i="15"/>
  <c r="KY43" i="15"/>
  <c r="KA43" i="15"/>
  <c r="JC43" i="15"/>
  <c r="IA43" i="15"/>
  <c r="HC43" i="15"/>
  <c r="GE43" i="15"/>
  <c r="FG43" i="15"/>
  <c r="CM43" i="15"/>
  <c r="W43" i="15"/>
  <c r="SU43" i="15"/>
  <c r="PS43" i="15"/>
  <c r="BO43" i="15"/>
  <c r="TW43" i="15"/>
  <c r="QU43" i="15"/>
  <c r="EE43" i="15"/>
  <c r="AQ43" i="15"/>
  <c r="RS43" i="15"/>
  <c r="DG43" i="15"/>
  <c r="S43" i="15"/>
  <c r="OQ43" i="15"/>
  <c r="NS43" i="15"/>
  <c r="MQ43" i="15"/>
  <c r="LS43" i="15"/>
  <c r="KU43" i="15"/>
  <c r="JW43" i="15"/>
  <c r="IU43" i="15"/>
  <c r="HW43" i="15"/>
  <c r="GY43" i="15"/>
  <c r="GA43" i="15"/>
  <c r="CI43" i="15"/>
  <c r="EY43" i="15"/>
  <c r="BK43" i="15"/>
  <c r="UQ43" i="15"/>
  <c r="RO43" i="15"/>
  <c r="DC43" i="15"/>
  <c r="O43" i="15"/>
  <c r="SM43" i="15"/>
  <c r="PK43" i="15"/>
  <c r="OM43" i="15"/>
  <c r="NK43" i="15"/>
  <c r="MM43" i="15"/>
  <c r="LO43" i="15"/>
  <c r="KQ43" i="15"/>
  <c r="JO43" i="15"/>
  <c r="IQ43" i="15"/>
  <c r="HS43" i="15"/>
  <c r="GU43" i="15"/>
  <c r="FS43" i="15"/>
  <c r="CE43" i="15"/>
  <c r="AI43" i="15"/>
  <c r="EU43" i="15"/>
  <c r="DW43" i="15"/>
  <c r="BC43" i="15"/>
  <c r="TG43" i="15"/>
  <c r="QE43" i="15"/>
  <c r="EQ43" i="15"/>
  <c r="DS43" i="15"/>
  <c r="AY43" i="15"/>
  <c r="G43" i="15"/>
  <c r="SI43" i="15"/>
  <c r="IM43" i="15"/>
  <c r="SA43" i="15"/>
  <c r="II43" i="15"/>
  <c r="AA43" i="15"/>
  <c r="LK43" i="15"/>
  <c r="LC43" i="15"/>
  <c r="OE43" i="15"/>
  <c r="RG43" i="15"/>
  <c r="OA43" i="15"/>
  <c r="BW43" i="15"/>
  <c r="K43" i="15"/>
  <c r="HO43" i="15"/>
  <c r="EM43" i="15"/>
  <c r="UI43" i="15"/>
  <c r="HG43" i="15"/>
  <c r="BS43" i="15"/>
  <c r="KI43" i="15"/>
  <c r="EA43" i="15"/>
  <c r="QM43" i="15"/>
  <c r="NG43" i="15"/>
  <c r="UA43" i="15"/>
  <c r="NC43" i="15"/>
  <c r="JG43" i="15"/>
  <c r="AU43" i="15"/>
  <c r="TC43" i="15"/>
  <c r="MI43" i="15"/>
  <c r="CY43" i="15"/>
  <c r="QY43" i="15"/>
  <c r="AE43" i="15"/>
  <c r="GM43" i="15"/>
  <c r="QA43" i="15"/>
  <c r="GI43" i="15"/>
  <c r="FK43" i="15"/>
  <c r="ME43" i="15"/>
  <c r="TO43" i="15"/>
  <c r="KE43" i="15"/>
  <c r="CQ43" i="15"/>
  <c r="PG43" i="15"/>
  <c r="JK43" i="15"/>
  <c r="OY43" i="15"/>
  <c r="FO43" i="15"/>
  <c r="DW106" i="15"/>
  <c r="BK106" i="15"/>
  <c r="UA106" i="15"/>
  <c r="TC106" i="15"/>
  <c r="RK106" i="15"/>
  <c r="PS106" i="15"/>
  <c r="OA106" i="15"/>
  <c r="MI106" i="15"/>
  <c r="LK106" i="15"/>
  <c r="JS106" i="15"/>
  <c r="IA106" i="15"/>
  <c r="GI106" i="15"/>
  <c r="EQ106" i="15"/>
  <c r="CE106" i="15"/>
  <c r="CY106" i="15"/>
  <c r="S106" i="15"/>
  <c r="SA106" i="15"/>
  <c r="QA106" i="15"/>
  <c r="MY106" i="15"/>
  <c r="SY106" i="15"/>
  <c r="KA106" i="15"/>
  <c r="GY106" i="15"/>
  <c r="EY106" i="15"/>
  <c r="EA106" i="15"/>
  <c r="DC106" i="15"/>
  <c r="CA106" i="15"/>
  <c r="BC106" i="15"/>
  <c r="AE106" i="15"/>
  <c r="G106" i="15"/>
  <c r="TW106" i="15"/>
  <c r="KY106" i="15"/>
  <c r="IY106" i="15"/>
  <c r="HW106" i="15"/>
  <c r="FW106" i="15"/>
  <c r="SU106" i="15"/>
  <c r="QU106" i="15"/>
  <c r="NS106" i="15"/>
  <c r="EU106" i="15"/>
  <c r="DS106" i="15"/>
  <c r="CU106" i="15"/>
  <c r="BW106" i="15"/>
  <c r="AY106" i="15"/>
  <c r="AA106" i="15"/>
  <c r="SQ106" i="15"/>
  <c r="QQ106" i="15"/>
  <c r="PO106" i="15"/>
  <c r="NO106" i="15"/>
  <c r="KM106" i="15"/>
  <c r="EM106" i="15"/>
  <c r="DO106" i="15"/>
  <c r="CQ106" i="15"/>
  <c r="BS106" i="15"/>
  <c r="AU106" i="15"/>
  <c r="RS106" i="15"/>
  <c r="QI106" i="15"/>
  <c r="PC106" i="15"/>
  <c r="JO106" i="15"/>
  <c r="UI106" i="15"/>
  <c r="RO106" i="15"/>
  <c r="OY106" i="15"/>
  <c r="ME106" i="15"/>
  <c r="GU106" i="15"/>
  <c r="FO106" i="15"/>
  <c r="OU106" i="15"/>
  <c r="FK106" i="15"/>
  <c r="C106" i="15"/>
  <c r="UE106" i="15"/>
  <c r="OQ106" i="15"/>
  <c r="MA106" i="15"/>
  <c r="KQ106" i="15"/>
  <c r="RG106" i="15"/>
  <c r="OM106" i="15"/>
  <c r="LW106" i="15"/>
  <c r="SM106" i="15"/>
  <c r="NC106" i="15"/>
  <c r="LS106" i="15"/>
  <c r="KI106" i="15"/>
  <c r="JC106" i="15"/>
  <c r="CM106" i="15"/>
  <c r="NK106" i="15"/>
  <c r="RC106" i="15"/>
  <c r="PG106" i="15"/>
  <c r="JK106" i="15"/>
  <c r="FS106" i="15"/>
  <c r="TG106" i="15"/>
  <c r="QY106" i="15"/>
  <c r="NG106" i="15"/>
  <c r="LG106" i="15"/>
  <c r="HK106" i="15"/>
  <c r="UQ106" i="15"/>
  <c r="JG106" i="15"/>
  <c r="W106" i="15"/>
  <c r="OE106" i="15"/>
  <c r="IU106" i="15"/>
  <c r="GQ106" i="15"/>
  <c r="CI106" i="15"/>
  <c r="NW106" i="15"/>
  <c r="LO106" i="15"/>
  <c r="GM106" i="15"/>
  <c r="O106" i="15"/>
  <c r="SI106" i="15"/>
  <c r="QE106" i="15"/>
  <c r="EI106" i="15"/>
  <c r="SE106" i="15"/>
  <c r="PW106" i="15"/>
  <c r="IQ106" i="15"/>
  <c r="EE106" i="15"/>
  <c r="IM106" i="15"/>
  <c r="BG106" i="15"/>
  <c r="MU106" i="15"/>
  <c r="GA106" i="15"/>
  <c r="DK106" i="15"/>
  <c r="RW106" i="15"/>
  <c r="II106" i="15"/>
  <c r="TS106" i="15"/>
  <c r="MQ106" i="15"/>
  <c r="FG106" i="15"/>
  <c r="HG106" i="15"/>
  <c r="QM106" i="15"/>
  <c r="HC106" i="15"/>
  <c r="UM106" i="15"/>
  <c r="LC106" i="15"/>
  <c r="KU106" i="15"/>
  <c r="GE106" i="15"/>
  <c r="BO106" i="15"/>
  <c r="PK106" i="15"/>
  <c r="TO106" i="15"/>
  <c r="KE106" i="15"/>
  <c r="FC106" i="15"/>
  <c r="OI106" i="15"/>
  <c r="JW106" i="15"/>
  <c r="TK106" i="15"/>
  <c r="AM106" i="15"/>
  <c r="MM106" i="15"/>
  <c r="AQ106" i="15"/>
  <c r="IE106" i="15"/>
  <c r="HS106" i="15"/>
  <c r="HO106" i="15"/>
  <c r="DG106" i="15"/>
  <c r="AI106" i="15"/>
  <c r="K106" i="15"/>
  <c r="UE28" i="15"/>
  <c r="TK28" i="15"/>
  <c r="SQ28" i="15"/>
  <c r="RW28" i="15"/>
  <c r="RC28" i="15"/>
  <c r="QI28" i="15"/>
  <c r="PO28" i="15"/>
  <c r="OU28" i="15"/>
  <c r="OA28" i="15"/>
  <c r="NG28" i="15"/>
  <c r="MM28" i="15"/>
  <c r="LS28" i="15"/>
  <c r="KY28" i="15"/>
  <c r="KE28" i="15"/>
  <c r="JK28" i="15"/>
  <c r="IQ28" i="15"/>
  <c r="HW28" i="15"/>
  <c r="HC28" i="15"/>
  <c r="GI28" i="15"/>
  <c r="FO28" i="15"/>
  <c r="EU28" i="15"/>
  <c r="EA28" i="15"/>
  <c r="DG28" i="15"/>
  <c r="UA28" i="15"/>
  <c r="TG28" i="15"/>
  <c r="SM28" i="15"/>
  <c r="RS28" i="15"/>
  <c r="UQ28" i="15"/>
  <c r="TW28" i="15"/>
  <c r="TC28" i="15"/>
  <c r="SI28" i="15"/>
  <c r="PK28" i="15"/>
  <c r="MI28" i="15"/>
  <c r="JG28" i="15"/>
  <c r="GE28" i="15"/>
  <c r="DC28" i="15"/>
  <c r="CE28" i="15"/>
  <c r="G28" i="15"/>
  <c r="QM28" i="15"/>
  <c r="NK28" i="15"/>
  <c r="KI28" i="15"/>
  <c r="HG28" i="15"/>
  <c r="EE28" i="15"/>
  <c r="TS28" i="15"/>
  <c r="RK28" i="15"/>
  <c r="OI28" i="15"/>
  <c r="LG28" i="15"/>
  <c r="IE28" i="15"/>
  <c r="FC28" i="15"/>
  <c r="CA28" i="15"/>
  <c r="BC28" i="15"/>
  <c r="AE28" i="15"/>
  <c r="PG28" i="15"/>
  <c r="ME28" i="15"/>
  <c r="JC28" i="15"/>
  <c r="GA28" i="15"/>
  <c r="CY28" i="15"/>
  <c r="AA28" i="15"/>
  <c r="C28" i="15"/>
  <c r="QE28" i="15"/>
  <c r="NC28" i="15"/>
  <c r="KA28" i="15"/>
  <c r="GY28" i="15"/>
  <c r="DW28" i="15"/>
  <c r="TO28" i="15"/>
  <c r="RG28" i="15"/>
  <c r="OE28" i="15"/>
  <c r="LC28" i="15"/>
  <c r="IA28" i="15"/>
  <c r="EY28" i="15"/>
  <c r="PC28" i="15"/>
  <c r="MA28" i="15"/>
  <c r="IY28" i="15"/>
  <c r="FW28" i="15"/>
  <c r="CU28" i="15"/>
  <c r="BW28" i="15"/>
  <c r="AY28" i="15"/>
  <c r="SE28" i="15"/>
  <c r="AU28" i="15"/>
  <c r="W28" i="15"/>
  <c r="UM28" i="15"/>
  <c r="QA28" i="15"/>
  <c r="MY28" i="15"/>
  <c r="JW28" i="15"/>
  <c r="GU28" i="15"/>
  <c r="DS28" i="15"/>
  <c r="QY28" i="15"/>
  <c r="NW28" i="15"/>
  <c r="KU28" i="15"/>
  <c r="HS28" i="15"/>
  <c r="EQ28" i="15"/>
  <c r="SA28" i="15"/>
  <c r="PW28" i="15"/>
  <c r="MU28" i="15"/>
  <c r="JS28" i="15"/>
  <c r="GQ28" i="15"/>
  <c r="DO28" i="15"/>
  <c r="BO28" i="15"/>
  <c r="AQ28" i="15"/>
  <c r="UI28" i="15"/>
  <c r="QU28" i="15"/>
  <c r="NS28" i="15"/>
  <c r="KQ28" i="15"/>
  <c r="HO28" i="15"/>
  <c r="EM28" i="15"/>
  <c r="SY28" i="15"/>
  <c r="OQ28" i="15"/>
  <c r="LO28" i="15"/>
  <c r="IM28" i="15"/>
  <c r="FK28" i="15"/>
  <c r="CM28" i="15"/>
  <c r="AM28" i="15"/>
  <c r="O28" i="15"/>
  <c r="PS28" i="15"/>
  <c r="MQ28" i="15"/>
  <c r="JO28" i="15"/>
  <c r="GM28" i="15"/>
  <c r="DK28" i="15"/>
  <c r="CI28" i="15"/>
  <c r="BK28" i="15"/>
  <c r="LW28" i="15"/>
  <c r="BS28" i="15"/>
  <c r="QQ28" i="15"/>
  <c r="LK28" i="15"/>
  <c r="BG28" i="15"/>
  <c r="FS28" i="15"/>
  <c r="KM28" i="15"/>
  <c r="OY28" i="15"/>
  <c r="S28" i="15"/>
  <c r="EI28" i="15"/>
  <c r="IU28" i="15"/>
  <c r="NO28" i="15"/>
  <c r="SU28" i="15"/>
  <c r="II28" i="15"/>
  <c r="CQ28" i="15"/>
  <c r="HK28" i="15"/>
  <c r="AI28" i="15"/>
  <c r="RO28" i="15"/>
  <c r="K28" i="15"/>
  <c r="OM28" i="15"/>
  <c r="FG28" i="15"/>
  <c r="UQ39" i="15"/>
  <c r="TW39" i="15"/>
  <c r="TC39" i="15"/>
  <c r="SI39" i="15"/>
  <c r="RO39" i="15"/>
  <c r="QU39" i="15"/>
  <c r="QA39" i="15"/>
  <c r="PG39" i="15"/>
  <c r="OM39" i="15"/>
  <c r="NS39" i="15"/>
  <c r="MY39" i="15"/>
  <c r="ME39" i="15"/>
  <c r="LK39" i="15"/>
  <c r="KQ39" i="15"/>
  <c r="JW39" i="15"/>
  <c r="JC39" i="15"/>
  <c r="II39" i="15"/>
  <c r="HO39" i="15"/>
  <c r="GU39" i="15"/>
  <c r="GA39" i="15"/>
  <c r="FG39" i="15"/>
  <c r="EM39" i="15"/>
  <c r="DS39" i="15"/>
  <c r="CY39" i="15"/>
  <c r="CE39" i="15"/>
  <c r="BK39" i="15"/>
  <c r="AQ39" i="15"/>
  <c r="W39" i="15"/>
  <c r="C39" i="15"/>
  <c r="UM39" i="15"/>
  <c r="TS39" i="15"/>
  <c r="SY39" i="15"/>
  <c r="SE39" i="15"/>
  <c r="RK39" i="15"/>
  <c r="QQ39" i="15"/>
  <c r="PW39" i="15"/>
  <c r="PC39" i="15"/>
  <c r="OI39" i="15"/>
  <c r="NO39" i="15"/>
  <c r="MU39" i="15"/>
  <c r="MA39" i="15"/>
  <c r="LG39" i="15"/>
  <c r="KM39" i="15"/>
  <c r="JS39" i="15"/>
  <c r="IY39" i="15"/>
  <c r="IE39" i="15"/>
  <c r="HK39" i="15"/>
  <c r="GQ39" i="15"/>
  <c r="FW39" i="15"/>
  <c r="FC39" i="15"/>
  <c r="TK39" i="15"/>
  <c r="QE39" i="15"/>
  <c r="OY39" i="15"/>
  <c r="UI39" i="15"/>
  <c r="RC39" i="15"/>
  <c r="NW39" i="15"/>
  <c r="KU39" i="15"/>
  <c r="HS39" i="15"/>
  <c r="EQ39" i="15"/>
  <c r="DO39" i="15"/>
  <c r="CQ39" i="15"/>
  <c r="BS39" i="15"/>
  <c r="AU39" i="15"/>
  <c r="S39" i="15"/>
  <c r="LS39" i="15"/>
  <c r="IQ39" i="15"/>
  <c r="FO39" i="15"/>
  <c r="TG39" i="15"/>
  <c r="SA39" i="15"/>
  <c r="OU39" i="15"/>
  <c r="MQ39" i="15"/>
  <c r="JO39" i="15"/>
  <c r="GM39" i="15"/>
  <c r="UE39" i="15"/>
  <c r="QY39" i="15"/>
  <c r="PS39" i="15"/>
  <c r="EI39" i="15"/>
  <c r="DK39" i="15"/>
  <c r="CM39" i="15"/>
  <c r="BO39" i="15"/>
  <c r="AM39" i="15"/>
  <c r="O39" i="15"/>
  <c r="LO39" i="15"/>
  <c r="IM39" i="15"/>
  <c r="FK39" i="15"/>
  <c r="RW39" i="15"/>
  <c r="OQ39" i="15"/>
  <c r="MM39" i="15"/>
  <c r="JK39" i="15"/>
  <c r="GI39" i="15"/>
  <c r="UA39" i="15"/>
  <c r="SU39" i="15"/>
  <c r="PO39" i="15"/>
  <c r="EE39" i="15"/>
  <c r="DG39" i="15"/>
  <c r="CI39" i="15"/>
  <c r="BG39" i="15"/>
  <c r="TO39" i="15"/>
  <c r="QI39" i="15"/>
  <c r="RG39" i="15"/>
  <c r="LC39" i="15"/>
  <c r="OA39" i="15"/>
  <c r="KY39" i="15"/>
  <c r="AY39" i="15"/>
  <c r="QM39" i="15"/>
  <c r="NK39" i="15"/>
  <c r="IA39" i="15"/>
  <c r="FS39" i="15"/>
  <c r="DC39" i="15"/>
  <c r="KI39" i="15"/>
  <c r="NG39" i="15"/>
  <c r="AI39" i="15"/>
  <c r="HG39" i="15"/>
  <c r="AE39" i="15"/>
  <c r="KA39" i="15"/>
  <c r="HC39" i="15"/>
  <c r="EU39" i="15"/>
  <c r="PK39" i="15"/>
  <c r="SM39" i="15"/>
  <c r="JG39" i="15"/>
  <c r="GY39" i="15"/>
  <c r="EA39" i="15"/>
  <c r="RS39" i="15"/>
  <c r="LW39" i="15"/>
  <c r="GE39" i="15"/>
  <c r="G39" i="15"/>
  <c r="HW39" i="15"/>
  <c r="AA39" i="15"/>
  <c r="K39" i="15"/>
  <c r="OE39" i="15"/>
  <c r="EY39" i="15"/>
  <c r="NC39" i="15"/>
  <c r="MI39" i="15"/>
  <c r="DW39" i="15"/>
  <c r="CU39" i="15"/>
  <c r="KE39" i="15"/>
  <c r="CA39" i="15"/>
  <c r="BW39" i="15"/>
  <c r="SQ39" i="15"/>
  <c r="IU39" i="15"/>
  <c r="BC39" i="15"/>
  <c r="UQ88" i="15"/>
  <c r="TW88" i="15"/>
  <c r="TC88" i="15"/>
  <c r="SI88" i="15"/>
  <c r="RO88" i="15"/>
  <c r="QU88" i="15"/>
  <c r="QA88" i="15"/>
  <c r="PG88" i="15"/>
  <c r="OM88" i="15"/>
  <c r="NS88" i="15"/>
  <c r="MY88" i="15"/>
  <c r="ME88" i="15"/>
  <c r="LK88" i="15"/>
  <c r="KQ88" i="15"/>
  <c r="JW88" i="15"/>
  <c r="JC88" i="15"/>
  <c r="II88" i="15"/>
  <c r="HO88" i="15"/>
  <c r="GU88" i="15"/>
  <c r="GA88" i="15"/>
  <c r="FG88" i="15"/>
  <c r="EM88" i="15"/>
  <c r="DS88" i="15"/>
  <c r="CY88" i="15"/>
  <c r="CE88" i="15"/>
  <c r="BK88" i="15"/>
  <c r="AQ88" i="15"/>
  <c r="W88" i="15"/>
  <c r="C88" i="15"/>
  <c r="UM88" i="15"/>
  <c r="TS88" i="15"/>
  <c r="SY88" i="15"/>
  <c r="SE88" i="15"/>
  <c r="RK88" i="15"/>
  <c r="QQ88" i="15"/>
  <c r="PW88" i="15"/>
  <c r="PC88" i="15"/>
  <c r="OI88" i="15"/>
  <c r="NO88" i="15"/>
  <c r="MU88" i="15"/>
  <c r="MA88" i="15"/>
  <c r="LG88" i="15"/>
  <c r="KM88" i="15"/>
  <c r="JS88" i="15"/>
  <c r="IY88" i="15"/>
  <c r="IE88" i="15"/>
  <c r="HK88" i="15"/>
  <c r="GQ88" i="15"/>
  <c r="FW88" i="15"/>
  <c r="FC88" i="15"/>
  <c r="EI88" i="15"/>
  <c r="DO88" i="15"/>
  <c r="CU88" i="15"/>
  <c r="CA88" i="15"/>
  <c r="BG88" i="15"/>
  <c r="AM88" i="15"/>
  <c r="S88" i="15"/>
  <c r="UE88" i="15"/>
  <c r="QY88" i="15"/>
  <c r="MM88" i="15"/>
  <c r="JG88" i="15"/>
  <c r="EU88" i="15"/>
  <c r="BO88" i="15"/>
  <c r="PS88" i="15"/>
  <c r="IA88" i="15"/>
  <c r="AI88" i="15"/>
  <c r="RW88" i="15"/>
  <c r="OQ88" i="15"/>
  <c r="KE88" i="15"/>
  <c r="GY88" i="15"/>
  <c r="CM88" i="15"/>
  <c r="G88" i="15"/>
  <c r="NK88" i="15"/>
  <c r="FS88" i="15"/>
  <c r="UA88" i="15"/>
  <c r="PO88" i="15"/>
  <c r="MI88" i="15"/>
  <c r="HW88" i="15"/>
  <c r="EQ88" i="15"/>
  <c r="AE88" i="15"/>
  <c r="SU88" i="15"/>
  <c r="LC88" i="15"/>
  <c r="DK88" i="15"/>
  <c r="RS88" i="15"/>
  <c r="NG88" i="15"/>
  <c r="KA88" i="15"/>
  <c r="FO88" i="15"/>
  <c r="CI88" i="15"/>
  <c r="SQ88" i="15"/>
  <c r="PK88" i="15"/>
  <c r="KY88" i="15"/>
  <c r="HS88" i="15"/>
  <c r="DG88" i="15"/>
  <c r="OE88" i="15"/>
  <c r="QI88" i="15"/>
  <c r="NC88" i="15"/>
  <c r="IQ88" i="15"/>
  <c r="FK88" i="15"/>
  <c r="AY88" i="15"/>
  <c r="TO88" i="15"/>
  <c r="IU88" i="15"/>
  <c r="HC88" i="15"/>
  <c r="KU88" i="15"/>
  <c r="EY88" i="15"/>
  <c r="K88" i="15"/>
  <c r="RG88" i="15"/>
  <c r="TK88" i="15"/>
  <c r="GM88" i="15"/>
  <c r="OY88" i="15"/>
  <c r="AU88" i="15"/>
  <c r="RC88" i="15"/>
  <c r="IM88" i="15"/>
  <c r="GI88" i="15"/>
  <c r="CQ88" i="15"/>
  <c r="MQ88" i="15"/>
  <c r="EE88" i="15"/>
  <c r="KI88" i="15"/>
  <c r="QM88" i="15"/>
  <c r="GE88" i="15"/>
  <c r="EA88" i="15"/>
  <c r="LW88" i="15"/>
  <c r="SM88" i="15"/>
  <c r="OA88" i="15"/>
  <c r="BW88" i="15"/>
  <c r="AA88" i="15"/>
  <c r="NW88" i="15"/>
  <c r="BC88" i="15"/>
  <c r="LS88" i="15"/>
  <c r="SA88" i="15"/>
  <c r="LO88" i="15"/>
  <c r="DW88" i="15"/>
  <c r="OU88" i="15"/>
  <c r="DC88" i="15"/>
  <c r="UI88" i="15"/>
  <c r="BS88" i="15"/>
  <c r="JO88" i="15"/>
  <c r="JK88" i="15"/>
  <c r="TG88" i="15"/>
  <c r="QE88" i="15"/>
  <c r="HG88" i="15"/>
  <c r="O88" i="15"/>
  <c r="UM74" i="15"/>
  <c r="TS74" i="15"/>
  <c r="SY74" i="15"/>
  <c r="SE74" i="15"/>
  <c r="RK74" i="15"/>
  <c r="QQ74" i="15"/>
  <c r="PW74" i="15"/>
  <c r="PC74" i="15"/>
  <c r="OI74" i="15"/>
  <c r="NO74" i="15"/>
  <c r="MU74" i="15"/>
  <c r="MA74" i="15"/>
  <c r="LG74" i="15"/>
  <c r="KM74" i="15"/>
  <c r="JS74" i="15"/>
  <c r="IY74" i="15"/>
  <c r="IE74" i="15"/>
  <c r="HK74" i="15"/>
  <c r="GQ74" i="15"/>
  <c r="FW74" i="15"/>
  <c r="FC74" i="15"/>
  <c r="EI74" i="15"/>
  <c r="DO74" i="15"/>
  <c r="CU74" i="15"/>
  <c r="CA74" i="15"/>
  <c r="BG74" i="15"/>
  <c r="AM74" i="15"/>
  <c r="S74" i="15"/>
  <c r="UI74" i="15"/>
  <c r="TO74" i="15"/>
  <c r="SU74" i="15"/>
  <c r="SA74" i="15"/>
  <c r="RG74" i="15"/>
  <c r="QM74" i="15"/>
  <c r="PS74" i="15"/>
  <c r="OY74" i="15"/>
  <c r="OE74" i="15"/>
  <c r="NK74" i="15"/>
  <c r="MQ74" i="15"/>
  <c r="LW74" i="15"/>
  <c r="LC74" i="15"/>
  <c r="KI74" i="15"/>
  <c r="JO74" i="15"/>
  <c r="IU74" i="15"/>
  <c r="IA74" i="15"/>
  <c r="HG74" i="15"/>
  <c r="GM74" i="15"/>
  <c r="FS74" i="15"/>
  <c r="EY74" i="15"/>
  <c r="EE74" i="15"/>
  <c r="DK74" i="15"/>
  <c r="CQ74" i="15"/>
  <c r="BW74" i="15"/>
  <c r="BC74" i="15"/>
  <c r="AI74" i="15"/>
  <c r="O74" i="15"/>
  <c r="RS74" i="15"/>
  <c r="OM74" i="15"/>
  <c r="NG74" i="15"/>
  <c r="KA74" i="15"/>
  <c r="GU74" i="15"/>
  <c r="FO74" i="15"/>
  <c r="CI74" i="15"/>
  <c r="C74" i="15"/>
  <c r="TW74" i="15"/>
  <c r="SQ74" i="15"/>
  <c r="PK74" i="15"/>
  <c r="ME74" i="15"/>
  <c r="KY74" i="15"/>
  <c r="HS74" i="15"/>
  <c r="EM74" i="15"/>
  <c r="DG74" i="15"/>
  <c r="AA74" i="15"/>
  <c r="RO74" i="15"/>
  <c r="QI74" i="15"/>
  <c r="NC74" i="15"/>
  <c r="JW74" i="15"/>
  <c r="IQ74" i="15"/>
  <c r="FK74" i="15"/>
  <c r="CE74" i="15"/>
  <c r="AY74" i="15"/>
  <c r="UQ74" i="15"/>
  <c r="TK74" i="15"/>
  <c r="QE74" i="15"/>
  <c r="MY74" i="15"/>
  <c r="LS74" i="15"/>
  <c r="IM74" i="15"/>
  <c r="FG74" i="15"/>
  <c r="EA74" i="15"/>
  <c r="AU74" i="15"/>
  <c r="SI74" i="15"/>
  <c r="RC74" i="15"/>
  <c r="NW74" i="15"/>
  <c r="KQ74" i="15"/>
  <c r="JK74" i="15"/>
  <c r="GE74" i="15"/>
  <c r="CY74" i="15"/>
  <c r="BS74" i="15"/>
  <c r="TG74" i="15"/>
  <c r="QA74" i="15"/>
  <c r="OU74" i="15"/>
  <c r="LO74" i="15"/>
  <c r="II74" i="15"/>
  <c r="HC74" i="15"/>
  <c r="DW74" i="15"/>
  <c r="AQ74" i="15"/>
  <c r="UE74" i="15"/>
  <c r="QY74" i="15"/>
  <c r="NS74" i="15"/>
  <c r="MM74" i="15"/>
  <c r="JG74" i="15"/>
  <c r="GA74" i="15"/>
  <c r="EU74" i="15"/>
  <c r="QU74" i="15"/>
  <c r="K74" i="15"/>
  <c r="BO74" i="15"/>
  <c r="TC74" i="15"/>
  <c r="KU74" i="15"/>
  <c r="DS74" i="15"/>
  <c r="G74" i="15"/>
  <c r="BK74" i="15"/>
  <c r="SM74" i="15"/>
  <c r="DC74" i="15"/>
  <c r="PO74" i="15"/>
  <c r="KE74" i="15"/>
  <c r="HW74" i="15"/>
  <c r="RW74" i="15"/>
  <c r="PG74" i="15"/>
  <c r="HO74" i="15"/>
  <c r="OQ74" i="15"/>
  <c r="GY74" i="15"/>
  <c r="EQ74" i="15"/>
  <c r="AE74" i="15"/>
  <c r="W74" i="15"/>
  <c r="UA74" i="15"/>
  <c r="JC74" i="15"/>
  <c r="GI74" i="15"/>
  <c r="MI74" i="15"/>
  <c r="CM74" i="15"/>
  <c r="OA74" i="15"/>
  <c r="LK74" i="15"/>
  <c r="UQ93" i="15"/>
  <c r="TW93" i="15"/>
  <c r="TC93" i="15"/>
  <c r="SI93" i="15"/>
  <c r="QA93" i="15"/>
  <c r="MU93" i="15"/>
  <c r="JO93" i="15"/>
  <c r="GI93" i="15"/>
  <c r="DC93" i="15"/>
  <c r="AQ93" i="15"/>
  <c r="UE93" i="15"/>
  <c r="SM93" i="15"/>
  <c r="QU93" i="15"/>
  <c r="NO93" i="15"/>
  <c r="KI93" i="15"/>
  <c r="HC93" i="15"/>
  <c r="DW93" i="15"/>
  <c r="BK93" i="15"/>
  <c r="RO93" i="15"/>
  <c r="OI93" i="15"/>
  <c r="LC93" i="15"/>
  <c r="HW93" i="15"/>
  <c r="EQ93" i="15"/>
  <c r="CE93" i="15"/>
  <c r="TG93" i="15"/>
  <c r="PC93" i="15"/>
  <c r="LW93" i="15"/>
  <c r="IQ93" i="15"/>
  <c r="FK93" i="15"/>
  <c r="CY93" i="15"/>
  <c r="S93" i="15"/>
  <c r="PW93" i="15"/>
  <c r="MQ93" i="15"/>
  <c r="JK93" i="15"/>
  <c r="GE93" i="15"/>
  <c r="DS93" i="15"/>
  <c r="UA93" i="15"/>
  <c r="QQ93" i="15"/>
  <c r="NK93" i="15"/>
  <c r="KE93" i="15"/>
  <c r="GY93" i="15"/>
  <c r="EM93" i="15"/>
  <c r="BG93" i="15"/>
  <c r="RK93" i="15"/>
  <c r="OE93" i="15"/>
  <c r="KY93" i="15"/>
  <c r="HS93" i="15"/>
  <c r="FG93" i="15"/>
  <c r="CA93" i="15"/>
  <c r="SE93" i="15"/>
  <c r="OY93" i="15"/>
  <c r="LS93" i="15"/>
  <c r="IM93" i="15"/>
  <c r="GA93" i="15"/>
  <c r="CU93" i="15"/>
  <c r="O93" i="15"/>
  <c r="SY93" i="15"/>
  <c r="QM93" i="15"/>
  <c r="NG93" i="15"/>
  <c r="KA93" i="15"/>
  <c r="HO93" i="15"/>
  <c r="EI93" i="15"/>
  <c r="BC93" i="15"/>
  <c r="RG93" i="15"/>
  <c r="OA93" i="15"/>
  <c r="KU93" i="15"/>
  <c r="II93" i="15"/>
  <c r="FC93" i="15"/>
  <c r="BW93" i="15"/>
  <c r="TS93" i="15"/>
  <c r="LK93" i="15"/>
  <c r="IE93" i="15"/>
  <c r="EY93" i="15"/>
  <c r="BS93" i="15"/>
  <c r="AE93" i="15"/>
  <c r="RW93" i="15"/>
  <c r="OQ93" i="15"/>
  <c r="MY93" i="15"/>
  <c r="JS93" i="15"/>
  <c r="GM93" i="15"/>
  <c r="DG93" i="15"/>
  <c r="TO93" i="15"/>
  <c r="QE93" i="15"/>
  <c r="OM93" i="15"/>
  <c r="LG93" i="15"/>
  <c r="IA93" i="15"/>
  <c r="EU93" i="15"/>
  <c r="BO93" i="15"/>
  <c r="AA93" i="15"/>
  <c r="RS93" i="15"/>
  <c r="PS93" i="15"/>
  <c r="MM93" i="15"/>
  <c r="JG93" i="15"/>
  <c r="PO93" i="15"/>
  <c r="MI93" i="15"/>
  <c r="KQ93" i="15"/>
  <c r="HK93" i="15"/>
  <c r="EE93" i="15"/>
  <c r="SU93" i="15"/>
  <c r="RC93" i="15"/>
  <c r="NW93" i="15"/>
  <c r="AY93" i="15"/>
  <c r="ME93" i="15"/>
  <c r="IY93" i="15"/>
  <c r="FS93" i="15"/>
  <c r="CM93" i="15"/>
  <c r="K93" i="15"/>
  <c r="UM93" i="15"/>
  <c r="PK93" i="15"/>
  <c r="JC93" i="15"/>
  <c r="QY93" i="15"/>
  <c r="AU93" i="15"/>
  <c r="NC93" i="15"/>
  <c r="IU93" i="15"/>
  <c r="EA93" i="15"/>
  <c r="AM93" i="15"/>
  <c r="AI93" i="15"/>
  <c r="UI93" i="15"/>
  <c r="DO93" i="15"/>
  <c r="W93" i="15"/>
  <c r="LO93" i="15"/>
  <c r="HG93" i="15"/>
  <c r="DK93" i="15"/>
  <c r="SQ93" i="15"/>
  <c r="GQ93" i="15"/>
  <c r="C93" i="15"/>
  <c r="CI93" i="15"/>
  <c r="NS93" i="15"/>
  <c r="JW93" i="15"/>
  <c r="TK93" i="15"/>
  <c r="GU93" i="15"/>
  <c r="SA93" i="15"/>
  <c r="FW93" i="15"/>
  <c r="QI93" i="15"/>
  <c r="FO93" i="15"/>
  <c r="PG93" i="15"/>
  <c r="OU93" i="15"/>
  <c r="CQ93" i="15"/>
  <c r="MA93" i="15"/>
  <c r="G93" i="15"/>
  <c r="KM93" i="15"/>
  <c r="UA85" i="15"/>
  <c r="TG85" i="15"/>
  <c r="SM85" i="15"/>
  <c r="RS85" i="15"/>
  <c r="QY85" i="15"/>
  <c r="QE85" i="15"/>
  <c r="PK85" i="15"/>
  <c r="OQ85" i="15"/>
  <c r="NW85" i="15"/>
  <c r="NC85" i="15"/>
  <c r="MI85" i="15"/>
  <c r="LO85" i="15"/>
  <c r="KU85" i="15"/>
  <c r="KA85" i="15"/>
  <c r="JG85" i="15"/>
  <c r="IM85" i="15"/>
  <c r="HS85" i="15"/>
  <c r="UM85" i="15"/>
  <c r="TW85" i="15"/>
  <c r="SY85" i="15"/>
  <c r="SA85" i="15"/>
  <c r="RC85" i="15"/>
  <c r="QA85" i="15"/>
  <c r="MM85" i="15"/>
  <c r="JS85" i="15"/>
  <c r="GE85" i="15"/>
  <c r="PC85" i="15"/>
  <c r="IU85" i="15"/>
  <c r="FG85" i="15"/>
  <c r="DO85" i="15"/>
  <c r="BW85" i="15"/>
  <c r="AE85" i="15"/>
  <c r="OE85" i="15"/>
  <c r="LK85" i="15"/>
  <c r="HW85" i="15"/>
  <c r="GY85" i="15"/>
  <c r="G85" i="15"/>
  <c r="NG85" i="15"/>
  <c r="KM85" i="15"/>
  <c r="GA85" i="15"/>
  <c r="EI85" i="15"/>
  <c r="CQ85" i="15"/>
  <c r="AY85" i="15"/>
  <c r="TS85" i="15"/>
  <c r="SU85" i="15"/>
  <c r="RW85" i="15"/>
  <c r="QU85" i="15"/>
  <c r="PW85" i="15"/>
  <c r="JO85" i="15"/>
  <c r="AA85" i="15"/>
  <c r="UQ85" i="15"/>
  <c r="OY85" i="15"/>
  <c r="ME85" i="15"/>
  <c r="IQ85" i="15"/>
  <c r="GU85" i="15"/>
  <c r="FC85" i="15"/>
  <c r="DK85" i="15"/>
  <c r="BS85" i="15"/>
  <c r="C85" i="15"/>
  <c r="OA85" i="15"/>
  <c r="LG85" i="15"/>
  <c r="AU85" i="15"/>
  <c r="TO85" i="15"/>
  <c r="SQ85" i="15"/>
  <c r="RO85" i="15"/>
  <c r="QQ85" i="15"/>
  <c r="PS85" i="15"/>
  <c r="MY85" i="15"/>
  <c r="JK85" i="15"/>
  <c r="BO85" i="15"/>
  <c r="OU85" i="15"/>
  <c r="MA85" i="15"/>
  <c r="GQ85" i="15"/>
  <c r="EY85" i="15"/>
  <c r="DG85" i="15"/>
  <c r="AQ85" i="15"/>
  <c r="LC85" i="15"/>
  <c r="II85" i="15"/>
  <c r="CI85" i="15"/>
  <c r="NS85" i="15"/>
  <c r="KE85" i="15"/>
  <c r="UI85" i="15"/>
  <c r="TK85" i="15"/>
  <c r="SI85" i="15"/>
  <c r="RK85" i="15"/>
  <c r="QM85" i="15"/>
  <c r="PO85" i="15"/>
  <c r="MU85" i="15"/>
  <c r="DC85" i="15"/>
  <c r="NO85" i="15"/>
  <c r="KY85" i="15"/>
  <c r="EQ85" i="15"/>
  <c r="CU85" i="15"/>
  <c r="CM85" i="15"/>
  <c r="NK85" i="15"/>
  <c r="IE85" i="15"/>
  <c r="GI85" i="15"/>
  <c r="EM85" i="15"/>
  <c r="AM85" i="15"/>
  <c r="KQ85" i="15"/>
  <c r="EE85" i="15"/>
  <c r="CE85" i="15"/>
  <c r="SE85" i="15"/>
  <c r="KI85" i="15"/>
  <c r="EA85" i="15"/>
  <c r="IA85" i="15"/>
  <c r="FW85" i="15"/>
  <c r="HK85" i="15"/>
  <c r="RG85" i="15"/>
  <c r="OM85" i="15"/>
  <c r="LW85" i="15"/>
  <c r="HG85" i="15"/>
  <c r="BK85" i="15"/>
  <c r="FK85" i="15"/>
  <c r="JC85" i="15"/>
  <c r="OI85" i="15"/>
  <c r="LS85" i="15"/>
  <c r="BG85" i="15"/>
  <c r="O85" i="15"/>
  <c r="IY85" i="15"/>
  <c r="EU85" i="15"/>
  <c r="CY85" i="15"/>
  <c r="QI85" i="15"/>
  <c r="PG85" i="15"/>
  <c r="HO85" i="15"/>
  <c r="CA85" i="15"/>
  <c r="HC85" i="15"/>
  <c r="MQ85" i="15"/>
  <c r="GM85" i="15"/>
  <c r="FS85" i="15"/>
  <c r="BC85" i="15"/>
  <c r="UE85" i="15"/>
  <c r="AI85" i="15"/>
  <c r="FO85" i="15"/>
  <c r="K85" i="15"/>
  <c r="JW85" i="15"/>
  <c r="DS85" i="15"/>
  <c r="TC85" i="15"/>
  <c r="DW85" i="15"/>
  <c r="W85" i="15"/>
  <c r="S85" i="15"/>
  <c r="UQ61" i="15"/>
  <c r="TW61" i="15"/>
  <c r="TC61" i="15"/>
  <c r="SI61" i="15"/>
  <c r="RO61" i="15"/>
  <c r="QU61" i="15"/>
  <c r="QA61" i="15"/>
  <c r="PG61" i="15"/>
  <c r="OM61" i="15"/>
  <c r="NS61" i="15"/>
  <c r="MY61" i="15"/>
  <c r="ME61" i="15"/>
  <c r="LK61" i="15"/>
  <c r="KQ61" i="15"/>
  <c r="JW61" i="15"/>
  <c r="JC61" i="15"/>
  <c r="II61" i="15"/>
  <c r="HO61" i="15"/>
  <c r="GU61" i="15"/>
  <c r="GA61" i="15"/>
  <c r="FG61" i="15"/>
  <c r="EM61" i="15"/>
  <c r="DS61" i="15"/>
  <c r="CY61" i="15"/>
  <c r="CE61" i="15"/>
  <c r="BK61" i="15"/>
  <c r="AQ61" i="15"/>
  <c r="W61" i="15"/>
  <c r="C61" i="15"/>
  <c r="UM61" i="15"/>
  <c r="TS61" i="15"/>
  <c r="SY61" i="15"/>
  <c r="SE61" i="15"/>
  <c r="RK61" i="15"/>
  <c r="QQ61" i="15"/>
  <c r="PW61" i="15"/>
  <c r="PC61" i="15"/>
  <c r="OI61" i="15"/>
  <c r="NO61" i="15"/>
  <c r="MU61" i="15"/>
  <c r="MA61" i="15"/>
  <c r="LG61" i="15"/>
  <c r="KM61" i="15"/>
  <c r="JS61" i="15"/>
  <c r="IY61" i="15"/>
  <c r="IE61" i="15"/>
  <c r="HK61" i="15"/>
  <c r="GQ61" i="15"/>
  <c r="FW61" i="15"/>
  <c r="FC61" i="15"/>
  <c r="EI61" i="15"/>
  <c r="DO61" i="15"/>
  <c r="CU61" i="15"/>
  <c r="CA61" i="15"/>
  <c r="BG61" i="15"/>
  <c r="AM61" i="15"/>
  <c r="S61" i="15"/>
  <c r="NK61" i="15"/>
  <c r="MI61" i="15"/>
  <c r="GI61" i="15"/>
  <c r="PS61" i="15"/>
  <c r="OQ61" i="15"/>
  <c r="IQ61" i="15"/>
  <c r="AI61" i="15"/>
  <c r="G61" i="15"/>
  <c r="SA61" i="15"/>
  <c r="QY61" i="15"/>
  <c r="KY61" i="15"/>
  <c r="CQ61" i="15"/>
  <c r="BO61" i="15"/>
  <c r="UI61" i="15"/>
  <c r="TG61" i="15"/>
  <c r="NG61" i="15"/>
  <c r="EY61" i="15"/>
  <c r="DW61" i="15"/>
  <c r="PO61" i="15"/>
  <c r="HG61" i="15"/>
  <c r="GE61" i="15"/>
  <c r="AE61" i="15"/>
  <c r="RW61" i="15"/>
  <c r="JO61" i="15"/>
  <c r="IM61" i="15"/>
  <c r="CM61" i="15"/>
  <c r="QM61" i="15"/>
  <c r="PK61" i="15"/>
  <c r="JK61" i="15"/>
  <c r="BC61" i="15"/>
  <c r="AA61" i="15"/>
  <c r="SU61" i="15"/>
  <c r="RS61" i="15"/>
  <c r="LS61" i="15"/>
  <c r="DK61" i="15"/>
  <c r="CI61" i="15"/>
  <c r="UA61" i="15"/>
  <c r="OA61" i="15"/>
  <c r="FS61" i="15"/>
  <c r="EQ61" i="15"/>
  <c r="QI61" i="15"/>
  <c r="IA61" i="15"/>
  <c r="GY61" i="15"/>
  <c r="AY61" i="15"/>
  <c r="SQ61" i="15"/>
  <c r="KI61" i="15"/>
  <c r="JG61" i="15"/>
  <c r="DG61" i="15"/>
  <c r="RG61" i="15"/>
  <c r="QE61" i="15"/>
  <c r="KE61" i="15"/>
  <c r="BW61" i="15"/>
  <c r="AU61" i="15"/>
  <c r="TO61" i="15"/>
  <c r="SM61" i="15"/>
  <c r="MM61" i="15"/>
  <c r="EE61" i="15"/>
  <c r="DC61" i="15"/>
  <c r="TK61" i="15"/>
  <c r="FO61" i="15"/>
  <c r="IU61" i="15"/>
  <c r="FK61" i="15"/>
  <c r="LW61" i="15"/>
  <c r="BS61" i="15"/>
  <c r="OY61" i="15"/>
  <c r="LO61" i="15"/>
  <c r="EU61" i="15"/>
  <c r="OU61" i="15"/>
  <c r="LC61" i="15"/>
  <c r="HS61" i="15"/>
  <c r="OE61" i="15"/>
  <c r="KU61" i="15"/>
  <c r="UE61" i="15"/>
  <c r="GM61" i="15"/>
  <c r="KA61" i="15"/>
  <c r="O61" i="15"/>
  <c r="NW61" i="15"/>
  <c r="EA61" i="15"/>
  <c r="NC61" i="15"/>
  <c r="MQ61" i="15"/>
  <c r="HW61" i="15"/>
  <c r="HC61" i="15"/>
  <c r="K61" i="15"/>
  <c r="RC61" i="15"/>
  <c r="UA54" i="15"/>
  <c r="UE54" i="15"/>
  <c r="TG54" i="15"/>
  <c r="SM54" i="15"/>
  <c r="RS54" i="15"/>
  <c r="QY54" i="15"/>
  <c r="QE54" i="15"/>
  <c r="PK54" i="15"/>
  <c r="OQ54" i="15"/>
  <c r="NW54" i="15"/>
  <c r="NC54" i="15"/>
  <c r="MI54" i="15"/>
  <c r="LO54" i="15"/>
  <c r="KU54" i="15"/>
  <c r="KA54" i="15"/>
  <c r="JG54" i="15"/>
  <c r="IM54" i="15"/>
  <c r="HS54" i="15"/>
  <c r="GY54" i="15"/>
  <c r="GE54" i="15"/>
  <c r="FK54" i="15"/>
  <c r="EQ54" i="15"/>
  <c r="DW54" i="15"/>
  <c r="DC54" i="15"/>
  <c r="CI54" i="15"/>
  <c r="BO54" i="15"/>
  <c r="UQ54" i="15"/>
  <c r="TO54" i="15"/>
  <c r="SU54" i="15"/>
  <c r="SA54" i="15"/>
  <c r="RG54" i="15"/>
  <c r="QM54" i="15"/>
  <c r="PS54" i="15"/>
  <c r="OY54" i="15"/>
  <c r="OE54" i="15"/>
  <c r="NK54" i="15"/>
  <c r="MQ54" i="15"/>
  <c r="LW54" i="15"/>
  <c r="LC54" i="15"/>
  <c r="KI54" i="15"/>
  <c r="JO54" i="15"/>
  <c r="IU54" i="15"/>
  <c r="UI54" i="15"/>
  <c r="QQ54" i="15"/>
  <c r="OM54" i="15"/>
  <c r="MM54" i="15"/>
  <c r="IA54" i="15"/>
  <c r="GA54" i="15"/>
  <c r="EE54" i="15"/>
  <c r="CE54" i="15"/>
  <c r="OI54" i="15"/>
  <c r="ME54" i="15"/>
  <c r="KE54" i="15"/>
  <c r="FW54" i="15"/>
  <c r="CA54" i="15"/>
  <c r="AI54" i="15"/>
  <c r="MA54" i="15"/>
  <c r="JW54" i="15"/>
  <c r="JS54" i="15"/>
  <c r="HW54" i="15"/>
  <c r="EA54" i="15"/>
  <c r="SQ54" i="15"/>
  <c r="HO54" i="15"/>
  <c r="FS54" i="15"/>
  <c r="DS54" i="15"/>
  <c r="BW54" i="15"/>
  <c r="AE54" i="15"/>
  <c r="SI54" i="15"/>
  <c r="QI54" i="15"/>
  <c r="HK54" i="15"/>
  <c r="DO54" i="15"/>
  <c r="AA54" i="15"/>
  <c r="UM54" i="15"/>
  <c r="SE54" i="15"/>
  <c r="QA54" i="15"/>
  <c r="OA54" i="15"/>
  <c r="W54" i="15"/>
  <c r="NO54" i="15"/>
  <c r="LK54" i="15"/>
  <c r="JK54" i="15"/>
  <c r="HG54" i="15"/>
  <c r="FG54" i="15"/>
  <c r="DK54" i="15"/>
  <c r="BK54" i="15"/>
  <c r="LG54" i="15"/>
  <c r="JC54" i="15"/>
  <c r="FC54" i="15"/>
  <c r="BG54" i="15"/>
  <c r="IY54" i="15"/>
  <c r="O54" i="15"/>
  <c r="PC54" i="15"/>
  <c r="MY54" i="15"/>
  <c r="KY54" i="15"/>
  <c r="G54" i="15"/>
  <c r="MU54" i="15"/>
  <c r="KQ54" i="15"/>
  <c r="IQ54" i="15"/>
  <c r="EU54" i="15"/>
  <c r="AY54" i="15"/>
  <c r="C54" i="15"/>
  <c r="KM54" i="15"/>
  <c r="II54" i="15"/>
  <c r="GM54" i="15"/>
  <c r="EM54" i="15"/>
  <c r="CQ54" i="15"/>
  <c r="AU54" i="15"/>
  <c r="CY54" i="15"/>
  <c r="IE54" i="15"/>
  <c r="CU54" i="15"/>
  <c r="OU54" i="15"/>
  <c r="TW54" i="15"/>
  <c r="NS54" i="15"/>
  <c r="TS54" i="15"/>
  <c r="CM54" i="15"/>
  <c r="HC54" i="15"/>
  <c r="BS54" i="15"/>
  <c r="TK54" i="15"/>
  <c r="NG54" i="15"/>
  <c r="GU54" i="15"/>
  <c r="SY54" i="15"/>
  <c r="AQ54" i="15"/>
  <c r="RW54" i="15"/>
  <c r="LS54" i="15"/>
  <c r="GI54" i="15"/>
  <c r="AM54" i="15"/>
  <c r="RO54" i="15"/>
  <c r="FO54" i="15"/>
  <c r="RC54" i="15"/>
  <c r="QU54" i="15"/>
  <c r="EI54" i="15"/>
  <c r="K54" i="15"/>
  <c r="PW54" i="15"/>
  <c r="PO54" i="15"/>
  <c r="PG54" i="15"/>
  <c r="GQ54" i="15"/>
  <c r="EY54" i="15"/>
  <c r="S54" i="15"/>
  <c r="TC54" i="15"/>
  <c r="RK54" i="15"/>
  <c r="DG54" i="15"/>
  <c r="BC54" i="15"/>
  <c r="UI75" i="15"/>
  <c r="TO75" i="15"/>
  <c r="SU75" i="15"/>
  <c r="SA75" i="15"/>
  <c r="RG75" i="15"/>
  <c r="QM75" i="15"/>
  <c r="PS75" i="15"/>
  <c r="OY75" i="15"/>
  <c r="OE75" i="15"/>
  <c r="NK75" i="15"/>
  <c r="MQ75" i="15"/>
  <c r="LW75" i="15"/>
  <c r="LC75" i="15"/>
  <c r="KI75" i="15"/>
  <c r="JO75" i="15"/>
  <c r="IU75" i="15"/>
  <c r="IA75" i="15"/>
  <c r="HG75" i="15"/>
  <c r="GM75" i="15"/>
  <c r="FS75" i="15"/>
  <c r="EY75" i="15"/>
  <c r="EE75" i="15"/>
  <c r="DK75" i="15"/>
  <c r="CQ75" i="15"/>
  <c r="BW75" i="15"/>
  <c r="BC75" i="15"/>
  <c r="AI75" i="15"/>
  <c r="O75" i="15"/>
  <c r="UE75" i="15"/>
  <c r="TK75" i="15"/>
  <c r="SQ75" i="15"/>
  <c r="RW75" i="15"/>
  <c r="RC75" i="15"/>
  <c r="QI75" i="15"/>
  <c r="PO75" i="15"/>
  <c r="OU75" i="15"/>
  <c r="OA75" i="15"/>
  <c r="NG75" i="15"/>
  <c r="MM75" i="15"/>
  <c r="UA75" i="15"/>
  <c r="TG75" i="15"/>
  <c r="SM75" i="15"/>
  <c r="RS75" i="15"/>
  <c r="QY75" i="15"/>
  <c r="QE75" i="15"/>
  <c r="PK75" i="15"/>
  <c r="OQ75" i="15"/>
  <c r="NW75" i="15"/>
  <c r="NC75" i="15"/>
  <c r="MI75" i="15"/>
  <c r="SY75" i="15"/>
  <c r="RO75" i="15"/>
  <c r="PC75" i="15"/>
  <c r="NS75" i="15"/>
  <c r="KE75" i="15"/>
  <c r="JC75" i="15"/>
  <c r="FW75" i="15"/>
  <c r="EQ75" i="15"/>
  <c r="CM75" i="15"/>
  <c r="BK75" i="15"/>
  <c r="LG75" i="15"/>
  <c r="KA75" i="15"/>
  <c r="HW75" i="15"/>
  <c r="GU75" i="15"/>
  <c r="DO75" i="15"/>
  <c r="CI75" i="15"/>
  <c r="AE75" i="15"/>
  <c r="C75" i="15"/>
  <c r="TW75" i="15"/>
  <c r="RK75" i="15"/>
  <c r="QA75" i="15"/>
  <c r="NO75" i="15"/>
  <c r="ME75" i="15"/>
  <c r="IY75" i="15"/>
  <c r="HS75" i="15"/>
  <c r="FO75" i="15"/>
  <c r="EM75" i="15"/>
  <c r="BG75" i="15"/>
  <c r="AA75" i="15"/>
  <c r="TS75" i="15"/>
  <c r="SI75" i="15"/>
  <c r="PW75" i="15"/>
  <c r="OM75" i="15"/>
  <c r="MA75" i="15"/>
  <c r="KU75" i="15"/>
  <c r="IQ75" i="15"/>
  <c r="HO75" i="15"/>
  <c r="EI75" i="15"/>
  <c r="DC75" i="15"/>
  <c r="AY75" i="15"/>
  <c r="W75" i="15"/>
  <c r="UQ75" i="15"/>
  <c r="SE75" i="15"/>
  <c r="QU75" i="15"/>
  <c r="OI75" i="15"/>
  <c r="MY75" i="15"/>
  <c r="LS75" i="15"/>
  <c r="KQ75" i="15"/>
  <c r="HK75" i="15"/>
  <c r="GE75" i="15"/>
  <c r="EA75" i="15"/>
  <c r="CY75" i="15"/>
  <c r="S75" i="15"/>
  <c r="LO75" i="15"/>
  <c r="JK75" i="15"/>
  <c r="II75" i="15"/>
  <c r="FC75" i="15"/>
  <c r="DW75" i="15"/>
  <c r="BS75" i="15"/>
  <c r="AQ75" i="15"/>
  <c r="QQ75" i="15"/>
  <c r="IM75" i="15"/>
  <c r="UM75" i="15"/>
  <c r="EU75" i="15"/>
  <c r="AU75" i="15"/>
  <c r="IE75" i="15"/>
  <c r="PG75" i="15"/>
  <c r="LK75" i="15"/>
  <c r="AM75" i="15"/>
  <c r="KY75" i="15"/>
  <c r="TC75" i="15"/>
  <c r="HC75" i="15"/>
  <c r="DS75" i="15"/>
  <c r="DG75" i="15"/>
  <c r="KM75" i="15"/>
  <c r="GY75" i="15"/>
  <c r="K75" i="15"/>
  <c r="JW75" i="15"/>
  <c r="JS75" i="15"/>
  <c r="GA75" i="15"/>
  <c r="CE75" i="15"/>
  <c r="G75" i="15"/>
  <c r="MU75" i="15"/>
  <c r="JG75" i="15"/>
  <c r="GQ75" i="15"/>
  <c r="GI75" i="15"/>
  <c r="CU75" i="15"/>
  <c r="FK75" i="15"/>
  <c r="FG75" i="15"/>
  <c r="CA75" i="15"/>
  <c r="BO75" i="15"/>
  <c r="UA16" i="15"/>
  <c r="TG16" i="15"/>
  <c r="SM16" i="15"/>
  <c r="RS16" i="15"/>
  <c r="QY16" i="15"/>
  <c r="QE16" i="15"/>
  <c r="PK16" i="15"/>
  <c r="OQ16" i="15"/>
  <c r="NW16" i="15"/>
  <c r="NC16" i="15"/>
  <c r="MI16" i="15"/>
  <c r="LO16" i="15"/>
  <c r="KU16" i="15"/>
  <c r="KA16" i="15"/>
  <c r="JG16" i="15"/>
  <c r="IM16" i="15"/>
  <c r="HS16" i="15"/>
  <c r="GY16" i="15"/>
  <c r="GE16" i="15"/>
  <c r="FK16" i="15"/>
  <c r="EQ16" i="15"/>
  <c r="DW16" i="15"/>
  <c r="DC16" i="15"/>
  <c r="CI16" i="15"/>
  <c r="BO16" i="15"/>
  <c r="AU16" i="15"/>
  <c r="AA16" i="15"/>
  <c r="G16" i="15"/>
  <c r="TK16" i="15"/>
  <c r="QA16" i="15"/>
  <c r="OY16" i="15"/>
  <c r="LS16" i="15"/>
  <c r="II16" i="15"/>
  <c r="HG16" i="15"/>
  <c r="EA16" i="15"/>
  <c r="AQ16" i="15"/>
  <c r="SE16" i="15"/>
  <c r="KM16" i="15"/>
  <c r="CU16" i="15"/>
  <c r="UI16" i="15"/>
  <c r="RC16" i="15"/>
  <c r="NS16" i="15"/>
  <c r="MQ16" i="15"/>
  <c r="JK16" i="15"/>
  <c r="GA16" i="15"/>
  <c r="EY16" i="15"/>
  <c r="BS16" i="15"/>
  <c r="O16" i="15"/>
  <c r="PW16" i="15"/>
  <c r="IE16" i="15"/>
  <c r="TC16" i="15"/>
  <c r="SA16" i="15"/>
  <c r="OU16" i="15"/>
  <c r="LK16" i="15"/>
  <c r="KI16" i="15"/>
  <c r="HC16" i="15"/>
  <c r="DS16" i="15"/>
  <c r="CQ16" i="15"/>
  <c r="AM16" i="15"/>
  <c r="NO16" i="15"/>
  <c r="FW16" i="15"/>
  <c r="UE16" i="15"/>
  <c r="QU16" i="15"/>
  <c r="PS16" i="15"/>
  <c r="MM16" i="15"/>
  <c r="JC16" i="15"/>
  <c r="IA16" i="15"/>
  <c r="EU16" i="15"/>
  <c r="BK16" i="15"/>
  <c r="K16" i="15"/>
  <c r="SY16" i="15"/>
  <c r="LG16" i="15"/>
  <c r="DO16" i="15"/>
  <c r="AI16" i="15"/>
  <c r="RW16" i="15"/>
  <c r="OM16" i="15"/>
  <c r="NK16" i="15"/>
  <c r="KE16" i="15"/>
  <c r="GU16" i="15"/>
  <c r="FS16" i="15"/>
  <c r="CM16" i="15"/>
  <c r="QQ16" i="15"/>
  <c r="IY16" i="15"/>
  <c r="BG16" i="15"/>
  <c r="TW16" i="15"/>
  <c r="SU16" i="15"/>
  <c r="PO16" i="15"/>
  <c r="ME16" i="15"/>
  <c r="LC16" i="15"/>
  <c r="HW16" i="15"/>
  <c r="EM16" i="15"/>
  <c r="DK16" i="15"/>
  <c r="C16" i="15"/>
  <c r="OI16" i="15"/>
  <c r="GQ16" i="15"/>
  <c r="AE16" i="15"/>
  <c r="RO16" i="15"/>
  <c r="QM16" i="15"/>
  <c r="NG16" i="15"/>
  <c r="JW16" i="15"/>
  <c r="IU16" i="15"/>
  <c r="FO16" i="15"/>
  <c r="CE16" i="15"/>
  <c r="BC16" i="15"/>
  <c r="RK16" i="15"/>
  <c r="JS16" i="15"/>
  <c r="CA16" i="15"/>
  <c r="W16" i="15"/>
  <c r="UQ16" i="15"/>
  <c r="TO16" i="15"/>
  <c r="QI16" i="15"/>
  <c r="MY16" i="15"/>
  <c r="LW16" i="15"/>
  <c r="IQ16" i="15"/>
  <c r="FG16" i="15"/>
  <c r="EE16" i="15"/>
  <c r="AY16" i="15"/>
  <c r="MA16" i="15"/>
  <c r="HO16" i="15"/>
  <c r="DG16" i="15"/>
  <c r="SI16" i="15"/>
  <c r="HK16" i="15"/>
  <c r="CY16" i="15"/>
  <c r="UM16" i="15"/>
  <c r="TS16" i="15"/>
  <c r="JO16" i="15"/>
  <c r="PG16" i="15"/>
  <c r="KY16" i="15"/>
  <c r="GM16" i="15"/>
  <c r="PC16" i="15"/>
  <c r="KQ16" i="15"/>
  <c r="GI16" i="15"/>
  <c r="BW16" i="15"/>
  <c r="OA16" i="15"/>
  <c r="SQ16" i="15"/>
  <c r="OE16" i="15"/>
  <c r="EI16" i="15"/>
  <c r="MU16" i="15"/>
  <c r="FC16" i="15"/>
  <c r="S16" i="15"/>
  <c r="RG16" i="15"/>
  <c r="RS95" i="15"/>
  <c r="QA95" i="15"/>
  <c r="MU95" i="15"/>
  <c r="JO95" i="15"/>
  <c r="IU95" i="15"/>
  <c r="IA95" i="15"/>
  <c r="HG95" i="15"/>
  <c r="GM95" i="15"/>
  <c r="FS95" i="15"/>
  <c r="EY95" i="15"/>
  <c r="EE95" i="15"/>
  <c r="DK95" i="15"/>
  <c r="CQ95" i="15"/>
  <c r="BW95" i="15"/>
  <c r="BC95" i="15"/>
  <c r="AI95" i="15"/>
  <c r="O95" i="15"/>
  <c r="TK95" i="15"/>
  <c r="QU95" i="15"/>
  <c r="NO95" i="15"/>
  <c r="KI95" i="15"/>
  <c r="SM95" i="15"/>
  <c r="OI95" i="15"/>
  <c r="LC95" i="15"/>
  <c r="UE95" i="15"/>
  <c r="RO95" i="15"/>
  <c r="PC95" i="15"/>
  <c r="LW95" i="15"/>
  <c r="SI95" i="15"/>
  <c r="QQ95" i="15"/>
  <c r="NK95" i="15"/>
  <c r="KE95" i="15"/>
  <c r="UA95" i="15"/>
  <c r="OE95" i="15"/>
  <c r="KY95" i="15"/>
  <c r="TC95" i="15"/>
  <c r="RK95" i="15"/>
  <c r="OY95" i="15"/>
  <c r="LS95" i="15"/>
  <c r="TW95" i="15"/>
  <c r="SE95" i="15"/>
  <c r="QE95" i="15"/>
  <c r="NS95" i="15"/>
  <c r="MI95" i="15"/>
  <c r="LG95" i="15"/>
  <c r="IY95" i="15"/>
  <c r="HS95" i="15"/>
  <c r="EM95" i="15"/>
  <c r="BG95" i="15"/>
  <c r="AA95" i="15"/>
  <c r="UI95" i="15"/>
  <c r="SU95" i="15"/>
  <c r="OU95" i="15"/>
  <c r="FO95" i="15"/>
  <c r="RG95" i="15"/>
  <c r="JW95" i="15"/>
  <c r="GQ95" i="15"/>
  <c r="FK95" i="15"/>
  <c r="CE95" i="15"/>
  <c r="DG95" i="15"/>
  <c r="PW95" i="15"/>
  <c r="OQ95" i="15"/>
  <c r="ME95" i="15"/>
  <c r="HO95" i="15"/>
  <c r="EI95" i="15"/>
  <c r="DC95" i="15"/>
  <c r="W95" i="15"/>
  <c r="SQ95" i="15"/>
  <c r="PS95" i="15"/>
  <c r="NG95" i="15"/>
  <c r="KU95" i="15"/>
  <c r="IQ95" i="15"/>
  <c r="AY95" i="15"/>
  <c r="RC95" i="15"/>
  <c r="JS95" i="15"/>
  <c r="IM95" i="15"/>
  <c r="FG95" i="15"/>
  <c r="CA95" i="15"/>
  <c r="AU95" i="15"/>
  <c r="TS95" i="15"/>
  <c r="GI95" i="15"/>
  <c r="QY95" i="15"/>
  <c r="PO95" i="15"/>
  <c r="KQ95" i="15"/>
  <c r="EA95" i="15"/>
  <c r="II95" i="15"/>
  <c r="FC95" i="15"/>
  <c r="DW95" i="15"/>
  <c r="AQ95" i="15"/>
  <c r="PK95" i="15"/>
  <c r="MY95" i="15"/>
  <c r="LO95" i="15"/>
  <c r="JG95" i="15"/>
  <c r="GA95" i="15"/>
  <c r="CU95" i="15"/>
  <c r="BO95" i="15"/>
  <c r="UQ95" i="15"/>
  <c r="QM95" i="15"/>
  <c r="OA95" i="15"/>
  <c r="KM95" i="15"/>
  <c r="HC95" i="15"/>
  <c r="K95" i="15"/>
  <c r="IE95" i="15"/>
  <c r="AE95" i="15"/>
  <c r="NW95" i="15"/>
  <c r="S95" i="15"/>
  <c r="UM95" i="15"/>
  <c r="CM95" i="15"/>
  <c r="CI95" i="15"/>
  <c r="G95" i="15"/>
  <c r="HW95" i="15"/>
  <c r="EU95" i="15"/>
  <c r="NC95" i="15"/>
  <c r="HK95" i="15"/>
  <c r="EQ95" i="15"/>
  <c r="TG95" i="15"/>
  <c r="KA95" i="15"/>
  <c r="GY95" i="15"/>
  <c r="C95" i="15"/>
  <c r="MQ95" i="15"/>
  <c r="BK95" i="15"/>
  <c r="SY95" i="15"/>
  <c r="MM95" i="15"/>
  <c r="JK95" i="15"/>
  <c r="GU95" i="15"/>
  <c r="DS95" i="15"/>
  <c r="DO95" i="15"/>
  <c r="RW95" i="15"/>
  <c r="JC95" i="15"/>
  <c r="CY95" i="15"/>
  <c r="QI95" i="15"/>
  <c r="BS95" i="15"/>
  <c r="PG95" i="15"/>
  <c r="AM95" i="15"/>
  <c r="OM95" i="15"/>
  <c r="GE95" i="15"/>
  <c r="MA95" i="15"/>
  <c r="FW95" i="15"/>
  <c r="LK95" i="15"/>
  <c r="TO95" i="15"/>
  <c r="SA95" i="15"/>
  <c r="UQ57" i="15"/>
  <c r="TW57" i="15"/>
  <c r="UM57" i="15"/>
  <c r="TS57" i="15"/>
  <c r="SY57" i="15"/>
  <c r="RS57" i="15"/>
  <c r="OM57" i="15"/>
  <c r="MA57" i="15"/>
  <c r="IU57" i="15"/>
  <c r="SM57" i="15"/>
  <c r="PG57" i="15"/>
  <c r="MU57" i="15"/>
  <c r="JO57" i="15"/>
  <c r="UE57" i="15"/>
  <c r="QA57" i="15"/>
  <c r="NO57" i="15"/>
  <c r="KI57" i="15"/>
  <c r="HC57" i="15"/>
  <c r="GI57" i="15"/>
  <c r="FO57" i="15"/>
  <c r="EU57" i="15"/>
  <c r="EA57" i="15"/>
  <c r="DG57" i="15"/>
  <c r="CM57" i="15"/>
  <c r="BS57" i="15"/>
  <c r="AY57" i="15"/>
  <c r="AE57" i="15"/>
  <c r="K57" i="15"/>
  <c r="TG57" i="15"/>
  <c r="QU57" i="15"/>
  <c r="OI57" i="15"/>
  <c r="LC57" i="15"/>
  <c r="HW57" i="15"/>
  <c r="SI57" i="15"/>
  <c r="PW57" i="15"/>
  <c r="MQ57" i="15"/>
  <c r="JK57" i="15"/>
  <c r="QM57" i="15"/>
  <c r="NG57" i="15"/>
  <c r="KA57" i="15"/>
  <c r="GU57" i="15"/>
  <c r="OE57" i="15"/>
  <c r="NC57" i="15"/>
  <c r="LW57" i="15"/>
  <c r="UA57" i="15"/>
  <c r="SU57" i="15"/>
  <c r="PK57" i="15"/>
  <c r="EE57" i="15"/>
  <c r="BC57" i="15"/>
  <c r="RO57" i="15"/>
  <c r="II57" i="15"/>
  <c r="HG57" i="15"/>
  <c r="FC57" i="15"/>
  <c r="CA57" i="15"/>
  <c r="OA57" i="15"/>
  <c r="LS57" i="15"/>
  <c r="KQ57" i="15"/>
  <c r="GA57" i="15"/>
  <c r="CY57" i="15"/>
  <c r="W57" i="15"/>
  <c r="RK57" i="15"/>
  <c r="QI57" i="15"/>
  <c r="PC57" i="15"/>
  <c r="MY57" i="15"/>
  <c r="DW57" i="15"/>
  <c r="AU57" i="15"/>
  <c r="SQ57" i="15"/>
  <c r="IE57" i="15"/>
  <c r="GY57" i="15"/>
  <c r="LO57" i="15"/>
  <c r="KM57" i="15"/>
  <c r="JG57" i="15"/>
  <c r="EY57" i="15"/>
  <c r="BW57" i="15"/>
  <c r="QE57" i="15"/>
  <c r="DS57" i="15"/>
  <c r="AQ57" i="15"/>
  <c r="TO57" i="15"/>
  <c r="KE57" i="15"/>
  <c r="JC57" i="15"/>
  <c r="IA57" i="15"/>
  <c r="EQ57" i="15"/>
  <c r="BO57" i="15"/>
  <c r="OU57" i="15"/>
  <c r="MM57" i="15"/>
  <c r="LK57" i="15"/>
  <c r="SA57" i="15"/>
  <c r="PS57" i="15"/>
  <c r="OQ57" i="15"/>
  <c r="FK57" i="15"/>
  <c r="CI57" i="15"/>
  <c r="G57" i="15"/>
  <c r="QY57" i="15"/>
  <c r="HO57" i="15"/>
  <c r="TC57" i="15"/>
  <c r="KY57" i="15"/>
  <c r="JW57" i="15"/>
  <c r="IQ57" i="15"/>
  <c r="GM57" i="15"/>
  <c r="DK57" i="15"/>
  <c r="AI57" i="15"/>
  <c r="C57" i="15"/>
  <c r="RW57" i="15"/>
  <c r="LG57" i="15"/>
  <c r="HS57" i="15"/>
  <c r="RG57" i="15"/>
  <c r="EM57" i="15"/>
  <c r="RC57" i="15"/>
  <c r="NW57" i="15"/>
  <c r="KU57" i="15"/>
  <c r="HK57" i="15"/>
  <c r="EI57" i="15"/>
  <c r="BK57" i="15"/>
  <c r="NS57" i="15"/>
  <c r="BG57" i="15"/>
  <c r="GQ57" i="15"/>
  <c r="DO57" i="15"/>
  <c r="AM57" i="15"/>
  <c r="PO57" i="15"/>
  <c r="MI57" i="15"/>
  <c r="IY57" i="15"/>
  <c r="FS57" i="15"/>
  <c r="CU57" i="15"/>
  <c r="AA57" i="15"/>
  <c r="ME57" i="15"/>
  <c r="CQ57" i="15"/>
  <c r="S57" i="15"/>
  <c r="O57" i="15"/>
  <c r="UI57" i="15"/>
  <c r="CE57" i="15"/>
  <c r="TK57" i="15"/>
  <c r="JS57" i="15"/>
  <c r="SE57" i="15"/>
  <c r="QQ57" i="15"/>
  <c r="GE57" i="15"/>
  <c r="FG57" i="15"/>
  <c r="NK57" i="15"/>
  <c r="FW57" i="15"/>
  <c r="DC57" i="15"/>
  <c r="IM57" i="15"/>
  <c r="OY57" i="15"/>
  <c r="UE19" i="15"/>
  <c r="TK19" i="15"/>
  <c r="SQ19" i="15"/>
  <c r="RW19" i="15"/>
  <c r="RC19" i="15"/>
  <c r="SU19" i="15"/>
  <c r="OM19" i="15"/>
  <c r="LG19" i="15"/>
  <c r="IA19" i="15"/>
  <c r="PG19" i="15"/>
  <c r="MA19" i="15"/>
  <c r="IU19" i="15"/>
  <c r="FO19" i="15"/>
  <c r="EU19" i="15"/>
  <c r="EA19" i="15"/>
  <c r="DG19" i="15"/>
  <c r="CM19" i="15"/>
  <c r="BS19" i="15"/>
  <c r="AY19" i="15"/>
  <c r="AE19" i="15"/>
  <c r="K19" i="15"/>
  <c r="UM19" i="15"/>
  <c r="RS19" i="15"/>
  <c r="QA19" i="15"/>
  <c r="MU19" i="15"/>
  <c r="JO19" i="15"/>
  <c r="GI19" i="15"/>
  <c r="TO19" i="15"/>
  <c r="QU19" i="15"/>
  <c r="NO19" i="15"/>
  <c r="KI19" i="15"/>
  <c r="HC19" i="15"/>
  <c r="OI19" i="15"/>
  <c r="LC19" i="15"/>
  <c r="HW19" i="15"/>
  <c r="SM19" i="15"/>
  <c r="PC19" i="15"/>
  <c r="LW19" i="15"/>
  <c r="IQ19" i="15"/>
  <c r="GE19" i="15"/>
  <c r="FK19" i="15"/>
  <c r="EQ19" i="15"/>
  <c r="DW19" i="15"/>
  <c r="DC19" i="15"/>
  <c r="UI19" i="15"/>
  <c r="RO19" i="15"/>
  <c r="PW19" i="15"/>
  <c r="MQ19" i="15"/>
  <c r="JK19" i="15"/>
  <c r="GY19" i="15"/>
  <c r="TG19" i="15"/>
  <c r="OE19" i="15"/>
  <c r="KY19" i="15"/>
  <c r="IM19" i="15"/>
  <c r="SI19" i="15"/>
  <c r="OY19" i="15"/>
  <c r="LS19" i="15"/>
  <c r="JG19" i="15"/>
  <c r="GA19" i="15"/>
  <c r="FG19" i="15"/>
  <c r="EM19" i="15"/>
  <c r="DS19" i="15"/>
  <c r="CY19" i="15"/>
  <c r="CE19" i="15"/>
  <c r="BK19" i="15"/>
  <c r="AQ19" i="15"/>
  <c r="W19" i="15"/>
  <c r="C19" i="15"/>
  <c r="TC19" i="15"/>
  <c r="OA19" i="15"/>
  <c r="LO19" i="15"/>
  <c r="SE19" i="15"/>
  <c r="OU19" i="15"/>
  <c r="SY19" i="15"/>
  <c r="OQ19" i="15"/>
  <c r="QQ19" i="15"/>
  <c r="MY19" i="15"/>
  <c r="JS19" i="15"/>
  <c r="FC19" i="15"/>
  <c r="CI19" i="15"/>
  <c r="BC19" i="15"/>
  <c r="S19" i="15"/>
  <c r="QM19" i="15"/>
  <c r="DO19" i="15"/>
  <c r="MM19" i="15"/>
  <c r="HS19" i="15"/>
  <c r="GM19" i="15"/>
  <c r="QI19" i="15"/>
  <c r="KU19" i="15"/>
  <c r="EY19" i="15"/>
  <c r="AU19" i="15"/>
  <c r="MI19" i="15"/>
  <c r="JC19" i="15"/>
  <c r="HO19" i="15"/>
  <c r="CA19" i="15"/>
  <c r="O19" i="15"/>
  <c r="UQ19" i="15"/>
  <c r="QE19" i="15"/>
  <c r="DK19" i="15"/>
  <c r="KQ19" i="15"/>
  <c r="NW19" i="15"/>
  <c r="G19" i="15"/>
  <c r="SA19" i="15"/>
  <c r="PS19" i="15"/>
  <c r="ME19" i="15"/>
  <c r="IY19" i="15"/>
  <c r="HK19" i="15"/>
  <c r="FW19" i="15"/>
  <c r="BW19" i="15"/>
  <c r="AM19" i="15"/>
  <c r="UA19" i="15"/>
  <c r="PO19" i="15"/>
  <c r="KM19" i="15"/>
  <c r="EI19" i="15"/>
  <c r="TW19" i="15"/>
  <c r="NS19" i="15"/>
  <c r="KE19" i="15"/>
  <c r="BO19" i="15"/>
  <c r="TS19" i="15"/>
  <c r="RG19" i="15"/>
  <c r="NG19" i="15"/>
  <c r="II19" i="15"/>
  <c r="GU19" i="15"/>
  <c r="EE19" i="15"/>
  <c r="NC19" i="15"/>
  <c r="JW19" i="15"/>
  <c r="AA19" i="15"/>
  <c r="RK19" i="15"/>
  <c r="KA19" i="15"/>
  <c r="QY19" i="15"/>
  <c r="PK19" i="15"/>
  <c r="CU19" i="15"/>
  <c r="CQ19" i="15"/>
  <c r="IE19" i="15"/>
  <c r="NK19" i="15"/>
  <c r="HG19" i="15"/>
  <c r="BG19" i="15"/>
  <c r="FS19" i="15"/>
  <c r="AI19" i="15"/>
  <c r="LK19" i="15"/>
  <c r="GQ19" i="15"/>
  <c r="IM116" i="15"/>
  <c r="GA116" i="15"/>
  <c r="CU116" i="15"/>
  <c r="O116" i="15"/>
  <c r="TK116" i="15"/>
  <c r="RS116" i="15"/>
  <c r="QU116" i="15"/>
  <c r="PC116" i="15"/>
  <c r="NK116" i="15"/>
  <c r="LS116" i="15"/>
  <c r="JG116" i="15"/>
  <c r="GU116" i="15"/>
  <c r="DO116" i="15"/>
  <c r="AI116" i="15"/>
  <c r="JC116" i="15"/>
  <c r="TS116" i="15"/>
  <c r="RO116" i="15"/>
  <c r="QM116" i="15"/>
  <c r="ME116" i="15"/>
  <c r="HK116" i="15"/>
  <c r="DW116" i="15"/>
  <c r="CY116" i="15"/>
  <c r="BC116" i="15"/>
  <c r="NG116" i="15"/>
  <c r="GM116" i="15"/>
  <c r="CA116" i="15"/>
  <c r="AE116" i="15"/>
  <c r="TO116" i="15"/>
  <c r="SM116" i="15"/>
  <c r="QI116" i="15"/>
  <c r="PG116" i="15"/>
  <c r="OE116" i="15"/>
  <c r="NC116" i="15"/>
  <c r="MA116" i="15"/>
  <c r="KA116" i="15"/>
  <c r="HG116" i="15"/>
  <c r="AY116" i="15"/>
  <c r="SE116" i="15"/>
  <c r="QE116" i="15"/>
  <c r="LW116" i="15"/>
  <c r="KU116" i="15"/>
  <c r="HC116" i="15"/>
  <c r="EI116" i="15"/>
  <c r="AU116" i="15"/>
  <c r="W116" i="15"/>
  <c r="LO116" i="15"/>
  <c r="EQ116" i="15"/>
  <c r="DK116" i="15"/>
  <c r="QY116" i="15"/>
  <c r="PO116" i="15"/>
  <c r="MU116" i="15"/>
  <c r="KI116" i="15"/>
  <c r="FS116" i="15"/>
  <c r="CI116" i="15"/>
  <c r="BG116" i="15"/>
  <c r="AA116" i="15"/>
  <c r="UQ116" i="15"/>
  <c r="SA116" i="15"/>
  <c r="PK116" i="15"/>
  <c r="OA116" i="15"/>
  <c r="KE116" i="15"/>
  <c r="FO116" i="15"/>
  <c r="QA116" i="15"/>
  <c r="LG116" i="15"/>
  <c r="FW116" i="15"/>
  <c r="EM116" i="15"/>
  <c r="G116" i="15"/>
  <c r="OM116" i="15"/>
  <c r="JS116" i="15"/>
  <c r="UM116" i="15"/>
  <c r="SY116" i="15"/>
  <c r="RK116" i="15"/>
  <c r="PW116" i="15"/>
  <c r="LC116" i="15"/>
  <c r="DC116" i="15"/>
  <c r="BS116" i="15"/>
  <c r="AM116" i="15"/>
  <c r="UI116" i="15"/>
  <c r="PS116" i="15"/>
  <c r="MM116" i="15"/>
  <c r="KY116" i="15"/>
  <c r="JO116" i="15"/>
  <c r="IE116" i="15"/>
  <c r="GY116" i="15"/>
  <c r="BO116" i="15"/>
  <c r="NO116" i="15"/>
  <c r="IA116" i="15"/>
  <c r="GI116" i="15"/>
  <c r="BK116" i="15"/>
  <c r="S116" i="15"/>
  <c r="TG116" i="15"/>
  <c r="RG116" i="15"/>
  <c r="HW116" i="15"/>
  <c r="OY116" i="15"/>
  <c r="HS116" i="15"/>
  <c r="CQ116" i="15"/>
  <c r="LK116" i="15"/>
  <c r="SQ116" i="15"/>
  <c r="NS116" i="15"/>
  <c r="IY116" i="15"/>
  <c r="KQ116" i="15"/>
  <c r="MQ116" i="15"/>
  <c r="KM116" i="15"/>
  <c r="II116" i="15"/>
  <c r="GE116" i="15"/>
  <c r="EA116" i="15"/>
  <c r="MY116" i="15"/>
  <c r="JW116" i="15"/>
  <c r="GQ116" i="15"/>
  <c r="SU116" i="15"/>
  <c r="DS116" i="15"/>
  <c r="SI116" i="15"/>
  <c r="IU116" i="15"/>
  <c r="AQ116" i="15"/>
  <c r="TC116" i="15"/>
  <c r="DG116" i="15"/>
  <c r="K116" i="15"/>
  <c r="OQ116" i="15"/>
  <c r="CM116" i="15"/>
  <c r="OI116" i="15"/>
  <c r="C116" i="15"/>
  <c r="NW116" i="15"/>
  <c r="CE116" i="15"/>
  <c r="RW116" i="15"/>
  <c r="JK116" i="15"/>
  <c r="FK116" i="15"/>
  <c r="FG116" i="15"/>
  <c r="BW116" i="15"/>
  <c r="FC116" i="15"/>
  <c r="EE116" i="15"/>
  <c r="UE116" i="15"/>
  <c r="IQ116" i="15"/>
  <c r="UA116" i="15"/>
  <c r="TW116" i="15"/>
  <c r="RC116" i="15"/>
  <c r="HO116" i="15"/>
  <c r="QQ116" i="15"/>
  <c r="EY116" i="15"/>
  <c r="MI116" i="15"/>
  <c r="OU116" i="15"/>
  <c r="EU116" i="15"/>
  <c r="UI117" i="15"/>
  <c r="TO117" i="15"/>
  <c r="SU117" i="15"/>
  <c r="SA117" i="15"/>
  <c r="RG117" i="15"/>
  <c r="QM117" i="15"/>
  <c r="PS117" i="15"/>
  <c r="OY117" i="15"/>
  <c r="OE117" i="15"/>
  <c r="NK117" i="15"/>
  <c r="MQ117" i="15"/>
  <c r="LW117" i="15"/>
  <c r="LC117" i="15"/>
  <c r="KI117" i="15"/>
  <c r="JO117" i="15"/>
  <c r="IU117" i="15"/>
  <c r="IA117" i="15"/>
  <c r="HG117" i="15"/>
  <c r="GM117" i="15"/>
  <c r="FS117" i="15"/>
  <c r="EY117" i="15"/>
  <c r="EE117" i="15"/>
  <c r="DK117" i="15"/>
  <c r="CQ117" i="15"/>
  <c r="BW117" i="15"/>
  <c r="BC117" i="15"/>
  <c r="AI117" i="15"/>
  <c r="O117" i="15"/>
  <c r="UE117" i="15"/>
  <c r="TK117" i="15"/>
  <c r="SQ117" i="15"/>
  <c r="RW117" i="15"/>
  <c r="RC117" i="15"/>
  <c r="QI117" i="15"/>
  <c r="PO117" i="15"/>
  <c r="OU117" i="15"/>
  <c r="OA117" i="15"/>
  <c r="NG117" i="15"/>
  <c r="MM117" i="15"/>
  <c r="LS117" i="15"/>
  <c r="KY117" i="15"/>
  <c r="KE117" i="15"/>
  <c r="JK117" i="15"/>
  <c r="IQ117" i="15"/>
  <c r="HW117" i="15"/>
  <c r="HC117" i="15"/>
  <c r="GI117" i="15"/>
  <c r="FO117" i="15"/>
  <c r="EU117" i="15"/>
  <c r="EA117" i="15"/>
  <c r="DG117" i="15"/>
  <c r="CM117" i="15"/>
  <c r="BS117" i="15"/>
  <c r="AY117" i="15"/>
  <c r="AE117" i="15"/>
  <c r="K117" i="15"/>
  <c r="UA117" i="15"/>
  <c r="TG117" i="15"/>
  <c r="SM117" i="15"/>
  <c r="RS117" i="15"/>
  <c r="QY117" i="15"/>
  <c r="QE117" i="15"/>
  <c r="PK117" i="15"/>
  <c r="OQ117" i="15"/>
  <c r="NW117" i="15"/>
  <c r="NC117" i="15"/>
  <c r="MI117" i="15"/>
  <c r="LO117" i="15"/>
  <c r="KU117" i="15"/>
  <c r="KA117" i="15"/>
  <c r="JG117" i="15"/>
  <c r="IM117" i="15"/>
  <c r="HS117" i="15"/>
  <c r="GY117" i="15"/>
  <c r="GE117" i="15"/>
  <c r="FK117" i="15"/>
  <c r="EQ117" i="15"/>
  <c r="DW117" i="15"/>
  <c r="DC117" i="15"/>
  <c r="CI117" i="15"/>
  <c r="BO117" i="15"/>
  <c r="AU117" i="15"/>
  <c r="AA117" i="15"/>
  <c r="UQ117" i="15"/>
  <c r="OI117" i="15"/>
  <c r="FG117" i="15"/>
  <c r="TS117" i="15"/>
  <c r="KQ117" i="15"/>
  <c r="EI117" i="15"/>
  <c r="NO117" i="15"/>
  <c r="KM117" i="15"/>
  <c r="EM117" i="15"/>
  <c r="BK117" i="15"/>
  <c r="UM117" i="15"/>
  <c r="OM117" i="15"/>
  <c r="LK117" i="15"/>
  <c r="SI117" i="15"/>
  <c r="BG117" i="15"/>
  <c r="G117" i="15"/>
  <c r="SE117" i="15"/>
  <c r="PC117" i="15"/>
  <c r="JC117" i="15"/>
  <c r="GA117" i="15"/>
  <c r="C117" i="15"/>
  <c r="TC117" i="15"/>
  <c r="GQ117" i="15"/>
  <c r="QQ117" i="15"/>
  <c r="CU117" i="15"/>
  <c r="SY117" i="15"/>
  <c r="RK117" i="15"/>
  <c r="QA117" i="15"/>
  <c r="JW117" i="15"/>
  <c r="CE117" i="15"/>
  <c r="AQ117" i="15"/>
  <c r="II117" i="15"/>
  <c r="GU117" i="15"/>
  <c r="CA117" i="15"/>
  <c r="IE117" i="15"/>
  <c r="NS117" i="15"/>
  <c r="JS117" i="15"/>
  <c r="LG117" i="15"/>
  <c r="FW117" i="15"/>
  <c r="S117" i="15"/>
  <c r="PW117" i="15"/>
  <c r="IY117" i="15"/>
  <c r="MY117" i="15"/>
  <c r="DS117" i="15"/>
  <c r="QU117" i="15"/>
  <c r="FC117" i="15"/>
  <c r="TW117" i="15"/>
  <c r="AM117" i="15"/>
  <c r="PG117" i="15"/>
  <c r="MU117" i="15"/>
  <c r="CY117" i="15"/>
  <c r="RO117" i="15"/>
  <c r="ME117" i="15"/>
  <c r="MA117" i="15"/>
  <c r="W117" i="15"/>
  <c r="HO117" i="15"/>
  <c r="HK117" i="15"/>
  <c r="DO117" i="15"/>
  <c r="UM78" i="15"/>
  <c r="TS78" i="15"/>
  <c r="SY78" i="15"/>
  <c r="SE78" i="15"/>
  <c r="RK78" i="15"/>
  <c r="QQ78" i="15"/>
  <c r="PW78" i="15"/>
  <c r="PC78" i="15"/>
  <c r="OI78" i="15"/>
  <c r="NO78" i="15"/>
  <c r="MU78" i="15"/>
  <c r="MA78" i="15"/>
  <c r="UI78" i="15"/>
  <c r="SQ78" i="15"/>
  <c r="OM78" i="15"/>
  <c r="LG78" i="15"/>
  <c r="KM78" i="15"/>
  <c r="JS78" i="15"/>
  <c r="IY78" i="15"/>
  <c r="IE78" i="15"/>
  <c r="HK78" i="15"/>
  <c r="GQ78" i="15"/>
  <c r="FW78" i="15"/>
  <c r="FC78" i="15"/>
  <c r="EI78" i="15"/>
  <c r="DO78" i="15"/>
  <c r="CU78" i="15"/>
  <c r="CA78" i="15"/>
  <c r="BG78" i="15"/>
  <c r="AM78" i="15"/>
  <c r="S78" i="15"/>
  <c r="RS78" i="15"/>
  <c r="PG78" i="15"/>
  <c r="TK78" i="15"/>
  <c r="QA78" i="15"/>
  <c r="TG78" i="15"/>
  <c r="RO78" i="15"/>
  <c r="MQ78" i="15"/>
  <c r="NK78" i="15"/>
  <c r="TC78" i="15"/>
  <c r="PS78" i="15"/>
  <c r="MM78" i="15"/>
  <c r="RW78" i="15"/>
  <c r="QM78" i="15"/>
  <c r="OE78" i="15"/>
  <c r="NC78" i="15"/>
  <c r="KU78" i="15"/>
  <c r="HO78" i="15"/>
  <c r="DC78" i="15"/>
  <c r="W78" i="15"/>
  <c r="UE78" i="15"/>
  <c r="PK78" i="15"/>
  <c r="LW78" i="15"/>
  <c r="GI78" i="15"/>
  <c r="EE78" i="15"/>
  <c r="UA78" i="15"/>
  <c r="IM78" i="15"/>
  <c r="FG78" i="15"/>
  <c r="AU78" i="15"/>
  <c r="OA78" i="15"/>
  <c r="LS78" i="15"/>
  <c r="JO78" i="15"/>
  <c r="EA78" i="15"/>
  <c r="BW78" i="15"/>
  <c r="SU78" i="15"/>
  <c r="QI78" i="15"/>
  <c r="MY78" i="15"/>
  <c r="KQ78" i="15"/>
  <c r="GE78" i="15"/>
  <c r="CY78" i="15"/>
  <c r="TW78" i="15"/>
  <c r="JK78" i="15"/>
  <c r="HG78" i="15"/>
  <c r="BS78" i="15"/>
  <c r="O78" i="15"/>
  <c r="LO78" i="15"/>
  <c r="II78" i="15"/>
  <c r="DW78" i="15"/>
  <c r="AQ78" i="15"/>
  <c r="SM78" i="15"/>
  <c r="RG78" i="15"/>
  <c r="QE78" i="15"/>
  <c r="JG78" i="15"/>
  <c r="GA78" i="15"/>
  <c r="BO78" i="15"/>
  <c r="NS78" i="15"/>
  <c r="KE78" i="15"/>
  <c r="IA78" i="15"/>
  <c r="CM78" i="15"/>
  <c r="AI78" i="15"/>
  <c r="PO78" i="15"/>
  <c r="ME78" i="15"/>
  <c r="KY78" i="15"/>
  <c r="IU78" i="15"/>
  <c r="DG78" i="15"/>
  <c r="BC78" i="15"/>
  <c r="GU78" i="15"/>
  <c r="CI78" i="15"/>
  <c r="LC78" i="15"/>
  <c r="SA78" i="15"/>
  <c r="NG78" i="15"/>
  <c r="EM78" i="15"/>
  <c r="AA78" i="15"/>
  <c r="CE78" i="15"/>
  <c r="IQ78" i="15"/>
  <c r="GM78" i="15"/>
  <c r="OY78" i="15"/>
  <c r="K78" i="15"/>
  <c r="KI78" i="15"/>
  <c r="TO78" i="15"/>
  <c r="RC78" i="15"/>
  <c r="BK78" i="15"/>
  <c r="MI78" i="15"/>
  <c r="HW78" i="15"/>
  <c r="FS78" i="15"/>
  <c r="OQ78" i="15"/>
  <c r="KA78" i="15"/>
  <c r="C78" i="15"/>
  <c r="QU78" i="15"/>
  <c r="HS78" i="15"/>
  <c r="JW78" i="15"/>
  <c r="FK78" i="15"/>
  <c r="AY78" i="15"/>
  <c r="NW78" i="15"/>
  <c r="HC78" i="15"/>
  <c r="EY78" i="15"/>
  <c r="CQ78" i="15"/>
  <c r="QY78" i="15"/>
  <c r="JC78" i="15"/>
  <c r="OU78" i="15"/>
  <c r="GY78" i="15"/>
  <c r="AE78" i="15"/>
  <c r="G78" i="15"/>
  <c r="EU78" i="15"/>
  <c r="UQ78" i="15"/>
  <c r="EQ78" i="15"/>
  <c r="SI78" i="15"/>
  <c r="LK78" i="15"/>
  <c r="FO78" i="15"/>
  <c r="DS78" i="15"/>
  <c r="DK78" i="15"/>
  <c r="UA37" i="15"/>
  <c r="QU37" i="15"/>
  <c r="NO37" i="15"/>
  <c r="KI37" i="15"/>
  <c r="RO37" i="15"/>
  <c r="OI37" i="15"/>
  <c r="LC37" i="15"/>
  <c r="SI37" i="15"/>
  <c r="PC37" i="15"/>
  <c r="LW37" i="15"/>
  <c r="JK37" i="15"/>
  <c r="IQ37" i="15"/>
  <c r="HW37" i="15"/>
  <c r="HC37" i="15"/>
  <c r="GI37" i="15"/>
  <c r="FO37" i="15"/>
  <c r="EU37" i="15"/>
  <c r="EA37" i="15"/>
  <c r="DG37" i="15"/>
  <c r="CM37" i="15"/>
  <c r="BS37" i="15"/>
  <c r="AY37" i="15"/>
  <c r="AE37" i="15"/>
  <c r="K37" i="15"/>
  <c r="RK37" i="15"/>
  <c r="OE37" i="15"/>
  <c r="LS37" i="15"/>
  <c r="UQ37" i="15"/>
  <c r="SE37" i="15"/>
  <c r="OY37" i="15"/>
  <c r="MM37" i="15"/>
  <c r="JG37" i="15"/>
  <c r="IM37" i="15"/>
  <c r="HS37" i="15"/>
  <c r="GY37" i="15"/>
  <c r="GE37" i="15"/>
  <c r="FK37" i="15"/>
  <c r="EQ37" i="15"/>
  <c r="DW37" i="15"/>
  <c r="DC37" i="15"/>
  <c r="CI37" i="15"/>
  <c r="BO37" i="15"/>
  <c r="AU37" i="15"/>
  <c r="AA37" i="15"/>
  <c r="G37" i="15"/>
  <c r="SY37" i="15"/>
  <c r="PS37" i="15"/>
  <c r="NG37" i="15"/>
  <c r="KA37" i="15"/>
  <c r="TG37" i="15"/>
  <c r="NK37" i="15"/>
  <c r="JW37" i="15"/>
  <c r="CE37" i="15"/>
  <c r="C37" i="15"/>
  <c r="UI37" i="15"/>
  <c r="TC37" i="15"/>
  <c r="PO37" i="15"/>
  <c r="ME37" i="15"/>
  <c r="IU37" i="15"/>
  <c r="HO37" i="15"/>
  <c r="EI37" i="15"/>
  <c r="RW37" i="15"/>
  <c r="OM37" i="15"/>
  <c r="KY37" i="15"/>
  <c r="UE37" i="15"/>
  <c r="KU37" i="15"/>
  <c r="GM37" i="15"/>
  <c r="FG37" i="15"/>
  <c r="BC37" i="15"/>
  <c r="QQ37" i="15"/>
  <c r="NC37" i="15"/>
  <c r="JS37" i="15"/>
  <c r="CA37" i="15"/>
  <c r="QM37" i="15"/>
  <c r="PK37" i="15"/>
  <c r="MA37" i="15"/>
  <c r="HK37" i="15"/>
  <c r="EE37" i="15"/>
  <c r="CY37" i="15"/>
  <c r="W37" i="15"/>
  <c r="TW37" i="15"/>
  <c r="QI37" i="15"/>
  <c r="MY37" i="15"/>
  <c r="JO37" i="15"/>
  <c r="BW37" i="15"/>
  <c r="TS37" i="15"/>
  <c r="SQ37" i="15"/>
  <c r="PG37" i="15"/>
  <c r="HG37" i="15"/>
  <c r="GA37" i="15"/>
  <c r="CU37" i="15"/>
  <c r="S37" i="15"/>
  <c r="LO37" i="15"/>
  <c r="AQ37" i="15"/>
  <c r="RG37" i="15"/>
  <c r="QE37" i="15"/>
  <c r="MU37" i="15"/>
  <c r="TO37" i="15"/>
  <c r="SM37" i="15"/>
  <c r="MQ37" i="15"/>
  <c r="JC37" i="15"/>
  <c r="FW37" i="15"/>
  <c r="CQ37" i="15"/>
  <c r="O37" i="15"/>
  <c r="RC37" i="15"/>
  <c r="NS37" i="15"/>
  <c r="KE37" i="15"/>
  <c r="IA37" i="15"/>
  <c r="GU37" i="15"/>
  <c r="DO37" i="15"/>
  <c r="BK37" i="15"/>
  <c r="TK37" i="15"/>
  <c r="QA37" i="15"/>
  <c r="MI37" i="15"/>
  <c r="SU37" i="15"/>
  <c r="IY37" i="15"/>
  <c r="FS37" i="15"/>
  <c r="OU37" i="15"/>
  <c r="II37" i="15"/>
  <c r="LK37" i="15"/>
  <c r="IE37" i="15"/>
  <c r="FC37" i="15"/>
  <c r="SA37" i="15"/>
  <c r="OQ37" i="15"/>
  <c r="EY37" i="15"/>
  <c r="RS37" i="15"/>
  <c r="LG37" i="15"/>
  <c r="EM37" i="15"/>
  <c r="OA37" i="15"/>
  <c r="KM37" i="15"/>
  <c r="BG37" i="15"/>
  <c r="QY37" i="15"/>
  <c r="DS37" i="15"/>
  <c r="AM37" i="15"/>
  <c r="KQ37" i="15"/>
  <c r="GQ37" i="15"/>
  <c r="UM37" i="15"/>
  <c r="DK37" i="15"/>
  <c r="AI37" i="15"/>
  <c r="PW37" i="15"/>
  <c r="NW37" i="15"/>
  <c r="UE99" i="15"/>
  <c r="TK99" i="15"/>
  <c r="SQ99" i="15"/>
  <c r="RW99" i="15"/>
  <c r="RC99" i="15"/>
  <c r="QI99" i="15"/>
  <c r="PO99" i="15"/>
  <c r="OU99" i="15"/>
  <c r="OA99" i="15"/>
  <c r="NG99" i="15"/>
  <c r="MM99" i="15"/>
  <c r="LS99" i="15"/>
  <c r="KY99" i="15"/>
  <c r="KE99" i="15"/>
  <c r="JK99" i="15"/>
  <c r="IQ99" i="15"/>
  <c r="HW99" i="15"/>
  <c r="HC99" i="15"/>
  <c r="GI99" i="15"/>
  <c r="FO99" i="15"/>
  <c r="EU99" i="15"/>
  <c r="EA99" i="15"/>
  <c r="DG99" i="15"/>
  <c r="CM99" i="15"/>
  <c r="BS99" i="15"/>
  <c r="AY99" i="15"/>
  <c r="AE99" i="15"/>
  <c r="K99" i="15"/>
  <c r="QQ99" i="15"/>
  <c r="NW99" i="15"/>
  <c r="LW99" i="15"/>
  <c r="UI99" i="15"/>
  <c r="TG99" i="15"/>
  <c r="PK99" i="15"/>
  <c r="OM99" i="15"/>
  <c r="NO99" i="15"/>
  <c r="NK99" i="15"/>
  <c r="MI99" i="15"/>
  <c r="FW99" i="15"/>
  <c r="DC99" i="15"/>
  <c r="O99" i="15"/>
  <c r="IM99" i="15"/>
  <c r="EY99" i="15"/>
  <c r="CE99" i="15"/>
  <c r="TS99" i="15"/>
  <c r="RO99" i="15"/>
  <c r="QM99" i="15"/>
  <c r="OI99" i="15"/>
  <c r="HO99" i="15"/>
  <c r="BG99" i="15"/>
  <c r="LG99" i="15"/>
  <c r="KI99" i="15"/>
  <c r="GQ99" i="15"/>
  <c r="DW99" i="15"/>
  <c r="AI99" i="15"/>
  <c r="SM99" i="15"/>
  <c r="RK99" i="15"/>
  <c r="PG99" i="15"/>
  <c r="ME99" i="15"/>
  <c r="JG99" i="15"/>
  <c r="FS99" i="15"/>
  <c r="CY99" i="15"/>
  <c r="UQ99" i="15"/>
  <c r="NC99" i="15"/>
  <c r="II99" i="15"/>
  <c r="CA99" i="15"/>
  <c r="G99" i="15"/>
  <c r="TO99" i="15"/>
  <c r="SI99" i="15"/>
  <c r="QE99" i="15"/>
  <c r="OE99" i="15"/>
  <c r="HK99" i="15"/>
  <c r="EQ99" i="15"/>
  <c r="BC99" i="15"/>
  <c r="PC99" i="15"/>
  <c r="MA99" i="15"/>
  <c r="KA99" i="15"/>
  <c r="JC99" i="15"/>
  <c r="CU99" i="15"/>
  <c r="AA99" i="15"/>
  <c r="UM99" i="15"/>
  <c r="SE99" i="15"/>
  <c r="MY99" i="15"/>
  <c r="IE99" i="15"/>
  <c r="FK99" i="15"/>
  <c r="BW99" i="15"/>
  <c r="QA99" i="15"/>
  <c r="HG99" i="15"/>
  <c r="EM99" i="15"/>
  <c r="TC99" i="15"/>
  <c r="BO99" i="15"/>
  <c r="SY99" i="15"/>
  <c r="MQ99" i="15"/>
  <c r="KQ99" i="15"/>
  <c r="GY99" i="15"/>
  <c r="DK99" i="15"/>
  <c r="QU99" i="15"/>
  <c r="OQ99" i="15"/>
  <c r="IU99" i="15"/>
  <c r="FC99" i="15"/>
  <c r="S99" i="15"/>
  <c r="BK99" i="15"/>
  <c r="SU99" i="15"/>
  <c r="KM99" i="15"/>
  <c r="GU99" i="15"/>
  <c r="GM99" i="15"/>
  <c r="JW99" i="15"/>
  <c r="AU99" i="15"/>
  <c r="GE99" i="15"/>
  <c r="CQ99" i="15"/>
  <c r="C99" i="15"/>
  <c r="SA99" i="15"/>
  <c r="IA99" i="15"/>
  <c r="UA99" i="15"/>
  <c r="LO99" i="15"/>
  <c r="JS99" i="15"/>
  <c r="AQ99" i="15"/>
  <c r="GA99" i="15"/>
  <c r="IY99" i="15"/>
  <c r="EE99" i="15"/>
  <c r="W99" i="15"/>
  <c r="DS99" i="15"/>
  <c r="DO99" i="15"/>
  <c r="RS99" i="15"/>
  <c r="HS99" i="15"/>
  <c r="MU99" i="15"/>
  <c r="RG99" i="15"/>
  <c r="QY99" i="15"/>
  <c r="LK99" i="15"/>
  <c r="PS99" i="15"/>
  <c r="KU99" i="15"/>
  <c r="AM99" i="15"/>
  <c r="JO99" i="15"/>
  <c r="TW99" i="15"/>
  <c r="PW99" i="15"/>
  <c r="FG99" i="15"/>
  <c r="OY99" i="15"/>
  <c r="NS99" i="15"/>
  <c r="EI99" i="15"/>
  <c r="CI99" i="15"/>
  <c r="LC99" i="15"/>
  <c r="UA76" i="15"/>
  <c r="TG76" i="15"/>
  <c r="SM76" i="15"/>
  <c r="RS76" i="15"/>
  <c r="QY76" i="15"/>
  <c r="QE76" i="15"/>
  <c r="PK76" i="15"/>
  <c r="OQ76" i="15"/>
  <c r="NW76" i="15"/>
  <c r="NC76" i="15"/>
  <c r="MI76" i="15"/>
  <c r="LO76" i="15"/>
  <c r="KU76" i="15"/>
  <c r="KA76" i="15"/>
  <c r="JG76" i="15"/>
  <c r="IM76" i="15"/>
  <c r="HS76" i="15"/>
  <c r="GY76" i="15"/>
  <c r="GE76" i="15"/>
  <c r="FK76" i="15"/>
  <c r="EQ76" i="15"/>
  <c r="DW76" i="15"/>
  <c r="DC76" i="15"/>
  <c r="CI76" i="15"/>
  <c r="IY76" i="15"/>
  <c r="FS76" i="15"/>
  <c r="CM76" i="15"/>
  <c r="TC76" i="15"/>
  <c r="RK76" i="15"/>
  <c r="PS76" i="15"/>
  <c r="OA76" i="15"/>
  <c r="LK76" i="15"/>
  <c r="JS76" i="15"/>
  <c r="GM76" i="15"/>
  <c r="DG76" i="15"/>
  <c r="HG76" i="15"/>
  <c r="EA76" i="15"/>
  <c r="TW76" i="15"/>
  <c r="SE76" i="15"/>
  <c r="QM76" i="15"/>
  <c r="OU76" i="15"/>
  <c r="ME76" i="15"/>
  <c r="KM76" i="15"/>
  <c r="IA76" i="15"/>
  <c r="EU76" i="15"/>
  <c r="BO76" i="15"/>
  <c r="AU76" i="15"/>
  <c r="AA76" i="15"/>
  <c r="G76" i="15"/>
  <c r="IU76" i="15"/>
  <c r="FO76" i="15"/>
  <c r="UQ76" i="15"/>
  <c r="SY76" i="15"/>
  <c r="RG76" i="15"/>
  <c r="PO76" i="15"/>
  <c r="MY76" i="15"/>
  <c r="LG76" i="15"/>
  <c r="JO76" i="15"/>
  <c r="GI76" i="15"/>
  <c r="HC76" i="15"/>
  <c r="IQ76" i="15"/>
  <c r="CY76" i="15"/>
  <c r="TO76" i="15"/>
  <c r="RW76" i="15"/>
  <c r="PG76" i="15"/>
  <c r="NO76" i="15"/>
  <c r="LW76" i="15"/>
  <c r="KE76" i="15"/>
  <c r="FG76" i="15"/>
  <c r="UI76" i="15"/>
  <c r="JK76" i="15"/>
  <c r="IE76" i="15"/>
  <c r="GQ76" i="15"/>
  <c r="FC76" i="15"/>
  <c r="BC76" i="15"/>
  <c r="S76" i="15"/>
  <c r="RC76" i="15"/>
  <c r="OE76" i="15"/>
  <c r="KY76" i="15"/>
  <c r="HW76" i="15"/>
  <c r="CE76" i="15"/>
  <c r="SQ76" i="15"/>
  <c r="DO76" i="15"/>
  <c r="MM76" i="15"/>
  <c r="UE76" i="15"/>
  <c r="NS76" i="15"/>
  <c r="EY76" i="15"/>
  <c r="CA76" i="15"/>
  <c r="AY76" i="15"/>
  <c r="O76" i="15"/>
  <c r="AQ76" i="15"/>
  <c r="QU76" i="15"/>
  <c r="MA76" i="15"/>
  <c r="JC76" i="15"/>
  <c r="HO76" i="15"/>
  <c r="GA76" i="15"/>
  <c r="DK76" i="15"/>
  <c r="SI76" i="15"/>
  <c r="PC76" i="15"/>
  <c r="KI76" i="15"/>
  <c r="BW76" i="15"/>
  <c r="AM76" i="15"/>
  <c r="K76" i="15"/>
  <c r="SA76" i="15"/>
  <c r="C76" i="15"/>
  <c r="QQ76" i="15"/>
  <c r="NK76" i="15"/>
  <c r="HK76" i="15"/>
  <c r="FW76" i="15"/>
  <c r="OY76" i="15"/>
  <c r="LS76" i="15"/>
  <c r="BS76" i="15"/>
  <c r="AI76" i="15"/>
  <c r="TK76" i="15"/>
  <c r="CU76" i="15"/>
  <c r="BK76" i="15"/>
  <c r="OM76" i="15"/>
  <c r="NG76" i="15"/>
  <c r="QA76" i="15"/>
  <c r="EE76" i="15"/>
  <c r="II76" i="15"/>
  <c r="DS76" i="15"/>
  <c r="SU76" i="15"/>
  <c r="MU76" i="15"/>
  <c r="RO76" i="15"/>
  <c r="MQ76" i="15"/>
  <c r="CQ76" i="15"/>
  <c r="GU76" i="15"/>
  <c r="QI76" i="15"/>
  <c r="LC76" i="15"/>
  <c r="BG76" i="15"/>
  <c r="JW76" i="15"/>
  <c r="TS76" i="15"/>
  <c r="EM76" i="15"/>
  <c r="AE76" i="15"/>
  <c r="KQ76" i="15"/>
  <c r="EI76" i="15"/>
  <c r="UM76" i="15"/>
  <c r="W76" i="15"/>
  <c r="PW76" i="15"/>
  <c r="OI76" i="15"/>
  <c r="RS114" i="15"/>
  <c r="PG114" i="15"/>
  <c r="MA114" i="15"/>
  <c r="IU114" i="15"/>
  <c r="FO114" i="15"/>
  <c r="CI114" i="15"/>
  <c r="W114" i="15"/>
  <c r="SM114" i="15"/>
  <c r="QA114" i="15"/>
  <c r="MU114" i="15"/>
  <c r="JO114" i="15"/>
  <c r="GI114" i="15"/>
  <c r="DC114" i="15"/>
  <c r="AQ114" i="15"/>
  <c r="SI114" i="15"/>
  <c r="PC114" i="15"/>
  <c r="LW114" i="15"/>
  <c r="IQ114" i="15"/>
  <c r="FK114" i="15"/>
  <c r="CY114" i="15"/>
  <c r="S114" i="15"/>
  <c r="UA114" i="15"/>
  <c r="NK114" i="15"/>
  <c r="MM114" i="15"/>
  <c r="LO114" i="15"/>
  <c r="HS114" i="15"/>
  <c r="TK114" i="15"/>
  <c r="PK114" i="15"/>
  <c r="OI114" i="15"/>
  <c r="DW114" i="15"/>
  <c r="QI114" i="15"/>
  <c r="C114" i="15"/>
  <c r="TC114" i="15"/>
  <c r="QE114" i="15"/>
  <c r="KI114" i="15"/>
  <c r="EQ114" i="15"/>
  <c r="RK114" i="15"/>
  <c r="NS114" i="15"/>
  <c r="LG114" i="15"/>
  <c r="IY114" i="15"/>
  <c r="GM114" i="15"/>
  <c r="FG114" i="15"/>
  <c r="EE114" i="15"/>
  <c r="BS114" i="15"/>
  <c r="AM114" i="15"/>
  <c r="K114" i="15"/>
  <c r="SQ114" i="15"/>
  <c r="RG114" i="15"/>
  <c r="OU114" i="15"/>
  <c r="KA114" i="15"/>
  <c r="HO114" i="15"/>
  <c r="CU114" i="15"/>
  <c r="TS114" i="15"/>
  <c r="PW114" i="15"/>
  <c r="NO114" i="15"/>
  <c r="MI114" i="15"/>
  <c r="LC114" i="15"/>
  <c r="OQ114" i="15"/>
  <c r="KY114" i="15"/>
  <c r="GE114" i="15"/>
  <c r="DS114" i="15"/>
  <c r="BK114" i="15"/>
  <c r="UM114" i="15"/>
  <c r="RC114" i="15"/>
  <c r="JS114" i="15"/>
  <c r="IE114" i="15"/>
  <c r="GU114" i="15"/>
  <c r="DO114" i="15"/>
  <c r="AU114" i="15"/>
  <c r="UI114" i="15"/>
  <c r="SU114" i="15"/>
  <c r="OA114" i="15"/>
  <c r="MQ114" i="15"/>
  <c r="GQ114" i="15"/>
  <c r="FC114" i="15"/>
  <c r="CE114" i="15"/>
  <c r="G114" i="15"/>
  <c r="PO114" i="15"/>
  <c r="JK114" i="15"/>
  <c r="NW114" i="15"/>
  <c r="ME114" i="15"/>
  <c r="KU114" i="15"/>
  <c r="JG114" i="15"/>
  <c r="EU114" i="15"/>
  <c r="BW114" i="15"/>
  <c r="AI114" i="15"/>
  <c r="OY114" i="15"/>
  <c r="KM114" i="15"/>
  <c r="HK114" i="15"/>
  <c r="BO114" i="15"/>
  <c r="AA114" i="15"/>
  <c r="SA114" i="15"/>
  <c r="GA114" i="15"/>
  <c r="AE114" i="15"/>
  <c r="UE114" i="15"/>
  <c r="IA114" i="15"/>
  <c r="CA114" i="15"/>
  <c r="TO114" i="15"/>
  <c r="NG114" i="15"/>
  <c r="TW114" i="15"/>
  <c r="JC114" i="15"/>
  <c r="EA114" i="15"/>
  <c r="QY114" i="15"/>
  <c r="LS114" i="15"/>
  <c r="QU114" i="15"/>
  <c r="OM114" i="15"/>
  <c r="DK114" i="15"/>
  <c r="BC114" i="15"/>
  <c r="LK114" i="15"/>
  <c r="AY114" i="15"/>
  <c r="TG114" i="15"/>
  <c r="QQ114" i="15"/>
  <c r="OE114" i="15"/>
  <c r="IM114" i="15"/>
  <c r="FW114" i="15"/>
  <c r="DG114" i="15"/>
  <c r="QM114" i="15"/>
  <c r="II114" i="15"/>
  <c r="SY114" i="15"/>
  <c r="KQ114" i="15"/>
  <c r="FS114" i="15"/>
  <c r="BG114" i="15"/>
  <c r="UQ114" i="15"/>
  <c r="KE114" i="15"/>
  <c r="EY114" i="15"/>
  <c r="JW114" i="15"/>
  <c r="O114" i="15"/>
  <c r="EM114" i="15"/>
  <c r="NC114" i="15"/>
  <c r="SE114" i="15"/>
  <c r="EI114" i="15"/>
  <c r="HC114" i="15"/>
  <c r="RO114" i="15"/>
  <c r="GY114" i="15"/>
  <c r="PS114" i="15"/>
  <c r="CQ114" i="15"/>
  <c r="MY114" i="15"/>
  <c r="HG114" i="15"/>
  <c r="CM114" i="15"/>
  <c r="RW114" i="15"/>
  <c r="HW114" i="15"/>
  <c r="UM62" i="15"/>
  <c r="TS62" i="15"/>
  <c r="SY62" i="15"/>
  <c r="SE62" i="15"/>
  <c r="RK62" i="15"/>
  <c r="QQ62" i="15"/>
  <c r="PW62" i="15"/>
  <c r="PC62" i="15"/>
  <c r="OI62" i="15"/>
  <c r="NO62" i="15"/>
  <c r="MU62" i="15"/>
  <c r="MA62" i="15"/>
  <c r="LG62" i="15"/>
  <c r="KM62" i="15"/>
  <c r="JS62" i="15"/>
  <c r="IY62" i="15"/>
  <c r="IE62" i="15"/>
  <c r="HK62" i="15"/>
  <c r="GQ62" i="15"/>
  <c r="FW62" i="15"/>
  <c r="FC62" i="15"/>
  <c r="EI62" i="15"/>
  <c r="DO62" i="15"/>
  <c r="CU62" i="15"/>
  <c r="CA62" i="15"/>
  <c r="BG62" i="15"/>
  <c r="AM62" i="15"/>
  <c r="S62" i="15"/>
  <c r="UI62" i="15"/>
  <c r="TO62" i="15"/>
  <c r="SU62" i="15"/>
  <c r="SA62" i="15"/>
  <c r="RG62" i="15"/>
  <c r="QM62" i="15"/>
  <c r="PS62" i="15"/>
  <c r="OY62" i="15"/>
  <c r="OE62" i="15"/>
  <c r="NK62" i="15"/>
  <c r="MQ62" i="15"/>
  <c r="LW62" i="15"/>
  <c r="LC62" i="15"/>
  <c r="KI62" i="15"/>
  <c r="JO62" i="15"/>
  <c r="IU62" i="15"/>
  <c r="IA62" i="15"/>
  <c r="HG62" i="15"/>
  <c r="GM62" i="15"/>
  <c r="UE62" i="15"/>
  <c r="TK62" i="15"/>
  <c r="SQ62" i="15"/>
  <c r="RW62" i="15"/>
  <c r="RC62" i="15"/>
  <c r="QI62" i="15"/>
  <c r="PO62" i="15"/>
  <c r="OU62" i="15"/>
  <c r="OA62" i="15"/>
  <c r="NG62" i="15"/>
  <c r="MM62" i="15"/>
  <c r="LS62" i="15"/>
  <c r="KY62" i="15"/>
  <c r="KE62" i="15"/>
  <c r="JK62" i="15"/>
  <c r="IQ62" i="15"/>
  <c r="HW62" i="15"/>
  <c r="LK62" i="15"/>
  <c r="IM62" i="15"/>
  <c r="HC62" i="15"/>
  <c r="CI62" i="15"/>
  <c r="EQ62" i="15"/>
  <c r="BC62" i="15"/>
  <c r="UA62" i="15"/>
  <c r="SM62" i="15"/>
  <c r="QY62" i="15"/>
  <c r="PK62" i="15"/>
  <c r="JW62" i="15"/>
  <c r="DK62" i="15"/>
  <c r="NW62" i="15"/>
  <c r="GY62" i="15"/>
  <c r="FS62" i="15"/>
  <c r="AY62" i="15"/>
  <c r="W62" i="15"/>
  <c r="II62" i="15"/>
  <c r="DG62" i="15"/>
  <c r="CE62" i="15"/>
  <c r="TW62" i="15"/>
  <c r="SI62" i="15"/>
  <c r="QU62" i="15"/>
  <c r="PG62" i="15"/>
  <c r="MI62" i="15"/>
  <c r="FO62" i="15"/>
  <c r="EM62" i="15"/>
  <c r="FK62" i="15"/>
  <c r="BW62" i="15"/>
  <c r="ME62" i="15"/>
  <c r="JG62" i="15"/>
  <c r="EE62" i="15"/>
  <c r="K62" i="15"/>
  <c r="BS62" i="15"/>
  <c r="AQ62" i="15"/>
  <c r="KQ62" i="15"/>
  <c r="HS62" i="15"/>
  <c r="EA62" i="15"/>
  <c r="CY62" i="15"/>
  <c r="TG62" i="15"/>
  <c r="RS62" i="15"/>
  <c r="QE62" i="15"/>
  <c r="OQ62" i="15"/>
  <c r="GI62" i="15"/>
  <c r="FG62" i="15"/>
  <c r="G62" i="15"/>
  <c r="UQ62" i="15"/>
  <c r="TC62" i="15"/>
  <c r="RO62" i="15"/>
  <c r="QA62" i="15"/>
  <c r="HO62" i="15"/>
  <c r="GE62" i="15"/>
  <c r="CQ62" i="15"/>
  <c r="OM62" i="15"/>
  <c r="LO62" i="15"/>
  <c r="EY62" i="15"/>
  <c r="AE62" i="15"/>
  <c r="C62" i="15"/>
  <c r="AU62" i="15"/>
  <c r="DW62" i="15"/>
  <c r="AI62" i="15"/>
  <c r="DS62" i="15"/>
  <c r="KU62" i="15"/>
  <c r="GU62" i="15"/>
  <c r="AA62" i="15"/>
  <c r="O62" i="15"/>
  <c r="KA62" i="15"/>
  <c r="CM62" i="15"/>
  <c r="MY62" i="15"/>
  <c r="BO62" i="15"/>
  <c r="NS62" i="15"/>
  <c r="DC62" i="15"/>
  <c r="NC62" i="15"/>
  <c r="BK62" i="15"/>
  <c r="JC62" i="15"/>
  <c r="GA62" i="15"/>
  <c r="EU62" i="15"/>
  <c r="UM94" i="15"/>
  <c r="TS94" i="15"/>
  <c r="SY94" i="15"/>
  <c r="SE94" i="15"/>
  <c r="RK94" i="15"/>
  <c r="QQ94" i="15"/>
  <c r="PW94" i="15"/>
  <c r="PC94" i="15"/>
  <c r="OI94" i="15"/>
  <c r="NO94" i="15"/>
  <c r="MU94" i="15"/>
  <c r="MA94" i="15"/>
  <c r="LG94" i="15"/>
  <c r="KM94" i="15"/>
  <c r="JS94" i="15"/>
  <c r="IY94" i="15"/>
  <c r="IE94" i="15"/>
  <c r="HK94" i="15"/>
  <c r="GQ94" i="15"/>
  <c r="FW94" i="15"/>
  <c r="FC94" i="15"/>
  <c r="EI94" i="15"/>
  <c r="DO94" i="15"/>
  <c r="CU94" i="15"/>
  <c r="CA94" i="15"/>
  <c r="UI94" i="15"/>
  <c r="TO94" i="15"/>
  <c r="SU94" i="15"/>
  <c r="SA94" i="15"/>
  <c r="RG94" i="15"/>
  <c r="QM94" i="15"/>
  <c r="PS94" i="15"/>
  <c r="OY94" i="15"/>
  <c r="OE94" i="15"/>
  <c r="NK94" i="15"/>
  <c r="MQ94" i="15"/>
  <c r="LW94" i="15"/>
  <c r="LC94" i="15"/>
  <c r="KI94" i="15"/>
  <c r="JO94" i="15"/>
  <c r="IU94" i="15"/>
  <c r="IA94" i="15"/>
  <c r="HG94" i="15"/>
  <c r="GM94" i="15"/>
  <c r="FS94" i="15"/>
  <c r="EY94" i="15"/>
  <c r="EE94" i="15"/>
  <c r="DK94" i="15"/>
  <c r="CQ94" i="15"/>
  <c r="BW94" i="15"/>
  <c r="AE94" i="15"/>
  <c r="RO94" i="15"/>
  <c r="OM94" i="15"/>
  <c r="SM94" i="15"/>
  <c r="PK94" i="15"/>
  <c r="AY94" i="15"/>
  <c r="G94" i="15"/>
  <c r="UQ94" i="15"/>
  <c r="TK94" i="15"/>
  <c r="QI94" i="15"/>
  <c r="NG94" i="15"/>
  <c r="MI94" i="15"/>
  <c r="LK94" i="15"/>
  <c r="JK94" i="15"/>
  <c r="IM94" i="15"/>
  <c r="HO94" i="15"/>
  <c r="FO94" i="15"/>
  <c r="EQ94" i="15"/>
  <c r="DS94" i="15"/>
  <c r="BS94" i="15"/>
  <c r="AA94" i="15"/>
  <c r="SI94" i="15"/>
  <c r="PG94" i="15"/>
  <c r="AU94" i="15"/>
  <c r="C94" i="15"/>
  <c r="TG94" i="15"/>
  <c r="QE94" i="15"/>
  <c r="NC94" i="15"/>
  <c r="ME94" i="15"/>
  <c r="KE94" i="15"/>
  <c r="JG94" i="15"/>
  <c r="II94" i="15"/>
  <c r="GI94" i="15"/>
  <c r="FK94" i="15"/>
  <c r="EM94" i="15"/>
  <c r="CM94" i="15"/>
  <c r="UE94" i="15"/>
  <c r="AQ94" i="15"/>
  <c r="QY94" i="15"/>
  <c r="NW94" i="15"/>
  <c r="BK94" i="15"/>
  <c r="UA94" i="15"/>
  <c r="RW94" i="15"/>
  <c r="OU94" i="15"/>
  <c r="LO94" i="15"/>
  <c r="GU94" i="15"/>
  <c r="EA94" i="15"/>
  <c r="W94" i="15"/>
  <c r="NS94" i="15"/>
  <c r="S94" i="15"/>
  <c r="QA94" i="15"/>
  <c r="KY94" i="15"/>
  <c r="GE94" i="15"/>
  <c r="BO94" i="15"/>
  <c r="SQ94" i="15"/>
  <c r="O94" i="15"/>
  <c r="KU94" i="15"/>
  <c r="IQ94" i="15"/>
  <c r="GA94" i="15"/>
  <c r="DW94" i="15"/>
  <c r="PO94" i="15"/>
  <c r="K94" i="15"/>
  <c r="KQ94" i="15"/>
  <c r="HW94" i="15"/>
  <c r="DC94" i="15"/>
  <c r="BC94" i="15"/>
  <c r="RS94" i="15"/>
  <c r="KA94" i="15"/>
  <c r="FG94" i="15"/>
  <c r="LS94" i="15"/>
  <c r="AI94" i="15"/>
  <c r="RC94" i="15"/>
  <c r="JW94" i="15"/>
  <c r="EU94" i="15"/>
  <c r="QU94" i="15"/>
  <c r="DG94" i="15"/>
  <c r="CY94" i="15"/>
  <c r="OA94" i="15"/>
  <c r="CE94" i="15"/>
  <c r="TW94" i="15"/>
  <c r="HC94" i="15"/>
  <c r="MM94" i="15"/>
  <c r="GY94" i="15"/>
  <c r="OQ94" i="15"/>
  <c r="MY94" i="15"/>
  <c r="JC94" i="15"/>
  <c r="HS94" i="15"/>
  <c r="CI94" i="15"/>
  <c r="BG94" i="15"/>
  <c r="AM94" i="15"/>
  <c r="TC94" i="15"/>
  <c r="SI92" i="15"/>
  <c r="PC92" i="15"/>
  <c r="LW92" i="15"/>
  <c r="TC92" i="15"/>
  <c r="PW92" i="15"/>
  <c r="MQ92" i="15"/>
  <c r="TW92" i="15"/>
  <c r="QQ92" i="15"/>
  <c r="NK92" i="15"/>
  <c r="KE92" i="15"/>
  <c r="JK92" i="15"/>
  <c r="IQ92" i="15"/>
  <c r="HW92" i="15"/>
  <c r="HC92" i="15"/>
  <c r="GI92" i="15"/>
  <c r="FO92" i="15"/>
  <c r="EU92" i="15"/>
  <c r="EA92" i="15"/>
  <c r="DG92" i="15"/>
  <c r="CM92" i="15"/>
  <c r="BS92" i="15"/>
  <c r="AY92" i="15"/>
  <c r="AE92" i="15"/>
  <c r="K92" i="15"/>
  <c r="SY92" i="15"/>
  <c r="PS92" i="15"/>
  <c r="MM92" i="15"/>
  <c r="TS92" i="15"/>
  <c r="QM92" i="15"/>
  <c r="NG92" i="15"/>
  <c r="KU92" i="15"/>
  <c r="KA92" i="15"/>
  <c r="JG92" i="15"/>
  <c r="IM92" i="15"/>
  <c r="HS92" i="15"/>
  <c r="GY92" i="15"/>
  <c r="GE92" i="15"/>
  <c r="FK92" i="15"/>
  <c r="EQ92" i="15"/>
  <c r="DW92" i="15"/>
  <c r="DC92" i="15"/>
  <c r="CI92" i="15"/>
  <c r="BO92" i="15"/>
  <c r="AU92" i="15"/>
  <c r="AA92" i="15"/>
  <c r="G92" i="15"/>
  <c r="UM92" i="15"/>
  <c r="RG92" i="15"/>
  <c r="OA92" i="15"/>
  <c r="UQ92" i="15"/>
  <c r="TK92" i="15"/>
  <c r="MI92" i="15"/>
  <c r="KI92" i="15"/>
  <c r="HG92" i="15"/>
  <c r="EE92" i="15"/>
  <c r="BC92" i="15"/>
  <c r="SE92" i="15"/>
  <c r="OQ92" i="15"/>
  <c r="IE92" i="15"/>
  <c r="FC92" i="15"/>
  <c r="CA92" i="15"/>
  <c r="SA92" i="15"/>
  <c r="QY92" i="15"/>
  <c r="NO92" i="15"/>
  <c r="LG92" i="15"/>
  <c r="JC92" i="15"/>
  <c r="GA92" i="15"/>
  <c r="CY92" i="15"/>
  <c r="W92" i="15"/>
  <c r="TG92" i="15"/>
  <c r="UI92" i="15"/>
  <c r="ME92" i="15"/>
  <c r="PO92" i="15"/>
  <c r="OM92" i="15"/>
  <c r="IA92" i="15"/>
  <c r="EY92" i="15"/>
  <c r="BW92" i="15"/>
  <c r="RW92" i="15"/>
  <c r="QU92" i="15"/>
  <c r="LC92" i="15"/>
  <c r="IY92" i="15"/>
  <c r="FW92" i="15"/>
  <c r="CU92" i="15"/>
  <c r="S92" i="15"/>
  <c r="UE92" i="15"/>
  <c r="PK92" i="15"/>
  <c r="MA92" i="15"/>
  <c r="SU92" i="15"/>
  <c r="RS92" i="15"/>
  <c r="OI92" i="15"/>
  <c r="OE92" i="15"/>
  <c r="IU92" i="15"/>
  <c r="FS92" i="15"/>
  <c r="CQ92" i="15"/>
  <c r="O92" i="15"/>
  <c r="UA92" i="15"/>
  <c r="MY92" i="15"/>
  <c r="JS92" i="15"/>
  <c r="GQ92" i="15"/>
  <c r="DO92" i="15"/>
  <c r="AM92" i="15"/>
  <c r="QI92" i="15"/>
  <c r="PG92" i="15"/>
  <c r="KQ92" i="15"/>
  <c r="HO92" i="15"/>
  <c r="EM92" i="15"/>
  <c r="BK92" i="15"/>
  <c r="TO92" i="15"/>
  <c r="KY92" i="15"/>
  <c r="AQ92" i="15"/>
  <c r="II92" i="15"/>
  <c r="NS92" i="15"/>
  <c r="QE92" i="15"/>
  <c r="AI92" i="15"/>
  <c r="NC92" i="15"/>
  <c r="KM92" i="15"/>
  <c r="SQ92" i="15"/>
  <c r="FG92" i="15"/>
  <c r="SM92" i="15"/>
  <c r="JW92" i="15"/>
  <c r="HK92" i="15"/>
  <c r="CE92" i="15"/>
  <c r="RK92" i="15"/>
  <c r="OU92" i="15"/>
  <c r="LO92" i="15"/>
  <c r="GM92" i="15"/>
  <c r="LS92" i="15"/>
  <c r="EI92" i="15"/>
  <c r="LK92" i="15"/>
  <c r="DS92" i="15"/>
  <c r="DK92" i="15"/>
  <c r="JO92" i="15"/>
  <c r="RO92" i="15"/>
  <c r="RC92" i="15"/>
  <c r="BG92" i="15"/>
  <c r="QA92" i="15"/>
  <c r="NW92" i="15"/>
  <c r="C92" i="15"/>
  <c r="GU92" i="15"/>
  <c r="OY92" i="15"/>
  <c r="MU92" i="15"/>
  <c r="UI8" i="15"/>
  <c r="TO8" i="15"/>
  <c r="SU8" i="15"/>
  <c r="SA8" i="15"/>
  <c r="RG8" i="15"/>
  <c r="QM8" i="15"/>
  <c r="PS8" i="15"/>
  <c r="OY8" i="15"/>
  <c r="OE8" i="15"/>
  <c r="NK8" i="15"/>
  <c r="MQ8" i="15"/>
  <c r="LW8" i="15"/>
  <c r="LC8" i="15"/>
  <c r="KI8" i="15"/>
  <c r="JO8" i="15"/>
  <c r="IU8" i="15"/>
  <c r="IA8" i="15"/>
  <c r="HG8" i="15"/>
  <c r="GM8" i="15"/>
  <c r="FS8" i="15"/>
  <c r="EY8" i="15"/>
  <c r="EE8" i="15"/>
  <c r="DK8" i="15"/>
  <c r="CQ8" i="15"/>
  <c r="BW8" i="15"/>
  <c r="BC8" i="15"/>
  <c r="AI8" i="15"/>
  <c r="O8" i="15"/>
  <c r="UE8" i="15"/>
  <c r="TK8" i="15"/>
  <c r="SQ8" i="15"/>
  <c r="RW8" i="15"/>
  <c r="RC8" i="15"/>
  <c r="QI8" i="15"/>
  <c r="PO8" i="15"/>
  <c r="OU8" i="15"/>
  <c r="OA8" i="15"/>
  <c r="NG8" i="15"/>
  <c r="MM8" i="15"/>
  <c r="LS8" i="15"/>
  <c r="KY8" i="15"/>
  <c r="KE8" i="15"/>
  <c r="JK8" i="15"/>
  <c r="IQ8" i="15"/>
  <c r="HW8" i="15"/>
  <c r="HC8" i="15"/>
  <c r="GI8" i="15"/>
  <c r="FO8" i="15"/>
  <c r="EU8" i="15"/>
  <c r="EA8" i="15"/>
  <c r="DG8" i="15"/>
  <c r="CM8" i="15"/>
  <c r="BS8" i="15"/>
  <c r="AY8" i="15"/>
  <c r="AE8" i="15"/>
  <c r="K8" i="15"/>
  <c r="TG8" i="15"/>
  <c r="SI8" i="15"/>
  <c r="RK8" i="15"/>
  <c r="PK8" i="15"/>
  <c r="OM8" i="15"/>
  <c r="NO8" i="15"/>
  <c r="LO8" i="15"/>
  <c r="KQ8" i="15"/>
  <c r="JS8" i="15"/>
  <c r="HS8" i="15"/>
  <c r="GU8" i="15"/>
  <c r="FW8" i="15"/>
  <c r="DW8" i="15"/>
  <c r="CY8" i="15"/>
  <c r="CA8" i="15"/>
  <c r="AA8" i="15"/>
  <c r="C8" i="15"/>
  <c r="UA8" i="15"/>
  <c r="TC8" i="15"/>
  <c r="SE8" i="15"/>
  <c r="QE8" i="15"/>
  <c r="PG8" i="15"/>
  <c r="OI8" i="15"/>
  <c r="MI8" i="15"/>
  <c r="LK8" i="15"/>
  <c r="KM8" i="15"/>
  <c r="IM8" i="15"/>
  <c r="HO8" i="15"/>
  <c r="GQ8" i="15"/>
  <c r="EQ8" i="15"/>
  <c r="DS8" i="15"/>
  <c r="CU8" i="15"/>
  <c r="AU8" i="15"/>
  <c r="W8" i="15"/>
  <c r="TW8" i="15"/>
  <c r="SY8" i="15"/>
  <c r="QY8" i="15"/>
  <c r="QA8" i="15"/>
  <c r="PC8" i="15"/>
  <c r="NC8" i="15"/>
  <c r="ME8" i="15"/>
  <c r="LG8" i="15"/>
  <c r="JG8" i="15"/>
  <c r="II8" i="15"/>
  <c r="HK8" i="15"/>
  <c r="FK8" i="15"/>
  <c r="EM8" i="15"/>
  <c r="DO8" i="15"/>
  <c r="BO8" i="15"/>
  <c r="AQ8" i="15"/>
  <c r="S8" i="15"/>
  <c r="BK8" i="15"/>
  <c r="UQ8" i="15"/>
  <c r="TS8" i="15"/>
  <c r="RS8" i="15"/>
  <c r="QU8" i="15"/>
  <c r="PW8" i="15"/>
  <c r="NW8" i="15"/>
  <c r="MY8" i="15"/>
  <c r="MA8" i="15"/>
  <c r="KA8" i="15"/>
  <c r="JC8" i="15"/>
  <c r="IE8" i="15"/>
  <c r="GE8" i="15"/>
  <c r="FG8" i="15"/>
  <c r="EI8" i="15"/>
  <c r="CI8" i="15"/>
  <c r="AM8" i="15"/>
  <c r="UM8" i="15"/>
  <c r="SM8" i="15"/>
  <c r="RO8" i="15"/>
  <c r="QQ8" i="15"/>
  <c r="OQ8" i="15"/>
  <c r="NS8" i="15"/>
  <c r="MU8" i="15"/>
  <c r="KU8" i="15"/>
  <c r="JW8" i="15"/>
  <c r="IY8" i="15"/>
  <c r="GY8" i="15"/>
  <c r="GA8" i="15"/>
  <c r="FC8" i="15"/>
  <c r="DC8" i="15"/>
  <c r="CE8" i="15"/>
  <c r="BG8" i="15"/>
  <c r="G8" i="15"/>
  <c r="UM17" i="15"/>
  <c r="TS17" i="15"/>
  <c r="SY17" i="15"/>
  <c r="SE17" i="15"/>
  <c r="RK17" i="15"/>
  <c r="QQ17" i="15"/>
  <c r="PW17" i="15"/>
  <c r="PC17" i="15"/>
  <c r="OI17" i="15"/>
  <c r="NO17" i="15"/>
  <c r="MU17" i="15"/>
  <c r="MA17" i="15"/>
  <c r="LG17" i="15"/>
  <c r="KM17" i="15"/>
  <c r="JS17" i="15"/>
  <c r="IY17" i="15"/>
  <c r="IE17" i="15"/>
  <c r="HK17" i="15"/>
  <c r="GQ17" i="15"/>
  <c r="FW17" i="15"/>
  <c r="FC17" i="15"/>
  <c r="EI17" i="15"/>
  <c r="DO17" i="15"/>
  <c r="CU17" i="15"/>
  <c r="CA17" i="15"/>
  <c r="BG17" i="15"/>
  <c r="AM17" i="15"/>
  <c r="S17" i="15"/>
  <c r="SI17" i="15"/>
  <c r="NK17" i="15"/>
  <c r="MI17" i="15"/>
  <c r="EE17" i="15"/>
  <c r="UQ17" i="15"/>
  <c r="PS17" i="15"/>
  <c r="OQ17" i="15"/>
  <c r="IQ17" i="15"/>
  <c r="GI17" i="15"/>
  <c r="DC17" i="15"/>
  <c r="W17" i="15"/>
  <c r="SA17" i="15"/>
  <c r="QY17" i="15"/>
  <c r="KY17" i="15"/>
  <c r="HO17" i="15"/>
  <c r="BW17" i="15"/>
  <c r="UI17" i="15"/>
  <c r="TG17" i="15"/>
  <c r="NG17" i="15"/>
  <c r="JW17" i="15"/>
  <c r="FG17" i="15"/>
  <c r="EA17" i="15"/>
  <c r="AU17" i="15"/>
  <c r="PO17" i="15"/>
  <c r="ME17" i="15"/>
  <c r="HG17" i="15"/>
  <c r="O17" i="15"/>
  <c r="RW17" i="15"/>
  <c r="OM17" i="15"/>
  <c r="JO17" i="15"/>
  <c r="IM17" i="15"/>
  <c r="GE17" i="15"/>
  <c r="CY17" i="15"/>
  <c r="BS17" i="15"/>
  <c r="UE17" i="15"/>
  <c r="QU17" i="15"/>
  <c r="LW17" i="15"/>
  <c r="KU17" i="15"/>
  <c r="EY17" i="15"/>
  <c r="TC17" i="15"/>
  <c r="OE17" i="15"/>
  <c r="NC17" i="15"/>
  <c r="HC17" i="15"/>
  <c r="DW17" i="15"/>
  <c r="AQ17" i="15"/>
  <c r="K17" i="15"/>
  <c r="QM17" i="15"/>
  <c r="PK17" i="15"/>
  <c r="JK17" i="15"/>
  <c r="CQ17" i="15"/>
  <c r="SU17" i="15"/>
  <c r="RS17" i="15"/>
  <c r="LS17" i="15"/>
  <c r="II17" i="15"/>
  <c r="GA17" i="15"/>
  <c r="EU17" i="15"/>
  <c r="BO17" i="15"/>
  <c r="UA17" i="15"/>
  <c r="OA17" i="15"/>
  <c r="KQ17" i="15"/>
  <c r="AI17" i="15"/>
  <c r="QI17" i="15"/>
  <c r="MY17" i="15"/>
  <c r="IA17" i="15"/>
  <c r="GY17" i="15"/>
  <c r="DS17" i="15"/>
  <c r="CM17" i="15"/>
  <c r="G17" i="15"/>
  <c r="SQ17" i="15"/>
  <c r="PG17" i="15"/>
  <c r="KI17" i="15"/>
  <c r="JG17" i="15"/>
  <c r="FS17" i="15"/>
  <c r="RG17" i="15"/>
  <c r="QE17" i="15"/>
  <c r="KE17" i="15"/>
  <c r="GU17" i="15"/>
  <c r="FO17" i="15"/>
  <c r="CI17" i="15"/>
  <c r="C17" i="15"/>
  <c r="TO17" i="15"/>
  <c r="SM17" i="15"/>
  <c r="MM17" i="15"/>
  <c r="JC17" i="15"/>
  <c r="BC17" i="15"/>
  <c r="RO17" i="15"/>
  <c r="MQ17" i="15"/>
  <c r="HW17" i="15"/>
  <c r="DK17" i="15"/>
  <c r="DG17" i="15"/>
  <c r="RC17" i="15"/>
  <c r="HS17" i="15"/>
  <c r="LO17" i="15"/>
  <c r="LK17" i="15"/>
  <c r="GM17" i="15"/>
  <c r="QA17" i="15"/>
  <c r="LC17" i="15"/>
  <c r="CE17" i="15"/>
  <c r="BK17" i="15"/>
  <c r="TW17" i="15"/>
  <c r="OY17" i="15"/>
  <c r="OU17" i="15"/>
  <c r="EQ17" i="15"/>
  <c r="AE17" i="15"/>
  <c r="NW17" i="15"/>
  <c r="KA17" i="15"/>
  <c r="TK17" i="15"/>
  <c r="IU17" i="15"/>
  <c r="FK17" i="15"/>
  <c r="EM17" i="15"/>
  <c r="AY17" i="15"/>
  <c r="AA17" i="15"/>
  <c r="NS17" i="15"/>
  <c r="UE81" i="15"/>
  <c r="TK81" i="15"/>
  <c r="SQ81" i="15"/>
  <c r="RW81" i="15"/>
  <c r="RC81" i="15"/>
  <c r="QI81" i="15"/>
  <c r="PO81" i="15"/>
  <c r="OU81" i="15"/>
  <c r="OA81" i="15"/>
  <c r="NG81" i="15"/>
  <c r="MM81" i="15"/>
  <c r="LS81" i="15"/>
  <c r="KY81" i="15"/>
  <c r="KE81" i="15"/>
  <c r="JK81" i="15"/>
  <c r="IQ81" i="15"/>
  <c r="HW81" i="15"/>
  <c r="HC81" i="15"/>
  <c r="GI81" i="15"/>
  <c r="FO81" i="15"/>
  <c r="EU81" i="15"/>
  <c r="EA81" i="15"/>
  <c r="SI81" i="15"/>
  <c r="PC81" i="15"/>
  <c r="LW81" i="15"/>
  <c r="GE81" i="15"/>
  <c r="TC81" i="15"/>
  <c r="PW81" i="15"/>
  <c r="MQ81" i="15"/>
  <c r="GY81" i="15"/>
  <c r="DS81" i="15"/>
  <c r="CY81" i="15"/>
  <c r="CE81" i="15"/>
  <c r="BK81" i="15"/>
  <c r="AQ81" i="15"/>
  <c r="W81" i="15"/>
  <c r="C81" i="15"/>
  <c r="TW81" i="15"/>
  <c r="QQ81" i="15"/>
  <c r="NK81" i="15"/>
  <c r="HS81" i="15"/>
  <c r="EM81" i="15"/>
  <c r="UQ81" i="15"/>
  <c r="RK81" i="15"/>
  <c r="OE81" i="15"/>
  <c r="IM81" i="15"/>
  <c r="FG81" i="15"/>
  <c r="SE81" i="15"/>
  <c r="OY81" i="15"/>
  <c r="TS81" i="15"/>
  <c r="SU81" i="15"/>
  <c r="NC81" i="15"/>
  <c r="JW81" i="15"/>
  <c r="GQ81" i="15"/>
  <c r="DK81" i="15"/>
  <c r="CQ81" i="15"/>
  <c r="BW81" i="15"/>
  <c r="BC81" i="15"/>
  <c r="AI81" i="15"/>
  <c r="O81" i="15"/>
  <c r="UA81" i="15"/>
  <c r="RO81" i="15"/>
  <c r="JO81" i="15"/>
  <c r="DC81" i="15"/>
  <c r="AA81" i="15"/>
  <c r="NW81" i="15"/>
  <c r="LO81" i="15"/>
  <c r="II81" i="15"/>
  <c r="FC81" i="15"/>
  <c r="AY81" i="15"/>
  <c r="QE81" i="15"/>
  <c r="MU81" i="15"/>
  <c r="KM81" i="15"/>
  <c r="HG81" i="15"/>
  <c r="RG81" i="15"/>
  <c r="JG81" i="15"/>
  <c r="GA81" i="15"/>
  <c r="SM81" i="15"/>
  <c r="LK81" i="15"/>
  <c r="IE81" i="15"/>
  <c r="EY81" i="15"/>
  <c r="CU81" i="15"/>
  <c r="S81" i="15"/>
  <c r="TO81" i="15"/>
  <c r="NS81" i="15"/>
  <c r="DW81" i="15"/>
  <c r="AU81" i="15"/>
  <c r="QA81" i="15"/>
  <c r="KI81" i="15"/>
  <c r="BS81" i="15"/>
  <c r="OQ81" i="15"/>
  <c r="MI81" i="15"/>
  <c r="LG81" i="15"/>
  <c r="IA81" i="15"/>
  <c r="QY81" i="15"/>
  <c r="PS81" i="15"/>
  <c r="NO81" i="15"/>
  <c r="KA81" i="15"/>
  <c r="GU81" i="15"/>
  <c r="DO81" i="15"/>
  <c r="AM81" i="15"/>
  <c r="UM81" i="15"/>
  <c r="SA81" i="15"/>
  <c r="IY81" i="15"/>
  <c r="FS81" i="15"/>
  <c r="ME81" i="15"/>
  <c r="EQ81" i="15"/>
  <c r="CM81" i="15"/>
  <c r="K81" i="15"/>
  <c r="SY81" i="15"/>
  <c r="PK81" i="15"/>
  <c r="DG81" i="15"/>
  <c r="TG81" i="15"/>
  <c r="HO81" i="15"/>
  <c r="FK81" i="15"/>
  <c r="MY81" i="15"/>
  <c r="JS81" i="15"/>
  <c r="HK81" i="15"/>
  <c r="JC81" i="15"/>
  <c r="RS81" i="15"/>
  <c r="AE81" i="15"/>
  <c r="IU81" i="15"/>
  <c r="GM81" i="15"/>
  <c r="UI81" i="15"/>
  <c r="KU81" i="15"/>
  <c r="FW81" i="15"/>
  <c r="BO81" i="15"/>
  <c r="QM81" i="15"/>
  <c r="CI81" i="15"/>
  <c r="QU81" i="15"/>
  <c r="CA81" i="15"/>
  <c r="PG81" i="15"/>
  <c r="BG81" i="15"/>
  <c r="OM81" i="15"/>
  <c r="OI81" i="15"/>
  <c r="G81" i="15"/>
  <c r="EI81" i="15"/>
  <c r="LC81" i="15"/>
  <c r="EE81" i="15"/>
  <c r="KQ81" i="15"/>
  <c r="MA81" i="15"/>
  <c r="UQ10" i="15"/>
  <c r="TW10" i="15"/>
  <c r="TC10" i="15"/>
  <c r="SM10" i="15"/>
  <c r="PK10" i="15"/>
  <c r="MI10" i="15"/>
  <c r="JG10" i="15"/>
  <c r="GE10" i="15"/>
  <c r="DC10" i="15"/>
  <c r="AA10" i="15"/>
  <c r="UM10" i="15"/>
  <c r="SI10" i="15"/>
  <c r="QI10" i="15"/>
  <c r="PG10" i="15"/>
  <c r="NG10" i="15"/>
  <c r="ME10" i="15"/>
  <c r="KE10" i="15"/>
  <c r="JC10" i="15"/>
  <c r="HC10" i="15"/>
  <c r="GA10" i="15"/>
  <c r="EA10" i="15"/>
  <c r="CY10" i="15"/>
  <c r="AY10" i="15"/>
  <c r="W10" i="15"/>
  <c r="TK10" i="15"/>
  <c r="RG10" i="15"/>
  <c r="OE10" i="15"/>
  <c r="LC10" i="15"/>
  <c r="IA10" i="15"/>
  <c r="EY10" i="15"/>
  <c r="BW10" i="15"/>
  <c r="UI10" i="15"/>
  <c r="SE10" i="15"/>
  <c r="PC10" i="15"/>
  <c r="MA10" i="15"/>
  <c r="IY10" i="15"/>
  <c r="FW10" i="15"/>
  <c r="CU10" i="15"/>
  <c r="S10" i="15"/>
  <c r="QE10" i="15"/>
  <c r="NC10" i="15"/>
  <c r="KA10" i="15"/>
  <c r="GY10" i="15"/>
  <c r="DW10" i="15"/>
  <c r="AU10" i="15"/>
  <c r="TG10" i="15"/>
  <c r="RC10" i="15"/>
  <c r="QA10" i="15"/>
  <c r="OA10" i="15"/>
  <c r="MY10" i="15"/>
  <c r="KY10" i="15"/>
  <c r="JW10" i="15"/>
  <c r="HW10" i="15"/>
  <c r="GU10" i="15"/>
  <c r="EU10" i="15"/>
  <c r="DS10" i="15"/>
  <c r="BS10" i="15"/>
  <c r="AQ10" i="15"/>
  <c r="SA10" i="15"/>
  <c r="OY10" i="15"/>
  <c r="LW10" i="15"/>
  <c r="IU10" i="15"/>
  <c r="FS10" i="15"/>
  <c r="CQ10" i="15"/>
  <c r="O10" i="15"/>
  <c r="UE10" i="15"/>
  <c r="SY10" i="15"/>
  <c r="PW10" i="15"/>
  <c r="MU10" i="15"/>
  <c r="JS10" i="15"/>
  <c r="GQ10" i="15"/>
  <c r="DO10" i="15"/>
  <c r="AM10" i="15"/>
  <c r="QY10" i="15"/>
  <c r="NW10" i="15"/>
  <c r="KU10" i="15"/>
  <c r="HS10" i="15"/>
  <c r="EQ10" i="15"/>
  <c r="BO10" i="15"/>
  <c r="RW10" i="15"/>
  <c r="QU10" i="15"/>
  <c r="OU10" i="15"/>
  <c r="NS10" i="15"/>
  <c r="LS10" i="15"/>
  <c r="KQ10" i="15"/>
  <c r="IQ10" i="15"/>
  <c r="HO10" i="15"/>
  <c r="FO10" i="15"/>
  <c r="EM10" i="15"/>
  <c r="CM10" i="15"/>
  <c r="BK10" i="15"/>
  <c r="K10" i="15"/>
  <c r="UA10" i="15"/>
  <c r="SU10" i="15"/>
  <c r="PS10" i="15"/>
  <c r="MQ10" i="15"/>
  <c r="JO10" i="15"/>
  <c r="GM10" i="15"/>
  <c r="DK10" i="15"/>
  <c r="AI10" i="15"/>
  <c r="TS10" i="15"/>
  <c r="RS10" i="15"/>
  <c r="OQ10" i="15"/>
  <c r="LO10" i="15"/>
  <c r="IM10" i="15"/>
  <c r="FK10" i="15"/>
  <c r="CI10" i="15"/>
  <c r="G10" i="15"/>
  <c r="SQ10" i="15"/>
  <c r="RO10" i="15"/>
  <c r="PO10" i="15"/>
  <c r="OM10" i="15"/>
  <c r="MM10" i="15"/>
  <c r="LK10" i="15"/>
  <c r="JK10" i="15"/>
  <c r="II10" i="15"/>
  <c r="GI10" i="15"/>
  <c r="FG10" i="15"/>
  <c r="DG10" i="15"/>
  <c r="CE10" i="15"/>
  <c r="AE10" i="15"/>
  <c r="C10" i="15"/>
  <c r="LG10" i="15"/>
  <c r="RK10" i="15"/>
  <c r="KM10" i="15"/>
  <c r="BC10" i="15"/>
  <c r="KI10" i="15"/>
  <c r="CA10" i="15"/>
  <c r="TO10" i="15"/>
  <c r="IE10" i="15"/>
  <c r="OI10" i="15"/>
  <c r="BG10" i="15"/>
  <c r="NO10" i="15"/>
  <c r="NK10" i="15"/>
  <c r="FC10" i="15"/>
  <c r="EI10" i="15"/>
  <c r="EE10" i="15"/>
  <c r="QQ10" i="15"/>
  <c r="QM10" i="15"/>
  <c r="HK10" i="15"/>
  <c r="HG10" i="15"/>
  <c r="UM52" i="15"/>
  <c r="TS52" i="15"/>
  <c r="SY52" i="15"/>
  <c r="SE52" i="15"/>
  <c r="RK52" i="15"/>
  <c r="QQ52" i="15"/>
  <c r="PW52" i="15"/>
  <c r="PC52" i="15"/>
  <c r="OI52" i="15"/>
  <c r="NO52" i="15"/>
  <c r="MU52" i="15"/>
  <c r="MA52" i="15"/>
  <c r="LG52" i="15"/>
  <c r="KM52" i="15"/>
  <c r="JS52" i="15"/>
  <c r="IY52" i="15"/>
  <c r="IE52" i="15"/>
  <c r="HK52" i="15"/>
  <c r="GQ52" i="15"/>
  <c r="FW52" i="15"/>
  <c r="FC52" i="15"/>
  <c r="EI52" i="15"/>
  <c r="DO52" i="15"/>
  <c r="CU52" i="15"/>
  <c r="CA52" i="15"/>
  <c r="BG52" i="15"/>
  <c r="AM52" i="15"/>
  <c r="S52" i="15"/>
  <c r="RO52" i="15"/>
  <c r="OE52" i="15"/>
  <c r="NC52" i="15"/>
  <c r="JW52" i="15"/>
  <c r="GM52" i="15"/>
  <c r="FK52" i="15"/>
  <c r="CE52" i="15"/>
  <c r="QI52" i="15"/>
  <c r="IQ52" i="15"/>
  <c r="AY52" i="15"/>
  <c r="TO52" i="15"/>
  <c r="SM52" i="15"/>
  <c r="PG52" i="15"/>
  <c r="LW52" i="15"/>
  <c r="KU52" i="15"/>
  <c r="HO52" i="15"/>
  <c r="EE52" i="15"/>
  <c r="DC52" i="15"/>
  <c r="W52" i="15"/>
  <c r="OA52" i="15"/>
  <c r="GI52" i="15"/>
  <c r="UQ52" i="15"/>
  <c r="RG52" i="15"/>
  <c r="QE52" i="15"/>
  <c r="MY52" i="15"/>
  <c r="JO52" i="15"/>
  <c r="IM52" i="15"/>
  <c r="FG52" i="15"/>
  <c r="BW52" i="15"/>
  <c r="AU52" i="15"/>
  <c r="TK52" i="15"/>
  <c r="LS52" i="15"/>
  <c r="EA52" i="15"/>
  <c r="SI52" i="15"/>
  <c r="OY52" i="15"/>
  <c r="NW52" i="15"/>
  <c r="KQ52" i="15"/>
  <c r="HG52" i="15"/>
  <c r="GE52" i="15"/>
  <c r="CY52" i="15"/>
  <c r="O52" i="15"/>
  <c r="UI52" i="15"/>
  <c r="TG52" i="15"/>
  <c r="QA52" i="15"/>
  <c r="MQ52" i="15"/>
  <c r="LO52" i="15"/>
  <c r="II52" i="15"/>
  <c r="EY52" i="15"/>
  <c r="DW52" i="15"/>
  <c r="AQ52" i="15"/>
  <c r="OU52" i="15"/>
  <c r="HC52" i="15"/>
  <c r="K52" i="15"/>
  <c r="SA52" i="15"/>
  <c r="QY52" i="15"/>
  <c r="NS52" i="15"/>
  <c r="KI52" i="15"/>
  <c r="JG52" i="15"/>
  <c r="GA52" i="15"/>
  <c r="CQ52" i="15"/>
  <c r="BO52" i="15"/>
  <c r="UA52" i="15"/>
  <c r="QU52" i="15"/>
  <c r="NK52" i="15"/>
  <c r="MI52" i="15"/>
  <c r="JC52" i="15"/>
  <c r="FS52" i="15"/>
  <c r="EQ52" i="15"/>
  <c r="BK52" i="15"/>
  <c r="PO52" i="15"/>
  <c r="HW52" i="15"/>
  <c r="AE52" i="15"/>
  <c r="SU52" i="15"/>
  <c r="RS52" i="15"/>
  <c r="OM52" i="15"/>
  <c r="LC52" i="15"/>
  <c r="KA52" i="15"/>
  <c r="GU52" i="15"/>
  <c r="DK52" i="15"/>
  <c r="CI52" i="15"/>
  <c r="C52" i="15"/>
  <c r="TC52" i="15"/>
  <c r="PS52" i="15"/>
  <c r="MM52" i="15"/>
  <c r="JK52" i="15"/>
  <c r="DG52" i="15"/>
  <c r="AA52" i="15"/>
  <c r="SQ52" i="15"/>
  <c r="PK52" i="15"/>
  <c r="ME52" i="15"/>
  <c r="IU52" i="15"/>
  <c r="FO52" i="15"/>
  <c r="CM52" i="15"/>
  <c r="G52" i="15"/>
  <c r="RW52" i="15"/>
  <c r="OQ52" i="15"/>
  <c r="LK52" i="15"/>
  <c r="IA52" i="15"/>
  <c r="EU52" i="15"/>
  <c r="BS52" i="15"/>
  <c r="EM52" i="15"/>
  <c r="BC52" i="15"/>
  <c r="TW52" i="15"/>
  <c r="DS52" i="15"/>
  <c r="NG52" i="15"/>
  <c r="KY52" i="15"/>
  <c r="UE52" i="15"/>
  <c r="KE52" i="15"/>
  <c r="AI52" i="15"/>
  <c r="HS52" i="15"/>
  <c r="GY52" i="15"/>
  <c r="RC52" i="15"/>
  <c r="QM52" i="15"/>
  <c r="UQ46" i="15"/>
  <c r="TW46" i="15"/>
  <c r="TC46" i="15"/>
  <c r="UI46" i="15"/>
  <c r="SY46" i="15"/>
  <c r="PK46" i="15"/>
  <c r="MY46" i="15"/>
  <c r="KU46" i="15"/>
  <c r="JO46" i="15"/>
  <c r="GI46" i="15"/>
  <c r="DC46" i="15"/>
  <c r="BW46" i="15"/>
  <c r="PG46" i="15"/>
  <c r="KQ46" i="15"/>
  <c r="FC46" i="15"/>
  <c r="CY46" i="15"/>
  <c r="SU46" i="15"/>
  <c r="RS46" i="15"/>
  <c r="OA46" i="15"/>
  <c r="MU46" i="15"/>
  <c r="LS46" i="15"/>
  <c r="IM46" i="15"/>
  <c r="HG46" i="15"/>
  <c r="EA46" i="15"/>
  <c r="AU46" i="15"/>
  <c r="O46" i="15"/>
  <c r="RO46" i="15"/>
  <c r="QI46" i="15"/>
  <c r="PC46" i="15"/>
  <c r="KM46" i="15"/>
  <c r="II46" i="15"/>
  <c r="CU46" i="15"/>
  <c r="AQ46" i="15"/>
  <c r="UE46" i="15"/>
  <c r="RK46" i="15"/>
  <c r="MQ46" i="15"/>
  <c r="JK46" i="15"/>
  <c r="GE46" i="15"/>
  <c r="EY46" i="15"/>
  <c r="BS46" i="15"/>
  <c r="OY46" i="15"/>
  <c r="IE46" i="15"/>
  <c r="GA46" i="15"/>
  <c r="AM46" i="15"/>
  <c r="SQ46" i="15"/>
  <c r="RG46" i="15"/>
  <c r="NW46" i="15"/>
  <c r="LO46" i="15"/>
  <c r="KI46" i="15"/>
  <c r="HC46" i="15"/>
  <c r="DW46" i="15"/>
  <c r="CQ46" i="15"/>
  <c r="K46" i="15"/>
  <c r="UA46" i="15"/>
  <c r="QA46" i="15"/>
  <c r="MM46" i="15"/>
  <c r="JG46" i="15"/>
  <c r="IA46" i="15"/>
  <c r="EU46" i="15"/>
  <c r="BO46" i="15"/>
  <c r="AI46" i="15"/>
  <c r="TS46" i="15"/>
  <c r="OU46" i="15"/>
  <c r="NO46" i="15"/>
  <c r="LG46" i="15"/>
  <c r="JC46" i="15"/>
  <c r="DO46" i="15"/>
  <c r="BK46" i="15"/>
  <c r="SM46" i="15"/>
  <c r="RC46" i="15"/>
  <c r="PW46" i="15"/>
  <c r="KE46" i="15"/>
  <c r="GY46" i="15"/>
  <c r="FS46" i="15"/>
  <c r="CM46" i="15"/>
  <c r="G46" i="15"/>
  <c r="TO46" i="15"/>
  <c r="SI46" i="15"/>
  <c r="NK46" i="15"/>
  <c r="IY46" i="15"/>
  <c r="GU46" i="15"/>
  <c r="BG46" i="15"/>
  <c r="C46" i="15"/>
  <c r="SA46" i="15"/>
  <c r="QY46" i="15"/>
  <c r="OM46" i="15"/>
  <c r="KA46" i="15"/>
  <c r="IU46" i="15"/>
  <c r="FO46" i="15"/>
  <c r="CI46" i="15"/>
  <c r="BC46" i="15"/>
  <c r="TK46" i="15"/>
  <c r="QU46" i="15"/>
  <c r="NG46" i="15"/>
  <c r="MA46" i="15"/>
  <c r="JW46" i="15"/>
  <c r="EI46" i="15"/>
  <c r="CE46" i="15"/>
  <c r="PO46" i="15"/>
  <c r="OI46" i="15"/>
  <c r="KY46" i="15"/>
  <c r="HS46" i="15"/>
  <c r="GM46" i="15"/>
  <c r="DG46" i="15"/>
  <c r="AA46" i="15"/>
  <c r="OE46" i="15"/>
  <c r="GQ46" i="15"/>
  <c r="RW46" i="15"/>
  <c r="NS46" i="15"/>
  <c r="JS46" i="15"/>
  <c r="FW46" i="15"/>
  <c r="CA46" i="15"/>
  <c r="QQ46" i="15"/>
  <c r="NC46" i="15"/>
  <c r="FK46" i="15"/>
  <c r="UM46" i="15"/>
  <c r="QE46" i="15"/>
  <c r="ME46" i="15"/>
  <c r="IQ46" i="15"/>
  <c r="PS46" i="15"/>
  <c r="EQ46" i="15"/>
  <c r="LC46" i="15"/>
  <c r="HO46" i="15"/>
  <c r="AE46" i="15"/>
  <c r="DS46" i="15"/>
  <c r="OQ46" i="15"/>
  <c r="DK46" i="15"/>
  <c r="MI46" i="15"/>
  <c r="LW46" i="15"/>
  <c r="AY46" i="15"/>
  <c r="LK46" i="15"/>
  <c r="S46" i="15"/>
  <c r="TG46" i="15"/>
  <c r="HK46" i="15"/>
  <c r="QM46" i="15"/>
  <c r="FG46" i="15"/>
  <c r="EM46" i="15"/>
  <c r="W46" i="15"/>
  <c r="HW46" i="15"/>
  <c r="SE46" i="15"/>
  <c r="EE46" i="15"/>
  <c r="UM65" i="15"/>
  <c r="TS65" i="15"/>
  <c r="SY65" i="15"/>
  <c r="SE65" i="15"/>
  <c r="RK65" i="15"/>
  <c r="QQ65" i="15"/>
  <c r="PW65" i="15"/>
  <c r="PC65" i="15"/>
  <c r="OI65" i="15"/>
  <c r="NO65" i="15"/>
  <c r="MU65" i="15"/>
  <c r="MA65" i="15"/>
  <c r="LG65" i="15"/>
  <c r="KM65" i="15"/>
  <c r="JS65" i="15"/>
  <c r="IY65" i="15"/>
  <c r="IE65" i="15"/>
  <c r="HK65" i="15"/>
  <c r="GQ65" i="15"/>
  <c r="FW65" i="15"/>
  <c r="FC65" i="15"/>
  <c r="EI65" i="15"/>
  <c r="DO65" i="15"/>
  <c r="CU65" i="15"/>
  <c r="CA65" i="15"/>
  <c r="BG65" i="15"/>
  <c r="AM65" i="15"/>
  <c r="S65" i="15"/>
  <c r="K65" i="15"/>
  <c r="SU65" i="15"/>
  <c r="PS65" i="15"/>
  <c r="MQ65" i="15"/>
  <c r="JO65" i="15"/>
  <c r="GM65" i="15"/>
  <c r="DK65" i="15"/>
  <c r="AI65" i="15"/>
  <c r="TW65" i="15"/>
  <c r="QU65" i="15"/>
  <c r="NS65" i="15"/>
  <c r="KQ65" i="15"/>
  <c r="HO65" i="15"/>
  <c r="EM65" i="15"/>
  <c r="BK65" i="15"/>
  <c r="RS65" i="15"/>
  <c r="OQ65" i="15"/>
  <c r="LO65" i="15"/>
  <c r="IM65" i="15"/>
  <c r="FK65" i="15"/>
  <c r="CI65" i="15"/>
  <c r="SQ65" i="15"/>
  <c r="PO65" i="15"/>
  <c r="MM65" i="15"/>
  <c r="JK65" i="15"/>
  <c r="GI65" i="15"/>
  <c r="DG65" i="15"/>
  <c r="AE65" i="15"/>
  <c r="G65" i="15"/>
  <c r="TO65" i="15"/>
  <c r="QM65" i="15"/>
  <c r="NK65" i="15"/>
  <c r="KI65" i="15"/>
  <c r="HG65" i="15"/>
  <c r="EE65" i="15"/>
  <c r="BC65" i="15"/>
  <c r="UQ65" i="15"/>
  <c r="RO65" i="15"/>
  <c r="OM65" i="15"/>
  <c r="LK65" i="15"/>
  <c r="II65" i="15"/>
  <c r="FG65" i="15"/>
  <c r="CE65" i="15"/>
  <c r="SM65" i="15"/>
  <c r="PK65" i="15"/>
  <c r="MI65" i="15"/>
  <c r="JG65" i="15"/>
  <c r="GE65" i="15"/>
  <c r="DC65" i="15"/>
  <c r="AA65" i="15"/>
  <c r="C65" i="15"/>
  <c r="TK65" i="15"/>
  <c r="QI65" i="15"/>
  <c r="NG65" i="15"/>
  <c r="KE65" i="15"/>
  <c r="HC65" i="15"/>
  <c r="EA65" i="15"/>
  <c r="AY65" i="15"/>
  <c r="UI65" i="15"/>
  <c r="RG65" i="15"/>
  <c r="OE65" i="15"/>
  <c r="LC65" i="15"/>
  <c r="IA65" i="15"/>
  <c r="EY65" i="15"/>
  <c r="BW65" i="15"/>
  <c r="SI65" i="15"/>
  <c r="PG65" i="15"/>
  <c r="ME65" i="15"/>
  <c r="JC65" i="15"/>
  <c r="GA65" i="15"/>
  <c r="CY65" i="15"/>
  <c r="W65" i="15"/>
  <c r="QY65" i="15"/>
  <c r="NC65" i="15"/>
  <c r="O65" i="15"/>
  <c r="JW65" i="15"/>
  <c r="UA65" i="15"/>
  <c r="QE65" i="15"/>
  <c r="CQ65" i="15"/>
  <c r="MY65" i="15"/>
  <c r="TG65" i="15"/>
  <c r="FS65" i="15"/>
  <c r="QA65" i="15"/>
  <c r="CM65" i="15"/>
  <c r="LW65" i="15"/>
  <c r="IQ65" i="15"/>
  <c r="EU65" i="15"/>
  <c r="OY65" i="15"/>
  <c r="BO65" i="15"/>
  <c r="LS65" i="15"/>
  <c r="HW65" i="15"/>
  <c r="SA65" i="15"/>
  <c r="EQ65" i="15"/>
  <c r="AU65" i="15"/>
  <c r="RW65" i="15"/>
  <c r="OA65" i="15"/>
  <c r="AQ65" i="15"/>
  <c r="KU65" i="15"/>
  <c r="GY65" i="15"/>
  <c r="NW65" i="15"/>
  <c r="DS65" i="15"/>
  <c r="KY65" i="15"/>
  <c r="BS65" i="15"/>
  <c r="TC65" i="15"/>
  <c r="IU65" i="15"/>
  <c r="GU65" i="15"/>
  <c r="OU65" i="15"/>
  <c r="KA65" i="15"/>
  <c r="HS65" i="15"/>
  <c r="DW65" i="15"/>
  <c r="UE65" i="15"/>
  <c r="FO65" i="15"/>
  <c r="RC65" i="15"/>
  <c r="UE45" i="15"/>
  <c r="TK45" i="15"/>
  <c r="SQ45" i="15"/>
  <c r="RW45" i="15"/>
  <c r="RC45" i="15"/>
  <c r="QI45" i="15"/>
  <c r="PO45" i="15"/>
  <c r="OU45" i="15"/>
  <c r="OA45" i="15"/>
  <c r="NG45" i="15"/>
  <c r="MM45" i="15"/>
  <c r="LS45" i="15"/>
  <c r="KY45" i="15"/>
  <c r="KE45" i="15"/>
  <c r="JK45" i="15"/>
  <c r="IQ45" i="15"/>
  <c r="HW45" i="15"/>
  <c r="HC45" i="15"/>
  <c r="GI45" i="15"/>
  <c r="FO45" i="15"/>
  <c r="EU45" i="15"/>
  <c r="EA45" i="15"/>
  <c r="DG45" i="15"/>
  <c r="CM45" i="15"/>
  <c r="BS45" i="15"/>
  <c r="AY45" i="15"/>
  <c r="AE45" i="15"/>
  <c r="K45" i="15"/>
  <c r="UA45" i="15"/>
  <c r="TG45" i="15"/>
  <c r="SM45" i="15"/>
  <c r="RS45" i="15"/>
  <c r="QY45" i="15"/>
  <c r="QE45" i="15"/>
  <c r="PK45" i="15"/>
  <c r="OQ45" i="15"/>
  <c r="NW45" i="15"/>
  <c r="NC45" i="15"/>
  <c r="MI45" i="15"/>
  <c r="LO45" i="15"/>
  <c r="KU45" i="15"/>
  <c r="KA45" i="15"/>
  <c r="JG45" i="15"/>
  <c r="IM45" i="15"/>
  <c r="HS45" i="15"/>
  <c r="GY45" i="15"/>
  <c r="GE45" i="15"/>
  <c r="FK45" i="15"/>
  <c r="EQ45" i="15"/>
  <c r="DW45" i="15"/>
  <c r="DC45" i="15"/>
  <c r="CI45" i="15"/>
  <c r="BO45" i="15"/>
  <c r="AU45" i="15"/>
  <c r="AA45" i="15"/>
  <c r="G45" i="15"/>
  <c r="NS45" i="15"/>
  <c r="GA45" i="15"/>
  <c r="UI45" i="15"/>
  <c r="PW45" i="15"/>
  <c r="MQ45" i="15"/>
  <c r="IE45" i="15"/>
  <c r="EY45" i="15"/>
  <c r="AM45" i="15"/>
  <c r="TC45" i="15"/>
  <c r="LK45" i="15"/>
  <c r="DS45" i="15"/>
  <c r="SA45" i="15"/>
  <c r="NO45" i="15"/>
  <c r="KI45" i="15"/>
  <c r="FW45" i="15"/>
  <c r="CQ45" i="15"/>
  <c r="QU45" i="15"/>
  <c r="JC45" i="15"/>
  <c r="BK45" i="15"/>
  <c r="SY45" i="15"/>
  <c r="PS45" i="15"/>
  <c r="LG45" i="15"/>
  <c r="IA45" i="15"/>
  <c r="DO45" i="15"/>
  <c r="AI45" i="15"/>
  <c r="OM45" i="15"/>
  <c r="GU45" i="15"/>
  <c r="C45" i="15"/>
  <c r="TW45" i="15"/>
  <c r="ME45" i="15"/>
  <c r="EM45" i="15"/>
  <c r="SU45" i="15"/>
  <c r="OI45" i="15"/>
  <c r="LC45" i="15"/>
  <c r="GQ45" i="15"/>
  <c r="DK45" i="15"/>
  <c r="RO45" i="15"/>
  <c r="JW45" i="15"/>
  <c r="CE45" i="15"/>
  <c r="TS45" i="15"/>
  <c r="QM45" i="15"/>
  <c r="MA45" i="15"/>
  <c r="IU45" i="15"/>
  <c r="EI45" i="15"/>
  <c r="BC45" i="15"/>
  <c r="UQ45" i="15"/>
  <c r="MY45" i="15"/>
  <c r="FG45" i="15"/>
  <c r="TO45" i="15"/>
  <c r="PC45" i="15"/>
  <c r="LW45" i="15"/>
  <c r="HK45" i="15"/>
  <c r="EE45" i="15"/>
  <c r="S45" i="15"/>
  <c r="SI45" i="15"/>
  <c r="KQ45" i="15"/>
  <c r="CY45" i="15"/>
  <c r="RK45" i="15"/>
  <c r="GM45" i="15"/>
  <c r="RG45" i="15"/>
  <c r="CU45" i="15"/>
  <c r="NK45" i="15"/>
  <c r="JS45" i="15"/>
  <c r="UM45" i="15"/>
  <c r="JO45" i="15"/>
  <c r="QQ45" i="15"/>
  <c r="FS45" i="15"/>
  <c r="CA45" i="15"/>
  <c r="MU45" i="15"/>
  <c r="BW45" i="15"/>
  <c r="IY45" i="15"/>
  <c r="FC45" i="15"/>
  <c r="QA45" i="15"/>
  <c r="BG45" i="15"/>
  <c r="II45" i="15"/>
  <c r="PG45" i="15"/>
  <c r="OY45" i="15"/>
  <c r="W45" i="15"/>
  <c r="OE45" i="15"/>
  <c r="KM45" i="15"/>
  <c r="HO45" i="15"/>
  <c r="HG45" i="15"/>
  <c r="SE45" i="15"/>
  <c r="AQ45" i="15"/>
  <c r="O45" i="15"/>
  <c r="UE64" i="15"/>
  <c r="TG64" i="15"/>
  <c r="SE64" i="15"/>
  <c r="RG64" i="15"/>
  <c r="QI64" i="15"/>
  <c r="PK64" i="15"/>
  <c r="OI64" i="15"/>
  <c r="NK64" i="15"/>
  <c r="MM64" i="15"/>
  <c r="LO64" i="15"/>
  <c r="KM64" i="15"/>
  <c r="JO64" i="15"/>
  <c r="IQ64" i="15"/>
  <c r="HS64" i="15"/>
  <c r="GQ64" i="15"/>
  <c r="FS64" i="15"/>
  <c r="EU64" i="15"/>
  <c r="DW64" i="15"/>
  <c r="CU64" i="15"/>
  <c r="BW64" i="15"/>
  <c r="AY64" i="15"/>
  <c r="AA64" i="15"/>
  <c r="TC64" i="15"/>
  <c r="PG64" i="15"/>
  <c r="LK64" i="15"/>
  <c r="HO64" i="15"/>
  <c r="DS64" i="15"/>
  <c r="W64" i="15"/>
  <c r="UA64" i="15"/>
  <c r="SY64" i="15"/>
  <c r="SA64" i="15"/>
  <c r="RC64" i="15"/>
  <c r="QE64" i="15"/>
  <c r="PC64" i="15"/>
  <c r="OE64" i="15"/>
  <c r="NG64" i="15"/>
  <c r="MI64" i="15"/>
  <c r="LG64" i="15"/>
  <c r="KI64" i="15"/>
  <c r="JK64" i="15"/>
  <c r="IM64" i="15"/>
  <c r="HK64" i="15"/>
  <c r="GM64" i="15"/>
  <c r="FO64" i="15"/>
  <c r="EQ64" i="15"/>
  <c r="DO64" i="15"/>
  <c r="CQ64" i="15"/>
  <c r="BS64" i="15"/>
  <c r="AU64" i="15"/>
  <c r="S64" i="15"/>
  <c r="TW64" i="15"/>
  <c r="QA64" i="15"/>
  <c r="ME64" i="15"/>
  <c r="II64" i="15"/>
  <c r="EM64" i="15"/>
  <c r="AQ64" i="15"/>
  <c r="TS64" i="15"/>
  <c r="SU64" i="15"/>
  <c r="RW64" i="15"/>
  <c r="QY64" i="15"/>
  <c r="PW64" i="15"/>
  <c r="OY64" i="15"/>
  <c r="OA64" i="15"/>
  <c r="NC64" i="15"/>
  <c r="MA64" i="15"/>
  <c r="LC64" i="15"/>
  <c r="KE64" i="15"/>
  <c r="JG64" i="15"/>
  <c r="IE64" i="15"/>
  <c r="HG64" i="15"/>
  <c r="GI64" i="15"/>
  <c r="FK64" i="15"/>
  <c r="EI64" i="15"/>
  <c r="DK64" i="15"/>
  <c r="CM64" i="15"/>
  <c r="BO64" i="15"/>
  <c r="AM64" i="15"/>
  <c r="O64" i="15"/>
  <c r="UQ64" i="15"/>
  <c r="QU64" i="15"/>
  <c r="MY64" i="15"/>
  <c r="JC64" i="15"/>
  <c r="FG64" i="15"/>
  <c r="BK64" i="15"/>
  <c r="SI64" i="15"/>
  <c r="OU64" i="15"/>
  <c r="FC64" i="15"/>
  <c r="C64" i="15"/>
  <c r="LS64" i="15"/>
  <c r="CA64" i="15"/>
  <c r="RS64" i="15"/>
  <c r="IA64" i="15"/>
  <c r="RO64" i="15"/>
  <c r="OQ64" i="15"/>
  <c r="EY64" i="15"/>
  <c r="UM64" i="15"/>
  <c r="OM64" i="15"/>
  <c r="KY64" i="15"/>
  <c r="BG64" i="15"/>
  <c r="RK64" i="15"/>
  <c r="HW64" i="15"/>
  <c r="QQ64" i="15"/>
  <c r="KQ64" i="15"/>
  <c r="HC64" i="15"/>
  <c r="NO64" i="15"/>
  <c r="EA64" i="15"/>
  <c r="TO64" i="15"/>
  <c r="KA64" i="15"/>
  <c r="AI64" i="15"/>
  <c r="QM64" i="15"/>
  <c r="JW64" i="15"/>
  <c r="GY64" i="15"/>
  <c r="MU64" i="15"/>
  <c r="GU64" i="15"/>
  <c r="DG64" i="15"/>
  <c r="MQ64" i="15"/>
  <c r="GA64" i="15"/>
  <c r="DC64" i="15"/>
  <c r="SQ64" i="15"/>
  <c r="IY64" i="15"/>
  <c r="CY64" i="15"/>
  <c r="K64" i="15"/>
  <c r="PS64" i="15"/>
  <c r="PO64" i="15"/>
  <c r="GE64" i="15"/>
  <c r="FW64" i="15"/>
  <c r="NW64" i="15"/>
  <c r="NS64" i="15"/>
  <c r="EE64" i="15"/>
  <c r="LW64" i="15"/>
  <c r="CI64" i="15"/>
  <c r="AE64" i="15"/>
  <c r="SM64" i="15"/>
  <c r="JS64" i="15"/>
  <c r="IU64" i="15"/>
  <c r="CE64" i="15"/>
  <c r="G64" i="15"/>
  <c r="UI64" i="15"/>
  <c r="TK64" i="15"/>
  <c r="BC64" i="15"/>
  <c r="KU64" i="15"/>
  <c r="TS4" i="15"/>
  <c r="TT4" i="15" s="1"/>
  <c r="NO4" i="15"/>
  <c r="NP4" i="15" s="1"/>
  <c r="NP5" i="15" s="1"/>
  <c r="LG4" i="15"/>
  <c r="LH4" i="15" s="1"/>
  <c r="JS4" i="15"/>
  <c r="JT4" i="15" s="1"/>
  <c r="IE4" i="15"/>
  <c r="IF4" i="15" s="1"/>
  <c r="GQ4" i="15"/>
  <c r="GR4" i="15" s="1"/>
  <c r="FC4" i="15"/>
  <c r="FD4" i="15" s="1"/>
  <c r="DO4" i="15"/>
  <c r="DP4" i="15" s="1"/>
  <c r="CA4" i="15"/>
  <c r="CB4" i="15" s="1"/>
  <c r="AM4" i="15"/>
  <c r="AN4" i="15" s="1"/>
  <c r="UM4" i="15"/>
  <c r="UN4" i="15" s="1"/>
  <c r="SY4" i="15"/>
  <c r="SZ4" i="15" s="1"/>
  <c r="SE4" i="15"/>
  <c r="SF4" i="15" s="1"/>
  <c r="RK4" i="15"/>
  <c r="RL4" i="15" s="1"/>
  <c r="QQ4" i="15"/>
  <c r="QR4" i="15" s="1"/>
  <c r="PW4" i="15"/>
  <c r="PX4" i="15" s="1"/>
  <c r="PC4" i="15"/>
  <c r="PD4" i="15" s="1"/>
  <c r="PD5" i="15" s="1"/>
  <c r="OI4" i="15"/>
  <c r="OJ4" i="15" s="1"/>
  <c r="MU4" i="15"/>
  <c r="MV4" i="15" s="1"/>
  <c r="MA4" i="15"/>
  <c r="MB4" i="15" s="1"/>
  <c r="KM4" i="15"/>
  <c r="KN4" i="15" s="1"/>
  <c r="IY4" i="15"/>
  <c r="IZ4" i="15" s="1"/>
  <c r="HK4" i="15"/>
  <c r="HL4" i="15" s="1"/>
  <c r="FW4" i="15"/>
  <c r="FX4" i="15" s="1"/>
  <c r="EI4" i="15"/>
  <c r="EJ4" i="15" s="1"/>
  <c r="CU4" i="15"/>
  <c r="CV4" i="15" s="1"/>
  <c r="BG4" i="15"/>
  <c r="BH4" i="15" s="1"/>
  <c r="S4" i="15"/>
  <c r="T4" i="15" s="1"/>
  <c r="SQ4" i="15"/>
  <c r="SR4" i="15" s="1"/>
  <c r="RS4" i="15"/>
  <c r="RT4" i="15" s="1"/>
  <c r="QU4" i="15"/>
  <c r="QV4" i="15" s="1"/>
  <c r="PS4" i="15"/>
  <c r="PT4" i="15" s="1"/>
  <c r="OU4" i="15"/>
  <c r="OV4" i="15" s="1"/>
  <c r="NW4" i="15"/>
  <c r="NX4" i="15" s="1"/>
  <c r="MY4" i="15"/>
  <c r="MZ4" i="15" s="1"/>
  <c r="LW4" i="15"/>
  <c r="LX4" i="15" s="1"/>
  <c r="KY4" i="15"/>
  <c r="KZ4" i="15" s="1"/>
  <c r="KA4" i="15"/>
  <c r="KB4" i="15" s="1"/>
  <c r="KB5" i="15" s="1"/>
  <c r="JC4" i="15"/>
  <c r="JD4" i="15" s="1"/>
  <c r="IA4" i="15"/>
  <c r="IB4" i="15" s="1"/>
  <c r="HC4" i="15"/>
  <c r="HD4" i="15" s="1"/>
  <c r="GE4" i="15"/>
  <c r="GF4" i="15" s="1"/>
  <c r="FG4" i="15"/>
  <c r="FH4" i="15" s="1"/>
  <c r="FH5" i="15" s="1"/>
  <c r="EE4" i="15"/>
  <c r="EF4" i="15" s="1"/>
  <c r="DG4" i="15"/>
  <c r="DH4" i="15" s="1"/>
  <c r="CI4" i="15"/>
  <c r="CJ4" i="15" s="1"/>
  <c r="BK4" i="15"/>
  <c r="BL4" i="15" s="1"/>
  <c r="AI4" i="15"/>
  <c r="AJ4" i="15" s="1"/>
  <c r="K4" i="15"/>
  <c r="L4" i="15" s="1"/>
  <c r="L5" i="15" s="1"/>
  <c r="TO4" i="15"/>
  <c r="TP4" i="15" s="1"/>
  <c r="UQ4" i="15"/>
  <c r="UR4" i="15" s="1"/>
  <c r="UI4" i="15"/>
  <c r="UJ4" i="15" s="1"/>
  <c r="QM4" i="15"/>
  <c r="QN4" i="15" s="1"/>
  <c r="MQ4" i="15"/>
  <c r="MR4" i="15" s="1"/>
  <c r="IU4" i="15"/>
  <c r="IV4" i="15" s="1"/>
  <c r="DW4" i="15"/>
  <c r="DX4" i="15" s="1"/>
  <c r="DX5" i="15" s="1"/>
  <c r="CQ4" i="15"/>
  <c r="CR4" i="15" s="1"/>
  <c r="BO4" i="15"/>
  <c r="BP4" i="15" s="1"/>
  <c r="C4" i="15"/>
  <c r="D4" i="15" s="1"/>
  <c r="D5" i="15" s="1"/>
  <c r="RW4" i="15"/>
  <c r="RX4" i="15" s="1"/>
  <c r="RX5" i="15" s="1"/>
  <c r="OA4" i="15"/>
  <c r="OB4" i="15" s="1"/>
  <c r="KE4" i="15"/>
  <c r="KF4" i="15" s="1"/>
  <c r="GI4" i="15"/>
  <c r="GJ4" i="15" s="1"/>
  <c r="EY4" i="15"/>
  <c r="EZ4" i="15" s="1"/>
  <c r="EZ5" i="15" s="1"/>
  <c r="AE4" i="15"/>
  <c r="AF4" i="15" s="1"/>
  <c r="PG4" i="15"/>
  <c r="PH4" i="15" s="1"/>
  <c r="LK4" i="15"/>
  <c r="LL4" i="15" s="1"/>
  <c r="HO4" i="15"/>
  <c r="HP4" i="15" s="1"/>
  <c r="HP5" i="15" s="1"/>
  <c r="TC4" i="15"/>
  <c r="TD4" i="15" s="1"/>
  <c r="QI4" i="15"/>
  <c r="QJ4" i="15" s="1"/>
  <c r="MM4" i="15"/>
  <c r="MN4" i="15" s="1"/>
  <c r="MN5" i="15" s="1"/>
  <c r="IQ4" i="15"/>
  <c r="IR4" i="15" s="1"/>
  <c r="EU4" i="15"/>
  <c r="EV4" i="15" s="1"/>
  <c r="DS4" i="15"/>
  <c r="DT4" i="15" s="1"/>
  <c r="CM4" i="15"/>
  <c r="CN4" i="15" s="1"/>
  <c r="AA4" i="15"/>
  <c r="AB4" i="15" s="1"/>
  <c r="UE4" i="15"/>
  <c r="UF4" i="15" s="1"/>
  <c r="UF5" i="15" s="1"/>
  <c r="RO4" i="15"/>
  <c r="RP4" i="15" s="1"/>
  <c r="NS4" i="15"/>
  <c r="NT4" i="15" s="1"/>
  <c r="JW4" i="15"/>
  <c r="JX4" i="15" s="1"/>
  <c r="GA4" i="15"/>
  <c r="GB4" i="15" s="1"/>
  <c r="BC4" i="15"/>
  <c r="BD4" i="15" s="1"/>
  <c r="OQ4" i="15"/>
  <c r="OR4" i="15" s="1"/>
  <c r="KU4" i="15"/>
  <c r="KV4" i="15" s="1"/>
  <c r="GY4" i="15"/>
  <c r="GZ4" i="15" s="1"/>
  <c r="QA4" i="15"/>
  <c r="QB4" i="15" s="1"/>
  <c r="ME4" i="15"/>
  <c r="MF4" i="15" s="1"/>
  <c r="II4" i="15"/>
  <c r="IJ4" i="15" s="1"/>
  <c r="JK4" i="15"/>
  <c r="JL4" i="15" s="1"/>
  <c r="EM4" i="15"/>
  <c r="EN4" i="15" s="1"/>
  <c r="BW4" i="15"/>
  <c r="BX4" i="15" s="1"/>
  <c r="TW4" i="15"/>
  <c r="TX4" i="15" s="1"/>
  <c r="KQ4" i="15"/>
  <c r="KR4" i="15" s="1"/>
  <c r="RC4" i="15"/>
  <c r="RD4" i="15" s="1"/>
  <c r="O4" i="15"/>
  <c r="P4" i="15" s="1"/>
  <c r="DC4" i="15"/>
  <c r="DD4" i="15" s="1"/>
  <c r="DD5" i="15" s="1"/>
  <c r="SU4" i="15"/>
  <c r="SV4" i="15" s="1"/>
  <c r="SV5" i="15" s="1"/>
  <c r="OY4" i="15"/>
  <c r="OZ4" i="15" s="1"/>
  <c r="OZ5" i="15" s="1"/>
  <c r="LC4" i="15"/>
  <c r="LD4" i="15" s="1"/>
  <c r="HG4" i="15"/>
  <c r="HH4" i="15" s="1"/>
  <c r="QE4" i="15"/>
  <c r="QF4" i="15" s="1"/>
  <c r="MI4" i="15"/>
  <c r="MJ4" i="15" s="1"/>
  <c r="IM4" i="15"/>
  <c r="IN4" i="15" s="1"/>
  <c r="IN5" i="15" s="1"/>
  <c r="RG4" i="15"/>
  <c r="RH4" i="15" s="1"/>
  <c r="RH5" i="15" s="1"/>
  <c r="NK4" i="15"/>
  <c r="NL4" i="15" s="1"/>
  <c r="JO4" i="15"/>
  <c r="JP4" i="15" s="1"/>
  <c r="FS4" i="15"/>
  <c r="FT4" i="15" s="1"/>
  <c r="EQ4" i="15"/>
  <c r="ER4" i="15" s="1"/>
  <c r="DK4" i="15"/>
  <c r="DL4" i="15" s="1"/>
  <c r="AY4" i="15"/>
  <c r="AZ4" i="15" s="1"/>
  <c r="W4" i="15"/>
  <c r="X4" i="15" s="1"/>
  <c r="UA4" i="15"/>
  <c r="UB4" i="15" s="1"/>
  <c r="CE4" i="15"/>
  <c r="CF4" i="15" s="1"/>
  <c r="SM4" i="15"/>
  <c r="SN4" i="15" s="1"/>
  <c r="NG4" i="15"/>
  <c r="NH4" i="15" s="1"/>
  <c r="FO4" i="15"/>
  <c r="FP4" i="15" s="1"/>
  <c r="AU4" i="15"/>
  <c r="AV4" i="15" s="1"/>
  <c r="SI4" i="15"/>
  <c r="SJ4" i="15" s="1"/>
  <c r="OM4" i="15"/>
  <c r="ON4" i="15" s="1"/>
  <c r="GU4" i="15"/>
  <c r="GV4" i="15" s="1"/>
  <c r="PK4" i="15"/>
  <c r="PL4" i="15" s="1"/>
  <c r="BS4" i="15"/>
  <c r="BT4" i="15" s="1"/>
  <c r="TK4" i="15"/>
  <c r="TL4" i="15" s="1"/>
  <c r="FK4" i="15"/>
  <c r="FL4" i="15" s="1"/>
  <c r="TG4" i="15"/>
  <c r="TH4" i="15" s="1"/>
  <c r="OE4" i="15"/>
  <c r="OF4" i="15" s="1"/>
  <c r="JG4" i="15"/>
  <c r="JH4" i="15" s="1"/>
  <c r="AQ4" i="15"/>
  <c r="AR4" i="15" s="1"/>
  <c r="SA4" i="15"/>
  <c r="SB4" i="15" s="1"/>
  <c r="SB5" i="15" s="1"/>
  <c r="NC4" i="15"/>
  <c r="ND4" i="15" s="1"/>
  <c r="HW4" i="15"/>
  <c r="HX4" i="15" s="1"/>
  <c r="EA4" i="15"/>
  <c r="EB4" i="15" s="1"/>
  <c r="QY4" i="15"/>
  <c r="QZ4" i="15" s="1"/>
  <c r="HS4" i="15"/>
  <c r="HT4" i="15" s="1"/>
  <c r="PO4" i="15"/>
  <c r="PP4" i="15" s="1"/>
  <c r="KI4" i="15"/>
  <c r="KJ4" i="15" s="1"/>
  <c r="KJ5" i="15" s="1"/>
  <c r="LS4" i="15"/>
  <c r="LT4" i="15" s="1"/>
  <c r="G4" i="15"/>
  <c r="H4" i="15" s="1"/>
  <c r="CY4" i="15"/>
  <c r="CZ4" i="15" s="1"/>
  <c r="LO4" i="15"/>
  <c r="LP4" i="15" s="1"/>
  <c r="GM4" i="15"/>
  <c r="GN4" i="15" s="1"/>
  <c r="H65" i="18"/>
  <c r="H80" i="18"/>
  <c r="H141" i="18"/>
  <c r="H50" i="18"/>
  <c r="H88" i="18"/>
  <c r="H112" i="18"/>
  <c r="H58" i="18"/>
  <c r="H122" i="18"/>
  <c r="H93" i="18"/>
  <c r="H152" i="18"/>
  <c r="H132" i="18"/>
  <c r="H45" i="18"/>
  <c r="H31" i="18"/>
  <c r="H140" i="18"/>
  <c r="H21" i="18"/>
  <c r="H62" i="18"/>
  <c r="H103" i="18"/>
  <c r="H100" i="18"/>
  <c r="H133" i="18"/>
  <c r="H63" i="18"/>
  <c r="H114" i="18"/>
  <c r="H124" i="18"/>
  <c r="H23" i="18"/>
  <c r="H116" i="18"/>
  <c r="H75" i="18"/>
  <c r="H89" i="18"/>
  <c r="H43" i="18"/>
  <c r="H71" i="18"/>
  <c r="H109" i="18"/>
  <c r="H151" i="18"/>
  <c r="H129" i="18"/>
  <c r="H121" i="18"/>
  <c r="H87" i="18"/>
  <c r="H99" i="18"/>
  <c r="H127" i="18"/>
  <c r="H117" i="18"/>
  <c r="H61" i="18"/>
  <c r="H123" i="18"/>
  <c r="H67" i="18"/>
  <c r="H70" i="18"/>
  <c r="H82" i="18"/>
  <c r="H142" i="18"/>
  <c r="H147" i="18"/>
  <c r="H40" i="18"/>
  <c r="H34" i="18"/>
  <c r="H131" i="18"/>
  <c r="H59" i="18"/>
  <c r="H128" i="18"/>
  <c r="H136" i="18"/>
  <c r="H15" i="18"/>
  <c r="H149" i="18"/>
  <c r="H101" i="18"/>
  <c r="H52" i="18"/>
  <c r="H19" i="18"/>
  <c r="H55" i="18"/>
  <c r="H81" i="18"/>
  <c r="H79" i="18"/>
  <c r="H110" i="18"/>
  <c r="H74" i="18"/>
  <c r="H20" i="18"/>
  <c r="H125" i="18"/>
  <c r="H51" i="18"/>
  <c r="H54" i="18"/>
  <c r="H47" i="18"/>
  <c r="H69" i="18"/>
  <c r="H14" i="18"/>
  <c r="H150" i="18"/>
  <c r="H145" i="18"/>
  <c r="H106" i="18"/>
  <c r="H143" i="18"/>
  <c r="H83" i="18"/>
  <c r="H64" i="18"/>
  <c r="H39" i="18"/>
  <c r="H135" i="18"/>
  <c r="H111" i="18"/>
  <c r="H77" i="18"/>
  <c r="H119" i="18"/>
  <c r="H104" i="18"/>
  <c r="H139" i="18"/>
  <c r="H57" i="18"/>
  <c r="H78" i="18"/>
  <c r="H91" i="18"/>
  <c r="H97" i="18"/>
  <c r="H72" i="18"/>
  <c r="H126" i="18"/>
  <c r="H38" i="18"/>
  <c r="H36" i="18"/>
  <c r="H86" i="18"/>
  <c r="H66" i="18"/>
  <c r="H130" i="18"/>
  <c r="H48" i="18"/>
  <c r="H73" i="18"/>
  <c r="H146" i="18"/>
  <c r="H76" i="18"/>
  <c r="H85" i="18"/>
  <c r="H35" i="18"/>
  <c r="H107" i="18"/>
  <c r="H98" i="18"/>
  <c r="H33" i="18"/>
  <c r="H94" i="18"/>
  <c r="H24" i="18"/>
  <c r="H90" i="18"/>
  <c r="H42" i="18"/>
  <c r="H102" i="18"/>
  <c r="H115" i="18"/>
  <c r="H113" i="18"/>
  <c r="H32" i="18"/>
  <c r="H29" i="18"/>
  <c r="H84" i="18"/>
  <c r="H60" i="18"/>
  <c r="H26" i="18"/>
  <c r="H56" i="18"/>
  <c r="H138" i="18"/>
  <c r="H37" i="18"/>
  <c r="H144" i="18"/>
  <c r="H120" i="18"/>
  <c r="H53" i="18"/>
  <c r="H96" i="18"/>
  <c r="H46" i="18"/>
  <c r="H95" i="18"/>
  <c r="H137" i="18"/>
  <c r="H105" i="18"/>
  <c r="H28" i="18"/>
  <c r="H30" i="18"/>
  <c r="H134" i="18"/>
  <c r="H16" i="18"/>
  <c r="H44" i="18"/>
  <c r="H92" i="18"/>
  <c r="H18" i="18"/>
  <c r="H68" i="18"/>
  <c r="H13" i="18"/>
  <c r="H108" i="18"/>
  <c r="H22" i="18"/>
  <c r="H41" i="18"/>
  <c r="H12" i="18"/>
  <c r="H118" i="18"/>
  <c r="H25" i="18"/>
  <c r="H49" i="18"/>
  <c r="H148" i="18"/>
  <c r="H27" i="18"/>
  <c r="T26" i="4"/>
  <c r="T18" i="4"/>
  <c r="T113" i="4"/>
  <c r="T31" i="4"/>
  <c r="T117" i="4"/>
  <c r="T53" i="4"/>
  <c r="T103" i="4"/>
  <c r="T85" i="4"/>
  <c r="T34" i="4"/>
  <c r="T75" i="4"/>
  <c r="T28" i="4"/>
  <c r="T134" i="4"/>
  <c r="T97" i="4"/>
  <c r="T112" i="4"/>
  <c r="T147" i="4"/>
  <c r="T74" i="4"/>
  <c r="T23" i="4"/>
  <c r="T77" i="4"/>
  <c r="T25" i="4"/>
  <c r="T111" i="4"/>
  <c r="T44" i="4"/>
  <c r="T137" i="4"/>
  <c r="T106" i="4"/>
  <c r="T143" i="4"/>
  <c r="T91" i="4"/>
  <c r="T87" i="4"/>
  <c r="T133" i="4"/>
  <c r="T62" i="4"/>
  <c r="T57" i="4"/>
  <c r="T84" i="4"/>
  <c r="T46" i="4"/>
  <c r="T81" i="4"/>
  <c r="T24" i="4"/>
  <c r="T148" i="4"/>
  <c r="T108" i="4"/>
  <c r="T110" i="4"/>
  <c r="T33" i="4"/>
  <c r="T37" i="4"/>
  <c r="T131" i="4"/>
  <c r="T70" i="4"/>
  <c r="T105" i="4"/>
  <c r="T72" i="4"/>
  <c r="T41" i="4"/>
  <c r="T115" i="4"/>
  <c r="T128" i="4"/>
  <c r="T30" i="4"/>
  <c r="T45" i="4"/>
  <c r="T71" i="4"/>
  <c r="T140" i="4"/>
  <c r="T55" i="4"/>
  <c r="T43" i="4"/>
  <c r="T114" i="4"/>
  <c r="T89" i="4"/>
  <c r="H17" i="18"/>
  <c r="T90" i="4"/>
  <c r="T40" i="4"/>
  <c r="T54" i="4"/>
  <c r="T82" i="4"/>
  <c r="T130" i="4"/>
  <c r="T149" i="4"/>
  <c r="T144" i="4"/>
  <c r="T150" i="4"/>
  <c r="T80" i="4"/>
  <c r="T142" i="4"/>
  <c r="T49" i="4"/>
  <c r="T83" i="4"/>
  <c r="T50" i="4"/>
  <c r="T119" i="4"/>
  <c r="T73" i="4"/>
  <c r="T22" i="4"/>
  <c r="T125" i="4"/>
  <c r="T17" i="4"/>
  <c r="T68" i="4"/>
  <c r="T141" i="4"/>
  <c r="T136" i="4"/>
  <c r="T86" i="4"/>
  <c r="T101" i="4"/>
  <c r="T47" i="4"/>
  <c r="T138" i="4"/>
  <c r="T51" i="4"/>
  <c r="T116" i="4"/>
  <c r="T14" i="4"/>
  <c r="T102" i="4"/>
  <c r="T132" i="4"/>
  <c r="T63" i="4"/>
  <c r="T120" i="4"/>
  <c r="T146" i="4"/>
  <c r="T118" i="4"/>
  <c r="T109" i="4"/>
  <c r="T96" i="4"/>
  <c r="T126" i="4"/>
  <c r="T20" i="4"/>
  <c r="T59" i="4"/>
  <c r="T95" i="4"/>
  <c r="T100" i="4"/>
  <c r="T66" i="4"/>
  <c r="T98" i="4"/>
  <c r="T69" i="4"/>
  <c r="T76" i="4"/>
  <c r="T135" i="4"/>
  <c r="T93" i="4"/>
  <c r="T60" i="4"/>
  <c r="T145" i="4"/>
  <c r="T78" i="4"/>
  <c r="T29" i="4"/>
  <c r="T56" i="4"/>
  <c r="T129" i="4"/>
  <c r="T79" i="4"/>
  <c r="T42" i="4"/>
  <c r="T52" i="4"/>
  <c r="T107" i="4"/>
  <c r="T92" i="4"/>
  <c r="T36" i="4"/>
  <c r="T48" i="4"/>
  <c r="T61" i="4"/>
  <c r="T27" i="4"/>
  <c r="T39" i="4"/>
  <c r="T151" i="4"/>
  <c r="T35" i="4"/>
  <c r="T139" i="4"/>
  <c r="T65" i="4"/>
  <c r="T58" i="4"/>
  <c r="T88" i="4"/>
  <c r="T94" i="4"/>
  <c r="T32" i="4"/>
  <c r="T99" i="4"/>
  <c r="T104" i="4"/>
  <c r="T38" i="4"/>
  <c r="T67" i="4"/>
  <c r="T21" i="4"/>
  <c r="T64" i="4"/>
  <c r="T124" i="4"/>
  <c r="T123" i="4"/>
  <c r="T15" i="16"/>
  <c r="T12" i="16"/>
  <c r="T42" i="17"/>
  <c r="T13" i="16"/>
  <c r="F7" i="8"/>
  <c r="G7" i="8" s="1"/>
  <c r="T11" i="4"/>
  <c r="T19" i="4"/>
  <c r="T13" i="4"/>
  <c r="T16" i="4"/>
  <c r="T18" i="17"/>
  <c r="T12" i="4"/>
  <c r="T122" i="4"/>
  <c r="T15" i="4"/>
  <c r="T127" i="4"/>
  <c r="T28" i="17"/>
  <c r="T90" i="17"/>
  <c r="T82" i="17"/>
  <c r="T41" i="17"/>
  <c r="T72" i="17"/>
  <c r="T86" i="17"/>
  <c r="T55" i="17"/>
  <c r="T100" i="17"/>
  <c r="T57" i="17"/>
  <c r="T93" i="17"/>
  <c r="T125" i="17"/>
  <c r="T136" i="17"/>
  <c r="T38" i="17"/>
  <c r="T80" i="17"/>
  <c r="T111" i="17"/>
  <c r="T151" i="17"/>
  <c r="T85" i="17"/>
  <c r="T50" i="17"/>
  <c r="T124" i="17"/>
  <c r="T24" i="17"/>
  <c r="T138" i="17"/>
  <c r="T146" i="17"/>
  <c r="T43" i="17"/>
  <c r="T144" i="17"/>
  <c r="T120" i="17"/>
  <c r="T78" i="17"/>
  <c r="T128" i="17"/>
  <c r="T69" i="17"/>
  <c r="T89" i="17"/>
  <c r="T70" i="17"/>
  <c r="T117" i="17"/>
  <c r="T123" i="17"/>
  <c r="T32" i="17"/>
  <c r="T53" i="17"/>
  <c r="T51" i="17"/>
  <c r="T79" i="17"/>
  <c r="T142" i="17"/>
  <c r="T149" i="17"/>
  <c r="T132" i="17"/>
  <c r="T96" i="17"/>
  <c r="T63" i="17"/>
  <c r="T74" i="17"/>
  <c r="T49" i="17"/>
  <c r="T46" i="17"/>
  <c r="T109" i="17"/>
  <c r="T147" i="17"/>
  <c r="T22" i="17"/>
  <c r="T60" i="17"/>
  <c r="T114" i="17"/>
  <c r="T106" i="17"/>
  <c r="T31" i="17"/>
  <c r="T56" i="17"/>
  <c r="T33" i="17"/>
  <c r="T27" i="17"/>
  <c r="T47" i="17"/>
  <c r="T103" i="17"/>
  <c r="T87" i="17"/>
  <c r="T23" i="17"/>
  <c r="T113" i="17"/>
  <c r="T148" i="17"/>
  <c r="T127" i="17"/>
  <c r="T112" i="17"/>
  <c r="T65" i="17"/>
  <c r="T94" i="17"/>
  <c r="T105" i="17"/>
  <c r="T84" i="17"/>
  <c r="T110" i="17"/>
  <c r="T134" i="17"/>
  <c r="T26" i="17"/>
  <c r="T59" i="17"/>
  <c r="T97" i="17"/>
  <c r="T77" i="17"/>
  <c r="T122" i="17"/>
  <c r="T67" i="17"/>
  <c r="T20" i="17"/>
  <c r="T107" i="17"/>
  <c r="T25" i="17"/>
  <c r="T137" i="17"/>
  <c r="T88" i="17"/>
  <c r="T64" i="17"/>
  <c r="T135" i="17"/>
  <c r="T141" i="17"/>
  <c r="T12" i="17"/>
  <c r="T54" i="17"/>
  <c r="T36" i="17"/>
  <c r="T14" i="17"/>
  <c r="T37" i="17"/>
  <c r="T99" i="17"/>
  <c r="T19" i="17"/>
  <c r="T16" i="17"/>
  <c r="T68" i="17"/>
  <c r="T101" i="17"/>
  <c r="T131" i="16"/>
  <c r="T70" i="16"/>
  <c r="T62" i="16"/>
  <c r="T17" i="16"/>
  <c r="T20" i="16"/>
  <c r="T22" i="16"/>
  <c r="T91" i="16"/>
  <c r="T34" i="16"/>
  <c r="T111" i="16"/>
  <c r="T149" i="16"/>
  <c r="T88" i="16"/>
  <c r="T24" i="16"/>
  <c r="T93" i="16"/>
  <c r="T57" i="16"/>
  <c r="T59" i="16"/>
  <c r="T40" i="16"/>
  <c r="T84" i="16"/>
  <c r="T39" i="16"/>
  <c r="T31" i="16"/>
  <c r="T64" i="16"/>
  <c r="T110" i="16"/>
  <c r="T90" i="16"/>
  <c r="T146" i="16"/>
  <c r="T83" i="16"/>
  <c r="T109" i="16"/>
  <c r="T136" i="16"/>
  <c r="T21" i="16"/>
  <c r="T119" i="16"/>
  <c r="T102" i="16"/>
  <c r="T79" i="16"/>
  <c r="T44" i="16"/>
  <c r="T14" i="16"/>
  <c r="T138" i="16"/>
  <c r="T113" i="16"/>
  <c r="T25" i="16"/>
  <c r="T54" i="16"/>
  <c r="T95" i="16"/>
  <c r="T30" i="16"/>
  <c r="T69" i="16"/>
  <c r="T132" i="16"/>
  <c r="T48" i="16"/>
  <c r="T63" i="16"/>
  <c r="T72" i="16"/>
  <c r="T126" i="16"/>
  <c r="T116" i="16"/>
  <c r="T137" i="16"/>
  <c r="T123" i="16"/>
  <c r="T73" i="16"/>
  <c r="T103" i="16"/>
  <c r="T150" i="16"/>
  <c r="T101" i="16"/>
  <c r="T85" i="16"/>
  <c r="T58" i="16"/>
  <c r="T135" i="16"/>
  <c r="T127" i="16"/>
  <c r="T23" i="16"/>
  <c r="T124" i="16"/>
  <c r="T140" i="16"/>
  <c r="T133" i="16"/>
  <c r="T122" i="16"/>
  <c r="T29" i="16"/>
  <c r="T145" i="16"/>
  <c r="T80" i="16"/>
  <c r="T142" i="16"/>
  <c r="T35" i="16"/>
  <c r="T105" i="16"/>
  <c r="T27" i="16"/>
  <c r="T52" i="16"/>
  <c r="T11" i="16"/>
  <c r="T45" i="16"/>
  <c r="T99" i="16"/>
  <c r="T41" i="16"/>
  <c r="T60" i="16"/>
  <c r="T87" i="16"/>
  <c r="T144" i="16"/>
  <c r="T71" i="16"/>
  <c r="T129" i="16"/>
  <c r="T18" i="16"/>
  <c r="T26" i="16"/>
  <c r="T117" i="16"/>
  <c r="T115" i="16"/>
  <c r="T81" i="16"/>
  <c r="T78" i="16"/>
  <c r="T56" i="16"/>
  <c r="T143" i="16"/>
  <c r="T51" i="16"/>
  <c r="T66" i="16"/>
  <c r="T33" i="16"/>
  <c r="T77" i="16"/>
  <c r="T128" i="16"/>
  <c r="T120" i="16"/>
  <c r="T47" i="16"/>
  <c r="T75" i="16"/>
  <c r="T106" i="16"/>
  <c r="T100" i="16"/>
  <c r="T46" i="16"/>
  <c r="T55" i="16"/>
  <c r="T151" i="16"/>
  <c r="T134" i="16"/>
  <c r="T36" i="16"/>
  <c r="T32" i="16"/>
  <c r="T125" i="16"/>
  <c r="T19" i="16"/>
  <c r="T121" i="4"/>
  <c r="F18" i="3"/>
  <c r="E18" i="3"/>
  <c r="D18" i="3"/>
  <c r="G18" i="3"/>
  <c r="C18" i="3"/>
  <c r="C25" i="3"/>
  <c r="F25" i="3"/>
  <c r="G25" i="3"/>
  <c r="E25" i="3"/>
  <c r="D25" i="3"/>
  <c r="G38" i="3"/>
  <c r="F38" i="3"/>
  <c r="C38" i="3"/>
  <c r="E38" i="3"/>
  <c r="D38" i="3"/>
  <c r="C6" i="3"/>
  <c r="G6" i="3"/>
  <c r="D6" i="3"/>
  <c r="F6" i="3"/>
  <c r="E6" i="3"/>
  <c r="C20" i="3"/>
  <c r="E20" i="3"/>
  <c r="D20" i="3"/>
  <c r="F20" i="3"/>
  <c r="G20" i="3"/>
  <c r="C26" i="3"/>
  <c r="G26" i="3"/>
  <c r="F26" i="3"/>
  <c r="E26" i="3"/>
  <c r="D26" i="3"/>
  <c r="C13" i="3"/>
  <c r="D13" i="3"/>
  <c r="G13" i="3"/>
  <c r="F13" i="3"/>
  <c r="E13" i="3"/>
  <c r="D14" i="3"/>
  <c r="F14" i="3"/>
  <c r="C14" i="3"/>
  <c r="E14" i="3"/>
  <c r="G14" i="3"/>
  <c r="C8" i="3"/>
  <c r="G8" i="3"/>
  <c r="F8" i="3"/>
  <c r="E8" i="3"/>
  <c r="D8" i="3"/>
  <c r="D34" i="3"/>
  <c r="C34" i="3"/>
  <c r="G34" i="3"/>
  <c r="E34" i="3"/>
  <c r="F34" i="3"/>
  <c r="C28" i="3"/>
  <c r="D28" i="3"/>
  <c r="E28" i="3"/>
  <c r="G28" i="3"/>
  <c r="F28" i="3"/>
  <c r="F19" i="3"/>
  <c r="D19" i="3"/>
  <c r="E19" i="3"/>
  <c r="G19" i="3"/>
  <c r="C19" i="3"/>
  <c r="C7" i="3"/>
  <c r="E7" i="3"/>
  <c r="G7" i="3"/>
  <c r="F7" i="3"/>
  <c r="D7" i="3"/>
  <c r="C33" i="3"/>
  <c r="G33" i="3"/>
  <c r="F33" i="3"/>
  <c r="D33" i="3"/>
  <c r="E33" i="3"/>
  <c r="C27" i="3"/>
  <c r="E27" i="3"/>
  <c r="D27" i="3"/>
  <c r="G27" i="3"/>
  <c r="F27" i="3"/>
  <c r="E4" i="3"/>
  <c r="G4" i="3"/>
  <c r="F4" i="3"/>
  <c r="C4" i="3"/>
  <c r="D4" i="3"/>
  <c r="F9" i="1"/>
  <c r="F28" i="1" s="1"/>
  <c r="C10" i="3"/>
  <c r="E10" i="3"/>
  <c r="G10" i="3"/>
  <c r="D10" i="3"/>
  <c r="F10" i="3"/>
  <c r="E12" i="3"/>
  <c r="C12" i="3"/>
  <c r="G12" i="3"/>
  <c r="F12" i="3"/>
  <c r="D12" i="3"/>
  <c r="D32" i="3"/>
  <c r="C32" i="3"/>
  <c r="F32" i="3"/>
  <c r="E32" i="3"/>
  <c r="G32" i="3"/>
  <c r="C9" i="3"/>
  <c r="E9" i="3"/>
  <c r="F9" i="3"/>
  <c r="G9" i="3"/>
  <c r="D9" i="3"/>
  <c r="D29" i="3"/>
  <c r="E29" i="3"/>
  <c r="F29" i="3"/>
  <c r="C29" i="3"/>
  <c r="G29" i="3"/>
  <c r="D30" i="3"/>
  <c r="E30" i="3"/>
  <c r="G30" i="3"/>
  <c r="C30" i="3"/>
  <c r="F30" i="3"/>
  <c r="F23" i="3"/>
  <c r="E23" i="3"/>
  <c r="G23" i="3"/>
  <c r="C23" i="3"/>
  <c r="D23" i="3"/>
  <c r="C36" i="3"/>
  <c r="F36" i="3"/>
  <c r="D36" i="3"/>
  <c r="G36" i="3"/>
  <c r="E36" i="3"/>
  <c r="D22" i="3"/>
  <c r="G22" i="3"/>
  <c r="C22" i="3"/>
  <c r="E22" i="3"/>
  <c r="F22" i="3"/>
  <c r="D31" i="3"/>
  <c r="G31" i="3"/>
  <c r="C31" i="3"/>
  <c r="E31" i="3"/>
  <c r="F31" i="3"/>
  <c r="G24" i="3"/>
  <c r="D24" i="3"/>
  <c r="F24" i="3"/>
  <c r="C24" i="3"/>
  <c r="E24" i="3"/>
  <c r="F16" i="3"/>
  <c r="G16" i="3"/>
  <c r="D16" i="3"/>
  <c r="C16" i="3"/>
  <c r="E16" i="3"/>
  <c r="D15" i="3"/>
  <c r="G15" i="3"/>
  <c r="F15" i="3"/>
  <c r="C15" i="3"/>
  <c r="E15" i="3"/>
  <c r="E35" i="3"/>
  <c r="D35" i="3"/>
  <c r="F35" i="3"/>
  <c r="G35" i="3"/>
  <c r="C35" i="3"/>
  <c r="D37" i="3"/>
  <c r="F37" i="3"/>
  <c r="C37" i="3"/>
  <c r="E37" i="3"/>
  <c r="G37" i="3"/>
  <c r="F21" i="3"/>
  <c r="D21" i="3"/>
  <c r="G21" i="3"/>
  <c r="C21" i="3"/>
  <c r="E21" i="3"/>
  <c r="F39" i="3"/>
  <c r="D39" i="3"/>
  <c r="C39" i="3"/>
  <c r="G39" i="3"/>
  <c r="E39" i="3"/>
  <c r="D11" i="3"/>
  <c r="C11" i="3"/>
  <c r="E11" i="3"/>
  <c r="G11" i="3"/>
  <c r="F11" i="3"/>
  <c r="F17" i="3"/>
  <c r="E17" i="3"/>
  <c r="D17" i="3"/>
  <c r="C17" i="3"/>
  <c r="G17" i="3"/>
  <c r="F5" i="3"/>
  <c r="E5" i="3"/>
  <c r="G5" i="3"/>
  <c r="C5" i="3"/>
  <c r="D5" i="3"/>
  <c r="F7" i="11"/>
  <c r="G7" i="11" s="1"/>
  <c r="G6" i="2"/>
  <c r="E8" i="11"/>
  <c r="G6" i="10"/>
  <c r="G7" i="10"/>
  <c r="F7" i="9"/>
  <c r="G7" i="9" s="1"/>
  <c r="E8" i="9"/>
  <c r="G6" i="8"/>
  <c r="E8" i="8"/>
  <c r="E9" i="2"/>
  <c r="F8" i="2"/>
  <c r="KZ5" i="15" l="1"/>
  <c r="GZ5" i="15"/>
  <c r="AF5" i="15"/>
  <c r="AF6" i="15" s="1"/>
  <c r="IF5" i="15"/>
  <c r="IF6" i="15" s="1"/>
  <c r="LH5" i="15"/>
  <c r="LH6" i="15" s="1"/>
  <c r="AV5" i="15"/>
  <c r="AV6" i="15" s="1"/>
  <c r="DH5" i="15"/>
  <c r="DH6" i="15" s="1"/>
  <c r="X5" i="15"/>
  <c r="X6" i="15" s="1"/>
  <c r="UN5" i="15"/>
  <c r="UN6" i="15" s="1"/>
  <c r="RP5" i="15"/>
  <c r="RP6" i="15" s="1"/>
  <c r="LT5" i="15"/>
  <c r="LT6" i="15" s="1"/>
  <c r="NH5" i="15"/>
  <c r="NH6" i="15" s="1"/>
  <c r="IV5" i="15"/>
  <c r="IV6" i="15" s="1"/>
  <c r="HT5" i="15"/>
  <c r="HT6" i="15" s="1"/>
  <c r="QV5" i="15"/>
  <c r="QV6" i="15" s="1"/>
  <c r="EN5" i="15"/>
  <c r="EN6" i="15" s="1"/>
  <c r="UB5" i="15"/>
  <c r="UB6" i="15" s="1"/>
  <c r="UJ5" i="15"/>
  <c r="UJ6" i="15" s="1"/>
  <c r="AB5" i="15"/>
  <c r="AB6" i="15" s="1"/>
  <c r="PP5" i="15"/>
  <c r="PP6" i="15" s="1"/>
  <c r="CN5" i="15"/>
  <c r="CN6" i="15" s="1"/>
  <c r="QR5" i="15"/>
  <c r="QR6" i="15" s="1"/>
  <c r="SN5" i="15"/>
  <c r="SN6" i="15" s="1"/>
  <c r="NX5" i="15"/>
  <c r="NX6" i="15" s="1"/>
  <c r="RL5" i="15"/>
  <c r="RL6" i="15" s="1"/>
  <c r="QZ5" i="15"/>
  <c r="QZ6" i="15" s="1"/>
  <c r="CF5" i="15"/>
  <c r="CF6" i="15" s="1"/>
  <c r="OV5" i="15"/>
  <c r="OV6" i="15" s="1"/>
  <c r="EB5" i="15"/>
  <c r="EB6" i="15" s="1"/>
  <c r="TP5" i="15"/>
  <c r="TP6" i="15" s="1"/>
  <c r="TX5" i="15"/>
  <c r="TX6" i="15" s="1"/>
  <c r="QJ5" i="15"/>
  <c r="QJ6" i="15" s="1"/>
  <c r="FL5" i="15"/>
  <c r="FL6" i="15" s="1"/>
  <c r="KV5" i="15"/>
  <c r="KV6" i="15" s="1"/>
  <c r="EF5" i="15"/>
  <c r="EF6" i="15" s="1"/>
  <c r="MJ5" i="15"/>
  <c r="MJ6" i="15" s="1"/>
  <c r="OB5" i="15"/>
  <c r="OB6" i="15" s="1"/>
  <c r="LD5" i="15"/>
  <c r="LD6" i="15" s="1"/>
  <c r="JD5" i="15"/>
  <c r="JD6" i="15" s="1"/>
  <c r="QB5" i="15"/>
  <c r="QB6" i="15" s="1"/>
  <c r="HL5" i="15"/>
  <c r="HL6" i="15" s="1"/>
  <c r="KF5" i="15"/>
  <c r="KF6" i="15" s="1"/>
  <c r="IZ5" i="15"/>
  <c r="IZ6" i="15" s="1"/>
  <c r="GN5" i="15"/>
  <c r="GN6" i="15" s="1"/>
  <c r="QF5" i="15"/>
  <c r="QF6" i="15" s="1"/>
  <c r="KN5" i="15"/>
  <c r="KN6" i="15" s="1"/>
  <c r="TT5" i="15"/>
  <c r="TT6" i="15" s="1"/>
  <c r="LP5" i="15"/>
  <c r="LP6" i="15" s="1"/>
  <c r="GV5" i="15"/>
  <c r="GV6" i="15" s="1"/>
  <c r="HH5" i="15"/>
  <c r="HH6" i="15" s="1"/>
  <c r="JX5" i="15"/>
  <c r="JX6" i="15" s="1"/>
  <c r="IB5" i="15"/>
  <c r="IB6" i="15" s="1"/>
  <c r="MB5" i="15"/>
  <c r="MB6" i="15" s="1"/>
  <c r="ON5" i="15"/>
  <c r="ON6" i="15" s="1"/>
  <c r="MV5" i="15"/>
  <c r="MV6" i="15" s="1"/>
  <c r="SF5" i="15"/>
  <c r="SF6" i="15" s="1"/>
  <c r="QN5" i="15"/>
  <c r="QN6" i="15" s="1"/>
  <c r="BX5" i="15"/>
  <c r="BX6" i="15" s="1"/>
  <c r="AN5" i="15"/>
  <c r="AN6" i="15" s="1"/>
  <c r="JL5" i="15"/>
  <c r="JL6" i="15" s="1"/>
  <c r="AR5" i="15"/>
  <c r="AR6" i="15" s="1"/>
  <c r="FT5" i="15"/>
  <c r="FT6" i="15" s="1"/>
  <c r="FD5" i="15"/>
  <c r="FD6" i="15" s="1"/>
  <c r="RT5" i="15"/>
  <c r="RT6" i="15" s="1"/>
  <c r="DL5" i="15"/>
  <c r="DL6" i="15" s="1"/>
  <c r="ER5" i="15"/>
  <c r="ER6" i="15" s="1"/>
  <c r="DP5" i="15"/>
  <c r="DP6" i="15" s="1"/>
  <c r="JP5" i="15"/>
  <c r="JP6" i="15" s="1"/>
  <c r="CV5" i="15"/>
  <c r="CV6" i="15" s="1"/>
  <c r="CZ5" i="15"/>
  <c r="CZ6" i="15" s="1"/>
  <c r="OJ5" i="15"/>
  <c r="OJ6" i="15" s="1"/>
  <c r="PH5" i="15"/>
  <c r="PH6" i="15" s="1"/>
  <c r="CJ5" i="15"/>
  <c r="CJ6" i="15" s="1"/>
  <c r="GR5" i="15"/>
  <c r="GR6" i="15" s="1"/>
  <c r="LX5" i="15"/>
  <c r="LX6" i="15" s="1"/>
  <c r="PX5" i="15"/>
  <c r="PX6" i="15" s="1"/>
  <c r="RD5" i="15"/>
  <c r="RD6" i="15" s="1"/>
  <c r="EV5" i="15"/>
  <c r="EV6" i="15" s="1"/>
  <c r="EJ5" i="15"/>
  <c r="EJ6" i="15" s="1"/>
  <c r="BD5" i="15"/>
  <c r="BD6" i="15" s="1"/>
  <c r="GB5" i="15"/>
  <c r="GB6" i="15" s="1"/>
  <c r="P5" i="15"/>
  <c r="P6" i="15" s="1"/>
  <c r="IR5" i="15"/>
  <c r="IR6" i="15" s="1"/>
  <c r="PT5" i="15"/>
  <c r="PT6" i="15" s="1"/>
  <c r="SZ5" i="15"/>
  <c r="SZ6" i="15" s="1"/>
  <c r="HX5" i="15"/>
  <c r="HX6" i="15" s="1"/>
  <c r="T5" i="15"/>
  <c r="T6" i="15" s="1"/>
  <c r="JH5" i="15"/>
  <c r="JH6" i="15" s="1"/>
  <c r="LL5" i="15"/>
  <c r="LL6" i="15" s="1"/>
  <c r="BH5" i="15"/>
  <c r="BH6" i="15" s="1"/>
  <c r="NL5" i="15"/>
  <c r="NL6" i="15" s="1"/>
  <c r="FX5" i="15"/>
  <c r="FX6" i="15" s="1"/>
  <c r="TL5" i="15"/>
  <c r="TL6" i="15" s="1"/>
  <c r="OR5" i="15"/>
  <c r="OR6" i="15" s="1"/>
  <c r="GJ5" i="15"/>
  <c r="GJ6" i="15" s="1"/>
  <c r="HD5" i="15"/>
  <c r="HD6" i="15" s="1"/>
  <c r="BP5" i="15"/>
  <c r="BP6" i="15" s="1"/>
  <c r="SJ5" i="15"/>
  <c r="SJ6" i="15" s="1"/>
  <c r="UR5" i="15"/>
  <c r="UR6" i="15" s="1"/>
  <c r="SR5" i="15"/>
  <c r="SR6" i="15" s="1"/>
  <c r="IJ5" i="15"/>
  <c r="IJ6" i="15" s="1"/>
  <c r="MF5" i="15"/>
  <c r="MF6" i="15" s="1"/>
  <c r="BL5" i="15"/>
  <c r="BL6" i="15" s="1"/>
  <c r="TH5" i="15"/>
  <c r="TH6" i="15" s="1"/>
  <c r="JT5" i="15"/>
  <c r="JT6" i="15" s="1"/>
  <c r="GF5" i="15"/>
  <c r="GF6" i="15" s="1"/>
  <c r="NT5" i="15"/>
  <c r="NT6" i="15" s="1"/>
  <c r="FP5" i="15"/>
  <c r="FP6" i="15" s="1"/>
  <c r="DT5" i="15"/>
  <c r="DT6" i="15" s="1"/>
  <c r="MR5" i="15"/>
  <c r="MR6" i="15" s="1"/>
  <c r="KR5" i="15"/>
  <c r="KR6" i="15" s="1"/>
  <c r="AZ5" i="15"/>
  <c r="AZ6" i="15" s="1"/>
  <c r="TD5" i="15"/>
  <c r="TD6" i="15" s="1"/>
  <c r="ND5" i="15"/>
  <c r="ND6" i="15" s="1"/>
  <c r="AJ5" i="15"/>
  <c r="AJ6" i="15" s="1"/>
  <c r="RH6" i="15"/>
  <c r="EZ6" i="15"/>
  <c r="IN6" i="15"/>
  <c r="FH6" i="15"/>
  <c r="BT5" i="15"/>
  <c r="NP6" i="15"/>
  <c r="PL5" i="15"/>
  <c r="RX6" i="15"/>
  <c r="D6" i="15"/>
  <c r="H5" i="15"/>
  <c r="OZ6" i="15"/>
  <c r="KB6" i="15"/>
  <c r="SV6" i="15"/>
  <c r="UF6" i="15"/>
  <c r="CR5" i="15"/>
  <c r="KZ6" i="15"/>
  <c r="PD6" i="15"/>
  <c r="KJ6" i="15"/>
  <c r="DD6" i="15"/>
  <c r="DX6" i="15"/>
  <c r="MZ5" i="15"/>
  <c r="MN6" i="15"/>
  <c r="GZ6" i="15"/>
  <c r="SB6" i="15"/>
  <c r="L6" i="15"/>
  <c r="CB5" i="15"/>
  <c r="HP6" i="15"/>
  <c r="OF5" i="15"/>
  <c r="LQ4" i="15"/>
  <c r="GW4" i="15"/>
  <c r="HI4" i="15"/>
  <c r="JY4" i="15"/>
  <c r="RY4" i="15"/>
  <c r="IC4" i="15"/>
  <c r="MC4" i="15"/>
  <c r="DA4" i="15"/>
  <c r="OO4" i="15"/>
  <c r="LE4" i="15"/>
  <c r="NU4" i="15"/>
  <c r="E4" i="15"/>
  <c r="E5" i="15" s="1"/>
  <c r="JE4" i="15"/>
  <c r="MW4" i="15"/>
  <c r="I4" i="15"/>
  <c r="SK4" i="15"/>
  <c r="PA4" i="15"/>
  <c r="RQ4" i="15"/>
  <c r="BQ4" i="15"/>
  <c r="KC4" i="15"/>
  <c r="OK4" i="15"/>
  <c r="LU4" i="15"/>
  <c r="AW4" i="15"/>
  <c r="SW4" i="15"/>
  <c r="SW5" i="15" s="1"/>
  <c r="UG4" i="15"/>
  <c r="CS4" i="15"/>
  <c r="LA4" i="15"/>
  <c r="PE4" i="15"/>
  <c r="PE5" i="15" s="1"/>
  <c r="KK4" i="15"/>
  <c r="KK5" i="15" s="1"/>
  <c r="FQ4" i="15"/>
  <c r="DE4" i="15"/>
  <c r="AC4" i="15"/>
  <c r="DY4" i="15"/>
  <c r="LY4" i="15"/>
  <c r="PY4" i="15"/>
  <c r="PQ4" i="15"/>
  <c r="NI4" i="15"/>
  <c r="Q4" i="15"/>
  <c r="CO4" i="15"/>
  <c r="IW4" i="15"/>
  <c r="NA4" i="15"/>
  <c r="QS4" i="15"/>
  <c r="HU4" i="15"/>
  <c r="SO4" i="15"/>
  <c r="RE4" i="15"/>
  <c r="DU4" i="15"/>
  <c r="MS4" i="15"/>
  <c r="NY4" i="15"/>
  <c r="RM4" i="15"/>
  <c r="RA4" i="15"/>
  <c r="CG4" i="15"/>
  <c r="KS4" i="15"/>
  <c r="EW4" i="15"/>
  <c r="QO4" i="15"/>
  <c r="OW4" i="15"/>
  <c r="SG4" i="15"/>
  <c r="EC4" i="15"/>
  <c r="UC4" i="15"/>
  <c r="TY4" i="15"/>
  <c r="IS4" i="15"/>
  <c r="UK4" i="15"/>
  <c r="PU4" i="15"/>
  <c r="TA4" i="15"/>
  <c r="HY4" i="15"/>
  <c r="Y4" i="15"/>
  <c r="BY4" i="15"/>
  <c r="MO4" i="15"/>
  <c r="MO5" i="15" s="1"/>
  <c r="MP5" i="15" s="1"/>
  <c r="US4" i="15"/>
  <c r="QW4" i="15"/>
  <c r="UO4" i="15"/>
  <c r="NE4" i="15"/>
  <c r="BA4" i="15"/>
  <c r="BB4" i="15" s="1"/>
  <c r="EO4" i="15"/>
  <c r="QK4" i="15"/>
  <c r="TQ4" i="15"/>
  <c r="RU4" i="15"/>
  <c r="AO4" i="15"/>
  <c r="SC4" i="15"/>
  <c r="DM4" i="15"/>
  <c r="JM4" i="15"/>
  <c r="TE4" i="15"/>
  <c r="M4" i="15"/>
  <c r="SS4" i="15"/>
  <c r="CC4" i="15"/>
  <c r="AS4" i="15"/>
  <c r="ES4" i="15"/>
  <c r="IK4" i="15"/>
  <c r="HQ4" i="15"/>
  <c r="HQ5" i="15" s="1"/>
  <c r="HR5" i="15" s="1"/>
  <c r="AK4" i="15"/>
  <c r="U4" i="15"/>
  <c r="DQ4" i="15"/>
  <c r="JI4" i="15"/>
  <c r="FU4" i="15"/>
  <c r="MG4" i="15"/>
  <c r="LM4" i="15"/>
  <c r="BM4" i="15"/>
  <c r="BI4" i="15"/>
  <c r="BJ4" i="15" s="1"/>
  <c r="FE4" i="15"/>
  <c r="OG4" i="15"/>
  <c r="JQ4" i="15"/>
  <c r="QC4" i="15"/>
  <c r="PI4" i="15"/>
  <c r="CK4" i="15"/>
  <c r="CW4" i="15"/>
  <c r="GS4" i="15"/>
  <c r="TI4" i="15"/>
  <c r="NM4" i="15"/>
  <c r="HA4" i="15"/>
  <c r="AG4" i="15"/>
  <c r="AG5" i="15" s="1"/>
  <c r="DI4" i="15"/>
  <c r="EK4" i="15"/>
  <c r="EL4" i="15" s="1"/>
  <c r="IG4" i="15"/>
  <c r="IG5" i="15" s="1"/>
  <c r="FM4" i="15"/>
  <c r="RI4" i="15"/>
  <c r="RI5" i="15" s="1"/>
  <c r="KW4" i="15"/>
  <c r="FA4" i="15"/>
  <c r="EG4" i="15"/>
  <c r="FY4" i="15"/>
  <c r="JU4" i="15"/>
  <c r="TM4" i="15"/>
  <c r="IO4" i="15"/>
  <c r="OS4" i="15"/>
  <c r="GK4" i="15"/>
  <c r="FI4" i="15"/>
  <c r="FI5" i="15" s="1"/>
  <c r="HM4" i="15"/>
  <c r="HN4" i="15" s="1"/>
  <c r="LI4" i="15"/>
  <c r="LI5" i="15" s="1"/>
  <c r="BU4" i="15"/>
  <c r="MK4" i="15"/>
  <c r="BE4" i="15"/>
  <c r="KG4" i="15"/>
  <c r="GG4" i="15"/>
  <c r="JA4" i="15"/>
  <c r="NQ4" i="15"/>
  <c r="GO4" i="15"/>
  <c r="PM4" i="15"/>
  <c r="QG4" i="15"/>
  <c r="GC4" i="15"/>
  <c r="OC4" i="15"/>
  <c r="HE4" i="15"/>
  <c r="KO4" i="15"/>
  <c r="TU4" i="15"/>
  <c r="J13" i="3"/>
  <c r="J4" i="3"/>
  <c r="L6" i="3"/>
  <c r="K6" i="3"/>
  <c r="J15" i="3"/>
  <c r="M15" i="3"/>
  <c r="J6" i="3"/>
  <c r="N15" i="3"/>
  <c r="L15" i="3"/>
  <c r="N6" i="3"/>
  <c r="M6" i="3"/>
  <c r="K15" i="3"/>
  <c r="M14" i="3"/>
  <c r="L14" i="3"/>
  <c r="J5" i="3"/>
  <c r="N5" i="3"/>
  <c r="L5" i="3"/>
  <c r="K5" i="3"/>
  <c r="M5" i="3"/>
  <c r="J14" i="3"/>
  <c r="N14" i="3"/>
  <c r="K14" i="3"/>
  <c r="L4" i="3"/>
  <c r="L13" i="3"/>
  <c r="M4" i="3"/>
  <c r="M13" i="3"/>
  <c r="K4" i="3"/>
  <c r="K13" i="3"/>
  <c r="N4" i="3"/>
  <c r="N13" i="3"/>
  <c r="K7" i="3"/>
  <c r="N7" i="3"/>
  <c r="J7" i="3"/>
  <c r="L7" i="3"/>
  <c r="M7" i="3"/>
  <c r="L16" i="3"/>
  <c r="K16" i="3"/>
  <c r="J16" i="3"/>
  <c r="N16" i="3"/>
  <c r="M16" i="3"/>
  <c r="M8" i="3"/>
  <c r="L8" i="3"/>
  <c r="K8" i="3"/>
  <c r="L17" i="3"/>
  <c r="N17" i="3"/>
  <c r="J17" i="3"/>
  <c r="J8" i="3"/>
  <c r="M17" i="3"/>
  <c r="N8" i="3"/>
  <c r="K17" i="3"/>
  <c r="F9" i="2"/>
  <c r="G9" i="2" s="1"/>
  <c r="G8" i="2"/>
  <c r="E9" i="11"/>
  <c r="F8" i="11"/>
  <c r="E9" i="9"/>
  <c r="F8" i="9"/>
  <c r="E9" i="8"/>
  <c r="F8" i="8"/>
  <c r="E10" i="2"/>
  <c r="UO5" i="15" l="1"/>
  <c r="UP5" i="15" s="1"/>
  <c r="EO5" i="15"/>
  <c r="EP5" i="15" s="1"/>
  <c r="QW5" i="15"/>
  <c r="QX5" i="15" s="1"/>
  <c r="QS5" i="15"/>
  <c r="QS6" i="15" s="1"/>
  <c r="QT6" i="15" s="1"/>
  <c r="MP4" i="15"/>
  <c r="AC5" i="15"/>
  <c r="AD5" i="15" s="1"/>
  <c r="FM5" i="15"/>
  <c r="FN5" i="15" s="1"/>
  <c r="DA5" i="15"/>
  <c r="DB5" i="15" s="1"/>
  <c r="HM5" i="15"/>
  <c r="HM6" i="15" s="1"/>
  <c r="HN6" i="15" s="1"/>
  <c r="SO5" i="15"/>
  <c r="SP5" i="15" s="1"/>
  <c r="TY5" i="15"/>
  <c r="TZ5" i="15" s="1"/>
  <c r="CO5" i="15"/>
  <c r="CP5" i="15" s="1"/>
  <c r="KO5" i="15"/>
  <c r="KO6" i="15" s="1"/>
  <c r="KP6" i="15" s="1"/>
  <c r="GW5" i="15"/>
  <c r="GW6" i="15" s="1"/>
  <c r="GX6" i="15" s="1"/>
  <c r="LQ5" i="15"/>
  <c r="LR5" i="15" s="1"/>
  <c r="DM5" i="15"/>
  <c r="DN5" i="15" s="1"/>
  <c r="EG5" i="15"/>
  <c r="EH5" i="15" s="1"/>
  <c r="AO5" i="15"/>
  <c r="AP5" i="15" s="1"/>
  <c r="GO5" i="15"/>
  <c r="GP5" i="15" s="1"/>
  <c r="SG5" i="15"/>
  <c r="SH5" i="15" s="1"/>
  <c r="JA5" i="15"/>
  <c r="JB5" i="15" s="1"/>
  <c r="FU5" i="15"/>
  <c r="FV5" i="15" s="1"/>
  <c r="LY5" i="15"/>
  <c r="LZ5" i="15" s="1"/>
  <c r="DQ5" i="15"/>
  <c r="DR5" i="15" s="1"/>
  <c r="MC5" i="15"/>
  <c r="MD5" i="15" s="1"/>
  <c r="GS5" i="15"/>
  <c r="GT5" i="15" s="1"/>
  <c r="IC5" i="15"/>
  <c r="ID5" i="15" s="1"/>
  <c r="CK5" i="15"/>
  <c r="CL5" i="15" s="1"/>
  <c r="JY5" i="15"/>
  <c r="JZ5" i="15" s="1"/>
  <c r="TU5" i="15"/>
  <c r="TV5" i="15" s="1"/>
  <c r="PI5" i="15"/>
  <c r="PI6" i="15" s="1"/>
  <c r="PJ6" i="15" s="1"/>
  <c r="QO5" i="15"/>
  <c r="QP5" i="15" s="1"/>
  <c r="JM5" i="15"/>
  <c r="JM6" i="15" s="1"/>
  <c r="JN6" i="15" s="1"/>
  <c r="OK5" i="15"/>
  <c r="OK6" i="15" s="1"/>
  <c r="OL6" i="15" s="1"/>
  <c r="FE5" i="15"/>
  <c r="FE6" i="15" s="1"/>
  <c r="FF6" i="15" s="1"/>
  <c r="JB4" i="15"/>
  <c r="PY5" i="15"/>
  <c r="PZ5" i="15" s="1"/>
  <c r="LM5" i="15"/>
  <c r="LN5" i="15" s="1"/>
  <c r="EK5" i="15"/>
  <c r="EK6" i="15" s="1"/>
  <c r="EL6" i="15" s="1"/>
  <c r="AG6" i="15"/>
  <c r="AH6" i="15" s="1"/>
  <c r="BE5" i="15"/>
  <c r="BE6" i="15" s="1"/>
  <c r="BF6" i="15" s="1"/>
  <c r="U5" i="15"/>
  <c r="V5" i="15" s="1"/>
  <c r="RE5" i="15"/>
  <c r="RE6" i="15" s="1"/>
  <c r="RF6" i="15" s="1"/>
  <c r="HY5" i="15"/>
  <c r="HZ5" i="15" s="1"/>
  <c r="JN4" i="15"/>
  <c r="KS5" i="15"/>
  <c r="KT5" i="15" s="1"/>
  <c r="LI6" i="15"/>
  <c r="LJ6" i="15" s="1"/>
  <c r="KK6" i="15"/>
  <c r="KL6" i="15" s="1"/>
  <c r="HR4" i="15"/>
  <c r="SK5" i="15"/>
  <c r="SL5" i="15" s="1"/>
  <c r="HE5" i="15"/>
  <c r="HF5" i="15" s="1"/>
  <c r="FY5" i="15"/>
  <c r="FZ5" i="15" s="1"/>
  <c r="RI6" i="15"/>
  <c r="RJ6" i="15" s="1"/>
  <c r="BI5" i="15"/>
  <c r="BJ5" i="15" s="1"/>
  <c r="IS5" i="15"/>
  <c r="IS6" i="15" s="1"/>
  <c r="IT6" i="15" s="1"/>
  <c r="OG5" i="15"/>
  <c r="OH5" i="15" s="1"/>
  <c r="IH4" i="15"/>
  <c r="LN4" i="15"/>
  <c r="LZ4" i="15"/>
  <c r="FI6" i="15"/>
  <c r="FJ6" i="15" s="1"/>
  <c r="QT4" i="15"/>
  <c r="IG6" i="15"/>
  <c r="IH6" i="15" s="1"/>
  <c r="TZ4" i="15"/>
  <c r="MG5" i="15"/>
  <c r="MH5" i="15" s="1"/>
  <c r="SH4" i="15"/>
  <c r="BQ5" i="15"/>
  <c r="BR5" i="15" s="1"/>
  <c r="AD4" i="15"/>
  <c r="FN4" i="15"/>
  <c r="IT4" i="15"/>
  <c r="DB4" i="15"/>
  <c r="EP4" i="15"/>
  <c r="UP4" i="15"/>
  <c r="PZ4" i="15"/>
  <c r="FZ4" i="15"/>
  <c r="SL4" i="15"/>
  <c r="GX4" i="15"/>
  <c r="RF4" i="15"/>
  <c r="TV4" i="15"/>
  <c r="SP4" i="15"/>
  <c r="PF4" i="15"/>
  <c r="F4" i="15"/>
  <c r="PE6" i="15"/>
  <c r="GT4" i="15"/>
  <c r="AK5" i="15"/>
  <c r="AK6" i="15" s="1"/>
  <c r="AL6" i="15" s="1"/>
  <c r="E6" i="15"/>
  <c r="F6" i="15" s="1"/>
  <c r="SX4" i="15"/>
  <c r="PM5" i="15"/>
  <c r="CL4" i="15"/>
  <c r="UO6" i="15"/>
  <c r="UP6" i="15" s="1"/>
  <c r="EO6" i="15"/>
  <c r="EP6" i="15" s="1"/>
  <c r="BA5" i="15"/>
  <c r="BA6" i="15" s="1"/>
  <c r="BB6" i="15" s="1"/>
  <c r="KT4" i="15"/>
  <c r="OL4" i="15"/>
  <c r="FP7" i="15"/>
  <c r="ML4" i="15"/>
  <c r="MK5" i="15"/>
  <c r="JR4" i="15"/>
  <c r="JQ5" i="15"/>
  <c r="AL4" i="15"/>
  <c r="DF4" i="15"/>
  <c r="DE5" i="15"/>
  <c r="BL7" i="15"/>
  <c r="IJ7" i="15"/>
  <c r="P7" i="15"/>
  <c r="KL5" i="15"/>
  <c r="BP7" i="15"/>
  <c r="CZ7" i="15"/>
  <c r="KN7" i="15"/>
  <c r="BV4" i="15"/>
  <c r="BU5" i="15"/>
  <c r="FR4" i="15"/>
  <c r="FQ5" i="15"/>
  <c r="LR4" i="15"/>
  <c r="AN7" i="15"/>
  <c r="UR7" i="15"/>
  <c r="IR7" i="15"/>
  <c r="KJ7" i="15"/>
  <c r="RP7" i="15"/>
  <c r="BD7" i="15"/>
  <c r="DH7" i="15"/>
  <c r="QL4" i="15"/>
  <c r="QK5" i="15"/>
  <c r="KP4" i="15"/>
  <c r="LJ4" i="15"/>
  <c r="OH4" i="15"/>
  <c r="HQ6" i="15"/>
  <c r="J4" i="15"/>
  <c r="I5" i="15"/>
  <c r="J5" i="15" s="1"/>
  <c r="LL7" i="15"/>
  <c r="NX7" i="15"/>
  <c r="NH7" i="15"/>
  <c r="PD7" i="15"/>
  <c r="MB7" i="15"/>
  <c r="FF4" i="15"/>
  <c r="IL4" i="15"/>
  <c r="IK5" i="15"/>
  <c r="UD4" i="15"/>
  <c r="UC5" i="15"/>
  <c r="HV4" i="15"/>
  <c r="HU5" i="15"/>
  <c r="KL4" i="15"/>
  <c r="MX4" i="15"/>
  <c r="MW5" i="15"/>
  <c r="GR7" i="15"/>
  <c r="ER7" i="15"/>
  <c r="RT7" i="15"/>
  <c r="MN7" i="15"/>
  <c r="MR7" i="15"/>
  <c r="PF5" i="15"/>
  <c r="OZ7" i="15"/>
  <c r="HD7" i="15"/>
  <c r="MJ7" i="15"/>
  <c r="JT7" i="15"/>
  <c r="UL4" i="15"/>
  <c r="UK5" i="15"/>
  <c r="PT7" i="15"/>
  <c r="AT4" i="15"/>
  <c r="AS5" i="15"/>
  <c r="LB4" i="15"/>
  <c r="LA5" i="15"/>
  <c r="CR6" i="15"/>
  <c r="GB7" i="15"/>
  <c r="LH7" i="15"/>
  <c r="DV4" i="15"/>
  <c r="DU5" i="15"/>
  <c r="ED4" i="15"/>
  <c r="EC5" i="15"/>
  <c r="OB7" i="15"/>
  <c r="GD4" i="15"/>
  <c r="GC5" i="15"/>
  <c r="FJ4" i="15"/>
  <c r="BN4" i="15"/>
  <c r="BM5" i="15"/>
  <c r="ST4" i="15"/>
  <c r="SS5" i="15"/>
  <c r="OX4" i="15"/>
  <c r="OW5" i="15"/>
  <c r="IX4" i="15"/>
  <c r="IW5" i="15"/>
  <c r="CT4" i="15"/>
  <c r="CS5" i="15"/>
  <c r="CT5" i="15" s="1"/>
  <c r="NV4" i="15"/>
  <c r="NU5" i="15"/>
  <c r="X7" i="15"/>
  <c r="OV7" i="15"/>
  <c r="UF7" i="15"/>
  <c r="H6" i="15"/>
  <c r="RX7" i="15"/>
  <c r="LJ5" i="15"/>
  <c r="EF7" i="15"/>
  <c r="NL7" i="15"/>
  <c r="TL7" i="15"/>
  <c r="HF4" i="15"/>
  <c r="QH4" i="15"/>
  <c r="QG5" i="15"/>
  <c r="GL4" i="15"/>
  <c r="GK5" i="15"/>
  <c r="AH4" i="15"/>
  <c r="N4" i="15"/>
  <c r="M5" i="15"/>
  <c r="QX4" i="15"/>
  <c r="UH4" i="15"/>
  <c r="UG5" i="15"/>
  <c r="LF4" i="15"/>
  <c r="LE5" i="15"/>
  <c r="CJ7" i="15"/>
  <c r="SR7" i="15"/>
  <c r="QJ7" i="15"/>
  <c r="RD7" i="15"/>
  <c r="PX7" i="15"/>
  <c r="MV7" i="15"/>
  <c r="JX7" i="15"/>
  <c r="EZ7" i="15"/>
  <c r="QZ7" i="15"/>
  <c r="CN7" i="15"/>
  <c r="MF7" i="15"/>
  <c r="SF7" i="15"/>
  <c r="NB4" i="15"/>
  <c r="NA5" i="15"/>
  <c r="PN4" i="15"/>
  <c r="OT4" i="15"/>
  <c r="OS5" i="15"/>
  <c r="HB4" i="15"/>
  <c r="HA5" i="15"/>
  <c r="TF4" i="15"/>
  <c r="TE5" i="15"/>
  <c r="UT4" i="15"/>
  <c r="US5" i="15"/>
  <c r="QP4" i="15"/>
  <c r="CP4" i="15"/>
  <c r="SW6" i="15"/>
  <c r="SX6" i="15" s="1"/>
  <c r="OP4" i="15"/>
  <c r="OO5" i="15"/>
  <c r="PH7" i="15"/>
  <c r="JH7" i="15"/>
  <c r="L7" i="15"/>
  <c r="EN7" i="15"/>
  <c r="HX7" i="15"/>
  <c r="QN7" i="15"/>
  <c r="SN7" i="15"/>
  <c r="SX5" i="15"/>
  <c r="QF7" i="15"/>
  <c r="HL7" i="15"/>
  <c r="TR4" i="15"/>
  <c r="TQ5" i="15"/>
  <c r="HP7" i="15"/>
  <c r="KB7" i="15"/>
  <c r="IB7" i="15"/>
  <c r="OD4" i="15"/>
  <c r="OC5" i="15"/>
  <c r="CB6" i="15"/>
  <c r="TJ4" i="15"/>
  <c r="TI5" i="15"/>
  <c r="ON7" i="15"/>
  <c r="LX7" i="15"/>
  <c r="PR4" i="15"/>
  <c r="PQ5" i="15"/>
  <c r="LV4" i="15"/>
  <c r="LU5" i="15"/>
  <c r="MD4" i="15"/>
  <c r="QB7" i="15"/>
  <c r="DP7" i="15"/>
  <c r="AZ7" i="15"/>
  <c r="UJ7" i="15"/>
  <c r="EV7" i="15"/>
  <c r="AV7" i="15"/>
  <c r="D7" i="15"/>
  <c r="GV7" i="15"/>
  <c r="GN7" i="15"/>
  <c r="GJ7" i="15"/>
  <c r="RH7" i="15"/>
  <c r="RL7" i="15"/>
  <c r="FX7" i="15"/>
  <c r="CD4" i="15"/>
  <c r="CC5" i="15"/>
  <c r="CD5" i="15" s="1"/>
  <c r="TP7" i="15"/>
  <c r="JD7" i="15"/>
  <c r="Z4" i="15"/>
  <c r="Y5" i="15"/>
  <c r="JL7" i="15"/>
  <c r="TX7" i="15"/>
  <c r="QR7" i="15"/>
  <c r="DX7" i="15"/>
  <c r="LT7" i="15"/>
  <c r="F5" i="15"/>
  <c r="NP7" i="15"/>
  <c r="RJ5" i="15"/>
  <c r="RR4" i="15"/>
  <c r="RQ5" i="15"/>
  <c r="HJ4" i="15"/>
  <c r="HI5" i="15"/>
  <c r="GF7" i="15"/>
  <c r="BF4" i="15"/>
  <c r="ET4" i="15"/>
  <c r="ES5" i="15"/>
  <c r="AR7" i="15"/>
  <c r="EB7" i="15"/>
  <c r="BX7" i="15"/>
  <c r="PP7" i="15"/>
  <c r="R4" i="15"/>
  <c r="Q5" i="15"/>
  <c r="FH7" i="15"/>
  <c r="TN4" i="15"/>
  <c r="TM5" i="15"/>
  <c r="MO6" i="15"/>
  <c r="MP6" i="15" s="1"/>
  <c r="NJ4" i="15"/>
  <c r="NI5" i="15"/>
  <c r="IF7" i="15"/>
  <c r="TD7" i="15"/>
  <c r="HT7" i="15"/>
  <c r="GP4" i="15"/>
  <c r="FV4" i="15"/>
  <c r="CX4" i="15"/>
  <c r="CW5" i="15"/>
  <c r="JJ4" i="15"/>
  <c r="JI5" i="15"/>
  <c r="SD4" i="15"/>
  <c r="SC5" i="15"/>
  <c r="RB4" i="15"/>
  <c r="RA5" i="15"/>
  <c r="JP7" i="15"/>
  <c r="T7" i="15"/>
  <c r="ND7" i="15"/>
  <c r="KR7" i="15"/>
  <c r="NT7" i="15"/>
  <c r="LP7" i="15"/>
  <c r="NF4" i="15"/>
  <c r="NE5" i="15"/>
  <c r="JF4" i="15"/>
  <c r="JE5" i="15"/>
  <c r="KZ7" i="15"/>
  <c r="BT6" i="15"/>
  <c r="DJ4" i="15"/>
  <c r="DI5" i="15"/>
  <c r="FT7" i="15"/>
  <c r="EX4" i="15"/>
  <c r="EW5" i="15"/>
  <c r="SV7" i="15"/>
  <c r="KV7" i="15"/>
  <c r="MH4" i="15"/>
  <c r="FJ5" i="15"/>
  <c r="DR4" i="15"/>
  <c r="AP4" i="15"/>
  <c r="HZ4" i="15"/>
  <c r="RN4" i="15"/>
  <c r="RM5" i="15"/>
  <c r="KD4" i="15"/>
  <c r="KC5" i="15"/>
  <c r="RZ4" i="15"/>
  <c r="RY5" i="15"/>
  <c r="OF6" i="15"/>
  <c r="DL7" i="15"/>
  <c r="UB7" i="15"/>
  <c r="CF7" i="15"/>
  <c r="MZ6" i="15"/>
  <c r="AB7" i="15"/>
  <c r="OJ7" i="15"/>
  <c r="OR7" i="15"/>
  <c r="FL7" i="15"/>
  <c r="QD4" i="15"/>
  <c r="QC5" i="15"/>
  <c r="PB4" i="15"/>
  <c r="PA5" i="15"/>
  <c r="QV7" i="15"/>
  <c r="KF7" i="15"/>
  <c r="TH7" i="15"/>
  <c r="NN4" i="15"/>
  <c r="NM5" i="15"/>
  <c r="AX4" i="15"/>
  <c r="AW5" i="15"/>
  <c r="HH7" i="15"/>
  <c r="JV4" i="15"/>
  <c r="JU5" i="15"/>
  <c r="BZ4" i="15"/>
  <c r="BY5" i="15"/>
  <c r="NR4" i="15"/>
  <c r="NQ5" i="15"/>
  <c r="DN4" i="15"/>
  <c r="GH4" i="15"/>
  <c r="GG5" i="15"/>
  <c r="FB4" i="15"/>
  <c r="FA5" i="15"/>
  <c r="TB4" i="15"/>
  <c r="TA5" i="15"/>
  <c r="NZ4" i="15"/>
  <c r="NY5" i="15"/>
  <c r="FD7" i="15"/>
  <c r="AJ7" i="15"/>
  <c r="GZ7" i="15"/>
  <c r="IV7" i="15"/>
  <c r="LD7" i="15"/>
  <c r="AF7" i="15"/>
  <c r="IZ7" i="15"/>
  <c r="IN7" i="15"/>
  <c r="EJ7" i="15"/>
  <c r="BH7" i="15"/>
  <c r="TT7" i="15"/>
  <c r="RJ4" i="15"/>
  <c r="CV7" i="15"/>
  <c r="DT7" i="15"/>
  <c r="SJ7" i="15"/>
  <c r="IP4" i="15"/>
  <c r="IO5" i="15"/>
  <c r="IH5" i="15"/>
  <c r="PL6" i="15"/>
  <c r="CH4" i="15"/>
  <c r="CG5" i="15"/>
  <c r="KH4" i="15"/>
  <c r="KG5" i="15"/>
  <c r="KX4" i="15"/>
  <c r="KW5" i="15"/>
  <c r="PJ4" i="15"/>
  <c r="V4" i="15"/>
  <c r="RV4" i="15"/>
  <c r="RU5" i="15"/>
  <c r="PV4" i="15"/>
  <c r="PU5" i="15"/>
  <c r="MT4" i="15"/>
  <c r="MS5" i="15"/>
  <c r="DZ4" i="15"/>
  <c r="DY5" i="15"/>
  <c r="BR4" i="15"/>
  <c r="JZ4" i="15"/>
  <c r="SB7" i="15"/>
  <c r="UN7" i="15"/>
  <c r="SZ7" i="15"/>
  <c r="DD7" i="15"/>
  <c r="AH5" i="15"/>
  <c r="EH4" i="15"/>
  <c r="ID4" i="15"/>
  <c r="I21" i="17" a="1"/>
  <c r="I21" i="17" s="1"/>
  <c r="J21" i="17" s="1"/>
  <c r="F9" i="11"/>
  <c r="G9" i="11" s="1"/>
  <c r="I129" i="4" a="1"/>
  <c r="I129" i="4" s="1"/>
  <c r="I130" i="4" a="1"/>
  <c r="I130" i="4" s="1"/>
  <c r="I14" i="4" a="1"/>
  <c r="I14" i="4" s="1"/>
  <c r="I19" i="4" a="1"/>
  <c r="I19" i="4" s="1"/>
  <c r="I21" i="4" a="1"/>
  <c r="I21" i="4" s="1"/>
  <c r="I128" i="4" a="1"/>
  <c r="I128" i="4" s="1"/>
  <c r="I17" i="4" a="1"/>
  <c r="I17" i="4" s="1"/>
  <c r="I13" i="4" a="1"/>
  <c r="I13" i="4" s="1"/>
  <c r="I20" i="4" a="1"/>
  <c r="I20" i="4" s="1"/>
  <c r="I124" i="4" a="1"/>
  <c r="I124" i="4" s="1"/>
  <c r="I11" i="4" a="1"/>
  <c r="I11" i="4" s="1"/>
  <c r="I16" i="4" a="1"/>
  <c r="I16" i="4" s="1"/>
  <c r="I122" i="4" a="1"/>
  <c r="I122" i="4" s="1"/>
  <c r="I127" i="4" a="1"/>
  <c r="I127" i="4" s="1"/>
  <c r="I12" i="4" a="1"/>
  <c r="I12" i="4" s="1"/>
  <c r="I131" i="4" a="1"/>
  <c r="I131" i="4" s="1"/>
  <c r="I125" i="4" a="1"/>
  <c r="I125" i="4" s="1"/>
  <c r="I126" i="4" a="1"/>
  <c r="I126" i="4" s="1"/>
  <c r="I15" i="4" a="1"/>
  <c r="I15" i="4" s="1"/>
  <c r="I91" i="17" a="1"/>
  <c r="I91" i="17" s="1"/>
  <c r="J91" i="17" s="1"/>
  <c r="I122" i="17" a="1"/>
  <c r="I122" i="17" s="1"/>
  <c r="J122" i="17" s="1"/>
  <c r="I44" i="17" a="1"/>
  <c r="I44" i="17" s="1"/>
  <c r="J44" i="17" s="1"/>
  <c r="I14" i="17" a="1"/>
  <c r="I14" i="17" s="1"/>
  <c r="J14" i="17" s="1"/>
  <c r="I46" i="17" a="1"/>
  <c r="I46" i="17" s="1"/>
  <c r="I141" i="17" a="1"/>
  <c r="I141" i="17" s="1"/>
  <c r="J141" i="17" s="1"/>
  <c r="I62" i="17" a="1"/>
  <c r="I62" i="17" s="1"/>
  <c r="J62" i="17" s="1"/>
  <c r="I60" i="17" a="1"/>
  <c r="I60" i="17" s="1"/>
  <c r="J60" i="17" s="1"/>
  <c r="I67" i="17" a="1"/>
  <c r="I67" i="17" s="1"/>
  <c r="I13" i="17" a="1"/>
  <c r="I13" i="17" s="1"/>
  <c r="J13" i="17" s="1"/>
  <c r="I103" i="17" a="1"/>
  <c r="I103" i="17" s="1"/>
  <c r="J103" i="17" s="1"/>
  <c r="I125" i="17" a="1"/>
  <c r="I125" i="17" s="1"/>
  <c r="J125" i="17" s="1"/>
  <c r="I130" i="17" a="1"/>
  <c r="I130" i="17" s="1"/>
  <c r="J130" i="17" s="1"/>
  <c r="I33" i="17" a="1"/>
  <c r="I33" i="17" s="1"/>
  <c r="J33" i="17" s="1"/>
  <c r="I73" i="17" a="1"/>
  <c r="I73" i="17" s="1"/>
  <c r="J73" i="17" s="1"/>
  <c r="I80" i="17" a="1"/>
  <c r="I80" i="17" s="1"/>
  <c r="J80" i="17" s="1"/>
  <c r="I78" i="17" a="1"/>
  <c r="I78" i="17" s="1"/>
  <c r="J78" i="17" s="1"/>
  <c r="I114" i="17" a="1"/>
  <c r="I114" i="17" s="1"/>
  <c r="J114" i="17" s="1"/>
  <c r="I11" i="17" a="1"/>
  <c r="I11" i="17" s="1"/>
  <c r="J11" i="17" s="1"/>
  <c r="I140" i="17" a="1"/>
  <c r="I140" i="17" s="1"/>
  <c r="J140" i="17" s="1"/>
  <c r="I117" i="17" a="1"/>
  <c r="I117" i="17" s="1"/>
  <c r="J117" i="17" s="1"/>
  <c r="I30" i="17" a="1"/>
  <c r="I30" i="17" s="1"/>
  <c r="J30" i="17" s="1"/>
  <c r="I39" i="17" a="1"/>
  <c r="I39" i="17" s="1"/>
  <c r="J39" i="17" s="1"/>
  <c r="I108" i="17" a="1"/>
  <c r="I108" i="17" s="1"/>
  <c r="J108" i="17" s="1"/>
  <c r="I95" i="17" a="1"/>
  <c r="I95" i="17" s="1"/>
  <c r="J95" i="17" s="1"/>
  <c r="I63" i="17" a="1"/>
  <c r="I63" i="17" s="1"/>
  <c r="J63" i="17" s="1"/>
  <c r="I87" i="17" a="1"/>
  <c r="I87" i="17" s="1"/>
  <c r="J87" i="17" s="1"/>
  <c r="I104" i="17" a="1"/>
  <c r="I104" i="17" s="1"/>
  <c r="J104" i="17" s="1"/>
  <c r="I98" i="17" a="1"/>
  <c r="I98" i="17" s="1"/>
  <c r="J98" i="17" s="1"/>
  <c r="I51" i="17" a="1"/>
  <c r="I51" i="17" s="1"/>
  <c r="I27" i="17" a="1"/>
  <c r="I27" i="17" s="1"/>
  <c r="I143" i="17" a="1"/>
  <c r="I143" i="17" s="1"/>
  <c r="J143" i="17" s="1"/>
  <c r="I57" i="17" a="1"/>
  <c r="I57" i="17" s="1"/>
  <c r="J57" i="17" s="1"/>
  <c r="I66" i="17" a="1"/>
  <c r="I66" i="17" s="1"/>
  <c r="J66" i="17" s="1"/>
  <c r="I47" i="17" a="1"/>
  <c r="I47" i="17" s="1"/>
  <c r="J47" i="17" s="1"/>
  <c r="I134" i="17" a="1"/>
  <c r="I134" i="17" s="1"/>
  <c r="J134" i="17" s="1"/>
  <c r="I16" i="17" a="1"/>
  <c r="I16" i="17" s="1"/>
  <c r="I17" i="17" a="1"/>
  <c r="I17" i="17" s="1"/>
  <c r="J17" i="17" s="1"/>
  <c r="I121" i="17" a="1"/>
  <c r="I121" i="17" s="1"/>
  <c r="J121" i="17" s="1"/>
  <c r="I38" i="17" a="1"/>
  <c r="I38" i="17" s="1"/>
  <c r="J38" i="17" s="1"/>
  <c r="I64" i="17" a="1"/>
  <c r="I64" i="17" s="1"/>
  <c r="J64" i="17" s="1"/>
  <c r="I147" i="17" a="1"/>
  <c r="I147" i="17" s="1"/>
  <c r="J147" i="17" s="1"/>
  <c r="I131" i="17" a="1"/>
  <c r="I131" i="17" s="1"/>
  <c r="J131" i="17" s="1"/>
  <c r="I23" i="17" a="1"/>
  <c r="I23" i="17" s="1"/>
  <c r="J23" i="17" s="1"/>
  <c r="I135" i="17" a="1"/>
  <c r="I135" i="17" s="1"/>
  <c r="J135" i="17" s="1"/>
  <c r="I119" i="17" a="1"/>
  <c r="I119" i="17" s="1"/>
  <c r="J119" i="17" s="1"/>
  <c r="I79" i="17" a="1"/>
  <c r="I79" i="17" s="1"/>
  <c r="J79" i="17" s="1"/>
  <c r="I48" i="17" a="1"/>
  <c r="I48" i="17" s="1"/>
  <c r="J48" i="17" s="1"/>
  <c r="I20" i="17" a="1"/>
  <c r="I20" i="17" s="1"/>
  <c r="J20" i="17" s="1"/>
  <c r="I82" i="17" a="1"/>
  <c r="I82" i="17" s="1"/>
  <c r="J82" i="17" s="1"/>
  <c r="I133" i="17" a="1"/>
  <c r="I133" i="17" s="1"/>
  <c r="J133" i="17" s="1"/>
  <c r="I149" i="17" a="1"/>
  <c r="I149" i="17" s="1"/>
  <c r="J149" i="17" s="1"/>
  <c r="I106" i="17" a="1"/>
  <c r="I106" i="17" s="1"/>
  <c r="J106" i="17" s="1"/>
  <c r="I96" i="17" a="1"/>
  <c r="I96" i="17" s="1"/>
  <c r="J96" i="17" s="1"/>
  <c r="I105" i="17" a="1"/>
  <c r="I105" i="17" s="1"/>
  <c r="J105" i="17" s="1"/>
  <c r="I32" i="17" a="1"/>
  <c r="I32" i="17" s="1"/>
  <c r="J32" i="17" s="1"/>
  <c r="I148" i="17" a="1"/>
  <c r="I148" i="17" s="1"/>
  <c r="J148" i="17" s="1"/>
  <c r="I40" i="17" a="1"/>
  <c r="I40" i="17" s="1"/>
  <c r="J40" i="17" s="1"/>
  <c r="I55" i="17" a="1"/>
  <c r="I55" i="17" s="1"/>
  <c r="J55" i="17" s="1"/>
  <c r="I144" i="17" a="1"/>
  <c r="I144" i="17" s="1"/>
  <c r="J144" i="17" s="1"/>
  <c r="I61" i="17" a="1"/>
  <c r="I61" i="17" s="1"/>
  <c r="J61" i="17" s="1"/>
  <c r="I127" i="17" a="1"/>
  <c r="I127" i="17" s="1"/>
  <c r="J127" i="17" s="1"/>
  <c r="I34" i="17" a="1"/>
  <c r="I34" i="17" s="1"/>
  <c r="J34" i="17" s="1"/>
  <c r="I45" i="17" a="1"/>
  <c r="I45" i="17" s="1"/>
  <c r="J45" i="17" s="1"/>
  <c r="I90" i="17" a="1"/>
  <c r="I90" i="17" s="1"/>
  <c r="J90" i="17" s="1"/>
  <c r="I92" i="17" a="1"/>
  <c r="I92" i="17" s="1"/>
  <c r="J92" i="17" s="1"/>
  <c r="I70" i="17" a="1"/>
  <c r="I70" i="17" s="1"/>
  <c r="J70" i="17" s="1"/>
  <c r="I56" i="17" a="1"/>
  <c r="I56" i="17" s="1"/>
  <c r="J56" i="17" s="1"/>
  <c r="I22" i="17" a="1"/>
  <c r="I22" i="17" s="1"/>
  <c r="I52" i="17" a="1"/>
  <c r="I52" i="17" s="1"/>
  <c r="J52" i="17" s="1"/>
  <c r="I77" i="17" a="1"/>
  <c r="I77" i="17" s="1"/>
  <c r="J77" i="17" s="1"/>
  <c r="I18" i="17" a="1"/>
  <c r="I18" i="17" s="1"/>
  <c r="I35" i="17" a="1"/>
  <c r="I35" i="17" s="1"/>
  <c r="I124" i="17" a="1"/>
  <c r="I124" i="17" s="1"/>
  <c r="J124" i="17" s="1"/>
  <c r="I74" i="17" a="1"/>
  <c r="I74" i="17" s="1"/>
  <c r="J74" i="17" s="1"/>
  <c r="I112" i="17" a="1"/>
  <c r="I112" i="17" s="1"/>
  <c r="J112" i="17" s="1"/>
  <c r="I36" i="17" a="1"/>
  <c r="I36" i="17" s="1"/>
  <c r="J36" i="17" s="1"/>
  <c r="I83" i="17" a="1"/>
  <c r="I83" i="17" s="1"/>
  <c r="J83" i="17" s="1"/>
  <c r="I137" i="17" a="1"/>
  <c r="I137" i="17" s="1"/>
  <c r="J137" i="17" s="1"/>
  <c r="I93" i="17" a="1"/>
  <c r="I93" i="17" s="1"/>
  <c r="J93" i="17" s="1"/>
  <c r="I139" i="17" a="1"/>
  <c r="I139" i="17" s="1"/>
  <c r="J139" i="17" s="1"/>
  <c r="I53" i="17" a="1"/>
  <c r="I53" i="17" s="1"/>
  <c r="J53" i="17" s="1"/>
  <c r="I85" i="17" a="1"/>
  <c r="I85" i="17" s="1"/>
  <c r="J85" i="17" s="1"/>
  <c r="I129" i="17" a="1"/>
  <c r="I129" i="17" s="1"/>
  <c r="J129" i="17" s="1"/>
  <c r="I116" i="17" a="1"/>
  <c r="I116" i="17" s="1"/>
  <c r="J116" i="17" s="1"/>
  <c r="I97" i="17" a="1"/>
  <c r="I97" i="17" s="1"/>
  <c r="J97" i="17" s="1"/>
  <c r="I99" i="17" a="1"/>
  <c r="I99" i="17" s="1"/>
  <c r="J99" i="17" s="1"/>
  <c r="I72" i="17" a="1"/>
  <c r="I72" i="17" s="1"/>
  <c r="J72" i="17" s="1"/>
  <c r="I31" i="17" a="1"/>
  <c r="I31" i="17" s="1"/>
  <c r="J31" i="17" s="1"/>
  <c r="I15" i="17" a="1"/>
  <c r="I15" i="17" s="1"/>
  <c r="J15" i="17" s="1"/>
  <c r="I42" i="17" a="1"/>
  <c r="I42" i="17" s="1"/>
  <c r="I54" i="17" a="1"/>
  <c r="I54" i="17" s="1"/>
  <c r="I107" i="17" a="1"/>
  <c r="I107" i="17" s="1"/>
  <c r="I115" i="17" a="1"/>
  <c r="I115" i="17" s="1"/>
  <c r="J115" i="17" s="1"/>
  <c r="I65" i="17" a="1"/>
  <c r="I65" i="17" s="1"/>
  <c r="J65" i="17" s="1"/>
  <c r="I89" i="17" a="1"/>
  <c r="I89" i="17" s="1"/>
  <c r="J89" i="17" s="1"/>
  <c r="I69" i="17" a="1"/>
  <c r="I69" i="17" s="1"/>
  <c r="J69" i="17" s="1"/>
  <c r="I49" i="17" a="1"/>
  <c r="I49" i="17" s="1"/>
  <c r="J49" i="17" s="1"/>
  <c r="I111" i="17" a="1"/>
  <c r="I111" i="17" s="1"/>
  <c r="J111" i="17" s="1"/>
  <c r="I41" i="17" a="1"/>
  <c r="I41" i="17" s="1"/>
  <c r="J41" i="17" s="1"/>
  <c r="I28" i="17" a="1"/>
  <c r="I28" i="17" s="1"/>
  <c r="I132" i="17" a="1"/>
  <c r="I132" i="17" s="1"/>
  <c r="J132" i="17" s="1"/>
  <c r="I142" i="17" a="1"/>
  <c r="I142" i="17" s="1"/>
  <c r="J142" i="17" s="1"/>
  <c r="I151" i="17" a="1"/>
  <c r="I151" i="17" s="1"/>
  <c r="J151" i="17" s="1"/>
  <c r="I136" i="17" a="1"/>
  <c r="I136" i="17" s="1"/>
  <c r="J136" i="17" s="1"/>
  <c r="I43" i="17" a="1"/>
  <c r="I43" i="17" s="1"/>
  <c r="J43" i="17" s="1"/>
  <c r="I101" i="17" a="1"/>
  <c r="I101" i="17" s="1"/>
  <c r="J101" i="17" s="1"/>
  <c r="I102" i="17" a="1"/>
  <c r="I102" i="17" s="1"/>
  <c r="J102" i="17" s="1"/>
  <c r="I146" i="17" a="1"/>
  <c r="I146" i="17" s="1"/>
  <c r="J146" i="17" s="1"/>
  <c r="I109" i="17" a="1"/>
  <c r="I109" i="17" s="1"/>
  <c r="J109" i="17" s="1"/>
  <c r="I19" i="17" a="1"/>
  <c r="I19" i="17" s="1"/>
  <c r="I68" i="17" a="1"/>
  <c r="I68" i="17" s="1"/>
  <c r="J68" i="17" s="1"/>
  <c r="I120" i="17" a="1"/>
  <c r="I120" i="17" s="1"/>
  <c r="J120" i="17" s="1"/>
  <c r="I81" i="17" a="1"/>
  <c r="I81" i="17" s="1"/>
  <c r="J81" i="17" s="1"/>
  <c r="I128" i="17" a="1"/>
  <c r="I128" i="17" s="1"/>
  <c r="J128" i="17" s="1"/>
  <c r="I25" i="17" a="1"/>
  <c r="I25" i="17" s="1"/>
  <c r="J25" i="17" s="1"/>
  <c r="I59" i="17" a="1"/>
  <c r="I59" i="17" s="1"/>
  <c r="J59" i="17" s="1"/>
  <c r="I150" i="17" a="1"/>
  <c r="I150" i="17" s="1"/>
  <c r="J150" i="17" s="1"/>
  <c r="I50" i="17" a="1"/>
  <c r="I50" i="17" s="1"/>
  <c r="J50" i="17" s="1"/>
  <c r="I58" i="17" a="1"/>
  <c r="I58" i="17" s="1"/>
  <c r="J58" i="17" s="1"/>
  <c r="I123" i="17" a="1"/>
  <c r="I123" i="17" s="1"/>
  <c r="J123" i="17" s="1"/>
  <c r="I84" i="17" a="1"/>
  <c r="I84" i="17" s="1"/>
  <c r="J84" i="17" s="1"/>
  <c r="I76" i="17" a="1"/>
  <c r="I76" i="17" s="1"/>
  <c r="J76" i="17" s="1"/>
  <c r="I138" i="17" a="1"/>
  <c r="I138" i="17" s="1"/>
  <c r="J138" i="17" s="1"/>
  <c r="I126" i="17" a="1"/>
  <c r="I126" i="17" s="1"/>
  <c r="J126" i="17" s="1"/>
  <c r="I145" i="17" a="1"/>
  <c r="I145" i="17" s="1"/>
  <c r="J145" i="17" s="1"/>
  <c r="I86" i="17" a="1"/>
  <c r="I86" i="17" s="1"/>
  <c r="J86" i="17" s="1"/>
  <c r="I29" i="17" a="1"/>
  <c r="I29" i="17" s="1"/>
  <c r="J29" i="17" s="1"/>
  <c r="I12" i="17" a="1"/>
  <c r="I12" i="17" s="1"/>
  <c r="J12" i="17" s="1"/>
  <c r="I88" i="17" a="1"/>
  <c r="I88" i="17" s="1"/>
  <c r="J88" i="17" s="1"/>
  <c r="I26" i="17" a="1"/>
  <c r="I26" i="17" s="1"/>
  <c r="I94" i="17" a="1"/>
  <c r="I94" i="17" s="1"/>
  <c r="J94" i="17" s="1"/>
  <c r="I100" i="17" a="1"/>
  <c r="I100" i="17" s="1"/>
  <c r="J100" i="17" s="1"/>
  <c r="I110" i="17" a="1"/>
  <c r="I110" i="17" s="1"/>
  <c r="J110" i="17" s="1"/>
  <c r="I24" i="17" a="1"/>
  <c r="I24" i="17" s="1"/>
  <c r="J24" i="17" s="1"/>
  <c r="I118" i="17" a="1"/>
  <c r="I118" i="17" s="1"/>
  <c r="J118" i="17" s="1"/>
  <c r="I113" i="17" a="1"/>
  <c r="I113" i="17" s="1"/>
  <c r="J113" i="17" s="1"/>
  <c r="I75" i="17" a="1"/>
  <c r="I75" i="17" s="1"/>
  <c r="J75" i="17" s="1"/>
  <c r="I71" i="17" a="1"/>
  <c r="I71" i="17" s="1"/>
  <c r="J71" i="17" s="1"/>
  <c r="I37" i="17" a="1"/>
  <c r="I37" i="17" s="1"/>
  <c r="J37" i="17" s="1"/>
  <c r="I113" i="16" a="1"/>
  <c r="I113" i="16" s="1"/>
  <c r="J113" i="16" s="1"/>
  <c r="I91" i="16" a="1"/>
  <c r="I91" i="16" s="1"/>
  <c r="J91" i="16" s="1"/>
  <c r="I148" i="16" a="1"/>
  <c r="I148" i="16" s="1"/>
  <c r="J148" i="16" s="1"/>
  <c r="I135" i="16" a="1"/>
  <c r="I135" i="16" s="1"/>
  <c r="J135" i="16" s="1"/>
  <c r="I90" i="16" a="1"/>
  <c r="I90" i="16" s="1"/>
  <c r="J90" i="16" s="1"/>
  <c r="I77" i="16" a="1"/>
  <c r="I77" i="16" s="1"/>
  <c r="J77" i="16" s="1"/>
  <c r="I53" i="16" a="1"/>
  <c r="I53" i="16" s="1"/>
  <c r="J53" i="16" s="1"/>
  <c r="I21" i="16" a="1"/>
  <c r="I21" i="16" s="1"/>
  <c r="J21" i="16" s="1"/>
  <c r="I120" i="16" a="1"/>
  <c r="I120" i="16" s="1"/>
  <c r="J120" i="16" s="1"/>
  <c r="I24" i="16" a="1"/>
  <c r="I24" i="16" s="1"/>
  <c r="J24" i="16" s="1"/>
  <c r="I139" i="16" a="1"/>
  <c r="I139" i="16" s="1"/>
  <c r="J139" i="16" s="1"/>
  <c r="I63" i="16" a="1"/>
  <c r="I63" i="16" s="1"/>
  <c r="J63" i="16" s="1"/>
  <c r="I110" i="16" a="1"/>
  <c r="I110" i="16" s="1"/>
  <c r="J110" i="16" s="1"/>
  <c r="I133" i="16" a="1"/>
  <c r="I133" i="16" s="1"/>
  <c r="J133" i="16" s="1"/>
  <c r="I89" i="16" a="1"/>
  <c r="I89" i="16" s="1"/>
  <c r="J89" i="16" s="1"/>
  <c r="I49" i="16" a="1"/>
  <c r="I49" i="16" s="1"/>
  <c r="J49" i="16" s="1"/>
  <c r="I40" i="16" a="1"/>
  <c r="I40" i="16" s="1"/>
  <c r="J40" i="16" s="1"/>
  <c r="I86" i="16" a="1"/>
  <c r="I86" i="16" s="1"/>
  <c r="J86" i="16" s="1"/>
  <c r="I121" i="16" a="1"/>
  <c r="I121" i="16" s="1"/>
  <c r="J121" i="16" s="1"/>
  <c r="I142" i="16" a="1"/>
  <c r="I142" i="16" s="1"/>
  <c r="J142" i="16" s="1"/>
  <c r="I95" i="16" a="1"/>
  <c r="I95" i="16" s="1"/>
  <c r="J95" i="16" s="1"/>
  <c r="I98" i="16" a="1"/>
  <c r="I98" i="16" s="1"/>
  <c r="J98" i="16" s="1"/>
  <c r="I52" i="16" a="1"/>
  <c r="I52" i="16" s="1"/>
  <c r="J52" i="16" s="1"/>
  <c r="I130" i="16" a="1"/>
  <c r="I130" i="16" s="1"/>
  <c r="J130" i="16" s="1"/>
  <c r="I115" i="16" a="1"/>
  <c r="I115" i="16" s="1"/>
  <c r="J115" i="16" s="1"/>
  <c r="I97" i="16" a="1"/>
  <c r="I97" i="16" s="1"/>
  <c r="J97" i="16" s="1"/>
  <c r="I101" i="16" a="1"/>
  <c r="I101" i="16" s="1"/>
  <c r="J101" i="16" s="1"/>
  <c r="I147" i="16" a="1"/>
  <c r="I147" i="16" s="1"/>
  <c r="J147" i="16" s="1"/>
  <c r="I70" i="16" a="1"/>
  <c r="I70" i="16" s="1"/>
  <c r="J70" i="16" s="1"/>
  <c r="I117" i="16" a="1"/>
  <c r="I117" i="16" s="1"/>
  <c r="J117" i="16" s="1"/>
  <c r="I143" i="16" a="1"/>
  <c r="I143" i="16" s="1"/>
  <c r="J143" i="16" s="1"/>
  <c r="I103" i="16" a="1"/>
  <c r="I103" i="16" s="1"/>
  <c r="J103" i="16" s="1"/>
  <c r="I79" i="16" a="1"/>
  <c r="I79" i="16" s="1"/>
  <c r="J79" i="16" s="1"/>
  <c r="I116" i="16" a="1"/>
  <c r="I116" i="16" s="1"/>
  <c r="J116" i="16" s="1"/>
  <c r="I146" i="16" a="1"/>
  <c r="I146" i="16" s="1"/>
  <c r="J146" i="16" s="1"/>
  <c r="I62" i="16" a="1"/>
  <c r="I62" i="16" s="1"/>
  <c r="J62" i="16" s="1"/>
  <c r="I18" i="16" a="1"/>
  <c r="I18" i="16" s="1"/>
  <c r="J18" i="16" s="1"/>
  <c r="I68" i="16" a="1"/>
  <c r="I68" i="16" s="1"/>
  <c r="J68" i="16" s="1"/>
  <c r="I61" i="16" a="1"/>
  <c r="I61" i="16" s="1"/>
  <c r="J61" i="16" s="1"/>
  <c r="I15" i="16" a="1"/>
  <c r="I15" i="16" s="1"/>
  <c r="I150" i="16" a="1"/>
  <c r="I150" i="16" s="1"/>
  <c r="J150" i="16" s="1"/>
  <c r="I84" i="16" a="1"/>
  <c r="I84" i="16" s="1"/>
  <c r="J84" i="16" s="1"/>
  <c r="I35" i="16" a="1"/>
  <c r="I35" i="16" s="1"/>
  <c r="J35" i="16" s="1"/>
  <c r="I134" i="16" a="1"/>
  <c r="I134" i="16" s="1"/>
  <c r="J134" i="16" s="1"/>
  <c r="I71" i="16" a="1"/>
  <c r="I71" i="16" s="1"/>
  <c r="J71" i="16" s="1"/>
  <c r="I16" i="16" a="1"/>
  <c r="I16" i="16" s="1"/>
  <c r="J16" i="16" s="1"/>
  <c r="I107" i="16" a="1"/>
  <c r="I107" i="16" s="1"/>
  <c r="J107" i="16" s="1"/>
  <c r="I118" i="16" a="1"/>
  <c r="I118" i="16" s="1"/>
  <c r="J118" i="16" s="1"/>
  <c r="I102" i="16" a="1"/>
  <c r="I102" i="16" s="1"/>
  <c r="J102" i="16" s="1"/>
  <c r="I37" i="16" a="1"/>
  <c r="I37" i="16" s="1"/>
  <c r="J37" i="16" s="1"/>
  <c r="I80" i="16" a="1"/>
  <c r="I80" i="16" s="1"/>
  <c r="J80" i="16" s="1"/>
  <c r="I83" i="16" a="1"/>
  <c r="I83" i="16" s="1"/>
  <c r="J83" i="16" s="1"/>
  <c r="I32" i="16" a="1"/>
  <c r="I32" i="16" s="1"/>
  <c r="J32" i="16" s="1"/>
  <c r="I41" i="16" a="1"/>
  <c r="I41" i="16" s="1"/>
  <c r="J41" i="16" s="1"/>
  <c r="I25" i="16" a="1"/>
  <c r="I25" i="16" s="1"/>
  <c r="J25" i="16" s="1"/>
  <c r="I36" i="16" a="1"/>
  <c r="I36" i="16" s="1"/>
  <c r="I129" i="16" a="1"/>
  <c r="I129" i="16" s="1"/>
  <c r="J129" i="16" s="1"/>
  <c r="I58" i="16" a="1"/>
  <c r="I58" i="16" s="1"/>
  <c r="J58" i="16" s="1"/>
  <c r="I137" i="16" a="1"/>
  <c r="I137" i="16" s="1"/>
  <c r="J137" i="16" s="1"/>
  <c r="I145" i="16" a="1"/>
  <c r="I145" i="16" s="1"/>
  <c r="J145" i="16" s="1"/>
  <c r="I39" i="16" a="1"/>
  <c r="I39" i="16" s="1"/>
  <c r="J39" i="16" s="1"/>
  <c r="I28" i="16" a="1"/>
  <c r="I28" i="16" s="1"/>
  <c r="J28" i="16" s="1"/>
  <c r="I99" i="16" a="1"/>
  <c r="I99" i="16" s="1"/>
  <c r="J99" i="16" s="1"/>
  <c r="I132" i="16" a="1"/>
  <c r="I132" i="16" s="1"/>
  <c r="J132" i="16" s="1"/>
  <c r="I22" i="16" a="1"/>
  <c r="I22" i="16" s="1"/>
  <c r="J22" i="16" s="1"/>
  <c r="I151" i="16" a="1"/>
  <c r="I151" i="16" s="1"/>
  <c r="J151" i="16" s="1"/>
  <c r="I144" i="16" a="1"/>
  <c r="I144" i="16" s="1"/>
  <c r="J144" i="16" s="1"/>
  <c r="I69" i="16" a="1"/>
  <c r="I69" i="16" s="1"/>
  <c r="J69" i="16" s="1"/>
  <c r="I138" i="16" a="1"/>
  <c r="I138" i="16" s="1"/>
  <c r="J138" i="16" s="1"/>
  <c r="I74" i="16" a="1"/>
  <c r="I74" i="16" s="1"/>
  <c r="J74" i="16" s="1"/>
  <c r="I38" i="16" a="1"/>
  <c r="I38" i="16" s="1"/>
  <c r="J38" i="16" s="1"/>
  <c r="I13" i="16" a="1"/>
  <c r="I13" i="16" s="1"/>
  <c r="I141" i="16" a="1"/>
  <c r="I141" i="16" s="1"/>
  <c r="J141" i="16" s="1"/>
  <c r="I73" i="16" a="1"/>
  <c r="I73" i="16" s="1"/>
  <c r="J73" i="16" s="1"/>
  <c r="I106" i="16" a="1"/>
  <c r="I106" i="16" s="1"/>
  <c r="J106" i="16" s="1"/>
  <c r="I136" i="16" a="1"/>
  <c r="I136" i="16" s="1"/>
  <c r="J136" i="16" s="1"/>
  <c r="I64" i="16" a="1"/>
  <c r="I64" i="16" s="1"/>
  <c r="J64" i="16" s="1"/>
  <c r="I42" i="16" a="1"/>
  <c r="I42" i="16" s="1"/>
  <c r="J42" i="16" s="1"/>
  <c r="I23" i="16" a="1"/>
  <c r="I23" i="16" s="1"/>
  <c r="J23" i="16" s="1"/>
  <c r="I47" i="16" a="1"/>
  <c r="I47" i="16" s="1"/>
  <c r="J47" i="16" s="1"/>
  <c r="I76" i="16" a="1"/>
  <c r="I76" i="16" s="1"/>
  <c r="J76" i="16" s="1"/>
  <c r="I12" i="16" a="1"/>
  <c r="I12" i="16" s="1"/>
  <c r="I29" i="16" a="1"/>
  <c r="I29" i="16" s="1"/>
  <c r="I19" i="16" a="1"/>
  <c r="I19" i="16" s="1"/>
  <c r="J19" i="16" s="1"/>
  <c r="I128" i="16" a="1"/>
  <c r="I128" i="16" s="1"/>
  <c r="J128" i="16" s="1"/>
  <c r="I43" i="16" a="1"/>
  <c r="I43" i="16" s="1"/>
  <c r="J43" i="16" s="1"/>
  <c r="I96" i="16" a="1"/>
  <c r="I96" i="16" s="1"/>
  <c r="J96" i="16" s="1"/>
  <c r="I66" i="16" a="1"/>
  <c r="I66" i="16" s="1"/>
  <c r="J66" i="16" s="1"/>
  <c r="I93" i="16" a="1"/>
  <c r="I93" i="16" s="1"/>
  <c r="J93" i="16" s="1"/>
  <c r="I105" i="16" a="1"/>
  <c r="I105" i="16" s="1"/>
  <c r="J105" i="16" s="1"/>
  <c r="I57" i="16" a="1"/>
  <c r="I57" i="16" s="1"/>
  <c r="J57" i="16" s="1"/>
  <c r="I14" i="16" a="1"/>
  <c r="I14" i="16" s="1"/>
  <c r="I45" i="16" a="1"/>
  <c r="I45" i="16" s="1"/>
  <c r="J45" i="16" s="1"/>
  <c r="I131" i="16" a="1"/>
  <c r="I131" i="16" s="1"/>
  <c r="J131" i="16" s="1"/>
  <c r="I55" i="16" a="1"/>
  <c r="I55" i="16" s="1"/>
  <c r="J55" i="16" s="1"/>
  <c r="I20" i="16" a="1"/>
  <c r="I20" i="16" s="1"/>
  <c r="J20" i="16" s="1"/>
  <c r="I108" i="16" a="1"/>
  <c r="I108" i="16" s="1"/>
  <c r="J108" i="16" s="1"/>
  <c r="I44" i="16" a="1"/>
  <c r="I44" i="16" s="1"/>
  <c r="J44" i="16" s="1"/>
  <c r="I85" i="16" a="1"/>
  <c r="I85" i="16" s="1"/>
  <c r="J85" i="16" s="1"/>
  <c r="I56" i="16" a="1"/>
  <c r="I56" i="16" s="1"/>
  <c r="J56" i="16" s="1"/>
  <c r="I114" i="16" a="1"/>
  <c r="I114" i="16" s="1"/>
  <c r="J114" i="16" s="1"/>
  <c r="I100" i="16" a="1"/>
  <c r="I100" i="16" s="1"/>
  <c r="J100" i="16" s="1"/>
  <c r="I119" i="16" a="1"/>
  <c r="I119" i="16" s="1"/>
  <c r="J119" i="16" s="1"/>
  <c r="I149" i="16" a="1"/>
  <c r="I149" i="16" s="1"/>
  <c r="J149" i="16" s="1"/>
  <c r="I82" i="16" a="1"/>
  <c r="I82" i="16" s="1"/>
  <c r="J82" i="16" s="1"/>
  <c r="I31" i="16" a="1"/>
  <c r="I31" i="16" s="1"/>
  <c r="J31" i="16" s="1"/>
  <c r="I140" i="16" a="1"/>
  <c r="I140" i="16" s="1"/>
  <c r="J140" i="16" s="1"/>
  <c r="I111" i="16" a="1"/>
  <c r="I111" i="16" s="1"/>
  <c r="J111" i="16" s="1"/>
  <c r="I126" i="16" a="1"/>
  <c r="I126" i="16" s="1"/>
  <c r="J126" i="16" s="1"/>
  <c r="I50" i="16" a="1"/>
  <c r="I50" i="16" s="1"/>
  <c r="J50" i="16" s="1"/>
  <c r="I122" i="16" a="1"/>
  <c r="I122" i="16" s="1"/>
  <c r="J122" i="16" s="1"/>
  <c r="I60" i="16" a="1"/>
  <c r="I60" i="16" s="1"/>
  <c r="J60" i="16" s="1"/>
  <c r="I124" i="16" a="1"/>
  <c r="I124" i="16" s="1"/>
  <c r="J124" i="16" s="1"/>
  <c r="I75" i="16" a="1"/>
  <c r="I75" i="16" s="1"/>
  <c r="J75" i="16" s="1"/>
  <c r="I26" i="16" a="1"/>
  <c r="I26" i="16" s="1"/>
  <c r="I123" i="16" a="1"/>
  <c r="I123" i="16" s="1"/>
  <c r="J123" i="16" s="1"/>
  <c r="I87" i="16" a="1"/>
  <c r="I87" i="16" s="1"/>
  <c r="J87" i="16" s="1"/>
  <c r="I72" i="16" a="1"/>
  <c r="I72" i="16" s="1"/>
  <c r="J72" i="16" s="1"/>
  <c r="I127" i="16" a="1"/>
  <c r="I127" i="16" s="1"/>
  <c r="J127" i="16" s="1"/>
  <c r="I11" i="16" a="1"/>
  <c r="I11" i="16" s="1"/>
  <c r="I51" i="16" a="1"/>
  <c r="I51" i="16" s="1"/>
  <c r="I125" i="16" a="1"/>
  <c r="I125" i="16" s="1"/>
  <c r="J125" i="16" s="1"/>
  <c r="I78" i="16" a="1"/>
  <c r="I78" i="16" s="1"/>
  <c r="J78" i="16" s="1"/>
  <c r="I88" i="16" a="1"/>
  <c r="I88" i="16" s="1"/>
  <c r="J88" i="16" s="1"/>
  <c r="I17" i="16" a="1"/>
  <c r="I17" i="16" s="1"/>
  <c r="J17" i="16" s="1"/>
  <c r="I34" i="16" a="1"/>
  <c r="I34" i="16" s="1"/>
  <c r="I54" i="16" a="1"/>
  <c r="I54" i="16" s="1"/>
  <c r="J54" i="16" s="1"/>
  <c r="I48" i="16" a="1"/>
  <c r="I48" i="16" s="1"/>
  <c r="J48" i="16" s="1"/>
  <c r="I65" i="16" a="1"/>
  <c r="I65" i="16" s="1"/>
  <c r="J65" i="16" s="1"/>
  <c r="I104" i="16" a="1"/>
  <c r="I104" i="16" s="1"/>
  <c r="J104" i="16" s="1"/>
  <c r="I92" i="16" a="1"/>
  <c r="I92" i="16" s="1"/>
  <c r="J92" i="16" s="1"/>
  <c r="I67" i="16" a="1"/>
  <c r="I67" i="16" s="1"/>
  <c r="J67" i="16" s="1"/>
  <c r="I27" i="16" a="1"/>
  <c r="I27" i="16" s="1"/>
  <c r="J27" i="16" s="1"/>
  <c r="I94" i="16" a="1"/>
  <c r="I94" i="16" s="1"/>
  <c r="J94" i="16" s="1"/>
  <c r="I81" i="16" a="1"/>
  <c r="I81" i="16" s="1"/>
  <c r="J81" i="16" s="1"/>
  <c r="I112" i="16" a="1"/>
  <c r="I112" i="16" s="1"/>
  <c r="J112" i="16" s="1"/>
  <c r="I30" i="16" a="1"/>
  <c r="I30" i="16" s="1"/>
  <c r="J30" i="16" s="1"/>
  <c r="I33" i="16" a="1"/>
  <c r="I33" i="16" s="1"/>
  <c r="J33" i="16" s="1"/>
  <c r="I59" i="16" a="1"/>
  <c r="I59" i="16" s="1"/>
  <c r="J59" i="16" s="1"/>
  <c r="I46" i="16" a="1"/>
  <c r="I46" i="16" s="1"/>
  <c r="J46" i="16" s="1"/>
  <c r="I109" i="16" a="1"/>
  <c r="I109" i="16" s="1"/>
  <c r="J109" i="16" s="1"/>
  <c r="I146" i="4" a="1"/>
  <c r="I146" i="4" s="1"/>
  <c r="I106" i="4" a="1"/>
  <c r="I106" i="4" s="1"/>
  <c r="I86" i="4" a="1"/>
  <c r="I86" i="4" s="1"/>
  <c r="I66" i="4" a="1"/>
  <c r="I66" i="4" s="1"/>
  <c r="I46" i="4" a="1"/>
  <c r="I46" i="4" s="1"/>
  <c r="I26" i="4" a="1"/>
  <c r="I26" i="4" s="1"/>
  <c r="I121" i="4" a="1"/>
  <c r="I121" i="4" s="1"/>
  <c r="I41" i="4" a="1"/>
  <c r="I41" i="4" s="1"/>
  <c r="I76" i="4" a="1"/>
  <c r="I76" i="4" s="1"/>
  <c r="I135" i="4" a="1"/>
  <c r="I135" i="4" s="1"/>
  <c r="I74" i="4" a="1"/>
  <c r="I74" i="4" s="1"/>
  <c r="I73" i="4" a="1"/>
  <c r="I73" i="4" s="1"/>
  <c r="I33" i="4" a="1"/>
  <c r="I33" i="4" s="1"/>
  <c r="I112" i="4" a="1"/>
  <c r="I112" i="4" s="1"/>
  <c r="I32" i="4" a="1"/>
  <c r="I32" i="4" s="1"/>
  <c r="I111" i="4" a="1"/>
  <c r="I111" i="4" s="1"/>
  <c r="I71" i="4" a="1"/>
  <c r="I71" i="4" s="1"/>
  <c r="I110" i="4" a="1"/>
  <c r="I110" i="4" s="1"/>
  <c r="I69" i="4" a="1"/>
  <c r="I69" i="4" s="1"/>
  <c r="I108" i="4" a="1"/>
  <c r="I108" i="4" s="1"/>
  <c r="I48" i="4" a="1"/>
  <c r="I48" i="4" s="1"/>
  <c r="I87" i="4" a="1"/>
  <c r="I87" i="4" s="1"/>
  <c r="I27" i="4" a="1"/>
  <c r="I27" i="4" s="1"/>
  <c r="I145" i="4" a="1"/>
  <c r="I145" i="4" s="1"/>
  <c r="I105" i="4" a="1"/>
  <c r="I105" i="4" s="1"/>
  <c r="I85" i="4" a="1"/>
  <c r="I85" i="4" s="1"/>
  <c r="I65" i="4" a="1"/>
  <c r="I65" i="4" s="1"/>
  <c r="I45" i="4" a="1"/>
  <c r="I45" i="4" s="1"/>
  <c r="I25" i="4" a="1"/>
  <c r="I25" i="4" s="1"/>
  <c r="I81" i="4" a="1"/>
  <c r="I81" i="4" s="1"/>
  <c r="I100" i="4" a="1"/>
  <c r="I100" i="4" s="1"/>
  <c r="I40" i="4" a="1"/>
  <c r="I40" i="4" s="1"/>
  <c r="I96" i="4" a="1"/>
  <c r="I96" i="4" s="1"/>
  <c r="I115" i="4" a="1"/>
  <c r="I115" i="4" s="1"/>
  <c r="I35" i="4" a="1"/>
  <c r="I35" i="4" s="1"/>
  <c r="I114" i="4" a="1"/>
  <c r="I114" i="4" s="1"/>
  <c r="I133" i="4" a="1"/>
  <c r="I133" i="4" s="1"/>
  <c r="I72" i="4" a="1"/>
  <c r="I72" i="4" s="1"/>
  <c r="I151" i="4" a="1"/>
  <c r="I151" i="4" s="1"/>
  <c r="I31" i="4" a="1"/>
  <c r="I31" i="4" s="1"/>
  <c r="I90" i="4" a="1"/>
  <c r="I90" i="4" s="1"/>
  <c r="I30" i="4" a="1"/>
  <c r="I30" i="4" s="1"/>
  <c r="I109" i="4" a="1"/>
  <c r="I109" i="4" s="1"/>
  <c r="I49" i="4" a="1"/>
  <c r="I49" i="4" s="1"/>
  <c r="I68" i="4" a="1"/>
  <c r="I68" i="4" s="1"/>
  <c r="I147" i="4" a="1"/>
  <c r="I147" i="4" s="1"/>
  <c r="I47" i="4" a="1"/>
  <c r="I47" i="4" s="1"/>
  <c r="I144" i="4" a="1"/>
  <c r="I144" i="4" s="1"/>
  <c r="I104" i="4" a="1"/>
  <c r="I104" i="4" s="1"/>
  <c r="I84" i="4" a="1"/>
  <c r="I84" i="4" s="1"/>
  <c r="I64" i="4" a="1"/>
  <c r="I64" i="4" s="1"/>
  <c r="I44" i="4" a="1"/>
  <c r="I44" i="4" s="1"/>
  <c r="I24" i="4" a="1"/>
  <c r="I24" i="4" s="1"/>
  <c r="I101" i="4" a="1"/>
  <c r="I101" i="4" s="1"/>
  <c r="I120" i="4" a="1"/>
  <c r="I120" i="4" s="1"/>
  <c r="I60" i="4" a="1"/>
  <c r="I60" i="4" s="1"/>
  <c r="I56" i="4" a="1"/>
  <c r="I56" i="4" s="1"/>
  <c r="I95" i="4" a="1"/>
  <c r="I95" i="4" s="1"/>
  <c r="I54" i="4" a="1"/>
  <c r="I54" i="4" s="1"/>
  <c r="I113" i="4" a="1"/>
  <c r="I113" i="4" s="1"/>
  <c r="I92" i="4" a="1"/>
  <c r="I92" i="4" s="1"/>
  <c r="I91" i="4" a="1"/>
  <c r="I91" i="4" s="1"/>
  <c r="I150" i="4" a="1"/>
  <c r="I150" i="4" s="1"/>
  <c r="I50" i="4" a="1"/>
  <c r="I50" i="4" s="1"/>
  <c r="I28" i="4" a="1"/>
  <c r="I28" i="4" s="1"/>
  <c r="I107" i="4" a="1"/>
  <c r="I107" i="4" s="1"/>
  <c r="I143" i="4" a="1"/>
  <c r="I143" i="4" s="1"/>
  <c r="I123" i="4" a="1"/>
  <c r="I123" i="4" s="1"/>
  <c r="I103" i="4" a="1"/>
  <c r="I103" i="4" s="1"/>
  <c r="I83" i="4" a="1"/>
  <c r="I83" i="4" s="1"/>
  <c r="I63" i="4" a="1"/>
  <c r="I63" i="4" s="1"/>
  <c r="I43" i="4" a="1"/>
  <c r="I43" i="4" s="1"/>
  <c r="I23" i="4" a="1"/>
  <c r="I23" i="4" s="1"/>
  <c r="I142" i="4" a="1"/>
  <c r="I142" i="4" s="1"/>
  <c r="I102" i="4" a="1"/>
  <c r="I102" i="4" s="1"/>
  <c r="I82" i="4" a="1"/>
  <c r="I82" i="4" s="1"/>
  <c r="I62" i="4" a="1"/>
  <c r="I62" i="4" s="1"/>
  <c r="I42" i="4" a="1"/>
  <c r="I42" i="4" s="1"/>
  <c r="I22" i="4" a="1"/>
  <c r="I22" i="4" s="1"/>
  <c r="I141" i="4" a="1"/>
  <c r="I141" i="4" s="1"/>
  <c r="I61" i="4" a="1"/>
  <c r="I61" i="4" s="1"/>
  <c r="I140" i="4" a="1"/>
  <c r="I140" i="4" s="1"/>
  <c r="I136" i="4" a="1"/>
  <c r="I136" i="4" s="1"/>
  <c r="I75" i="4" a="1"/>
  <c r="I75" i="4" s="1"/>
  <c r="I94" i="4" a="1"/>
  <c r="I94" i="4" s="1"/>
  <c r="I93" i="4" a="1"/>
  <c r="I93" i="4" s="1"/>
  <c r="I132" i="4" a="1"/>
  <c r="I132" i="4" s="1"/>
  <c r="I52" i="4" a="1"/>
  <c r="I52" i="4" s="1"/>
  <c r="I51" i="4" a="1"/>
  <c r="I51" i="4" s="1"/>
  <c r="I149" i="4" a="1"/>
  <c r="I149" i="4" s="1"/>
  <c r="I89" i="4" a="1"/>
  <c r="I89" i="4" s="1"/>
  <c r="I29" i="4" a="1"/>
  <c r="I29" i="4" s="1"/>
  <c r="I67" i="4" a="1"/>
  <c r="I67" i="4" s="1"/>
  <c r="I80" i="4" a="1"/>
  <c r="I80" i="4" s="1"/>
  <c r="I139" i="4" a="1"/>
  <c r="I139" i="4" s="1"/>
  <c r="I119" i="4" a="1"/>
  <c r="I119" i="4" s="1"/>
  <c r="I99" i="4" a="1"/>
  <c r="I99" i="4" s="1"/>
  <c r="I79" i="4" a="1"/>
  <c r="I79" i="4" s="1"/>
  <c r="I59" i="4" a="1"/>
  <c r="I59" i="4" s="1"/>
  <c r="I39" i="4" a="1"/>
  <c r="I39" i="4" s="1"/>
  <c r="I138" i="4" a="1"/>
  <c r="I138" i="4" s="1"/>
  <c r="I118" i="4" a="1"/>
  <c r="I118" i="4" s="1"/>
  <c r="I98" i="4" a="1"/>
  <c r="I98" i="4" s="1"/>
  <c r="I78" i="4" a="1"/>
  <c r="I78" i="4" s="1"/>
  <c r="I58" i="4" a="1"/>
  <c r="I58" i="4" s="1"/>
  <c r="I38" i="4" a="1"/>
  <c r="I38" i="4" s="1"/>
  <c r="I18" i="4" a="1"/>
  <c r="I18" i="4" s="1"/>
  <c r="I137" i="4" a="1"/>
  <c r="I137" i="4" s="1"/>
  <c r="I117" i="4" a="1"/>
  <c r="I117" i="4" s="1"/>
  <c r="I97" i="4" a="1"/>
  <c r="I97" i="4" s="1"/>
  <c r="I77" i="4" a="1"/>
  <c r="I77" i="4" s="1"/>
  <c r="I57" i="4" a="1"/>
  <c r="I57" i="4" s="1"/>
  <c r="I37" i="4" a="1"/>
  <c r="I37" i="4" s="1"/>
  <c r="I116" i="4" a="1"/>
  <c r="I116" i="4" s="1"/>
  <c r="I36" i="4" a="1"/>
  <c r="I36" i="4" s="1"/>
  <c r="I55" i="4" a="1"/>
  <c r="I55" i="4" s="1"/>
  <c r="I134" i="4" a="1"/>
  <c r="I134" i="4" s="1"/>
  <c r="I34" i="4" a="1"/>
  <c r="I34" i="4" s="1"/>
  <c r="I53" i="4" a="1"/>
  <c r="I53" i="4" s="1"/>
  <c r="I70" i="4" a="1"/>
  <c r="I70" i="4" s="1"/>
  <c r="I148" i="4" a="1"/>
  <c r="I148" i="4" s="1"/>
  <c r="I88" i="4" a="1"/>
  <c r="I88" i="4" s="1"/>
  <c r="F9" i="9"/>
  <c r="G9" i="9" s="1"/>
  <c r="F9" i="8"/>
  <c r="G9" i="8" s="1"/>
  <c r="G8" i="11"/>
  <c r="E10" i="11"/>
  <c r="G9" i="10"/>
  <c r="G8" i="10"/>
  <c r="G8" i="9"/>
  <c r="E10" i="9"/>
  <c r="G8" i="8"/>
  <c r="E10" i="8"/>
  <c r="E11" i="2"/>
  <c r="F10" i="2"/>
  <c r="TY6" i="15" l="1"/>
  <c r="TZ6" i="15" s="1"/>
  <c r="QW6" i="15"/>
  <c r="QX6" i="15" s="1"/>
  <c r="SO6" i="15"/>
  <c r="SP6" i="15" s="1"/>
  <c r="HN5" i="15"/>
  <c r="QT5" i="15"/>
  <c r="AC6" i="15"/>
  <c r="AD6" i="15" s="1"/>
  <c r="DA6" i="15"/>
  <c r="DA7" i="15" s="1"/>
  <c r="DB7" i="15" s="1"/>
  <c r="GX5" i="15"/>
  <c r="JN5" i="15"/>
  <c r="PJ5" i="15"/>
  <c r="FM6" i="15"/>
  <c r="FN6" i="15" s="1"/>
  <c r="GO6" i="15"/>
  <c r="GP6" i="15" s="1"/>
  <c r="PY6" i="15"/>
  <c r="PY7" i="15" s="1"/>
  <c r="PZ7" i="15" s="1"/>
  <c r="CO6" i="15"/>
  <c r="CP6" i="15" s="1"/>
  <c r="SG6" i="15"/>
  <c r="SH6" i="15" s="1"/>
  <c r="FU6" i="15"/>
  <c r="FV6" i="15" s="1"/>
  <c r="AO6" i="15"/>
  <c r="AP6" i="15" s="1"/>
  <c r="KP5" i="15"/>
  <c r="EG6" i="15"/>
  <c r="EH6" i="15" s="1"/>
  <c r="IC6" i="15"/>
  <c r="ID6" i="15" s="1"/>
  <c r="FF5" i="15"/>
  <c r="JA6" i="15"/>
  <c r="JB6" i="15" s="1"/>
  <c r="KO7" i="15"/>
  <c r="KP7" i="15" s="1"/>
  <c r="DQ6" i="15"/>
  <c r="DR6" i="15" s="1"/>
  <c r="LY6" i="15"/>
  <c r="LZ6" i="15" s="1"/>
  <c r="LQ6" i="15"/>
  <c r="LR6" i="15" s="1"/>
  <c r="DM6" i="15"/>
  <c r="DN6" i="15" s="1"/>
  <c r="TU6" i="15"/>
  <c r="TV6" i="15" s="1"/>
  <c r="MC6" i="15"/>
  <c r="MD6" i="15" s="1"/>
  <c r="QO6" i="15"/>
  <c r="QP6" i="15" s="1"/>
  <c r="GS6" i="15"/>
  <c r="GT6" i="15" s="1"/>
  <c r="BE7" i="15"/>
  <c r="BF7" i="15" s="1"/>
  <c r="SK6" i="15"/>
  <c r="SL6" i="15" s="1"/>
  <c r="AG7" i="15"/>
  <c r="AH7" i="15" s="1"/>
  <c r="LM6" i="15"/>
  <c r="LN6" i="15" s="1"/>
  <c r="OL5" i="15"/>
  <c r="JM7" i="15"/>
  <c r="JN7" i="15" s="1"/>
  <c r="RF5" i="15"/>
  <c r="BF5" i="15"/>
  <c r="EL5" i="15"/>
  <c r="CK6" i="15"/>
  <c r="CL6" i="15" s="1"/>
  <c r="KS6" i="15"/>
  <c r="KT6" i="15" s="1"/>
  <c r="U6" i="15"/>
  <c r="V6" i="15" s="1"/>
  <c r="JY6" i="15"/>
  <c r="JZ6" i="15" s="1"/>
  <c r="HY6" i="15"/>
  <c r="HY7" i="15" s="1"/>
  <c r="HZ7" i="15" s="1"/>
  <c r="LI7" i="15"/>
  <c r="LJ7" i="15" s="1"/>
  <c r="FY6" i="15"/>
  <c r="FZ6" i="15" s="1"/>
  <c r="HE6" i="15"/>
  <c r="HF6" i="15" s="1"/>
  <c r="RE7" i="15"/>
  <c r="RF7" i="15" s="1"/>
  <c r="KK7" i="15"/>
  <c r="KL7" i="15" s="1"/>
  <c r="IT5" i="15"/>
  <c r="PM6" i="15"/>
  <c r="PN6" i="15" s="1"/>
  <c r="IG7" i="15"/>
  <c r="IH7" i="15" s="1"/>
  <c r="UO7" i="15"/>
  <c r="UP7" i="15" s="1"/>
  <c r="PN5" i="15"/>
  <c r="RI7" i="15"/>
  <c r="RJ7" i="15" s="1"/>
  <c r="GW7" i="15"/>
  <c r="GX7" i="15" s="1"/>
  <c r="BI6" i="15"/>
  <c r="BJ6" i="15" s="1"/>
  <c r="E7" i="15"/>
  <c r="F7" i="15" s="1"/>
  <c r="MG6" i="15"/>
  <c r="MG7" i="15" s="1"/>
  <c r="MH7" i="15" s="1"/>
  <c r="HM7" i="15"/>
  <c r="HN7" i="15" s="1"/>
  <c r="OK7" i="15"/>
  <c r="OL7" i="15" s="1"/>
  <c r="BQ6" i="15"/>
  <c r="BQ7" i="15" s="1"/>
  <c r="BR7" i="15" s="1"/>
  <c r="PE7" i="15"/>
  <c r="PF7" i="15" s="1"/>
  <c r="HQ7" i="15"/>
  <c r="HR7" i="15" s="1"/>
  <c r="BU6" i="15"/>
  <c r="BV6" i="15" s="1"/>
  <c r="PF6" i="15"/>
  <c r="IS7" i="15"/>
  <c r="IT7" i="15" s="1"/>
  <c r="AL5" i="15"/>
  <c r="PI7" i="15"/>
  <c r="PJ7" i="15" s="1"/>
  <c r="BB5" i="15"/>
  <c r="NA6" i="15"/>
  <c r="NB6" i="15" s="1"/>
  <c r="KW6" i="15"/>
  <c r="KX5" i="15"/>
  <c r="QV8" i="15"/>
  <c r="UB8" i="15"/>
  <c r="JP8" i="15"/>
  <c r="TD8" i="15"/>
  <c r="LT8" i="15"/>
  <c r="SN8" i="15"/>
  <c r="EF8" i="15"/>
  <c r="SZ8" i="15"/>
  <c r="TE6" i="15"/>
  <c r="TF5" i="15"/>
  <c r="UG6" i="15"/>
  <c r="UH5" i="15"/>
  <c r="MR8" i="15"/>
  <c r="AN8" i="15"/>
  <c r="P8" i="15"/>
  <c r="KG6" i="15"/>
  <c r="KH5" i="15"/>
  <c r="TT8" i="15"/>
  <c r="PA6" i="15"/>
  <c r="PB5" i="15"/>
  <c r="DX8" i="15"/>
  <c r="FX8" i="15"/>
  <c r="UJ8" i="15"/>
  <c r="RX8" i="15"/>
  <c r="SS6" i="15"/>
  <c r="ST5" i="15"/>
  <c r="CR7" i="15"/>
  <c r="NE6" i="15"/>
  <c r="NF5" i="15"/>
  <c r="CB7" i="15"/>
  <c r="QN8" i="15"/>
  <c r="EZ8" i="15"/>
  <c r="MN8" i="15"/>
  <c r="IJ8" i="15"/>
  <c r="CG6" i="15"/>
  <c r="CH5" i="15"/>
  <c r="JU6" i="15"/>
  <c r="JV5" i="15"/>
  <c r="QC6" i="15"/>
  <c r="QD5" i="15"/>
  <c r="KV8" i="15"/>
  <c r="QR8" i="15"/>
  <c r="AZ8" i="15"/>
  <c r="HX8" i="15"/>
  <c r="HA6" i="15"/>
  <c r="HB5" i="15"/>
  <c r="BM6" i="15"/>
  <c r="BN5" i="15"/>
  <c r="LA6" i="15"/>
  <c r="LB5" i="15"/>
  <c r="AJ8" i="15"/>
  <c r="SB8" i="15"/>
  <c r="FD8" i="15"/>
  <c r="OF7" i="15"/>
  <c r="RA6" i="15"/>
  <c r="RB5" i="15"/>
  <c r="NI6" i="15"/>
  <c r="NJ5" i="15"/>
  <c r="ES6" i="15"/>
  <c r="ET5" i="15"/>
  <c r="AK7" i="15"/>
  <c r="AL7" i="15" s="1"/>
  <c r="OC6" i="15"/>
  <c r="OD5" i="15"/>
  <c r="JX8" i="15"/>
  <c r="H7" i="15"/>
  <c r="RT8" i="15"/>
  <c r="FQ6" i="15"/>
  <c r="FR5" i="15"/>
  <c r="BL8" i="15"/>
  <c r="BH8" i="15"/>
  <c r="EJ8" i="15"/>
  <c r="HH8" i="15"/>
  <c r="FL8" i="15"/>
  <c r="SV8" i="15"/>
  <c r="DP8" i="15"/>
  <c r="EN8" i="15"/>
  <c r="OS6" i="15"/>
  <c r="OT5" i="15"/>
  <c r="M6" i="15"/>
  <c r="N5" i="15"/>
  <c r="UF8" i="15"/>
  <c r="AS6" i="15"/>
  <c r="AT5" i="15"/>
  <c r="QK6" i="15"/>
  <c r="QL5" i="15"/>
  <c r="DL8" i="15"/>
  <c r="RY6" i="15"/>
  <c r="RZ5" i="15"/>
  <c r="LP8" i="15"/>
  <c r="MO7" i="15"/>
  <c r="MP7" i="15" s="1"/>
  <c r="TX8" i="15"/>
  <c r="QB8" i="15"/>
  <c r="IB8" i="15"/>
  <c r="MV8" i="15"/>
  <c r="ER8" i="15"/>
  <c r="MB8" i="15"/>
  <c r="EB8" i="15"/>
  <c r="IN8" i="15"/>
  <c r="NY6" i="15"/>
  <c r="NZ5" i="15"/>
  <c r="AW6" i="15"/>
  <c r="AX5" i="15"/>
  <c r="OR8" i="15"/>
  <c r="NT8" i="15"/>
  <c r="SC6" i="15"/>
  <c r="SD5" i="15"/>
  <c r="TM6" i="15"/>
  <c r="TN5" i="15"/>
  <c r="GF8" i="15"/>
  <c r="RH8" i="15"/>
  <c r="GC6" i="15"/>
  <c r="GD5" i="15"/>
  <c r="PT8" i="15"/>
  <c r="DH8" i="15"/>
  <c r="TY7" i="15"/>
  <c r="DE6" i="15"/>
  <c r="DF5" i="15"/>
  <c r="PL7" i="15"/>
  <c r="KC6" i="15"/>
  <c r="KD5" i="15"/>
  <c r="EW6" i="15"/>
  <c r="EX5" i="15"/>
  <c r="JL8" i="15"/>
  <c r="GJ8" i="15"/>
  <c r="L8" i="15"/>
  <c r="PX8" i="15"/>
  <c r="GK6" i="15"/>
  <c r="GL5" i="15"/>
  <c r="PD8" i="15"/>
  <c r="EO7" i="15"/>
  <c r="IF8" i="15"/>
  <c r="DY6" i="15"/>
  <c r="DZ5" i="15"/>
  <c r="IZ8" i="15"/>
  <c r="TA6" i="15"/>
  <c r="TB5" i="15"/>
  <c r="JI6" i="15"/>
  <c r="JJ5" i="15"/>
  <c r="FH8" i="15"/>
  <c r="HI6" i="15"/>
  <c r="HJ5" i="15"/>
  <c r="LU6" i="15"/>
  <c r="LV5" i="15"/>
  <c r="KB8" i="15"/>
  <c r="JH8" i="15"/>
  <c r="OV8" i="15"/>
  <c r="EK7" i="15"/>
  <c r="UK6" i="15"/>
  <c r="UL5" i="15"/>
  <c r="GR8" i="15"/>
  <c r="BD8" i="15"/>
  <c r="OG6" i="15"/>
  <c r="OH6" i="15" s="1"/>
  <c r="IO6" i="15"/>
  <c r="IP5" i="15"/>
  <c r="NM6" i="15"/>
  <c r="NN5" i="15"/>
  <c r="GN8" i="15"/>
  <c r="HP8" i="15"/>
  <c r="SF8" i="15"/>
  <c r="QG6" i="15"/>
  <c r="QH5" i="15"/>
  <c r="X8" i="15"/>
  <c r="MW6" i="15"/>
  <c r="MX5" i="15"/>
  <c r="BY6" i="15"/>
  <c r="BZ5" i="15"/>
  <c r="MS6" i="15"/>
  <c r="MT5" i="15"/>
  <c r="OJ8" i="15"/>
  <c r="RM6" i="15"/>
  <c r="RN5" i="15"/>
  <c r="FT8" i="15"/>
  <c r="KR8" i="15"/>
  <c r="CW6" i="15"/>
  <c r="CX5" i="15"/>
  <c r="Q6" i="15"/>
  <c r="R5" i="15"/>
  <c r="RQ6" i="15"/>
  <c r="RR5" i="15"/>
  <c r="Y6" i="15"/>
  <c r="Z5" i="15"/>
  <c r="PQ6" i="15"/>
  <c r="PR5" i="15"/>
  <c r="HR6" i="15"/>
  <c r="PH8" i="15"/>
  <c r="RD8" i="15"/>
  <c r="OB8" i="15"/>
  <c r="JT8" i="15"/>
  <c r="NH8" i="15"/>
  <c r="AR8" i="15"/>
  <c r="AF8" i="15"/>
  <c r="TH8" i="15"/>
  <c r="GV8" i="15"/>
  <c r="TQ6" i="15"/>
  <c r="TR5" i="15"/>
  <c r="MF8" i="15"/>
  <c r="NU6" i="15"/>
  <c r="NV5" i="15"/>
  <c r="EC6" i="15"/>
  <c r="ED5" i="15"/>
  <c r="RP8" i="15"/>
  <c r="JQ6" i="15"/>
  <c r="JR5" i="15"/>
  <c r="PU6" i="15"/>
  <c r="PV5" i="15"/>
  <c r="SJ8" i="15"/>
  <c r="LD8" i="15"/>
  <c r="FA6" i="15"/>
  <c r="FB5" i="15"/>
  <c r="AB8" i="15"/>
  <c r="DI6" i="15"/>
  <c r="DJ5" i="15"/>
  <c r="OO6" i="15"/>
  <c r="OP5" i="15"/>
  <c r="QJ8" i="15"/>
  <c r="HU6" i="15"/>
  <c r="HV5" i="15"/>
  <c r="NX8" i="15"/>
  <c r="KN8" i="15"/>
  <c r="RL8" i="15"/>
  <c r="FI7" i="15"/>
  <c r="JD8" i="15"/>
  <c r="D8" i="15"/>
  <c r="LX8" i="15"/>
  <c r="FE7" i="15"/>
  <c r="FF7" i="15" s="1"/>
  <c r="SR8" i="15"/>
  <c r="TL8" i="15"/>
  <c r="CS6" i="15"/>
  <c r="DU6" i="15"/>
  <c r="DV5" i="15"/>
  <c r="MJ8" i="15"/>
  <c r="KJ8" i="15"/>
  <c r="RU6" i="15"/>
  <c r="RV5" i="15"/>
  <c r="DT8" i="15"/>
  <c r="GG6" i="15"/>
  <c r="GH5" i="15"/>
  <c r="MZ7" i="15"/>
  <c r="BV5" i="15"/>
  <c r="ND8" i="15"/>
  <c r="NP8" i="15"/>
  <c r="HL8" i="15"/>
  <c r="SW7" i="15"/>
  <c r="SX7" i="15" s="1"/>
  <c r="CN8" i="15"/>
  <c r="HD8" i="15"/>
  <c r="UC6" i="15"/>
  <c r="UD5" i="15"/>
  <c r="LL8" i="15"/>
  <c r="CZ8" i="15"/>
  <c r="MK6" i="15"/>
  <c r="ML5" i="15"/>
  <c r="JE6" i="15"/>
  <c r="JF5" i="15"/>
  <c r="UN8" i="15"/>
  <c r="IV8" i="15"/>
  <c r="NB5" i="15"/>
  <c r="BT7" i="15"/>
  <c r="HT8" i="15"/>
  <c r="PP8" i="15"/>
  <c r="AV8" i="15"/>
  <c r="ON8" i="15"/>
  <c r="QF8" i="15"/>
  <c r="CJ8" i="15"/>
  <c r="NL8" i="15"/>
  <c r="IW6" i="15"/>
  <c r="IX5" i="15"/>
  <c r="LH8" i="15"/>
  <c r="IR8" i="15"/>
  <c r="DD8" i="15"/>
  <c r="CV8" i="15"/>
  <c r="KF8" i="15"/>
  <c r="CF8" i="15"/>
  <c r="QS7" i="15"/>
  <c r="T8" i="15"/>
  <c r="TP8" i="15"/>
  <c r="OZ8" i="15"/>
  <c r="BA7" i="15"/>
  <c r="BP8" i="15"/>
  <c r="FP8" i="15"/>
  <c r="GZ8" i="15"/>
  <c r="NQ6" i="15"/>
  <c r="NR5" i="15"/>
  <c r="KZ8" i="15"/>
  <c r="BX8" i="15"/>
  <c r="CC6" i="15"/>
  <c r="EV8" i="15"/>
  <c r="TI6" i="15"/>
  <c r="TJ5" i="15"/>
  <c r="US6" i="15"/>
  <c r="UT5" i="15"/>
  <c r="QZ8" i="15"/>
  <c r="LE6" i="15"/>
  <c r="LF5" i="15"/>
  <c r="OW6" i="15"/>
  <c r="OX5" i="15"/>
  <c r="GB8" i="15"/>
  <c r="IK6" i="15"/>
  <c r="IL5" i="15"/>
  <c r="I6" i="15"/>
  <c r="J6" i="15" s="1"/>
  <c r="UR8" i="15"/>
  <c r="I123" i="18"/>
  <c r="I24" i="18"/>
  <c r="I91" i="18"/>
  <c r="I89" i="18"/>
  <c r="I96" i="18"/>
  <c r="I112" i="18"/>
  <c r="I32" i="18"/>
  <c r="I119" i="18"/>
  <c r="I42" i="18"/>
  <c r="I98" i="18"/>
  <c r="I74" i="18"/>
  <c r="I53" i="18"/>
  <c r="I149" i="18"/>
  <c r="I101" i="18"/>
  <c r="I78" i="18"/>
  <c r="I61" i="18"/>
  <c r="I145" i="18"/>
  <c r="I30" i="18"/>
  <c r="I39" i="18"/>
  <c r="I58" i="18"/>
  <c r="I107" i="18"/>
  <c r="I115" i="18"/>
  <c r="I47" i="18"/>
  <c r="I144" i="18"/>
  <c r="I86" i="18"/>
  <c r="I105" i="18"/>
  <c r="I29" i="18"/>
  <c r="I43" i="18"/>
  <c r="I26" i="18"/>
  <c r="I110" i="18"/>
  <c r="I84" i="18"/>
  <c r="I130" i="18"/>
  <c r="I68" i="18"/>
  <c r="I64" i="18"/>
  <c r="I120" i="18"/>
  <c r="I50" i="18"/>
  <c r="I103" i="18"/>
  <c r="I100" i="18"/>
  <c r="I147" i="18"/>
  <c r="I38" i="18"/>
  <c r="I139" i="18"/>
  <c r="I59" i="18"/>
  <c r="I93" i="18"/>
  <c r="I73" i="18"/>
  <c r="I70" i="18"/>
  <c r="I79" i="18"/>
  <c r="I94" i="18"/>
  <c r="I132" i="18"/>
  <c r="I116" i="18"/>
  <c r="I34" i="18"/>
  <c r="I40" i="18"/>
  <c r="I128" i="18"/>
  <c r="I75" i="18"/>
  <c r="I102" i="18"/>
  <c r="I67" i="18"/>
  <c r="I88" i="18"/>
  <c r="I111" i="18"/>
  <c r="I77" i="18"/>
  <c r="I56" i="18"/>
  <c r="I15" i="18"/>
  <c r="I135" i="18"/>
  <c r="I136" i="18"/>
  <c r="I140" i="18"/>
  <c r="I81" i="18"/>
  <c r="I124" i="18"/>
  <c r="I23" i="18"/>
  <c r="I131" i="18"/>
  <c r="I44" i="18"/>
  <c r="I146" i="18"/>
  <c r="I129" i="18"/>
  <c r="I148" i="18"/>
  <c r="I48" i="18"/>
  <c r="I41" i="18"/>
  <c r="I37" i="18"/>
  <c r="I138" i="18"/>
  <c r="I104" i="18"/>
  <c r="I83" i="18"/>
  <c r="I142" i="18"/>
  <c r="I152" i="18"/>
  <c r="I143" i="18"/>
  <c r="I49" i="18"/>
  <c r="I114" i="18"/>
  <c r="I133" i="18"/>
  <c r="I76" i="18"/>
  <c r="I151" i="18"/>
  <c r="I31" i="18"/>
  <c r="I21" i="18"/>
  <c r="I117" i="18"/>
  <c r="I92" i="18"/>
  <c r="I118" i="18"/>
  <c r="I126" i="18"/>
  <c r="I108" i="18"/>
  <c r="I19" i="18"/>
  <c r="I106" i="18"/>
  <c r="I150" i="18"/>
  <c r="I35" i="18"/>
  <c r="I25" i="18"/>
  <c r="I141" i="18"/>
  <c r="I55" i="18"/>
  <c r="I14" i="18"/>
  <c r="I95" i="18"/>
  <c r="I18" i="18"/>
  <c r="I127" i="18"/>
  <c r="I72" i="18"/>
  <c r="I36" i="18"/>
  <c r="I16" i="18"/>
  <c r="I80" i="18"/>
  <c r="I69" i="18"/>
  <c r="I85" i="18"/>
  <c r="I125" i="18"/>
  <c r="I20" i="18"/>
  <c r="I97" i="18"/>
  <c r="I12" i="18"/>
  <c r="I109" i="18"/>
  <c r="I137" i="18"/>
  <c r="I90" i="18"/>
  <c r="I62" i="18"/>
  <c r="I82" i="18"/>
  <c r="I13" i="18"/>
  <c r="I52" i="18"/>
  <c r="I46" i="18"/>
  <c r="I87" i="18"/>
  <c r="I22" i="18"/>
  <c r="I121" i="18"/>
  <c r="I54" i="18"/>
  <c r="I65" i="18"/>
  <c r="I134" i="18"/>
  <c r="I33" i="18"/>
  <c r="I60" i="18"/>
  <c r="I71" i="18"/>
  <c r="I113" i="18"/>
  <c r="I122" i="18"/>
  <c r="I99" i="18"/>
  <c r="I27" i="18"/>
  <c r="I51" i="18"/>
  <c r="I63" i="18"/>
  <c r="I45" i="18"/>
  <c r="I66" i="18"/>
  <c r="I57" i="18"/>
  <c r="I28" i="18"/>
  <c r="J34" i="4"/>
  <c r="J88" i="4"/>
  <c r="J30" i="4"/>
  <c r="J87" i="4"/>
  <c r="J106" i="4"/>
  <c r="J130" i="4"/>
  <c r="J91" i="4"/>
  <c r="J148" i="4"/>
  <c r="J138" i="4"/>
  <c r="J61" i="4"/>
  <c r="J92" i="4"/>
  <c r="J90" i="4"/>
  <c r="J48" i="4"/>
  <c r="J146" i="4"/>
  <c r="J129" i="4"/>
  <c r="J140" i="4"/>
  <c r="J39" i="4"/>
  <c r="J141" i="4"/>
  <c r="J113" i="4"/>
  <c r="J108" i="4"/>
  <c r="J118" i="4"/>
  <c r="J70" i="4"/>
  <c r="J31" i="4"/>
  <c r="J53" i="4"/>
  <c r="J59" i="4"/>
  <c r="J22" i="4"/>
  <c r="J54" i="4"/>
  <c r="J151" i="4"/>
  <c r="J69" i="4"/>
  <c r="J102" i="4"/>
  <c r="J72" i="4"/>
  <c r="J126" i="4"/>
  <c r="J32" i="4"/>
  <c r="J37" i="4"/>
  <c r="J134" i="4"/>
  <c r="J125" i="4"/>
  <c r="J119" i="4"/>
  <c r="J131" i="4"/>
  <c r="J101" i="4"/>
  <c r="J43" i="4"/>
  <c r="J73" i="4"/>
  <c r="J71" i="4"/>
  <c r="J82" i="4"/>
  <c r="J116" i="4"/>
  <c r="J24" i="4"/>
  <c r="J100" i="4"/>
  <c r="J74" i="4"/>
  <c r="J62" i="4"/>
  <c r="J60" i="4"/>
  <c r="J29" i="4"/>
  <c r="J63" i="4"/>
  <c r="J149" i="4"/>
  <c r="J84" i="4"/>
  <c r="J135" i="4"/>
  <c r="J99" i="4"/>
  <c r="J55" i="4"/>
  <c r="J139" i="4"/>
  <c r="J115" i="4"/>
  <c r="J96" i="4"/>
  <c r="J77" i="4"/>
  <c r="J81" i="4"/>
  <c r="J117" i="4"/>
  <c r="J51" i="4"/>
  <c r="J103" i="4"/>
  <c r="J104" i="4"/>
  <c r="J25" i="4"/>
  <c r="J76" i="4"/>
  <c r="J20" i="4"/>
  <c r="J79" i="4"/>
  <c r="J133" i="4"/>
  <c r="J114" i="4"/>
  <c r="J36" i="4"/>
  <c r="J142" i="4"/>
  <c r="J67" i="4"/>
  <c r="J40" i="4"/>
  <c r="J97" i="4"/>
  <c r="J83" i="4"/>
  <c r="J137" i="4"/>
  <c r="J144" i="4"/>
  <c r="J45" i="4"/>
  <c r="J41" i="4"/>
  <c r="J111" i="4"/>
  <c r="J120" i="4"/>
  <c r="J112" i="4"/>
  <c r="J57" i="4"/>
  <c r="J52" i="4"/>
  <c r="J18" i="4"/>
  <c r="J132" i="4"/>
  <c r="J143" i="4"/>
  <c r="J47" i="4"/>
  <c r="J65" i="4"/>
  <c r="J17" i="4"/>
  <c r="J95" i="4"/>
  <c r="J38" i="4"/>
  <c r="J107" i="4"/>
  <c r="J147" i="4"/>
  <c r="J26" i="4"/>
  <c r="J128" i="4"/>
  <c r="J110" i="4"/>
  <c r="J33" i="4"/>
  <c r="J93" i="4"/>
  <c r="J85" i="4"/>
  <c r="J58" i="4"/>
  <c r="J94" i="4"/>
  <c r="J28" i="4"/>
  <c r="J46" i="4"/>
  <c r="J21" i="4"/>
  <c r="J42" i="4"/>
  <c r="J56" i="4"/>
  <c r="J89" i="4"/>
  <c r="J105" i="4"/>
  <c r="J78" i="4"/>
  <c r="J75" i="4"/>
  <c r="J50" i="4"/>
  <c r="J49" i="4"/>
  <c r="J145" i="4"/>
  <c r="J66" i="4"/>
  <c r="J35" i="4"/>
  <c r="J80" i="4"/>
  <c r="J23" i="4"/>
  <c r="J44" i="4"/>
  <c r="J68" i="4"/>
  <c r="J98" i="4"/>
  <c r="J136" i="4"/>
  <c r="J150" i="4"/>
  <c r="J109" i="4"/>
  <c r="J27" i="4"/>
  <c r="J86" i="4"/>
  <c r="J14" i="4"/>
  <c r="J64" i="4"/>
  <c r="I17" i="18"/>
  <c r="J123" i="4"/>
  <c r="J121" i="4"/>
  <c r="J124" i="4"/>
  <c r="F11" i="2"/>
  <c r="G11" i="2" s="1"/>
  <c r="J15" i="4"/>
  <c r="J12" i="4"/>
  <c r="J127" i="4"/>
  <c r="J122" i="4"/>
  <c r="J16" i="4"/>
  <c r="J11" i="4"/>
  <c r="J13" i="4"/>
  <c r="J19" i="4"/>
  <c r="J42" i="17"/>
  <c r="J22" i="17"/>
  <c r="J51" i="17"/>
  <c r="J28" i="17"/>
  <c r="J16" i="17"/>
  <c r="J35" i="17"/>
  <c r="J14" i="16"/>
  <c r="J13" i="16"/>
  <c r="J18" i="17"/>
  <c r="J19" i="17"/>
  <c r="J27" i="17"/>
  <c r="J12" i="16"/>
  <c r="J11" i="16"/>
  <c r="J15" i="16"/>
  <c r="J107" i="17"/>
  <c r="J54" i="17"/>
  <c r="J26" i="17"/>
  <c r="J67" i="17"/>
  <c r="J46" i="17"/>
  <c r="J36" i="16"/>
  <c r="J26" i="16"/>
  <c r="J34" i="16"/>
  <c r="J29" i="16"/>
  <c r="J51" i="16"/>
  <c r="E11" i="11"/>
  <c r="F10" i="11"/>
  <c r="E11" i="9"/>
  <c r="F10" i="9"/>
  <c r="E11" i="8"/>
  <c r="F10" i="8"/>
  <c r="G10" i="2"/>
  <c r="E12" i="2"/>
  <c r="SO7" i="15" l="1"/>
  <c r="SO8" i="15" s="1"/>
  <c r="SP8" i="15" s="1"/>
  <c r="QW7" i="15"/>
  <c r="QX7" i="15" s="1"/>
  <c r="AC7" i="15"/>
  <c r="AC8" i="15" s="1"/>
  <c r="AD8" i="15" s="1"/>
  <c r="PZ6" i="15"/>
  <c r="DB6" i="15"/>
  <c r="FM7" i="15"/>
  <c r="FM8" i="15" s="1"/>
  <c r="FN8" i="15" s="1"/>
  <c r="EG7" i="15"/>
  <c r="EG8" i="15" s="1"/>
  <c r="EH8" i="15" s="1"/>
  <c r="CO7" i="15"/>
  <c r="CP7" i="15" s="1"/>
  <c r="FU7" i="15"/>
  <c r="FV7" i="15" s="1"/>
  <c r="KO8" i="15"/>
  <c r="KP8" i="15" s="1"/>
  <c r="SG7" i="15"/>
  <c r="SG8" i="15" s="1"/>
  <c r="TU7" i="15"/>
  <c r="TU8" i="15" s="1"/>
  <c r="TV8" i="15" s="1"/>
  <c r="GO7" i="15"/>
  <c r="GO8" i="15" s="1"/>
  <c r="GP8" i="15" s="1"/>
  <c r="IC7" i="15"/>
  <c r="ID7" i="15" s="1"/>
  <c r="LM7" i="15"/>
  <c r="LN7" i="15" s="1"/>
  <c r="JA7" i="15"/>
  <c r="JA8" i="15" s="1"/>
  <c r="JB8" i="15" s="1"/>
  <c r="GS7" i="15"/>
  <c r="GT7" i="15" s="1"/>
  <c r="DQ7" i="15"/>
  <c r="DR7" i="15" s="1"/>
  <c r="LY7" i="15"/>
  <c r="LZ7" i="15" s="1"/>
  <c r="LQ7" i="15"/>
  <c r="LR7" i="15" s="1"/>
  <c r="AO7" i="15"/>
  <c r="AP7" i="15" s="1"/>
  <c r="DM7" i="15"/>
  <c r="DN7" i="15" s="1"/>
  <c r="JM8" i="15"/>
  <c r="JN8" i="15" s="1"/>
  <c r="MC7" i="15"/>
  <c r="MD7" i="15" s="1"/>
  <c r="JY7" i="15"/>
  <c r="JZ7" i="15" s="1"/>
  <c r="KS7" i="15"/>
  <c r="KS8" i="15" s="1"/>
  <c r="KT8" i="15" s="1"/>
  <c r="SK7" i="15"/>
  <c r="SL7" i="15" s="1"/>
  <c r="CK7" i="15"/>
  <c r="CL7" i="15" s="1"/>
  <c r="QO7" i="15"/>
  <c r="QP7" i="15" s="1"/>
  <c r="U7" i="15"/>
  <c r="V7" i="15" s="1"/>
  <c r="AG8" i="15"/>
  <c r="AH8" i="15" s="1"/>
  <c r="KK8" i="15"/>
  <c r="KL8" i="15" s="1"/>
  <c r="HE7" i="15"/>
  <c r="HF7" i="15" s="1"/>
  <c r="HZ6" i="15"/>
  <c r="FY7" i="15"/>
  <c r="FZ7" i="15" s="1"/>
  <c r="BI7" i="15"/>
  <c r="BJ7" i="15" s="1"/>
  <c r="GW8" i="15"/>
  <c r="GX8" i="15" s="1"/>
  <c r="BR6" i="15"/>
  <c r="DA8" i="15"/>
  <c r="DB8" i="15" s="1"/>
  <c r="BA8" i="15"/>
  <c r="BB8" i="15" s="1"/>
  <c r="MH6" i="15"/>
  <c r="QW8" i="15"/>
  <c r="QX8" i="15" s="1"/>
  <c r="PE8" i="15"/>
  <c r="PF8" i="15" s="1"/>
  <c r="FI8" i="15"/>
  <c r="FJ8" i="15" s="1"/>
  <c r="QS8" i="15"/>
  <c r="QT8" i="15" s="1"/>
  <c r="CC7" i="15"/>
  <c r="CD7" i="15" s="1"/>
  <c r="EO8" i="15"/>
  <c r="EP8" i="15" s="1"/>
  <c r="TY8" i="15"/>
  <c r="TZ8" i="15" s="1"/>
  <c r="EK8" i="15"/>
  <c r="EL8" i="15" s="1"/>
  <c r="HQ8" i="15"/>
  <c r="HR8" i="15" s="1"/>
  <c r="PI8" i="15"/>
  <c r="PJ8" i="15" s="1"/>
  <c r="CS7" i="15"/>
  <c r="CT7" i="15" s="1"/>
  <c r="CT6" i="15"/>
  <c r="I7" i="15"/>
  <c r="J7" i="15" s="1"/>
  <c r="QZ9" i="15"/>
  <c r="BP9" i="15"/>
  <c r="DD9" i="15"/>
  <c r="AV9" i="15"/>
  <c r="LL9" i="15"/>
  <c r="LX9" i="15"/>
  <c r="OO7" i="15"/>
  <c r="OP6" i="15"/>
  <c r="Q7" i="15"/>
  <c r="R6" i="15"/>
  <c r="BD9" i="15"/>
  <c r="JI7" i="15"/>
  <c r="JJ6" i="15"/>
  <c r="L9" i="15"/>
  <c r="EB9" i="15"/>
  <c r="DP9" i="15"/>
  <c r="KV9" i="15"/>
  <c r="SN9" i="15"/>
  <c r="PP9" i="15"/>
  <c r="GG7" i="15"/>
  <c r="GH6" i="15"/>
  <c r="D9" i="15"/>
  <c r="RP9" i="15"/>
  <c r="AR9" i="15"/>
  <c r="X9" i="15"/>
  <c r="GR9" i="15"/>
  <c r="RY7" i="15"/>
  <c r="RZ6" i="15"/>
  <c r="JX9" i="15"/>
  <c r="AJ9" i="15"/>
  <c r="NE7" i="15"/>
  <c r="NF6" i="15"/>
  <c r="SP7" i="15"/>
  <c r="CW7" i="15"/>
  <c r="CX6" i="15"/>
  <c r="GJ9" i="15"/>
  <c r="RH9" i="15"/>
  <c r="BQ8" i="15"/>
  <c r="QC7" i="15"/>
  <c r="QD6" i="15"/>
  <c r="KG7" i="15"/>
  <c r="KH6" i="15"/>
  <c r="LT9" i="15"/>
  <c r="US7" i="15"/>
  <c r="UT6" i="15"/>
  <c r="UC7" i="15"/>
  <c r="UD6" i="15"/>
  <c r="DT9" i="15"/>
  <c r="JD9" i="15"/>
  <c r="NH9" i="15"/>
  <c r="KR9" i="15"/>
  <c r="QG7" i="15"/>
  <c r="QH6" i="15"/>
  <c r="TA7" i="15"/>
  <c r="TB6" i="15"/>
  <c r="GF9" i="15"/>
  <c r="SV9" i="15"/>
  <c r="IR9" i="15"/>
  <c r="HT9" i="15"/>
  <c r="HD9" i="15"/>
  <c r="EC7" i="15"/>
  <c r="ED6" i="15"/>
  <c r="JT9" i="15"/>
  <c r="UK7" i="15"/>
  <c r="UL6" i="15"/>
  <c r="IZ9" i="15"/>
  <c r="JL9" i="15"/>
  <c r="MB9" i="15"/>
  <c r="DL9" i="15"/>
  <c r="JU7" i="15"/>
  <c r="JV6" i="15"/>
  <c r="CR8" i="15"/>
  <c r="P9" i="15"/>
  <c r="TI7" i="15"/>
  <c r="TJ6" i="15"/>
  <c r="OZ9" i="15"/>
  <c r="RU7" i="15"/>
  <c r="RV6" i="15"/>
  <c r="SF9" i="15"/>
  <c r="FL9" i="15"/>
  <c r="OC7" i="15"/>
  <c r="OD6" i="15"/>
  <c r="LA7" i="15"/>
  <c r="LB6" i="15"/>
  <c r="BT8" i="15"/>
  <c r="CN9" i="15"/>
  <c r="E8" i="15"/>
  <c r="NU7" i="15"/>
  <c r="NV6" i="15"/>
  <c r="FT9" i="15"/>
  <c r="EW7" i="15"/>
  <c r="EX6" i="15"/>
  <c r="TM7" i="15"/>
  <c r="TN6" i="15"/>
  <c r="QK7" i="15"/>
  <c r="QL6" i="15"/>
  <c r="AK8" i="15"/>
  <c r="AL8" i="15" s="1"/>
  <c r="CG7" i="15"/>
  <c r="CH6" i="15"/>
  <c r="SS7" i="15"/>
  <c r="ST6" i="15"/>
  <c r="AN9" i="15"/>
  <c r="TD9" i="15"/>
  <c r="EV9" i="15"/>
  <c r="LH9" i="15"/>
  <c r="DI7" i="15"/>
  <c r="DJ6" i="15"/>
  <c r="MF9" i="15"/>
  <c r="OB9" i="15"/>
  <c r="HP9" i="15"/>
  <c r="OV9" i="15"/>
  <c r="DY7" i="15"/>
  <c r="DZ6" i="15"/>
  <c r="ER9" i="15"/>
  <c r="HH9" i="15"/>
  <c r="BM7" i="15"/>
  <c r="BN6" i="15"/>
  <c r="RX9" i="15"/>
  <c r="UR9" i="15"/>
  <c r="SW8" i="15"/>
  <c r="KJ9" i="15"/>
  <c r="RL9" i="15"/>
  <c r="AB9" i="15"/>
  <c r="RD9" i="15"/>
  <c r="RM7" i="15"/>
  <c r="RN6" i="15"/>
  <c r="IF9" i="15"/>
  <c r="KC7" i="15"/>
  <c r="KD6" i="15"/>
  <c r="SC7" i="15"/>
  <c r="SD6" i="15"/>
  <c r="MV9" i="15"/>
  <c r="AS7" i="15"/>
  <c r="AT6" i="15"/>
  <c r="ES7" i="15"/>
  <c r="ET6" i="15"/>
  <c r="IJ9" i="15"/>
  <c r="JP9" i="15"/>
  <c r="TP9" i="15"/>
  <c r="IW7" i="15"/>
  <c r="IX6" i="15"/>
  <c r="HL9" i="15"/>
  <c r="MJ9" i="15"/>
  <c r="AD7" i="15"/>
  <c r="GN9" i="15"/>
  <c r="PL8" i="15"/>
  <c r="NT9" i="15"/>
  <c r="EL7" i="15"/>
  <c r="LI8" i="15"/>
  <c r="LJ8" i="15" s="1"/>
  <c r="PM7" i="15"/>
  <c r="MR9" i="15"/>
  <c r="BX9" i="15"/>
  <c r="TQ7" i="15"/>
  <c r="TR6" i="15"/>
  <c r="OJ9" i="15"/>
  <c r="JH9" i="15"/>
  <c r="EJ9" i="15"/>
  <c r="NI7" i="15"/>
  <c r="NJ6" i="15"/>
  <c r="HA7" i="15"/>
  <c r="HB6" i="15"/>
  <c r="T9" i="15"/>
  <c r="NL9" i="15"/>
  <c r="IV9" i="15"/>
  <c r="KN9" i="15"/>
  <c r="FA7" i="15"/>
  <c r="FB6" i="15"/>
  <c r="GV9" i="15"/>
  <c r="PH9" i="15"/>
  <c r="MG8" i="15"/>
  <c r="OR9" i="15"/>
  <c r="IB9" i="15"/>
  <c r="UF9" i="15"/>
  <c r="HX9" i="15"/>
  <c r="MN9" i="15"/>
  <c r="UJ9" i="15"/>
  <c r="UB9" i="15"/>
  <c r="IK7" i="15"/>
  <c r="IL6" i="15"/>
  <c r="KZ9" i="15"/>
  <c r="CJ9" i="15"/>
  <c r="UN9" i="15"/>
  <c r="NP9" i="15"/>
  <c r="DU7" i="15"/>
  <c r="DV6" i="15"/>
  <c r="NX9" i="15"/>
  <c r="KB9" i="15"/>
  <c r="PD9" i="15"/>
  <c r="DE7" i="15"/>
  <c r="DF6" i="15"/>
  <c r="BH9" i="15"/>
  <c r="RA7" i="15"/>
  <c r="RB6" i="15"/>
  <c r="FX9" i="15"/>
  <c r="UG7" i="15"/>
  <c r="UH6" i="15"/>
  <c r="QV9" i="15"/>
  <c r="LD9" i="15"/>
  <c r="MS7" i="15"/>
  <c r="MT6" i="15"/>
  <c r="QB9" i="15"/>
  <c r="M7" i="15"/>
  <c r="N6" i="15"/>
  <c r="BL9" i="15"/>
  <c r="OF8" i="15"/>
  <c r="BB7" i="15"/>
  <c r="BE8" i="15"/>
  <c r="GB9" i="15"/>
  <c r="CF9" i="15"/>
  <c r="ND9" i="15"/>
  <c r="TL9" i="15"/>
  <c r="TH9" i="15"/>
  <c r="PQ7" i="15"/>
  <c r="PR6" i="15"/>
  <c r="NM7" i="15"/>
  <c r="NN6" i="15"/>
  <c r="LU7" i="15"/>
  <c r="LV6" i="15"/>
  <c r="DH9" i="15"/>
  <c r="AW7" i="15"/>
  <c r="AX6" i="15"/>
  <c r="TZ7" i="15"/>
  <c r="AZ9" i="15"/>
  <c r="EZ9" i="15"/>
  <c r="DX9" i="15"/>
  <c r="NQ7" i="15"/>
  <c r="NR6" i="15"/>
  <c r="JE7" i="15"/>
  <c r="JF6" i="15"/>
  <c r="HU7" i="15"/>
  <c r="HV6" i="15"/>
  <c r="SJ9" i="15"/>
  <c r="BY7" i="15"/>
  <c r="BZ6" i="15"/>
  <c r="GK7" i="15"/>
  <c r="GL6" i="15"/>
  <c r="TX9" i="15"/>
  <c r="QT7" i="15"/>
  <c r="TE7" i="15"/>
  <c r="TF6" i="15"/>
  <c r="KW7" i="15"/>
  <c r="KX6" i="15"/>
  <c r="OW7" i="15"/>
  <c r="OX6" i="15"/>
  <c r="QF9" i="15"/>
  <c r="SR9" i="15"/>
  <c r="Y7" i="15"/>
  <c r="Z6" i="15"/>
  <c r="IS8" i="15"/>
  <c r="IO7" i="15"/>
  <c r="IP6" i="15"/>
  <c r="HI7" i="15"/>
  <c r="HJ6" i="15"/>
  <c r="NY7" i="15"/>
  <c r="NZ6" i="15"/>
  <c r="MO8" i="15"/>
  <c r="MP8" i="15" s="1"/>
  <c r="OS7" i="15"/>
  <c r="OT6" i="15"/>
  <c r="FQ7" i="15"/>
  <c r="FR6" i="15"/>
  <c r="FD9" i="15"/>
  <c r="QR9" i="15"/>
  <c r="RE8" i="15"/>
  <c r="RF8" i="15" s="1"/>
  <c r="GZ9" i="15"/>
  <c r="KF9" i="15"/>
  <c r="ON9" i="15"/>
  <c r="MK7" i="15"/>
  <c r="ML6" i="15"/>
  <c r="MZ8" i="15"/>
  <c r="QJ9" i="15"/>
  <c r="PU7" i="15"/>
  <c r="PV6" i="15"/>
  <c r="AF9" i="15"/>
  <c r="BU7" i="15"/>
  <c r="BV7" i="15" s="1"/>
  <c r="FJ7" i="15"/>
  <c r="PX9" i="15"/>
  <c r="PT9" i="15"/>
  <c r="HY8" i="15"/>
  <c r="HZ8" i="15" s="1"/>
  <c r="EP7" i="15"/>
  <c r="RT9" i="15"/>
  <c r="RI8" i="15"/>
  <c r="QN9" i="15"/>
  <c r="SZ9" i="15"/>
  <c r="CZ9" i="15"/>
  <c r="FE8" i="15"/>
  <c r="RQ7" i="15"/>
  <c r="RR6" i="15"/>
  <c r="OG7" i="15"/>
  <c r="FH9" i="15"/>
  <c r="NA7" i="15"/>
  <c r="IN9" i="15"/>
  <c r="EN9" i="15"/>
  <c r="PY8" i="15"/>
  <c r="CB8" i="15"/>
  <c r="PA7" i="15"/>
  <c r="PB6" i="15"/>
  <c r="UO8" i="15"/>
  <c r="UP8" i="15" s="1"/>
  <c r="LE7" i="15"/>
  <c r="LF6" i="15"/>
  <c r="FP9" i="15"/>
  <c r="CV9" i="15"/>
  <c r="HM8" i="15"/>
  <c r="JQ7" i="15"/>
  <c r="JR6" i="15"/>
  <c r="MW7" i="15"/>
  <c r="MX6" i="15"/>
  <c r="GC7" i="15"/>
  <c r="GD6" i="15"/>
  <c r="OK8" i="15"/>
  <c r="OL8" i="15" s="1"/>
  <c r="LP9" i="15"/>
  <c r="H8" i="15"/>
  <c r="SB9" i="15"/>
  <c r="CD6" i="15"/>
  <c r="TT9" i="15"/>
  <c r="EF9" i="15"/>
  <c r="IG8" i="15"/>
  <c r="IH8" i="15" s="1"/>
  <c r="J125" i="18"/>
  <c r="J73" i="18"/>
  <c r="J115" i="18"/>
  <c r="J119" i="18"/>
  <c r="J87" i="18"/>
  <c r="J88" i="18"/>
  <c r="J12" i="18"/>
  <c r="J31" i="18"/>
  <c r="J142" i="18"/>
  <c r="J133" i="18"/>
  <c r="J143" i="18"/>
  <c r="J47" i="18"/>
  <c r="J103" i="18"/>
  <c r="J91" i="18"/>
  <c r="J59" i="18"/>
  <c r="J135" i="18"/>
  <c r="J97" i="18"/>
  <c r="J110" i="18"/>
  <c r="J42" i="18"/>
  <c r="J147" i="18"/>
  <c r="J99" i="18"/>
  <c r="J83" i="18"/>
  <c r="J20" i="18"/>
  <c r="J36" i="18"/>
  <c r="J15" i="18"/>
  <c r="J92" i="18"/>
  <c r="J145" i="18"/>
  <c r="J71" i="18"/>
  <c r="J51" i="18"/>
  <c r="J138" i="18"/>
  <c r="J34" i="18"/>
  <c r="J108" i="18"/>
  <c r="J105" i="18"/>
  <c r="J64" i="18"/>
  <c r="J39" i="18"/>
  <c r="J27" i="18"/>
  <c r="J61" i="18"/>
  <c r="J60" i="18"/>
  <c r="J129" i="18"/>
  <c r="J67" i="18"/>
  <c r="J123" i="18"/>
  <c r="J58" i="18"/>
  <c r="J117" i="18"/>
  <c r="J44" i="18"/>
  <c r="J43" i="18"/>
  <c r="J21" i="18"/>
  <c r="J116" i="18"/>
  <c r="J113" i="18"/>
  <c r="J54" i="18"/>
  <c r="J96" i="18"/>
  <c r="J101" i="18"/>
  <c r="J124" i="18"/>
  <c r="J70" i="18"/>
  <c r="J94" i="18"/>
  <c r="J128" i="18"/>
  <c r="J78" i="18"/>
  <c r="J89" i="18"/>
  <c r="J140" i="18"/>
  <c r="J90" i="18"/>
  <c r="J120" i="18"/>
  <c r="J111" i="18"/>
  <c r="J112" i="18"/>
  <c r="J57" i="18"/>
  <c r="J102" i="18"/>
  <c r="J98" i="18"/>
  <c r="J131" i="18"/>
  <c r="J32" i="18"/>
  <c r="J77" i="18"/>
  <c r="J33" i="18"/>
  <c r="J127" i="18"/>
  <c r="J75" i="18"/>
  <c r="J66" i="18"/>
  <c r="J121" i="18"/>
  <c r="J100" i="18"/>
  <c r="J23" i="18"/>
  <c r="J106" i="18"/>
  <c r="J151" i="18"/>
  <c r="J52" i="18"/>
  <c r="J62" i="18"/>
  <c r="J74" i="18"/>
  <c r="J40" i="18"/>
  <c r="J148" i="18"/>
  <c r="J68" i="18"/>
  <c r="J149" i="18"/>
  <c r="J18" i="18"/>
  <c r="J56" i="18"/>
  <c r="J109" i="18"/>
  <c r="J118" i="18"/>
  <c r="J69" i="18"/>
  <c r="J55" i="18"/>
  <c r="J45" i="18"/>
  <c r="J49" i="18"/>
  <c r="J37" i="18"/>
  <c r="J85" i="18"/>
  <c r="J14" i="18"/>
  <c r="J139" i="18"/>
  <c r="J72" i="18"/>
  <c r="J114" i="18"/>
  <c r="J76" i="18"/>
  <c r="J126" i="18"/>
  <c r="J144" i="18"/>
  <c r="J63" i="18"/>
  <c r="J136" i="18"/>
  <c r="J80" i="18"/>
  <c r="J26" i="18"/>
  <c r="J38" i="18"/>
  <c r="J35" i="18"/>
  <c r="J134" i="18"/>
  <c r="J137" i="18"/>
  <c r="J141" i="18"/>
  <c r="J150" i="18"/>
  <c r="J132" i="18"/>
  <c r="J130" i="18"/>
  <c r="J152" i="18"/>
  <c r="J81" i="18"/>
  <c r="J50" i="18"/>
  <c r="J86" i="18"/>
  <c r="J95" i="18"/>
  <c r="J84" i="18"/>
  <c r="J82" i="18"/>
  <c r="J122" i="18"/>
  <c r="J79" i="18"/>
  <c r="J146" i="18"/>
  <c r="J29" i="18"/>
  <c r="J93" i="18"/>
  <c r="J107" i="18"/>
  <c r="J25" i="18"/>
  <c r="J65" i="18"/>
  <c r="J46" i="18"/>
  <c r="J30" i="18"/>
  <c r="J53" i="18"/>
  <c r="J19" i="18"/>
  <c r="J22" i="18"/>
  <c r="J24" i="18"/>
  <c r="J48" i="18"/>
  <c r="J13" i="18"/>
  <c r="J16" i="18"/>
  <c r="J28" i="18"/>
  <c r="J104" i="18"/>
  <c r="J41" i="18"/>
  <c r="J17" i="18"/>
  <c r="F11" i="8"/>
  <c r="G11" i="8" s="1"/>
  <c r="F11" i="9"/>
  <c r="G11" i="9" s="1"/>
  <c r="F11" i="11"/>
  <c r="G11" i="11" s="1"/>
  <c r="E12" i="11"/>
  <c r="G10" i="11"/>
  <c r="G11" i="10"/>
  <c r="G10" i="10"/>
  <c r="E12" i="9"/>
  <c r="G10" i="9"/>
  <c r="E12" i="8"/>
  <c r="G10" i="8"/>
  <c r="E13" i="2"/>
  <c r="F12" i="2"/>
  <c r="SH7" i="15" l="1"/>
  <c r="EH7" i="15"/>
  <c r="FU8" i="15"/>
  <c r="FV8" i="15" s="1"/>
  <c r="JB7" i="15"/>
  <c r="FN7" i="15"/>
  <c r="CO8" i="15"/>
  <c r="CP8" i="15" s="1"/>
  <c r="GP7" i="15"/>
  <c r="DQ8" i="15"/>
  <c r="DQ9" i="15" s="1"/>
  <c r="DR9" i="15" s="1"/>
  <c r="MC8" i="15"/>
  <c r="MD8" i="15" s="1"/>
  <c r="SK8" i="15"/>
  <c r="SL8" i="15" s="1"/>
  <c r="TV7" i="15"/>
  <c r="LQ8" i="15"/>
  <c r="LR8" i="15" s="1"/>
  <c r="DM8" i="15"/>
  <c r="DM9" i="15" s="1"/>
  <c r="DN9" i="15" s="1"/>
  <c r="GS8" i="15"/>
  <c r="GS9" i="15" s="1"/>
  <c r="GT9" i="15" s="1"/>
  <c r="IC8" i="15"/>
  <c r="ID8" i="15" s="1"/>
  <c r="LM8" i="15"/>
  <c r="LN8" i="15" s="1"/>
  <c r="AG9" i="15"/>
  <c r="AH9" i="15" s="1"/>
  <c r="AO8" i="15"/>
  <c r="AP8" i="15" s="1"/>
  <c r="LY8" i="15"/>
  <c r="LZ8" i="15" s="1"/>
  <c r="CK8" i="15"/>
  <c r="CL8" i="15" s="1"/>
  <c r="JM9" i="15"/>
  <c r="JN9" i="15" s="1"/>
  <c r="KT7" i="15"/>
  <c r="BI8" i="15"/>
  <c r="BJ8" i="15" s="1"/>
  <c r="FY8" i="15"/>
  <c r="FZ8" i="15" s="1"/>
  <c r="JY8" i="15"/>
  <c r="JY9" i="15" s="1"/>
  <c r="JZ9" i="15" s="1"/>
  <c r="QO8" i="15"/>
  <c r="QP8" i="15" s="1"/>
  <c r="U8" i="15"/>
  <c r="V8" i="15" s="1"/>
  <c r="GW9" i="15"/>
  <c r="GX9" i="15" s="1"/>
  <c r="SO9" i="15"/>
  <c r="SP9" i="15" s="1"/>
  <c r="HE8" i="15"/>
  <c r="HF8" i="15" s="1"/>
  <c r="BE9" i="15"/>
  <c r="BF9" i="15" s="1"/>
  <c r="EG9" i="15"/>
  <c r="EH9" i="15" s="1"/>
  <c r="QS9" i="15"/>
  <c r="QT9" i="15" s="1"/>
  <c r="CC8" i="15"/>
  <c r="CD8" i="15" s="1"/>
  <c r="FI9" i="15"/>
  <c r="FJ9" i="15" s="1"/>
  <c r="NA8" i="15"/>
  <c r="NB8" i="15" s="1"/>
  <c r="AC9" i="15"/>
  <c r="AD9" i="15" s="1"/>
  <c r="PI9" i="15"/>
  <c r="PJ9" i="15" s="1"/>
  <c r="SW9" i="15"/>
  <c r="SX9" i="15" s="1"/>
  <c r="TU9" i="15"/>
  <c r="TV9" i="15" s="1"/>
  <c r="JA9" i="15"/>
  <c r="JB9" i="15" s="1"/>
  <c r="IS9" i="15"/>
  <c r="IT9" i="15" s="1"/>
  <c r="FM9" i="15"/>
  <c r="FN9" i="15" s="1"/>
  <c r="PM8" i="15"/>
  <c r="PN8" i="15" s="1"/>
  <c r="I8" i="15"/>
  <c r="J8" i="15" s="1"/>
  <c r="HM9" i="15"/>
  <c r="HN9" i="15" s="1"/>
  <c r="MG9" i="15"/>
  <c r="MH9" i="15" s="1"/>
  <c r="OG8" i="15"/>
  <c r="OH8" i="15" s="1"/>
  <c r="MO9" i="15"/>
  <c r="MP9" i="15" s="1"/>
  <c r="FE9" i="15"/>
  <c r="FF9" i="15" s="1"/>
  <c r="MC9" i="15"/>
  <c r="MD9" i="15" s="1"/>
  <c r="SG9" i="15"/>
  <c r="SH9" i="15" s="1"/>
  <c r="RI9" i="15"/>
  <c r="RJ9" i="15" s="1"/>
  <c r="E9" i="15"/>
  <c r="F9" i="15" s="1"/>
  <c r="PY9" i="15"/>
  <c r="PZ9" i="15" s="1"/>
  <c r="AZ10" i="15"/>
  <c r="CF10" i="15"/>
  <c r="NX10" i="15"/>
  <c r="IV10" i="15"/>
  <c r="KC8" i="15"/>
  <c r="KD7" i="15"/>
  <c r="FT10" i="15"/>
  <c r="US8" i="15"/>
  <c r="UT7" i="15"/>
  <c r="NE8" i="15"/>
  <c r="NF7" i="15"/>
  <c r="Q8" i="15"/>
  <c r="R7" i="15"/>
  <c r="GC8" i="15"/>
  <c r="GD7" i="15"/>
  <c r="EN10" i="15"/>
  <c r="RT10" i="15"/>
  <c r="MK8" i="15"/>
  <c r="ML7" i="15"/>
  <c r="NY8" i="15"/>
  <c r="NZ7" i="15"/>
  <c r="HX10" i="15"/>
  <c r="LH10" i="15"/>
  <c r="IZ10" i="15"/>
  <c r="LT10" i="15"/>
  <c r="GG8" i="15"/>
  <c r="GH7" i="15"/>
  <c r="ON10" i="15"/>
  <c r="TX10" i="15"/>
  <c r="GB10" i="15"/>
  <c r="QV10" i="15"/>
  <c r="NL10" i="15"/>
  <c r="IW8" i="15"/>
  <c r="IX7" i="15"/>
  <c r="IF10" i="15"/>
  <c r="BM8" i="15"/>
  <c r="BN7" i="15"/>
  <c r="RU8" i="15"/>
  <c r="RV7" i="15"/>
  <c r="GF10" i="15"/>
  <c r="AJ10" i="15"/>
  <c r="PP10" i="15"/>
  <c r="MW8" i="15"/>
  <c r="MX7" i="15"/>
  <c r="HI8" i="15"/>
  <c r="HJ7" i="15"/>
  <c r="DU8" i="15"/>
  <c r="DV7" i="15"/>
  <c r="UF10" i="15"/>
  <c r="T10" i="15"/>
  <c r="EV10" i="15"/>
  <c r="NU8" i="15"/>
  <c r="NV7" i="15"/>
  <c r="OZ10" i="15"/>
  <c r="UK8" i="15"/>
  <c r="UL7" i="15"/>
  <c r="OO8" i="15"/>
  <c r="OP7" i="15"/>
  <c r="IN10" i="15"/>
  <c r="HY9" i="15"/>
  <c r="KF10" i="15"/>
  <c r="AW8" i="15"/>
  <c r="AX7" i="15"/>
  <c r="NP10" i="15"/>
  <c r="MR10" i="15"/>
  <c r="TP10" i="15"/>
  <c r="HH10" i="15"/>
  <c r="TA8" i="15"/>
  <c r="TB7" i="15"/>
  <c r="KG8" i="15"/>
  <c r="KH7" i="15"/>
  <c r="JX10" i="15"/>
  <c r="IO8" i="15"/>
  <c r="IP7" i="15"/>
  <c r="GK8" i="15"/>
  <c r="GL7" i="15"/>
  <c r="DH10" i="15"/>
  <c r="UG8" i="15"/>
  <c r="UH7" i="15"/>
  <c r="JP10" i="15"/>
  <c r="RM8" i="15"/>
  <c r="RN7" i="15"/>
  <c r="ER10" i="15"/>
  <c r="TD10" i="15"/>
  <c r="SN10" i="15"/>
  <c r="LX10" i="15"/>
  <c r="IG9" i="15"/>
  <c r="JQ8" i="15"/>
  <c r="JR7" i="15"/>
  <c r="PT10" i="15"/>
  <c r="OH7" i="15"/>
  <c r="IB10" i="15"/>
  <c r="HA8" i="15"/>
  <c r="HB7" i="15"/>
  <c r="LI9" i="15"/>
  <c r="RD10" i="15"/>
  <c r="CN10" i="15"/>
  <c r="TI8" i="15"/>
  <c r="TJ7" i="15"/>
  <c r="QG8" i="15"/>
  <c r="QH7" i="15"/>
  <c r="QC8" i="15"/>
  <c r="QD7" i="15"/>
  <c r="LL10" i="15"/>
  <c r="FH10" i="15"/>
  <c r="PX10" i="15"/>
  <c r="GZ10" i="15"/>
  <c r="BY8" i="15"/>
  <c r="BZ7" i="15"/>
  <c r="OF9" i="15"/>
  <c r="FX10" i="15"/>
  <c r="UN10" i="15"/>
  <c r="IJ10" i="15"/>
  <c r="AN10" i="15"/>
  <c r="P10" i="15"/>
  <c r="JT10" i="15"/>
  <c r="RY8" i="15"/>
  <c r="RZ7" i="15"/>
  <c r="EF10" i="15"/>
  <c r="CV10" i="15"/>
  <c r="PZ8" i="15"/>
  <c r="RE9" i="15"/>
  <c r="Y8" i="15"/>
  <c r="Z7" i="15"/>
  <c r="LU8" i="15"/>
  <c r="LV7" i="15"/>
  <c r="BL10" i="15"/>
  <c r="CJ10" i="15"/>
  <c r="OR10" i="15"/>
  <c r="NI8" i="15"/>
  <c r="NJ7" i="15"/>
  <c r="DY8" i="15"/>
  <c r="DZ7" i="15"/>
  <c r="BT9" i="15"/>
  <c r="KR10" i="15"/>
  <c r="BQ9" i="15"/>
  <c r="BR9" i="15" s="1"/>
  <c r="KV10" i="15"/>
  <c r="AV10" i="15"/>
  <c r="TT10" i="15"/>
  <c r="SJ10" i="15"/>
  <c r="EJ10" i="15"/>
  <c r="NT10" i="15"/>
  <c r="AB10" i="15"/>
  <c r="OV10" i="15"/>
  <c r="EC8" i="15"/>
  <c r="ED7" i="15"/>
  <c r="NH10" i="15"/>
  <c r="GR10" i="15"/>
  <c r="DP10" i="15"/>
  <c r="FP10" i="15"/>
  <c r="SR10" i="15"/>
  <c r="NM8" i="15"/>
  <c r="NN7" i="15"/>
  <c r="RA8" i="15"/>
  <c r="RB7" i="15"/>
  <c r="SS8" i="15"/>
  <c r="ST7" i="15"/>
  <c r="CR9" i="15"/>
  <c r="RH10" i="15"/>
  <c r="DR8" i="15"/>
  <c r="RQ8" i="15"/>
  <c r="RR7" i="15"/>
  <c r="BU8" i="15"/>
  <c r="BV8" i="15" s="1"/>
  <c r="QR10" i="15"/>
  <c r="HU8" i="15"/>
  <c r="HV7" i="15"/>
  <c r="M8" i="15"/>
  <c r="N7" i="15"/>
  <c r="KZ10" i="15"/>
  <c r="PH10" i="15"/>
  <c r="EO9" i="15"/>
  <c r="PL9" i="15"/>
  <c r="ES8" i="15"/>
  <c r="ET7" i="15"/>
  <c r="RL10" i="15"/>
  <c r="HP10" i="15"/>
  <c r="LA8" i="15"/>
  <c r="LB7" i="15"/>
  <c r="HD10" i="15"/>
  <c r="RJ8" i="15"/>
  <c r="X10" i="15"/>
  <c r="EB10" i="15"/>
  <c r="DD10" i="15"/>
  <c r="SB10" i="15"/>
  <c r="AF10" i="15"/>
  <c r="QF10" i="15"/>
  <c r="PQ8" i="15"/>
  <c r="PR7" i="15"/>
  <c r="QB10" i="15"/>
  <c r="BH10" i="15"/>
  <c r="PN7" i="15"/>
  <c r="CG8" i="15"/>
  <c r="CH7" i="15"/>
  <c r="JU8" i="15"/>
  <c r="JV7" i="15"/>
  <c r="GJ10" i="15"/>
  <c r="BP10" i="15"/>
  <c r="LE8" i="15"/>
  <c r="LF7" i="15"/>
  <c r="FF8" i="15"/>
  <c r="JE8" i="15"/>
  <c r="JF7" i="15"/>
  <c r="JH10" i="15"/>
  <c r="GN10" i="15"/>
  <c r="KJ10" i="15"/>
  <c r="OB10" i="15"/>
  <c r="AK9" i="15"/>
  <c r="AL9" i="15" s="1"/>
  <c r="OC8" i="15"/>
  <c r="OD7" i="15"/>
  <c r="JD10" i="15"/>
  <c r="AR10" i="15"/>
  <c r="L10" i="15"/>
  <c r="BR8" i="15"/>
  <c r="H9" i="15"/>
  <c r="UO9" i="15"/>
  <c r="CZ10" i="15"/>
  <c r="FD10" i="15"/>
  <c r="TH10" i="15"/>
  <c r="TY9" i="15"/>
  <c r="TZ9" i="15" s="1"/>
  <c r="DE8" i="15"/>
  <c r="DF7" i="15"/>
  <c r="IK8" i="15"/>
  <c r="IL7" i="15"/>
  <c r="GV10" i="15"/>
  <c r="AS8" i="15"/>
  <c r="AT7" i="15"/>
  <c r="FL10" i="15"/>
  <c r="DL10" i="15"/>
  <c r="HT10" i="15"/>
  <c r="DT10" i="15"/>
  <c r="QZ10" i="15"/>
  <c r="PU8" i="15"/>
  <c r="PV7" i="15"/>
  <c r="OW8" i="15"/>
  <c r="OX7" i="15"/>
  <c r="NQ8" i="15"/>
  <c r="NR7" i="15"/>
  <c r="TL10" i="15"/>
  <c r="PD10" i="15"/>
  <c r="UB10" i="15"/>
  <c r="OJ10" i="15"/>
  <c r="MH8" i="15"/>
  <c r="QK8" i="15"/>
  <c r="QL7" i="15"/>
  <c r="IR10" i="15"/>
  <c r="CW8" i="15"/>
  <c r="CX7" i="15"/>
  <c r="RP10" i="15"/>
  <c r="SZ10" i="15"/>
  <c r="QJ10" i="15"/>
  <c r="FQ8" i="15"/>
  <c r="FR7" i="15"/>
  <c r="MS8" i="15"/>
  <c r="MT7" i="15"/>
  <c r="FA8" i="15"/>
  <c r="FB7" i="15"/>
  <c r="MV10" i="15"/>
  <c r="UR10" i="15"/>
  <c r="MF10" i="15"/>
  <c r="EK9" i="15"/>
  <c r="EL9" i="15" s="1"/>
  <c r="IT8" i="15"/>
  <c r="GO9" i="15"/>
  <c r="JI8" i="15"/>
  <c r="JJ7" i="15"/>
  <c r="DA9" i="15"/>
  <c r="DB9" i="15" s="1"/>
  <c r="PA8" i="15"/>
  <c r="PB7" i="15"/>
  <c r="KW8" i="15"/>
  <c r="KX7" i="15"/>
  <c r="DX10" i="15"/>
  <c r="ND10" i="15"/>
  <c r="KN10" i="15"/>
  <c r="MJ10" i="15"/>
  <c r="TM8" i="15"/>
  <c r="TN7" i="15"/>
  <c r="SF10" i="15"/>
  <c r="MB10" i="15"/>
  <c r="KO9" i="15"/>
  <c r="UC8" i="15"/>
  <c r="UD7" i="15"/>
  <c r="KS9" i="15"/>
  <c r="BF8" i="15"/>
  <c r="HQ9" i="15"/>
  <c r="LP10" i="15"/>
  <c r="CB9" i="15"/>
  <c r="MZ9" i="15"/>
  <c r="OS8" i="15"/>
  <c r="OT7" i="15"/>
  <c r="LD10" i="15"/>
  <c r="KB10" i="15"/>
  <c r="UJ10" i="15"/>
  <c r="TQ8" i="15"/>
  <c r="TR7" i="15"/>
  <c r="HL10" i="15"/>
  <c r="SC8" i="15"/>
  <c r="SD7" i="15"/>
  <c r="KK9" i="15"/>
  <c r="DI8" i="15"/>
  <c r="DJ7" i="15"/>
  <c r="SH8" i="15"/>
  <c r="JL10" i="15"/>
  <c r="SV10" i="15"/>
  <c r="BA9" i="15"/>
  <c r="BB9" i="15" s="1"/>
  <c r="F8" i="15"/>
  <c r="BD10" i="15"/>
  <c r="PE9" i="15"/>
  <c r="PF9" i="15" s="1"/>
  <c r="OK9" i="15"/>
  <c r="OL9" i="15" s="1"/>
  <c r="QN10" i="15"/>
  <c r="NB7" i="15"/>
  <c r="TE8" i="15"/>
  <c r="TF7" i="15"/>
  <c r="EZ10" i="15"/>
  <c r="CS8" i="15"/>
  <c r="MN10" i="15"/>
  <c r="BX10" i="15"/>
  <c r="HN8" i="15"/>
  <c r="RX10" i="15"/>
  <c r="EW8" i="15"/>
  <c r="EX7" i="15"/>
  <c r="SX8" i="15"/>
  <c r="D10" i="15"/>
  <c r="QW9" i="15"/>
  <c r="QX9" i="15" s="1"/>
  <c r="F13" i="2"/>
  <c r="G13" i="2" s="1"/>
  <c r="E13" i="11"/>
  <c r="F12" i="11"/>
  <c r="E13" i="9"/>
  <c r="F12" i="9"/>
  <c r="E13" i="8"/>
  <c r="F12" i="8"/>
  <c r="G12" i="2"/>
  <c r="E14" i="2"/>
  <c r="FU9" i="15" l="1"/>
  <c r="FV9" i="15" s="1"/>
  <c r="DN8" i="15"/>
  <c r="CO9" i="15"/>
  <c r="CO10" i="15" s="1"/>
  <c r="CP10" i="15" s="1"/>
  <c r="JM10" i="15"/>
  <c r="JN10" i="15" s="1"/>
  <c r="CK9" i="15"/>
  <c r="CL9" i="15" s="1"/>
  <c r="SK9" i="15"/>
  <c r="SL9" i="15" s="1"/>
  <c r="FY9" i="15"/>
  <c r="FY10" i="15" s="1"/>
  <c r="FZ10" i="15" s="1"/>
  <c r="LM9" i="15"/>
  <c r="LN9" i="15" s="1"/>
  <c r="LQ9" i="15"/>
  <c r="LR9" i="15" s="1"/>
  <c r="GT8" i="15"/>
  <c r="AO9" i="15"/>
  <c r="AP9" i="15" s="1"/>
  <c r="LY9" i="15"/>
  <c r="LZ9" i="15" s="1"/>
  <c r="IC9" i="15"/>
  <c r="ID9" i="15" s="1"/>
  <c r="BI9" i="15"/>
  <c r="BJ9" i="15" s="1"/>
  <c r="IS10" i="15"/>
  <c r="IT10" i="15" s="1"/>
  <c r="JZ8" i="15"/>
  <c r="SW10" i="15"/>
  <c r="SX10" i="15" s="1"/>
  <c r="U9" i="15"/>
  <c r="V9" i="15" s="1"/>
  <c r="QO9" i="15"/>
  <c r="QP9" i="15" s="1"/>
  <c r="JA10" i="15"/>
  <c r="JB10" i="15" s="1"/>
  <c r="HE9" i="15"/>
  <c r="HF9" i="15" s="1"/>
  <c r="QS10" i="15"/>
  <c r="QT10" i="15" s="1"/>
  <c r="BE10" i="15"/>
  <c r="BF10" i="15" s="1"/>
  <c r="TU10" i="15"/>
  <c r="TV10" i="15" s="1"/>
  <c r="NA9" i="15"/>
  <c r="NB9" i="15" s="1"/>
  <c r="EG10" i="15"/>
  <c r="EH10" i="15" s="1"/>
  <c r="UO10" i="15"/>
  <c r="UP10" i="15" s="1"/>
  <c r="HY10" i="15"/>
  <c r="HZ10" i="15" s="1"/>
  <c r="JY10" i="15"/>
  <c r="JZ10" i="15" s="1"/>
  <c r="AC10" i="15"/>
  <c r="AD10" i="15" s="1"/>
  <c r="HM10" i="15"/>
  <c r="HN10" i="15" s="1"/>
  <c r="HQ10" i="15"/>
  <c r="HR10" i="15" s="1"/>
  <c r="CS9" i="15"/>
  <c r="CT9" i="15" s="1"/>
  <c r="KK10" i="15"/>
  <c r="KL10" i="15" s="1"/>
  <c r="IG10" i="15"/>
  <c r="IH10" i="15" s="1"/>
  <c r="GS10" i="15"/>
  <c r="GT10" i="15" s="1"/>
  <c r="MC10" i="15"/>
  <c r="MD10" i="15" s="1"/>
  <c r="MG10" i="15"/>
  <c r="MH10" i="15" s="1"/>
  <c r="LI10" i="15"/>
  <c r="LJ10" i="15" s="1"/>
  <c r="MO10" i="15"/>
  <c r="MP10" i="15" s="1"/>
  <c r="FE10" i="15"/>
  <c r="FF10" i="15" s="1"/>
  <c r="KS10" i="15"/>
  <c r="KT10" i="15" s="1"/>
  <c r="KO10" i="15"/>
  <c r="KP10" i="15" s="1"/>
  <c r="OG9" i="15"/>
  <c r="OH9" i="15" s="1"/>
  <c r="SG10" i="15"/>
  <c r="SH10" i="15" s="1"/>
  <c r="PM9" i="15"/>
  <c r="PN9" i="15" s="1"/>
  <c r="E10" i="15"/>
  <c r="F10" i="15" s="1"/>
  <c r="EO10" i="15"/>
  <c r="EP10" i="15" s="1"/>
  <c r="IH9" i="15"/>
  <c r="EP9" i="15"/>
  <c r="BA10" i="15"/>
  <c r="GN11" i="15"/>
  <c r="DX11" i="15"/>
  <c r="HA9" i="15"/>
  <c r="HB8" i="15"/>
  <c r="PP11" i="15"/>
  <c r="GB11" i="15"/>
  <c r="HU9" i="15"/>
  <c r="HV8" i="15"/>
  <c r="H10" i="15"/>
  <c r="JE9" i="15"/>
  <c r="JF8" i="15"/>
  <c r="PQ9" i="15"/>
  <c r="PR8" i="15"/>
  <c r="HR9" i="15"/>
  <c r="BU9" i="15"/>
  <c r="UK9" i="15"/>
  <c r="UL8" i="15"/>
  <c r="MK9" i="15"/>
  <c r="ML8" i="15"/>
  <c r="KC9" i="15"/>
  <c r="KD8" i="15"/>
  <c r="QF11" i="15"/>
  <c r="HP11" i="15"/>
  <c r="FP11" i="15"/>
  <c r="NI9" i="15"/>
  <c r="NJ8" i="15"/>
  <c r="RY9" i="15"/>
  <c r="RZ8" i="15"/>
  <c r="PX11" i="15"/>
  <c r="IB11" i="15"/>
  <c r="RM9" i="15"/>
  <c r="RN8" i="15"/>
  <c r="HH11" i="15"/>
  <c r="AJ11" i="15"/>
  <c r="TX11" i="15"/>
  <c r="RT11" i="15"/>
  <c r="IV11" i="15"/>
  <c r="FA9" i="15"/>
  <c r="FB8" i="15"/>
  <c r="CV11" i="15"/>
  <c r="NX11" i="15"/>
  <c r="OO9" i="15"/>
  <c r="OP8" i="15"/>
  <c r="QB11" i="15"/>
  <c r="D11" i="15"/>
  <c r="JH11" i="15"/>
  <c r="BY9" i="15"/>
  <c r="BZ8" i="15"/>
  <c r="UC9" i="15"/>
  <c r="UD8" i="15"/>
  <c r="JT11" i="15"/>
  <c r="CJ11" i="15"/>
  <c r="NU9" i="15"/>
  <c r="NV8" i="15"/>
  <c r="EN11" i="15"/>
  <c r="RD11" i="15"/>
  <c r="NT11" i="15"/>
  <c r="TA9" i="15"/>
  <c r="TB8" i="15"/>
  <c r="L11" i="15"/>
  <c r="AF11" i="15"/>
  <c r="TP11" i="15"/>
  <c r="P11" i="15"/>
  <c r="PT11" i="15"/>
  <c r="MR11" i="15"/>
  <c r="RU9" i="15"/>
  <c r="RV8" i="15"/>
  <c r="CB10" i="15"/>
  <c r="MS9" i="15"/>
  <c r="MT8" i="15"/>
  <c r="SR11" i="15"/>
  <c r="GF11" i="15"/>
  <c r="RH11" i="15"/>
  <c r="UG9" i="15"/>
  <c r="UH8" i="15"/>
  <c r="EV11" i="15"/>
  <c r="GG9" i="15"/>
  <c r="GH8" i="15"/>
  <c r="GC9" i="15"/>
  <c r="GD8" i="15"/>
  <c r="CF11" i="15"/>
  <c r="NY9" i="15"/>
  <c r="NZ8" i="15"/>
  <c r="FL11" i="15"/>
  <c r="SC9" i="15"/>
  <c r="SD8" i="15"/>
  <c r="PA9" i="15"/>
  <c r="PB8" i="15"/>
  <c r="FT11" i="15"/>
  <c r="LP11" i="15"/>
  <c r="ER11" i="15"/>
  <c r="LA9" i="15"/>
  <c r="LB8" i="15"/>
  <c r="KW9" i="15"/>
  <c r="KX8" i="15"/>
  <c r="DA10" i="15"/>
  <c r="DB10" i="15" s="1"/>
  <c r="NQ9" i="15"/>
  <c r="NR8" i="15"/>
  <c r="EW9" i="15"/>
  <c r="EX8" i="15"/>
  <c r="GV11" i="15"/>
  <c r="GW10" i="15"/>
  <c r="GJ11" i="15"/>
  <c r="NP11" i="15"/>
  <c r="CR10" i="15"/>
  <c r="AV11" i="15"/>
  <c r="BL11" i="15"/>
  <c r="QC9" i="15"/>
  <c r="QD8" i="15"/>
  <c r="LT11" i="15"/>
  <c r="Q9" i="15"/>
  <c r="R8" i="15"/>
  <c r="AZ11" i="15"/>
  <c r="RX11" i="15"/>
  <c r="PU9" i="15"/>
  <c r="PV8" i="15"/>
  <c r="OC9" i="15"/>
  <c r="OD8" i="15"/>
  <c r="CT8" i="15"/>
  <c r="IJ11" i="15"/>
  <c r="AW9" i="15"/>
  <c r="AX8" i="15"/>
  <c r="IF11" i="15"/>
  <c r="DI9" i="15"/>
  <c r="DJ8" i="15"/>
  <c r="QW10" i="15"/>
  <c r="QX10" i="15" s="1"/>
  <c r="QJ11" i="15"/>
  <c r="TQ9" i="15"/>
  <c r="TR8" i="15"/>
  <c r="DH11" i="15"/>
  <c r="EK10" i="15"/>
  <c r="LD11" i="15"/>
  <c r="JU9" i="15"/>
  <c r="JV8" i="15"/>
  <c r="KV11" i="15"/>
  <c r="LU9" i="15"/>
  <c r="LV8" i="15"/>
  <c r="UP9" i="15"/>
  <c r="QG9" i="15"/>
  <c r="QH8" i="15"/>
  <c r="GK9" i="15"/>
  <c r="GL8" i="15"/>
  <c r="UF11" i="15"/>
  <c r="IZ11" i="15"/>
  <c r="NE9" i="15"/>
  <c r="NF8" i="15"/>
  <c r="RI10" i="15"/>
  <c r="MW9" i="15"/>
  <c r="MX8" i="15"/>
  <c r="OR11" i="15"/>
  <c r="ON11" i="15"/>
  <c r="OK10" i="15"/>
  <c r="OL10" i="15" s="1"/>
  <c r="ES9" i="15"/>
  <c r="ET8" i="15"/>
  <c r="RP11" i="15"/>
  <c r="KB11" i="15"/>
  <c r="SF11" i="15"/>
  <c r="TY10" i="15"/>
  <c r="UN11" i="15"/>
  <c r="LX11" i="15"/>
  <c r="LH11" i="15"/>
  <c r="PY10" i="15"/>
  <c r="OJ11" i="15"/>
  <c r="BT10" i="15"/>
  <c r="CZ11" i="15"/>
  <c r="EZ11" i="15"/>
  <c r="DL11" i="15"/>
  <c r="EJ11" i="15"/>
  <c r="DY9" i="15"/>
  <c r="DZ8" i="15"/>
  <c r="RL11" i="15"/>
  <c r="DP11" i="15"/>
  <c r="DQ10" i="15"/>
  <c r="JP11" i="15"/>
  <c r="SZ11" i="15"/>
  <c r="JI9" i="15"/>
  <c r="JJ8" i="15"/>
  <c r="UJ11" i="15"/>
  <c r="JD11" i="15"/>
  <c r="IK9" i="15"/>
  <c r="IL8" i="15"/>
  <c r="T11" i="15"/>
  <c r="IR11" i="15"/>
  <c r="PH11" i="15"/>
  <c r="MJ11" i="15"/>
  <c r="QZ11" i="15"/>
  <c r="SS9" i="15"/>
  <c r="ST8" i="15"/>
  <c r="UR11" i="15"/>
  <c r="TH11" i="15"/>
  <c r="OB11" i="15"/>
  <c r="CG9" i="15"/>
  <c r="CH8" i="15"/>
  <c r="KZ11" i="15"/>
  <c r="OV11" i="15"/>
  <c r="Y9" i="15"/>
  <c r="Z8" i="15"/>
  <c r="TI9" i="15"/>
  <c r="TJ8" i="15"/>
  <c r="SN11" i="15"/>
  <c r="IO9" i="15"/>
  <c r="IP8" i="15"/>
  <c r="DU9" i="15"/>
  <c r="DV8" i="15"/>
  <c r="IW9" i="15"/>
  <c r="IX8" i="15"/>
  <c r="LJ9" i="15"/>
  <c r="US9" i="15"/>
  <c r="UT8" i="15"/>
  <c r="HD11" i="15"/>
  <c r="UB11" i="15"/>
  <c r="EF11" i="15"/>
  <c r="FQ9" i="15"/>
  <c r="FR8" i="15"/>
  <c r="AS9" i="15"/>
  <c r="AT8" i="15"/>
  <c r="FH11" i="15"/>
  <c r="BP11" i="15"/>
  <c r="AR11" i="15"/>
  <c r="PE10" i="15"/>
  <c r="PF10" i="15" s="1"/>
  <c r="LL11" i="15"/>
  <c r="SB11" i="15"/>
  <c r="AN11" i="15"/>
  <c r="DD11" i="15"/>
  <c r="BM9" i="15"/>
  <c r="BN8" i="15"/>
  <c r="MF11" i="15"/>
  <c r="AK10" i="15"/>
  <c r="EB11" i="15"/>
  <c r="KN11" i="15"/>
  <c r="QK9" i="15"/>
  <c r="QL8" i="15"/>
  <c r="KL9" i="15"/>
  <c r="X11" i="15"/>
  <c r="AB11" i="15"/>
  <c r="BQ10" i="15"/>
  <c r="RE10" i="15"/>
  <c r="FX11" i="15"/>
  <c r="IN11" i="15"/>
  <c r="I9" i="15"/>
  <c r="J9" i="15" s="1"/>
  <c r="SO10" i="15"/>
  <c r="AG10" i="15"/>
  <c r="KG9" i="15"/>
  <c r="KH8" i="15"/>
  <c r="TD11" i="15"/>
  <c r="HL11" i="15"/>
  <c r="RQ9" i="15"/>
  <c r="RR8" i="15"/>
  <c r="OZ11" i="15"/>
  <c r="LE9" i="15"/>
  <c r="LF8" i="15"/>
  <c r="QN11" i="15"/>
  <c r="GO10" i="15"/>
  <c r="GP10" i="15" s="1"/>
  <c r="OW9" i="15"/>
  <c r="OX8" i="15"/>
  <c r="PL10" i="15"/>
  <c r="TM9" i="15"/>
  <c r="TN8" i="15"/>
  <c r="DE9" i="15"/>
  <c r="DF8" i="15"/>
  <c r="EC9" i="15"/>
  <c r="ED8" i="15"/>
  <c r="BX11" i="15"/>
  <c r="OS9" i="15"/>
  <c r="OT8" i="15"/>
  <c r="MN11" i="15"/>
  <c r="JL11" i="15"/>
  <c r="MZ10" i="15"/>
  <c r="KP9" i="15"/>
  <c r="MV11" i="15"/>
  <c r="DT11" i="15"/>
  <c r="FD11" i="15"/>
  <c r="KJ11" i="15"/>
  <c r="RA9" i="15"/>
  <c r="RB8" i="15"/>
  <c r="KT9" i="15"/>
  <c r="OF10" i="15"/>
  <c r="CN11" i="15"/>
  <c r="PI10" i="15"/>
  <c r="PJ10" i="15" s="1"/>
  <c r="JX11" i="15"/>
  <c r="HZ9" i="15"/>
  <c r="FI10" i="15"/>
  <c r="NM9" i="15"/>
  <c r="NN8" i="15"/>
  <c r="QV11" i="15"/>
  <c r="GZ11" i="15"/>
  <c r="QR11" i="15"/>
  <c r="TE9" i="15"/>
  <c r="TF8" i="15"/>
  <c r="PD11" i="15"/>
  <c r="SJ11" i="15"/>
  <c r="TL11" i="15"/>
  <c r="GR11" i="15"/>
  <c r="MB11" i="15"/>
  <c r="TT11" i="15"/>
  <c r="BD11" i="15"/>
  <c r="CW9" i="15"/>
  <c r="CX8" i="15"/>
  <c r="NH11" i="15"/>
  <c r="JQ9" i="15"/>
  <c r="JR8" i="15"/>
  <c r="DM10" i="15"/>
  <c r="KF11" i="15"/>
  <c r="SV11" i="15"/>
  <c r="LY10" i="15"/>
  <c r="LZ10" i="15" s="1"/>
  <c r="ND11" i="15"/>
  <c r="CC9" i="15"/>
  <c r="CD9" i="15" s="1"/>
  <c r="HT11" i="15"/>
  <c r="GP9" i="15"/>
  <c r="BH11" i="15"/>
  <c r="M9" i="15"/>
  <c r="N8" i="15"/>
  <c r="KR11" i="15"/>
  <c r="RF9" i="15"/>
  <c r="FM10" i="15"/>
  <c r="HI9" i="15"/>
  <c r="HJ8" i="15"/>
  <c r="NL11" i="15"/>
  <c r="HX11" i="15"/>
  <c r="F13" i="11"/>
  <c r="G13" i="11" s="1"/>
  <c r="F13" i="8"/>
  <c r="G13" i="8" s="1"/>
  <c r="G12" i="11"/>
  <c r="E14" i="11"/>
  <c r="G12" i="10"/>
  <c r="G13" i="10"/>
  <c r="F13" i="9"/>
  <c r="G13" i="9" s="1"/>
  <c r="E14" i="9"/>
  <c r="G12" i="9"/>
  <c r="G12" i="8"/>
  <c r="E14" i="8"/>
  <c r="E15" i="2"/>
  <c r="F14" i="2"/>
  <c r="CK10" i="15" l="1"/>
  <c r="CL10" i="15" s="1"/>
  <c r="FU10" i="15"/>
  <c r="FV10" i="15" s="1"/>
  <c r="CP9" i="15"/>
  <c r="LQ10" i="15"/>
  <c r="LR10" i="15" s="1"/>
  <c r="AO10" i="15"/>
  <c r="AP10" i="15" s="1"/>
  <c r="FZ9" i="15"/>
  <c r="SK10" i="15"/>
  <c r="SL10" i="15" s="1"/>
  <c r="LM10" i="15"/>
  <c r="LN10" i="15" s="1"/>
  <c r="JA11" i="15"/>
  <c r="JB11" i="15" s="1"/>
  <c r="IC10" i="15"/>
  <c r="ID10" i="15" s="1"/>
  <c r="BI10" i="15"/>
  <c r="BI11" i="15" s="1"/>
  <c r="BJ11" i="15" s="1"/>
  <c r="U10" i="15"/>
  <c r="U11" i="15" s="1"/>
  <c r="V11" i="15" s="1"/>
  <c r="QS11" i="15"/>
  <c r="QT11" i="15" s="1"/>
  <c r="NA10" i="15"/>
  <c r="NB10" i="15" s="1"/>
  <c r="UO11" i="15"/>
  <c r="UP11" i="15" s="1"/>
  <c r="JY11" i="15"/>
  <c r="JZ11" i="15" s="1"/>
  <c r="QO10" i="15"/>
  <c r="QP10" i="15" s="1"/>
  <c r="HE10" i="15"/>
  <c r="HF10" i="15" s="1"/>
  <c r="AC11" i="15"/>
  <c r="AD11" i="15" s="1"/>
  <c r="MC11" i="15"/>
  <c r="MD11" i="15" s="1"/>
  <c r="GS11" i="15"/>
  <c r="GT11" i="15" s="1"/>
  <c r="CS10" i="15"/>
  <c r="CT10" i="15" s="1"/>
  <c r="KK11" i="15"/>
  <c r="KL11" i="15" s="1"/>
  <c r="IG11" i="15"/>
  <c r="IH11" i="15" s="1"/>
  <c r="HQ11" i="15"/>
  <c r="HR11" i="15" s="1"/>
  <c r="MO11" i="15"/>
  <c r="MP11" i="15" s="1"/>
  <c r="MG11" i="15"/>
  <c r="MH11" i="15" s="1"/>
  <c r="KO11" i="15"/>
  <c r="KP11" i="15" s="1"/>
  <c r="LI11" i="15"/>
  <c r="LJ11" i="15" s="1"/>
  <c r="RI11" i="15"/>
  <c r="RJ11" i="15" s="1"/>
  <c r="E11" i="15"/>
  <c r="F11" i="15" s="1"/>
  <c r="OG10" i="15"/>
  <c r="OH10" i="15" s="1"/>
  <c r="BA11" i="15"/>
  <c r="BB11" i="15" s="1"/>
  <c r="SG11" i="15"/>
  <c r="SH11" i="15" s="1"/>
  <c r="FE11" i="15"/>
  <c r="FF11" i="15" s="1"/>
  <c r="KS11" i="15"/>
  <c r="KT11" i="15" s="1"/>
  <c r="FY11" i="15"/>
  <c r="FZ11" i="15" s="1"/>
  <c r="FI11" i="15"/>
  <c r="FJ11" i="15" s="1"/>
  <c r="BQ11" i="15"/>
  <c r="BR11" i="15" s="1"/>
  <c r="BB10" i="15"/>
  <c r="FM11" i="15"/>
  <c r="FN11" i="15" s="1"/>
  <c r="PY11" i="15"/>
  <c r="PZ11" i="15" s="1"/>
  <c r="DM11" i="15"/>
  <c r="AG11" i="15"/>
  <c r="AH11" i="15" s="1"/>
  <c r="SO11" i="15"/>
  <c r="SP11" i="15" s="1"/>
  <c r="DQ11" i="15"/>
  <c r="DR11" i="15" s="1"/>
  <c r="TY11" i="15"/>
  <c r="TZ11" i="15" s="1"/>
  <c r="RE11" i="15"/>
  <c r="RF11" i="15" s="1"/>
  <c r="EK11" i="15"/>
  <c r="EL11" i="15" s="1"/>
  <c r="KC10" i="15"/>
  <c r="KD9" i="15"/>
  <c r="MJ12" i="15"/>
  <c r="OR12" i="15"/>
  <c r="AV12" i="15"/>
  <c r="ER12" i="15"/>
  <c r="RD12" i="15"/>
  <c r="QB12" i="15"/>
  <c r="MK10" i="15"/>
  <c r="ML9" i="15"/>
  <c r="ON12" i="15"/>
  <c r="CF12" i="15"/>
  <c r="AW10" i="15"/>
  <c r="AX9" i="15"/>
  <c r="Y10" i="15"/>
  <c r="Z9" i="15"/>
  <c r="PH12" i="15"/>
  <c r="DR10" i="15"/>
  <c r="IJ12" i="15"/>
  <c r="GC10" i="15"/>
  <c r="GD9" i="15"/>
  <c r="RF10" i="15"/>
  <c r="RM10" i="15"/>
  <c r="RN9" i="15"/>
  <c r="DX12" i="15"/>
  <c r="EF12" i="15"/>
  <c r="AN12" i="15"/>
  <c r="TE10" i="15"/>
  <c r="TF9" i="15"/>
  <c r="OO10" i="15"/>
  <c r="OP9" i="15"/>
  <c r="IB12" i="15"/>
  <c r="TL12" i="15"/>
  <c r="QC10" i="15"/>
  <c r="QD9" i="15"/>
  <c r="HA10" i="15"/>
  <c r="HB9" i="15"/>
  <c r="IR12" i="15"/>
  <c r="RL12" i="15"/>
  <c r="LX12" i="15"/>
  <c r="MW10" i="15"/>
  <c r="MX9" i="15"/>
  <c r="LD12" i="15"/>
  <c r="MR12" i="15"/>
  <c r="NX12" i="15"/>
  <c r="PZ10" i="15"/>
  <c r="BU10" i="15"/>
  <c r="BV10" i="15" s="1"/>
  <c r="GN12" i="15"/>
  <c r="QZ12" i="15"/>
  <c r="OJ12" i="15"/>
  <c r="DD12" i="15"/>
  <c r="JU10" i="15"/>
  <c r="JV9" i="15"/>
  <c r="OC10" i="15"/>
  <c r="OD9" i="15"/>
  <c r="NP12" i="15"/>
  <c r="EV12" i="15"/>
  <c r="NU10" i="15"/>
  <c r="NV9" i="15"/>
  <c r="PX12" i="15"/>
  <c r="BT11" i="15"/>
  <c r="QN12" i="15"/>
  <c r="JP12" i="15"/>
  <c r="PD12" i="15"/>
  <c r="OZ12" i="15"/>
  <c r="LH12" i="15"/>
  <c r="CW10" i="15"/>
  <c r="CX9" i="15"/>
  <c r="FT12" i="15"/>
  <c r="PE11" i="15"/>
  <c r="PF11" i="15" s="1"/>
  <c r="DY10" i="15"/>
  <c r="DZ9" i="15"/>
  <c r="NE10" i="15"/>
  <c r="NF9" i="15"/>
  <c r="DH12" i="15"/>
  <c r="PU10" i="15"/>
  <c r="PV9" i="15"/>
  <c r="GJ12" i="15"/>
  <c r="CV12" i="15"/>
  <c r="RY10" i="15"/>
  <c r="RZ9" i="15"/>
  <c r="PQ10" i="15"/>
  <c r="PR9" i="15"/>
  <c r="SJ12" i="15"/>
  <c r="BL12" i="15"/>
  <c r="OS10" i="15"/>
  <c r="OT9" i="15"/>
  <c r="HL12" i="15"/>
  <c r="BD12" i="15"/>
  <c r="AR12" i="15"/>
  <c r="CG10" i="15"/>
  <c r="CH9" i="15"/>
  <c r="IK10" i="15"/>
  <c r="IL9" i="15"/>
  <c r="EL10" i="15"/>
  <c r="RX12" i="15"/>
  <c r="GW11" i="15"/>
  <c r="GX11" i="15" s="1"/>
  <c r="IS11" i="15"/>
  <c r="IT11" i="15" s="1"/>
  <c r="UG10" i="15"/>
  <c r="UH9" i="15"/>
  <c r="P12" i="15"/>
  <c r="KF12" i="15"/>
  <c r="JH12" i="15"/>
  <c r="FQ10" i="15"/>
  <c r="FR9" i="15"/>
  <c r="LA10" i="15"/>
  <c r="LB9" i="15"/>
  <c r="AB12" i="15"/>
  <c r="UK10" i="15"/>
  <c r="UL9" i="15"/>
  <c r="LP12" i="15"/>
  <c r="EC10" i="15"/>
  <c r="ED9" i="15"/>
  <c r="KJ12" i="15"/>
  <c r="DT12" i="15"/>
  <c r="PA10" i="15"/>
  <c r="PB9" i="15"/>
  <c r="AJ12" i="15"/>
  <c r="TI10" i="15"/>
  <c r="TJ9" i="15"/>
  <c r="NT12" i="15"/>
  <c r="BX12" i="15"/>
  <c r="EN12" i="15"/>
  <c r="GG10" i="15"/>
  <c r="GH9" i="15"/>
  <c r="UN12" i="15"/>
  <c r="CJ12" i="15"/>
  <c r="BH12" i="15"/>
  <c r="TD12" i="15"/>
  <c r="OB12" i="15"/>
  <c r="FA10" i="15"/>
  <c r="FB9" i="15"/>
  <c r="GX10" i="15"/>
  <c r="RJ10" i="15"/>
  <c r="HM11" i="15"/>
  <c r="HN11" i="15" s="1"/>
  <c r="CC10" i="15"/>
  <c r="CD10" i="15" s="1"/>
  <c r="TT12" i="15"/>
  <c r="NM10" i="15"/>
  <c r="NN9" i="15"/>
  <c r="MV12" i="15"/>
  <c r="KG10" i="15"/>
  <c r="KH9" i="15"/>
  <c r="KN12" i="15"/>
  <c r="BR10" i="15"/>
  <c r="DU10" i="15"/>
  <c r="DV9" i="15"/>
  <c r="TH12" i="15"/>
  <c r="DL12" i="15"/>
  <c r="UF12" i="15"/>
  <c r="AZ12" i="15"/>
  <c r="RH12" i="15"/>
  <c r="TP12" i="15"/>
  <c r="JT12" i="15"/>
  <c r="IV12" i="15"/>
  <c r="BE11" i="15"/>
  <c r="BF11" i="15" s="1"/>
  <c r="CN12" i="15"/>
  <c r="IF12" i="15"/>
  <c r="MN12" i="15"/>
  <c r="LU10" i="15"/>
  <c r="LV9" i="15"/>
  <c r="HD12" i="15"/>
  <c r="GZ12" i="15"/>
  <c r="TQ10" i="15"/>
  <c r="TR9" i="15"/>
  <c r="ND12" i="15"/>
  <c r="UJ12" i="15"/>
  <c r="RP12" i="15"/>
  <c r="QJ12" i="15"/>
  <c r="EW10" i="15"/>
  <c r="EX9" i="15"/>
  <c r="SC10" i="15"/>
  <c r="SD9" i="15"/>
  <c r="AH10" i="15"/>
  <c r="RT12" i="15"/>
  <c r="HP12" i="15"/>
  <c r="TA10" i="15"/>
  <c r="TB9" i="15"/>
  <c r="BM10" i="15"/>
  <c r="BN9" i="15"/>
  <c r="HH12" i="15"/>
  <c r="JQ10" i="15"/>
  <c r="JR9" i="15"/>
  <c r="RU10" i="15"/>
  <c r="RV9" i="15"/>
  <c r="X12" i="15"/>
  <c r="BJ10" i="15"/>
  <c r="EO11" i="15"/>
  <c r="SF12" i="15"/>
  <c r="PL11" i="15"/>
  <c r="FH12" i="15"/>
  <c r="QW11" i="15"/>
  <c r="AF12" i="15"/>
  <c r="UC10" i="15"/>
  <c r="UD9" i="15"/>
  <c r="HU10" i="15"/>
  <c r="HV9" i="15"/>
  <c r="TU11" i="15"/>
  <c r="TV11" i="15" s="1"/>
  <c r="KW10" i="15"/>
  <c r="KX9" i="15"/>
  <c r="KV12" i="15"/>
  <c r="LE10" i="15"/>
  <c r="LF9" i="15"/>
  <c r="OV12" i="15"/>
  <c r="CR11" i="15"/>
  <c r="RQ10" i="15"/>
  <c r="RR9" i="15"/>
  <c r="KZ12" i="15"/>
  <c r="US10" i="15"/>
  <c r="UT9" i="15"/>
  <c r="FD12" i="15"/>
  <c r="QV12" i="15"/>
  <c r="IW10" i="15"/>
  <c r="IX9" i="15"/>
  <c r="EG11" i="15"/>
  <c r="EH11" i="15" s="1"/>
  <c r="HT12" i="15"/>
  <c r="DN10" i="15"/>
  <c r="FP12" i="15"/>
  <c r="EB12" i="15"/>
  <c r="GK10" i="15"/>
  <c r="GL9" i="15"/>
  <c r="Q10" i="15"/>
  <c r="R9" i="15"/>
  <c r="MZ11" i="15"/>
  <c r="CK11" i="15"/>
  <c r="I10" i="15"/>
  <c r="J10" i="15" s="1"/>
  <c r="AK11" i="15"/>
  <c r="FJ10" i="15"/>
  <c r="IO10" i="15"/>
  <c r="IP9" i="15"/>
  <c r="JI10" i="15"/>
  <c r="JJ9" i="15"/>
  <c r="CZ12" i="15"/>
  <c r="LT12" i="15"/>
  <c r="NQ10" i="15"/>
  <c r="NR9" i="15"/>
  <c r="FL12" i="15"/>
  <c r="L12" i="15"/>
  <c r="TX12" i="15"/>
  <c r="QF12" i="15"/>
  <c r="GB12" i="15"/>
  <c r="MS10" i="15"/>
  <c r="MT9" i="15"/>
  <c r="D12" i="15"/>
  <c r="FX12" i="15"/>
  <c r="CB11" i="15"/>
  <c r="KR12" i="15"/>
  <c r="M10" i="15"/>
  <c r="N9" i="15"/>
  <c r="SB12" i="15"/>
  <c r="DE10" i="15"/>
  <c r="DF9" i="15"/>
  <c r="T12" i="15"/>
  <c r="PT12" i="15"/>
  <c r="TM10" i="15"/>
  <c r="TN9" i="15"/>
  <c r="JD12" i="15"/>
  <c r="IZ12" i="15"/>
  <c r="NI10" i="15"/>
  <c r="NJ9" i="15"/>
  <c r="H11" i="15"/>
  <c r="HX12" i="15"/>
  <c r="HY11" i="15"/>
  <c r="MB12" i="15"/>
  <c r="OW10" i="15"/>
  <c r="OX9" i="15"/>
  <c r="UR12" i="15"/>
  <c r="GF12" i="15"/>
  <c r="NL12" i="15"/>
  <c r="JX12" i="15"/>
  <c r="GR12" i="15"/>
  <c r="JL12" i="15"/>
  <c r="CO11" i="15"/>
  <c r="MF12" i="15"/>
  <c r="SP10" i="15"/>
  <c r="ES10" i="15"/>
  <c r="ET9" i="15"/>
  <c r="QG10" i="15"/>
  <c r="QH9" i="15"/>
  <c r="DI10" i="15"/>
  <c r="DJ9" i="15"/>
  <c r="DA11" i="15"/>
  <c r="DB11" i="15" s="1"/>
  <c r="SR12" i="15"/>
  <c r="BY10" i="15"/>
  <c r="BZ9" i="15"/>
  <c r="TZ10" i="15"/>
  <c r="PM10" i="15"/>
  <c r="OF11" i="15"/>
  <c r="UB12" i="15"/>
  <c r="DP12" i="15"/>
  <c r="RA10" i="15"/>
  <c r="RB9" i="15"/>
  <c r="NH12" i="15"/>
  <c r="QR12" i="15"/>
  <c r="LL12" i="15"/>
  <c r="QK10" i="15"/>
  <c r="QL9" i="15"/>
  <c r="EJ12" i="15"/>
  <c r="GV12" i="15"/>
  <c r="JE10" i="15"/>
  <c r="JF9" i="15"/>
  <c r="BP12" i="15"/>
  <c r="KB12" i="15"/>
  <c r="EZ12" i="15"/>
  <c r="FN10" i="15"/>
  <c r="LY11" i="15"/>
  <c r="HI10" i="15"/>
  <c r="HJ9" i="15"/>
  <c r="SV12" i="15"/>
  <c r="PI11" i="15"/>
  <c r="GO11" i="15"/>
  <c r="IN12" i="15"/>
  <c r="AS10" i="15"/>
  <c r="AT9" i="15"/>
  <c r="SN12" i="15"/>
  <c r="SS10" i="15"/>
  <c r="ST9" i="15"/>
  <c r="SZ12" i="15"/>
  <c r="BV9" i="15"/>
  <c r="OK11" i="15"/>
  <c r="OL11" i="15" s="1"/>
  <c r="NY10" i="15"/>
  <c r="NZ9" i="15"/>
  <c r="AL10" i="15"/>
  <c r="SW11" i="15"/>
  <c r="SX11" i="15" s="1"/>
  <c r="PP12" i="15"/>
  <c r="JM11" i="15"/>
  <c r="JN11" i="15" s="1"/>
  <c r="F14" i="11"/>
  <c r="G14" i="11" s="1"/>
  <c r="F15" i="2"/>
  <c r="G15" i="2" s="1"/>
  <c r="E15" i="11"/>
  <c r="G14" i="10"/>
  <c r="E15" i="9"/>
  <c r="F14" i="9"/>
  <c r="E15" i="8"/>
  <c r="F14" i="8"/>
  <c r="E16" i="2"/>
  <c r="G14" i="2"/>
  <c r="AO11" i="15" l="1"/>
  <c r="LM11" i="15"/>
  <c r="LN11" i="15" s="1"/>
  <c r="FU11" i="15"/>
  <c r="FV11" i="15" s="1"/>
  <c r="FY12" i="15"/>
  <c r="FZ12" i="15" s="1"/>
  <c r="LQ11" i="15"/>
  <c r="LQ12" i="15" s="1"/>
  <c r="LR12" i="15" s="1"/>
  <c r="SK11" i="15"/>
  <c r="SL11" i="15" s="1"/>
  <c r="MC12" i="15"/>
  <c r="MD12" i="15" s="1"/>
  <c r="IC11" i="15"/>
  <c r="IC12" i="15" s="1"/>
  <c r="ID12" i="15" s="1"/>
  <c r="JA12" i="15"/>
  <c r="V10" i="15"/>
  <c r="RI12" i="15"/>
  <c r="RJ12" i="15" s="1"/>
  <c r="NA11" i="15"/>
  <c r="NB11" i="15" s="1"/>
  <c r="QO11" i="15"/>
  <c r="QP11" i="15" s="1"/>
  <c r="JY12" i="15"/>
  <c r="JZ12" i="15" s="1"/>
  <c r="HE11" i="15"/>
  <c r="HE12" i="15" s="1"/>
  <c r="HF12" i="15" s="1"/>
  <c r="E12" i="15"/>
  <c r="F12" i="15" s="1"/>
  <c r="BA12" i="15"/>
  <c r="BB12" i="15" s="1"/>
  <c r="SG12" i="15"/>
  <c r="SH12" i="15" s="1"/>
  <c r="KO12" i="15"/>
  <c r="KP12" i="15" s="1"/>
  <c r="KK12" i="15"/>
  <c r="KL12" i="15" s="1"/>
  <c r="OG11" i="15"/>
  <c r="OH11" i="15" s="1"/>
  <c r="MO12" i="15"/>
  <c r="MP12" i="15" s="1"/>
  <c r="AO12" i="15"/>
  <c r="AP12" i="15" s="1"/>
  <c r="HQ12" i="15"/>
  <c r="HR12" i="15" s="1"/>
  <c r="IG12" i="15"/>
  <c r="IH12" i="15" s="1"/>
  <c r="LI12" i="15"/>
  <c r="LJ12" i="15" s="1"/>
  <c r="MG12" i="15"/>
  <c r="MH12" i="15" s="1"/>
  <c r="DM12" i="15"/>
  <c r="DN12" i="15" s="1"/>
  <c r="U12" i="15"/>
  <c r="V12" i="15" s="1"/>
  <c r="DQ12" i="15"/>
  <c r="DR12" i="15" s="1"/>
  <c r="TY12" i="15"/>
  <c r="TZ12" i="15" s="1"/>
  <c r="CO12" i="15"/>
  <c r="CP12" i="15" s="1"/>
  <c r="PY12" i="15"/>
  <c r="PZ12" i="15" s="1"/>
  <c r="EO12" i="15"/>
  <c r="EP12" i="15" s="1"/>
  <c r="RE12" i="15"/>
  <c r="RF12" i="15" s="1"/>
  <c r="EK12" i="15"/>
  <c r="EL12" i="15" s="1"/>
  <c r="PM11" i="15"/>
  <c r="PN11" i="15" s="1"/>
  <c r="DN11" i="15"/>
  <c r="HY12" i="15"/>
  <c r="HZ12" i="15" s="1"/>
  <c r="AK12" i="15"/>
  <c r="AL12" i="15" s="1"/>
  <c r="EP11" i="15"/>
  <c r="CK12" i="15"/>
  <c r="CL12" i="15" s="1"/>
  <c r="QW12" i="15"/>
  <c r="QX12" i="15" s="1"/>
  <c r="IS12" i="15"/>
  <c r="IT12" i="15" s="1"/>
  <c r="LY12" i="15"/>
  <c r="LZ12" i="15" s="1"/>
  <c r="GO12" i="15"/>
  <c r="GP12" i="15" s="1"/>
  <c r="BP13" i="15"/>
  <c r="KG11" i="15"/>
  <c r="KH10" i="15"/>
  <c r="CL11" i="15"/>
  <c r="KF13" i="15"/>
  <c r="HL13" i="15"/>
  <c r="Y11" i="15"/>
  <c r="Z10" i="15"/>
  <c r="PD13" i="15"/>
  <c r="AS11" i="15"/>
  <c r="AT10" i="15"/>
  <c r="HX13" i="15"/>
  <c r="US11" i="15"/>
  <c r="UT10" i="15"/>
  <c r="BM11" i="15"/>
  <c r="BN10" i="15"/>
  <c r="ND13" i="15"/>
  <c r="JT13" i="15"/>
  <c r="CJ13" i="15"/>
  <c r="DT13" i="15"/>
  <c r="PU11" i="15"/>
  <c r="PV10" i="15"/>
  <c r="MW11" i="15"/>
  <c r="MX10" i="15"/>
  <c r="TE11" i="15"/>
  <c r="TF10" i="15"/>
  <c r="OR13" i="15"/>
  <c r="UB13" i="15"/>
  <c r="M11" i="15"/>
  <c r="N10" i="15"/>
  <c r="L13" i="15"/>
  <c r="Q11" i="15"/>
  <c r="R10" i="15"/>
  <c r="AF13" i="15"/>
  <c r="MV13" i="15"/>
  <c r="JU11" i="15"/>
  <c r="JV10" i="15"/>
  <c r="LZ11" i="15"/>
  <c r="AP11" i="15"/>
  <c r="AW11" i="15"/>
  <c r="AX10" i="15"/>
  <c r="H12" i="15"/>
  <c r="KR13" i="15"/>
  <c r="KZ13" i="15"/>
  <c r="TA11" i="15"/>
  <c r="TB10" i="15"/>
  <c r="TQ11" i="15"/>
  <c r="TR10" i="15"/>
  <c r="TP13" i="15"/>
  <c r="UN13" i="15"/>
  <c r="KJ13" i="15"/>
  <c r="DH13" i="15"/>
  <c r="JP13" i="15"/>
  <c r="LX13" i="15"/>
  <c r="AN13" i="15"/>
  <c r="MJ13" i="15"/>
  <c r="OZ13" i="15"/>
  <c r="OO11" i="15"/>
  <c r="OP10" i="15"/>
  <c r="HZ11" i="15"/>
  <c r="JL13" i="15"/>
  <c r="NM11" i="15"/>
  <c r="NN10" i="15"/>
  <c r="TT13" i="15"/>
  <c r="AG12" i="15"/>
  <c r="AH12" i="15" s="1"/>
  <c r="CR12" i="15"/>
  <c r="PL12" i="15"/>
  <c r="AZ13" i="15"/>
  <c r="CC11" i="15"/>
  <c r="EN13" i="15"/>
  <c r="LP13" i="15"/>
  <c r="IR13" i="15"/>
  <c r="FU12" i="15"/>
  <c r="FV12" i="15" s="1"/>
  <c r="KS12" i="15"/>
  <c r="KT12" i="15" s="1"/>
  <c r="PA11" i="15"/>
  <c r="PB10" i="15"/>
  <c r="SN13" i="15"/>
  <c r="GJ13" i="15"/>
  <c r="DD13" i="15"/>
  <c r="UG11" i="15"/>
  <c r="UH10" i="15"/>
  <c r="QK11" i="15"/>
  <c r="QL10" i="15"/>
  <c r="JX13" i="15"/>
  <c r="FX13" i="15"/>
  <c r="LT13" i="15"/>
  <c r="SF13" i="15"/>
  <c r="RT13" i="15"/>
  <c r="HD13" i="15"/>
  <c r="HM12" i="15"/>
  <c r="GW12" i="15"/>
  <c r="GX12" i="15" s="1"/>
  <c r="DY11" i="15"/>
  <c r="DZ10" i="15"/>
  <c r="PX13" i="15"/>
  <c r="DX13" i="15"/>
  <c r="OC11" i="15"/>
  <c r="OD10" i="15"/>
  <c r="IV13" i="15"/>
  <c r="OS11" i="15"/>
  <c r="OT10" i="15"/>
  <c r="NQ11" i="15"/>
  <c r="NR10" i="15"/>
  <c r="BY11" i="15"/>
  <c r="BZ10" i="15"/>
  <c r="JD13" i="15"/>
  <c r="CZ13" i="15"/>
  <c r="FP13" i="15"/>
  <c r="OV13" i="15"/>
  <c r="UF13" i="15"/>
  <c r="BX13" i="15"/>
  <c r="UK11" i="15"/>
  <c r="UL10" i="15"/>
  <c r="SJ13" i="15"/>
  <c r="PE12" i="15"/>
  <c r="QZ13" i="15"/>
  <c r="MK11" i="15"/>
  <c r="ML10" i="15"/>
  <c r="ES11" i="15"/>
  <c r="ET10" i="15"/>
  <c r="TX13" i="15"/>
  <c r="SB13" i="15"/>
  <c r="FL13" i="15"/>
  <c r="FH13" i="15"/>
  <c r="NE11" i="15"/>
  <c r="NF10" i="15"/>
  <c r="ON13" i="15"/>
  <c r="RA11" i="15"/>
  <c r="RB10" i="15"/>
  <c r="BH13" i="15"/>
  <c r="LD13" i="15"/>
  <c r="P13" i="15"/>
  <c r="GR13" i="15"/>
  <c r="QN13" i="15"/>
  <c r="EB13" i="15"/>
  <c r="BT12" i="15"/>
  <c r="SV13" i="15"/>
  <c r="D13" i="15"/>
  <c r="GP11" i="15"/>
  <c r="GN13" i="15"/>
  <c r="DA12" i="15"/>
  <c r="MN13" i="15"/>
  <c r="BU11" i="15"/>
  <c r="QC11" i="15"/>
  <c r="QD10" i="15"/>
  <c r="KB13" i="15"/>
  <c r="DP13" i="15"/>
  <c r="OF12" i="15"/>
  <c r="PI12" i="15"/>
  <c r="PJ12" i="15" s="1"/>
  <c r="HP13" i="15"/>
  <c r="KC11" i="15"/>
  <c r="KD10" i="15"/>
  <c r="LL13" i="15"/>
  <c r="FT13" i="15"/>
  <c r="CW11" i="15"/>
  <c r="CX10" i="15"/>
  <c r="EV13" i="15"/>
  <c r="GC11" i="15"/>
  <c r="GD10" i="15"/>
  <c r="RD13" i="15"/>
  <c r="UO12" i="15"/>
  <c r="FD13" i="15"/>
  <c r="UJ13" i="15"/>
  <c r="IN13" i="15"/>
  <c r="CF13" i="15"/>
  <c r="EJ13" i="15"/>
  <c r="GG11" i="15"/>
  <c r="GH10" i="15"/>
  <c r="OJ13" i="15"/>
  <c r="CB12" i="15"/>
  <c r="PP13" i="15"/>
  <c r="SW12" i="15"/>
  <c r="SX12" i="15" s="1"/>
  <c r="HI11" i="15"/>
  <c r="HJ10" i="15"/>
  <c r="NL13" i="15"/>
  <c r="LU11" i="15"/>
  <c r="LV10" i="15"/>
  <c r="QB13" i="15"/>
  <c r="FM12" i="15"/>
  <c r="DL13" i="15"/>
  <c r="NU11" i="15"/>
  <c r="NV10" i="15"/>
  <c r="GF13" i="15"/>
  <c r="HT13" i="15"/>
  <c r="UR13" i="15"/>
  <c r="KV13" i="15"/>
  <c r="LA11" i="15"/>
  <c r="LB10" i="15"/>
  <c r="SZ13" i="15"/>
  <c r="SO12" i="15"/>
  <c r="QR13" i="15"/>
  <c r="DI11" i="15"/>
  <c r="DJ10" i="15"/>
  <c r="SK12" i="15"/>
  <c r="IO11" i="15"/>
  <c r="IP10" i="15"/>
  <c r="IF13" i="15"/>
  <c r="TI11" i="15"/>
  <c r="TJ10" i="15"/>
  <c r="TL13" i="15"/>
  <c r="FE12" i="15"/>
  <c r="FF12" i="15" s="1"/>
  <c r="HU11" i="15"/>
  <c r="HV10" i="15"/>
  <c r="PH13" i="15"/>
  <c r="MZ12" i="15"/>
  <c r="UC11" i="15"/>
  <c r="UD10" i="15"/>
  <c r="GV13" i="15"/>
  <c r="GK11" i="15"/>
  <c r="GL10" i="15"/>
  <c r="RQ11" i="15"/>
  <c r="RR10" i="15"/>
  <c r="IZ13" i="15"/>
  <c r="JA13" i="15" s="1"/>
  <c r="JB12" i="15"/>
  <c r="GZ13" i="15"/>
  <c r="BL13" i="15"/>
  <c r="RX13" i="15"/>
  <c r="HA11" i="15"/>
  <c r="HB10" i="15"/>
  <c r="NY11" i="15"/>
  <c r="NZ10" i="15"/>
  <c r="TM11" i="15"/>
  <c r="TN10" i="15"/>
  <c r="AB13" i="15"/>
  <c r="JI11" i="15"/>
  <c r="JJ10" i="15"/>
  <c r="X13" i="15"/>
  <c r="EG12" i="15"/>
  <c r="PQ11" i="15"/>
  <c r="PR10" i="15"/>
  <c r="T13" i="15"/>
  <c r="IW11" i="15"/>
  <c r="IX10" i="15"/>
  <c r="KW11" i="15"/>
  <c r="KX10" i="15"/>
  <c r="RU11" i="15"/>
  <c r="RV10" i="15"/>
  <c r="QJ13" i="15"/>
  <c r="CP11" i="15"/>
  <c r="DU11" i="15"/>
  <c r="DV10" i="15"/>
  <c r="OB13" i="15"/>
  <c r="AL11" i="15"/>
  <c r="FQ11" i="15"/>
  <c r="FR10" i="15"/>
  <c r="CG11" i="15"/>
  <c r="CH10" i="15"/>
  <c r="RY11" i="15"/>
  <c r="RZ10" i="15"/>
  <c r="LH13" i="15"/>
  <c r="NX13" i="15"/>
  <c r="IJ13" i="15"/>
  <c r="ER13" i="15"/>
  <c r="QS12" i="15"/>
  <c r="QT12" i="15" s="1"/>
  <c r="HH13" i="15"/>
  <c r="BD13" i="15"/>
  <c r="NI11" i="15"/>
  <c r="NJ10" i="15"/>
  <c r="RH13" i="15"/>
  <c r="PN10" i="15"/>
  <c r="SR13" i="15"/>
  <c r="SC11" i="15"/>
  <c r="SD10" i="15"/>
  <c r="GS12" i="15"/>
  <c r="OK12" i="15"/>
  <c r="FA11" i="15"/>
  <c r="FB10" i="15"/>
  <c r="PT13" i="15"/>
  <c r="TH13" i="15"/>
  <c r="FI12" i="15"/>
  <c r="NH13" i="15"/>
  <c r="QG11" i="15"/>
  <c r="QH10" i="15"/>
  <c r="OW11" i="15"/>
  <c r="OX10" i="15"/>
  <c r="GB13" i="15"/>
  <c r="QX11" i="15"/>
  <c r="TU12" i="15"/>
  <c r="RP13" i="15"/>
  <c r="CN13" i="15"/>
  <c r="AJ13" i="15"/>
  <c r="CV13" i="15"/>
  <c r="NP13" i="15"/>
  <c r="AC12" i="15"/>
  <c r="AD12" i="15" s="1"/>
  <c r="QF13" i="15"/>
  <c r="MF13" i="15"/>
  <c r="JE11" i="15"/>
  <c r="JF10" i="15"/>
  <c r="RL13" i="15"/>
  <c r="JM12" i="15"/>
  <c r="EC11" i="15"/>
  <c r="ED10" i="15"/>
  <c r="EF13" i="15"/>
  <c r="BQ12" i="15"/>
  <c r="BR12" i="15" s="1"/>
  <c r="BI12" i="15"/>
  <c r="BJ12" i="15" s="1"/>
  <c r="RM11" i="15"/>
  <c r="RN10" i="15"/>
  <c r="LE11" i="15"/>
  <c r="LF10" i="15"/>
  <c r="NT13" i="15"/>
  <c r="CS11" i="15"/>
  <c r="EZ13" i="15"/>
  <c r="MS11" i="15"/>
  <c r="MT10" i="15"/>
  <c r="EW11" i="15"/>
  <c r="EX10" i="15"/>
  <c r="IK11" i="15"/>
  <c r="IL10" i="15"/>
  <c r="SS11" i="15"/>
  <c r="ST10" i="15"/>
  <c r="MB13" i="15"/>
  <c r="DE11" i="15"/>
  <c r="DF10" i="15"/>
  <c r="I11" i="15"/>
  <c r="J11" i="15" s="1"/>
  <c r="QV13" i="15"/>
  <c r="JQ11" i="15"/>
  <c r="JR10" i="15"/>
  <c r="BE12" i="15"/>
  <c r="KN13" i="15"/>
  <c r="TD13" i="15"/>
  <c r="JH13" i="15"/>
  <c r="AR13" i="15"/>
  <c r="MR13" i="15"/>
  <c r="IB13" i="15"/>
  <c r="PJ11" i="15"/>
  <c r="AV13" i="15"/>
  <c r="LM12" i="15"/>
  <c r="LN12" i="15" s="1"/>
  <c r="F15" i="9"/>
  <c r="G15" i="9" s="1"/>
  <c r="F15" i="8"/>
  <c r="G15" i="8" s="1"/>
  <c r="E16" i="11"/>
  <c r="F15" i="11"/>
  <c r="G15" i="10"/>
  <c r="E16" i="9"/>
  <c r="G14" i="9"/>
  <c r="G14" i="8"/>
  <c r="E16" i="8"/>
  <c r="E17" i="2"/>
  <c r="F16" i="2"/>
  <c r="MC13" i="15" l="1"/>
  <c r="FY13" i="15"/>
  <c r="FZ13" i="15" s="1"/>
  <c r="ID11" i="15"/>
  <c r="LR11" i="15"/>
  <c r="JY13" i="15"/>
  <c r="JZ13" i="15" s="1"/>
  <c r="QO12" i="15"/>
  <c r="QP12" i="15" s="1"/>
  <c r="HF11" i="15"/>
  <c r="KK13" i="15"/>
  <c r="KL13" i="15" s="1"/>
  <c r="U13" i="15"/>
  <c r="V13" i="15" s="1"/>
  <c r="KO13" i="15"/>
  <c r="KP13" i="15" s="1"/>
  <c r="SG13" i="15"/>
  <c r="SH13" i="15" s="1"/>
  <c r="OG12" i="15"/>
  <c r="OH12" i="15" s="1"/>
  <c r="AO13" i="15"/>
  <c r="AP13" i="15" s="1"/>
  <c r="HM13" i="15"/>
  <c r="HN13" i="15" s="1"/>
  <c r="EO13" i="15"/>
  <c r="BU12" i="15"/>
  <c r="BV12" i="15" s="1"/>
  <c r="CS12" i="15"/>
  <c r="CT12" i="15" s="1"/>
  <c r="SK13" i="15"/>
  <c r="SL13" i="15" s="1"/>
  <c r="PM12" i="15"/>
  <c r="PN12" i="15" s="1"/>
  <c r="AK13" i="15"/>
  <c r="AL13" i="15" s="1"/>
  <c r="QW13" i="15"/>
  <c r="QX13" i="15" s="1"/>
  <c r="EG13" i="15"/>
  <c r="EH13" i="15" s="1"/>
  <c r="HE13" i="15"/>
  <c r="HF13" i="15" s="1"/>
  <c r="LQ13" i="15"/>
  <c r="LR13" i="15" s="1"/>
  <c r="CK13" i="15"/>
  <c r="CL13" i="15" s="1"/>
  <c r="HY13" i="15"/>
  <c r="HZ13" i="15" s="1"/>
  <c r="UO13" i="15"/>
  <c r="UP13" i="15" s="1"/>
  <c r="RE13" i="15"/>
  <c r="RF13" i="15" s="1"/>
  <c r="DA13" i="15"/>
  <c r="DB13" i="15" s="1"/>
  <c r="JM13" i="15"/>
  <c r="JN13" i="15" s="1"/>
  <c r="EH12" i="15"/>
  <c r="HN12" i="15"/>
  <c r="QS13" i="15"/>
  <c r="QT13" i="15" s="1"/>
  <c r="CC12" i="15"/>
  <c r="CD12" i="15" s="1"/>
  <c r="SO13" i="15"/>
  <c r="SP13" i="15" s="1"/>
  <c r="FI13" i="15"/>
  <c r="FJ13" i="15" s="1"/>
  <c r="BE13" i="15"/>
  <c r="BF13" i="15" s="1"/>
  <c r="PE13" i="15"/>
  <c r="PF13" i="15" s="1"/>
  <c r="TU13" i="15"/>
  <c r="TV13" i="15" s="1"/>
  <c r="FM13" i="15"/>
  <c r="FN13" i="15" s="1"/>
  <c r="OO12" i="15"/>
  <c r="OP11" i="15"/>
  <c r="JI12" i="15"/>
  <c r="JJ11" i="15"/>
  <c r="GK12" i="15"/>
  <c r="GL11" i="15"/>
  <c r="GG12" i="15"/>
  <c r="GH11" i="15"/>
  <c r="PX14" i="15"/>
  <c r="UG12" i="15"/>
  <c r="UH11" i="15"/>
  <c r="TA12" i="15"/>
  <c r="TB11" i="15"/>
  <c r="HL14" i="15"/>
  <c r="CW12" i="15"/>
  <c r="CX11" i="15"/>
  <c r="JH14" i="15"/>
  <c r="EW12" i="15"/>
  <c r="EX11" i="15"/>
  <c r="RP14" i="15"/>
  <c r="OK13" i="15"/>
  <c r="AB14" i="15"/>
  <c r="GV14" i="15"/>
  <c r="DL14" i="15"/>
  <c r="EJ14" i="15"/>
  <c r="FT14" i="15"/>
  <c r="MN14" i="15"/>
  <c r="TX14" i="15"/>
  <c r="CZ14" i="15"/>
  <c r="AZ14" i="15"/>
  <c r="Q12" i="15"/>
  <c r="R11" i="15"/>
  <c r="CJ14" i="15"/>
  <c r="KF14" i="15"/>
  <c r="AR14" i="15"/>
  <c r="P14" i="15"/>
  <c r="RL14" i="15"/>
  <c r="GS13" i="15"/>
  <c r="GT13" i="15" s="1"/>
  <c r="QJ14" i="15"/>
  <c r="DI12" i="15"/>
  <c r="DJ11" i="15"/>
  <c r="DB12" i="15"/>
  <c r="DY12" i="15"/>
  <c r="DZ11" i="15"/>
  <c r="MJ14" i="15"/>
  <c r="KZ14" i="15"/>
  <c r="MS12" i="15"/>
  <c r="MT11" i="15"/>
  <c r="ER14" i="15"/>
  <c r="TM12" i="15"/>
  <c r="TN11" i="15"/>
  <c r="QR14" i="15"/>
  <c r="QB14" i="15"/>
  <c r="CF14" i="15"/>
  <c r="LL14" i="15"/>
  <c r="LD14" i="15"/>
  <c r="ES12" i="15"/>
  <c r="ET11" i="15"/>
  <c r="GW13" i="15"/>
  <c r="DD14" i="15"/>
  <c r="L14" i="15"/>
  <c r="JT14" i="15"/>
  <c r="PT14" i="15"/>
  <c r="GR14" i="15"/>
  <c r="TQ12" i="15"/>
  <c r="TR11" i="15"/>
  <c r="TD14" i="15"/>
  <c r="SC12" i="15"/>
  <c r="SD11" i="15"/>
  <c r="PL13" i="15"/>
  <c r="MZ13" i="15"/>
  <c r="BY12" i="15"/>
  <c r="BZ11" i="15"/>
  <c r="CT11" i="15"/>
  <c r="HA12" i="15"/>
  <c r="HB11" i="15"/>
  <c r="H13" i="15"/>
  <c r="JQ12" i="15"/>
  <c r="JR11" i="15"/>
  <c r="NT14" i="15"/>
  <c r="EK13" i="15"/>
  <c r="RX14" i="15"/>
  <c r="NL14" i="15"/>
  <c r="UJ14" i="15"/>
  <c r="PI13" i="15"/>
  <c r="D14" i="15"/>
  <c r="RT14" i="15"/>
  <c r="AG13" i="15"/>
  <c r="AH13" i="15" s="1"/>
  <c r="JP14" i="15"/>
  <c r="UB14" i="15"/>
  <c r="AF14" i="15"/>
  <c r="UC12" i="15"/>
  <c r="UD11" i="15"/>
  <c r="JD14" i="15"/>
  <c r="JE12" i="15"/>
  <c r="JF11" i="15"/>
  <c r="BM12" i="15"/>
  <c r="BN11" i="15"/>
  <c r="QV14" i="15"/>
  <c r="OW12" i="15"/>
  <c r="OX11" i="15"/>
  <c r="LH14" i="15"/>
  <c r="IW12" i="15"/>
  <c r="IX11" i="15"/>
  <c r="LA12" i="15"/>
  <c r="LB11" i="15"/>
  <c r="ON14" i="15"/>
  <c r="SL12" i="15"/>
  <c r="NQ12" i="15"/>
  <c r="NR11" i="15"/>
  <c r="PA12" i="15"/>
  <c r="PB11" i="15"/>
  <c r="DH14" i="15"/>
  <c r="AW12" i="15"/>
  <c r="AX11" i="15"/>
  <c r="US12" i="15"/>
  <c r="UT11" i="15"/>
  <c r="E13" i="15"/>
  <c r="Y12" i="15"/>
  <c r="Z11" i="15"/>
  <c r="CN14" i="15"/>
  <c r="IO12" i="15"/>
  <c r="IP11" i="15"/>
  <c r="FP14" i="15"/>
  <c r="FA12" i="15"/>
  <c r="FB11" i="15"/>
  <c r="ND14" i="15"/>
  <c r="HH14" i="15"/>
  <c r="OJ14" i="15"/>
  <c r="QK12" i="15"/>
  <c r="QL11" i="15"/>
  <c r="QC12" i="15"/>
  <c r="QD11" i="15"/>
  <c r="MK12" i="15"/>
  <c r="ML11" i="15"/>
  <c r="LX14" i="15"/>
  <c r="MO13" i="15"/>
  <c r="PH14" i="15"/>
  <c r="QZ14" i="15"/>
  <c r="CR13" i="15"/>
  <c r="LM13" i="15"/>
  <c r="LN13" i="15" s="1"/>
  <c r="HU12" i="15"/>
  <c r="HV11" i="15"/>
  <c r="SV14" i="15"/>
  <c r="SJ14" i="15"/>
  <c r="KS13" i="15"/>
  <c r="KT13" i="15" s="1"/>
  <c r="TV12" i="15"/>
  <c r="RH14" i="15"/>
  <c r="DP14" i="15"/>
  <c r="BV11" i="15"/>
  <c r="FU13" i="15"/>
  <c r="FV13" i="15" s="1"/>
  <c r="TT14" i="15"/>
  <c r="RI13" i="15"/>
  <c r="RJ13" i="15" s="1"/>
  <c r="AV14" i="15"/>
  <c r="RM12" i="15"/>
  <c r="RN11" i="15"/>
  <c r="NH14" i="15"/>
  <c r="TL14" i="15"/>
  <c r="PP14" i="15"/>
  <c r="RD14" i="15"/>
  <c r="BT13" i="15"/>
  <c r="FH14" i="15"/>
  <c r="UK12" i="15"/>
  <c r="UL11" i="15"/>
  <c r="IR14" i="15"/>
  <c r="KJ14" i="15"/>
  <c r="TE12" i="15"/>
  <c r="TF11" i="15"/>
  <c r="OB14" i="15"/>
  <c r="GJ14" i="15"/>
  <c r="NY12" i="15"/>
  <c r="NZ11" i="15"/>
  <c r="HD14" i="15"/>
  <c r="GB14" i="15"/>
  <c r="SP12" i="15"/>
  <c r="SN14" i="15"/>
  <c r="OF13" i="15"/>
  <c r="DE12" i="15"/>
  <c r="DF11" i="15"/>
  <c r="EB14" i="15"/>
  <c r="FJ12" i="15"/>
  <c r="IV14" i="15"/>
  <c r="NM12" i="15"/>
  <c r="NN11" i="15"/>
  <c r="UP12" i="15"/>
  <c r="JU12" i="15"/>
  <c r="JV11" i="15"/>
  <c r="AS12" i="15"/>
  <c r="AT11" i="15"/>
  <c r="DQ13" i="15"/>
  <c r="OZ14" i="15"/>
  <c r="SR14" i="15"/>
  <c r="NX14" i="15"/>
  <c r="T14" i="15"/>
  <c r="HX14" i="15"/>
  <c r="QG12" i="15"/>
  <c r="QH11" i="15"/>
  <c r="BX14" i="15"/>
  <c r="LI13" i="15"/>
  <c r="LJ13" i="15" s="1"/>
  <c r="JL14" i="15"/>
  <c r="UN14" i="15"/>
  <c r="MW12" i="15"/>
  <c r="MX11" i="15"/>
  <c r="PF12" i="15"/>
  <c r="NA12" i="15"/>
  <c r="NB12" i="15" s="1"/>
  <c r="AJ14" i="15"/>
  <c r="EC12" i="15"/>
  <c r="ED11" i="15"/>
  <c r="DU12" i="15"/>
  <c r="DV11" i="15"/>
  <c r="AN14" i="15"/>
  <c r="EZ14" i="15"/>
  <c r="KC12" i="15"/>
  <c r="KD11" i="15"/>
  <c r="KG12" i="15"/>
  <c r="KH11" i="15"/>
  <c r="LU12" i="15"/>
  <c r="LV11" i="15"/>
  <c r="HP14" i="15"/>
  <c r="BP14" i="15"/>
  <c r="QF14" i="15"/>
  <c r="FD14" i="15"/>
  <c r="SF14" i="15"/>
  <c r="I12" i="15"/>
  <c r="J12" i="15" s="1"/>
  <c r="FE13" i="15"/>
  <c r="LT14" i="15"/>
  <c r="CG12" i="15"/>
  <c r="CH11" i="15"/>
  <c r="BQ13" i="15"/>
  <c r="NP14" i="15"/>
  <c r="DM13" i="15"/>
  <c r="IB14" i="15"/>
  <c r="BF12" i="15"/>
  <c r="FQ12" i="15"/>
  <c r="FR11" i="15"/>
  <c r="TI12" i="15"/>
  <c r="TJ11" i="15"/>
  <c r="CB13" i="15"/>
  <c r="GC12" i="15"/>
  <c r="GD11" i="15"/>
  <c r="FL14" i="15"/>
  <c r="UF14" i="15"/>
  <c r="OC12" i="15"/>
  <c r="OD11" i="15"/>
  <c r="IS13" i="15"/>
  <c r="JN12" i="15"/>
  <c r="IC13" i="15"/>
  <c r="BA13" i="15"/>
  <c r="BB13" i="15" s="1"/>
  <c r="PD14" i="15"/>
  <c r="HQ13" i="15"/>
  <c r="RQ12" i="15"/>
  <c r="RR11" i="15"/>
  <c r="OV14" i="15"/>
  <c r="EN14" i="15"/>
  <c r="EP13" i="15"/>
  <c r="NU12" i="15"/>
  <c r="NV11" i="15"/>
  <c r="IJ14" i="15"/>
  <c r="BH14" i="15"/>
  <c r="KR14" i="15"/>
  <c r="IN14" i="15"/>
  <c r="KW12" i="15"/>
  <c r="KX11" i="15"/>
  <c r="RA12" i="15"/>
  <c r="RB11" i="15"/>
  <c r="OR14" i="15"/>
  <c r="AC13" i="15"/>
  <c r="AD13" i="15" s="1"/>
  <c r="BL14" i="15"/>
  <c r="SW13" i="15"/>
  <c r="NE12" i="15"/>
  <c r="NF11" i="15"/>
  <c r="BI13" i="15"/>
  <c r="BJ13" i="15" s="1"/>
  <c r="NI12" i="15"/>
  <c r="NJ11" i="15"/>
  <c r="UR14" i="15"/>
  <c r="PQ12" i="15"/>
  <c r="PR11" i="15"/>
  <c r="HT14" i="15"/>
  <c r="FX14" i="15"/>
  <c r="LY13" i="15"/>
  <c r="LZ13" i="15" s="1"/>
  <c r="CV14" i="15"/>
  <c r="TH14" i="15"/>
  <c r="BD14" i="15"/>
  <c r="JB13" i="15"/>
  <c r="IZ14" i="15"/>
  <c r="JA14" i="15" s="1"/>
  <c r="GF14" i="15"/>
  <c r="CD11" i="15"/>
  <c r="EV14" i="15"/>
  <c r="KB14" i="15"/>
  <c r="QN14" i="15"/>
  <c r="FN12" i="15"/>
  <c r="JX14" i="15"/>
  <c r="TP14" i="15"/>
  <c r="PY13" i="15"/>
  <c r="PZ13" i="15" s="1"/>
  <c r="TY13" i="15"/>
  <c r="TZ13" i="15" s="1"/>
  <c r="DT14" i="15"/>
  <c r="IK12" i="15"/>
  <c r="IL11" i="15"/>
  <c r="SB14" i="15"/>
  <c r="KN14" i="15"/>
  <c r="RU12" i="15"/>
  <c r="RV11" i="15"/>
  <c r="GN14" i="15"/>
  <c r="M12" i="15"/>
  <c r="N11" i="15"/>
  <c r="CO13" i="15"/>
  <c r="CP13" i="15" s="1"/>
  <c r="MF14" i="15"/>
  <c r="SZ14" i="15"/>
  <c r="LE12" i="15"/>
  <c r="LF11" i="15"/>
  <c r="HI12" i="15"/>
  <c r="HJ11" i="15"/>
  <c r="RY12" i="15"/>
  <c r="RZ11" i="15"/>
  <c r="KV14" i="15"/>
  <c r="OS12" i="15"/>
  <c r="OT11" i="15"/>
  <c r="GZ14" i="15"/>
  <c r="MD13" i="15"/>
  <c r="MB14" i="15"/>
  <c r="MC14" i="15" s="1"/>
  <c r="MR14" i="15"/>
  <c r="SS12" i="15"/>
  <c r="ST11" i="15"/>
  <c r="EF14" i="15"/>
  <c r="X14" i="15"/>
  <c r="IF14" i="15"/>
  <c r="OL12" i="15"/>
  <c r="IG13" i="15"/>
  <c r="GT12" i="15"/>
  <c r="GO13" i="15"/>
  <c r="GP13" i="15" s="1"/>
  <c r="DX14" i="15"/>
  <c r="LP14" i="15"/>
  <c r="MV14" i="15"/>
  <c r="PU12" i="15"/>
  <c r="PV11" i="15"/>
  <c r="MG13" i="15"/>
  <c r="F16" i="11"/>
  <c r="G16" i="11" s="1"/>
  <c r="F17" i="2"/>
  <c r="G17" i="2" s="1"/>
  <c r="E17" i="11"/>
  <c r="G15" i="11"/>
  <c r="G16" i="10"/>
  <c r="E17" i="9"/>
  <c r="F16" i="9"/>
  <c r="E17" i="8"/>
  <c r="F16" i="8"/>
  <c r="G16" i="2"/>
  <c r="E18" i="2"/>
  <c r="QO13" i="15" l="1"/>
  <c r="QP13" i="15" s="1"/>
  <c r="U14" i="15"/>
  <c r="KK14" i="15"/>
  <c r="KL14" i="15" s="1"/>
  <c r="OG13" i="15"/>
  <c r="OH13" i="15" s="1"/>
  <c r="PM13" i="15"/>
  <c r="PN13" i="15" s="1"/>
  <c r="SK14" i="15"/>
  <c r="SL14" i="15" s="1"/>
  <c r="HM14" i="15"/>
  <c r="HN14" i="15" s="1"/>
  <c r="AK14" i="15"/>
  <c r="AL14" i="15" s="1"/>
  <c r="SG14" i="15"/>
  <c r="SH14" i="15" s="1"/>
  <c r="CS13" i="15"/>
  <c r="CT13" i="15" s="1"/>
  <c r="QS14" i="15"/>
  <c r="QT14" i="15" s="1"/>
  <c r="CK14" i="15"/>
  <c r="CL14" i="15" s="1"/>
  <c r="EK14" i="15"/>
  <c r="EL14" i="15" s="1"/>
  <c r="QW14" i="15"/>
  <c r="QX14" i="15" s="1"/>
  <c r="FE14" i="15"/>
  <c r="FF14" i="15" s="1"/>
  <c r="HY14" i="15"/>
  <c r="HZ14" i="15" s="1"/>
  <c r="SW14" i="15"/>
  <c r="SX14" i="15" s="1"/>
  <c r="OK14" i="15"/>
  <c r="OL14" i="15" s="1"/>
  <c r="LQ14" i="15"/>
  <c r="LR14" i="15" s="1"/>
  <c r="PE14" i="15"/>
  <c r="PF14" i="15" s="1"/>
  <c r="FI14" i="15"/>
  <c r="FJ14" i="15" s="1"/>
  <c r="SO14" i="15"/>
  <c r="SP14" i="15" s="1"/>
  <c r="BE14" i="15"/>
  <c r="BF14" i="15" s="1"/>
  <c r="E14" i="15"/>
  <c r="F14" i="15" s="1"/>
  <c r="UO14" i="15"/>
  <c r="UP14" i="15" s="1"/>
  <c r="TU14" i="15"/>
  <c r="TV14" i="15" s="1"/>
  <c r="MO14" i="15"/>
  <c r="MP14" i="15" s="1"/>
  <c r="FM14" i="15"/>
  <c r="FN14" i="15" s="1"/>
  <c r="DQ14" i="15"/>
  <c r="DR14" i="15" s="1"/>
  <c r="IG14" i="15"/>
  <c r="IH14" i="15" s="1"/>
  <c r="IC14" i="15"/>
  <c r="ID14" i="15" s="1"/>
  <c r="HQ14" i="15"/>
  <c r="HR14" i="15" s="1"/>
  <c r="AC14" i="15"/>
  <c r="AD14" i="15" s="1"/>
  <c r="BQ14" i="15"/>
  <c r="BR14" i="15" s="1"/>
  <c r="IS14" i="15"/>
  <c r="IT14" i="15" s="1"/>
  <c r="GW14" i="15"/>
  <c r="GX14" i="15" s="1"/>
  <c r="MG14" i="15"/>
  <c r="MH14" i="15" s="1"/>
  <c r="DM14" i="15"/>
  <c r="Q13" i="15"/>
  <c r="R12" i="15"/>
  <c r="KG13" i="15"/>
  <c r="KH12" i="15"/>
  <c r="AS13" i="15"/>
  <c r="AT12" i="15"/>
  <c r="LX15" i="15"/>
  <c r="UB15" i="15"/>
  <c r="TQ13" i="15"/>
  <c r="TR12" i="15"/>
  <c r="CF15" i="15"/>
  <c r="AZ15" i="15"/>
  <c r="DP15" i="15"/>
  <c r="LA13" i="15"/>
  <c r="LB12" i="15"/>
  <c r="GF15" i="15"/>
  <c r="NI13" i="15"/>
  <c r="NJ12" i="15"/>
  <c r="UF15" i="15"/>
  <c r="LI14" i="15"/>
  <c r="HD15" i="15"/>
  <c r="RD15" i="15"/>
  <c r="RH15" i="15"/>
  <c r="CN15" i="15"/>
  <c r="IW13" i="15"/>
  <c r="IX12" i="15"/>
  <c r="JP15" i="15"/>
  <c r="JQ13" i="15"/>
  <c r="JR12" i="15"/>
  <c r="GR15" i="15"/>
  <c r="RP15" i="15"/>
  <c r="GG13" i="15"/>
  <c r="GH12" i="15"/>
  <c r="ON15" i="15"/>
  <c r="JL15" i="15"/>
  <c r="IK13" i="15"/>
  <c r="IL12" i="15"/>
  <c r="Y13" i="15"/>
  <c r="Z12" i="15"/>
  <c r="DT15" i="15"/>
  <c r="AN15" i="15"/>
  <c r="NM13" i="15"/>
  <c r="NN12" i="15"/>
  <c r="GJ15" i="15"/>
  <c r="OW13" i="15"/>
  <c r="OX12" i="15"/>
  <c r="RT15" i="15"/>
  <c r="HA13" i="15"/>
  <c r="HB12" i="15"/>
  <c r="JT15" i="15"/>
  <c r="GS14" i="15"/>
  <c r="GT14" i="15" s="1"/>
  <c r="JH15" i="15"/>
  <c r="JI13" i="15"/>
  <c r="JJ12" i="15"/>
  <c r="KN15" i="15"/>
  <c r="CZ15" i="15"/>
  <c r="NU13" i="15"/>
  <c r="NV12" i="15"/>
  <c r="GC13" i="15"/>
  <c r="GD12" i="15"/>
  <c r="TL15" i="15"/>
  <c r="TM13" i="15"/>
  <c r="TN12" i="15"/>
  <c r="RL15" i="15"/>
  <c r="MP13" i="15"/>
  <c r="FH15" i="15"/>
  <c r="DY13" i="15"/>
  <c r="DZ12" i="15"/>
  <c r="JU13" i="15"/>
  <c r="JV12" i="15"/>
  <c r="PP15" i="15"/>
  <c r="EN15" i="15"/>
  <c r="I13" i="15"/>
  <c r="J13" i="15" s="1"/>
  <c r="QG13" i="15"/>
  <c r="QH12" i="15"/>
  <c r="IV15" i="15"/>
  <c r="SJ15" i="15"/>
  <c r="US13" i="15"/>
  <c r="UT12" i="15"/>
  <c r="PY14" i="15"/>
  <c r="PZ14" i="15" s="1"/>
  <c r="TH15" i="15"/>
  <c r="BL15" i="15"/>
  <c r="OV15" i="15"/>
  <c r="CB14" i="15"/>
  <c r="SF15" i="15"/>
  <c r="HX15" i="15"/>
  <c r="SX13" i="15"/>
  <c r="QK13" i="15"/>
  <c r="QL12" i="15"/>
  <c r="QV15" i="15"/>
  <c r="F13" i="15"/>
  <c r="ER15" i="15"/>
  <c r="MN15" i="15"/>
  <c r="OO13" i="15"/>
  <c r="OP12" i="15"/>
  <c r="IF15" i="15"/>
  <c r="DR13" i="15"/>
  <c r="HI13" i="15"/>
  <c r="HJ12" i="15"/>
  <c r="MR15" i="15"/>
  <c r="MF15" i="15"/>
  <c r="CV15" i="15"/>
  <c r="DU13" i="15"/>
  <c r="DV12" i="15"/>
  <c r="OB15" i="15"/>
  <c r="NH15" i="15"/>
  <c r="SV15" i="15"/>
  <c r="OJ15" i="15"/>
  <c r="AW13" i="15"/>
  <c r="AX12" i="15"/>
  <c r="D15" i="15"/>
  <c r="BY13" i="15"/>
  <c r="BZ12" i="15"/>
  <c r="L15" i="15"/>
  <c r="JM14" i="15"/>
  <c r="FT15" i="15"/>
  <c r="CW13" i="15"/>
  <c r="CX12" i="15"/>
  <c r="PX15" i="15"/>
  <c r="BT14" i="15"/>
  <c r="SB15" i="15"/>
  <c r="IJ15" i="15"/>
  <c r="QB15" i="15"/>
  <c r="QJ15" i="15"/>
  <c r="UN15" i="15"/>
  <c r="LL15" i="15"/>
  <c r="BH15" i="15"/>
  <c r="BU13" i="15"/>
  <c r="BV13" i="15" s="1"/>
  <c r="EF15" i="15"/>
  <c r="EZ15" i="15"/>
  <c r="AG14" i="15"/>
  <c r="LT15" i="15"/>
  <c r="TX15" i="15"/>
  <c r="SZ15" i="15"/>
  <c r="PU13" i="15"/>
  <c r="PV12" i="15"/>
  <c r="TP15" i="15"/>
  <c r="BM13" i="15"/>
  <c r="BN12" i="15"/>
  <c r="LY14" i="15"/>
  <c r="LZ14" i="15" s="1"/>
  <c r="HU13" i="15"/>
  <c r="HV12" i="15"/>
  <c r="DD15" i="15"/>
  <c r="GZ15" i="15"/>
  <c r="FX15" i="15"/>
  <c r="EG14" i="15"/>
  <c r="EH14" i="15" s="1"/>
  <c r="NX15" i="15"/>
  <c r="KJ15" i="15"/>
  <c r="LM14" i="15"/>
  <c r="LN14" i="15" s="1"/>
  <c r="UJ15" i="15"/>
  <c r="EL13" i="15"/>
  <c r="EO14" i="15"/>
  <c r="EP14" i="15" s="1"/>
  <c r="EV15" i="15"/>
  <c r="OC13" i="15"/>
  <c r="OD12" i="15"/>
  <c r="FL15" i="15"/>
  <c r="QR15" i="15"/>
  <c r="FD15" i="15"/>
  <c r="M13" i="15"/>
  <c r="N12" i="15"/>
  <c r="QF15" i="15"/>
  <c r="AV15" i="15"/>
  <c r="ND15" i="15"/>
  <c r="PA13" i="15"/>
  <c r="PB12" i="15"/>
  <c r="JE13" i="15"/>
  <c r="JF12" i="15"/>
  <c r="MS13" i="15"/>
  <c r="MT12" i="15"/>
  <c r="AR15" i="15"/>
  <c r="DN13" i="15"/>
  <c r="HE14" i="15"/>
  <c r="PH15" i="15"/>
  <c r="NT15" i="15"/>
  <c r="IO13" i="15"/>
  <c r="IP12" i="15"/>
  <c r="X15" i="15"/>
  <c r="LH15" i="15"/>
  <c r="MB15" i="15"/>
  <c r="MD14" i="15"/>
  <c r="MZ14" i="15"/>
  <c r="GN15" i="15"/>
  <c r="DE13" i="15"/>
  <c r="DF12" i="15"/>
  <c r="CR14" i="15"/>
  <c r="JD15" i="15"/>
  <c r="PL14" i="15"/>
  <c r="ES13" i="15"/>
  <c r="ET12" i="15"/>
  <c r="DL15" i="15"/>
  <c r="TA13" i="15"/>
  <c r="TB12" i="15"/>
  <c r="KR15" i="15"/>
  <c r="OZ15" i="15"/>
  <c r="TD15" i="15"/>
  <c r="NP15" i="15"/>
  <c r="RY13" i="15"/>
  <c r="RZ12" i="15"/>
  <c r="UR15" i="15"/>
  <c r="GB15" i="15"/>
  <c r="IZ15" i="15"/>
  <c r="JA15" i="15" s="1"/>
  <c r="JB14" i="15"/>
  <c r="CG13" i="15"/>
  <c r="CH12" i="15"/>
  <c r="MK13" i="15"/>
  <c r="ML12" i="15"/>
  <c r="DI13" i="15"/>
  <c r="DJ12" i="15"/>
  <c r="EW13" i="15"/>
  <c r="EX12" i="15"/>
  <c r="LE13" i="15"/>
  <c r="LF12" i="15"/>
  <c r="NY13" i="15"/>
  <c r="NZ12" i="15"/>
  <c r="QC13" i="15"/>
  <c r="QD12" i="15"/>
  <c r="SS13" i="15"/>
  <c r="ST12" i="15"/>
  <c r="MH13" i="15"/>
  <c r="PI14" i="15"/>
  <c r="CO14" i="15"/>
  <c r="RQ13" i="15"/>
  <c r="RR12" i="15"/>
  <c r="EC13" i="15"/>
  <c r="ED12" i="15"/>
  <c r="RM13" i="15"/>
  <c r="RN12" i="15"/>
  <c r="HH15" i="15"/>
  <c r="P15" i="15"/>
  <c r="RA13" i="15"/>
  <c r="RB12" i="15"/>
  <c r="RE14" i="15"/>
  <c r="NA13" i="15"/>
  <c r="NB13" i="15" s="1"/>
  <c r="IR15" i="15"/>
  <c r="HT15" i="15"/>
  <c r="KW13" i="15"/>
  <c r="KX12" i="15"/>
  <c r="BA14" i="15"/>
  <c r="BP15" i="15"/>
  <c r="SR15" i="15"/>
  <c r="IT13" i="15"/>
  <c r="TT15" i="15"/>
  <c r="NQ13" i="15"/>
  <c r="NR12" i="15"/>
  <c r="KZ15" i="15"/>
  <c r="KF15" i="15"/>
  <c r="GX13" i="15"/>
  <c r="CC13" i="15"/>
  <c r="CD13" i="15" s="1"/>
  <c r="AF15" i="15"/>
  <c r="IH13" i="15"/>
  <c r="BI14" i="15"/>
  <c r="BX15" i="15"/>
  <c r="GK13" i="15"/>
  <c r="GL12" i="15"/>
  <c r="KS14" i="15"/>
  <c r="PT15" i="15"/>
  <c r="T15" i="15"/>
  <c r="U15" i="15" s="1"/>
  <c r="V14" i="15"/>
  <c r="OL13" i="15"/>
  <c r="KO14" i="15"/>
  <c r="KP14" i="15" s="1"/>
  <c r="FF13" i="15"/>
  <c r="TE13" i="15"/>
  <c r="TF12" i="15"/>
  <c r="DH15" i="15"/>
  <c r="EJ15" i="15"/>
  <c r="AJ15" i="15"/>
  <c r="QN15" i="15"/>
  <c r="BR13" i="15"/>
  <c r="RI14" i="15"/>
  <c r="GO14" i="15"/>
  <c r="GP14" i="15" s="1"/>
  <c r="IB15" i="15"/>
  <c r="HR13" i="15"/>
  <c r="OF14" i="15"/>
  <c r="QZ15" i="15"/>
  <c r="FA13" i="15"/>
  <c r="FB12" i="15"/>
  <c r="RX15" i="15"/>
  <c r="LD15" i="15"/>
  <c r="MJ15" i="15"/>
  <c r="GV15" i="15"/>
  <c r="FY14" i="15"/>
  <c r="FZ14" i="15" s="1"/>
  <c r="KV15" i="15"/>
  <c r="SN15" i="15"/>
  <c r="LU13" i="15"/>
  <c r="LV12" i="15"/>
  <c r="KC13" i="15"/>
  <c r="KD12" i="15"/>
  <c r="H14" i="15"/>
  <c r="NE13" i="15"/>
  <c r="NF12" i="15"/>
  <c r="BD15" i="15"/>
  <c r="TY14" i="15"/>
  <c r="MV15" i="15"/>
  <c r="OR15" i="15"/>
  <c r="JX15" i="15"/>
  <c r="TI13" i="15"/>
  <c r="TJ12" i="15"/>
  <c r="EB15" i="15"/>
  <c r="HL15" i="15"/>
  <c r="LP15" i="15"/>
  <c r="PD15" i="15"/>
  <c r="FQ13" i="15"/>
  <c r="FR12" i="15"/>
  <c r="NL15" i="15"/>
  <c r="DX15" i="15"/>
  <c r="OS13" i="15"/>
  <c r="OT12" i="15"/>
  <c r="RU13" i="15"/>
  <c r="RV12" i="15"/>
  <c r="KB15" i="15"/>
  <c r="PQ13" i="15"/>
  <c r="PR12" i="15"/>
  <c r="IN15" i="15"/>
  <c r="ID13" i="15"/>
  <c r="HP15" i="15"/>
  <c r="MW13" i="15"/>
  <c r="MX12" i="15"/>
  <c r="UK13" i="15"/>
  <c r="UL12" i="15"/>
  <c r="FU14" i="15"/>
  <c r="PJ13" i="15"/>
  <c r="FP15" i="15"/>
  <c r="UC13" i="15"/>
  <c r="UD12" i="15"/>
  <c r="JY14" i="15"/>
  <c r="JZ14" i="15" s="1"/>
  <c r="SC13" i="15"/>
  <c r="SD12" i="15"/>
  <c r="DA14" i="15"/>
  <c r="DB14" i="15" s="1"/>
  <c r="CJ15" i="15"/>
  <c r="AB15" i="15"/>
  <c r="UG13" i="15"/>
  <c r="UH12" i="15"/>
  <c r="AO14" i="15"/>
  <c r="AP14" i="15" s="1"/>
  <c r="F17" i="8"/>
  <c r="G17" i="8" s="1"/>
  <c r="F17" i="11"/>
  <c r="G17" i="11" s="1"/>
  <c r="F17" i="9"/>
  <c r="G17" i="9" s="1"/>
  <c r="E18" i="11"/>
  <c r="G17" i="10"/>
  <c r="G16" i="9"/>
  <c r="E18" i="9"/>
  <c r="E18" i="8"/>
  <c r="G16" i="8"/>
  <c r="E19" i="2"/>
  <c r="F18" i="2"/>
  <c r="OG14" i="15" l="1"/>
  <c r="QO14" i="15"/>
  <c r="QP14" i="15" s="1"/>
  <c r="CK15" i="15"/>
  <c r="KK15" i="15"/>
  <c r="KL15" i="15" s="1"/>
  <c r="EK15" i="15"/>
  <c r="PM14" i="15"/>
  <c r="PN14" i="15" s="1"/>
  <c r="FE15" i="15"/>
  <c r="FF15" i="15" s="1"/>
  <c r="HM15" i="15"/>
  <c r="HN15" i="15" s="1"/>
  <c r="CS14" i="15"/>
  <c r="CT14" i="15" s="1"/>
  <c r="QS15" i="15"/>
  <c r="QT15" i="15" s="1"/>
  <c r="SK15" i="15"/>
  <c r="SL15" i="15" s="1"/>
  <c r="HY15" i="15"/>
  <c r="HZ15" i="15" s="1"/>
  <c r="SO15" i="15"/>
  <c r="SP15" i="15" s="1"/>
  <c r="QW15" i="15"/>
  <c r="QX15" i="15" s="1"/>
  <c r="SW15" i="15"/>
  <c r="SX15" i="15" s="1"/>
  <c r="TU15" i="15"/>
  <c r="TV15" i="15" s="1"/>
  <c r="UO15" i="15"/>
  <c r="UP15" i="15" s="1"/>
  <c r="AG15" i="15"/>
  <c r="AH15" i="15" s="1"/>
  <c r="FI15" i="15"/>
  <c r="FJ15" i="15" s="1"/>
  <c r="TY15" i="15"/>
  <c r="TZ15" i="15" s="1"/>
  <c r="CO15" i="15"/>
  <c r="BQ15" i="15"/>
  <c r="BR15" i="15" s="1"/>
  <c r="MO15" i="15"/>
  <c r="MP15" i="15" s="1"/>
  <c r="DM15" i="15"/>
  <c r="DN15" i="15" s="1"/>
  <c r="RE15" i="15"/>
  <c r="RF15" i="15" s="1"/>
  <c r="DQ15" i="15"/>
  <c r="DR15" i="15" s="1"/>
  <c r="RI15" i="15"/>
  <c r="RJ15" i="15" s="1"/>
  <c r="BA15" i="15"/>
  <c r="BB15" i="15" s="1"/>
  <c r="BI15" i="15"/>
  <c r="BJ15" i="15" s="1"/>
  <c r="IS15" i="15"/>
  <c r="IT15" i="15" s="1"/>
  <c r="DN14" i="15"/>
  <c r="FU15" i="15"/>
  <c r="FV15" i="15" s="1"/>
  <c r="GW15" i="15"/>
  <c r="GX15" i="15" s="1"/>
  <c r="JM15" i="15"/>
  <c r="JN15" i="15" s="1"/>
  <c r="MG15" i="15"/>
  <c r="MH15" i="15" s="1"/>
  <c r="CP14" i="15"/>
  <c r="KS15" i="15"/>
  <c r="KT15" i="15" s="1"/>
  <c r="PI15" i="15"/>
  <c r="PJ15" i="15" s="1"/>
  <c r="LI15" i="15"/>
  <c r="LJ15" i="15" s="1"/>
  <c r="LM15" i="15"/>
  <c r="LN15" i="15" s="1"/>
  <c r="AO15" i="15"/>
  <c r="AP15" i="15" s="1"/>
  <c r="LX16" i="15"/>
  <c r="HH16" i="15"/>
  <c r="MZ15" i="15"/>
  <c r="MS14" i="15"/>
  <c r="MT13" i="15"/>
  <c r="GZ16" i="15"/>
  <c r="SB16" i="15"/>
  <c r="OJ16" i="15"/>
  <c r="IF16" i="15"/>
  <c r="RP16" i="15"/>
  <c r="UF16" i="15"/>
  <c r="AS14" i="15"/>
  <c r="AT13" i="15"/>
  <c r="IB16" i="15"/>
  <c r="SF16" i="15"/>
  <c r="PT16" i="15"/>
  <c r="OC14" i="15"/>
  <c r="OD13" i="15"/>
  <c r="EZ16" i="15"/>
  <c r="BT15" i="15"/>
  <c r="PP16" i="15"/>
  <c r="NU14" i="15"/>
  <c r="NV13" i="15"/>
  <c r="TL16" i="15"/>
  <c r="GN16" i="15"/>
  <c r="OW14" i="15"/>
  <c r="OX13" i="15"/>
  <c r="EW14" i="15"/>
  <c r="EX13" i="15"/>
  <c r="EF16" i="15"/>
  <c r="MJ16" i="15"/>
  <c r="QN16" i="15"/>
  <c r="SR16" i="15"/>
  <c r="DI14" i="15"/>
  <c r="DJ13" i="15"/>
  <c r="KR16" i="15"/>
  <c r="BL16" i="15"/>
  <c r="JU14" i="15"/>
  <c r="JV13" i="15"/>
  <c r="FX16" i="15"/>
  <c r="CB15" i="15"/>
  <c r="PA14" i="15"/>
  <c r="PB13" i="15"/>
  <c r="EV16" i="15"/>
  <c r="BU14" i="15"/>
  <c r="BV14" i="15" s="1"/>
  <c r="OO14" i="15"/>
  <c r="OP13" i="15"/>
  <c r="NM14" i="15"/>
  <c r="NN13" i="15"/>
  <c r="GF16" i="15"/>
  <c r="D16" i="15"/>
  <c r="NQ14" i="15"/>
  <c r="NR13" i="15"/>
  <c r="LE14" i="15"/>
  <c r="LF13" i="15"/>
  <c r="AW14" i="15"/>
  <c r="AX13" i="15"/>
  <c r="KT14" i="15"/>
  <c r="CZ16" i="15"/>
  <c r="RQ14" i="15"/>
  <c r="RR13" i="15"/>
  <c r="UC14" i="15"/>
  <c r="UD13" i="15"/>
  <c r="HI14" i="15"/>
  <c r="HJ13" i="15"/>
  <c r="NI14" i="15"/>
  <c r="NJ13" i="15"/>
  <c r="MB16" i="15"/>
  <c r="BH16" i="15"/>
  <c r="NH16" i="15"/>
  <c r="LD16" i="15"/>
  <c r="ND16" i="15"/>
  <c r="MN16" i="15"/>
  <c r="TH16" i="15"/>
  <c r="DY14" i="15"/>
  <c r="DZ13" i="15"/>
  <c r="KN16" i="15"/>
  <c r="AN16" i="15"/>
  <c r="LA14" i="15"/>
  <c r="LB13" i="15"/>
  <c r="HP16" i="15"/>
  <c r="PD16" i="15"/>
  <c r="EL15" i="15"/>
  <c r="EJ16" i="15"/>
  <c r="CG14" i="15"/>
  <c r="CH13" i="15"/>
  <c r="DL16" i="15"/>
  <c r="OB16" i="15"/>
  <c r="PY15" i="15"/>
  <c r="FH16" i="15"/>
  <c r="JP16" i="15"/>
  <c r="MC15" i="15"/>
  <c r="MD15" i="15" s="1"/>
  <c r="IJ16" i="15"/>
  <c r="OV16" i="15"/>
  <c r="MV16" i="15"/>
  <c r="HU14" i="15"/>
  <c r="HV13" i="15"/>
  <c r="UG14" i="15"/>
  <c r="UH13" i="15"/>
  <c r="LP16" i="15"/>
  <c r="NE14" i="15"/>
  <c r="NF13" i="15"/>
  <c r="RX16" i="15"/>
  <c r="AH14" i="15"/>
  <c r="KW14" i="15"/>
  <c r="KX13" i="15"/>
  <c r="X16" i="15"/>
  <c r="AV16" i="15"/>
  <c r="BM14" i="15"/>
  <c r="BN13" i="15"/>
  <c r="LL16" i="15"/>
  <c r="CW14" i="15"/>
  <c r="CX13" i="15"/>
  <c r="ER16" i="15"/>
  <c r="JI14" i="15"/>
  <c r="JJ13" i="15"/>
  <c r="DT16" i="15"/>
  <c r="DP16" i="15"/>
  <c r="IC15" i="15"/>
  <c r="ID15" i="15" s="1"/>
  <c r="LT16" i="15"/>
  <c r="GG14" i="15"/>
  <c r="GH13" i="15"/>
  <c r="DD16" i="15"/>
  <c r="BX16" i="15"/>
  <c r="GO15" i="15"/>
  <c r="GP15" i="15" s="1"/>
  <c r="FL16" i="15"/>
  <c r="GV16" i="15"/>
  <c r="UK14" i="15"/>
  <c r="UL13" i="15"/>
  <c r="TA14" i="15"/>
  <c r="TB13" i="15"/>
  <c r="JH16" i="15"/>
  <c r="CL15" i="15"/>
  <c r="CJ16" i="15"/>
  <c r="RL16" i="15"/>
  <c r="GS15" i="15"/>
  <c r="GT15" i="15" s="1"/>
  <c r="Y14" i="15"/>
  <c r="Z13" i="15"/>
  <c r="CN16" i="15"/>
  <c r="CP15" i="15"/>
  <c r="CF16" i="15"/>
  <c r="AR16" i="15"/>
  <c r="FY15" i="15"/>
  <c r="NL16" i="15"/>
  <c r="MW14" i="15"/>
  <c r="MX13" i="15"/>
  <c r="CV16" i="15"/>
  <c r="RJ14" i="15"/>
  <c r="HD16" i="15"/>
  <c r="JX16" i="15"/>
  <c r="EN16" i="15"/>
  <c r="KV16" i="15"/>
  <c r="FP16" i="15"/>
  <c r="JE14" i="15"/>
  <c r="JF13" i="15"/>
  <c r="GJ16" i="15"/>
  <c r="EC14" i="15"/>
  <c r="ED13" i="15"/>
  <c r="MK14" i="15"/>
  <c r="ML13" i="15"/>
  <c r="Q14" i="15"/>
  <c r="R13" i="15"/>
  <c r="BJ14" i="15"/>
  <c r="JB15" i="15"/>
  <c r="IZ16" i="15"/>
  <c r="JA16" i="15" s="1"/>
  <c r="FT16" i="15"/>
  <c r="US14" i="15"/>
  <c r="UT13" i="15"/>
  <c r="E15" i="15"/>
  <c r="AB16" i="15"/>
  <c r="UN16" i="15"/>
  <c r="QV16" i="15"/>
  <c r="QZ16" i="15"/>
  <c r="SS14" i="15"/>
  <c r="ST13" i="15"/>
  <c r="KC14" i="15"/>
  <c r="KD13" i="15"/>
  <c r="M14" i="15"/>
  <c r="N13" i="15"/>
  <c r="PU14" i="15"/>
  <c r="PV13" i="15"/>
  <c r="IG15" i="15"/>
  <c r="KO15" i="15"/>
  <c r="NA14" i="15"/>
  <c r="UR16" i="15"/>
  <c r="PH16" i="15"/>
  <c r="L16" i="15"/>
  <c r="QK14" i="15"/>
  <c r="QL13" i="15"/>
  <c r="IV16" i="15"/>
  <c r="JT16" i="15"/>
  <c r="IK14" i="15"/>
  <c r="IL13" i="15"/>
  <c r="RH16" i="15"/>
  <c r="P16" i="15"/>
  <c r="GC14" i="15"/>
  <c r="GD13" i="15"/>
  <c r="OZ16" i="15"/>
  <c r="SV16" i="15"/>
  <c r="AJ16" i="15"/>
  <c r="EO15" i="15"/>
  <c r="EP15" i="15" s="1"/>
  <c r="H15" i="15"/>
  <c r="IW14" i="15"/>
  <c r="IX13" i="15"/>
  <c r="QF16" i="15"/>
  <c r="JD16" i="15"/>
  <c r="KJ16" i="15"/>
  <c r="DA15" i="15"/>
  <c r="EB16" i="15"/>
  <c r="OF15" i="15"/>
  <c r="OH14" i="15"/>
  <c r="KF16" i="15"/>
  <c r="QC14" i="15"/>
  <c r="QD13" i="15"/>
  <c r="PJ14" i="15"/>
  <c r="FD16" i="15"/>
  <c r="NX16" i="15"/>
  <c r="SZ16" i="15"/>
  <c r="QJ16" i="15"/>
  <c r="MF16" i="15"/>
  <c r="TM14" i="15"/>
  <c r="TN13" i="15"/>
  <c r="JN14" i="15"/>
  <c r="RF14" i="15"/>
  <c r="TQ14" i="15"/>
  <c r="TR13" i="15"/>
  <c r="FM15" i="15"/>
  <c r="FN15" i="15" s="1"/>
  <c r="RU14" i="15"/>
  <c r="RV13" i="15"/>
  <c r="DE14" i="15"/>
  <c r="DF13" i="15"/>
  <c r="TT16" i="15"/>
  <c r="DX16" i="15"/>
  <c r="GK14" i="15"/>
  <c r="GL13" i="15"/>
  <c r="KG14" i="15"/>
  <c r="KH13" i="15"/>
  <c r="BP16" i="15"/>
  <c r="LH16" i="15"/>
  <c r="PX16" i="15"/>
  <c r="LY15" i="15"/>
  <c r="LZ15" i="15" s="1"/>
  <c r="AF16" i="15"/>
  <c r="ES14" i="15"/>
  <c r="ET13" i="15"/>
  <c r="UJ16" i="15"/>
  <c r="DU14" i="15"/>
  <c r="DV13" i="15"/>
  <c r="BB14" i="15"/>
  <c r="FA14" i="15"/>
  <c r="FB13" i="15"/>
  <c r="GB16" i="15"/>
  <c r="IO14" i="15"/>
  <c r="IP13" i="15"/>
  <c r="FV14" i="15"/>
  <c r="AZ16" i="15"/>
  <c r="TE14" i="15"/>
  <c r="TF13" i="15"/>
  <c r="IR16" i="15"/>
  <c r="SC14" i="15"/>
  <c r="SD13" i="15"/>
  <c r="RY14" i="15"/>
  <c r="RZ13" i="15"/>
  <c r="CR15" i="15"/>
  <c r="HE15" i="15"/>
  <c r="SG15" i="15"/>
  <c r="EG15" i="15"/>
  <c r="TZ14" i="15"/>
  <c r="QB16" i="15"/>
  <c r="BY14" i="15"/>
  <c r="BZ13" i="15"/>
  <c r="MR16" i="15"/>
  <c r="QG14" i="15"/>
  <c r="QH13" i="15"/>
  <c r="PE15" i="15"/>
  <c r="PF15" i="15" s="1"/>
  <c r="HA14" i="15"/>
  <c r="HB13" i="15"/>
  <c r="JL16" i="15"/>
  <c r="RD16" i="15"/>
  <c r="LQ15" i="15"/>
  <c r="OS14" i="15"/>
  <c r="OT13" i="15"/>
  <c r="TD16" i="15"/>
  <c r="OR16" i="15"/>
  <c r="RM14" i="15"/>
  <c r="RN13" i="15"/>
  <c r="GR16" i="15"/>
  <c r="FQ14" i="15"/>
  <c r="FR13" i="15"/>
  <c r="JQ14" i="15"/>
  <c r="JR13" i="15"/>
  <c r="BD16" i="15"/>
  <c r="LJ14" i="15"/>
  <c r="DH16" i="15"/>
  <c r="TP16" i="15"/>
  <c r="AK15" i="15"/>
  <c r="HL16" i="15"/>
  <c r="HT16" i="15"/>
  <c r="PL15" i="15"/>
  <c r="AC15" i="15"/>
  <c r="AD15" i="15" s="1"/>
  <c r="SJ16" i="15"/>
  <c r="IN16" i="15"/>
  <c r="CC14" i="15"/>
  <c r="CD14" i="15" s="1"/>
  <c r="NT16" i="15"/>
  <c r="PQ14" i="15"/>
  <c r="PR13" i="15"/>
  <c r="OK15" i="15"/>
  <c r="KB16" i="15"/>
  <c r="LU14" i="15"/>
  <c r="LV13" i="15"/>
  <c r="JY15" i="15"/>
  <c r="TI14" i="15"/>
  <c r="TJ13" i="15"/>
  <c r="SN16" i="15"/>
  <c r="V15" i="15"/>
  <c r="T16" i="15"/>
  <c r="U16" i="15" s="1"/>
  <c r="KZ16" i="15"/>
  <c r="RA14" i="15"/>
  <c r="RB13" i="15"/>
  <c r="NY14" i="15"/>
  <c r="NZ13" i="15"/>
  <c r="NP16" i="15"/>
  <c r="QR16" i="15"/>
  <c r="HQ15" i="15"/>
  <c r="TX16" i="15"/>
  <c r="HX16" i="15"/>
  <c r="I14" i="15"/>
  <c r="RT16" i="15"/>
  <c r="ON16" i="15"/>
  <c r="HF14" i="15"/>
  <c r="UB16" i="15"/>
  <c r="BE15" i="15"/>
  <c r="BF15" i="15" s="1"/>
  <c r="F19" i="2"/>
  <c r="G19" i="2" s="1"/>
  <c r="F18" i="11"/>
  <c r="G18" i="11" s="1"/>
  <c r="E19" i="11"/>
  <c r="G18" i="10"/>
  <c r="E19" i="9"/>
  <c r="F18" i="9"/>
  <c r="E19" i="8"/>
  <c r="F18" i="8"/>
  <c r="E20" i="2"/>
  <c r="G18" i="2"/>
  <c r="QO15" i="15" l="1"/>
  <c r="QP15" i="15" s="1"/>
  <c r="EK16" i="15"/>
  <c r="CS15" i="15"/>
  <c r="CT15" i="15" s="1"/>
  <c r="PM15" i="15"/>
  <c r="SK16" i="15"/>
  <c r="SL16" i="15" s="1"/>
  <c r="SO16" i="15"/>
  <c r="SP16" i="15" s="1"/>
  <c r="TY16" i="15"/>
  <c r="TZ16" i="15" s="1"/>
  <c r="LM16" i="15"/>
  <c r="LN16" i="15" s="1"/>
  <c r="MO16" i="15"/>
  <c r="MP16" i="15" s="1"/>
  <c r="AG16" i="15"/>
  <c r="AH16" i="15" s="1"/>
  <c r="FI16" i="15"/>
  <c r="FJ16" i="15" s="1"/>
  <c r="QO16" i="15"/>
  <c r="QP16" i="15" s="1"/>
  <c r="DM16" i="15"/>
  <c r="DN16" i="15" s="1"/>
  <c r="OK16" i="15"/>
  <c r="BI16" i="15"/>
  <c r="BJ16" i="15" s="1"/>
  <c r="E16" i="15"/>
  <c r="F16" i="15" s="1"/>
  <c r="BA16" i="15"/>
  <c r="BB16" i="15" s="1"/>
  <c r="DQ16" i="15"/>
  <c r="DR16" i="15" s="1"/>
  <c r="NA15" i="15"/>
  <c r="NB15" i="15" s="1"/>
  <c r="FU16" i="15"/>
  <c r="FV16" i="15" s="1"/>
  <c r="SG16" i="15"/>
  <c r="SH16" i="15" s="1"/>
  <c r="KS16" i="15"/>
  <c r="KT16" i="15" s="1"/>
  <c r="JM16" i="15"/>
  <c r="JN16" i="15" s="1"/>
  <c r="KO16" i="15"/>
  <c r="KP16" i="15" s="1"/>
  <c r="RI16" i="15"/>
  <c r="RJ16" i="15" s="1"/>
  <c r="IS16" i="15"/>
  <c r="IT16" i="15" s="1"/>
  <c r="IG16" i="15"/>
  <c r="IH16" i="15" s="1"/>
  <c r="FY16" i="15"/>
  <c r="FZ16" i="15" s="1"/>
  <c r="I15" i="15"/>
  <c r="J15" i="15" s="1"/>
  <c r="HE16" i="15"/>
  <c r="HF16" i="15" s="1"/>
  <c r="EG16" i="15"/>
  <c r="EH16" i="15" s="1"/>
  <c r="AK16" i="15"/>
  <c r="AL16" i="15" s="1"/>
  <c r="LQ16" i="15"/>
  <c r="LR16" i="15" s="1"/>
  <c r="FZ15" i="15"/>
  <c r="PY16" i="15"/>
  <c r="PZ16" i="15" s="1"/>
  <c r="NB14" i="15"/>
  <c r="JY16" i="15"/>
  <c r="JZ16" i="15" s="1"/>
  <c r="HQ16" i="15"/>
  <c r="HR16" i="15" s="1"/>
  <c r="OF16" i="15"/>
  <c r="TM15" i="15"/>
  <c r="TN14" i="15"/>
  <c r="SV17" i="15"/>
  <c r="QV17" i="15"/>
  <c r="CJ17" i="15"/>
  <c r="LT17" i="15"/>
  <c r="LD17" i="15"/>
  <c r="PA15" i="15"/>
  <c r="PB14" i="15"/>
  <c r="EH15" i="15"/>
  <c r="OC15" i="15"/>
  <c r="OD14" i="15"/>
  <c r="GZ17" i="15"/>
  <c r="HX17" i="15"/>
  <c r="BP17" i="15"/>
  <c r="L17" i="15"/>
  <c r="HL17" i="15"/>
  <c r="QB17" i="15"/>
  <c r="DA16" i="15"/>
  <c r="UN17" i="15"/>
  <c r="GJ17" i="15"/>
  <c r="X17" i="15"/>
  <c r="IJ17" i="15"/>
  <c r="HR15" i="15"/>
  <c r="AW15" i="15"/>
  <c r="AX14" i="15"/>
  <c r="CB16" i="15"/>
  <c r="EF17" i="15"/>
  <c r="IO15" i="15"/>
  <c r="IP14" i="15"/>
  <c r="GB17" i="15"/>
  <c r="MF17" i="15"/>
  <c r="OZ17" i="15"/>
  <c r="PH17" i="15"/>
  <c r="JH17" i="15"/>
  <c r="IC16" i="15"/>
  <c r="ID16" i="15" s="1"/>
  <c r="PI16" i="15"/>
  <c r="MC16" i="15"/>
  <c r="HP17" i="15"/>
  <c r="NH17" i="15"/>
  <c r="PT17" i="15"/>
  <c r="LH17" i="15"/>
  <c r="SB17" i="15"/>
  <c r="TI15" i="15"/>
  <c r="TJ14" i="15"/>
  <c r="TX17" i="15"/>
  <c r="LU15" i="15"/>
  <c r="LV14" i="15"/>
  <c r="TD17" i="15"/>
  <c r="KG15" i="15"/>
  <c r="KH14" i="15"/>
  <c r="KJ17" i="15"/>
  <c r="JE15" i="15"/>
  <c r="JF14" i="15"/>
  <c r="MW15" i="15"/>
  <c r="MX14" i="15"/>
  <c r="JP17" i="15"/>
  <c r="LE15" i="15"/>
  <c r="LF14" i="15"/>
  <c r="FX17" i="15"/>
  <c r="EW15" i="15"/>
  <c r="EX14" i="15"/>
  <c r="SH15" i="15"/>
  <c r="MS15" i="15"/>
  <c r="MT14" i="15"/>
  <c r="HT17" i="15"/>
  <c r="EB17" i="15"/>
  <c r="MZ16" i="15"/>
  <c r="TA15" i="15"/>
  <c r="TB14" i="15"/>
  <c r="F15" i="15"/>
  <c r="DH17" i="15"/>
  <c r="RX17" i="15"/>
  <c r="HH17" i="15"/>
  <c r="NP17" i="15"/>
  <c r="PQ15" i="15"/>
  <c r="PR14" i="15"/>
  <c r="RD17" i="15"/>
  <c r="TT17" i="15"/>
  <c r="QF17" i="15"/>
  <c r="P17" i="15"/>
  <c r="US15" i="15"/>
  <c r="UT14" i="15"/>
  <c r="KV17" i="15"/>
  <c r="UK15" i="15"/>
  <c r="UL14" i="15"/>
  <c r="OB17" i="15"/>
  <c r="KP15" i="15"/>
  <c r="NI15" i="15"/>
  <c r="NJ14" i="15"/>
  <c r="KK16" i="15"/>
  <c r="BL17" i="15"/>
  <c r="TL17" i="15"/>
  <c r="AS15" i="15"/>
  <c r="AT14" i="15"/>
  <c r="LI16" i="15"/>
  <c r="LJ16" i="15" s="1"/>
  <c r="RM15" i="15"/>
  <c r="RN14" i="15"/>
  <c r="CV17" i="15"/>
  <c r="KW15" i="15"/>
  <c r="KX14" i="15"/>
  <c r="MB17" i="15"/>
  <c r="RY15" i="15"/>
  <c r="RZ14" i="15"/>
  <c r="UJ17" i="15"/>
  <c r="FD17" i="15"/>
  <c r="PU15" i="15"/>
  <c r="PV14" i="15"/>
  <c r="FT17" i="15"/>
  <c r="AR17" i="15"/>
  <c r="JI15" i="15"/>
  <c r="JJ14" i="15"/>
  <c r="NE15" i="15"/>
  <c r="NF14" i="15"/>
  <c r="KN17" i="15"/>
  <c r="GF17" i="15"/>
  <c r="CK16" i="15"/>
  <c r="UF17" i="15"/>
  <c r="LX17" i="15"/>
  <c r="QK15" i="15"/>
  <c r="QL14" i="15"/>
  <c r="MJ17" i="15"/>
  <c r="OV17" i="15"/>
  <c r="AB17" i="15"/>
  <c r="FH17" i="15"/>
  <c r="BH17" i="15"/>
  <c r="SZ17" i="15"/>
  <c r="AN17" i="15"/>
  <c r="GV17" i="15"/>
  <c r="BE16" i="15"/>
  <c r="JZ15" i="15"/>
  <c r="DL17" i="15"/>
  <c r="TH17" i="15"/>
  <c r="HI15" i="15"/>
  <c r="HJ14" i="15"/>
  <c r="NM15" i="15"/>
  <c r="NN14" i="15"/>
  <c r="RP17" i="15"/>
  <c r="TU16" i="15"/>
  <c r="EC15" i="15"/>
  <c r="ED14" i="15"/>
  <c r="FA15" i="15"/>
  <c r="FB14" i="15"/>
  <c r="GC15" i="15"/>
  <c r="GD14" i="15"/>
  <c r="CR16" i="15"/>
  <c r="DT17" i="15"/>
  <c r="UG15" i="15"/>
  <c r="UH14" i="15"/>
  <c r="QW16" i="15"/>
  <c r="QX16" i="15" s="1"/>
  <c r="DI15" i="15"/>
  <c r="DJ14" i="15"/>
  <c r="PP17" i="15"/>
  <c r="HY16" i="15"/>
  <c r="UO16" i="15"/>
  <c r="OR17" i="15"/>
  <c r="PD17" i="15"/>
  <c r="GK15" i="15"/>
  <c r="GL14" i="15"/>
  <c r="FP17" i="15"/>
  <c r="LA15" i="15"/>
  <c r="LB14" i="15"/>
  <c r="JU15" i="15"/>
  <c r="JV14" i="15"/>
  <c r="D17" i="15"/>
  <c r="NT17" i="15"/>
  <c r="CC15" i="15"/>
  <c r="DE15" i="15"/>
  <c r="DF14" i="15"/>
  <c r="CF17" i="15"/>
  <c r="NU15" i="15"/>
  <c r="NV14" i="15"/>
  <c r="RA15" i="15"/>
  <c r="RB14" i="15"/>
  <c r="IR17" i="15"/>
  <c r="AF17" i="15"/>
  <c r="H16" i="15"/>
  <c r="JX17" i="15"/>
  <c r="CN17" i="15"/>
  <c r="CW15" i="15"/>
  <c r="CX14" i="15"/>
  <c r="FQ15" i="15"/>
  <c r="FR14" i="15"/>
  <c r="LY16" i="15"/>
  <c r="FM16" i="15"/>
  <c r="FN16" i="15" s="1"/>
  <c r="RE16" i="15"/>
  <c r="AO16" i="15"/>
  <c r="KC15" i="15"/>
  <c r="KD14" i="15"/>
  <c r="HF15" i="15"/>
  <c r="CG15" i="15"/>
  <c r="CH14" i="15"/>
  <c r="UC15" i="15"/>
  <c r="UD14" i="15"/>
  <c r="IH15" i="15"/>
  <c r="GW16" i="15"/>
  <c r="GX16" i="15" s="1"/>
  <c r="BY15" i="15"/>
  <c r="BZ14" i="15"/>
  <c r="SF17" i="15"/>
  <c r="TP17" i="15"/>
  <c r="JD17" i="15"/>
  <c r="NQ15" i="15"/>
  <c r="NR14" i="15"/>
  <c r="QR17" i="15"/>
  <c r="GN17" i="15"/>
  <c r="RH17" i="15"/>
  <c r="LP17" i="15"/>
  <c r="ES15" i="15"/>
  <c r="ET14" i="15"/>
  <c r="IW15" i="15"/>
  <c r="IX14" i="15"/>
  <c r="EN17" i="15"/>
  <c r="FL17" i="15"/>
  <c r="DY15" i="15"/>
  <c r="DZ14" i="15"/>
  <c r="KR17" i="15"/>
  <c r="UB17" i="15"/>
  <c r="JQ15" i="15"/>
  <c r="JR14" i="15"/>
  <c r="IK15" i="15"/>
  <c r="IL14" i="15"/>
  <c r="KZ17" i="15"/>
  <c r="RU15" i="15"/>
  <c r="RV14" i="15"/>
  <c r="GO16" i="15"/>
  <c r="GR17" i="15"/>
  <c r="TE15" i="15"/>
  <c r="TF14" i="15"/>
  <c r="PZ15" i="15"/>
  <c r="EO16" i="15"/>
  <c r="IV17" i="15"/>
  <c r="Q15" i="15"/>
  <c r="R14" i="15"/>
  <c r="HD17" i="15"/>
  <c r="Y15" i="15"/>
  <c r="Z14" i="15"/>
  <c r="BX17" i="15"/>
  <c r="LL17" i="15"/>
  <c r="HU15" i="15"/>
  <c r="HV14" i="15"/>
  <c r="CO16" i="15"/>
  <c r="MN17" i="15"/>
  <c r="OO15" i="15"/>
  <c r="OP14" i="15"/>
  <c r="SR17" i="15"/>
  <c r="BT16" i="15"/>
  <c r="IF17" i="15"/>
  <c r="GG15" i="15"/>
  <c r="GH14" i="15"/>
  <c r="IB17" i="15"/>
  <c r="NX17" i="15"/>
  <c r="MG16" i="15"/>
  <c r="BD17" i="15"/>
  <c r="IZ17" i="15"/>
  <c r="JB16" i="15"/>
  <c r="LR15" i="15"/>
  <c r="IN17" i="15"/>
  <c r="J14" i="15"/>
  <c r="PE16" i="15"/>
  <c r="PF16" i="15" s="1"/>
  <c r="JT17" i="15"/>
  <c r="T17" i="15"/>
  <c r="V16" i="15"/>
  <c r="PX17" i="15"/>
  <c r="TQ15" i="15"/>
  <c r="TR14" i="15"/>
  <c r="KF17" i="15"/>
  <c r="AL15" i="15"/>
  <c r="SS15" i="15"/>
  <c r="ST14" i="15"/>
  <c r="SW16" i="15"/>
  <c r="GS16" i="15"/>
  <c r="DD17" i="15"/>
  <c r="MV17" i="15"/>
  <c r="QS16" i="15"/>
  <c r="OG15" i="15"/>
  <c r="RQ15" i="15"/>
  <c r="RR14" i="15"/>
  <c r="BU15" i="15"/>
  <c r="OL15" i="15"/>
  <c r="BQ16" i="15"/>
  <c r="BR16" i="15" s="1"/>
  <c r="PN15" i="15"/>
  <c r="PL16" i="15"/>
  <c r="AV17" i="15"/>
  <c r="CZ17" i="15"/>
  <c r="KB17" i="15"/>
  <c r="QJ17" i="15"/>
  <c r="UR17" i="15"/>
  <c r="DP17" i="15"/>
  <c r="OS15" i="15"/>
  <c r="OT14" i="15"/>
  <c r="OW15" i="15"/>
  <c r="OX14" i="15"/>
  <c r="DX17" i="15"/>
  <c r="NL17" i="15"/>
  <c r="DU15" i="15"/>
  <c r="DV14" i="15"/>
  <c r="NY15" i="15"/>
  <c r="NZ14" i="15"/>
  <c r="JL17" i="15"/>
  <c r="ER17" i="15"/>
  <c r="SC15" i="15"/>
  <c r="SD14" i="15"/>
  <c r="M15" i="15"/>
  <c r="N14" i="15"/>
  <c r="HA15" i="15"/>
  <c r="HB14" i="15"/>
  <c r="FE16" i="15"/>
  <c r="FF16" i="15" s="1"/>
  <c r="QC15" i="15"/>
  <c r="QD14" i="15"/>
  <c r="SJ17" i="15"/>
  <c r="QG15" i="15"/>
  <c r="QH14" i="15"/>
  <c r="ON17" i="15"/>
  <c r="AC16" i="15"/>
  <c r="RT17" i="15"/>
  <c r="SN17" i="15"/>
  <c r="MR17" i="15"/>
  <c r="AZ17" i="15"/>
  <c r="AJ17" i="15"/>
  <c r="QZ17" i="15"/>
  <c r="MK15" i="15"/>
  <c r="ML14" i="15"/>
  <c r="RL17" i="15"/>
  <c r="BM15" i="15"/>
  <c r="BN14" i="15"/>
  <c r="EJ17" i="15"/>
  <c r="EK17" i="15" s="1"/>
  <c r="EL16" i="15"/>
  <c r="ND17" i="15"/>
  <c r="DB15" i="15"/>
  <c r="EV17" i="15"/>
  <c r="QN17" i="15"/>
  <c r="EZ17" i="15"/>
  <c r="OJ17" i="15"/>
  <c r="OL16" i="15"/>
  <c r="HM16" i="15"/>
  <c r="F19" i="8"/>
  <c r="G19" i="8" s="1"/>
  <c r="F19" i="9"/>
  <c r="G19" i="9" s="1"/>
  <c r="E20" i="11"/>
  <c r="F19" i="11"/>
  <c r="G19" i="10"/>
  <c r="G18" i="9"/>
  <c r="E20" i="9"/>
  <c r="E20" i="8"/>
  <c r="G18" i="8"/>
  <c r="E21" i="2"/>
  <c r="F20" i="2"/>
  <c r="CS16" i="15" l="1"/>
  <c r="BA17" i="15"/>
  <c r="LM17" i="15"/>
  <c r="BI17" i="15"/>
  <c r="TY17" i="15"/>
  <c r="TZ17" i="15" s="1"/>
  <c r="QO17" i="15"/>
  <c r="QP17" i="15" s="1"/>
  <c r="KK17" i="15"/>
  <c r="KL17" i="15" s="1"/>
  <c r="AG17" i="15"/>
  <c r="AH17" i="15" s="1"/>
  <c r="AO17" i="15"/>
  <c r="AP17" i="15" s="1"/>
  <c r="DM17" i="15"/>
  <c r="DN17" i="15" s="1"/>
  <c r="CO17" i="15"/>
  <c r="CP17" i="15" s="1"/>
  <c r="KO17" i="15"/>
  <c r="KP17" i="15" s="1"/>
  <c r="KS17" i="15"/>
  <c r="KT17" i="15" s="1"/>
  <c r="LQ17" i="15"/>
  <c r="LR17" i="15" s="1"/>
  <c r="AK17" i="15"/>
  <c r="AL17" i="15" s="1"/>
  <c r="CK17" i="15"/>
  <c r="CL17" i="15" s="1"/>
  <c r="IG17" i="15"/>
  <c r="IH17" i="15" s="1"/>
  <c r="OG16" i="15"/>
  <c r="OH16" i="15" s="1"/>
  <c r="FY17" i="15"/>
  <c r="FZ17" i="15" s="1"/>
  <c r="I16" i="15"/>
  <c r="J16" i="15" s="1"/>
  <c r="EG17" i="15"/>
  <c r="EH17" i="15" s="1"/>
  <c r="IS17" i="15"/>
  <c r="IT17" i="15" s="1"/>
  <c r="HY17" i="15"/>
  <c r="HZ17" i="15" s="1"/>
  <c r="RE17" i="15"/>
  <c r="RF17" i="15" s="1"/>
  <c r="QS17" i="15"/>
  <c r="QT17" i="15" s="1"/>
  <c r="GO17" i="15"/>
  <c r="GP17" i="15" s="1"/>
  <c r="TU17" i="15"/>
  <c r="TV17" i="15" s="1"/>
  <c r="SW17" i="15"/>
  <c r="SX17" i="15" s="1"/>
  <c r="HE17" i="15"/>
  <c r="HF17" i="15" s="1"/>
  <c r="JY17" i="15"/>
  <c r="JZ17" i="15" s="1"/>
  <c r="LY17" i="15"/>
  <c r="LZ17" i="15" s="1"/>
  <c r="CC16" i="15"/>
  <c r="CD16" i="15" s="1"/>
  <c r="AC17" i="15"/>
  <c r="AD17" i="15" s="1"/>
  <c r="EO17" i="15"/>
  <c r="EP17" i="15" s="1"/>
  <c r="GS17" i="15"/>
  <c r="GT17" i="15" s="1"/>
  <c r="MC17" i="15"/>
  <c r="MD17" i="15" s="1"/>
  <c r="DA17" i="15"/>
  <c r="DB17" i="15" s="1"/>
  <c r="MG17" i="15"/>
  <c r="MH17" i="15" s="1"/>
  <c r="PY17" i="15"/>
  <c r="PZ17" i="15" s="1"/>
  <c r="PI17" i="15"/>
  <c r="PJ17" i="15" s="1"/>
  <c r="OH15" i="15"/>
  <c r="HM17" i="15"/>
  <c r="HN17" i="15" s="1"/>
  <c r="BE17" i="15"/>
  <c r="BF17" i="15" s="1"/>
  <c r="UO17" i="15"/>
  <c r="BU16" i="15"/>
  <c r="BV16" i="15" s="1"/>
  <c r="SR18" i="15"/>
  <c r="NU16" i="15"/>
  <c r="NV15" i="15"/>
  <c r="GV18" i="15"/>
  <c r="AS16" i="15"/>
  <c r="AT15" i="15"/>
  <c r="MW16" i="15"/>
  <c r="MX15" i="15"/>
  <c r="QB18" i="15"/>
  <c r="LD18" i="15"/>
  <c r="FT18" i="15"/>
  <c r="NQ16" i="15"/>
  <c r="NR15" i="15"/>
  <c r="ND18" i="15"/>
  <c r="RT18" i="15"/>
  <c r="KB18" i="15"/>
  <c r="IZ18" i="15"/>
  <c r="JD18" i="15"/>
  <c r="FM17" i="15"/>
  <c r="FN17" i="15" s="1"/>
  <c r="CF18" i="15"/>
  <c r="GK16" i="15"/>
  <c r="GL15" i="15"/>
  <c r="GC16" i="15"/>
  <c r="GD15" i="15"/>
  <c r="PU16" i="15"/>
  <c r="PV15" i="15"/>
  <c r="TL18" i="15"/>
  <c r="TV16" i="15"/>
  <c r="LH18" i="15"/>
  <c r="QF18" i="15"/>
  <c r="JL18" i="15"/>
  <c r="BF16" i="15"/>
  <c r="AP16" i="15"/>
  <c r="QK16" i="15"/>
  <c r="QL15" i="15"/>
  <c r="TT18" i="15"/>
  <c r="EB18" i="15"/>
  <c r="JE16" i="15"/>
  <c r="JF15" i="15"/>
  <c r="IO16" i="15"/>
  <c r="IP15" i="15"/>
  <c r="LT18" i="15"/>
  <c r="QJ18" i="15"/>
  <c r="DY16" i="15"/>
  <c r="DZ15" i="15"/>
  <c r="FL18" i="15"/>
  <c r="EL17" i="15"/>
  <c r="EJ18" i="15"/>
  <c r="EK18" i="15" s="1"/>
  <c r="ON18" i="15"/>
  <c r="CZ18" i="15"/>
  <c r="SS16" i="15"/>
  <c r="ST15" i="15"/>
  <c r="BD18" i="15"/>
  <c r="MN18" i="15"/>
  <c r="TE16" i="15"/>
  <c r="TF15" i="15"/>
  <c r="EN18" i="15"/>
  <c r="PD18" i="15"/>
  <c r="FA16" i="15"/>
  <c r="FB15" i="15"/>
  <c r="AN18" i="15"/>
  <c r="LZ16" i="15"/>
  <c r="FD18" i="15"/>
  <c r="BL18" i="15"/>
  <c r="RF16" i="15"/>
  <c r="HT18" i="15"/>
  <c r="PT18" i="15"/>
  <c r="HN16" i="15"/>
  <c r="CJ18" i="15"/>
  <c r="OO16" i="15"/>
  <c r="OP15" i="15"/>
  <c r="NY16" i="15"/>
  <c r="NZ15" i="15"/>
  <c r="DB16" i="15"/>
  <c r="GT16" i="15"/>
  <c r="EP16" i="15"/>
  <c r="TP18" i="15"/>
  <c r="FQ16" i="15"/>
  <c r="FR15" i="15"/>
  <c r="DE16" i="15"/>
  <c r="DF15" i="15"/>
  <c r="LX18" i="15"/>
  <c r="RD18" i="15"/>
  <c r="KL16" i="15"/>
  <c r="EF18" i="15"/>
  <c r="HL18" i="15"/>
  <c r="CL16" i="15"/>
  <c r="SN18" i="15"/>
  <c r="MZ17" i="15"/>
  <c r="OR18" i="15"/>
  <c r="NH18" i="15"/>
  <c r="AV18" i="15"/>
  <c r="HP18" i="15"/>
  <c r="PL17" i="15"/>
  <c r="NT18" i="15"/>
  <c r="ES16" i="15"/>
  <c r="ET15" i="15"/>
  <c r="DX18" i="15"/>
  <c r="LP18" i="15"/>
  <c r="BY16" i="15"/>
  <c r="BZ15" i="15"/>
  <c r="JX18" i="15"/>
  <c r="D18" i="15"/>
  <c r="PP18" i="15"/>
  <c r="GF18" i="15"/>
  <c r="E17" i="15"/>
  <c r="TD18" i="15"/>
  <c r="SV18" i="15"/>
  <c r="UJ18" i="15"/>
  <c r="NI16" i="15"/>
  <c r="NJ15" i="15"/>
  <c r="QC16" i="15"/>
  <c r="QD15" i="15"/>
  <c r="PX18" i="15"/>
  <c r="KZ18" i="15"/>
  <c r="GW17" i="15"/>
  <c r="GX17" i="15" s="1"/>
  <c r="FH18" i="15"/>
  <c r="MD16" i="15"/>
  <c r="OB18" i="15"/>
  <c r="HH18" i="15"/>
  <c r="EW16" i="15"/>
  <c r="EX15" i="15"/>
  <c r="IC17" i="15"/>
  <c r="ID17" i="15" s="1"/>
  <c r="IJ18" i="15"/>
  <c r="HX18" i="15"/>
  <c r="BM16" i="15"/>
  <c r="BN15" i="15"/>
  <c r="SF18" i="15"/>
  <c r="PQ16" i="15"/>
  <c r="PR15" i="15"/>
  <c r="RL18" i="15"/>
  <c r="FU17" i="15"/>
  <c r="MS16" i="15"/>
  <c r="MT15" i="15"/>
  <c r="OW16" i="15"/>
  <c r="OX15" i="15"/>
  <c r="RX18" i="15"/>
  <c r="HI16" i="15"/>
  <c r="HJ15" i="15"/>
  <c r="NA16" i="15"/>
  <c r="NE16" i="15"/>
  <c r="NF15" i="15"/>
  <c r="KW16" i="15"/>
  <c r="KX15" i="15"/>
  <c r="DH18" i="15"/>
  <c r="LU16" i="15"/>
  <c r="LV15" i="15"/>
  <c r="PH18" i="15"/>
  <c r="OF17" i="15"/>
  <c r="NX18" i="15"/>
  <c r="SJ18" i="15"/>
  <c r="LN17" i="15"/>
  <c r="LL18" i="15"/>
  <c r="NP18" i="15"/>
  <c r="OJ18" i="15"/>
  <c r="LE16" i="15"/>
  <c r="LF15" i="15"/>
  <c r="TX18" i="15"/>
  <c r="PJ16" i="15"/>
  <c r="FI17" i="15"/>
  <c r="FJ17" i="15" s="1"/>
  <c r="GB18" i="15"/>
  <c r="EC16" i="15"/>
  <c r="ED15" i="15"/>
  <c r="CB17" i="15"/>
  <c r="IW16" i="15"/>
  <c r="IX15" i="15"/>
  <c r="L18" i="15"/>
  <c r="RY16" i="15"/>
  <c r="RZ15" i="15"/>
  <c r="RU16" i="15"/>
  <c r="RV15" i="15"/>
  <c r="AW16" i="15"/>
  <c r="AX15" i="15"/>
  <c r="NM16" i="15"/>
  <c r="NN15" i="15"/>
  <c r="MB18" i="15"/>
  <c r="JH18" i="15"/>
  <c r="IK16" i="15"/>
  <c r="IL15" i="15"/>
  <c r="HA16" i="15"/>
  <c r="HB15" i="15"/>
  <c r="AF18" i="15"/>
  <c r="JQ16" i="15"/>
  <c r="JR15" i="15"/>
  <c r="UG16" i="15"/>
  <c r="UH15" i="15"/>
  <c r="TH18" i="15"/>
  <c r="AB18" i="15"/>
  <c r="PE17" i="15"/>
  <c r="PF17" i="15" s="1"/>
  <c r="UB18" i="15"/>
  <c r="GN18" i="15"/>
  <c r="CG16" i="15"/>
  <c r="CH15" i="15"/>
  <c r="OK17" i="15"/>
  <c r="OL17" i="15" s="1"/>
  <c r="DT18" i="15"/>
  <c r="AD16" i="15"/>
  <c r="JI16" i="15"/>
  <c r="JJ15" i="15"/>
  <c r="CV18" i="15"/>
  <c r="GJ18" i="15"/>
  <c r="OC16" i="15"/>
  <c r="OD15" i="15"/>
  <c r="JA17" i="15"/>
  <c r="JB17" i="15" s="1"/>
  <c r="ER18" i="15"/>
  <c r="SB18" i="15"/>
  <c r="GR18" i="15"/>
  <c r="SZ18" i="15"/>
  <c r="KJ18" i="15"/>
  <c r="QG16" i="15"/>
  <c r="QH15" i="15"/>
  <c r="CW16" i="15"/>
  <c r="CX15" i="15"/>
  <c r="QV18" i="15"/>
  <c r="HU16" i="15"/>
  <c r="HV15" i="15"/>
  <c r="BJ17" i="15"/>
  <c r="BH18" i="15"/>
  <c r="IB18" i="15"/>
  <c r="RP18" i="15"/>
  <c r="BP18" i="15"/>
  <c r="MK16" i="15"/>
  <c r="ML15" i="15"/>
  <c r="FE17" i="15"/>
  <c r="BX18" i="15"/>
  <c r="DI16" i="15"/>
  <c r="DJ15" i="15"/>
  <c r="TM16" i="15"/>
  <c r="TN15" i="15"/>
  <c r="T18" i="15"/>
  <c r="RH18" i="15"/>
  <c r="FX18" i="15"/>
  <c r="AJ18" i="15"/>
  <c r="GG16" i="15"/>
  <c r="GH15" i="15"/>
  <c r="UC16" i="15"/>
  <c r="UD15" i="15"/>
  <c r="EZ18" i="15"/>
  <c r="OS16" i="15"/>
  <c r="OT15" i="15"/>
  <c r="GP16" i="15"/>
  <c r="KV18" i="15"/>
  <c r="QN18" i="15"/>
  <c r="M16" i="15"/>
  <c r="N15" i="15"/>
  <c r="DP18" i="15"/>
  <c r="IF18" i="15"/>
  <c r="IR18" i="15"/>
  <c r="SG17" i="15"/>
  <c r="SH17" i="15" s="1"/>
  <c r="AR18" i="15"/>
  <c r="US16" i="15"/>
  <c r="UT15" i="15"/>
  <c r="OZ18" i="15"/>
  <c r="UP16" i="15"/>
  <c r="DQ17" i="15"/>
  <c r="KF18" i="15"/>
  <c r="UF18" i="15"/>
  <c r="CD15" i="15"/>
  <c r="KG16" i="15"/>
  <c r="KH15" i="15"/>
  <c r="NL18" i="15"/>
  <c r="SX16" i="15"/>
  <c r="H17" i="15"/>
  <c r="KN18" i="15"/>
  <c r="HZ16" i="15"/>
  <c r="QW17" i="15"/>
  <c r="UK16" i="15"/>
  <c r="UL15" i="15"/>
  <c r="X18" i="15"/>
  <c r="Y16" i="15"/>
  <c r="Z15" i="15"/>
  <c r="JU16" i="15"/>
  <c r="JV15" i="15"/>
  <c r="JT18" i="15"/>
  <c r="AZ18" i="15"/>
  <c r="BA18" i="15" s="1"/>
  <c r="BB17" i="15"/>
  <c r="EV18" i="15"/>
  <c r="MR18" i="15"/>
  <c r="UR18" i="15"/>
  <c r="MV18" i="15"/>
  <c r="BV15" i="15"/>
  <c r="Q16" i="15"/>
  <c r="R15" i="15"/>
  <c r="KR18" i="15"/>
  <c r="QT16" i="15"/>
  <c r="LA16" i="15"/>
  <c r="LB15" i="15"/>
  <c r="DL18" i="15"/>
  <c r="OV18" i="15"/>
  <c r="RM16" i="15"/>
  <c r="RN15" i="15"/>
  <c r="TA16" i="15"/>
  <c r="TB15" i="15"/>
  <c r="JP18" i="15"/>
  <c r="TI16" i="15"/>
  <c r="TJ15" i="15"/>
  <c r="MF18" i="15"/>
  <c r="UN18" i="15"/>
  <c r="RI17" i="15"/>
  <c r="DD18" i="15"/>
  <c r="IV18" i="15"/>
  <c r="MJ18" i="15"/>
  <c r="DU16" i="15"/>
  <c r="DV15" i="15"/>
  <c r="CN18" i="15"/>
  <c r="TQ16" i="15"/>
  <c r="TR15" i="15"/>
  <c r="CP16" i="15"/>
  <c r="JM17" i="15"/>
  <c r="BQ17" i="15"/>
  <c r="BR17" i="15" s="1"/>
  <c r="QZ18" i="15"/>
  <c r="HQ17" i="15"/>
  <c r="HR17" i="15" s="1"/>
  <c r="GZ18" i="15"/>
  <c r="RQ16" i="15"/>
  <c r="RR15" i="15"/>
  <c r="SK17" i="15"/>
  <c r="SO17" i="15"/>
  <c r="HD18" i="15"/>
  <c r="SC16" i="15"/>
  <c r="SD15" i="15"/>
  <c r="IN18" i="15"/>
  <c r="BT17" i="15"/>
  <c r="QR18" i="15"/>
  <c r="KC16" i="15"/>
  <c r="KD15" i="15"/>
  <c r="RA16" i="15"/>
  <c r="RB15" i="15"/>
  <c r="FP18" i="15"/>
  <c r="CR17" i="15"/>
  <c r="CS17" i="15" s="1"/>
  <c r="CT16" i="15"/>
  <c r="LI17" i="15"/>
  <c r="P18" i="15"/>
  <c r="U17" i="15"/>
  <c r="MH16" i="15"/>
  <c r="MO17" i="15"/>
  <c r="PA16" i="15"/>
  <c r="PB15" i="15"/>
  <c r="PM16" i="15"/>
  <c r="F20" i="11"/>
  <c r="G20" i="11" s="1"/>
  <c r="F21" i="2"/>
  <c r="G21" i="2" s="1"/>
  <c r="G19" i="11"/>
  <c r="E21" i="11"/>
  <c r="E21" i="9"/>
  <c r="F20" i="9"/>
  <c r="E21" i="8"/>
  <c r="F20" i="8"/>
  <c r="G20" i="2"/>
  <c r="E22" i="2"/>
  <c r="AK18" i="15" l="1"/>
  <c r="AL18" i="15" s="1"/>
  <c r="TY18" i="15"/>
  <c r="DM18" i="15"/>
  <c r="DN18" i="15" s="1"/>
  <c r="KK18" i="15"/>
  <c r="KL18" i="15" s="1"/>
  <c r="LQ18" i="15"/>
  <c r="LR18" i="15" s="1"/>
  <c r="FY18" i="15"/>
  <c r="FZ18" i="15" s="1"/>
  <c r="IG18" i="15"/>
  <c r="IH18" i="15" s="1"/>
  <c r="CK18" i="15"/>
  <c r="CL18" i="15" s="1"/>
  <c r="HY18" i="15"/>
  <c r="HZ18" i="15" s="1"/>
  <c r="AO18" i="15"/>
  <c r="AP18" i="15" s="1"/>
  <c r="KS18" i="15"/>
  <c r="KT18" i="15" s="1"/>
  <c r="EG18" i="15"/>
  <c r="EH18" i="15" s="1"/>
  <c r="I17" i="15"/>
  <c r="J17" i="15" s="1"/>
  <c r="QS18" i="15"/>
  <c r="QT18" i="15" s="1"/>
  <c r="OG17" i="15"/>
  <c r="OH17" i="15" s="1"/>
  <c r="SK18" i="15"/>
  <c r="SL18" i="15" s="1"/>
  <c r="LY18" i="15"/>
  <c r="LZ18" i="15" s="1"/>
  <c r="JY18" i="15"/>
  <c r="JZ18" i="15" s="1"/>
  <c r="EO18" i="15"/>
  <c r="EP18" i="15" s="1"/>
  <c r="TU18" i="15"/>
  <c r="TV18" i="15" s="1"/>
  <c r="PI18" i="15"/>
  <c r="PJ18" i="15" s="1"/>
  <c r="SO18" i="15"/>
  <c r="SP18" i="15" s="1"/>
  <c r="FE18" i="15"/>
  <c r="FF18" i="15" s="1"/>
  <c r="CC17" i="15"/>
  <c r="CD17" i="15" s="1"/>
  <c r="GS18" i="15"/>
  <c r="GT18" i="15" s="1"/>
  <c r="JM18" i="15"/>
  <c r="JN18" i="15" s="1"/>
  <c r="UO18" i="15"/>
  <c r="UP18" i="15" s="1"/>
  <c r="AC18" i="15"/>
  <c r="AD18" i="15" s="1"/>
  <c r="U18" i="15"/>
  <c r="V18" i="15" s="1"/>
  <c r="HM18" i="15"/>
  <c r="HN18" i="15" s="1"/>
  <c r="BE18" i="15"/>
  <c r="BF18" i="15" s="1"/>
  <c r="DA18" i="15"/>
  <c r="DB18" i="15" s="1"/>
  <c r="QW18" i="15"/>
  <c r="QX18" i="15" s="1"/>
  <c r="RI18" i="15"/>
  <c r="RJ18" i="15" s="1"/>
  <c r="UP17" i="15"/>
  <c r="E18" i="15"/>
  <c r="F18" i="15" s="1"/>
  <c r="BU17" i="15"/>
  <c r="BV17" i="15" s="1"/>
  <c r="DQ18" i="15"/>
  <c r="DR18" i="15" s="1"/>
  <c r="MO18" i="15"/>
  <c r="MP18" i="15" s="1"/>
  <c r="NA17" i="15"/>
  <c r="NB17" i="15" s="1"/>
  <c r="PM17" i="15"/>
  <c r="PN17" i="15" s="1"/>
  <c r="RJ17" i="15"/>
  <c r="FU18" i="15"/>
  <c r="FV18" i="15" s="1"/>
  <c r="LI18" i="15"/>
  <c r="LJ18" i="15" s="1"/>
  <c r="QX17" i="15"/>
  <c r="FM18" i="15"/>
  <c r="FN18" i="15" s="1"/>
  <c r="CW17" i="15"/>
  <c r="CX16" i="15"/>
  <c r="RU17" i="15"/>
  <c r="RV16" i="15"/>
  <c r="LE17" i="15"/>
  <c r="LF16" i="15"/>
  <c r="DH19" i="15"/>
  <c r="FH19" i="15"/>
  <c r="TD19" i="15"/>
  <c r="FA17" i="15"/>
  <c r="FB16" i="15"/>
  <c r="FL19" i="15"/>
  <c r="JI17" i="15"/>
  <c r="JJ16" i="15"/>
  <c r="JQ17" i="15"/>
  <c r="JR16" i="15"/>
  <c r="OJ19" i="15"/>
  <c r="NT19" i="15"/>
  <c r="OO17" i="15"/>
  <c r="OP16" i="15"/>
  <c r="PD19" i="15"/>
  <c r="JL19" i="15"/>
  <c r="JD19" i="15"/>
  <c r="MW17" i="15"/>
  <c r="MX16" i="15"/>
  <c r="PA17" i="15"/>
  <c r="PB16" i="15"/>
  <c r="TQ17" i="15"/>
  <c r="TR16" i="15"/>
  <c r="KN19" i="15"/>
  <c r="OZ19" i="15"/>
  <c r="QG17" i="15"/>
  <c r="QH16" i="15"/>
  <c r="RY17" i="15"/>
  <c r="RZ16" i="15"/>
  <c r="KW17" i="15"/>
  <c r="KX16" i="15"/>
  <c r="PQ17" i="15"/>
  <c r="PR16" i="15"/>
  <c r="GW18" i="15"/>
  <c r="PN16" i="15"/>
  <c r="EF19" i="15"/>
  <c r="DY17" i="15"/>
  <c r="DZ16" i="15"/>
  <c r="JN17" i="15"/>
  <c r="IZ19" i="15"/>
  <c r="LU17" i="15"/>
  <c r="LV16" i="15"/>
  <c r="TI17" i="15"/>
  <c r="TJ16" i="15"/>
  <c r="AF19" i="15"/>
  <c r="KZ19" i="15"/>
  <c r="GF19" i="15"/>
  <c r="TA17" i="15"/>
  <c r="TB16" i="15"/>
  <c r="PP19" i="15"/>
  <c r="MK17" i="15"/>
  <c r="ML16" i="15"/>
  <c r="HA17" i="15"/>
  <c r="HB16" i="15"/>
  <c r="LL19" i="15"/>
  <c r="PX19" i="15"/>
  <c r="TE17" i="15"/>
  <c r="TF16" i="15"/>
  <c r="LH19" i="15"/>
  <c r="KB19" i="15"/>
  <c r="RL19" i="15"/>
  <c r="DT19" i="15"/>
  <c r="QJ19" i="15"/>
  <c r="CG17" i="15"/>
  <c r="CH16" i="15"/>
  <c r="HI17" i="15"/>
  <c r="HJ16" i="15"/>
  <c r="BM17" i="15"/>
  <c r="BN16" i="15"/>
  <c r="D19" i="15"/>
  <c r="LX19" i="15"/>
  <c r="MP17" i="15"/>
  <c r="LJ17" i="15"/>
  <c r="NU17" i="15"/>
  <c r="NV16" i="15"/>
  <c r="SV19" i="15"/>
  <c r="JP19" i="15"/>
  <c r="SF19" i="15"/>
  <c r="SW18" i="15"/>
  <c r="OS17" i="15"/>
  <c r="OT16" i="15"/>
  <c r="NP19" i="15"/>
  <c r="OK18" i="15"/>
  <c r="OL18" i="15" s="1"/>
  <c r="LT19" i="15"/>
  <c r="AV19" i="15"/>
  <c r="IR19" i="15"/>
  <c r="GG17" i="15"/>
  <c r="GH16" i="15"/>
  <c r="GN19" i="15"/>
  <c r="IK17" i="15"/>
  <c r="IL16" i="15"/>
  <c r="CB18" i="15"/>
  <c r="SJ19" i="15"/>
  <c r="HX19" i="15"/>
  <c r="QC17" i="15"/>
  <c r="QD16" i="15"/>
  <c r="JX19" i="15"/>
  <c r="NH19" i="15"/>
  <c r="DE17" i="15"/>
  <c r="DF16" i="15"/>
  <c r="IO17" i="15"/>
  <c r="IP16" i="15"/>
  <c r="QB19" i="15"/>
  <c r="PL18" i="15"/>
  <c r="UK17" i="15"/>
  <c r="UL16" i="15"/>
  <c r="BX19" i="15"/>
  <c r="US17" i="15"/>
  <c r="UT16" i="15"/>
  <c r="HD19" i="15"/>
  <c r="P19" i="15"/>
  <c r="PT19" i="15"/>
  <c r="NL19" i="15"/>
  <c r="EC17" i="15"/>
  <c r="ED16" i="15"/>
  <c r="FQ17" i="15"/>
  <c r="FR16" i="15"/>
  <c r="JE17" i="15"/>
  <c r="JF16" i="15"/>
  <c r="QN19" i="15"/>
  <c r="CF19" i="15"/>
  <c r="KV19" i="15"/>
  <c r="EN19" i="15"/>
  <c r="AR19" i="15"/>
  <c r="RD19" i="15"/>
  <c r="DU17" i="15"/>
  <c r="DV16" i="15"/>
  <c r="RM17" i="15"/>
  <c r="RN16" i="15"/>
  <c r="QO18" i="15"/>
  <c r="SL17" i="15"/>
  <c r="AZ19" i="15"/>
  <c r="BB18" i="15"/>
  <c r="RQ17" i="15"/>
  <c r="RR16" i="15"/>
  <c r="SB19" i="15"/>
  <c r="HT19" i="15"/>
  <c r="AJ19" i="15"/>
  <c r="JH19" i="15"/>
  <c r="OW17" i="15"/>
  <c r="OX16" i="15"/>
  <c r="FP19" i="15"/>
  <c r="GZ19" i="15"/>
  <c r="IV19" i="15"/>
  <c r="FX19" i="15"/>
  <c r="IB19" i="15"/>
  <c r="ER19" i="15"/>
  <c r="PE18" i="15"/>
  <c r="MB19" i="15"/>
  <c r="MC18" i="15"/>
  <c r="IC18" i="15"/>
  <c r="NI17" i="15"/>
  <c r="NJ16" i="15"/>
  <c r="BY17" i="15"/>
  <c r="BZ16" i="15"/>
  <c r="OR19" i="15"/>
  <c r="BL19" i="15"/>
  <c r="SS17" i="15"/>
  <c r="ST16" i="15"/>
  <c r="EB19" i="15"/>
  <c r="PU17" i="15"/>
  <c r="PV16" i="15"/>
  <c r="NQ17" i="15"/>
  <c r="NR16" i="15"/>
  <c r="LM18" i="15"/>
  <c r="LN18" i="15" s="1"/>
  <c r="UG17" i="15"/>
  <c r="UH16" i="15"/>
  <c r="MV19" i="15"/>
  <c r="UR19" i="15"/>
  <c r="EZ19" i="15"/>
  <c r="SG18" i="15"/>
  <c r="MN19" i="15"/>
  <c r="DL19" i="15"/>
  <c r="LA17" i="15"/>
  <c r="LB16" i="15"/>
  <c r="BH19" i="15"/>
  <c r="GB19" i="15"/>
  <c r="AG18" i="15"/>
  <c r="MZ18" i="15"/>
  <c r="TP19" i="15"/>
  <c r="CZ19" i="15"/>
  <c r="Q17" i="15"/>
  <c r="R16" i="15"/>
  <c r="ES17" i="15"/>
  <c r="ET16" i="15"/>
  <c r="AS17" i="15"/>
  <c r="AT16" i="15"/>
  <c r="GV19" i="15"/>
  <c r="UC17" i="15"/>
  <c r="UD16" i="15"/>
  <c r="RX19" i="15"/>
  <c r="TL19" i="15"/>
  <c r="EW17" i="15"/>
  <c r="EX16" i="15"/>
  <c r="NB16" i="15"/>
  <c r="FD19" i="15"/>
  <c r="TT19" i="15"/>
  <c r="GC17" i="15"/>
  <c r="GD16" i="15"/>
  <c r="FV17" i="15"/>
  <c r="PY18" i="15"/>
  <c r="MF19" i="15"/>
  <c r="TZ18" i="15"/>
  <c r="TX19" i="15"/>
  <c r="TY19" i="15" s="1"/>
  <c r="DI17" i="15"/>
  <c r="DJ16" i="15"/>
  <c r="IN19" i="15"/>
  <c r="CN19" i="15"/>
  <c r="L19" i="15"/>
  <c r="SZ19" i="15"/>
  <c r="BP19" i="15"/>
  <c r="F17" i="15"/>
  <c r="RT19" i="15"/>
  <c r="MJ19" i="15"/>
  <c r="SR19" i="15"/>
  <c r="KG17" i="15"/>
  <c r="KH16" i="15"/>
  <c r="UB19" i="15"/>
  <c r="IJ19" i="15"/>
  <c r="RA17" i="15"/>
  <c r="RB16" i="15"/>
  <c r="DR17" i="15"/>
  <c r="GO18" i="15"/>
  <c r="KR19" i="15"/>
  <c r="Y17" i="15"/>
  <c r="Z16" i="15"/>
  <c r="RH19" i="15"/>
  <c r="OC17" i="15"/>
  <c r="OD16" i="15"/>
  <c r="AB19" i="15"/>
  <c r="NM17" i="15"/>
  <c r="NN16" i="15"/>
  <c r="FI18" i="15"/>
  <c r="PH19" i="15"/>
  <c r="UJ19" i="15"/>
  <c r="HE18" i="15"/>
  <c r="FF17" i="15"/>
  <c r="ON19" i="15"/>
  <c r="FT19" i="15"/>
  <c r="IS18" i="15"/>
  <c r="IT18" i="15" s="1"/>
  <c r="CV19" i="15"/>
  <c r="TM17" i="15"/>
  <c r="TN16" i="15"/>
  <c r="NY17" i="15"/>
  <c r="NZ16" i="15"/>
  <c r="NE17" i="15"/>
  <c r="NF16" i="15"/>
  <c r="HP19" i="15"/>
  <c r="MR19" i="15"/>
  <c r="CJ19" i="15"/>
  <c r="GR19" i="15"/>
  <c r="RE18" i="15"/>
  <c r="RF18" i="15" s="1"/>
  <c r="ND19" i="15"/>
  <c r="JU17" i="15"/>
  <c r="JV16" i="15"/>
  <c r="DD19" i="15"/>
  <c r="KC17" i="15"/>
  <c r="KD16" i="15"/>
  <c r="UN19" i="15"/>
  <c r="UF19" i="15"/>
  <c r="M17" i="15"/>
  <c r="N16" i="15"/>
  <c r="T19" i="15"/>
  <c r="HU17" i="15"/>
  <c r="HV16" i="15"/>
  <c r="HH19" i="15"/>
  <c r="CO18" i="15"/>
  <c r="CP18" i="15" s="1"/>
  <c r="SP17" i="15"/>
  <c r="MG18" i="15"/>
  <c r="GK17" i="15"/>
  <c r="GL16" i="15"/>
  <c r="BI18" i="15"/>
  <c r="KF19" i="15"/>
  <c r="HL19" i="15"/>
  <c r="BT18" i="15"/>
  <c r="SC17" i="15"/>
  <c r="SD16" i="15"/>
  <c r="H18" i="15"/>
  <c r="KJ19" i="15"/>
  <c r="QF19" i="15"/>
  <c r="EV19" i="15"/>
  <c r="IW17" i="15"/>
  <c r="IX16" i="15"/>
  <c r="OV19" i="15"/>
  <c r="CR18" i="15"/>
  <c r="CS18" i="15" s="1"/>
  <c r="CT17" i="15"/>
  <c r="JT19" i="15"/>
  <c r="RP19" i="15"/>
  <c r="BD19" i="15"/>
  <c r="IF19" i="15"/>
  <c r="NX19" i="15"/>
  <c r="DP19" i="15"/>
  <c r="JA18" i="15"/>
  <c r="JB18" i="15" s="1"/>
  <c r="HQ18" i="15"/>
  <c r="HR18" i="15" s="1"/>
  <c r="OF18" i="15"/>
  <c r="LP19" i="15"/>
  <c r="QZ19" i="15"/>
  <c r="QR19" i="15"/>
  <c r="BQ18" i="15"/>
  <c r="BR18" i="15" s="1"/>
  <c r="X19" i="15"/>
  <c r="V17" i="15"/>
  <c r="QV19" i="15"/>
  <c r="GJ19" i="15"/>
  <c r="TH19" i="15"/>
  <c r="AW17" i="15"/>
  <c r="AX16" i="15"/>
  <c r="MS17" i="15"/>
  <c r="MT16" i="15"/>
  <c r="OB19" i="15"/>
  <c r="DX19" i="15"/>
  <c r="SN19" i="15"/>
  <c r="AN19" i="15"/>
  <c r="EL18" i="15"/>
  <c r="EJ19" i="15"/>
  <c r="EK19" i="15" s="1"/>
  <c r="QK17" i="15"/>
  <c r="QL16" i="15"/>
  <c r="LD19" i="15"/>
  <c r="KO18" i="15"/>
  <c r="F21" i="9"/>
  <c r="G21" i="9" s="1"/>
  <c r="F21" i="8"/>
  <c r="G21" i="8" s="1"/>
  <c r="E22" i="11"/>
  <c r="F21" i="11"/>
  <c r="G21" i="10"/>
  <c r="G20" i="10"/>
  <c r="E22" i="9"/>
  <c r="G20" i="9"/>
  <c r="E22" i="8"/>
  <c r="G20" i="8"/>
  <c r="E23" i="2"/>
  <c r="F22" i="2"/>
  <c r="AO19" i="15" l="1"/>
  <c r="LY19" i="15"/>
  <c r="LZ19" i="15" s="1"/>
  <c r="KK19" i="15"/>
  <c r="KL19" i="15" s="1"/>
  <c r="EO19" i="15"/>
  <c r="EP19" i="15" s="1"/>
  <c r="OG18" i="15"/>
  <c r="OH18" i="15" s="1"/>
  <c r="IG19" i="15"/>
  <c r="IH19" i="15" s="1"/>
  <c r="HY19" i="15"/>
  <c r="HZ19" i="15" s="1"/>
  <c r="SK19" i="15"/>
  <c r="SL19" i="15" s="1"/>
  <c r="EG19" i="15"/>
  <c r="EH19" i="15" s="1"/>
  <c r="JY19" i="15"/>
  <c r="JZ19" i="15" s="1"/>
  <c r="KO19" i="15"/>
  <c r="KP19" i="15" s="1"/>
  <c r="QS19" i="15"/>
  <c r="QT19" i="15" s="1"/>
  <c r="GS19" i="15"/>
  <c r="GT19" i="15" s="1"/>
  <c r="AC19" i="15"/>
  <c r="AD19" i="15" s="1"/>
  <c r="SO19" i="15"/>
  <c r="SP19" i="15" s="1"/>
  <c r="QW19" i="15"/>
  <c r="QX19" i="15" s="1"/>
  <c r="JM19" i="15"/>
  <c r="JN19" i="15" s="1"/>
  <c r="DA19" i="15"/>
  <c r="DB19" i="15" s="1"/>
  <c r="NA18" i="15"/>
  <c r="NB18" i="15" s="1"/>
  <c r="PM18" i="15"/>
  <c r="PN18" i="15" s="1"/>
  <c r="RI19" i="15"/>
  <c r="RJ19" i="15" s="1"/>
  <c r="LI19" i="15"/>
  <c r="LJ19" i="15" s="1"/>
  <c r="QO19" i="15"/>
  <c r="QP19" i="15" s="1"/>
  <c r="FM19" i="15"/>
  <c r="FN19" i="15" s="1"/>
  <c r="DQ19" i="15"/>
  <c r="DR19" i="15" s="1"/>
  <c r="MG19" i="15"/>
  <c r="MH19" i="15" s="1"/>
  <c r="SW19" i="15"/>
  <c r="SX19" i="15" s="1"/>
  <c r="FU19" i="15"/>
  <c r="FV19" i="15" s="1"/>
  <c r="BI19" i="15"/>
  <c r="BJ19" i="15" s="1"/>
  <c r="GO19" i="15"/>
  <c r="GP19" i="15" s="1"/>
  <c r="QP18" i="15"/>
  <c r="AG19" i="15"/>
  <c r="AH19" i="15" s="1"/>
  <c r="HE19" i="15"/>
  <c r="HF19" i="15" s="1"/>
  <c r="SG19" i="15"/>
  <c r="SH19" i="15" s="1"/>
  <c r="MC19" i="15"/>
  <c r="MD19" i="15" s="1"/>
  <c r="BQ19" i="15"/>
  <c r="BR19" i="15" s="1"/>
  <c r="GW19" i="15"/>
  <c r="GX19" i="15" s="1"/>
  <c r="PY19" i="15"/>
  <c r="PZ19" i="15" s="1"/>
  <c r="PD20" i="15"/>
  <c r="AZ20" i="15"/>
  <c r="BX20" i="15"/>
  <c r="PZ18" i="15"/>
  <c r="OO18" i="15"/>
  <c r="OP17" i="15"/>
  <c r="DH20" i="15"/>
  <c r="CJ20" i="15"/>
  <c r="EB20" i="15"/>
  <c r="GC18" i="15"/>
  <c r="GD17" i="15"/>
  <c r="ES18" i="15"/>
  <c r="ET17" i="15"/>
  <c r="MN20" i="15"/>
  <c r="SS18" i="15"/>
  <c r="ST17" i="15"/>
  <c r="QN20" i="15"/>
  <c r="SJ20" i="15"/>
  <c r="OS18" i="15"/>
  <c r="OT17" i="15"/>
  <c r="BM18" i="15"/>
  <c r="BN17" i="15"/>
  <c r="PX20" i="15"/>
  <c r="LU18" i="15"/>
  <c r="LV17" i="15"/>
  <c r="QG18" i="15"/>
  <c r="QH17" i="15"/>
  <c r="IV20" i="15"/>
  <c r="UK18" i="15"/>
  <c r="UL17" i="15"/>
  <c r="CB19" i="15"/>
  <c r="LL20" i="15"/>
  <c r="NT20" i="15"/>
  <c r="LE18" i="15"/>
  <c r="LF17" i="15"/>
  <c r="KR20" i="15"/>
  <c r="BP20" i="15"/>
  <c r="OB20" i="15"/>
  <c r="HP20" i="15"/>
  <c r="SZ20" i="15"/>
  <c r="FD20" i="15"/>
  <c r="GZ20" i="15"/>
  <c r="RM18" i="15"/>
  <c r="RN17" i="15"/>
  <c r="SH18" i="15"/>
  <c r="KP18" i="15"/>
  <c r="OJ20" i="15"/>
  <c r="RU18" i="15"/>
  <c r="RV17" i="15"/>
  <c r="H19" i="15"/>
  <c r="TI18" i="15"/>
  <c r="TJ17" i="15"/>
  <c r="BD20" i="15"/>
  <c r="SN20" i="15"/>
  <c r="MR20" i="15"/>
  <c r="UJ20" i="15"/>
  <c r="LP20" i="15"/>
  <c r="PH20" i="15"/>
  <c r="IJ20" i="15"/>
  <c r="EZ20" i="15"/>
  <c r="OR20" i="15"/>
  <c r="FQ18" i="15"/>
  <c r="FR17" i="15"/>
  <c r="PL19" i="15"/>
  <c r="IK18" i="15"/>
  <c r="IL17" i="15"/>
  <c r="SF20" i="15"/>
  <c r="CG18" i="15"/>
  <c r="CH17" i="15"/>
  <c r="HA18" i="15"/>
  <c r="HB17" i="15"/>
  <c r="KN20" i="15"/>
  <c r="RY18" i="15"/>
  <c r="RZ17" i="15"/>
  <c r="NP20" i="15"/>
  <c r="UF20" i="15"/>
  <c r="BL20" i="15"/>
  <c r="UN20" i="15"/>
  <c r="CZ20" i="15"/>
  <c r="DU18" i="15"/>
  <c r="DV17" i="15"/>
  <c r="KC18" i="15"/>
  <c r="KD17" i="15"/>
  <c r="BY18" i="15"/>
  <c r="BZ17" i="15"/>
  <c r="EC18" i="15"/>
  <c r="ED17" i="15"/>
  <c r="QB20" i="15"/>
  <c r="GN20" i="15"/>
  <c r="JP20" i="15"/>
  <c r="MK18" i="15"/>
  <c r="ML17" i="15"/>
  <c r="TQ18" i="15"/>
  <c r="TR17" i="15"/>
  <c r="OF19" i="15"/>
  <c r="NM18" i="15"/>
  <c r="NN17" i="15"/>
  <c r="CN20" i="15"/>
  <c r="EW18" i="15"/>
  <c r="EX17" i="15"/>
  <c r="TP20" i="15"/>
  <c r="UR20" i="15"/>
  <c r="OW18" i="15"/>
  <c r="OX17" i="15"/>
  <c r="RD20" i="15"/>
  <c r="PP20" i="15"/>
  <c r="EF20" i="15"/>
  <c r="JI18" i="15"/>
  <c r="JJ17" i="15"/>
  <c r="DX20" i="15"/>
  <c r="OV20" i="15"/>
  <c r="AW18" i="15"/>
  <c r="AX17" i="15"/>
  <c r="UO19" i="15"/>
  <c r="UP19" i="15" s="1"/>
  <c r="DD20" i="15"/>
  <c r="IN20" i="15"/>
  <c r="MZ19" i="15"/>
  <c r="NI18" i="15"/>
  <c r="NJ17" i="15"/>
  <c r="BA19" i="15"/>
  <c r="NL20" i="15"/>
  <c r="IO18" i="15"/>
  <c r="IP17" i="15"/>
  <c r="GG18" i="15"/>
  <c r="GH17" i="15"/>
  <c r="SX18" i="15"/>
  <c r="DT20" i="15"/>
  <c r="PA18" i="15"/>
  <c r="PB17" i="15"/>
  <c r="TE18" i="15"/>
  <c r="TF17" i="15"/>
  <c r="SC18" i="15"/>
  <c r="SD17" i="15"/>
  <c r="QR20" i="15"/>
  <c r="BT19" i="15"/>
  <c r="NE18" i="15"/>
  <c r="NF17" i="15"/>
  <c r="GP18" i="15"/>
  <c r="X20" i="15"/>
  <c r="ON20" i="15"/>
  <c r="FX20" i="15"/>
  <c r="L20" i="15"/>
  <c r="TL20" i="15"/>
  <c r="MO19" i="15"/>
  <c r="TH20" i="15"/>
  <c r="TA18" i="15"/>
  <c r="TB17" i="15"/>
  <c r="DI18" i="15"/>
  <c r="DJ17" i="15"/>
  <c r="AJ20" i="15"/>
  <c r="CC18" i="15"/>
  <c r="NH20" i="15"/>
  <c r="NU18" i="15"/>
  <c r="NV17" i="15"/>
  <c r="RL20" i="15"/>
  <c r="MW18" i="15"/>
  <c r="MX17" i="15"/>
  <c r="FL20" i="15"/>
  <c r="CK19" i="15"/>
  <c r="RQ18" i="15"/>
  <c r="RR17" i="15"/>
  <c r="AN20" i="15"/>
  <c r="AP19" i="15"/>
  <c r="D20" i="15"/>
  <c r="RP20" i="15"/>
  <c r="RA18" i="15"/>
  <c r="RB17" i="15"/>
  <c r="JE18" i="15"/>
  <c r="JF17" i="15"/>
  <c r="CW18" i="15"/>
  <c r="CX17" i="15"/>
  <c r="KG18" i="15"/>
  <c r="KH17" i="15"/>
  <c r="GF20" i="15"/>
  <c r="I18" i="15"/>
  <c r="LA18" i="15"/>
  <c r="LB17" i="15"/>
  <c r="US18" i="15"/>
  <c r="UT17" i="15"/>
  <c r="M18" i="15"/>
  <c r="N17" i="15"/>
  <c r="QZ20" i="15"/>
  <c r="JT20" i="15"/>
  <c r="Q18" i="15"/>
  <c r="R17" i="15"/>
  <c r="HL20" i="15"/>
  <c r="KF20" i="15"/>
  <c r="UB20" i="15"/>
  <c r="IW18" i="15"/>
  <c r="IX17" i="15"/>
  <c r="NY18" i="15"/>
  <c r="NZ17" i="15"/>
  <c r="JU18" i="15"/>
  <c r="JV17" i="15"/>
  <c r="AR20" i="15"/>
  <c r="TM18" i="15"/>
  <c r="TN17" i="15"/>
  <c r="UG18" i="15"/>
  <c r="UH17" i="15"/>
  <c r="LD20" i="15"/>
  <c r="QF20" i="15"/>
  <c r="LM19" i="15"/>
  <c r="LN19" i="15" s="1"/>
  <c r="EN20" i="15"/>
  <c r="FY19" i="15"/>
  <c r="RE19" i="15"/>
  <c r="CV20" i="15"/>
  <c r="RH20" i="15"/>
  <c r="MJ20" i="15"/>
  <c r="TX20" i="15"/>
  <c r="TZ19" i="15"/>
  <c r="UC18" i="15"/>
  <c r="UD17" i="15"/>
  <c r="GB20" i="15"/>
  <c r="PE19" i="15"/>
  <c r="PF19" i="15" s="1"/>
  <c r="HT20" i="15"/>
  <c r="AK19" i="15"/>
  <c r="AL19" i="15" s="1"/>
  <c r="P20" i="15"/>
  <c r="KS19" i="15"/>
  <c r="KZ20" i="15"/>
  <c r="PQ18" i="15"/>
  <c r="PR17" i="15"/>
  <c r="JD20" i="15"/>
  <c r="FA18" i="15"/>
  <c r="FB17" i="15"/>
  <c r="OZ20" i="15"/>
  <c r="DY18" i="15"/>
  <c r="DZ17" i="15"/>
  <c r="FE19" i="15"/>
  <c r="FF19" i="15" s="1"/>
  <c r="HQ19" i="15"/>
  <c r="MV20" i="15"/>
  <c r="IR20" i="15"/>
  <c r="SV20" i="15"/>
  <c r="JA19" i="15"/>
  <c r="BE19" i="15"/>
  <c r="SR20" i="15"/>
  <c r="RX20" i="15"/>
  <c r="DP20" i="15"/>
  <c r="QV20" i="15"/>
  <c r="GR20" i="15"/>
  <c r="IS19" i="15"/>
  <c r="IT19" i="15" s="1"/>
  <c r="GX18" i="15"/>
  <c r="BJ18" i="15"/>
  <c r="NQ18" i="15"/>
  <c r="NR17" i="15"/>
  <c r="HF18" i="15"/>
  <c r="JX20" i="15"/>
  <c r="LT20" i="15"/>
  <c r="KB20" i="15"/>
  <c r="JL20" i="15"/>
  <c r="TD20" i="15"/>
  <c r="HM19" i="15"/>
  <c r="IB20" i="15"/>
  <c r="AS18" i="15"/>
  <c r="AT17" i="15"/>
  <c r="HX20" i="15"/>
  <c r="TT20" i="15"/>
  <c r="HI18" i="15"/>
  <c r="HJ17" i="15"/>
  <c r="FI19" i="15"/>
  <c r="FJ19" i="15" s="1"/>
  <c r="FP20" i="15"/>
  <c r="QJ20" i="15"/>
  <c r="MS18" i="15"/>
  <c r="MT17" i="15"/>
  <c r="AB20" i="15"/>
  <c r="JH20" i="15"/>
  <c r="DE18" i="15"/>
  <c r="DF17" i="15"/>
  <c r="E19" i="15"/>
  <c r="F19" i="15" s="1"/>
  <c r="EV20" i="15"/>
  <c r="OC18" i="15"/>
  <c r="OD17" i="15"/>
  <c r="TU19" i="15"/>
  <c r="CO19" i="15"/>
  <c r="MB20" i="15"/>
  <c r="AV20" i="15"/>
  <c r="HH20" i="15"/>
  <c r="EJ20" i="15"/>
  <c r="EK20" i="15" s="1"/>
  <c r="EL19" i="15"/>
  <c r="NX20" i="15"/>
  <c r="KJ20" i="15"/>
  <c r="FT20" i="15"/>
  <c r="Y18" i="15"/>
  <c r="Z17" i="15"/>
  <c r="RT20" i="15"/>
  <c r="MF20" i="15"/>
  <c r="GV20" i="15"/>
  <c r="BH20" i="15"/>
  <c r="ER20" i="15"/>
  <c r="SB20" i="15"/>
  <c r="KV20" i="15"/>
  <c r="HD20" i="15"/>
  <c r="AH18" i="15"/>
  <c r="KW18" i="15"/>
  <c r="KX17" i="15"/>
  <c r="BU18" i="15"/>
  <c r="FH20" i="15"/>
  <c r="T20" i="15"/>
  <c r="DL20" i="15"/>
  <c r="CF20" i="15"/>
  <c r="IZ20" i="15"/>
  <c r="CR19" i="15"/>
  <c r="CS19" i="15" s="1"/>
  <c r="CT18" i="15"/>
  <c r="JQ18" i="15"/>
  <c r="JR17" i="15"/>
  <c r="GK18" i="15"/>
  <c r="GL17" i="15"/>
  <c r="IC19" i="15"/>
  <c r="PT20" i="15"/>
  <c r="MD18" i="15"/>
  <c r="GJ20" i="15"/>
  <c r="ND20" i="15"/>
  <c r="QK18" i="15"/>
  <c r="QL17" i="15"/>
  <c r="IF20" i="15"/>
  <c r="HU18" i="15"/>
  <c r="HV17" i="15"/>
  <c r="DM19" i="15"/>
  <c r="MH18" i="15"/>
  <c r="U19" i="15"/>
  <c r="PU18" i="15"/>
  <c r="PV17" i="15"/>
  <c r="ID18" i="15"/>
  <c r="PI19" i="15"/>
  <c r="QC18" i="15"/>
  <c r="QD17" i="15"/>
  <c r="OK19" i="15"/>
  <c r="LX20" i="15"/>
  <c r="LH20" i="15"/>
  <c r="AF20" i="15"/>
  <c r="PF18" i="15"/>
  <c r="FJ18" i="15"/>
  <c r="LQ19" i="15"/>
  <c r="LR19" i="15" s="1"/>
  <c r="F22" i="11"/>
  <c r="G22" i="11" s="1"/>
  <c r="F23" i="2"/>
  <c r="G23" i="2" s="1"/>
  <c r="E23" i="11"/>
  <c r="G21" i="11"/>
  <c r="E23" i="9"/>
  <c r="F22" i="9"/>
  <c r="E23" i="8"/>
  <c r="F22" i="8"/>
  <c r="G22" i="2"/>
  <c r="E24" i="2"/>
  <c r="QW20" i="15" l="1"/>
  <c r="EG20" i="15"/>
  <c r="EH20" i="15" s="1"/>
  <c r="LY20" i="15"/>
  <c r="KK20" i="15"/>
  <c r="EO20" i="15"/>
  <c r="EP20" i="15" s="1"/>
  <c r="OG19" i="15"/>
  <c r="OH19" i="15" s="1"/>
  <c r="KO20" i="15"/>
  <c r="KP20" i="15" s="1"/>
  <c r="HY20" i="15"/>
  <c r="HZ20" i="15" s="1"/>
  <c r="IG20" i="15"/>
  <c r="IH20" i="15" s="1"/>
  <c r="HQ20" i="15"/>
  <c r="HR20" i="15" s="1"/>
  <c r="RI20" i="15"/>
  <c r="RJ20" i="15" s="1"/>
  <c r="PM19" i="15"/>
  <c r="PN19" i="15" s="1"/>
  <c r="JM20" i="15"/>
  <c r="JN20" i="15" s="1"/>
  <c r="LI20" i="15"/>
  <c r="LJ20" i="15" s="1"/>
  <c r="FM20" i="15"/>
  <c r="FN20" i="15" s="1"/>
  <c r="BA20" i="15"/>
  <c r="BB20" i="15" s="1"/>
  <c r="PY20" i="15"/>
  <c r="PZ20" i="15" s="1"/>
  <c r="DM20" i="15"/>
  <c r="DN20" i="15" s="1"/>
  <c r="AG20" i="15"/>
  <c r="AH20" i="15" s="1"/>
  <c r="HE20" i="15"/>
  <c r="HF20" i="15" s="1"/>
  <c r="MG20" i="15"/>
  <c r="MH20" i="15" s="1"/>
  <c r="KS20" i="15"/>
  <c r="KT20" i="15" s="1"/>
  <c r="BI20" i="15"/>
  <c r="BJ20" i="15" s="1"/>
  <c r="MC20" i="15"/>
  <c r="MD20" i="15" s="1"/>
  <c r="CK20" i="15"/>
  <c r="CL20" i="15" s="1"/>
  <c r="BU19" i="15"/>
  <c r="BV19" i="15" s="1"/>
  <c r="BE20" i="15"/>
  <c r="BF20" i="15" s="1"/>
  <c r="GO20" i="15"/>
  <c r="GP20" i="15" s="1"/>
  <c r="CC19" i="15"/>
  <c r="CD19" i="15" s="1"/>
  <c r="TU20" i="15"/>
  <c r="TV20" i="15" s="1"/>
  <c r="GW20" i="15"/>
  <c r="GX20" i="15" s="1"/>
  <c r="FY20" i="15"/>
  <c r="FZ20" i="15" s="1"/>
  <c r="RE20" i="15"/>
  <c r="RF20" i="15" s="1"/>
  <c r="HM20" i="15"/>
  <c r="HN20" i="15" s="1"/>
  <c r="JA20" i="15"/>
  <c r="JB20" i="15" s="1"/>
  <c r="MO20" i="15"/>
  <c r="MP20" i="15" s="1"/>
  <c r="FI20" i="15"/>
  <c r="FJ20" i="15" s="1"/>
  <c r="BB19" i="15"/>
  <c r="I19" i="15"/>
  <c r="IC20" i="15"/>
  <c r="ID20" i="15" s="1"/>
  <c r="PI20" i="15"/>
  <c r="PJ20" i="15" s="1"/>
  <c r="OK20" i="15"/>
  <c r="OL20" i="15" s="1"/>
  <c r="CO20" i="15"/>
  <c r="CP20" i="15" s="1"/>
  <c r="BM19" i="15"/>
  <c r="BN18" i="15"/>
  <c r="QC19" i="15"/>
  <c r="QD18" i="15"/>
  <c r="D21" i="15"/>
  <c r="NE19" i="15"/>
  <c r="NF18" i="15"/>
  <c r="NL21" i="15"/>
  <c r="JI19" i="15"/>
  <c r="JJ18" i="15"/>
  <c r="KC19" i="15"/>
  <c r="KD18" i="15"/>
  <c r="CG19" i="15"/>
  <c r="CH18" i="15"/>
  <c r="OS19" i="15"/>
  <c r="OT18" i="15"/>
  <c r="OO19" i="15"/>
  <c r="OP18" i="15"/>
  <c r="GG19" i="15"/>
  <c r="GH18" i="15"/>
  <c r="PT21" i="15"/>
  <c r="DI19" i="15"/>
  <c r="DJ18" i="15"/>
  <c r="BV18" i="15"/>
  <c r="MR21" i="15"/>
  <c r="LL21" i="15"/>
  <c r="X21" i="15"/>
  <c r="BY19" i="15"/>
  <c r="BZ18" i="15"/>
  <c r="AJ21" i="15"/>
  <c r="TT21" i="15"/>
  <c r="NQ19" i="15"/>
  <c r="NR18" i="15"/>
  <c r="SV21" i="15"/>
  <c r="KZ21" i="15"/>
  <c r="AN21" i="15"/>
  <c r="BT20" i="15"/>
  <c r="EF21" i="15"/>
  <c r="EG21" i="15" s="1"/>
  <c r="DU19" i="15"/>
  <c r="DV18" i="15"/>
  <c r="SF21" i="15"/>
  <c r="SJ21" i="15"/>
  <c r="RP21" i="15"/>
  <c r="E20" i="15"/>
  <c r="PP21" i="15"/>
  <c r="LA19" i="15"/>
  <c r="LB18" i="15"/>
  <c r="MZ20" i="15"/>
  <c r="BF19" i="15"/>
  <c r="SZ21" i="15"/>
  <c r="AZ21" i="15"/>
  <c r="T21" i="15"/>
  <c r="DH21" i="15"/>
  <c r="QZ21" i="15"/>
  <c r="SN21" i="15"/>
  <c r="FT21" i="15"/>
  <c r="SC19" i="15"/>
  <c r="SD18" i="15"/>
  <c r="RF19" i="15"/>
  <c r="TQ19" i="15"/>
  <c r="TR18" i="15"/>
  <c r="UN21" i="15"/>
  <c r="PL20" i="15"/>
  <c r="BD21" i="15"/>
  <c r="HR19" i="15"/>
  <c r="UK19" i="15"/>
  <c r="UL18" i="15"/>
  <c r="SS19" i="15"/>
  <c r="ST18" i="15"/>
  <c r="NA19" i="15"/>
  <c r="LP21" i="15"/>
  <c r="UJ21" i="15"/>
  <c r="QN21" i="15"/>
  <c r="TH21" i="15"/>
  <c r="IK19" i="15"/>
  <c r="IL18" i="15"/>
  <c r="GR21" i="15"/>
  <c r="P21" i="15"/>
  <c r="EN21" i="15"/>
  <c r="GF21" i="15"/>
  <c r="TL21" i="15"/>
  <c r="RD21" i="15"/>
  <c r="HP21" i="15"/>
  <c r="QO20" i="15"/>
  <c r="MP19" i="15"/>
  <c r="RM19" i="15"/>
  <c r="RN18" i="15"/>
  <c r="TV19" i="15"/>
  <c r="OF20" i="15"/>
  <c r="NY19" i="15"/>
  <c r="NZ18" i="15"/>
  <c r="CZ21" i="15"/>
  <c r="DE19" i="15"/>
  <c r="DF18" i="15"/>
  <c r="LQ20" i="15"/>
  <c r="LR20" i="15" s="1"/>
  <c r="NX21" i="15"/>
  <c r="IB21" i="15"/>
  <c r="FE20" i="15"/>
  <c r="FF20" i="15" s="1"/>
  <c r="AK20" i="15"/>
  <c r="LM20" i="15"/>
  <c r="UB21" i="15"/>
  <c r="TE19" i="15"/>
  <c r="TF18" i="15"/>
  <c r="IN21" i="15"/>
  <c r="MK19" i="15"/>
  <c r="ML18" i="15"/>
  <c r="BL21" i="15"/>
  <c r="FQ19" i="15"/>
  <c r="FR18" i="15"/>
  <c r="TI19" i="15"/>
  <c r="TJ18" i="15"/>
  <c r="MN21" i="15"/>
  <c r="PD21" i="15"/>
  <c r="FP21" i="15"/>
  <c r="IO19" i="15"/>
  <c r="IP18" i="15"/>
  <c r="JU19" i="15"/>
  <c r="JV18" i="15"/>
  <c r="BX21" i="15"/>
  <c r="AR21" i="15"/>
  <c r="MJ21" i="15"/>
  <c r="US19" i="15"/>
  <c r="UT18" i="15"/>
  <c r="U20" i="15"/>
  <c r="V20" i="15" s="1"/>
  <c r="FA19" i="15"/>
  <c r="FB18" i="15"/>
  <c r="JX21" i="15"/>
  <c r="M19" i="15"/>
  <c r="N18" i="15"/>
  <c r="PU19" i="15"/>
  <c r="PV18" i="15"/>
  <c r="IR21" i="15"/>
  <c r="NI19" i="15"/>
  <c r="NJ18" i="15"/>
  <c r="IS20" i="15"/>
  <c r="KL20" i="15"/>
  <c r="KJ21" i="15"/>
  <c r="AS19" i="15"/>
  <c r="AT18" i="15"/>
  <c r="MV21" i="15"/>
  <c r="ID19" i="15"/>
  <c r="JB19" i="15"/>
  <c r="AB21" i="15"/>
  <c r="QF21" i="15"/>
  <c r="L21" i="15"/>
  <c r="JP21" i="15"/>
  <c r="OR21" i="15"/>
  <c r="H20" i="15"/>
  <c r="SK20" i="15"/>
  <c r="TD21" i="15"/>
  <c r="DA20" i="15"/>
  <c r="DB20" i="15" s="1"/>
  <c r="PE20" i="15"/>
  <c r="LD21" i="15"/>
  <c r="HN19" i="15"/>
  <c r="FU20" i="15"/>
  <c r="FV20" i="15" s="1"/>
  <c r="UO20" i="15"/>
  <c r="UR21" i="15"/>
  <c r="NP21" i="15"/>
  <c r="AC20" i="15"/>
  <c r="FH21" i="15"/>
  <c r="HI19" i="15"/>
  <c r="HJ18" i="15"/>
  <c r="KW19" i="15"/>
  <c r="KX18" i="15"/>
  <c r="IW19" i="15"/>
  <c r="IX18" i="15"/>
  <c r="J18" i="15"/>
  <c r="EJ21" i="15"/>
  <c r="EK21" i="15" s="1"/>
  <c r="EL20" i="15"/>
  <c r="UF21" i="15"/>
  <c r="HL21" i="15"/>
  <c r="CW19" i="15"/>
  <c r="CX18" i="15"/>
  <c r="RL21" i="15"/>
  <c r="FZ19" i="15"/>
  <c r="PA19" i="15"/>
  <c r="PB18" i="15"/>
  <c r="TP21" i="15"/>
  <c r="GN21" i="15"/>
  <c r="EZ21" i="15"/>
  <c r="RU19" i="15"/>
  <c r="RV18" i="15"/>
  <c r="BP21" i="15"/>
  <c r="QG19" i="15"/>
  <c r="QH18" i="15"/>
  <c r="GC19" i="15"/>
  <c r="GD18" i="15"/>
  <c r="SO20" i="15"/>
  <c r="SP20" i="15" s="1"/>
  <c r="PQ19" i="15"/>
  <c r="PR18" i="15"/>
  <c r="QR21" i="15"/>
  <c r="GK19" i="15"/>
  <c r="GL18" i="15"/>
  <c r="IZ21" i="15"/>
  <c r="OJ21" i="15"/>
  <c r="GS20" i="15"/>
  <c r="GT20" i="15" s="1"/>
  <c r="RT21" i="15"/>
  <c r="NT21" i="15"/>
  <c r="RH21" i="15"/>
  <c r="EV21" i="15"/>
  <c r="HX21" i="15"/>
  <c r="CV21" i="15"/>
  <c r="KV21" i="15"/>
  <c r="HU19" i="15"/>
  <c r="HV18" i="15"/>
  <c r="JH21" i="15"/>
  <c r="HT21" i="15"/>
  <c r="MW19" i="15"/>
  <c r="MX18" i="15"/>
  <c r="OW19" i="15"/>
  <c r="OX18" i="15"/>
  <c r="IV21" i="15"/>
  <c r="JY20" i="15"/>
  <c r="QK19" i="15"/>
  <c r="QL18" i="15"/>
  <c r="HH21" i="15"/>
  <c r="CF21" i="15"/>
  <c r="MS19" i="15"/>
  <c r="MT18" i="15"/>
  <c r="OZ21" i="15"/>
  <c r="SW20" i="15"/>
  <c r="SX20" i="15" s="1"/>
  <c r="FX21" i="15"/>
  <c r="AW19" i="15"/>
  <c r="AX18" i="15"/>
  <c r="LH21" i="15"/>
  <c r="DN19" i="15"/>
  <c r="BH21" i="15"/>
  <c r="AV21" i="15"/>
  <c r="QJ21" i="15"/>
  <c r="SG20" i="15"/>
  <c r="UG19" i="15"/>
  <c r="UH18" i="15"/>
  <c r="JE19" i="15"/>
  <c r="JF18" i="15"/>
  <c r="NU19" i="15"/>
  <c r="NV18" i="15"/>
  <c r="DT21" i="15"/>
  <c r="QB21" i="15"/>
  <c r="RY19" i="15"/>
  <c r="RZ18" i="15"/>
  <c r="IJ21" i="15"/>
  <c r="OL19" i="15"/>
  <c r="KT19" i="15"/>
  <c r="LU19" i="15"/>
  <c r="LV18" i="15"/>
  <c r="EB21" i="15"/>
  <c r="JT21" i="15"/>
  <c r="LE19" i="15"/>
  <c r="LF18" i="15"/>
  <c r="HA19" i="15"/>
  <c r="HB18" i="15"/>
  <c r="JD21" i="15"/>
  <c r="GZ21" i="15"/>
  <c r="OC19" i="15"/>
  <c r="OD18" i="15"/>
  <c r="CD18" i="15"/>
  <c r="CB20" i="15"/>
  <c r="CR20" i="15"/>
  <c r="CS20" i="15" s="1"/>
  <c r="CT19" i="15"/>
  <c r="QX20" i="15"/>
  <c r="QV21" i="15"/>
  <c r="QW21" i="15" s="1"/>
  <c r="DD21" i="15"/>
  <c r="KG19" i="15"/>
  <c r="KH18" i="15"/>
  <c r="ES19" i="15"/>
  <c r="ET18" i="15"/>
  <c r="DP21" i="15"/>
  <c r="GB21" i="15"/>
  <c r="KB21" i="15"/>
  <c r="RX21" i="15"/>
  <c r="BQ20" i="15"/>
  <c r="UC19" i="15"/>
  <c r="UD18" i="15"/>
  <c r="Q19" i="15"/>
  <c r="R18" i="15"/>
  <c r="ON21" i="15"/>
  <c r="OV21" i="15"/>
  <c r="EW19" i="15"/>
  <c r="EX18" i="15"/>
  <c r="PJ19" i="15"/>
  <c r="KR21" i="15"/>
  <c r="PX21" i="15"/>
  <c r="CJ21" i="15"/>
  <c r="AO20" i="15"/>
  <c r="TX21" i="15"/>
  <c r="CN21" i="15"/>
  <c r="MF21" i="15"/>
  <c r="NM19" i="15"/>
  <c r="NN18" i="15"/>
  <c r="Y19" i="15"/>
  <c r="Z18" i="15"/>
  <c r="TA19" i="15"/>
  <c r="TB18" i="15"/>
  <c r="FD21" i="15"/>
  <c r="RQ19" i="15"/>
  <c r="RR18" i="15"/>
  <c r="HD21" i="15"/>
  <c r="JQ19" i="15"/>
  <c r="JR18" i="15"/>
  <c r="FL21" i="15"/>
  <c r="QS20" i="15"/>
  <c r="QT20" i="15" s="1"/>
  <c r="IF21" i="15"/>
  <c r="SB21" i="15"/>
  <c r="DY19" i="15"/>
  <c r="DZ18" i="15"/>
  <c r="KF21" i="15"/>
  <c r="TY20" i="15"/>
  <c r="TZ20" i="15" s="1"/>
  <c r="OB21" i="15"/>
  <c r="AF21" i="15"/>
  <c r="ER21" i="15"/>
  <c r="JL21" i="15"/>
  <c r="ND21" i="15"/>
  <c r="LZ20" i="15"/>
  <c r="LX21" i="15"/>
  <c r="LY21" i="15" s="1"/>
  <c r="DL21" i="15"/>
  <c r="GJ21" i="15"/>
  <c r="V19" i="15"/>
  <c r="GV21" i="15"/>
  <c r="MB21" i="15"/>
  <c r="LT21" i="15"/>
  <c r="SR21" i="15"/>
  <c r="TM19" i="15"/>
  <c r="TN18" i="15"/>
  <c r="RA19" i="15"/>
  <c r="RB18" i="15"/>
  <c r="NH21" i="15"/>
  <c r="DX21" i="15"/>
  <c r="CP19" i="15"/>
  <c r="EC19" i="15"/>
  <c r="ED18" i="15"/>
  <c r="KN21" i="15"/>
  <c r="PH21" i="15"/>
  <c r="CL19" i="15"/>
  <c r="DQ20" i="15"/>
  <c r="F23" i="9"/>
  <c r="G23" i="9" s="1"/>
  <c r="F23" i="8"/>
  <c r="G23" i="8" s="1"/>
  <c r="E24" i="11"/>
  <c r="F23" i="11"/>
  <c r="G22" i="10"/>
  <c r="G23" i="10"/>
  <c r="G22" i="9"/>
  <c r="E24" i="9"/>
  <c r="G22" i="8"/>
  <c r="E24" i="8"/>
  <c r="E25" i="2"/>
  <c r="F24" i="2"/>
  <c r="JM21" i="15" l="1"/>
  <c r="JN21" i="15" s="1"/>
  <c r="PM20" i="15"/>
  <c r="PN20" i="15" s="1"/>
  <c r="EO21" i="15"/>
  <c r="EP21" i="15" s="1"/>
  <c r="PY21" i="15"/>
  <c r="PZ21" i="15" s="1"/>
  <c r="HQ21" i="15"/>
  <c r="HR21" i="15" s="1"/>
  <c r="KO21" i="15"/>
  <c r="KP21" i="15" s="1"/>
  <c r="IG21" i="15"/>
  <c r="IH21" i="15" s="1"/>
  <c r="LI21" i="15"/>
  <c r="LJ21" i="15" s="1"/>
  <c r="BI21" i="15"/>
  <c r="BJ21" i="15" s="1"/>
  <c r="FM21" i="15"/>
  <c r="FN21" i="15" s="1"/>
  <c r="KS21" i="15"/>
  <c r="KT21" i="15" s="1"/>
  <c r="CK21" i="15"/>
  <c r="CL21" i="15" s="1"/>
  <c r="BU20" i="15"/>
  <c r="BV20" i="15" s="1"/>
  <c r="IC21" i="15"/>
  <c r="ID21" i="15" s="1"/>
  <c r="E21" i="15"/>
  <c r="F21" i="15" s="1"/>
  <c r="IS21" i="15"/>
  <c r="IT21" i="15" s="1"/>
  <c r="MO21" i="15"/>
  <c r="MP21" i="15" s="1"/>
  <c r="FY21" i="15"/>
  <c r="FZ21" i="15" s="1"/>
  <c r="GO21" i="15"/>
  <c r="GP21" i="15" s="1"/>
  <c r="MC21" i="15"/>
  <c r="MD21" i="15" s="1"/>
  <c r="GW21" i="15"/>
  <c r="GX21" i="15" s="1"/>
  <c r="TU21" i="15"/>
  <c r="TV21" i="15" s="1"/>
  <c r="BE21" i="15"/>
  <c r="BF21" i="15" s="1"/>
  <c r="AO21" i="15"/>
  <c r="AP21" i="15" s="1"/>
  <c r="I20" i="15"/>
  <c r="J20" i="15" s="1"/>
  <c r="J19" i="15"/>
  <c r="QO21" i="15"/>
  <c r="QP21" i="15" s="1"/>
  <c r="AP20" i="15"/>
  <c r="OK21" i="15"/>
  <c r="OL21" i="15" s="1"/>
  <c r="JA21" i="15"/>
  <c r="JB21" i="15" s="1"/>
  <c r="LM21" i="15"/>
  <c r="LN21" i="15" s="1"/>
  <c r="CO21" i="15"/>
  <c r="CP21" i="15" s="1"/>
  <c r="AK21" i="15"/>
  <c r="AL21" i="15" s="1"/>
  <c r="PE21" i="15"/>
  <c r="PF21" i="15" s="1"/>
  <c r="SG21" i="15"/>
  <c r="SH21" i="15" s="1"/>
  <c r="JY21" i="15"/>
  <c r="JZ21" i="15" s="1"/>
  <c r="AC21" i="15"/>
  <c r="AD21" i="15" s="1"/>
  <c r="UO21" i="15"/>
  <c r="UP21" i="15" s="1"/>
  <c r="SH20" i="15"/>
  <c r="NA20" i="15"/>
  <c r="NB20" i="15" s="1"/>
  <c r="LN20" i="15"/>
  <c r="PF20" i="15"/>
  <c r="SK21" i="15"/>
  <c r="SL21" i="15" s="1"/>
  <c r="DQ21" i="15"/>
  <c r="BQ21" i="15"/>
  <c r="BR21" i="15" s="1"/>
  <c r="H21" i="15"/>
  <c r="ER22" i="15"/>
  <c r="HI20" i="15"/>
  <c r="HJ19" i="15"/>
  <c r="GK20" i="15"/>
  <c r="GL19" i="15"/>
  <c r="FH22" i="15"/>
  <c r="FI21" i="15"/>
  <c r="P22" i="15"/>
  <c r="SN22" i="15"/>
  <c r="AN22" i="15"/>
  <c r="HX22" i="15"/>
  <c r="AF22" i="15"/>
  <c r="CJ22" i="15"/>
  <c r="KB22" i="15"/>
  <c r="PA20" i="15"/>
  <c r="PB19" i="15"/>
  <c r="OR22" i="15"/>
  <c r="NI20" i="15"/>
  <c r="NJ19" i="15"/>
  <c r="MK20" i="15"/>
  <c r="ML19" i="15"/>
  <c r="NY20" i="15"/>
  <c r="NZ19" i="15"/>
  <c r="PP22" i="15"/>
  <c r="NL22" i="15"/>
  <c r="FQ20" i="15"/>
  <c r="FR19" i="15"/>
  <c r="EN22" i="15"/>
  <c r="OF21" i="15"/>
  <c r="DR20" i="15"/>
  <c r="JD22" i="15"/>
  <c r="DT22" i="15"/>
  <c r="SO21" i="15"/>
  <c r="SP21" i="15" s="1"/>
  <c r="NP22" i="15"/>
  <c r="TE20" i="15"/>
  <c r="TF19" i="15"/>
  <c r="DH22" i="15"/>
  <c r="PT22" i="15"/>
  <c r="F20" i="15"/>
  <c r="CB21" i="15"/>
  <c r="JI20" i="15"/>
  <c r="JJ19" i="15"/>
  <c r="EV22" i="15"/>
  <c r="NE20" i="15"/>
  <c r="NF19" i="15"/>
  <c r="CW20" i="15"/>
  <c r="CX19" i="15"/>
  <c r="UR22" i="15"/>
  <c r="QF22" i="15"/>
  <c r="PU20" i="15"/>
  <c r="PV19" i="15"/>
  <c r="IO20" i="15"/>
  <c r="IP19" i="15"/>
  <c r="UB22" i="15"/>
  <c r="BD22" i="15"/>
  <c r="TX22" i="15"/>
  <c r="LP22" i="15"/>
  <c r="BH22" i="15"/>
  <c r="LA20" i="15"/>
  <c r="LB19" i="15"/>
  <c r="IV22" i="15"/>
  <c r="OB22" i="15"/>
  <c r="AW20" i="15"/>
  <c r="AX19" i="15"/>
  <c r="JU20" i="15"/>
  <c r="JV19" i="15"/>
  <c r="SJ22" i="15"/>
  <c r="QC20" i="15"/>
  <c r="QD19" i="15"/>
  <c r="RA20" i="15"/>
  <c r="RB19" i="15"/>
  <c r="AR22" i="15"/>
  <c r="RX22" i="15"/>
  <c r="OC20" i="15"/>
  <c r="OD19" i="15"/>
  <c r="BX22" i="15"/>
  <c r="LT22" i="15"/>
  <c r="PX22" i="15"/>
  <c r="GV22" i="15"/>
  <c r="ES20" i="15"/>
  <c r="ET19" i="15"/>
  <c r="HA20" i="15"/>
  <c r="HB19" i="15"/>
  <c r="NU20" i="15"/>
  <c r="NV19" i="15"/>
  <c r="OZ22" i="15"/>
  <c r="HT22" i="15"/>
  <c r="RT22" i="15"/>
  <c r="HL22" i="15"/>
  <c r="AD20" i="15"/>
  <c r="M20" i="15"/>
  <c r="N19" i="15"/>
  <c r="FP22" i="15"/>
  <c r="IK20" i="15"/>
  <c r="IL19" i="15"/>
  <c r="T22" i="15"/>
  <c r="SL20" i="15"/>
  <c r="GG20" i="15"/>
  <c r="GH19" i="15"/>
  <c r="AV22" i="15"/>
  <c r="TM20" i="15"/>
  <c r="TN19" i="15"/>
  <c r="RY20" i="15"/>
  <c r="RZ19" i="15"/>
  <c r="QR22" i="15"/>
  <c r="RL22" i="15"/>
  <c r="IR22" i="15"/>
  <c r="GR22" i="15"/>
  <c r="PH22" i="15"/>
  <c r="KR22" i="15"/>
  <c r="SW21" i="15"/>
  <c r="SX21" i="15" s="1"/>
  <c r="AB22" i="15"/>
  <c r="JE20" i="15"/>
  <c r="JF19" i="15"/>
  <c r="HP22" i="15"/>
  <c r="OO20" i="15"/>
  <c r="OP19" i="15"/>
  <c r="JQ20" i="15"/>
  <c r="JR19" i="15"/>
  <c r="FT22" i="15"/>
  <c r="HD22" i="15"/>
  <c r="SS20" i="15"/>
  <c r="ST19" i="15"/>
  <c r="QB22" i="15"/>
  <c r="RH22" i="15"/>
  <c r="L22" i="15"/>
  <c r="TY21" i="15"/>
  <c r="MW20" i="15"/>
  <c r="MX19" i="15"/>
  <c r="RM20" i="15"/>
  <c r="RN19" i="15"/>
  <c r="FE21" i="15"/>
  <c r="TH22" i="15"/>
  <c r="UP20" i="15"/>
  <c r="DL22" i="15"/>
  <c r="SB22" i="15"/>
  <c r="PI21" i="15"/>
  <c r="DD22" i="15"/>
  <c r="MS20" i="15"/>
  <c r="MT19" i="15"/>
  <c r="CC20" i="15"/>
  <c r="BR20" i="15"/>
  <c r="LD22" i="15"/>
  <c r="PD22" i="15"/>
  <c r="IB22" i="15"/>
  <c r="QN22" i="15"/>
  <c r="UN22" i="15"/>
  <c r="SF22" i="15"/>
  <c r="AL20" i="15"/>
  <c r="RI21" i="15"/>
  <c r="RJ21" i="15" s="1"/>
  <c r="KJ22" i="15"/>
  <c r="BL22" i="15"/>
  <c r="IN22" i="15"/>
  <c r="UK20" i="15"/>
  <c r="UL19" i="15"/>
  <c r="FD22" i="15"/>
  <c r="CF22" i="15"/>
  <c r="EL21" i="15"/>
  <c r="EJ22" i="15"/>
  <c r="EK22" i="15" s="1"/>
  <c r="FA20" i="15"/>
  <c r="FB19" i="15"/>
  <c r="RD22" i="15"/>
  <c r="QP20" i="15"/>
  <c r="SZ22" i="15"/>
  <c r="OS20" i="15"/>
  <c r="OT19" i="15"/>
  <c r="HY21" i="15"/>
  <c r="HZ21" i="15" s="1"/>
  <c r="JL22" i="15"/>
  <c r="KW20" i="15"/>
  <c r="KX19" i="15"/>
  <c r="JP22" i="15"/>
  <c r="SV22" i="15"/>
  <c r="KF22" i="15"/>
  <c r="TA20" i="15"/>
  <c r="TB19" i="15"/>
  <c r="Y20" i="15"/>
  <c r="Z19" i="15"/>
  <c r="PL21" i="15"/>
  <c r="EC20" i="15"/>
  <c r="ED19" i="15"/>
  <c r="JZ20" i="15"/>
  <c r="MN22" i="15"/>
  <c r="KK21" i="15"/>
  <c r="KL21" i="15" s="1"/>
  <c r="TQ20" i="15"/>
  <c r="TR19" i="15"/>
  <c r="DU20" i="15"/>
  <c r="DV19" i="15"/>
  <c r="BY20" i="15"/>
  <c r="BZ19" i="15"/>
  <c r="CV22" i="15"/>
  <c r="KZ22" i="15"/>
  <c r="GB22" i="15"/>
  <c r="OW20" i="15"/>
  <c r="OX19" i="15"/>
  <c r="D22" i="15"/>
  <c r="FX22" i="15"/>
  <c r="KN22" i="15"/>
  <c r="EW20" i="15"/>
  <c r="EX19" i="15"/>
  <c r="JH22" i="15"/>
  <c r="BM20" i="15"/>
  <c r="BN19" i="15"/>
  <c r="KG20" i="15"/>
  <c r="KH19" i="15"/>
  <c r="BP22" i="15"/>
  <c r="AJ22" i="15"/>
  <c r="ON22" i="15"/>
  <c r="JT22" i="15"/>
  <c r="UG20" i="15"/>
  <c r="UH19" i="15"/>
  <c r="DX22" i="15"/>
  <c r="NM20" i="15"/>
  <c r="NN19" i="15"/>
  <c r="KV22" i="15"/>
  <c r="RU20" i="15"/>
  <c r="RV19" i="15"/>
  <c r="U21" i="15"/>
  <c r="QS21" i="15"/>
  <c r="HH22" i="15"/>
  <c r="OJ22" i="15"/>
  <c r="DA21" i="15"/>
  <c r="DB21" i="15" s="1"/>
  <c r="MV22" i="15"/>
  <c r="TL22" i="15"/>
  <c r="AG21" i="15"/>
  <c r="AH21" i="15" s="1"/>
  <c r="EF22" i="15"/>
  <c r="EG22" i="15" s="1"/>
  <c r="EH21" i="15"/>
  <c r="X22" i="15"/>
  <c r="CG20" i="15"/>
  <c r="CH19" i="15"/>
  <c r="QK20" i="15"/>
  <c r="QL19" i="15"/>
  <c r="DE20" i="15"/>
  <c r="DF19" i="15"/>
  <c r="TP22" i="15"/>
  <c r="CZ22" i="15"/>
  <c r="MR22" i="15"/>
  <c r="LH22" i="15"/>
  <c r="RQ20" i="15"/>
  <c r="RR19" i="15"/>
  <c r="IT20" i="15"/>
  <c r="PQ20" i="15"/>
  <c r="PR19" i="15"/>
  <c r="DI20" i="15"/>
  <c r="DJ19" i="15"/>
  <c r="NQ20" i="15"/>
  <c r="NR19" i="15"/>
  <c r="DY20" i="15"/>
  <c r="DZ19" i="15"/>
  <c r="QG20" i="15"/>
  <c r="QH19" i="15"/>
  <c r="OV22" i="15"/>
  <c r="UF22" i="15"/>
  <c r="GS21" i="15"/>
  <c r="GT21" i="15" s="1"/>
  <c r="IF22" i="15"/>
  <c r="QV22" i="15"/>
  <c r="QW22" i="15" s="1"/>
  <c r="QX21" i="15"/>
  <c r="HM21" i="15"/>
  <c r="HN21" i="15" s="1"/>
  <c r="Q20" i="15"/>
  <c r="R19" i="15"/>
  <c r="QJ22" i="15"/>
  <c r="DM21" i="15"/>
  <c r="EZ22" i="15"/>
  <c r="IW20" i="15"/>
  <c r="IX19" i="15"/>
  <c r="TD22" i="15"/>
  <c r="US20" i="15"/>
  <c r="UT19" i="15"/>
  <c r="TI20" i="15"/>
  <c r="TJ19" i="15"/>
  <c r="LQ21" i="15"/>
  <c r="LR21" i="15" s="1"/>
  <c r="UJ22" i="15"/>
  <c r="NB19" i="15"/>
  <c r="HE21" i="15"/>
  <c r="UC20" i="15"/>
  <c r="UD19" i="15"/>
  <c r="BT21" i="15"/>
  <c r="IJ22" i="15"/>
  <c r="SR22" i="15"/>
  <c r="GZ22" i="15"/>
  <c r="QZ22" i="15"/>
  <c r="RP22" i="15"/>
  <c r="MB22" i="15"/>
  <c r="DP22" i="15"/>
  <c r="NT22" i="15"/>
  <c r="GC20" i="15"/>
  <c r="GD19" i="15"/>
  <c r="GJ22" i="15"/>
  <c r="FU21" i="15"/>
  <c r="JX22" i="15"/>
  <c r="TT22" i="15"/>
  <c r="LE20" i="15"/>
  <c r="LF19" i="15"/>
  <c r="OG20" i="15"/>
  <c r="AZ22" i="15"/>
  <c r="HU20" i="15"/>
  <c r="HV19" i="15"/>
  <c r="LX22" i="15"/>
  <c r="LY22" i="15" s="1"/>
  <c r="LZ21" i="15"/>
  <c r="EB22" i="15"/>
  <c r="NX22" i="15"/>
  <c r="NH22" i="15"/>
  <c r="MF22" i="15"/>
  <c r="ND22" i="15"/>
  <c r="FL22" i="15"/>
  <c r="CN22" i="15"/>
  <c r="CR21" i="15"/>
  <c r="CS21" i="15" s="1"/>
  <c r="CT20" i="15"/>
  <c r="LU20" i="15"/>
  <c r="LV19" i="15"/>
  <c r="RE21" i="15"/>
  <c r="RF21" i="15" s="1"/>
  <c r="IZ22" i="15"/>
  <c r="GN22" i="15"/>
  <c r="AS20" i="15"/>
  <c r="AT19" i="15"/>
  <c r="MJ22" i="15"/>
  <c r="GF22" i="15"/>
  <c r="SC20" i="15"/>
  <c r="SD19" i="15"/>
  <c r="MZ21" i="15"/>
  <c r="BA21" i="15"/>
  <c r="LL22" i="15"/>
  <c r="KC20" i="15"/>
  <c r="KD19" i="15"/>
  <c r="MG21" i="15"/>
  <c r="MH21" i="15" s="1"/>
  <c r="F24" i="11"/>
  <c r="G24" i="11" s="1"/>
  <c r="F25" i="2"/>
  <c r="G25" i="2" s="1"/>
  <c r="G23" i="11"/>
  <c r="E25" i="11"/>
  <c r="E25" i="9"/>
  <c r="F24" i="9"/>
  <c r="G24" i="9" s="1"/>
  <c r="E25" i="8"/>
  <c r="F24" i="8"/>
  <c r="E26" i="2"/>
  <c r="G24" i="2"/>
  <c r="IS22" i="15" l="1"/>
  <c r="IT22" i="15" s="1"/>
  <c r="IG22" i="15"/>
  <c r="IH22" i="15" s="1"/>
  <c r="FM22" i="15"/>
  <c r="FN22" i="15" s="1"/>
  <c r="FY22" i="15"/>
  <c r="FZ22" i="15" s="1"/>
  <c r="IC22" i="15"/>
  <c r="ID22" i="15" s="1"/>
  <c r="AO22" i="15"/>
  <c r="AP22" i="15" s="1"/>
  <c r="MC22" i="15"/>
  <c r="MD22" i="15" s="1"/>
  <c r="MO22" i="15"/>
  <c r="MP22" i="15" s="1"/>
  <c r="CK22" i="15"/>
  <c r="CL22" i="15" s="1"/>
  <c r="LM22" i="15"/>
  <c r="LN22" i="15" s="1"/>
  <c r="CO22" i="15"/>
  <c r="CP22" i="15" s="1"/>
  <c r="PE22" i="15"/>
  <c r="PF22" i="15" s="1"/>
  <c r="GW22" i="15"/>
  <c r="GX22" i="15" s="1"/>
  <c r="DQ22" i="15"/>
  <c r="DR22" i="15" s="1"/>
  <c r="DM22" i="15"/>
  <c r="DN22" i="15" s="1"/>
  <c r="OG21" i="15"/>
  <c r="OH21" i="15" s="1"/>
  <c r="QO22" i="15"/>
  <c r="QP22" i="15" s="1"/>
  <c r="BE22" i="15"/>
  <c r="BF22" i="15" s="1"/>
  <c r="U22" i="15"/>
  <c r="V22" i="15" s="1"/>
  <c r="UO22" i="15"/>
  <c r="UP22" i="15" s="1"/>
  <c r="DR21" i="15"/>
  <c r="AC22" i="15"/>
  <c r="AD22" i="15" s="1"/>
  <c r="SK22" i="15"/>
  <c r="SL22" i="15" s="1"/>
  <c r="FU22" i="15"/>
  <c r="FV22" i="15" s="1"/>
  <c r="QS22" i="15"/>
  <c r="QT22" i="15" s="1"/>
  <c r="CC21" i="15"/>
  <c r="CD21" i="15" s="1"/>
  <c r="BQ22" i="15"/>
  <c r="BR22" i="15" s="1"/>
  <c r="PI22" i="15"/>
  <c r="PJ22" i="15" s="1"/>
  <c r="FI22" i="15"/>
  <c r="FJ22" i="15" s="1"/>
  <c r="RI22" i="15"/>
  <c r="RJ22" i="15" s="1"/>
  <c r="HE22" i="15"/>
  <c r="FE22" i="15"/>
  <c r="FF22" i="15" s="1"/>
  <c r="TY22" i="15"/>
  <c r="TZ22" i="15" s="1"/>
  <c r="SW22" i="15"/>
  <c r="SX22" i="15" s="1"/>
  <c r="TL23" i="15"/>
  <c r="MR23" i="15"/>
  <c r="GK21" i="15"/>
  <c r="GL20" i="15"/>
  <c r="LE21" i="15"/>
  <c r="LF20" i="15"/>
  <c r="US21" i="15"/>
  <c r="UT20" i="15"/>
  <c r="JL23" i="15"/>
  <c r="IN23" i="15"/>
  <c r="QR23" i="15"/>
  <c r="JU21" i="15"/>
  <c r="JV20" i="15"/>
  <c r="CJ23" i="15"/>
  <c r="LD23" i="15"/>
  <c r="SC21" i="15"/>
  <c r="SD20" i="15"/>
  <c r="ND23" i="15"/>
  <c r="TT23" i="15"/>
  <c r="GZ23" i="15"/>
  <c r="TD23" i="15"/>
  <c r="OV23" i="15"/>
  <c r="CZ23" i="15"/>
  <c r="DA22" i="15"/>
  <c r="DB22" i="15" s="1"/>
  <c r="ON23" i="15"/>
  <c r="MW21" i="15"/>
  <c r="MX20" i="15"/>
  <c r="OO21" i="15"/>
  <c r="OP20" i="15"/>
  <c r="QT21" i="15"/>
  <c r="PX23" i="15"/>
  <c r="IO21" i="15"/>
  <c r="IP20" i="15"/>
  <c r="PT23" i="15"/>
  <c r="FQ21" i="15"/>
  <c r="FR20" i="15"/>
  <c r="HI21" i="15"/>
  <c r="HJ20" i="15"/>
  <c r="MZ22" i="15"/>
  <c r="KW21" i="15"/>
  <c r="KX20" i="15"/>
  <c r="OJ23" i="15"/>
  <c r="OW21" i="15"/>
  <c r="OX20" i="15"/>
  <c r="EC21" i="15"/>
  <c r="ED20" i="15"/>
  <c r="HY22" i="15"/>
  <c r="HZ22" i="15" s="1"/>
  <c r="HP23" i="15"/>
  <c r="M21" i="15"/>
  <c r="N20" i="15"/>
  <c r="AW21" i="15"/>
  <c r="AX20" i="15"/>
  <c r="AF23" i="15"/>
  <c r="ER23" i="15"/>
  <c r="KB23" i="15"/>
  <c r="PU21" i="15"/>
  <c r="PV20" i="15"/>
  <c r="PL22" i="15"/>
  <c r="AB23" i="15"/>
  <c r="UR23" i="15"/>
  <c r="NP23" i="15"/>
  <c r="AN23" i="15"/>
  <c r="ES21" i="15"/>
  <c r="ET20" i="15"/>
  <c r="TP23" i="15"/>
  <c r="IJ23" i="15"/>
  <c r="RH23" i="15"/>
  <c r="NX23" i="15"/>
  <c r="BT22" i="15"/>
  <c r="QJ23" i="15"/>
  <c r="NQ21" i="15"/>
  <c r="NR20" i="15"/>
  <c r="KG21" i="15"/>
  <c r="KH20" i="15"/>
  <c r="OK22" i="15"/>
  <c r="OL22" i="15" s="1"/>
  <c r="TA21" i="15"/>
  <c r="TB20" i="15"/>
  <c r="RD23" i="15"/>
  <c r="SF23" i="15"/>
  <c r="SB23" i="15"/>
  <c r="QB23" i="15"/>
  <c r="RT23" i="15"/>
  <c r="OC21" i="15"/>
  <c r="OD20" i="15"/>
  <c r="LA21" i="15"/>
  <c r="LB20" i="15"/>
  <c r="NY21" i="15"/>
  <c r="NZ20" i="15"/>
  <c r="FL23" i="15"/>
  <c r="UK21" i="15"/>
  <c r="UL20" i="15"/>
  <c r="MJ23" i="15"/>
  <c r="DY21" i="15"/>
  <c r="DZ20" i="15"/>
  <c r="GC21" i="15"/>
  <c r="GD20" i="15"/>
  <c r="QK21" i="15"/>
  <c r="QL20" i="15"/>
  <c r="RU21" i="15"/>
  <c r="RV20" i="15"/>
  <c r="CV23" i="15"/>
  <c r="KF23" i="15"/>
  <c r="DN21" i="15"/>
  <c r="KR23" i="15"/>
  <c r="AV23" i="15"/>
  <c r="HT23" i="15"/>
  <c r="RX23" i="15"/>
  <c r="BH23" i="15"/>
  <c r="CW21" i="15"/>
  <c r="CX20" i="15"/>
  <c r="SO22" i="15"/>
  <c r="TU22" i="15"/>
  <c r="TV22" i="15" s="1"/>
  <c r="D23" i="15"/>
  <c r="MS21" i="15"/>
  <c r="MT20" i="15"/>
  <c r="OB23" i="15"/>
  <c r="QG21" i="15"/>
  <c r="QH20" i="15"/>
  <c r="L23" i="15"/>
  <c r="HX23" i="15"/>
  <c r="GB23" i="15"/>
  <c r="GJ23" i="15"/>
  <c r="TM21" i="15"/>
  <c r="TN20" i="15"/>
  <c r="E22" i="15"/>
  <c r="GN23" i="15"/>
  <c r="JQ21" i="15"/>
  <c r="JR20" i="15"/>
  <c r="AJ23" i="15"/>
  <c r="LT23" i="15"/>
  <c r="HL23" i="15"/>
  <c r="IV23" i="15"/>
  <c r="NE21" i="15"/>
  <c r="NF20" i="15"/>
  <c r="DP23" i="15"/>
  <c r="BY21" i="15"/>
  <c r="BZ20" i="15"/>
  <c r="KS22" i="15"/>
  <c r="KT22" i="15" s="1"/>
  <c r="PJ21" i="15"/>
  <c r="GG21" i="15"/>
  <c r="GH20" i="15"/>
  <c r="OZ23" i="15"/>
  <c r="EV23" i="15"/>
  <c r="NI21" i="15"/>
  <c r="NJ20" i="15"/>
  <c r="NA21" i="15"/>
  <c r="QZ23" i="15"/>
  <c r="RM21" i="15"/>
  <c r="RN20" i="15"/>
  <c r="RY21" i="15"/>
  <c r="RZ20" i="15"/>
  <c r="JE21" i="15"/>
  <c r="JF20" i="15"/>
  <c r="PP23" i="15"/>
  <c r="LP23" i="15"/>
  <c r="TH23" i="15"/>
  <c r="TX23" i="15"/>
  <c r="JD23" i="15"/>
  <c r="TI21" i="15"/>
  <c r="TJ20" i="15"/>
  <c r="UB23" i="15"/>
  <c r="NL23" i="15"/>
  <c r="QF23" i="15"/>
  <c r="EZ23" i="15"/>
  <c r="Y21" i="15"/>
  <c r="Z20" i="15"/>
  <c r="BX23" i="15"/>
  <c r="DI21" i="15"/>
  <c r="DJ20" i="15"/>
  <c r="MK21" i="15"/>
  <c r="ML20" i="15"/>
  <c r="EB23" i="15"/>
  <c r="SS21" i="15"/>
  <c r="ST20" i="15"/>
  <c r="BU21" i="15"/>
  <c r="X23" i="15"/>
  <c r="GR23" i="15"/>
  <c r="KC21" i="15"/>
  <c r="KD20" i="15"/>
  <c r="LU21" i="15"/>
  <c r="LV20" i="15"/>
  <c r="MB23" i="15"/>
  <c r="QX22" i="15"/>
  <c r="QV23" i="15"/>
  <c r="QW23" i="15" s="1"/>
  <c r="NM21" i="15"/>
  <c r="NN20" i="15"/>
  <c r="EW21" i="15"/>
  <c r="EX20" i="15"/>
  <c r="DU21" i="15"/>
  <c r="DV20" i="15"/>
  <c r="JP23" i="15"/>
  <c r="HD23" i="15"/>
  <c r="T23" i="15"/>
  <c r="NU21" i="15"/>
  <c r="NV20" i="15"/>
  <c r="RA21" i="15"/>
  <c r="RB20" i="15"/>
  <c r="TZ21" i="15"/>
  <c r="OR23" i="15"/>
  <c r="P23" i="15"/>
  <c r="JM22" i="15"/>
  <c r="MN23" i="15"/>
  <c r="EN23" i="15"/>
  <c r="JT23" i="15"/>
  <c r="MF23" i="15"/>
  <c r="H22" i="15"/>
  <c r="NH23" i="15"/>
  <c r="HH23" i="15"/>
  <c r="SZ23" i="15"/>
  <c r="PM21" i="15"/>
  <c r="AS21" i="15"/>
  <c r="AT20" i="15"/>
  <c r="KZ23" i="15"/>
  <c r="DL23" i="15"/>
  <c r="PY22" i="15"/>
  <c r="UC21" i="15"/>
  <c r="UD20" i="15"/>
  <c r="KV23" i="15"/>
  <c r="SN23" i="15"/>
  <c r="RE22" i="15"/>
  <c r="PQ21" i="15"/>
  <c r="PR20" i="15"/>
  <c r="EL22" i="15"/>
  <c r="EJ23" i="15"/>
  <c r="EK23" i="15" s="1"/>
  <c r="LZ22" i="15"/>
  <c r="LX23" i="15"/>
  <c r="LY23" i="15" s="1"/>
  <c r="QN23" i="15"/>
  <c r="HF21" i="15"/>
  <c r="LL23" i="15"/>
  <c r="IF23" i="15"/>
  <c r="RQ21" i="15"/>
  <c r="RR20" i="15"/>
  <c r="EH22" i="15"/>
  <c r="EF23" i="15"/>
  <c r="EG23" i="15" s="1"/>
  <c r="DX23" i="15"/>
  <c r="KN23" i="15"/>
  <c r="HQ22" i="15"/>
  <c r="HR22" i="15" s="1"/>
  <c r="CF23" i="15"/>
  <c r="IB23" i="15"/>
  <c r="FV21" i="15"/>
  <c r="IR23" i="15"/>
  <c r="V21" i="15"/>
  <c r="I21" i="15"/>
  <c r="JI21" i="15"/>
  <c r="JJ20" i="15"/>
  <c r="OF22" i="15"/>
  <c r="KO22" i="15"/>
  <c r="UG21" i="15"/>
  <c r="UH20" i="15"/>
  <c r="EO22" i="15"/>
  <c r="EP22" i="15" s="1"/>
  <c r="FP23" i="15"/>
  <c r="GF23" i="15"/>
  <c r="JX23" i="15"/>
  <c r="OS21" i="15"/>
  <c r="OT20" i="15"/>
  <c r="BP23" i="15"/>
  <c r="DD23" i="15"/>
  <c r="BM21" i="15"/>
  <c r="BN20" i="15"/>
  <c r="Q21" i="15"/>
  <c r="R20" i="15"/>
  <c r="JH23" i="15"/>
  <c r="FA21" i="15"/>
  <c r="FB20" i="15"/>
  <c r="PH23" i="15"/>
  <c r="AR23" i="15"/>
  <c r="MG22" i="15"/>
  <c r="MH22" i="15" s="1"/>
  <c r="HM22" i="15"/>
  <c r="SV23" i="15"/>
  <c r="HU21" i="15"/>
  <c r="HV20" i="15"/>
  <c r="AZ23" i="15"/>
  <c r="LQ22" i="15"/>
  <c r="LH23" i="15"/>
  <c r="AG22" i="15"/>
  <c r="TQ21" i="15"/>
  <c r="TR20" i="15"/>
  <c r="FD23" i="15"/>
  <c r="PD23" i="15"/>
  <c r="GO22" i="15"/>
  <c r="FT23" i="15"/>
  <c r="HA21" i="15"/>
  <c r="HB20" i="15"/>
  <c r="QC21" i="15"/>
  <c r="QD20" i="15"/>
  <c r="CD20" i="15"/>
  <c r="OH20" i="15"/>
  <c r="PA21" i="15"/>
  <c r="PB20" i="15"/>
  <c r="FJ21" i="15"/>
  <c r="LI22" i="15"/>
  <c r="LJ22" i="15" s="1"/>
  <c r="UF23" i="15"/>
  <c r="MV23" i="15"/>
  <c r="GV23" i="15"/>
  <c r="SR23" i="15"/>
  <c r="BL23" i="15"/>
  <c r="DH23" i="15"/>
  <c r="IW21" i="15"/>
  <c r="IX20" i="15"/>
  <c r="KJ23" i="15"/>
  <c r="TE21" i="15"/>
  <c r="TF20" i="15"/>
  <c r="DE21" i="15"/>
  <c r="DF20" i="15"/>
  <c r="IZ23" i="15"/>
  <c r="UN23" i="15"/>
  <c r="DT23" i="15"/>
  <c r="NT23" i="15"/>
  <c r="CG21" i="15"/>
  <c r="CH20" i="15"/>
  <c r="SG22" i="15"/>
  <c r="UJ23" i="15"/>
  <c r="CR22" i="15"/>
  <c r="CT21" i="15"/>
  <c r="BA22" i="15"/>
  <c r="BB22" i="15" s="1"/>
  <c r="CN23" i="15"/>
  <c r="CO23" i="15" s="1"/>
  <c r="BB21" i="15"/>
  <c r="RP23" i="15"/>
  <c r="GS22" i="15"/>
  <c r="GT22" i="15" s="1"/>
  <c r="FX23" i="15"/>
  <c r="KK22" i="15"/>
  <c r="KL22" i="15" s="1"/>
  <c r="JY22" i="15"/>
  <c r="FF21" i="15"/>
  <c r="AK22" i="15"/>
  <c r="RL23" i="15"/>
  <c r="IK21" i="15"/>
  <c r="IL20" i="15"/>
  <c r="SJ23" i="15"/>
  <c r="BD23" i="15"/>
  <c r="CB22" i="15"/>
  <c r="JA22" i="15"/>
  <c r="FH23" i="15"/>
  <c r="BI22" i="15"/>
  <c r="BJ22" i="15" s="1"/>
  <c r="F25" i="8"/>
  <c r="G25" i="8" s="1"/>
  <c r="E26" i="11"/>
  <c r="F25" i="11"/>
  <c r="G24" i="10"/>
  <c r="G25" i="10"/>
  <c r="F25" i="9"/>
  <c r="G25" i="9" s="1"/>
  <c r="E26" i="9"/>
  <c r="G24" i="8"/>
  <c r="E26" i="8"/>
  <c r="E27" i="2"/>
  <c r="F26" i="2"/>
  <c r="FY23" i="15" l="1"/>
  <c r="PE23" i="15"/>
  <c r="PF23" i="15" s="1"/>
  <c r="IG23" i="15"/>
  <c r="IH23" i="15" s="1"/>
  <c r="MO23" i="15"/>
  <c r="MP23" i="15" s="1"/>
  <c r="AO23" i="15"/>
  <c r="AP23" i="15" s="1"/>
  <c r="IC23" i="15"/>
  <c r="ID23" i="15" s="1"/>
  <c r="BU22" i="15"/>
  <c r="BV22" i="15" s="1"/>
  <c r="CK23" i="15"/>
  <c r="CL23" i="15" s="1"/>
  <c r="OG22" i="15"/>
  <c r="OH22" i="15" s="1"/>
  <c r="GO23" i="15"/>
  <c r="GP23" i="15" s="1"/>
  <c r="U23" i="15"/>
  <c r="V23" i="15" s="1"/>
  <c r="FI23" i="15"/>
  <c r="FJ23" i="15" s="1"/>
  <c r="AC23" i="15"/>
  <c r="AD23" i="15" s="1"/>
  <c r="FU23" i="15"/>
  <c r="FV23" i="15" s="1"/>
  <c r="BE23" i="15"/>
  <c r="BF23" i="15" s="1"/>
  <c r="HE23" i="15"/>
  <c r="HF23" i="15" s="1"/>
  <c r="CC22" i="15"/>
  <c r="CD22" i="15" s="1"/>
  <c r="PI23" i="15"/>
  <c r="PJ23" i="15" s="1"/>
  <c r="PM22" i="15"/>
  <c r="PN22" i="15" s="1"/>
  <c r="HF22" i="15"/>
  <c r="RI23" i="15"/>
  <c r="RJ23" i="15" s="1"/>
  <c r="QS23" i="15"/>
  <c r="QT23" i="15" s="1"/>
  <c r="UO23" i="15"/>
  <c r="UP23" i="15" s="1"/>
  <c r="FE23" i="15"/>
  <c r="FF23" i="15" s="1"/>
  <c r="BQ23" i="15"/>
  <c r="BR23" i="15" s="1"/>
  <c r="SG23" i="15"/>
  <c r="SH23" i="15" s="1"/>
  <c r="TY23" i="15"/>
  <c r="TZ23" i="15" s="1"/>
  <c r="RE23" i="15"/>
  <c r="RF23" i="15" s="1"/>
  <c r="LQ23" i="15"/>
  <c r="LR23" i="15" s="1"/>
  <c r="SW23" i="15"/>
  <c r="SX23" i="15" s="1"/>
  <c r="HM23" i="15"/>
  <c r="HN23" i="15" s="1"/>
  <c r="NA22" i="15"/>
  <c r="NB22" i="15" s="1"/>
  <c r="JM23" i="15"/>
  <c r="JN23" i="15" s="1"/>
  <c r="PY23" i="15"/>
  <c r="PZ23" i="15" s="1"/>
  <c r="RF22" i="15"/>
  <c r="E23" i="15"/>
  <c r="F23" i="15" s="1"/>
  <c r="KO23" i="15"/>
  <c r="KP23" i="15" s="1"/>
  <c r="JN22" i="15"/>
  <c r="DA23" i="15"/>
  <c r="DB23" i="15" s="1"/>
  <c r="HN22" i="15"/>
  <c r="JY23" i="15"/>
  <c r="JZ23" i="15" s="1"/>
  <c r="AK23" i="15"/>
  <c r="AL23" i="15" s="1"/>
  <c r="BV21" i="15"/>
  <c r="GR24" i="15"/>
  <c r="QF24" i="15"/>
  <c r="DP24" i="15"/>
  <c r="QK22" i="15"/>
  <c r="QL21" i="15"/>
  <c r="AN24" i="15"/>
  <c r="AW22" i="15"/>
  <c r="AX21" i="15"/>
  <c r="OV24" i="15"/>
  <c r="IN24" i="15"/>
  <c r="AF24" i="15"/>
  <c r="KJ24" i="15"/>
  <c r="HD24" i="15"/>
  <c r="X24" i="15"/>
  <c r="RY22" i="15"/>
  <c r="RZ21" i="15"/>
  <c r="CW22" i="15"/>
  <c r="CX21" i="15"/>
  <c r="OC22" i="15"/>
  <c r="OD21" i="15"/>
  <c r="QJ24" i="15"/>
  <c r="FQ22" i="15"/>
  <c r="FR21" i="15"/>
  <c r="MF24" i="15"/>
  <c r="IK22" i="15"/>
  <c r="IL21" i="15"/>
  <c r="AZ24" i="15"/>
  <c r="DD24" i="15"/>
  <c r="RQ22" i="15"/>
  <c r="RR21" i="15"/>
  <c r="UC22" i="15"/>
  <c r="UD21" i="15"/>
  <c r="JT24" i="15"/>
  <c r="NE22" i="15"/>
  <c r="NF21" i="15"/>
  <c r="GJ24" i="15"/>
  <c r="BH24" i="15"/>
  <c r="RT24" i="15"/>
  <c r="BT23" i="15"/>
  <c r="NP24" i="15"/>
  <c r="M22" i="15"/>
  <c r="N21" i="15"/>
  <c r="PT24" i="15"/>
  <c r="TD24" i="15"/>
  <c r="JL24" i="15"/>
  <c r="CR23" i="15"/>
  <c r="NQ22" i="15"/>
  <c r="NR21" i="15"/>
  <c r="RL24" i="15"/>
  <c r="RX24" i="15"/>
  <c r="LL24" i="15"/>
  <c r="EB24" i="15"/>
  <c r="HL24" i="15"/>
  <c r="HX24" i="15"/>
  <c r="HT24" i="15"/>
  <c r="DY22" i="15"/>
  <c r="DZ21" i="15"/>
  <c r="RH24" i="15"/>
  <c r="AB24" i="15"/>
  <c r="HY23" i="15"/>
  <c r="PX24" i="15"/>
  <c r="LE22" i="15"/>
  <c r="LF21" i="15"/>
  <c r="LA22" i="15"/>
  <c r="LB21" i="15"/>
  <c r="GB24" i="15"/>
  <c r="EW22" i="15"/>
  <c r="EX21" i="15"/>
  <c r="TI22" i="15"/>
  <c r="TJ21" i="15"/>
  <c r="PZ22" i="15"/>
  <c r="EF24" i="15"/>
  <c r="EH23" i="15"/>
  <c r="UJ24" i="15"/>
  <c r="IV24" i="15"/>
  <c r="GC22" i="15"/>
  <c r="GD21" i="15"/>
  <c r="HU22" i="15"/>
  <c r="HV21" i="15"/>
  <c r="HP24" i="15"/>
  <c r="EC22" i="15"/>
  <c r="ED21" i="15"/>
  <c r="JE22" i="15"/>
  <c r="JF21" i="15"/>
  <c r="IF24" i="15"/>
  <c r="DL24" i="15"/>
  <c r="JX24" i="15"/>
  <c r="QN24" i="15"/>
  <c r="AS22" i="15"/>
  <c r="AT21" i="15"/>
  <c r="P24" i="15"/>
  <c r="NM22" i="15"/>
  <c r="NN21" i="15"/>
  <c r="AJ24" i="15"/>
  <c r="AV24" i="15"/>
  <c r="MJ24" i="15"/>
  <c r="SH22" i="15"/>
  <c r="PL23" i="15"/>
  <c r="MR24" i="15"/>
  <c r="H23" i="15"/>
  <c r="SO23" i="15"/>
  <c r="GZ24" i="15"/>
  <c r="QZ24" i="15"/>
  <c r="CG22" i="15"/>
  <c r="CH21" i="15"/>
  <c r="NT24" i="15"/>
  <c r="MG23" i="15"/>
  <c r="MH23" i="15" s="1"/>
  <c r="JD24" i="15"/>
  <c r="QV24" i="15"/>
  <c r="QW24" i="15" s="1"/>
  <c r="QX23" i="15"/>
  <c r="OZ24" i="15"/>
  <c r="IJ24" i="15"/>
  <c r="LD24" i="15"/>
  <c r="Q22" i="15"/>
  <c r="R21" i="15"/>
  <c r="BY22" i="15"/>
  <c r="BZ21" i="15"/>
  <c r="I22" i="15"/>
  <c r="NX24" i="15"/>
  <c r="DU22" i="15"/>
  <c r="DV21" i="15"/>
  <c r="TT24" i="15"/>
  <c r="ND24" i="15"/>
  <c r="SR24" i="15"/>
  <c r="LZ23" i="15"/>
  <c r="LX24" i="15"/>
  <c r="TX24" i="15"/>
  <c r="QG22" i="15"/>
  <c r="QH21" i="15"/>
  <c r="SF24" i="15"/>
  <c r="GV24" i="15"/>
  <c r="OR24" i="15"/>
  <c r="FH24" i="15"/>
  <c r="FD24" i="15"/>
  <c r="PH24" i="15"/>
  <c r="CF24" i="15"/>
  <c r="EJ24" i="15"/>
  <c r="EK24" i="15" s="1"/>
  <c r="EL23" i="15"/>
  <c r="SZ24" i="15"/>
  <c r="MB24" i="15"/>
  <c r="TH24" i="15"/>
  <c r="OB24" i="15"/>
  <c r="UK22" i="15"/>
  <c r="UL21" i="15"/>
  <c r="RD24" i="15"/>
  <c r="PU22" i="15"/>
  <c r="PV21" i="15"/>
  <c r="OJ24" i="15"/>
  <c r="MW22" i="15"/>
  <c r="MX21" i="15"/>
  <c r="TL24" i="15"/>
  <c r="SS22" i="15"/>
  <c r="ST21" i="15"/>
  <c r="SB24" i="15"/>
  <c r="OO22" i="15"/>
  <c r="OP21" i="15"/>
  <c r="IZ24" i="15"/>
  <c r="HH24" i="15"/>
  <c r="JQ22" i="15"/>
  <c r="JR21" i="15"/>
  <c r="TP24" i="15"/>
  <c r="KB24" i="15"/>
  <c r="QO23" i="15"/>
  <c r="CJ24" i="15"/>
  <c r="TM22" i="15"/>
  <c r="TN21" i="15"/>
  <c r="PA22" i="15"/>
  <c r="PB21" i="15"/>
  <c r="RM22" i="15"/>
  <c r="RN21" i="15"/>
  <c r="QB24" i="15"/>
  <c r="KK23" i="15"/>
  <c r="IB24" i="15"/>
  <c r="SC22" i="15"/>
  <c r="SD21" i="15"/>
  <c r="GG22" i="15"/>
  <c r="GH21" i="15"/>
  <c r="FL24" i="15"/>
  <c r="TA22" i="15"/>
  <c r="TB21" i="15"/>
  <c r="FM23" i="15"/>
  <c r="T24" i="15"/>
  <c r="BM22" i="15"/>
  <c r="BN21" i="15"/>
  <c r="JI22" i="15"/>
  <c r="JJ21" i="15"/>
  <c r="UR24" i="15"/>
  <c r="IO22" i="15"/>
  <c r="IP21" i="15"/>
  <c r="DH24" i="15"/>
  <c r="BL24" i="15"/>
  <c r="MN24" i="15"/>
  <c r="OS22" i="15"/>
  <c r="OT21" i="15"/>
  <c r="MK22" i="15"/>
  <c r="ML21" i="15"/>
  <c r="L24" i="15"/>
  <c r="UN24" i="15"/>
  <c r="PD24" i="15"/>
  <c r="PE24" i="15" s="1"/>
  <c r="RP24" i="15"/>
  <c r="FA22" i="15"/>
  <c r="FB21" i="15"/>
  <c r="KF24" i="15"/>
  <c r="CB23" i="15"/>
  <c r="EO23" i="15"/>
  <c r="EP23" i="15" s="1"/>
  <c r="KP22" i="15"/>
  <c r="PQ22" i="15"/>
  <c r="PR21" i="15"/>
  <c r="RA22" i="15"/>
  <c r="RB21" i="15"/>
  <c r="LU22" i="15"/>
  <c r="LV21" i="15"/>
  <c r="LR22" i="15"/>
  <c r="GN24" i="15"/>
  <c r="D24" i="15"/>
  <c r="LM23" i="15"/>
  <c r="LN23" i="15" s="1"/>
  <c r="OK23" i="15"/>
  <c r="DQ23" i="15"/>
  <c r="KW22" i="15"/>
  <c r="KX21" i="15"/>
  <c r="ON24" i="15"/>
  <c r="MC23" i="15"/>
  <c r="RU22" i="15"/>
  <c r="RV21" i="15"/>
  <c r="LH24" i="15"/>
  <c r="SJ24" i="15"/>
  <c r="SK23" i="15"/>
  <c r="JP24" i="15"/>
  <c r="IW22" i="15"/>
  <c r="IX21" i="15"/>
  <c r="US22" i="15"/>
  <c r="UT21" i="15"/>
  <c r="BP24" i="15"/>
  <c r="IR24" i="15"/>
  <c r="FT24" i="15"/>
  <c r="NI22" i="15"/>
  <c r="NJ21" i="15"/>
  <c r="GK22" i="15"/>
  <c r="GL21" i="15"/>
  <c r="DT24" i="15"/>
  <c r="JZ22" i="15"/>
  <c r="EV24" i="15"/>
  <c r="OW22" i="15"/>
  <c r="OX21" i="15"/>
  <c r="BI23" i="15"/>
  <c r="GF24" i="15"/>
  <c r="HQ23" i="15"/>
  <c r="LP24" i="15"/>
  <c r="GP22" i="15"/>
  <c r="CN24" i="15"/>
  <c r="CP23" i="15"/>
  <c r="TQ22" i="15"/>
  <c r="TR21" i="15"/>
  <c r="NH24" i="15"/>
  <c r="Y22" i="15"/>
  <c r="Z21" i="15"/>
  <c r="KS23" i="15"/>
  <c r="KT23" i="15" s="1"/>
  <c r="F22" i="15"/>
  <c r="CV24" i="15"/>
  <c r="ER24" i="15"/>
  <c r="NB21" i="15"/>
  <c r="JU22" i="15"/>
  <c r="JV21" i="15"/>
  <c r="GW23" i="15"/>
  <c r="TE22" i="15"/>
  <c r="TF21" i="15"/>
  <c r="SN24" i="15"/>
  <c r="KV24" i="15"/>
  <c r="HI22" i="15"/>
  <c r="HJ21" i="15"/>
  <c r="OF23" i="15"/>
  <c r="NL24" i="15"/>
  <c r="QC22" i="15"/>
  <c r="QD21" i="15"/>
  <c r="UB24" i="15"/>
  <c r="SV24" i="15"/>
  <c r="EN24" i="15"/>
  <c r="HA22" i="15"/>
  <c r="HB21" i="15"/>
  <c r="KZ24" i="15"/>
  <c r="LT24" i="15"/>
  <c r="FZ23" i="15"/>
  <c r="FX24" i="15"/>
  <c r="FY24" i="15" s="1"/>
  <c r="AR24" i="15"/>
  <c r="DI22" i="15"/>
  <c r="DJ21" i="15"/>
  <c r="AL22" i="15"/>
  <c r="KR24" i="15"/>
  <c r="PN21" i="15"/>
  <c r="GS23" i="15"/>
  <c r="MV24" i="15"/>
  <c r="JA23" i="15"/>
  <c r="JB22" i="15"/>
  <c r="IS23" i="15"/>
  <c r="FP24" i="15"/>
  <c r="BX24" i="15"/>
  <c r="MS22" i="15"/>
  <c r="MT21" i="15"/>
  <c r="DE22" i="15"/>
  <c r="DF21" i="15"/>
  <c r="UF24" i="15"/>
  <c r="JH24" i="15"/>
  <c r="KN24" i="15"/>
  <c r="BD24" i="15"/>
  <c r="BA23" i="15"/>
  <c r="LI23" i="15"/>
  <c r="LJ23" i="15" s="1"/>
  <c r="AG23" i="15"/>
  <c r="UG22" i="15"/>
  <c r="UH21" i="15"/>
  <c r="DX24" i="15"/>
  <c r="SP22" i="15"/>
  <c r="J21" i="15"/>
  <c r="NU22" i="15"/>
  <c r="NV21" i="15"/>
  <c r="KC22" i="15"/>
  <c r="KD21" i="15"/>
  <c r="EZ24" i="15"/>
  <c r="PP24" i="15"/>
  <c r="DM23" i="15"/>
  <c r="TU23" i="15"/>
  <c r="NY22" i="15"/>
  <c r="NZ21" i="15"/>
  <c r="KG22" i="15"/>
  <c r="KH21" i="15"/>
  <c r="ES22" i="15"/>
  <c r="ET21" i="15"/>
  <c r="AH22" i="15"/>
  <c r="MZ23" i="15"/>
  <c r="CZ24" i="15"/>
  <c r="QR24" i="15"/>
  <c r="CS22" i="15"/>
  <c r="F26" i="11"/>
  <c r="G26" i="11" s="1"/>
  <c r="F27" i="2"/>
  <c r="G27" i="2" s="1"/>
  <c r="E27" i="11"/>
  <c r="G25" i="11"/>
  <c r="E27" i="9"/>
  <c r="F26" i="9"/>
  <c r="E27" i="8"/>
  <c r="F26" i="8"/>
  <c r="G26" i="2"/>
  <c r="E28" i="2"/>
  <c r="PI24" i="15" l="1"/>
  <c r="AO24" i="15"/>
  <c r="FU24" i="15"/>
  <c r="FV24" i="15" s="1"/>
  <c r="BE24" i="15"/>
  <c r="BF24" i="15" s="1"/>
  <c r="IC24" i="15"/>
  <c r="ID24" i="15" s="1"/>
  <c r="FI24" i="15"/>
  <c r="FJ24" i="15" s="1"/>
  <c r="E24" i="15"/>
  <c r="F24" i="15" s="1"/>
  <c r="GO24" i="15"/>
  <c r="GP24" i="15" s="1"/>
  <c r="OG23" i="15"/>
  <c r="OH23" i="15" s="1"/>
  <c r="U24" i="15"/>
  <c r="V24" i="15" s="1"/>
  <c r="HE24" i="15"/>
  <c r="HF24" i="15" s="1"/>
  <c r="UO24" i="15"/>
  <c r="UP24" i="15" s="1"/>
  <c r="GS24" i="15"/>
  <c r="GT24" i="15" s="1"/>
  <c r="JY24" i="15"/>
  <c r="JZ24" i="15" s="1"/>
  <c r="KO24" i="15"/>
  <c r="KP24" i="15" s="1"/>
  <c r="TY24" i="15"/>
  <c r="TZ24" i="15" s="1"/>
  <c r="TU24" i="15"/>
  <c r="TV24" i="15" s="1"/>
  <c r="RI24" i="15"/>
  <c r="RJ24" i="15" s="1"/>
  <c r="DM24" i="15"/>
  <c r="DN24" i="15" s="1"/>
  <c r="FE24" i="15"/>
  <c r="FF24" i="15" s="1"/>
  <c r="HY24" i="15"/>
  <c r="HZ24" i="15" s="1"/>
  <c r="JA24" i="15"/>
  <c r="JB24" i="15" s="1"/>
  <c r="NA23" i="15"/>
  <c r="NB23" i="15" s="1"/>
  <c r="DQ24" i="15"/>
  <c r="DR24" i="15" s="1"/>
  <c r="OK24" i="15"/>
  <c r="OL24" i="15" s="1"/>
  <c r="QO24" i="15"/>
  <c r="QP24" i="15" s="1"/>
  <c r="BI24" i="15"/>
  <c r="BJ24" i="15" s="1"/>
  <c r="SW24" i="15"/>
  <c r="SX24" i="15" s="1"/>
  <c r="I23" i="15"/>
  <c r="J23" i="15" s="1"/>
  <c r="JM24" i="15"/>
  <c r="JN24" i="15" s="1"/>
  <c r="DA24" i="15"/>
  <c r="DB24" i="15" s="1"/>
  <c r="SK24" i="15"/>
  <c r="SL24" i="15" s="1"/>
  <c r="HQ24" i="15"/>
  <c r="HR24" i="15" s="1"/>
  <c r="CS23" i="15"/>
  <c r="CT23" i="15" s="1"/>
  <c r="DR23" i="15"/>
  <c r="IS24" i="15"/>
  <c r="IT24" i="15" s="1"/>
  <c r="KK24" i="15"/>
  <c r="KL24" i="15" s="1"/>
  <c r="AG24" i="15"/>
  <c r="AH24" i="15" s="1"/>
  <c r="MC24" i="15"/>
  <c r="MD24" i="15" s="1"/>
  <c r="LI24" i="15"/>
  <c r="LJ24" i="15" s="1"/>
  <c r="SO24" i="15"/>
  <c r="SP24" i="15" s="1"/>
  <c r="BA24" i="15"/>
  <c r="BB24" i="15" s="1"/>
  <c r="UG23" i="15"/>
  <c r="UH22" i="15"/>
  <c r="AJ25" i="15"/>
  <c r="KG23" i="15"/>
  <c r="KH22" i="15"/>
  <c r="GW24" i="15"/>
  <c r="GX24" i="15" s="1"/>
  <c r="CN25" i="15"/>
  <c r="RU23" i="15"/>
  <c r="RV22" i="15"/>
  <c r="MK23" i="15"/>
  <c r="ML22" i="15"/>
  <c r="PA23" i="15"/>
  <c r="PB22" i="15"/>
  <c r="SB25" i="15"/>
  <c r="MD23" i="15"/>
  <c r="SF25" i="15"/>
  <c r="GB25" i="15"/>
  <c r="CW23" i="15"/>
  <c r="CX22" i="15"/>
  <c r="EO24" i="15"/>
  <c r="FM24" i="15"/>
  <c r="MB25" i="15"/>
  <c r="BY23" i="15"/>
  <c r="BZ22" i="15"/>
  <c r="QZ25" i="15"/>
  <c r="NM23" i="15"/>
  <c r="NN22" i="15"/>
  <c r="EC23" i="15"/>
  <c r="ED22" i="15"/>
  <c r="RQ23" i="15"/>
  <c r="RR22" i="15"/>
  <c r="QK23" i="15"/>
  <c r="QL22" i="15"/>
  <c r="JE23" i="15"/>
  <c r="JF22" i="15"/>
  <c r="NY23" i="15"/>
  <c r="NZ22" i="15"/>
  <c r="MV25" i="15"/>
  <c r="JU23" i="15"/>
  <c r="JV22" i="15"/>
  <c r="LP25" i="15"/>
  <c r="IT23" i="15"/>
  <c r="CB24" i="15"/>
  <c r="OS23" i="15"/>
  <c r="OT22" i="15"/>
  <c r="TM23" i="15"/>
  <c r="TN22" i="15"/>
  <c r="SZ25" i="15"/>
  <c r="QG23" i="15"/>
  <c r="QH22" i="15"/>
  <c r="HR23" i="15"/>
  <c r="LA23" i="15"/>
  <c r="LB22" i="15"/>
  <c r="EB25" i="15"/>
  <c r="M23" i="15"/>
  <c r="N22" i="15"/>
  <c r="DD25" i="15"/>
  <c r="RY23" i="15"/>
  <c r="RZ22" i="15"/>
  <c r="SV25" i="15"/>
  <c r="IR25" i="15"/>
  <c r="ON25" i="15"/>
  <c r="MN25" i="15"/>
  <c r="TA23" i="15"/>
  <c r="TB22" i="15"/>
  <c r="SS23" i="15"/>
  <c r="ST22" i="15"/>
  <c r="Q23" i="15"/>
  <c r="R22" i="15"/>
  <c r="GZ25" i="15"/>
  <c r="P25" i="15"/>
  <c r="HP25" i="15"/>
  <c r="DP25" i="15"/>
  <c r="FL25" i="15"/>
  <c r="X25" i="15"/>
  <c r="GF25" i="15"/>
  <c r="EZ25" i="15"/>
  <c r="MW23" i="15"/>
  <c r="MX22" i="15"/>
  <c r="QP23" i="15"/>
  <c r="AK24" i="15"/>
  <c r="RT25" i="15"/>
  <c r="HD25" i="15"/>
  <c r="GT23" i="15"/>
  <c r="HL25" i="15"/>
  <c r="TE23" i="15"/>
  <c r="TF22" i="15"/>
  <c r="AS23" i="15"/>
  <c r="AT22" i="15"/>
  <c r="QC23" i="15"/>
  <c r="QD22" i="15"/>
  <c r="SR25" i="15"/>
  <c r="NL25" i="15"/>
  <c r="CV25" i="15"/>
  <c r="US23" i="15"/>
  <c r="UT22" i="15"/>
  <c r="LM24" i="15"/>
  <c r="DH25" i="15"/>
  <c r="OL23" i="15"/>
  <c r="OZ25" i="15"/>
  <c r="J22" i="15"/>
  <c r="AB25" i="15"/>
  <c r="RL25" i="15"/>
  <c r="IK23" i="15"/>
  <c r="IL22" i="15"/>
  <c r="KL23" i="15"/>
  <c r="GR25" i="15"/>
  <c r="ES23" i="15"/>
  <c r="ET22" i="15"/>
  <c r="TH25" i="15"/>
  <c r="HU23" i="15"/>
  <c r="HV22" i="15"/>
  <c r="FA23" i="15"/>
  <c r="FB22" i="15"/>
  <c r="UF25" i="15"/>
  <c r="DI23" i="15"/>
  <c r="DJ22" i="15"/>
  <c r="RP25" i="15"/>
  <c r="SC23" i="15"/>
  <c r="SD22" i="15"/>
  <c r="TP25" i="15"/>
  <c r="OJ25" i="15"/>
  <c r="PJ24" i="15"/>
  <c r="PH25" i="15"/>
  <c r="ND25" i="15"/>
  <c r="IV25" i="15"/>
  <c r="BJ23" i="15"/>
  <c r="KJ25" i="15"/>
  <c r="L25" i="15"/>
  <c r="TD25" i="15"/>
  <c r="PQ23" i="15"/>
  <c r="PR22" i="15"/>
  <c r="PT25" i="15"/>
  <c r="UB25" i="15"/>
  <c r="CJ25" i="15"/>
  <c r="GV25" i="15"/>
  <c r="BP25" i="15"/>
  <c r="PX25" i="15"/>
  <c r="BL25" i="15"/>
  <c r="KB25" i="15"/>
  <c r="OW23" i="15"/>
  <c r="OX22" i="15"/>
  <c r="PY24" i="15"/>
  <c r="QX24" i="15"/>
  <c r="QV25" i="15"/>
  <c r="QW25" i="15" s="1"/>
  <c r="TT25" i="15"/>
  <c r="PL24" i="15"/>
  <c r="DN23" i="15"/>
  <c r="NQ23" i="15"/>
  <c r="NR22" i="15"/>
  <c r="IN25" i="15"/>
  <c r="BQ24" i="15"/>
  <c r="HA23" i="15"/>
  <c r="HB22" i="15"/>
  <c r="LL25" i="15"/>
  <c r="EJ25" i="15"/>
  <c r="EK25" i="15" s="1"/>
  <c r="EL24" i="15"/>
  <c r="RH25" i="15"/>
  <c r="KS24" i="15"/>
  <c r="HM24" i="15"/>
  <c r="JD25" i="15"/>
  <c r="DY23" i="15"/>
  <c r="DZ22" i="15"/>
  <c r="CT22" i="15"/>
  <c r="FQ23" i="15"/>
  <c r="FR22" i="15"/>
  <c r="CC23" i="15"/>
  <c r="CD23" i="15" s="1"/>
  <c r="TQ23" i="15"/>
  <c r="TR22" i="15"/>
  <c r="RM23" i="15"/>
  <c r="RN22" i="15"/>
  <c r="CG23" i="15"/>
  <c r="CH22" i="15"/>
  <c r="NI23" i="15"/>
  <c r="NJ22" i="15"/>
  <c r="AN25" i="15"/>
  <c r="AP24" i="15"/>
  <c r="EN25" i="15"/>
  <c r="BD25" i="15"/>
  <c r="LD25" i="15"/>
  <c r="LE23" i="15"/>
  <c r="LF22" i="15"/>
  <c r="KF25" i="15"/>
  <c r="QF25" i="15"/>
  <c r="JH25" i="15"/>
  <c r="QN25" i="15"/>
  <c r="IJ25" i="15"/>
  <c r="IW23" i="15"/>
  <c r="IX22" i="15"/>
  <c r="MR25" i="15"/>
  <c r="AH23" i="15"/>
  <c r="FD25" i="15"/>
  <c r="GJ25" i="15"/>
  <c r="JP25" i="15"/>
  <c r="MS23" i="15"/>
  <c r="MT22" i="15"/>
  <c r="Y23" i="15"/>
  <c r="Z22" i="15"/>
  <c r="RD25" i="15"/>
  <c r="FH25" i="15"/>
  <c r="TV23" i="15"/>
  <c r="KV25" i="15"/>
  <c r="NH25" i="15"/>
  <c r="SL23" i="15"/>
  <c r="AC24" i="15"/>
  <c r="JI23" i="15"/>
  <c r="JJ22" i="15"/>
  <c r="QB25" i="15"/>
  <c r="HH25" i="15"/>
  <c r="CK24" i="15"/>
  <c r="CL24" i="15" s="1"/>
  <c r="MG24" i="15"/>
  <c r="MH24" i="15" s="1"/>
  <c r="MJ25" i="15"/>
  <c r="HT25" i="15"/>
  <c r="CR24" i="15"/>
  <c r="NE23" i="15"/>
  <c r="NF22" i="15"/>
  <c r="QJ25" i="15"/>
  <c r="OV25" i="15"/>
  <c r="EW23" i="15"/>
  <c r="EX22" i="15"/>
  <c r="UC23" i="15"/>
  <c r="UD22" i="15"/>
  <c r="BB23" i="15"/>
  <c r="FN23" i="15"/>
  <c r="AZ25" i="15"/>
  <c r="KR25" i="15"/>
  <c r="BT24" i="15"/>
  <c r="GC23" i="15"/>
  <c r="GD22" i="15"/>
  <c r="KC23" i="15"/>
  <c r="KD22" i="15"/>
  <c r="D25" i="15"/>
  <c r="AR25" i="15"/>
  <c r="UJ25" i="15"/>
  <c r="AF25" i="15"/>
  <c r="JQ23" i="15"/>
  <c r="JR22" i="15"/>
  <c r="CZ25" i="15"/>
  <c r="EF25" i="15"/>
  <c r="DX25" i="15"/>
  <c r="BX25" i="15"/>
  <c r="LT25" i="15"/>
  <c r="DT25" i="15"/>
  <c r="SJ25" i="15"/>
  <c r="LU23" i="15"/>
  <c r="LV22" i="15"/>
  <c r="PM23" i="15"/>
  <c r="PN23" i="15" s="1"/>
  <c r="JB23" i="15"/>
  <c r="UK23" i="15"/>
  <c r="UL22" i="15"/>
  <c r="OR25" i="15"/>
  <c r="DU23" i="15"/>
  <c r="DV22" i="15"/>
  <c r="IF25" i="15"/>
  <c r="JL25" i="15"/>
  <c r="BU23" i="15"/>
  <c r="TX25" i="15"/>
  <c r="NP25" i="15"/>
  <c r="KN25" i="15"/>
  <c r="KW23" i="15"/>
  <c r="KX22" i="15"/>
  <c r="LX25" i="15"/>
  <c r="GG23" i="15"/>
  <c r="GH22" i="15"/>
  <c r="CF25" i="15"/>
  <c r="QR25" i="15"/>
  <c r="OF24" i="15"/>
  <c r="IO23" i="15"/>
  <c r="IP22" i="15"/>
  <c r="BH25" i="15"/>
  <c r="GN25" i="15"/>
  <c r="PU23" i="15"/>
  <c r="PV22" i="15"/>
  <c r="MO24" i="15"/>
  <c r="MP24" i="15" s="1"/>
  <c r="FX25" i="15"/>
  <c r="FY25" i="15" s="1"/>
  <c r="FZ24" i="15"/>
  <c r="EV25" i="15"/>
  <c r="UN25" i="15"/>
  <c r="UR25" i="15"/>
  <c r="MZ24" i="15"/>
  <c r="FP25" i="15"/>
  <c r="SN25" i="15"/>
  <c r="RE24" i="15"/>
  <c r="RF24" i="15" s="1"/>
  <c r="LY24" i="15"/>
  <c r="LZ24" i="15" s="1"/>
  <c r="QS24" i="15"/>
  <c r="QT24" i="15" s="1"/>
  <c r="BM23" i="15"/>
  <c r="BN22" i="15"/>
  <c r="CO24" i="15"/>
  <c r="CP24" i="15" s="1"/>
  <c r="IZ25" i="15"/>
  <c r="NX25" i="15"/>
  <c r="NT25" i="15"/>
  <c r="AV25" i="15"/>
  <c r="LQ24" i="15"/>
  <c r="TI23" i="15"/>
  <c r="TJ22" i="15"/>
  <c r="HZ23" i="15"/>
  <c r="EG24" i="15"/>
  <c r="OO23" i="15"/>
  <c r="OP22" i="15"/>
  <c r="FT25" i="15"/>
  <c r="TL25" i="15"/>
  <c r="ER25" i="15"/>
  <c r="RX25" i="15"/>
  <c r="PP25" i="15"/>
  <c r="SG24" i="15"/>
  <c r="H24" i="15"/>
  <c r="PD25" i="15"/>
  <c r="PF24" i="15"/>
  <c r="JX25" i="15"/>
  <c r="MF25" i="15"/>
  <c r="DE23" i="15"/>
  <c r="DF22" i="15"/>
  <c r="IB25" i="15"/>
  <c r="NU23" i="15"/>
  <c r="NV22" i="15"/>
  <c r="HI23" i="15"/>
  <c r="HJ22" i="15"/>
  <c r="DL25" i="15"/>
  <c r="KZ25" i="15"/>
  <c r="SP23" i="15"/>
  <c r="GK23" i="15"/>
  <c r="GL22" i="15"/>
  <c r="LH25" i="15"/>
  <c r="RA23" i="15"/>
  <c r="RB22" i="15"/>
  <c r="T25" i="15"/>
  <c r="OB25" i="15"/>
  <c r="GX23" i="15"/>
  <c r="HX25" i="15"/>
  <c r="JT25" i="15"/>
  <c r="OC23" i="15"/>
  <c r="OD22" i="15"/>
  <c r="AW23" i="15"/>
  <c r="AX22" i="15"/>
  <c r="IG24" i="15"/>
  <c r="F27" i="8"/>
  <c r="G27" i="8" s="1"/>
  <c r="F27" i="9"/>
  <c r="G27" i="9" s="1"/>
  <c r="E28" i="11"/>
  <c r="F27" i="11"/>
  <c r="G26" i="10"/>
  <c r="G27" i="10"/>
  <c r="G26" i="9"/>
  <c r="E28" i="9"/>
  <c r="G26" i="8"/>
  <c r="E28" i="8"/>
  <c r="E29" i="2"/>
  <c r="F28" i="2"/>
  <c r="AG25" i="15" l="1"/>
  <c r="HE25" i="15"/>
  <c r="BE25" i="15"/>
  <c r="OK25" i="15"/>
  <c r="OL25" i="15" s="1"/>
  <c r="E25" i="15"/>
  <c r="F25" i="15" s="1"/>
  <c r="GO25" i="15"/>
  <c r="GP25" i="15" s="1"/>
  <c r="U25" i="15"/>
  <c r="V25" i="15" s="1"/>
  <c r="OG24" i="15"/>
  <c r="OH24" i="15" s="1"/>
  <c r="TU25" i="15"/>
  <c r="TV25" i="15" s="1"/>
  <c r="FE25" i="15"/>
  <c r="FF25" i="15" s="1"/>
  <c r="NA24" i="15"/>
  <c r="NB24" i="15" s="1"/>
  <c r="KO25" i="15"/>
  <c r="KP25" i="15" s="1"/>
  <c r="GS25" i="15"/>
  <c r="GT25" i="15" s="1"/>
  <c r="I24" i="15"/>
  <c r="J24" i="15" s="1"/>
  <c r="DQ25" i="15"/>
  <c r="DR25" i="15" s="1"/>
  <c r="PY25" i="15"/>
  <c r="PZ25" i="15" s="1"/>
  <c r="JA25" i="15"/>
  <c r="JB25" i="15" s="1"/>
  <c r="BI25" i="15"/>
  <c r="BJ25" i="15" s="1"/>
  <c r="DM25" i="15"/>
  <c r="DN25" i="15" s="1"/>
  <c r="SG25" i="15"/>
  <c r="SH25" i="15" s="1"/>
  <c r="DA25" i="15"/>
  <c r="DB25" i="15" s="1"/>
  <c r="KK25" i="15"/>
  <c r="KL25" i="15" s="1"/>
  <c r="HM25" i="15"/>
  <c r="HN25" i="15" s="1"/>
  <c r="AC25" i="15"/>
  <c r="AD25" i="15" s="1"/>
  <c r="SW25" i="15"/>
  <c r="SX25" i="15" s="1"/>
  <c r="MC25" i="15"/>
  <c r="MD25" i="15" s="1"/>
  <c r="KS25" i="15"/>
  <c r="KT25" i="15" s="1"/>
  <c r="SK25" i="15"/>
  <c r="SL25" i="15" s="1"/>
  <c r="IG25" i="15"/>
  <c r="IH25" i="15" s="1"/>
  <c r="BA25" i="15"/>
  <c r="BB25" i="15" s="1"/>
  <c r="FM25" i="15"/>
  <c r="FN25" i="15" s="1"/>
  <c r="EG25" i="15"/>
  <c r="EH25" i="15" s="1"/>
  <c r="LQ25" i="15"/>
  <c r="LR25" i="15" s="1"/>
  <c r="EO25" i="15"/>
  <c r="EP25" i="15" s="1"/>
  <c r="MG25" i="15"/>
  <c r="MH25" i="15" s="1"/>
  <c r="BQ25" i="15"/>
  <c r="BR25" i="15" s="1"/>
  <c r="BU24" i="15"/>
  <c r="SO25" i="15"/>
  <c r="SP25" i="15" s="1"/>
  <c r="AK25" i="15"/>
  <c r="AL25" i="15" s="1"/>
  <c r="CC24" i="15"/>
  <c r="CD24" i="15" s="1"/>
  <c r="LM25" i="15"/>
  <c r="LN25" i="15" s="1"/>
  <c r="NQ24" i="15"/>
  <c r="NR23" i="15"/>
  <c r="LA24" i="15"/>
  <c r="LB23" i="15"/>
  <c r="FP26" i="15"/>
  <c r="EP24" i="15"/>
  <c r="HU24" i="15"/>
  <c r="HV23" i="15"/>
  <c r="FN24" i="15"/>
  <c r="ON26" i="15"/>
  <c r="GW25" i="15"/>
  <c r="GX25" i="15" s="1"/>
  <c r="RA24" i="15"/>
  <c r="RB23" i="15"/>
  <c r="TX26" i="15"/>
  <c r="PL25" i="15"/>
  <c r="NE24" i="15"/>
  <c r="NF23" i="15"/>
  <c r="ND26" i="15"/>
  <c r="TE24" i="15"/>
  <c r="TF23" i="15"/>
  <c r="FL26" i="15"/>
  <c r="QG24" i="15"/>
  <c r="QH23" i="15"/>
  <c r="JE24" i="15"/>
  <c r="JF23" i="15"/>
  <c r="KV26" i="15"/>
  <c r="OF25" i="15"/>
  <c r="BT25" i="15"/>
  <c r="FH26" i="15"/>
  <c r="RH26" i="15"/>
  <c r="CJ26" i="15"/>
  <c r="TY25" i="15"/>
  <c r="TZ25" i="15" s="1"/>
  <c r="HL26" i="15"/>
  <c r="IR26" i="15"/>
  <c r="SZ26" i="15"/>
  <c r="QK24" i="15"/>
  <c r="QL23" i="15"/>
  <c r="AL24" i="15"/>
  <c r="LH26" i="15"/>
  <c r="OZ26" i="15"/>
  <c r="TI24" i="15"/>
  <c r="TJ23" i="15"/>
  <c r="AW24" i="15"/>
  <c r="AX23" i="15"/>
  <c r="NI24" i="15"/>
  <c r="NJ23" i="15"/>
  <c r="QV26" i="15"/>
  <c r="QW26" i="15" s="1"/>
  <c r="QX25" i="15"/>
  <c r="UB26" i="15"/>
  <c r="DP26" i="15"/>
  <c r="GB26" i="15"/>
  <c r="AJ26" i="15"/>
  <c r="AS24" i="15"/>
  <c r="AT23" i="15"/>
  <c r="JD26" i="15"/>
  <c r="AN26" i="15"/>
  <c r="PH26" i="15"/>
  <c r="HT26" i="15"/>
  <c r="TH26" i="15"/>
  <c r="EF26" i="15"/>
  <c r="QN26" i="15"/>
  <c r="HF25" i="15"/>
  <c r="HD26" i="15"/>
  <c r="SV26" i="15"/>
  <c r="UG24" i="15"/>
  <c r="UH23" i="15"/>
  <c r="CW24" i="15"/>
  <c r="CX23" i="15"/>
  <c r="AV26" i="15"/>
  <c r="DX26" i="15"/>
  <c r="DL26" i="15"/>
  <c r="DU24" i="15"/>
  <c r="DV23" i="15"/>
  <c r="KT24" i="15"/>
  <c r="RD26" i="15"/>
  <c r="CG24" i="15"/>
  <c r="CH23" i="15"/>
  <c r="EL25" i="15"/>
  <c r="EJ26" i="15"/>
  <c r="EK26" i="15" s="1"/>
  <c r="SH24" i="15"/>
  <c r="PP26" i="15"/>
  <c r="UN26" i="15"/>
  <c r="CZ26" i="15"/>
  <c r="MJ26" i="15"/>
  <c r="LL26" i="15"/>
  <c r="PT26" i="15"/>
  <c r="TP26" i="15"/>
  <c r="ES24" i="15"/>
  <c r="ET23" i="15"/>
  <c r="OS24" i="15"/>
  <c r="OT23" i="15"/>
  <c r="EC24" i="15"/>
  <c r="ED23" i="15"/>
  <c r="SF26" i="15"/>
  <c r="AO25" i="15"/>
  <c r="AP25" i="15" s="1"/>
  <c r="OO24" i="15"/>
  <c r="OP23" i="15"/>
  <c r="CN26" i="15"/>
  <c r="GK24" i="15"/>
  <c r="GL23" i="15"/>
  <c r="BX26" i="15"/>
  <c r="HN24" i="15"/>
  <c r="EH24" i="15"/>
  <c r="JT26" i="15"/>
  <c r="HI24" i="15"/>
  <c r="HJ23" i="15"/>
  <c r="NX26" i="15"/>
  <c r="GG24" i="15"/>
  <c r="GH23" i="15"/>
  <c r="OR26" i="15"/>
  <c r="AZ26" i="15"/>
  <c r="Y24" i="15"/>
  <c r="Z23" i="15"/>
  <c r="JH26" i="15"/>
  <c r="RM24" i="15"/>
  <c r="RN23" i="15"/>
  <c r="LN24" i="15"/>
  <c r="OW24" i="15"/>
  <c r="OX23" i="15"/>
  <c r="CV26" i="15"/>
  <c r="RT26" i="15"/>
  <c r="P26" i="15"/>
  <c r="CB25" i="15"/>
  <c r="DT26" i="15"/>
  <c r="TA24" i="15"/>
  <c r="TB23" i="15"/>
  <c r="DH26" i="15"/>
  <c r="KZ26" i="15"/>
  <c r="JX26" i="15"/>
  <c r="PD26" i="15"/>
  <c r="GC24" i="15"/>
  <c r="GD23" i="15"/>
  <c r="IF26" i="15"/>
  <c r="FA24" i="15"/>
  <c r="FB23" i="15"/>
  <c r="IV26" i="15"/>
  <c r="KC24" i="15"/>
  <c r="KD23" i="15"/>
  <c r="IH24" i="15"/>
  <c r="HP26" i="15"/>
  <c r="HX26" i="15"/>
  <c r="HH26" i="15"/>
  <c r="HA24" i="15"/>
  <c r="HB23" i="15"/>
  <c r="BL26" i="15"/>
  <c r="TD26" i="15"/>
  <c r="SR26" i="15"/>
  <c r="DD26" i="15"/>
  <c r="LR24" i="15"/>
  <c r="QZ26" i="15"/>
  <c r="UO25" i="15"/>
  <c r="DY24" i="15"/>
  <c r="DZ23" i="15"/>
  <c r="SN26" i="15"/>
  <c r="X26" i="15"/>
  <c r="QJ26" i="15"/>
  <c r="GV26" i="15"/>
  <c r="NT26" i="15"/>
  <c r="US24" i="15"/>
  <c r="UT23" i="15"/>
  <c r="CK25" i="15"/>
  <c r="IZ26" i="15"/>
  <c r="Q24" i="15"/>
  <c r="R23" i="15"/>
  <c r="LP26" i="15"/>
  <c r="PA24" i="15"/>
  <c r="PB23" i="15"/>
  <c r="GF26" i="15"/>
  <c r="MR26" i="15"/>
  <c r="LT26" i="15"/>
  <c r="MZ25" i="15"/>
  <c r="KG24" i="15"/>
  <c r="KH23" i="15"/>
  <c r="QR26" i="15"/>
  <c r="HQ25" i="15"/>
  <c r="GR26" i="15"/>
  <c r="LX26" i="15"/>
  <c r="TQ24" i="15"/>
  <c r="TR23" i="15"/>
  <c r="RP26" i="15"/>
  <c r="GZ26" i="15"/>
  <c r="MO25" i="15"/>
  <c r="MP25" i="15" s="1"/>
  <c r="UC24" i="15"/>
  <c r="UD23" i="15"/>
  <c r="KF26" i="15"/>
  <c r="OB26" i="15"/>
  <c r="IB26" i="15"/>
  <c r="TL26" i="15"/>
  <c r="BM24" i="15"/>
  <c r="BN23" i="15"/>
  <c r="PI25" i="15"/>
  <c r="PZ24" i="15"/>
  <c r="L26" i="15"/>
  <c r="DI24" i="15"/>
  <c r="DJ23" i="15"/>
  <c r="MW24" i="15"/>
  <c r="MX23" i="15"/>
  <c r="BY24" i="15"/>
  <c r="BZ23" i="15"/>
  <c r="IC25" i="15"/>
  <c r="ID25" i="15" s="1"/>
  <c r="OV26" i="15"/>
  <c r="RU24" i="15"/>
  <c r="RV23" i="15"/>
  <c r="BH26" i="15"/>
  <c r="LI25" i="15"/>
  <c r="LJ25" i="15" s="1"/>
  <c r="IW24" i="15"/>
  <c r="IX23" i="15"/>
  <c r="JL26" i="15"/>
  <c r="CR25" i="15"/>
  <c r="TT26" i="15"/>
  <c r="CF26" i="15"/>
  <c r="RQ24" i="15"/>
  <c r="RR23" i="15"/>
  <c r="PQ24" i="15"/>
  <c r="PR23" i="15"/>
  <c r="NM24" i="15"/>
  <c r="NN23" i="15"/>
  <c r="UK24" i="15"/>
  <c r="UL23" i="15"/>
  <c r="MS24" i="15"/>
  <c r="MT23" i="15"/>
  <c r="KB26" i="15"/>
  <c r="HY25" i="15"/>
  <c r="RY24" i="15"/>
  <c r="RZ23" i="15"/>
  <c r="CO25" i="15"/>
  <c r="IS25" i="15"/>
  <c r="PM24" i="15"/>
  <c r="PN24" i="15" s="1"/>
  <c r="QB26" i="15"/>
  <c r="QS25" i="15"/>
  <c r="QT25" i="15" s="1"/>
  <c r="PU24" i="15"/>
  <c r="PV23" i="15"/>
  <c r="KN26" i="15"/>
  <c r="LU24" i="15"/>
  <c r="LV23" i="15"/>
  <c r="UJ26" i="15"/>
  <c r="GJ26" i="15"/>
  <c r="LE24" i="15"/>
  <c r="LF23" i="15"/>
  <c r="FQ24" i="15"/>
  <c r="FR23" i="15"/>
  <c r="PX26" i="15"/>
  <c r="RL26" i="15"/>
  <c r="QC24" i="15"/>
  <c r="QD23" i="15"/>
  <c r="SS24" i="15"/>
  <c r="ST23" i="15"/>
  <c r="M24" i="15"/>
  <c r="N23" i="15"/>
  <c r="JU24" i="15"/>
  <c r="JV23" i="15"/>
  <c r="PE25" i="15"/>
  <c r="PF25" i="15" s="1"/>
  <c r="BF25" i="15"/>
  <c r="BD26" i="15"/>
  <c r="JY25" i="15"/>
  <c r="NH26" i="15"/>
  <c r="H25" i="15"/>
  <c r="OC24" i="15"/>
  <c r="OD23" i="15"/>
  <c r="EV26" i="15"/>
  <c r="SC24" i="15"/>
  <c r="SD23" i="15"/>
  <c r="RI25" i="15"/>
  <c r="RJ25" i="15" s="1"/>
  <c r="ER26" i="15"/>
  <c r="KW24" i="15"/>
  <c r="KX23" i="15"/>
  <c r="JP26" i="15"/>
  <c r="IK24" i="15"/>
  <c r="IL23" i="15"/>
  <c r="DE24" i="15"/>
  <c r="DF23" i="15"/>
  <c r="FT26" i="15"/>
  <c r="LY25" i="15"/>
  <c r="LZ25" i="15" s="1"/>
  <c r="SJ26" i="15"/>
  <c r="AR26" i="15"/>
  <c r="EW24" i="15"/>
  <c r="EX23" i="15"/>
  <c r="JI24" i="15"/>
  <c r="JJ23" i="15"/>
  <c r="IN26" i="15"/>
  <c r="BR24" i="15"/>
  <c r="UF26" i="15"/>
  <c r="AB26" i="15"/>
  <c r="QO25" i="15"/>
  <c r="EZ26" i="15"/>
  <c r="MB26" i="15"/>
  <c r="MK24" i="15"/>
  <c r="ML23" i="15"/>
  <c r="D26" i="15"/>
  <c r="NY24" i="15"/>
  <c r="NZ23" i="15"/>
  <c r="EN26" i="15"/>
  <c r="MN26" i="15"/>
  <c r="IO24" i="15"/>
  <c r="IP23" i="15"/>
  <c r="IJ26" i="15"/>
  <c r="UR26" i="15"/>
  <c r="BV23" i="15"/>
  <c r="KR26" i="15"/>
  <c r="OJ26" i="15"/>
  <c r="TM24" i="15"/>
  <c r="TN23" i="15"/>
  <c r="RX26" i="15"/>
  <c r="NU24" i="15"/>
  <c r="NV23" i="15"/>
  <c r="JQ24" i="15"/>
  <c r="JR23" i="15"/>
  <c r="QF26" i="15"/>
  <c r="NL26" i="15"/>
  <c r="SB26" i="15"/>
  <c r="FI25" i="15"/>
  <c r="FZ25" i="15"/>
  <c r="FX26" i="15"/>
  <c r="FY26" i="15" s="1"/>
  <c r="AH25" i="15"/>
  <c r="AF26" i="15"/>
  <c r="T26" i="15"/>
  <c r="MF26" i="15"/>
  <c r="RE25" i="15"/>
  <c r="RF25" i="15" s="1"/>
  <c r="GN26" i="15"/>
  <c r="NP26" i="15"/>
  <c r="FD26" i="15"/>
  <c r="LD26" i="15"/>
  <c r="BP26" i="15"/>
  <c r="KJ26" i="15"/>
  <c r="CS24" i="15"/>
  <c r="CT24" i="15" s="1"/>
  <c r="AD24" i="15"/>
  <c r="EB26" i="15"/>
  <c r="MV26" i="15"/>
  <c r="JM25" i="15"/>
  <c r="JN25" i="15" s="1"/>
  <c r="FU25" i="15"/>
  <c r="FV25" i="15" s="1"/>
  <c r="F28" i="11"/>
  <c r="G28" i="11" s="1"/>
  <c r="F29" i="2"/>
  <c r="G29" i="2" s="1"/>
  <c r="G27" i="11"/>
  <c r="E29" i="11"/>
  <c r="E29" i="9"/>
  <c r="F28" i="9"/>
  <c r="E29" i="8"/>
  <c r="F28" i="8"/>
  <c r="E30" i="2"/>
  <c r="G28" i="2"/>
  <c r="NA25" i="15" l="1"/>
  <c r="FE26" i="15"/>
  <c r="DA26" i="15"/>
  <c r="U26" i="15"/>
  <c r="GO26" i="15"/>
  <c r="GP26" i="15" s="1"/>
  <c r="E26" i="15"/>
  <c r="F26" i="15" s="1"/>
  <c r="OK26" i="15"/>
  <c r="OL26" i="15" s="1"/>
  <c r="DM26" i="15"/>
  <c r="DN26" i="15" s="1"/>
  <c r="SG26" i="15"/>
  <c r="SH26" i="15" s="1"/>
  <c r="KK26" i="15"/>
  <c r="KL26" i="15" s="1"/>
  <c r="AC26" i="15"/>
  <c r="AD26" i="15" s="1"/>
  <c r="PY26" i="15"/>
  <c r="PZ26" i="15" s="1"/>
  <c r="I25" i="15"/>
  <c r="J25" i="15" s="1"/>
  <c r="HM26" i="15"/>
  <c r="HN26" i="15" s="1"/>
  <c r="JA26" i="15"/>
  <c r="JB26" i="15" s="1"/>
  <c r="IG26" i="15"/>
  <c r="IH26" i="15" s="1"/>
  <c r="BU25" i="15"/>
  <c r="BV25" i="15" s="1"/>
  <c r="FI26" i="15"/>
  <c r="FJ26" i="15" s="1"/>
  <c r="FM26" i="15"/>
  <c r="FN26" i="15" s="1"/>
  <c r="MC26" i="15"/>
  <c r="MD26" i="15" s="1"/>
  <c r="BA26" i="15"/>
  <c r="BB26" i="15" s="1"/>
  <c r="QO26" i="15"/>
  <c r="QP26" i="15" s="1"/>
  <c r="CO26" i="15"/>
  <c r="CP26" i="15" s="1"/>
  <c r="MG26" i="15"/>
  <c r="MH26" i="15" s="1"/>
  <c r="KS26" i="15"/>
  <c r="KT26" i="15" s="1"/>
  <c r="JY26" i="15"/>
  <c r="JZ26" i="15" s="1"/>
  <c r="PI26" i="15"/>
  <c r="PJ26" i="15" s="1"/>
  <c r="BV24" i="15"/>
  <c r="UO26" i="15"/>
  <c r="UP26" i="15" s="1"/>
  <c r="EO26" i="15"/>
  <c r="EP26" i="15" s="1"/>
  <c r="CC25" i="15"/>
  <c r="CD25" i="15" s="1"/>
  <c r="HY26" i="15"/>
  <c r="HZ26" i="15" s="1"/>
  <c r="HQ26" i="15"/>
  <c r="HR26" i="15" s="1"/>
  <c r="IS26" i="15"/>
  <c r="IT26" i="15" s="1"/>
  <c r="CK26" i="15"/>
  <c r="GZ27" i="15"/>
  <c r="OS25" i="15"/>
  <c r="OT24" i="15"/>
  <c r="HD27" i="15"/>
  <c r="AJ27" i="15"/>
  <c r="ND27" i="15"/>
  <c r="FP27" i="15"/>
  <c r="TI25" i="15"/>
  <c r="TJ24" i="15"/>
  <c r="LH27" i="15"/>
  <c r="FJ25" i="15"/>
  <c r="FT27" i="15"/>
  <c r="SB27" i="15"/>
  <c r="JT27" i="15"/>
  <c r="ES25" i="15"/>
  <c r="ET24" i="15"/>
  <c r="CG25" i="15"/>
  <c r="CH24" i="15"/>
  <c r="QN27" i="15"/>
  <c r="FH27" i="15"/>
  <c r="BP27" i="15"/>
  <c r="AS25" i="15"/>
  <c r="AT24" i="15"/>
  <c r="L27" i="15"/>
  <c r="RY25" i="15"/>
  <c r="RZ24" i="15"/>
  <c r="HA25" i="15"/>
  <c r="HB24" i="15"/>
  <c r="LD27" i="15"/>
  <c r="IJ27" i="15"/>
  <c r="TQ25" i="15"/>
  <c r="TR24" i="15"/>
  <c r="X27" i="15"/>
  <c r="JX27" i="15"/>
  <c r="OW25" i="15"/>
  <c r="OX24" i="15"/>
  <c r="TP27" i="15"/>
  <c r="RD27" i="15"/>
  <c r="QP25" i="15"/>
  <c r="GB27" i="15"/>
  <c r="HE26" i="15"/>
  <c r="HF26" i="15" s="1"/>
  <c r="LA25" i="15"/>
  <c r="LB24" i="15"/>
  <c r="MR27" i="15"/>
  <c r="RH27" i="15"/>
  <c r="HI25" i="15"/>
  <c r="HJ24" i="15"/>
  <c r="PA25" i="15"/>
  <c r="PB24" i="15"/>
  <c r="SN27" i="15"/>
  <c r="HZ25" i="15"/>
  <c r="JZ25" i="15"/>
  <c r="EF27" i="15"/>
  <c r="BT26" i="15"/>
  <c r="NE25" i="15"/>
  <c r="NF24" i="15"/>
  <c r="NX27" i="15"/>
  <c r="FD27" i="15"/>
  <c r="FE27" i="15" s="1"/>
  <c r="FF26" i="15"/>
  <c r="JP27" i="15"/>
  <c r="IO25" i="15"/>
  <c r="IP24" i="15"/>
  <c r="BD27" i="15"/>
  <c r="IW25" i="15"/>
  <c r="IX24" i="15"/>
  <c r="LX27" i="15"/>
  <c r="HX27" i="15"/>
  <c r="PT27" i="15"/>
  <c r="DP27" i="15"/>
  <c r="NQ25" i="15"/>
  <c r="NR24" i="15"/>
  <c r="TT27" i="15"/>
  <c r="SV27" i="15"/>
  <c r="GV27" i="15"/>
  <c r="QJ27" i="15"/>
  <c r="NL27" i="15"/>
  <c r="UJ27" i="15"/>
  <c r="MS25" i="15"/>
  <c r="MT24" i="15"/>
  <c r="LI26" i="15"/>
  <c r="BM25" i="15"/>
  <c r="BN24" i="15"/>
  <c r="GR27" i="15"/>
  <c r="LP27" i="15"/>
  <c r="HR25" i="15"/>
  <c r="KZ27" i="15"/>
  <c r="RM25" i="15"/>
  <c r="RN24" i="15"/>
  <c r="BX27" i="15"/>
  <c r="OF26" i="15"/>
  <c r="PL26" i="15"/>
  <c r="TE25" i="15"/>
  <c r="TF24" i="15"/>
  <c r="DI25" i="15"/>
  <c r="DJ24" i="15"/>
  <c r="CV27" i="15"/>
  <c r="JQ25" i="15"/>
  <c r="JR24" i="15"/>
  <c r="BH27" i="15"/>
  <c r="TL27" i="15"/>
  <c r="DY25" i="15"/>
  <c r="DZ24" i="15"/>
  <c r="HP27" i="15"/>
  <c r="DH27" i="15"/>
  <c r="DU25" i="15"/>
  <c r="DV24" i="15"/>
  <c r="TH27" i="15"/>
  <c r="QK25" i="15"/>
  <c r="QL24" i="15"/>
  <c r="BI26" i="15"/>
  <c r="EJ27" i="15"/>
  <c r="EL26" i="15"/>
  <c r="IK25" i="15"/>
  <c r="IL24" i="15"/>
  <c r="UF27" i="15"/>
  <c r="IN27" i="15"/>
  <c r="Q25" i="15"/>
  <c r="R24" i="15"/>
  <c r="JH27" i="15"/>
  <c r="LL27" i="15"/>
  <c r="DL27" i="15"/>
  <c r="UB27" i="15"/>
  <c r="SZ27" i="15"/>
  <c r="KV27" i="15"/>
  <c r="TX27" i="15"/>
  <c r="GC25" i="15"/>
  <c r="GD24" i="15"/>
  <c r="H26" i="15"/>
  <c r="KB27" i="15"/>
  <c r="ER27" i="15"/>
  <c r="QZ27" i="15"/>
  <c r="LQ26" i="15"/>
  <c r="GK25" i="15"/>
  <c r="GL24" i="15"/>
  <c r="HT27" i="15"/>
  <c r="BL27" i="15"/>
  <c r="RP27" i="15"/>
  <c r="LE25" i="15"/>
  <c r="LF24" i="15"/>
  <c r="JM26" i="15"/>
  <c r="JN26" i="15" s="1"/>
  <c r="KN27" i="15"/>
  <c r="NM25" i="15"/>
  <c r="NN24" i="15"/>
  <c r="RU25" i="15"/>
  <c r="RV24" i="15"/>
  <c r="IZ27" i="15"/>
  <c r="Y25" i="15"/>
  <c r="Z24" i="15"/>
  <c r="CN27" i="15"/>
  <c r="MJ27" i="15"/>
  <c r="DX27" i="15"/>
  <c r="PH27" i="15"/>
  <c r="QV27" i="15"/>
  <c r="QW27" i="15" s="1"/>
  <c r="QX26" i="15"/>
  <c r="IT25" i="15"/>
  <c r="RA25" i="15"/>
  <c r="RB24" i="15"/>
  <c r="KO26" i="15"/>
  <c r="RT27" i="15"/>
  <c r="FQ25" i="15"/>
  <c r="FR24" i="15"/>
  <c r="NH27" i="15"/>
  <c r="QF27" i="15"/>
  <c r="KW25" i="15"/>
  <c r="KX24" i="15"/>
  <c r="FU26" i="15"/>
  <c r="QR27" i="15"/>
  <c r="SW26" i="15"/>
  <c r="M25" i="15"/>
  <c r="N24" i="15"/>
  <c r="OV27" i="15"/>
  <c r="KC25" i="15"/>
  <c r="KD24" i="15"/>
  <c r="TA25" i="15"/>
  <c r="TB24" i="15"/>
  <c r="CP25" i="15"/>
  <c r="PJ25" i="15"/>
  <c r="DQ26" i="15"/>
  <c r="DR26" i="15" s="1"/>
  <c r="IR27" i="15"/>
  <c r="GW26" i="15"/>
  <c r="BE26" i="15"/>
  <c r="PX27" i="15"/>
  <c r="UR27" i="15"/>
  <c r="GF27" i="15"/>
  <c r="GJ27" i="15"/>
  <c r="PQ25" i="15"/>
  <c r="PR24" i="15"/>
  <c r="HH27" i="15"/>
  <c r="NP27" i="15"/>
  <c r="AK26" i="15"/>
  <c r="AL26" i="15" s="1"/>
  <c r="EW25" i="15"/>
  <c r="EX24" i="15"/>
  <c r="IC26" i="15"/>
  <c r="ID26" i="15" s="1"/>
  <c r="UN27" i="15"/>
  <c r="ON27" i="15"/>
  <c r="KR27" i="15"/>
  <c r="OZ27" i="15"/>
  <c r="DE25" i="15"/>
  <c r="DF24" i="15"/>
  <c r="JL27" i="15"/>
  <c r="UK25" i="15"/>
  <c r="UL24" i="15"/>
  <c r="JU25" i="15"/>
  <c r="JV24" i="15"/>
  <c r="RI26" i="15"/>
  <c r="MV27" i="15"/>
  <c r="MF27" i="15"/>
  <c r="OB27" i="15"/>
  <c r="IV27" i="15"/>
  <c r="AZ27" i="15"/>
  <c r="AV27" i="15"/>
  <c r="HL27" i="15"/>
  <c r="EB27" i="15"/>
  <c r="SS25" i="15"/>
  <c r="ST24" i="15"/>
  <c r="MZ26" i="15"/>
  <c r="NA26" i="15" s="1"/>
  <c r="NB25" i="15"/>
  <c r="DT27" i="15"/>
  <c r="OO25" i="15"/>
  <c r="OP24" i="15"/>
  <c r="AR27" i="15"/>
  <c r="US25" i="15"/>
  <c r="UT24" i="15"/>
  <c r="SR27" i="15"/>
  <c r="OR27" i="15"/>
  <c r="AO26" i="15"/>
  <c r="UP25" i="15"/>
  <c r="LM26" i="15"/>
  <c r="QG25" i="15"/>
  <c r="QH24" i="15"/>
  <c r="GS26" i="15"/>
  <c r="GT26" i="15" s="1"/>
  <c r="EC25" i="15"/>
  <c r="ED24" i="15"/>
  <c r="EZ27" i="15"/>
  <c r="AB27" i="15"/>
  <c r="GN27" i="15"/>
  <c r="NU25" i="15"/>
  <c r="NV24" i="15"/>
  <c r="IB27" i="15"/>
  <c r="RX27" i="15"/>
  <c r="KG25" i="15"/>
  <c r="KH24" i="15"/>
  <c r="V26" i="15"/>
  <c r="T27" i="15"/>
  <c r="U27" i="15" s="1"/>
  <c r="NI25" i="15"/>
  <c r="NJ24" i="15"/>
  <c r="TM25" i="15"/>
  <c r="TN24" i="15"/>
  <c r="FA25" i="15"/>
  <c r="FB24" i="15"/>
  <c r="CB26" i="15"/>
  <c r="SF27" i="15"/>
  <c r="PP27" i="15"/>
  <c r="CW25" i="15"/>
  <c r="CX24" i="15"/>
  <c r="OG25" i="15"/>
  <c r="TY26" i="15"/>
  <c r="SO26" i="15"/>
  <c r="BQ26" i="15"/>
  <c r="PE26" i="15"/>
  <c r="PF26" i="15" s="1"/>
  <c r="LU25" i="15"/>
  <c r="LV24" i="15"/>
  <c r="RE26" i="15"/>
  <c r="RF26" i="15" s="1"/>
  <c r="EG26" i="15"/>
  <c r="EH26" i="15" s="1"/>
  <c r="DB26" i="15"/>
  <c r="CZ27" i="15"/>
  <c r="SC25" i="15"/>
  <c r="SD24" i="15"/>
  <c r="PU25" i="15"/>
  <c r="PV24" i="15"/>
  <c r="QS26" i="15"/>
  <c r="AF27" i="15"/>
  <c r="OJ27" i="15"/>
  <c r="QC25" i="15"/>
  <c r="QD24" i="15"/>
  <c r="QB27" i="15"/>
  <c r="MK25" i="15"/>
  <c r="ML24" i="15"/>
  <c r="RL27" i="15"/>
  <c r="CF27" i="15"/>
  <c r="UC25" i="15"/>
  <c r="UD24" i="15"/>
  <c r="LT27" i="15"/>
  <c r="NT27" i="15"/>
  <c r="IF27" i="15"/>
  <c r="P27" i="15"/>
  <c r="AW25" i="15"/>
  <c r="AX24" i="15"/>
  <c r="CJ27" i="15"/>
  <c r="FL27" i="15"/>
  <c r="PD27" i="15"/>
  <c r="CR26" i="15"/>
  <c r="MN27" i="15"/>
  <c r="EN27" i="15"/>
  <c r="JI25" i="15"/>
  <c r="JJ24" i="15"/>
  <c r="NY25" i="15"/>
  <c r="NZ24" i="15"/>
  <c r="DD27" i="15"/>
  <c r="AN27" i="15"/>
  <c r="JE25" i="15"/>
  <c r="JF24" i="15"/>
  <c r="D27" i="15"/>
  <c r="EV27" i="15"/>
  <c r="RQ25" i="15"/>
  <c r="RR24" i="15"/>
  <c r="KF27" i="15"/>
  <c r="BY25" i="15"/>
  <c r="BZ24" i="15"/>
  <c r="CS25" i="15"/>
  <c r="SJ27" i="15"/>
  <c r="KJ27" i="15"/>
  <c r="FX27" i="15"/>
  <c r="FY27" i="15" s="1"/>
  <c r="FZ26" i="15"/>
  <c r="MB27" i="15"/>
  <c r="LY26" i="15"/>
  <c r="LZ26" i="15" s="1"/>
  <c r="OC25" i="15"/>
  <c r="OD24" i="15"/>
  <c r="PM25" i="15"/>
  <c r="SK26" i="15"/>
  <c r="SL26" i="15" s="1"/>
  <c r="MW25" i="15"/>
  <c r="MX24" i="15"/>
  <c r="MO26" i="15"/>
  <c r="MP26" i="15" s="1"/>
  <c r="AG26" i="15"/>
  <c r="AH26" i="15" s="1"/>
  <c r="TD27" i="15"/>
  <c r="GG25" i="15"/>
  <c r="GH24" i="15"/>
  <c r="UG25" i="15"/>
  <c r="UH24" i="15"/>
  <c r="JD27" i="15"/>
  <c r="CL25" i="15"/>
  <c r="HU25" i="15"/>
  <c r="HV24" i="15"/>
  <c r="TU26" i="15"/>
  <c r="F29" i="9"/>
  <c r="G29" i="9" s="1"/>
  <c r="F29" i="8"/>
  <c r="G29" i="8" s="1"/>
  <c r="E30" i="11"/>
  <c r="F29" i="11"/>
  <c r="G29" i="10"/>
  <c r="G28" i="10"/>
  <c r="G28" i="9"/>
  <c r="E30" i="9"/>
  <c r="E30" i="8"/>
  <c r="G28" i="8"/>
  <c r="E31" i="2"/>
  <c r="F30" i="2"/>
  <c r="E27" i="15" l="1"/>
  <c r="PY27" i="15"/>
  <c r="PZ27" i="15" s="1"/>
  <c r="DA27" i="15"/>
  <c r="MC27" i="15"/>
  <c r="I26" i="15"/>
  <c r="J26" i="15" s="1"/>
  <c r="JA27" i="15"/>
  <c r="JB27" i="15" s="1"/>
  <c r="GO27" i="15"/>
  <c r="GP27" i="15" s="1"/>
  <c r="SG27" i="15"/>
  <c r="SH27" i="15" s="1"/>
  <c r="KK27" i="15"/>
  <c r="KL27" i="15" s="1"/>
  <c r="SO27" i="15"/>
  <c r="SP27" i="15" s="1"/>
  <c r="HM27" i="15"/>
  <c r="HN27" i="15" s="1"/>
  <c r="JY27" i="15"/>
  <c r="JZ27" i="15" s="1"/>
  <c r="MG27" i="15"/>
  <c r="MH27" i="15" s="1"/>
  <c r="CO27" i="15"/>
  <c r="CP27" i="15" s="1"/>
  <c r="BA27" i="15"/>
  <c r="BB27" i="15" s="1"/>
  <c r="IG27" i="15"/>
  <c r="IH27" i="15" s="1"/>
  <c r="QO27" i="15"/>
  <c r="QP27" i="15" s="1"/>
  <c r="FM27" i="15"/>
  <c r="FN27" i="15" s="1"/>
  <c r="FI27" i="15"/>
  <c r="FJ27" i="15" s="1"/>
  <c r="OG26" i="15"/>
  <c r="OH26" i="15" s="1"/>
  <c r="CK27" i="15"/>
  <c r="CL27" i="15" s="1"/>
  <c r="EO27" i="15"/>
  <c r="EP27" i="15" s="1"/>
  <c r="CC26" i="15"/>
  <c r="CD26" i="15" s="1"/>
  <c r="QS27" i="15"/>
  <c r="QT27" i="15" s="1"/>
  <c r="IS27" i="15"/>
  <c r="IT27" i="15" s="1"/>
  <c r="HY27" i="15"/>
  <c r="HZ27" i="15" s="1"/>
  <c r="CL26" i="15"/>
  <c r="UO27" i="15"/>
  <c r="UP27" i="15" s="1"/>
  <c r="LM27" i="15"/>
  <c r="LN27" i="15" s="1"/>
  <c r="HQ27" i="15"/>
  <c r="HR27" i="15" s="1"/>
  <c r="LQ27" i="15"/>
  <c r="LR27" i="15" s="1"/>
  <c r="TY27" i="15"/>
  <c r="TZ27" i="15" s="1"/>
  <c r="BI27" i="15"/>
  <c r="BJ27" i="15" s="1"/>
  <c r="RI27" i="15"/>
  <c r="RJ27" i="15" s="1"/>
  <c r="BE27" i="15"/>
  <c r="BF27" i="15" s="1"/>
  <c r="FU27" i="15"/>
  <c r="FV27" i="15" s="1"/>
  <c r="GW27" i="15"/>
  <c r="GX27" i="15" s="1"/>
  <c r="CS26" i="15"/>
  <c r="CT26" i="15" s="1"/>
  <c r="AO27" i="15"/>
  <c r="AP27" i="15" s="1"/>
  <c r="SW27" i="15"/>
  <c r="LR26" i="15"/>
  <c r="KO27" i="15"/>
  <c r="KP27" i="15" s="1"/>
  <c r="BQ27" i="15"/>
  <c r="BR27" i="15" s="1"/>
  <c r="TU27" i="15"/>
  <c r="TV27" i="15" s="1"/>
  <c r="PM26" i="15"/>
  <c r="PN26" i="15" s="1"/>
  <c r="LI27" i="15"/>
  <c r="LJ27" i="15" s="1"/>
  <c r="RJ26" i="15"/>
  <c r="UK26" i="15"/>
  <c r="UL25" i="15"/>
  <c r="RT28" i="15"/>
  <c r="UB28" i="15"/>
  <c r="CV28" i="15"/>
  <c r="GR28" i="15"/>
  <c r="AJ28" i="15"/>
  <c r="KG26" i="15"/>
  <c r="KH25" i="15"/>
  <c r="DL28" i="15"/>
  <c r="DP28" i="15"/>
  <c r="NE26" i="15"/>
  <c r="NF25" i="15"/>
  <c r="LD28" i="15"/>
  <c r="ES26" i="15"/>
  <c r="ET25" i="15"/>
  <c r="HD28" i="15"/>
  <c r="P28" i="15"/>
  <c r="JI26" i="15"/>
  <c r="JJ25" i="15"/>
  <c r="PQ26" i="15"/>
  <c r="PR25" i="15"/>
  <c r="OV28" i="15"/>
  <c r="QK26" i="15"/>
  <c r="QL25" i="15"/>
  <c r="BM26" i="15"/>
  <c r="BN25" i="15"/>
  <c r="PT28" i="15"/>
  <c r="BT27" i="15"/>
  <c r="LA26" i="15"/>
  <c r="LB25" i="15"/>
  <c r="JT28" i="15"/>
  <c r="KJ28" i="15"/>
  <c r="IJ28" i="15"/>
  <c r="SJ28" i="15"/>
  <c r="IF28" i="15"/>
  <c r="DE26" i="15"/>
  <c r="DF25" i="15"/>
  <c r="RA26" i="15"/>
  <c r="RB25" i="15"/>
  <c r="NM26" i="15"/>
  <c r="NN25" i="15"/>
  <c r="LL28" i="15"/>
  <c r="DI26" i="15"/>
  <c r="DJ25" i="15"/>
  <c r="HE27" i="15"/>
  <c r="OS26" i="15"/>
  <c r="OT25" i="15"/>
  <c r="QG26" i="15"/>
  <c r="QH25" i="15"/>
  <c r="RU26" i="15"/>
  <c r="RV25" i="15"/>
  <c r="IB28" i="15"/>
  <c r="OR28" i="15"/>
  <c r="AV28" i="15"/>
  <c r="OZ28" i="15"/>
  <c r="GJ28" i="15"/>
  <c r="KN28" i="15"/>
  <c r="ER28" i="15"/>
  <c r="LN26" i="15"/>
  <c r="TH28" i="15"/>
  <c r="DM27" i="15"/>
  <c r="HA26" i="15"/>
  <c r="HB25" i="15"/>
  <c r="TQ26" i="15"/>
  <c r="TR25" i="15"/>
  <c r="KF28" i="15"/>
  <c r="PP28" i="15"/>
  <c r="GF28" i="15"/>
  <c r="M26" i="15"/>
  <c r="N25" i="15"/>
  <c r="KP26" i="15"/>
  <c r="KB28" i="15"/>
  <c r="JH28" i="15"/>
  <c r="TE26" i="15"/>
  <c r="TF25" i="15"/>
  <c r="MS26" i="15"/>
  <c r="MT25" i="15"/>
  <c r="HX28" i="15"/>
  <c r="GB28" i="15"/>
  <c r="SB28" i="15"/>
  <c r="GZ28" i="15"/>
  <c r="MR28" i="15"/>
  <c r="KC26" i="15"/>
  <c r="KD25" i="15"/>
  <c r="RX28" i="15"/>
  <c r="LT28" i="15"/>
  <c r="PU26" i="15"/>
  <c r="PV25" i="15"/>
  <c r="SR28" i="15"/>
  <c r="AZ28" i="15"/>
  <c r="KR28" i="15"/>
  <c r="JM27" i="15"/>
  <c r="DU26" i="15"/>
  <c r="DV25" i="15"/>
  <c r="PL27" i="15"/>
  <c r="UJ28" i="15"/>
  <c r="LX28" i="15"/>
  <c r="EF28" i="15"/>
  <c r="RY26" i="15"/>
  <c r="RZ25" i="15"/>
  <c r="TA26" i="15"/>
  <c r="TB25" i="15"/>
  <c r="JL28" i="15"/>
  <c r="EN28" i="15"/>
  <c r="NU26" i="15"/>
  <c r="NV25" i="15"/>
  <c r="IV28" i="15"/>
  <c r="QR28" i="15"/>
  <c r="QX27" i="15"/>
  <c r="QV28" i="15"/>
  <c r="QW28" i="15" s="1"/>
  <c r="PN25" i="15"/>
  <c r="L28" i="15"/>
  <c r="FT28" i="15"/>
  <c r="QC26" i="15"/>
  <c r="QD25" i="15"/>
  <c r="QZ28" i="15"/>
  <c r="UR28" i="15"/>
  <c r="QT26" i="15"/>
  <c r="PH28" i="15"/>
  <c r="LE26" i="15"/>
  <c r="LF25" i="15"/>
  <c r="H27" i="15"/>
  <c r="DH28" i="15"/>
  <c r="OH25" i="15"/>
  <c r="NL28" i="15"/>
  <c r="RD28" i="15"/>
  <c r="FV26" i="15"/>
  <c r="IZ28" i="15"/>
  <c r="EJ28" i="15"/>
  <c r="OJ28" i="15"/>
  <c r="CB27" i="15"/>
  <c r="RP28" i="15"/>
  <c r="Q26" i="15"/>
  <c r="R25" i="15"/>
  <c r="OF27" i="15"/>
  <c r="IW26" i="15"/>
  <c r="IX25" i="15"/>
  <c r="TP28" i="15"/>
  <c r="EK27" i="15"/>
  <c r="EL27" i="15" s="1"/>
  <c r="DD28" i="15"/>
  <c r="SZ28" i="15"/>
  <c r="AW26" i="15"/>
  <c r="AX25" i="15"/>
  <c r="EB28" i="15"/>
  <c r="HL28" i="15"/>
  <c r="AG27" i="15"/>
  <c r="AH27" i="15" s="1"/>
  <c r="SK27" i="15"/>
  <c r="EV28" i="15"/>
  <c r="AR28" i="15"/>
  <c r="OB28" i="15"/>
  <c r="UN28" i="15"/>
  <c r="HP28" i="15"/>
  <c r="BX28" i="15"/>
  <c r="QJ28" i="15"/>
  <c r="BD28" i="15"/>
  <c r="SP26" i="15"/>
  <c r="AS26" i="15"/>
  <c r="AT25" i="15"/>
  <c r="LJ26" i="15"/>
  <c r="OK27" i="15"/>
  <c r="OL27" i="15" s="1"/>
  <c r="SF28" i="15"/>
  <c r="RQ26" i="15"/>
  <c r="RR25" i="15"/>
  <c r="AB28" i="15"/>
  <c r="KW26" i="15"/>
  <c r="KX25" i="15"/>
  <c r="DX28" i="15"/>
  <c r="GC26" i="15"/>
  <c r="GD25" i="15"/>
  <c r="IN28" i="15"/>
  <c r="BF26" i="15"/>
  <c r="SN28" i="15"/>
  <c r="BR26" i="15"/>
  <c r="LH28" i="15"/>
  <c r="NY26" i="15"/>
  <c r="NZ25" i="15"/>
  <c r="US26" i="15"/>
  <c r="UT25" i="15"/>
  <c r="DY26" i="15"/>
  <c r="DZ25" i="15"/>
  <c r="GX26" i="15"/>
  <c r="OW26" i="15"/>
  <c r="OX25" i="15"/>
  <c r="BP28" i="15"/>
  <c r="NQ26" i="15"/>
  <c r="NR25" i="15"/>
  <c r="UG26" i="15"/>
  <c r="UH25" i="15"/>
  <c r="NT28" i="15"/>
  <c r="CR27" i="15"/>
  <c r="PD28" i="15"/>
  <c r="MJ28" i="15"/>
  <c r="IO26" i="15"/>
  <c r="IP25" i="15"/>
  <c r="PA26" i="15"/>
  <c r="PB25" i="15"/>
  <c r="JX28" i="15"/>
  <c r="TI26" i="15"/>
  <c r="TJ25" i="15"/>
  <c r="HH28" i="15"/>
  <c r="BY26" i="15"/>
  <c r="BZ25" i="15"/>
  <c r="SC26" i="15"/>
  <c r="SD25" i="15"/>
  <c r="UC26" i="15"/>
  <c r="UD25" i="15"/>
  <c r="IC27" i="15"/>
  <c r="TZ26" i="15"/>
  <c r="RE27" i="15"/>
  <c r="RF27" i="15" s="1"/>
  <c r="TM26" i="15"/>
  <c r="TN25" i="15"/>
  <c r="MV28" i="15"/>
  <c r="EW26" i="15"/>
  <c r="EX25" i="15"/>
  <c r="IR28" i="15"/>
  <c r="TX28" i="15"/>
  <c r="UF28" i="15"/>
  <c r="TL28" i="15"/>
  <c r="KZ28" i="15"/>
  <c r="SV28" i="15"/>
  <c r="JP28" i="15"/>
  <c r="PI27" i="15"/>
  <c r="PJ27" i="15" s="1"/>
  <c r="SS26" i="15"/>
  <c r="ST25" i="15"/>
  <c r="JQ26" i="15"/>
  <c r="JR25" i="15"/>
  <c r="MO27" i="15"/>
  <c r="MW26" i="15"/>
  <c r="MX25" i="15"/>
  <c r="PX28" i="15"/>
  <c r="CZ28" i="15"/>
  <c r="DB27" i="15"/>
  <c r="OC26" i="15"/>
  <c r="OD25" i="15"/>
  <c r="RL28" i="15"/>
  <c r="OO26" i="15"/>
  <c r="OP25" i="15"/>
  <c r="LY27" i="15"/>
  <c r="RM26" i="15"/>
  <c r="RN25" i="15"/>
  <c r="HU26" i="15"/>
  <c r="HV25" i="15"/>
  <c r="AN28" i="15"/>
  <c r="FL28" i="15"/>
  <c r="MK26" i="15"/>
  <c r="ML25" i="15"/>
  <c r="EC26" i="15"/>
  <c r="ED25" i="15"/>
  <c r="AK27" i="15"/>
  <c r="DQ27" i="15"/>
  <c r="NH28" i="15"/>
  <c r="CN28" i="15"/>
  <c r="HT28" i="15"/>
  <c r="KV28" i="15"/>
  <c r="BH28" i="15"/>
  <c r="SX26" i="15"/>
  <c r="FH28" i="15"/>
  <c r="FP28" i="15"/>
  <c r="NX28" i="15"/>
  <c r="GG26" i="15"/>
  <c r="GH25" i="15"/>
  <c r="MN28" i="15"/>
  <c r="GN28" i="15"/>
  <c r="CT25" i="15"/>
  <c r="EZ28" i="15"/>
  <c r="BL28" i="15"/>
  <c r="EG27" i="15"/>
  <c r="GV28" i="15"/>
  <c r="JE26" i="15"/>
  <c r="JF25" i="15"/>
  <c r="MD27" i="15"/>
  <c r="MB28" i="15"/>
  <c r="AP26" i="15"/>
  <c r="LU26" i="15"/>
  <c r="LV25" i="15"/>
  <c r="NI26" i="15"/>
  <c r="NJ25" i="15"/>
  <c r="GS27" i="15"/>
  <c r="MZ27" i="15"/>
  <c r="NA27" i="15" s="1"/>
  <c r="NB26" i="15"/>
  <c r="IK26" i="15"/>
  <c r="IL25" i="15"/>
  <c r="BJ26" i="15"/>
  <c r="TV26" i="15"/>
  <c r="HI26" i="15"/>
  <c r="HJ25" i="15"/>
  <c r="X28" i="15"/>
  <c r="QN28" i="15"/>
  <c r="KS27" i="15"/>
  <c r="CG26" i="15"/>
  <c r="CH25" i="15"/>
  <c r="AF28" i="15"/>
  <c r="TD28" i="15"/>
  <c r="CW26" i="15"/>
  <c r="CX25" i="15"/>
  <c r="ON28" i="15"/>
  <c r="CF28" i="15"/>
  <c r="F27" i="15"/>
  <c r="D28" i="15"/>
  <c r="E28" i="15" s="1"/>
  <c r="FA26" i="15"/>
  <c r="FB25" i="15"/>
  <c r="MF28" i="15"/>
  <c r="DT28" i="15"/>
  <c r="QF28" i="15"/>
  <c r="JD28" i="15"/>
  <c r="FZ27" i="15"/>
  <c r="FX28" i="15"/>
  <c r="FY28" i="15" s="1"/>
  <c r="CJ28" i="15"/>
  <c r="QB28" i="15"/>
  <c r="PE27" i="15"/>
  <c r="PF27" i="15" s="1"/>
  <c r="V27" i="15"/>
  <c r="T28" i="15"/>
  <c r="U28" i="15" s="1"/>
  <c r="JU26" i="15"/>
  <c r="JV25" i="15"/>
  <c r="NP28" i="15"/>
  <c r="FQ26" i="15"/>
  <c r="FR25" i="15"/>
  <c r="Y26" i="15"/>
  <c r="Z25" i="15"/>
  <c r="GK26" i="15"/>
  <c r="GL25" i="15"/>
  <c r="BU26" i="15"/>
  <c r="BV26" i="15" s="1"/>
  <c r="LP28" i="15"/>
  <c r="TT28" i="15"/>
  <c r="FD28" i="15"/>
  <c r="FE28" i="15" s="1"/>
  <c r="FF27" i="15"/>
  <c r="RH28" i="15"/>
  <c r="ND28" i="15"/>
  <c r="AC27" i="15"/>
  <c r="F30" i="11"/>
  <c r="G30" i="11" s="1"/>
  <c r="F31" i="2"/>
  <c r="G31" i="2" s="1"/>
  <c r="G29" i="11"/>
  <c r="E31" i="11"/>
  <c r="E31" i="9"/>
  <c r="F30" i="9"/>
  <c r="E31" i="8"/>
  <c r="F30" i="8"/>
  <c r="G30" i="2"/>
  <c r="E32" i="2"/>
  <c r="FM28" i="15" l="1"/>
  <c r="FN28" i="15" s="1"/>
  <c r="SO28" i="15"/>
  <c r="SP28" i="15" s="1"/>
  <c r="HM28" i="15"/>
  <c r="HN28" i="15" s="1"/>
  <c r="SG28" i="15"/>
  <c r="SH28" i="15" s="1"/>
  <c r="QO28" i="15"/>
  <c r="QP28" i="15" s="1"/>
  <c r="IG28" i="15"/>
  <c r="IH28" i="15" s="1"/>
  <c r="BA28" i="15"/>
  <c r="BB28" i="15" s="1"/>
  <c r="CO28" i="15"/>
  <c r="CP28" i="15" s="1"/>
  <c r="JY28" i="15"/>
  <c r="JZ28" i="15" s="1"/>
  <c r="OG27" i="15"/>
  <c r="OH27" i="15" s="1"/>
  <c r="LM28" i="15"/>
  <c r="FI28" i="15"/>
  <c r="FJ28" i="15" s="1"/>
  <c r="CK28" i="15"/>
  <c r="CL28" i="15" s="1"/>
  <c r="QS28" i="15"/>
  <c r="QT28" i="15" s="1"/>
  <c r="BE28" i="15"/>
  <c r="BF28" i="15" s="1"/>
  <c r="BI28" i="15"/>
  <c r="BJ28" i="15" s="1"/>
  <c r="TY28" i="15"/>
  <c r="TZ28" i="15" s="1"/>
  <c r="SW28" i="15"/>
  <c r="SX28" i="15" s="1"/>
  <c r="GS28" i="15"/>
  <c r="GT28" i="15" s="1"/>
  <c r="RI28" i="15"/>
  <c r="RJ28" i="15" s="1"/>
  <c r="BQ28" i="15"/>
  <c r="BR28" i="15" s="1"/>
  <c r="LQ28" i="15"/>
  <c r="LR28" i="15" s="1"/>
  <c r="CS27" i="15"/>
  <c r="CT27" i="15" s="1"/>
  <c r="GW28" i="15"/>
  <c r="GX28" i="15" s="1"/>
  <c r="AK28" i="15"/>
  <c r="AL28" i="15" s="1"/>
  <c r="SX27" i="15"/>
  <c r="DM28" i="15"/>
  <c r="DN28" i="15" s="1"/>
  <c r="AC28" i="15"/>
  <c r="AD28" i="15" s="1"/>
  <c r="AO28" i="15"/>
  <c r="AP28" i="15" s="1"/>
  <c r="KO28" i="15"/>
  <c r="KP28" i="15" s="1"/>
  <c r="SK28" i="15"/>
  <c r="SL28" i="15" s="1"/>
  <c r="IC28" i="15"/>
  <c r="ID28" i="15" s="1"/>
  <c r="PM27" i="15"/>
  <c r="PN27" i="15" s="1"/>
  <c r="MO28" i="15"/>
  <c r="MP28" i="15" s="1"/>
  <c r="LI28" i="15"/>
  <c r="LJ28" i="15" s="1"/>
  <c r="KS28" i="15"/>
  <c r="KT28" i="15" s="1"/>
  <c r="EG28" i="15"/>
  <c r="EH28" i="15" s="1"/>
  <c r="LY28" i="15"/>
  <c r="LZ28" i="15" s="1"/>
  <c r="HE28" i="15"/>
  <c r="HF28" i="15" s="1"/>
  <c r="DQ28" i="15"/>
  <c r="DR28" i="15" s="1"/>
  <c r="JM28" i="15"/>
  <c r="JN28" i="15" s="1"/>
  <c r="JD29" i="15"/>
  <c r="JT29" i="15"/>
  <c r="CV29" i="15"/>
  <c r="GK27" i="15"/>
  <c r="GL26" i="15"/>
  <c r="DY27" i="15"/>
  <c r="DZ26" i="15"/>
  <c r="DX29" i="15"/>
  <c r="PH29" i="15"/>
  <c r="DU27" i="15"/>
  <c r="DV26" i="15"/>
  <c r="GF29" i="15"/>
  <c r="KN29" i="15"/>
  <c r="HD29" i="15"/>
  <c r="GZ29" i="15"/>
  <c r="PP29" i="15"/>
  <c r="HF27" i="15"/>
  <c r="PD29" i="15"/>
  <c r="KW27" i="15"/>
  <c r="KX26" i="15"/>
  <c r="HP29" i="15"/>
  <c r="SZ29" i="15"/>
  <c r="EJ29" i="15"/>
  <c r="UR29" i="15"/>
  <c r="SB29" i="15"/>
  <c r="GJ29" i="15"/>
  <c r="DI27" i="15"/>
  <c r="DJ26" i="15"/>
  <c r="LA27" i="15"/>
  <c r="LB26" i="15"/>
  <c r="UB29" i="15"/>
  <c r="KJ29" i="15"/>
  <c r="NU27" i="15"/>
  <c r="NV26" i="15"/>
  <c r="FP29" i="15"/>
  <c r="SC27" i="15"/>
  <c r="SD26" i="15"/>
  <c r="EN29" i="15"/>
  <c r="KT27" i="15"/>
  <c r="KF29" i="15"/>
  <c r="ES27" i="15"/>
  <c r="ET26" i="15"/>
  <c r="OS27" i="15"/>
  <c r="OT26" i="15"/>
  <c r="IO27" i="15"/>
  <c r="IP26" i="15"/>
  <c r="OJ29" i="15"/>
  <c r="MK27" i="15"/>
  <c r="ML26" i="15"/>
  <c r="TX29" i="15"/>
  <c r="US27" i="15"/>
  <c r="UT26" i="15"/>
  <c r="AD27" i="15"/>
  <c r="HQ28" i="15"/>
  <c r="KR29" i="15"/>
  <c r="GB29" i="15"/>
  <c r="OZ29" i="15"/>
  <c r="LL29" i="15"/>
  <c r="LM29" i="15" s="1"/>
  <c r="LN28" i="15"/>
  <c r="BT28" i="15"/>
  <c r="RT29" i="15"/>
  <c r="GG27" i="15"/>
  <c r="GH26" i="15"/>
  <c r="EB29" i="15"/>
  <c r="QF29" i="15"/>
  <c r="Y27" i="15"/>
  <c r="Z26" i="15"/>
  <c r="UF29" i="15"/>
  <c r="X29" i="15"/>
  <c r="GV29" i="15"/>
  <c r="MW27" i="15"/>
  <c r="MX26" i="15"/>
  <c r="CR28" i="15"/>
  <c r="AB29" i="15"/>
  <c r="DD29" i="15"/>
  <c r="IZ29" i="15"/>
  <c r="QZ29" i="15"/>
  <c r="JL29" i="15"/>
  <c r="AZ29" i="15"/>
  <c r="PT29" i="15"/>
  <c r="LD29" i="15"/>
  <c r="KZ29" i="15"/>
  <c r="CB28" i="15"/>
  <c r="MJ29" i="15"/>
  <c r="FH29" i="15"/>
  <c r="FL29" i="15"/>
  <c r="IR29" i="15"/>
  <c r="BY27" i="15"/>
  <c r="BZ26" i="15"/>
  <c r="UN29" i="15"/>
  <c r="EK28" i="15"/>
  <c r="EL28" i="15" s="1"/>
  <c r="JN27" i="15"/>
  <c r="HX29" i="15"/>
  <c r="NM27" i="15"/>
  <c r="NN26" i="15"/>
  <c r="UK27" i="15"/>
  <c r="UL26" i="15"/>
  <c r="OC27" i="15"/>
  <c r="OD26" i="15"/>
  <c r="BX29" i="15"/>
  <c r="NT29" i="15"/>
  <c r="NY27" i="15"/>
  <c r="NZ26" i="15"/>
  <c r="OB29" i="15"/>
  <c r="QC27" i="15"/>
  <c r="QD26" i="15"/>
  <c r="SR29" i="15"/>
  <c r="AV29" i="15"/>
  <c r="NE27" i="15"/>
  <c r="NF26" i="15"/>
  <c r="IV29" i="15"/>
  <c r="BL29" i="15"/>
  <c r="RQ27" i="15"/>
  <c r="RR26" i="15"/>
  <c r="TP29" i="15"/>
  <c r="RD29" i="15"/>
  <c r="FT29" i="15"/>
  <c r="TA27" i="15"/>
  <c r="TB26" i="15"/>
  <c r="RA27" i="15"/>
  <c r="RB26" i="15"/>
  <c r="BM27" i="15"/>
  <c r="BN26" i="15"/>
  <c r="DP29" i="15"/>
  <c r="TL29" i="15"/>
  <c r="NX29" i="15"/>
  <c r="EC27" i="15"/>
  <c r="ED26" i="15"/>
  <c r="MF29" i="15"/>
  <c r="FA27" i="15"/>
  <c r="FB26" i="15"/>
  <c r="AR29" i="15"/>
  <c r="MS27" i="15"/>
  <c r="MT26" i="15"/>
  <c r="TQ27" i="15"/>
  <c r="TR26" i="15"/>
  <c r="OR29" i="15"/>
  <c r="DR27" i="15"/>
  <c r="MG28" i="15"/>
  <c r="GC27" i="15"/>
  <c r="GD26" i="15"/>
  <c r="UC27" i="15"/>
  <c r="UD26" i="15"/>
  <c r="JU27" i="15"/>
  <c r="JV26" i="15"/>
  <c r="HU27" i="15"/>
  <c r="HV26" i="15"/>
  <c r="JQ27" i="15"/>
  <c r="JR26" i="15"/>
  <c r="MV29" i="15"/>
  <c r="HH29" i="15"/>
  <c r="UG27" i="15"/>
  <c r="UH26" i="15"/>
  <c r="LH29" i="15"/>
  <c r="SF29" i="15"/>
  <c r="IW27" i="15"/>
  <c r="IX26" i="15"/>
  <c r="L29" i="15"/>
  <c r="RY27" i="15"/>
  <c r="RZ26" i="15"/>
  <c r="PU27" i="15"/>
  <c r="PV26" i="15"/>
  <c r="ID27" i="15"/>
  <c r="DE27" i="15"/>
  <c r="DF26" i="15"/>
  <c r="QK27" i="15"/>
  <c r="QL26" i="15"/>
  <c r="DL29" i="15"/>
  <c r="KK28" i="15"/>
  <c r="M27" i="15"/>
  <c r="N26" i="15"/>
  <c r="LU27" i="15"/>
  <c r="LV26" i="15"/>
  <c r="AW27" i="15"/>
  <c r="AX26" i="15"/>
  <c r="JE27" i="15"/>
  <c r="JF26" i="15"/>
  <c r="HI27" i="15"/>
  <c r="HJ26" i="15"/>
  <c r="OK28" i="15"/>
  <c r="OL28" i="15" s="1"/>
  <c r="EV29" i="15"/>
  <c r="OF28" i="15"/>
  <c r="NL29" i="15"/>
  <c r="EH27" i="15"/>
  <c r="LT29" i="15"/>
  <c r="TE27" i="15"/>
  <c r="TF26" i="15"/>
  <c r="IB29" i="15"/>
  <c r="CC27" i="15"/>
  <c r="DN27" i="15"/>
  <c r="P29" i="15"/>
  <c r="FQ27" i="15"/>
  <c r="FR26" i="15"/>
  <c r="RM27" i="15"/>
  <c r="RN26" i="15"/>
  <c r="TI27" i="15"/>
  <c r="TJ26" i="15"/>
  <c r="NQ27" i="15"/>
  <c r="NR26" i="15"/>
  <c r="EF29" i="15"/>
  <c r="HA27" i="15"/>
  <c r="HB26" i="15"/>
  <c r="IF29" i="15"/>
  <c r="OV29" i="15"/>
  <c r="LE27" i="15"/>
  <c r="LF26" i="15"/>
  <c r="MB29" i="15"/>
  <c r="PX29" i="15"/>
  <c r="AN29" i="15"/>
  <c r="BH29" i="15"/>
  <c r="GN29" i="15"/>
  <c r="EO28" i="15"/>
  <c r="EP28" i="15" s="1"/>
  <c r="DH29" i="15"/>
  <c r="UO28" i="15"/>
  <c r="LX29" i="15"/>
  <c r="RX29" i="15"/>
  <c r="JH29" i="15"/>
  <c r="SL27" i="15"/>
  <c r="KG27" i="15"/>
  <c r="KH26" i="15"/>
  <c r="GO28" i="15"/>
  <c r="GP28" i="15" s="1"/>
  <c r="QJ29" i="15"/>
  <c r="CZ29" i="15"/>
  <c r="DT29" i="15"/>
  <c r="QN29" i="15"/>
  <c r="D29" i="15"/>
  <c r="E29" i="15" s="1"/>
  <c r="F28" i="15"/>
  <c r="RH29" i="15"/>
  <c r="FF28" i="15"/>
  <c r="FD29" i="15"/>
  <c r="FE29" i="15" s="1"/>
  <c r="SS27" i="15"/>
  <c r="ST26" i="15"/>
  <c r="RU27" i="15"/>
  <c r="RV26" i="15"/>
  <c r="SJ29" i="15"/>
  <c r="AJ29" i="15"/>
  <c r="JA28" i="15"/>
  <c r="AF29" i="15"/>
  <c r="NP29" i="15"/>
  <c r="PE28" i="15"/>
  <c r="QB29" i="15"/>
  <c r="KV29" i="15"/>
  <c r="ON29" i="15"/>
  <c r="PI28" i="15"/>
  <c r="IS28" i="15"/>
  <c r="IT28" i="15" s="1"/>
  <c r="TT29" i="15"/>
  <c r="NB27" i="15"/>
  <c r="MZ28" i="15"/>
  <c r="NA28" i="15" s="1"/>
  <c r="RE28" i="15"/>
  <c r="AS27" i="15"/>
  <c r="AT26" i="15"/>
  <c r="Q27" i="15"/>
  <c r="R26" i="15"/>
  <c r="QV29" i="15"/>
  <c r="QW29" i="15" s="1"/>
  <c r="QX28" i="15"/>
  <c r="MN29" i="15"/>
  <c r="OO27" i="15"/>
  <c r="OP26" i="15"/>
  <c r="JP29" i="15"/>
  <c r="JX29" i="15"/>
  <c r="BP29" i="15"/>
  <c r="AG28" i="15"/>
  <c r="AH28" i="15" s="1"/>
  <c r="RP29" i="15"/>
  <c r="KB29" i="15"/>
  <c r="TH29" i="15"/>
  <c r="IJ29" i="15"/>
  <c r="PQ27" i="15"/>
  <c r="PR26" i="15"/>
  <c r="AL27" i="15"/>
  <c r="PY28" i="15"/>
  <c r="PZ28" i="15" s="1"/>
  <c r="ER29" i="15"/>
  <c r="CG27" i="15"/>
  <c r="CH26" i="15"/>
  <c r="V28" i="15"/>
  <c r="T29" i="15"/>
  <c r="U29" i="15" s="1"/>
  <c r="IK27" i="15"/>
  <c r="IL26" i="15"/>
  <c r="HT29" i="15"/>
  <c r="HY28" i="15"/>
  <c r="LZ27" i="15"/>
  <c r="MP27" i="15"/>
  <c r="NH29" i="15"/>
  <c r="SV29" i="15"/>
  <c r="MC28" i="15"/>
  <c r="MD28" i="15" s="1"/>
  <c r="IN29" i="15"/>
  <c r="HL29" i="15"/>
  <c r="H28" i="15"/>
  <c r="QR29" i="15"/>
  <c r="UJ29" i="15"/>
  <c r="KC27" i="15"/>
  <c r="KD26" i="15"/>
  <c r="QG27" i="15"/>
  <c r="QH26" i="15"/>
  <c r="GR29" i="15"/>
  <c r="I27" i="15"/>
  <c r="ND29" i="15"/>
  <c r="EW27" i="15"/>
  <c r="EX26" i="15"/>
  <c r="CF29" i="15"/>
  <c r="EZ29" i="15"/>
  <c r="TM27" i="15"/>
  <c r="TN26" i="15"/>
  <c r="SN29" i="15"/>
  <c r="CJ29" i="15"/>
  <c r="CN29" i="15"/>
  <c r="FZ28" i="15"/>
  <c r="FX29" i="15"/>
  <c r="FY29" i="15" s="1"/>
  <c r="CW27" i="15"/>
  <c r="CX26" i="15"/>
  <c r="LP29" i="15"/>
  <c r="BU27" i="15"/>
  <c r="TD29" i="15"/>
  <c r="NI27" i="15"/>
  <c r="NJ26" i="15"/>
  <c r="RL29" i="15"/>
  <c r="TU28" i="15"/>
  <c r="PA27" i="15"/>
  <c r="PB26" i="15"/>
  <c r="OW27" i="15"/>
  <c r="OX26" i="15"/>
  <c r="BD29" i="15"/>
  <c r="FU28" i="15"/>
  <c r="PL28" i="15"/>
  <c r="MR29" i="15"/>
  <c r="JI27" i="15"/>
  <c r="JJ26" i="15"/>
  <c r="GT27" i="15"/>
  <c r="DA28" i="15"/>
  <c r="DB28" i="15" s="1"/>
  <c r="F31" i="9"/>
  <c r="G31" i="9" s="1"/>
  <c r="F31" i="8"/>
  <c r="G31" i="8" s="1"/>
  <c r="E32" i="11"/>
  <c r="F31" i="11"/>
  <c r="G31" i="10"/>
  <c r="G30" i="10"/>
  <c r="E32" i="9"/>
  <c r="G30" i="9"/>
  <c r="E32" i="8"/>
  <c r="G30" i="8"/>
  <c r="E33" i="2"/>
  <c r="F32" i="2"/>
  <c r="SO29" i="15" l="1"/>
  <c r="OG28" i="15"/>
  <c r="JY29" i="15"/>
  <c r="JZ29" i="15" s="1"/>
  <c r="QS29" i="15"/>
  <c r="QT29" i="15" s="1"/>
  <c r="LQ29" i="15"/>
  <c r="LR29" i="15" s="1"/>
  <c r="BA29" i="15"/>
  <c r="BB29" i="15" s="1"/>
  <c r="CO29" i="15"/>
  <c r="CP29" i="15" s="1"/>
  <c r="HM29" i="15"/>
  <c r="HN29" i="15" s="1"/>
  <c r="SW29" i="15"/>
  <c r="SX29" i="15" s="1"/>
  <c r="TY29" i="15"/>
  <c r="TZ29" i="15" s="1"/>
  <c r="BE29" i="15"/>
  <c r="BF29" i="15" s="1"/>
  <c r="MG29" i="15"/>
  <c r="MH29" i="15" s="1"/>
  <c r="RI29" i="15"/>
  <c r="RJ29" i="15" s="1"/>
  <c r="HY29" i="15"/>
  <c r="HZ29" i="15" s="1"/>
  <c r="EG29" i="15"/>
  <c r="EH29" i="15" s="1"/>
  <c r="KO29" i="15"/>
  <c r="KP29" i="15" s="1"/>
  <c r="SK29" i="15"/>
  <c r="SL29" i="15" s="1"/>
  <c r="HQ29" i="15"/>
  <c r="HR29" i="15" s="1"/>
  <c r="AK29" i="15"/>
  <c r="AL29" i="15" s="1"/>
  <c r="GW29" i="15"/>
  <c r="GX29" i="15" s="1"/>
  <c r="PI29" i="15"/>
  <c r="PJ29" i="15" s="1"/>
  <c r="MO29" i="15"/>
  <c r="MP29" i="15" s="1"/>
  <c r="PM28" i="15"/>
  <c r="PN28" i="15" s="1"/>
  <c r="FU29" i="15"/>
  <c r="FV29" i="15" s="1"/>
  <c r="TU29" i="15"/>
  <c r="TV29" i="15" s="1"/>
  <c r="CC28" i="15"/>
  <c r="CD28" i="15" s="1"/>
  <c r="KK29" i="15"/>
  <c r="PE29" i="15"/>
  <c r="PF29" i="15" s="1"/>
  <c r="JA29" i="15"/>
  <c r="JB29" i="15" s="1"/>
  <c r="RE29" i="15"/>
  <c r="RF29" i="15" s="1"/>
  <c r="UO29" i="15"/>
  <c r="UP29" i="15" s="1"/>
  <c r="BU28" i="15"/>
  <c r="BV28" i="15" s="1"/>
  <c r="I28" i="15"/>
  <c r="J28" i="15" s="1"/>
  <c r="JE28" i="15"/>
  <c r="JF27" i="15"/>
  <c r="UC28" i="15"/>
  <c r="UD27" i="15"/>
  <c r="NT30" i="15"/>
  <c r="BY28" i="15"/>
  <c r="BZ27" i="15"/>
  <c r="JL30" i="15"/>
  <c r="Y28" i="15"/>
  <c r="Z27" i="15"/>
  <c r="SB30" i="15"/>
  <c r="PP30" i="15"/>
  <c r="GK28" i="15"/>
  <c r="GL27" i="15"/>
  <c r="QZ30" i="15"/>
  <c r="QF30" i="15"/>
  <c r="EN30" i="15"/>
  <c r="GZ30" i="15"/>
  <c r="CV30" i="15"/>
  <c r="NH30" i="15"/>
  <c r="NP30" i="15"/>
  <c r="SF30" i="15"/>
  <c r="BL30" i="15"/>
  <c r="BX30" i="15"/>
  <c r="US28" i="15"/>
  <c r="UT27" i="15"/>
  <c r="GR30" i="15"/>
  <c r="DT30" i="15"/>
  <c r="DH30" i="15"/>
  <c r="HA28" i="15"/>
  <c r="HB27" i="15"/>
  <c r="LU28" i="15"/>
  <c r="LV27" i="15"/>
  <c r="DP30" i="15"/>
  <c r="IV30" i="15"/>
  <c r="FL30" i="15"/>
  <c r="IZ30" i="15"/>
  <c r="UR30" i="15"/>
  <c r="JM29" i="15"/>
  <c r="JN29" i="15" s="1"/>
  <c r="JT30" i="15"/>
  <c r="UF30" i="15"/>
  <c r="EO29" i="15"/>
  <c r="EP29" i="15" s="1"/>
  <c r="LH30" i="15"/>
  <c r="OR30" i="15"/>
  <c r="JB28" i="15"/>
  <c r="EB30" i="15"/>
  <c r="SC28" i="15"/>
  <c r="SD27" i="15"/>
  <c r="EJ30" i="15"/>
  <c r="HD30" i="15"/>
  <c r="PQ28" i="15"/>
  <c r="PR27" i="15"/>
  <c r="IW28" i="15"/>
  <c r="IX27" i="15"/>
  <c r="AS28" i="15"/>
  <c r="AT27" i="15"/>
  <c r="CZ30" i="15"/>
  <c r="GN30" i="15"/>
  <c r="EF30" i="15"/>
  <c r="TE28" i="15"/>
  <c r="TF27" i="15"/>
  <c r="M28" i="15"/>
  <c r="N27" i="15"/>
  <c r="OC28" i="15"/>
  <c r="OD27" i="15"/>
  <c r="DD30" i="15"/>
  <c r="FP30" i="15"/>
  <c r="HE29" i="15"/>
  <c r="RQ28" i="15"/>
  <c r="RR27" i="15"/>
  <c r="BD30" i="15"/>
  <c r="QN30" i="15"/>
  <c r="BM28" i="15"/>
  <c r="BN27" i="15"/>
  <c r="NE28" i="15"/>
  <c r="NF27" i="15"/>
  <c r="FH30" i="15"/>
  <c r="GG28" i="15"/>
  <c r="GH27" i="15"/>
  <c r="TX30" i="15"/>
  <c r="SZ30" i="15"/>
  <c r="LI29" i="15"/>
  <c r="Q28" i="15"/>
  <c r="R27" i="15"/>
  <c r="BH30" i="15"/>
  <c r="NQ28" i="15"/>
  <c r="NR27" i="15"/>
  <c r="LT30" i="15"/>
  <c r="UG28" i="15"/>
  <c r="UH27" i="15"/>
  <c r="TQ28" i="15"/>
  <c r="TR27" i="15"/>
  <c r="AV30" i="15"/>
  <c r="UK28" i="15"/>
  <c r="UL27" i="15"/>
  <c r="MJ30" i="15"/>
  <c r="AB30" i="15"/>
  <c r="RT30" i="15"/>
  <c r="KN30" i="15"/>
  <c r="JD30" i="15"/>
  <c r="L30" i="15"/>
  <c r="IF30" i="15"/>
  <c r="SN30" i="15"/>
  <c r="SO30" i="15" s="1"/>
  <c r="SP29" i="15"/>
  <c r="DL30" i="15"/>
  <c r="RA28" i="15"/>
  <c r="RB27" i="15"/>
  <c r="MK28" i="15"/>
  <c r="ML27" i="15"/>
  <c r="NU28" i="15"/>
  <c r="NV27" i="15"/>
  <c r="HR28" i="15"/>
  <c r="IR30" i="15"/>
  <c r="NI28" i="15"/>
  <c r="NJ27" i="15"/>
  <c r="AN30" i="15"/>
  <c r="TI28" i="15"/>
  <c r="TJ27" i="15"/>
  <c r="HH30" i="15"/>
  <c r="MS28" i="15"/>
  <c r="MT27" i="15"/>
  <c r="NM28" i="15"/>
  <c r="NN27" i="15"/>
  <c r="CD27" i="15"/>
  <c r="CR29" i="15"/>
  <c r="BT29" i="15"/>
  <c r="OJ30" i="15"/>
  <c r="KL28" i="15"/>
  <c r="HP30" i="15"/>
  <c r="GF30" i="15"/>
  <c r="CS28" i="15"/>
  <c r="CT28" i="15" s="1"/>
  <c r="MN30" i="15"/>
  <c r="GC28" i="15"/>
  <c r="GD27" i="15"/>
  <c r="QG28" i="15"/>
  <c r="QH27" i="15"/>
  <c r="AG29" i="15"/>
  <c r="TV28" i="15"/>
  <c r="GO29" i="15"/>
  <c r="NL30" i="15"/>
  <c r="QK28" i="15"/>
  <c r="QL27" i="15"/>
  <c r="MV30" i="15"/>
  <c r="TA28" i="15"/>
  <c r="TB27" i="15"/>
  <c r="SR30" i="15"/>
  <c r="IG29" i="15"/>
  <c r="IH29" i="15" s="1"/>
  <c r="CB29" i="15"/>
  <c r="BV27" i="15"/>
  <c r="KJ30" i="15"/>
  <c r="KR30" i="15"/>
  <c r="IB30" i="15"/>
  <c r="PA28" i="15"/>
  <c r="PB27" i="15"/>
  <c r="IK28" i="15"/>
  <c r="IL27" i="15"/>
  <c r="BP30" i="15"/>
  <c r="IS29" i="15"/>
  <c r="RU28" i="15"/>
  <c r="RV27" i="15"/>
  <c r="PX30" i="15"/>
  <c r="RM28" i="15"/>
  <c r="RN27" i="15"/>
  <c r="OH28" i="15"/>
  <c r="OF29" i="15"/>
  <c r="OG29" i="15" s="1"/>
  <c r="AR30" i="15"/>
  <c r="FT30" i="15"/>
  <c r="HX30" i="15"/>
  <c r="UB30" i="15"/>
  <c r="KW28" i="15"/>
  <c r="KX27" i="15"/>
  <c r="DY28" i="15"/>
  <c r="DZ27" i="15"/>
  <c r="TM28" i="15"/>
  <c r="TN27" i="15"/>
  <c r="QR30" i="15"/>
  <c r="T30" i="15"/>
  <c r="U30" i="15" s="1"/>
  <c r="V29" i="15"/>
  <c r="J27" i="15"/>
  <c r="KG28" i="15"/>
  <c r="KH27" i="15"/>
  <c r="DE28" i="15"/>
  <c r="DF27" i="15"/>
  <c r="FV28" i="15"/>
  <c r="HZ28" i="15"/>
  <c r="KZ30" i="15"/>
  <c r="MW28" i="15"/>
  <c r="MX27" i="15"/>
  <c r="LN29" i="15"/>
  <c r="LL30" i="15"/>
  <c r="IO28" i="15"/>
  <c r="IP27" i="15"/>
  <c r="DU28" i="15"/>
  <c r="DV27" i="15"/>
  <c r="RX30" i="15"/>
  <c r="GS29" i="15"/>
  <c r="LX30" i="15"/>
  <c r="CJ30" i="15"/>
  <c r="QX29" i="15"/>
  <c r="QV30" i="15"/>
  <c r="HT30" i="15"/>
  <c r="QJ30" i="15"/>
  <c r="IN30" i="15"/>
  <c r="AC29" i="15"/>
  <c r="FA28" i="15"/>
  <c r="FB27" i="15"/>
  <c r="RD30" i="15"/>
  <c r="QC28" i="15"/>
  <c r="QD27" i="15"/>
  <c r="LD30" i="15"/>
  <c r="OZ30" i="15"/>
  <c r="PD30" i="15"/>
  <c r="PJ28" i="15"/>
  <c r="QO29" i="15"/>
  <c r="NX30" i="15"/>
  <c r="AW28" i="15"/>
  <c r="AX27" i="15"/>
  <c r="OW28" i="15"/>
  <c r="OX27" i="15"/>
  <c r="AF30" i="15"/>
  <c r="AJ30" i="15"/>
  <c r="SJ30" i="15"/>
  <c r="DM29" i="15"/>
  <c r="RF28" i="15"/>
  <c r="OS28" i="15"/>
  <c r="OT27" i="15"/>
  <c r="LA28" i="15"/>
  <c r="LB27" i="15"/>
  <c r="PF28" i="15"/>
  <c r="PH30" i="15"/>
  <c r="BI29" i="15"/>
  <c r="GJ30" i="15"/>
  <c r="KB30" i="15"/>
  <c r="RL30" i="15"/>
  <c r="MZ29" i="15"/>
  <c r="NB28" i="15"/>
  <c r="TT30" i="15"/>
  <c r="CF30" i="15"/>
  <c r="JX30" i="15"/>
  <c r="JI28" i="15"/>
  <c r="JJ27" i="15"/>
  <c r="CG28" i="15"/>
  <c r="CH27" i="15"/>
  <c r="JQ28" i="15"/>
  <c r="JR27" i="15"/>
  <c r="ND30" i="15"/>
  <c r="JP30" i="15"/>
  <c r="ON30" i="15"/>
  <c r="FD30" i="15"/>
  <c r="FE30" i="15" s="1"/>
  <c r="FF29" i="15"/>
  <c r="EV30" i="15"/>
  <c r="MH28" i="15"/>
  <c r="OB30" i="15"/>
  <c r="MR30" i="15"/>
  <c r="MC29" i="15"/>
  <c r="MD29" i="15" s="1"/>
  <c r="KV30" i="15"/>
  <c r="JH30" i="15"/>
  <c r="FQ28" i="15"/>
  <c r="FR27" i="15"/>
  <c r="OK29" i="15"/>
  <c r="OL29" i="15" s="1"/>
  <c r="PU28" i="15"/>
  <c r="PV27" i="15"/>
  <c r="HU28" i="15"/>
  <c r="HV27" i="15"/>
  <c r="MF30" i="15"/>
  <c r="TP30" i="15"/>
  <c r="EK29" i="15"/>
  <c r="KS29" i="15"/>
  <c r="DX30" i="15"/>
  <c r="FM29" i="15"/>
  <c r="QB30" i="15"/>
  <c r="F29" i="15"/>
  <c r="D30" i="15"/>
  <c r="E30" i="15" s="1"/>
  <c r="TL30" i="15"/>
  <c r="TH30" i="15"/>
  <c r="RP30" i="15"/>
  <c r="EZ30" i="15"/>
  <c r="DA29" i="15"/>
  <c r="TD30" i="15"/>
  <c r="EW28" i="15"/>
  <c r="EX27" i="15"/>
  <c r="ER30" i="15"/>
  <c r="CK29" i="15"/>
  <c r="PY29" i="15"/>
  <c r="OO28" i="15"/>
  <c r="OP27" i="15"/>
  <c r="RH30" i="15"/>
  <c r="LE28" i="15"/>
  <c r="LF27" i="15"/>
  <c r="FI29" i="15"/>
  <c r="UN30" i="15"/>
  <c r="PT30" i="15"/>
  <c r="X30" i="15"/>
  <c r="GB30" i="15"/>
  <c r="ES28" i="15"/>
  <c r="ET27" i="15"/>
  <c r="DI28" i="15"/>
  <c r="DJ27" i="15"/>
  <c r="BQ29" i="15"/>
  <c r="SG29" i="15"/>
  <c r="CN30" i="15"/>
  <c r="IJ30" i="15"/>
  <c r="KC28" i="15"/>
  <c r="KD27" i="15"/>
  <c r="UJ30" i="15"/>
  <c r="LY29" i="15"/>
  <c r="LZ29" i="15" s="1"/>
  <c r="H29" i="15"/>
  <c r="HL30" i="15"/>
  <c r="LP30" i="15"/>
  <c r="SS28" i="15"/>
  <c r="ST27" i="15"/>
  <c r="MB30" i="15"/>
  <c r="GV30" i="15"/>
  <c r="CW28" i="15"/>
  <c r="CX27" i="15"/>
  <c r="PL29" i="15"/>
  <c r="FX30" i="15"/>
  <c r="FY30" i="15" s="1"/>
  <c r="FZ29" i="15"/>
  <c r="IC29" i="15"/>
  <c r="ID29" i="15" s="1"/>
  <c r="SV30" i="15"/>
  <c r="OV30" i="15"/>
  <c r="P30" i="15"/>
  <c r="HI28" i="15"/>
  <c r="HJ27" i="15"/>
  <c r="RY28" i="15"/>
  <c r="RZ27" i="15"/>
  <c r="JU28" i="15"/>
  <c r="JV27" i="15"/>
  <c r="EC28" i="15"/>
  <c r="ED27" i="15"/>
  <c r="NY28" i="15"/>
  <c r="NZ27" i="15"/>
  <c r="UP28" i="15"/>
  <c r="AZ30" i="15"/>
  <c r="KF30" i="15"/>
  <c r="DQ29" i="15"/>
  <c r="AO29" i="15"/>
  <c r="AP29" i="15" s="1"/>
  <c r="F32" i="11"/>
  <c r="G32" i="11" s="1"/>
  <c r="F33" i="2"/>
  <c r="G33" i="2" s="1"/>
  <c r="G31" i="11"/>
  <c r="E33" i="11"/>
  <c r="E33" i="9"/>
  <c r="F32" i="9"/>
  <c r="E33" i="8"/>
  <c r="F32" i="8"/>
  <c r="G32" i="2"/>
  <c r="E34" i="2"/>
  <c r="QS30" i="15" l="1"/>
  <c r="MG30" i="15"/>
  <c r="HY30" i="15"/>
  <c r="HM30" i="15"/>
  <c r="HN30" i="15" s="1"/>
  <c r="BA30" i="15"/>
  <c r="BB30" i="15" s="1"/>
  <c r="TY30" i="15"/>
  <c r="TZ30" i="15" s="1"/>
  <c r="SK30" i="15"/>
  <c r="SL30" i="15" s="1"/>
  <c r="DQ30" i="15"/>
  <c r="DR30" i="15" s="1"/>
  <c r="RI30" i="15"/>
  <c r="RJ30" i="15" s="1"/>
  <c r="KO30" i="15"/>
  <c r="KP30" i="15" s="1"/>
  <c r="QO30" i="15"/>
  <c r="QP30" i="15" s="1"/>
  <c r="FI30" i="15"/>
  <c r="FJ30" i="15" s="1"/>
  <c r="KS30" i="15"/>
  <c r="KT30" i="15" s="1"/>
  <c r="PI30" i="15"/>
  <c r="PJ30" i="15" s="1"/>
  <c r="KK30" i="15"/>
  <c r="KL30" i="15" s="1"/>
  <c r="I29" i="15"/>
  <c r="J29" i="15" s="1"/>
  <c r="GS30" i="15"/>
  <c r="GT30" i="15" s="1"/>
  <c r="BI30" i="15"/>
  <c r="BJ30" i="15" s="1"/>
  <c r="PE30" i="15"/>
  <c r="PF30" i="15" s="1"/>
  <c r="LI30" i="15"/>
  <c r="LJ30" i="15" s="1"/>
  <c r="KL29" i="15"/>
  <c r="MO30" i="15"/>
  <c r="MP30" i="15" s="1"/>
  <c r="AC30" i="15"/>
  <c r="AD30" i="15" s="1"/>
  <c r="JA30" i="15"/>
  <c r="JB30" i="15" s="1"/>
  <c r="RE30" i="15"/>
  <c r="RF30" i="15" s="1"/>
  <c r="BU29" i="15"/>
  <c r="BV29" i="15" s="1"/>
  <c r="TU30" i="15"/>
  <c r="TV30" i="15" s="1"/>
  <c r="UO30" i="15"/>
  <c r="UP30" i="15" s="1"/>
  <c r="BQ30" i="15"/>
  <c r="BR30" i="15" s="1"/>
  <c r="DM30" i="15"/>
  <c r="DN30" i="15" s="1"/>
  <c r="IS30" i="15"/>
  <c r="IT30" i="15" s="1"/>
  <c r="SG30" i="15"/>
  <c r="SH30" i="15" s="1"/>
  <c r="GO30" i="15"/>
  <c r="GP30" i="15" s="1"/>
  <c r="HE30" i="15"/>
  <c r="HF30" i="15" s="1"/>
  <c r="CK30" i="15"/>
  <c r="CL30" i="15" s="1"/>
  <c r="DA30" i="15"/>
  <c r="DB30" i="15" s="1"/>
  <c r="FM30" i="15"/>
  <c r="FN30" i="15" s="1"/>
  <c r="AF31" i="15"/>
  <c r="US29" i="15"/>
  <c r="UT28" i="15"/>
  <c r="FQ29" i="15"/>
  <c r="FR28" i="15"/>
  <c r="OW29" i="15"/>
  <c r="OX28" i="15"/>
  <c r="IN31" i="15"/>
  <c r="IO29" i="15"/>
  <c r="IP28" i="15"/>
  <c r="TM29" i="15"/>
  <c r="TN28" i="15"/>
  <c r="RU29" i="15"/>
  <c r="RV28" i="15"/>
  <c r="HP31" i="15"/>
  <c r="AN31" i="15"/>
  <c r="BM29" i="15"/>
  <c r="BN28" i="15"/>
  <c r="TE29" i="15"/>
  <c r="TF28" i="15"/>
  <c r="SC29" i="15"/>
  <c r="SD28" i="15"/>
  <c r="FL31" i="15"/>
  <c r="TI29" i="15"/>
  <c r="TJ28" i="15"/>
  <c r="JQ29" i="15"/>
  <c r="JR28" i="15"/>
  <c r="LT31" i="15"/>
  <c r="EF31" i="15"/>
  <c r="FN29" i="15"/>
  <c r="BL31" i="15"/>
  <c r="QF31" i="15"/>
  <c r="NT31" i="15"/>
  <c r="DY29" i="15"/>
  <c r="DZ28" i="15"/>
  <c r="BP31" i="15"/>
  <c r="NI29" i="15"/>
  <c r="NJ28" i="15"/>
  <c r="JD31" i="15"/>
  <c r="EB31" i="15"/>
  <c r="IV31" i="15"/>
  <c r="QZ31" i="15"/>
  <c r="RH31" i="15"/>
  <c r="EJ31" i="15"/>
  <c r="SR31" i="15"/>
  <c r="BR29" i="15"/>
  <c r="MV31" i="15"/>
  <c r="NQ29" i="15"/>
  <c r="NR28" i="15"/>
  <c r="GN31" i="15"/>
  <c r="UC29" i="15"/>
  <c r="UD28" i="15"/>
  <c r="EN31" i="15"/>
  <c r="GV31" i="15"/>
  <c r="L31" i="15"/>
  <c r="MC30" i="15"/>
  <c r="MD30" i="15" s="1"/>
  <c r="NX31" i="15"/>
  <c r="QJ31" i="15"/>
  <c r="MW29" i="15"/>
  <c r="MX28" i="15"/>
  <c r="KW29" i="15"/>
  <c r="KX28" i="15"/>
  <c r="OJ31" i="15"/>
  <c r="IT29" i="15"/>
  <c r="BJ29" i="15"/>
  <c r="QN31" i="15"/>
  <c r="GP29" i="15"/>
  <c r="OR31" i="15"/>
  <c r="DR29" i="15"/>
  <c r="GF31" i="15"/>
  <c r="EC29" i="15"/>
  <c r="ED28" i="15"/>
  <c r="PY30" i="15"/>
  <c r="PZ30" i="15" s="1"/>
  <c r="MR31" i="15"/>
  <c r="JI29" i="15"/>
  <c r="JJ28" i="15"/>
  <c r="UB31" i="15"/>
  <c r="IK29" i="15"/>
  <c r="IL28" i="15"/>
  <c r="QK29" i="15"/>
  <c r="QL28" i="15"/>
  <c r="BT30" i="15"/>
  <c r="IR31" i="15"/>
  <c r="KN31" i="15"/>
  <c r="BH31" i="15"/>
  <c r="QP29" i="15"/>
  <c r="CZ31" i="15"/>
  <c r="DP31" i="15"/>
  <c r="SH29" i="15"/>
  <c r="GK29" i="15"/>
  <c r="GL28" i="15"/>
  <c r="JE29" i="15"/>
  <c r="JF28" i="15"/>
  <c r="CW29" i="15"/>
  <c r="CX28" i="15"/>
  <c r="FA29" i="15"/>
  <c r="FB28" i="15"/>
  <c r="BX31" i="15"/>
  <c r="P31" i="15"/>
  <c r="LP31" i="15"/>
  <c r="ES29" i="15"/>
  <c r="ET28" i="15"/>
  <c r="ER31" i="15"/>
  <c r="DX31" i="15"/>
  <c r="JX31" i="15"/>
  <c r="HT31" i="15"/>
  <c r="KZ31" i="15"/>
  <c r="NL31" i="15"/>
  <c r="BD31" i="15"/>
  <c r="DB29" i="15"/>
  <c r="LJ29" i="15"/>
  <c r="SF31" i="15"/>
  <c r="BY29" i="15"/>
  <c r="BZ28" i="15"/>
  <c r="TA29" i="15"/>
  <c r="TB28" i="15"/>
  <c r="MB31" i="15"/>
  <c r="QV31" i="15"/>
  <c r="PA29" i="15"/>
  <c r="PB28" i="15"/>
  <c r="RT31" i="15"/>
  <c r="Q29" i="15"/>
  <c r="R28" i="15"/>
  <c r="LH31" i="15"/>
  <c r="LU29" i="15"/>
  <c r="LV28" i="15"/>
  <c r="PP31" i="15"/>
  <c r="BE30" i="15"/>
  <c r="BF30" i="15" s="1"/>
  <c r="OB31" i="15"/>
  <c r="IB31" i="15"/>
  <c r="CR30" i="15"/>
  <c r="NU29" i="15"/>
  <c r="NV28" i="15"/>
  <c r="AD29" i="15"/>
  <c r="EO30" i="15"/>
  <c r="SB31" i="15"/>
  <c r="ND31" i="15"/>
  <c r="CN31" i="15"/>
  <c r="OO29" i="15"/>
  <c r="OP28" i="15"/>
  <c r="AW29" i="15"/>
  <c r="AX28" i="15"/>
  <c r="LA29" i="15"/>
  <c r="LB28" i="15"/>
  <c r="HL31" i="15"/>
  <c r="CF31" i="15"/>
  <c r="OS29" i="15"/>
  <c r="OT28" i="15"/>
  <c r="OZ31" i="15"/>
  <c r="CL29" i="15"/>
  <c r="FT31" i="15"/>
  <c r="AB31" i="15"/>
  <c r="RQ29" i="15"/>
  <c r="RR28" i="15"/>
  <c r="AS29" i="15"/>
  <c r="AT28" i="15"/>
  <c r="HA29" i="15"/>
  <c r="HB28" i="15"/>
  <c r="NP31" i="15"/>
  <c r="PX31" i="15"/>
  <c r="D31" i="15"/>
  <c r="F30" i="15"/>
  <c r="JH31" i="15"/>
  <c r="EK30" i="15"/>
  <c r="DE29" i="15"/>
  <c r="DF28" i="15"/>
  <c r="KR31" i="15"/>
  <c r="AG30" i="15"/>
  <c r="MK29" i="15"/>
  <c r="ML28" i="15"/>
  <c r="SZ31" i="15"/>
  <c r="CO30" i="15"/>
  <c r="IF31" i="15"/>
  <c r="PD31" i="15"/>
  <c r="TP31" i="15"/>
  <c r="MF31" i="15"/>
  <c r="MH30" i="15"/>
  <c r="LD31" i="15"/>
  <c r="AR31" i="15"/>
  <c r="KT29" i="15"/>
  <c r="NM29" i="15"/>
  <c r="NN28" i="15"/>
  <c r="MJ31" i="15"/>
  <c r="TX31" i="15"/>
  <c r="UF31" i="15"/>
  <c r="DH31" i="15"/>
  <c r="Y29" i="15"/>
  <c r="Z28" i="15"/>
  <c r="JY30" i="15"/>
  <c r="LL31" i="15"/>
  <c r="CG29" i="15"/>
  <c r="CH28" i="15"/>
  <c r="GB31" i="15"/>
  <c r="LM30" i="15"/>
  <c r="RA29" i="15"/>
  <c r="RB28" i="15"/>
  <c r="FP31" i="15"/>
  <c r="IW29" i="15"/>
  <c r="IX28" i="15"/>
  <c r="DT31" i="15"/>
  <c r="NH31" i="15"/>
  <c r="GW30" i="15"/>
  <c r="KB31" i="15"/>
  <c r="DI29" i="15"/>
  <c r="DJ28" i="15"/>
  <c r="TD31" i="15"/>
  <c r="JT31" i="15"/>
  <c r="JL31" i="15"/>
  <c r="DU29" i="15"/>
  <c r="DV28" i="15"/>
  <c r="NE29" i="15"/>
  <c r="NF28" i="15"/>
  <c r="TL31" i="15"/>
  <c r="UG29" i="15"/>
  <c r="UH28" i="15"/>
  <c r="JU29" i="15"/>
  <c r="JV28" i="15"/>
  <c r="QB31" i="15"/>
  <c r="LY30" i="15"/>
  <c r="LZ30" i="15" s="1"/>
  <c r="FD31" i="15"/>
  <c r="FE31" i="15" s="1"/>
  <c r="FF30" i="15"/>
  <c r="KG29" i="15"/>
  <c r="KH28" i="15"/>
  <c r="DL31" i="15"/>
  <c r="UN31" i="15"/>
  <c r="RP31" i="15"/>
  <c r="HU29" i="15"/>
  <c r="HV28" i="15"/>
  <c r="ON31" i="15"/>
  <c r="MZ30" i="15"/>
  <c r="QC29" i="15"/>
  <c r="QD28" i="15"/>
  <c r="GC29" i="15"/>
  <c r="GD28" i="15"/>
  <c r="MS29" i="15"/>
  <c r="MT28" i="15"/>
  <c r="DN29" i="15"/>
  <c r="GG29" i="15"/>
  <c r="GH28" i="15"/>
  <c r="DD31" i="15"/>
  <c r="PQ29" i="15"/>
  <c r="PR28" i="15"/>
  <c r="JM30" i="15"/>
  <c r="EG30" i="15"/>
  <c r="CV31" i="15"/>
  <c r="RY29" i="15"/>
  <c r="RZ28" i="15"/>
  <c r="SS29" i="15"/>
  <c r="ST28" i="15"/>
  <c r="EW29" i="15"/>
  <c r="EX28" i="15"/>
  <c r="AO30" i="15"/>
  <c r="SV31" i="15"/>
  <c r="KF31" i="15"/>
  <c r="QG29" i="15"/>
  <c r="QH28" i="15"/>
  <c r="OH29" i="15"/>
  <c r="OF30" i="15"/>
  <c r="OG30" i="15" s="1"/>
  <c r="UK29" i="15"/>
  <c r="UL28" i="15"/>
  <c r="AJ31" i="15"/>
  <c r="RX31" i="15"/>
  <c r="CB30" i="15"/>
  <c r="HH31" i="15"/>
  <c r="AV31" i="15"/>
  <c r="FH31" i="15"/>
  <c r="HF29" i="15"/>
  <c r="UR31" i="15"/>
  <c r="GT29" i="15"/>
  <c r="GZ31" i="15"/>
  <c r="NA29" i="15"/>
  <c r="IZ31" i="15"/>
  <c r="GJ31" i="15"/>
  <c r="PH31" i="15"/>
  <c r="HI29" i="15"/>
  <c r="HJ28" i="15"/>
  <c r="HX31" i="15"/>
  <c r="HZ30" i="15"/>
  <c r="OV31" i="15"/>
  <c r="CJ31" i="15"/>
  <c r="EV31" i="15"/>
  <c r="IC30" i="15"/>
  <c r="EZ31" i="15"/>
  <c r="TT31" i="15"/>
  <c r="UJ31" i="15"/>
  <c r="SJ31" i="15"/>
  <c r="FX31" i="15"/>
  <c r="FZ30" i="15"/>
  <c r="TH31" i="15"/>
  <c r="PU29" i="15"/>
  <c r="PV28" i="15"/>
  <c r="JP31" i="15"/>
  <c r="RL31" i="15"/>
  <c r="RD31" i="15"/>
  <c r="FU30" i="15"/>
  <c r="T31" i="15"/>
  <c r="V30" i="15"/>
  <c r="RM29" i="15"/>
  <c r="RN28" i="15"/>
  <c r="MN31" i="15"/>
  <c r="SN31" i="15"/>
  <c r="SP30" i="15"/>
  <c r="FJ29" i="15"/>
  <c r="OC29" i="15"/>
  <c r="OD28" i="15"/>
  <c r="HD31" i="15"/>
  <c r="GR31" i="15"/>
  <c r="HQ30" i="15"/>
  <c r="QW30" i="15"/>
  <c r="QR31" i="15"/>
  <c r="QS31" i="15" s="1"/>
  <c r="QT30" i="15"/>
  <c r="M29" i="15"/>
  <c r="N28" i="15"/>
  <c r="KV31" i="15"/>
  <c r="X31" i="15"/>
  <c r="H30" i="15"/>
  <c r="PT31" i="15"/>
  <c r="LX31" i="15"/>
  <c r="LQ30" i="15"/>
  <c r="KJ31" i="15"/>
  <c r="AZ31" i="15"/>
  <c r="PL30" i="15"/>
  <c r="KC29" i="15"/>
  <c r="KD28" i="15"/>
  <c r="NY29" i="15"/>
  <c r="NZ28" i="15"/>
  <c r="IJ31" i="15"/>
  <c r="LE29" i="15"/>
  <c r="LF28" i="15"/>
  <c r="OK30" i="15"/>
  <c r="OL30" i="15" s="1"/>
  <c r="AH29" i="15"/>
  <c r="PZ29" i="15"/>
  <c r="IG30" i="15"/>
  <c r="CS29" i="15"/>
  <c r="CC29" i="15"/>
  <c r="TQ29" i="15"/>
  <c r="TR28" i="15"/>
  <c r="EL29" i="15"/>
  <c r="PM29" i="15"/>
  <c r="PN29" i="15" s="1"/>
  <c r="SW30" i="15"/>
  <c r="AK30" i="15"/>
  <c r="F33" i="8"/>
  <c r="G33" i="8" s="1"/>
  <c r="F33" i="9"/>
  <c r="G33" i="9" s="1"/>
  <c r="E34" i="11"/>
  <c r="F33" i="11"/>
  <c r="G32" i="10"/>
  <c r="G33" i="10"/>
  <c r="G32" i="9"/>
  <c r="E34" i="9"/>
  <c r="G32" i="8"/>
  <c r="E34" i="8"/>
  <c r="E35" i="2"/>
  <c r="F34" i="2"/>
  <c r="HY31" i="15" l="1"/>
  <c r="NA30" i="15"/>
  <c r="PI31" i="15"/>
  <c r="PJ31" i="15" s="1"/>
  <c r="I30" i="15"/>
  <c r="J30" i="15" s="1"/>
  <c r="BI31" i="15"/>
  <c r="BJ31" i="15" s="1"/>
  <c r="DQ31" i="15"/>
  <c r="DR31" i="15" s="1"/>
  <c r="SK31" i="15"/>
  <c r="SL31" i="15" s="1"/>
  <c r="FI31" i="15"/>
  <c r="FJ31" i="15" s="1"/>
  <c r="AC31" i="15"/>
  <c r="AD31" i="15" s="1"/>
  <c r="GS31" i="15"/>
  <c r="GT31" i="15" s="1"/>
  <c r="QW31" i="15"/>
  <c r="QX31" i="15" s="1"/>
  <c r="LQ31" i="15"/>
  <c r="LR31" i="15" s="1"/>
  <c r="KK31" i="15"/>
  <c r="KL31" i="15" s="1"/>
  <c r="KS31" i="15"/>
  <c r="KT31" i="15" s="1"/>
  <c r="MO31" i="15"/>
  <c r="MP31" i="15" s="1"/>
  <c r="GO31" i="15"/>
  <c r="GP31" i="15" s="1"/>
  <c r="JA31" i="15"/>
  <c r="JB31" i="15" s="1"/>
  <c r="HQ31" i="15"/>
  <c r="HR31" i="15" s="1"/>
  <c r="HE31" i="15"/>
  <c r="HF31" i="15" s="1"/>
  <c r="SG31" i="15"/>
  <c r="SH31" i="15" s="1"/>
  <c r="GW31" i="15"/>
  <c r="GX31" i="15" s="1"/>
  <c r="SW31" i="15"/>
  <c r="SX31" i="15" s="1"/>
  <c r="AO31" i="15"/>
  <c r="AP31" i="15" s="1"/>
  <c r="IS31" i="15"/>
  <c r="IT31" i="15" s="1"/>
  <c r="IG31" i="15"/>
  <c r="IH31" i="15" s="1"/>
  <c r="CK31" i="15"/>
  <c r="CL31" i="15" s="1"/>
  <c r="FM31" i="15"/>
  <c r="FN31" i="15" s="1"/>
  <c r="DA31" i="15"/>
  <c r="DB31" i="15" s="1"/>
  <c r="CC30" i="15"/>
  <c r="CD30" i="15" s="1"/>
  <c r="EK31" i="15"/>
  <c r="JM31" i="15"/>
  <c r="JN31" i="15" s="1"/>
  <c r="IC31" i="15"/>
  <c r="ID31" i="15" s="1"/>
  <c r="JY31" i="15"/>
  <c r="JZ31" i="15" s="1"/>
  <c r="EO31" i="15"/>
  <c r="EP31" i="15" s="1"/>
  <c r="CO31" i="15"/>
  <c r="CP31" i="15" s="1"/>
  <c r="AG31" i="15"/>
  <c r="AH31" i="15" s="1"/>
  <c r="CS30" i="15"/>
  <c r="CT30" i="15" s="1"/>
  <c r="EG31" i="15"/>
  <c r="EH31" i="15" s="1"/>
  <c r="SC30" i="15"/>
  <c r="SD29" i="15"/>
  <c r="FQ30" i="15"/>
  <c r="FR29" i="15"/>
  <c r="CV32" i="15"/>
  <c r="SB32" i="15"/>
  <c r="LH32" i="15"/>
  <c r="BD32" i="15"/>
  <c r="BX32" i="15"/>
  <c r="IR32" i="15"/>
  <c r="L32" i="15"/>
  <c r="EJ32" i="15"/>
  <c r="NT32" i="15"/>
  <c r="OR32" i="15"/>
  <c r="GX30" i="15"/>
  <c r="TE30" i="15"/>
  <c r="TF29" i="15"/>
  <c r="US30" i="15"/>
  <c r="UT29" i="15"/>
  <c r="HU30" i="15"/>
  <c r="HV29" i="15"/>
  <c r="GZ32" i="15"/>
  <c r="RP32" i="15"/>
  <c r="TL32" i="15"/>
  <c r="NH32" i="15"/>
  <c r="LI31" i="15"/>
  <c r="Q30" i="15"/>
  <c r="R29" i="15"/>
  <c r="NL32" i="15"/>
  <c r="FA30" i="15"/>
  <c r="FB29" i="15"/>
  <c r="BT31" i="15"/>
  <c r="GV32" i="15"/>
  <c r="RH32" i="15"/>
  <c r="AH30" i="15"/>
  <c r="ON32" i="15"/>
  <c r="KN32" i="15"/>
  <c r="PQ30" i="15"/>
  <c r="PR29" i="15"/>
  <c r="DH32" i="15"/>
  <c r="PD32" i="15"/>
  <c r="D32" i="15"/>
  <c r="OS30" i="15"/>
  <c r="OT29" i="15"/>
  <c r="EP30" i="15"/>
  <c r="QF32" i="15"/>
  <c r="BM30" i="15"/>
  <c r="BN29" i="15"/>
  <c r="AF32" i="15"/>
  <c r="LL32" i="15"/>
  <c r="NY30" i="15"/>
  <c r="NZ29" i="15"/>
  <c r="T32" i="15"/>
  <c r="UN32" i="15"/>
  <c r="NE30" i="15"/>
  <c r="NF29" i="15"/>
  <c r="DT32" i="15"/>
  <c r="RT32" i="15"/>
  <c r="KZ32" i="15"/>
  <c r="CW30" i="15"/>
  <c r="CX29" i="15"/>
  <c r="QK30" i="15"/>
  <c r="QL29" i="15"/>
  <c r="QN32" i="15"/>
  <c r="EN32" i="15"/>
  <c r="QZ32" i="15"/>
  <c r="AP30" i="15"/>
  <c r="U31" i="15"/>
  <c r="GF32" i="15"/>
  <c r="AK31" i="15"/>
  <c r="AL31" i="15" s="1"/>
  <c r="EV32" i="15"/>
  <c r="UR32" i="15"/>
  <c r="QG30" i="15"/>
  <c r="QH29" i="15"/>
  <c r="DD32" i="15"/>
  <c r="UF32" i="15"/>
  <c r="IH30" i="15"/>
  <c r="PX32" i="15"/>
  <c r="CF32" i="15"/>
  <c r="NU30" i="15"/>
  <c r="NV29" i="15"/>
  <c r="BL32" i="15"/>
  <c r="AN32" i="15"/>
  <c r="RM30" i="15"/>
  <c r="RN29" i="15"/>
  <c r="UG30" i="15"/>
  <c r="UH29" i="15"/>
  <c r="RL32" i="15"/>
  <c r="DL32" i="15"/>
  <c r="DU30" i="15"/>
  <c r="DV29" i="15"/>
  <c r="IW30" i="15"/>
  <c r="IX29" i="15"/>
  <c r="IF32" i="15"/>
  <c r="CR31" i="15"/>
  <c r="PA30" i="15"/>
  <c r="PB29" i="15"/>
  <c r="HT32" i="15"/>
  <c r="JE30" i="15"/>
  <c r="JF29" i="15"/>
  <c r="IK30" i="15"/>
  <c r="IL29" i="15"/>
  <c r="UC30" i="15"/>
  <c r="UD29" i="15"/>
  <c r="IV32" i="15"/>
  <c r="HR30" i="15"/>
  <c r="IZ32" i="15"/>
  <c r="EZ32" i="15"/>
  <c r="GG30" i="15"/>
  <c r="GH29" i="15"/>
  <c r="JN30" i="15"/>
  <c r="TX32" i="15"/>
  <c r="NP32" i="15"/>
  <c r="HL32" i="15"/>
  <c r="CT29" i="15"/>
  <c r="QX30" i="15"/>
  <c r="JZ30" i="15"/>
  <c r="TY31" i="15"/>
  <c r="EH30" i="15"/>
  <c r="HP32" i="15"/>
  <c r="IJ32" i="15"/>
  <c r="OF31" i="15"/>
  <c r="OG31" i="15" s="1"/>
  <c r="OH30" i="15"/>
  <c r="QR32" i="15"/>
  <c r="QT31" i="15"/>
  <c r="KG30" i="15"/>
  <c r="KH29" i="15"/>
  <c r="JL32" i="15"/>
  <c r="FP32" i="15"/>
  <c r="QV32" i="15"/>
  <c r="JX32" i="15"/>
  <c r="GK30" i="15"/>
  <c r="GL29" i="15"/>
  <c r="UB32" i="15"/>
  <c r="OJ32" i="15"/>
  <c r="EB32" i="15"/>
  <c r="EF32" i="15"/>
  <c r="PE31" i="15"/>
  <c r="PF31" i="15" s="1"/>
  <c r="UJ32" i="15"/>
  <c r="FT32" i="15"/>
  <c r="Y30" i="15"/>
  <c r="Z29" i="15"/>
  <c r="MJ32" i="15"/>
  <c r="HA30" i="15"/>
  <c r="HB29" i="15"/>
  <c r="LA30" i="15"/>
  <c r="LB29" i="15"/>
  <c r="ID30" i="15"/>
  <c r="QO31" i="15"/>
  <c r="GN32" i="15"/>
  <c r="RU30" i="15"/>
  <c r="RV29" i="15"/>
  <c r="P32" i="15"/>
  <c r="MF32" i="15"/>
  <c r="TP32" i="15"/>
  <c r="RD32" i="15"/>
  <c r="AZ32" i="15"/>
  <c r="SX30" i="15"/>
  <c r="MS30" i="15"/>
  <c r="MT29" i="15"/>
  <c r="FD32" i="15"/>
  <c r="FE32" i="15" s="1"/>
  <c r="FF31" i="15"/>
  <c r="JT32" i="15"/>
  <c r="RA30" i="15"/>
  <c r="RB29" i="15"/>
  <c r="SZ32" i="15"/>
  <c r="UO31" i="15"/>
  <c r="UP31" i="15" s="1"/>
  <c r="IB32" i="15"/>
  <c r="MB32" i="15"/>
  <c r="DX32" i="15"/>
  <c r="KW30" i="15"/>
  <c r="KX29" i="15"/>
  <c r="RE31" i="15"/>
  <c r="JD32" i="15"/>
  <c r="MG31" i="15"/>
  <c r="SR32" i="15"/>
  <c r="KB32" i="15"/>
  <c r="M30" i="15"/>
  <c r="N29" i="15"/>
  <c r="PM30" i="15"/>
  <c r="PN30" i="15" s="1"/>
  <c r="TQ30" i="15"/>
  <c r="TR29" i="15"/>
  <c r="LY31" i="15"/>
  <c r="LM31" i="15"/>
  <c r="NM30" i="15"/>
  <c r="NN29" i="15"/>
  <c r="AW30" i="15"/>
  <c r="AX29" i="15"/>
  <c r="DP32" i="15"/>
  <c r="JI30" i="15"/>
  <c r="JJ29" i="15"/>
  <c r="LT32" i="15"/>
  <c r="TM30" i="15"/>
  <c r="TN29" i="15"/>
  <c r="RI31" i="15"/>
  <c r="LU30" i="15"/>
  <c r="LV29" i="15"/>
  <c r="JH32" i="15"/>
  <c r="FH32" i="15"/>
  <c r="OV32" i="15"/>
  <c r="TH32" i="15"/>
  <c r="DM31" i="15"/>
  <c r="MK30" i="15"/>
  <c r="ML29" i="15"/>
  <c r="AS30" i="15"/>
  <c r="AT29" i="15"/>
  <c r="OB32" i="15"/>
  <c r="TA30" i="15"/>
  <c r="TB29" i="15"/>
  <c r="ER32" i="15"/>
  <c r="MW30" i="15"/>
  <c r="MX29" i="15"/>
  <c r="NQ30" i="15"/>
  <c r="NR29" i="15"/>
  <c r="NI30" i="15"/>
  <c r="NJ29" i="15"/>
  <c r="HM31" i="15"/>
  <c r="KV32" i="15"/>
  <c r="PL31" i="15"/>
  <c r="JP32" i="15"/>
  <c r="SV32" i="15"/>
  <c r="AV32" i="15"/>
  <c r="HI30" i="15"/>
  <c r="HJ29" i="15"/>
  <c r="OO30" i="15"/>
  <c r="OP29" i="15"/>
  <c r="CZ32" i="15"/>
  <c r="MR32" i="15"/>
  <c r="JQ30" i="15"/>
  <c r="JR29" i="15"/>
  <c r="IO30" i="15"/>
  <c r="IP29" i="15"/>
  <c r="TT32" i="15"/>
  <c r="HD32" i="15"/>
  <c r="GC30" i="15"/>
  <c r="GD29" i="15"/>
  <c r="SS30" i="15"/>
  <c r="ST29" i="15"/>
  <c r="BE31" i="15"/>
  <c r="PY31" i="15"/>
  <c r="QJ32" i="15"/>
  <c r="BP32" i="15"/>
  <c r="AJ32" i="15"/>
  <c r="KC30" i="15"/>
  <c r="KD29" i="15"/>
  <c r="CJ32" i="15"/>
  <c r="GR32" i="15"/>
  <c r="EW30" i="15"/>
  <c r="EX29" i="15"/>
  <c r="PT32" i="15"/>
  <c r="OK31" i="15"/>
  <c r="OL31" i="15" s="1"/>
  <c r="FX32" i="15"/>
  <c r="QC30" i="15"/>
  <c r="QD29" i="15"/>
  <c r="GB32" i="15"/>
  <c r="RQ30" i="15"/>
  <c r="RR29" i="15"/>
  <c r="CP30" i="15"/>
  <c r="ES30" i="15"/>
  <c r="ET29" i="15"/>
  <c r="SN32" i="15"/>
  <c r="PH32" i="15"/>
  <c r="MZ31" i="15"/>
  <c r="NA31" i="15" s="1"/>
  <c r="NB30" i="15"/>
  <c r="BA31" i="15"/>
  <c r="BB31" i="15" s="1"/>
  <c r="KR32" i="15"/>
  <c r="CN32" i="15"/>
  <c r="LR30" i="15"/>
  <c r="MV32" i="15"/>
  <c r="TI30" i="15"/>
  <c r="TJ29" i="15"/>
  <c r="IN32" i="15"/>
  <c r="TU31" i="15"/>
  <c r="OZ32" i="15"/>
  <c r="KJ32" i="15"/>
  <c r="PU30" i="15"/>
  <c r="PV29" i="15"/>
  <c r="HZ31" i="15"/>
  <c r="HX32" i="15"/>
  <c r="HH32" i="15"/>
  <c r="BU30" i="15"/>
  <c r="H31" i="15"/>
  <c r="FY31" i="15"/>
  <c r="AR32" i="15"/>
  <c r="BY30" i="15"/>
  <c r="BZ29" i="15"/>
  <c r="SJ32" i="15"/>
  <c r="RX32" i="15"/>
  <c r="RY30" i="15"/>
  <c r="RZ29" i="15"/>
  <c r="NB29" i="15"/>
  <c r="QB32" i="15"/>
  <c r="DI30" i="15"/>
  <c r="DJ29" i="15"/>
  <c r="CG30" i="15"/>
  <c r="CH29" i="15"/>
  <c r="AB32" i="15"/>
  <c r="PP32" i="15"/>
  <c r="SF32" i="15"/>
  <c r="LP32" i="15"/>
  <c r="BH32" i="15"/>
  <c r="EC30" i="15"/>
  <c r="ED29" i="15"/>
  <c r="NX32" i="15"/>
  <c r="DY30" i="15"/>
  <c r="DZ29" i="15"/>
  <c r="E31" i="15"/>
  <c r="F31" i="15" s="1"/>
  <c r="JU30" i="15"/>
  <c r="JV29" i="15"/>
  <c r="EL30" i="15"/>
  <c r="UK30" i="15"/>
  <c r="UL29" i="15"/>
  <c r="FU31" i="15"/>
  <c r="KF32" i="15"/>
  <c r="LX32" i="15"/>
  <c r="OC30" i="15"/>
  <c r="OD29" i="15"/>
  <c r="CD29" i="15"/>
  <c r="CB31" i="15"/>
  <c r="TD32" i="15"/>
  <c r="LE30" i="15"/>
  <c r="LF29" i="15"/>
  <c r="X32" i="15"/>
  <c r="MN32" i="15"/>
  <c r="GJ32" i="15"/>
  <c r="AL30" i="15"/>
  <c r="BQ31" i="15"/>
  <c r="LN30" i="15"/>
  <c r="LD32" i="15"/>
  <c r="DE30" i="15"/>
  <c r="DF29" i="15"/>
  <c r="FV30" i="15"/>
  <c r="ND32" i="15"/>
  <c r="MC31" i="15"/>
  <c r="KO31" i="15"/>
  <c r="FL32" i="15"/>
  <c r="OW30" i="15"/>
  <c r="OX29" i="15"/>
  <c r="SO31" i="15"/>
  <c r="F35" i="2"/>
  <c r="G35" i="2" s="1"/>
  <c r="F34" i="11"/>
  <c r="G34" i="11" s="1"/>
  <c r="G33" i="11"/>
  <c r="E35" i="11"/>
  <c r="E35" i="9"/>
  <c r="F34" i="9"/>
  <c r="E35" i="8"/>
  <c r="F34" i="8"/>
  <c r="E36" i="2"/>
  <c r="G34" i="2"/>
  <c r="KO32" i="15" l="1"/>
  <c r="KK32" i="15"/>
  <c r="KL32" i="15" s="1"/>
  <c r="I31" i="15"/>
  <c r="DQ32" i="15"/>
  <c r="DR32" i="15" s="1"/>
  <c r="BI32" i="15"/>
  <c r="BJ32" i="15" s="1"/>
  <c r="SK32" i="15"/>
  <c r="SL32" i="15" s="1"/>
  <c r="FI32" i="15"/>
  <c r="FJ32" i="15" s="1"/>
  <c r="MO32" i="15"/>
  <c r="MP32" i="15" s="1"/>
  <c r="HE32" i="15"/>
  <c r="HF32" i="15" s="1"/>
  <c r="GW32" i="15"/>
  <c r="GX32" i="15" s="1"/>
  <c r="KS32" i="15"/>
  <c r="KT32" i="15" s="1"/>
  <c r="RI32" i="15"/>
  <c r="RJ32" i="15" s="1"/>
  <c r="LQ32" i="15"/>
  <c r="LR32" i="15" s="1"/>
  <c r="SG32" i="15"/>
  <c r="SH32" i="15" s="1"/>
  <c r="EK32" i="15"/>
  <c r="EL32" i="15" s="1"/>
  <c r="AO32" i="15"/>
  <c r="AP32" i="15" s="1"/>
  <c r="CK32" i="15"/>
  <c r="CL32" i="15" s="1"/>
  <c r="DA32" i="15"/>
  <c r="DB32" i="15" s="1"/>
  <c r="EO32" i="15"/>
  <c r="EP32" i="15" s="1"/>
  <c r="TY32" i="15"/>
  <c r="TZ32" i="15" s="1"/>
  <c r="SW32" i="15"/>
  <c r="SX32" i="15" s="1"/>
  <c r="JM32" i="15"/>
  <c r="JN32" i="15" s="1"/>
  <c r="CO32" i="15"/>
  <c r="CP32" i="15" s="1"/>
  <c r="BQ32" i="15"/>
  <c r="BR32" i="15" s="1"/>
  <c r="HM32" i="15"/>
  <c r="HN32" i="15" s="1"/>
  <c r="AG32" i="15"/>
  <c r="AH32" i="15" s="1"/>
  <c r="EL31" i="15"/>
  <c r="MG32" i="15"/>
  <c r="MH32" i="15" s="1"/>
  <c r="CS31" i="15"/>
  <c r="CT31" i="15" s="1"/>
  <c r="PY32" i="15"/>
  <c r="PZ32" i="15" s="1"/>
  <c r="RE32" i="15"/>
  <c r="RF32" i="15" s="1"/>
  <c r="LI32" i="15"/>
  <c r="LJ32" i="15" s="1"/>
  <c r="FU32" i="15"/>
  <c r="FV32" i="15" s="1"/>
  <c r="EG32" i="15"/>
  <c r="EH32" i="15" s="1"/>
  <c r="DM32" i="15"/>
  <c r="DN32" i="15" s="1"/>
  <c r="LM32" i="15"/>
  <c r="LN32" i="15" s="1"/>
  <c r="BE32" i="15"/>
  <c r="BF32" i="15" s="1"/>
  <c r="SO32" i="15"/>
  <c r="SP32" i="15" s="1"/>
  <c r="LY32" i="15"/>
  <c r="LZ32" i="15" s="1"/>
  <c r="TU32" i="15"/>
  <c r="TV32" i="15" s="1"/>
  <c r="QO32" i="15"/>
  <c r="QP32" i="15" s="1"/>
  <c r="FY32" i="15"/>
  <c r="FZ32" i="15" s="1"/>
  <c r="LJ31" i="15"/>
  <c r="U32" i="15"/>
  <c r="RJ31" i="15"/>
  <c r="MC32" i="15"/>
  <c r="MD32" i="15" s="1"/>
  <c r="TV31" i="15"/>
  <c r="AS31" i="15"/>
  <c r="AT30" i="15"/>
  <c r="ES31" i="15"/>
  <c r="ET30" i="15"/>
  <c r="TT33" i="15"/>
  <c r="JP33" i="15"/>
  <c r="LT33" i="15"/>
  <c r="SR33" i="15"/>
  <c r="JT33" i="15"/>
  <c r="GG31" i="15"/>
  <c r="GH30" i="15"/>
  <c r="BL33" i="15"/>
  <c r="NE31" i="15"/>
  <c r="NF30" i="15"/>
  <c r="TE31" i="15"/>
  <c r="TF30" i="15"/>
  <c r="KC31" i="15"/>
  <c r="KD30" i="15"/>
  <c r="CR32" i="15"/>
  <c r="FA31" i="15"/>
  <c r="FB30" i="15"/>
  <c r="SB33" i="15"/>
  <c r="RU31" i="15"/>
  <c r="RV30" i="15"/>
  <c r="BY31" i="15"/>
  <c r="BZ30" i="15"/>
  <c r="GJ33" i="15"/>
  <c r="PL32" i="15"/>
  <c r="FD33" i="15"/>
  <c r="FF32" i="15"/>
  <c r="OJ33" i="15"/>
  <c r="EZ33" i="15"/>
  <c r="NU31" i="15"/>
  <c r="NV30" i="15"/>
  <c r="UN33" i="15"/>
  <c r="PD33" i="15"/>
  <c r="JI31" i="15"/>
  <c r="JJ30" i="15"/>
  <c r="UB33" i="15"/>
  <c r="IJ33" i="15"/>
  <c r="IF33" i="15"/>
  <c r="CF33" i="15"/>
  <c r="DH33" i="15"/>
  <c r="NL33" i="15"/>
  <c r="OR33" i="15"/>
  <c r="QR33" i="15"/>
  <c r="TI31" i="15"/>
  <c r="TJ30" i="15"/>
  <c r="GB33" i="15"/>
  <c r="AJ33" i="15"/>
  <c r="JQ31" i="15"/>
  <c r="JR30" i="15"/>
  <c r="DP33" i="15"/>
  <c r="JD33" i="15"/>
  <c r="MS31" i="15"/>
  <c r="MT30" i="15"/>
  <c r="QZ33" i="15"/>
  <c r="V31" i="15"/>
  <c r="CV33" i="15"/>
  <c r="KB33" i="15"/>
  <c r="GN33" i="15"/>
  <c r="TH33" i="15"/>
  <c r="LA31" i="15"/>
  <c r="LB30" i="15"/>
  <c r="HP33" i="15"/>
  <c r="IZ33" i="15"/>
  <c r="IW31" i="15"/>
  <c r="IX30" i="15"/>
  <c r="PZ31" i="15"/>
  <c r="T33" i="15"/>
  <c r="Q31" i="15"/>
  <c r="R30" i="15"/>
  <c r="MK31" i="15"/>
  <c r="ML30" i="15"/>
  <c r="RQ31" i="15"/>
  <c r="RR30" i="15"/>
  <c r="FL33" i="15"/>
  <c r="BU31" i="15"/>
  <c r="MV33" i="15"/>
  <c r="BR31" i="15"/>
  <c r="GK31" i="15"/>
  <c r="GL30" i="15"/>
  <c r="PX33" i="15"/>
  <c r="EN33" i="15"/>
  <c r="PQ31" i="15"/>
  <c r="PR30" i="15"/>
  <c r="NT33" i="15"/>
  <c r="KW31" i="15"/>
  <c r="KX30" i="15"/>
  <c r="HA31" i="15"/>
  <c r="HB30" i="15"/>
  <c r="DU31" i="15"/>
  <c r="DV30" i="15"/>
  <c r="QP31" i="15"/>
  <c r="NY31" i="15"/>
  <c r="NZ30" i="15"/>
  <c r="NH33" i="15"/>
  <c r="FQ31" i="15"/>
  <c r="FR30" i="15"/>
  <c r="D33" i="15"/>
  <c r="AR33" i="15"/>
  <c r="AB33" i="15"/>
  <c r="X33" i="15"/>
  <c r="LE31" i="15"/>
  <c r="LF30" i="15"/>
  <c r="DX33" i="15"/>
  <c r="AZ33" i="15"/>
  <c r="MJ33" i="15"/>
  <c r="JX33" i="15"/>
  <c r="DN31" i="15"/>
  <c r="UF33" i="15"/>
  <c r="QN33" i="15"/>
  <c r="LL33" i="15"/>
  <c r="EJ33" i="15"/>
  <c r="OW31" i="15"/>
  <c r="OX30" i="15"/>
  <c r="CG31" i="15"/>
  <c r="CH30" i="15"/>
  <c r="QJ33" i="15"/>
  <c r="CZ33" i="15"/>
  <c r="FH33" i="15"/>
  <c r="NM31" i="15"/>
  <c r="NN30" i="15"/>
  <c r="RF31" i="15"/>
  <c r="IV33" i="15"/>
  <c r="DL33" i="15"/>
  <c r="LN31" i="15"/>
  <c r="KP31" i="15"/>
  <c r="TL33" i="15"/>
  <c r="SC31" i="15"/>
  <c r="SD30" i="15"/>
  <c r="GF33" i="15"/>
  <c r="KF33" i="15"/>
  <c r="BP33" i="15"/>
  <c r="AC32" i="15"/>
  <c r="AD32" i="15" s="1"/>
  <c r="MB33" i="15"/>
  <c r="RD33" i="15"/>
  <c r="QV33" i="15"/>
  <c r="DD33" i="15"/>
  <c r="QK31" i="15"/>
  <c r="QL30" i="15"/>
  <c r="KN33" i="15"/>
  <c r="KO33" i="15" s="1"/>
  <c r="KP32" i="15"/>
  <c r="EB33" i="15"/>
  <c r="SF33" i="15"/>
  <c r="UK31" i="15"/>
  <c r="UL30" i="15"/>
  <c r="NI31" i="15"/>
  <c r="NJ30" i="15"/>
  <c r="HH33" i="15"/>
  <c r="TD33" i="15"/>
  <c r="MD31" i="15"/>
  <c r="Y31" i="15"/>
  <c r="Z30" i="15"/>
  <c r="GO32" i="15"/>
  <c r="HN31" i="15"/>
  <c r="UC31" i="15"/>
  <c r="UD30" i="15"/>
  <c r="RL33" i="15"/>
  <c r="AF33" i="15"/>
  <c r="L33" i="15"/>
  <c r="PA31" i="15"/>
  <c r="PB30" i="15"/>
  <c r="PP33" i="15"/>
  <c r="KV33" i="15"/>
  <c r="H32" i="15"/>
  <c r="J31" i="15"/>
  <c r="MR33" i="15"/>
  <c r="FZ31" i="15"/>
  <c r="OK32" i="15"/>
  <c r="DY31" i="15"/>
  <c r="DZ30" i="15"/>
  <c r="PU31" i="15"/>
  <c r="PV30" i="15"/>
  <c r="OO31" i="15"/>
  <c r="OP30" i="15"/>
  <c r="ER33" i="15"/>
  <c r="TP33" i="15"/>
  <c r="FV31" i="15"/>
  <c r="FP33" i="15"/>
  <c r="HL33" i="15"/>
  <c r="CW31" i="15"/>
  <c r="CX30" i="15"/>
  <c r="ON33" i="15"/>
  <c r="RP33" i="15"/>
  <c r="IR33" i="15"/>
  <c r="JA32" i="15"/>
  <c r="BT32" i="15"/>
  <c r="AW31" i="15"/>
  <c r="AX30" i="15"/>
  <c r="JU31" i="15"/>
  <c r="JV30" i="15"/>
  <c r="JH33" i="15"/>
  <c r="FT33" i="15"/>
  <c r="IK31" i="15"/>
  <c r="IL30" i="15"/>
  <c r="UG31" i="15"/>
  <c r="UH30" i="15"/>
  <c r="QG31" i="15"/>
  <c r="QH30" i="15"/>
  <c r="KZ33" i="15"/>
  <c r="BM31" i="15"/>
  <c r="BN30" i="15"/>
  <c r="GZ33" i="15"/>
  <c r="TM31" i="15"/>
  <c r="TN30" i="15"/>
  <c r="IO31" i="15"/>
  <c r="IP30" i="15"/>
  <c r="MN33" i="15"/>
  <c r="DI31" i="15"/>
  <c r="DJ30" i="15"/>
  <c r="PM31" i="15"/>
  <c r="NP33" i="15"/>
  <c r="BX33" i="15"/>
  <c r="OV33" i="15"/>
  <c r="E32" i="15"/>
  <c r="F32" i="15" s="1"/>
  <c r="NQ31" i="15"/>
  <c r="NR30" i="15"/>
  <c r="HQ32" i="15"/>
  <c r="HR32" i="15" s="1"/>
  <c r="CB32" i="15"/>
  <c r="RY31" i="15"/>
  <c r="RZ30" i="15"/>
  <c r="EW31" i="15"/>
  <c r="EX30" i="15"/>
  <c r="HI31" i="15"/>
  <c r="HJ30" i="15"/>
  <c r="MH31" i="15"/>
  <c r="QW32" i="15"/>
  <c r="IG32" i="15"/>
  <c r="HD33" i="15"/>
  <c r="TA31" i="15"/>
  <c r="TB30" i="15"/>
  <c r="SZ33" i="15"/>
  <c r="UJ33" i="15"/>
  <c r="JL33" i="15"/>
  <c r="JE31" i="15"/>
  <c r="JF30" i="15"/>
  <c r="RM31" i="15"/>
  <c r="RN30" i="15"/>
  <c r="UR33" i="15"/>
  <c r="RT33" i="15"/>
  <c r="QF33" i="15"/>
  <c r="RH33" i="15"/>
  <c r="QS32" i="15"/>
  <c r="QT32" i="15" s="1"/>
  <c r="IN33" i="15"/>
  <c r="QC31" i="15"/>
  <c r="QD30" i="15"/>
  <c r="FX33" i="15"/>
  <c r="KR33" i="15"/>
  <c r="SS31" i="15"/>
  <c r="ST30" i="15"/>
  <c r="IB33" i="15"/>
  <c r="GC31" i="15"/>
  <c r="GD30" i="15"/>
  <c r="LD33" i="15"/>
  <c r="OC31" i="15"/>
  <c r="OD30" i="15"/>
  <c r="PH33" i="15"/>
  <c r="AV33" i="15"/>
  <c r="OB33" i="15"/>
  <c r="LU31" i="15"/>
  <c r="LV30" i="15"/>
  <c r="M31" i="15"/>
  <c r="N30" i="15"/>
  <c r="P33" i="15"/>
  <c r="PE32" i="15"/>
  <c r="TX33" i="15"/>
  <c r="FM32" i="15"/>
  <c r="EV33" i="15"/>
  <c r="HU31" i="15"/>
  <c r="HV30" i="15"/>
  <c r="BF31" i="15"/>
  <c r="OF32" i="15"/>
  <c r="OG32" i="15" s="1"/>
  <c r="OH31" i="15"/>
  <c r="CN33" i="15"/>
  <c r="HX33" i="15"/>
  <c r="ND33" i="15"/>
  <c r="QB33" i="15"/>
  <c r="BA32" i="15"/>
  <c r="BB32" i="15" s="1"/>
  <c r="KJ33" i="15"/>
  <c r="MF33" i="15"/>
  <c r="NB31" i="15"/>
  <c r="MZ32" i="15"/>
  <c r="NA32" i="15" s="1"/>
  <c r="UO32" i="15"/>
  <c r="RX33" i="15"/>
  <c r="LZ31" i="15"/>
  <c r="BH33" i="15"/>
  <c r="SJ33" i="15"/>
  <c r="SK33" i="15" s="1"/>
  <c r="OZ33" i="15"/>
  <c r="SN33" i="15"/>
  <c r="GR33" i="15"/>
  <c r="CC31" i="15"/>
  <c r="IS32" i="15"/>
  <c r="PI32" i="15"/>
  <c r="KG31" i="15"/>
  <c r="KH30" i="15"/>
  <c r="TZ31" i="15"/>
  <c r="HT33" i="15"/>
  <c r="GV33" i="15"/>
  <c r="BD33" i="15"/>
  <c r="HY32" i="15"/>
  <c r="HZ32" i="15" s="1"/>
  <c r="MW31" i="15"/>
  <c r="MX30" i="15"/>
  <c r="NX33" i="15"/>
  <c r="PT33" i="15"/>
  <c r="TQ31" i="15"/>
  <c r="TR30" i="15"/>
  <c r="DE31" i="15"/>
  <c r="DF30" i="15"/>
  <c r="EC31" i="15"/>
  <c r="ED30" i="15"/>
  <c r="LX33" i="15"/>
  <c r="LP33" i="15"/>
  <c r="JY32" i="15"/>
  <c r="SP31" i="15"/>
  <c r="CJ33" i="15"/>
  <c r="IC32" i="15"/>
  <c r="ID32" i="15" s="1"/>
  <c r="SV33" i="15"/>
  <c r="RA31" i="15"/>
  <c r="RB30" i="15"/>
  <c r="EF33" i="15"/>
  <c r="AN33" i="15"/>
  <c r="AK32" i="15"/>
  <c r="AL32" i="15" s="1"/>
  <c r="DT33" i="15"/>
  <c r="OS31" i="15"/>
  <c r="OT30" i="15"/>
  <c r="BV30" i="15"/>
  <c r="US31" i="15"/>
  <c r="UT30" i="15"/>
  <c r="LH33" i="15"/>
  <c r="GS32" i="15"/>
  <c r="GT32" i="15" s="1"/>
  <c r="F35" i="8"/>
  <c r="G35" i="8" s="1"/>
  <c r="F35" i="9"/>
  <c r="G35" i="9" s="1"/>
  <c r="E36" i="11"/>
  <c r="F35" i="11"/>
  <c r="G34" i="10"/>
  <c r="G35" i="10"/>
  <c r="E36" i="9"/>
  <c r="G34" i="9"/>
  <c r="G34" i="8"/>
  <c r="E36" i="8"/>
  <c r="E37" i="2"/>
  <c r="F36" i="2"/>
  <c r="BQ33" i="15" l="1"/>
  <c r="AO33" i="15"/>
  <c r="LQ33" i="15"/>
  <c r="LR33" i="15" s="1"/>
  <c r="TY33" i="15"/>
  <c r="TZ33" i="15" s="1"/>
  <c r="SW33" i="15"/>
  <c r="SX33" i="15" s="1"/>
  <c r="HE33" i="15"/>
  <c r="HF33" i="15" s="1"/>
  <c r="GW33" i="15"/>
  <c r="GX33" i="15" s="1"/>
  <c r="RI33" i="15"/>
  <c r="RJ33" i="15" s="1"/>
  <c r="JM33" i="15"/>
  <c r="JN33" i="15" s="1"/>
  <c r="DA33" i="15"/>
  <c r="AG33" i="15"/>
  <c r="AH33" i="15" s="1"/>
  <c r="LI33" i="15"/>
  <c r="LJ33" i="15" s="1"/>
  <c r="PY33" i="15"/>
  <c r="PZ33" i="15" s="1"/>
  <c r="QO33" i="15"/>
  <c r="QP33" i="15" s="1"/>
  <c r="RE33" i="15"/>
  <c r="RF33" i="15" s="1"/>
  <c r="U33" i="15"/>
  <c r="V33" i="15" s="1"/>
  <c r="CC32" i="15"/>
  <c r="CD32" i="15" s="1"/>
  <c r="DM33" i="15"/>
  <c r="FM33" i="15"/>
  <c r="FN33" i="15" s="1"/>
  <c r="BE33" i="15"/>
  <c r="BF33" i="15" s="1"/>
  <c r="LY33" i="15"/>
  <c r="LZ33" i="15" s="1"/>
  <c r="OK33" i="15"/>
  <c r="OL33" i="15" s="1"/>
  <c r="JA33" i="15"/>
  <c r="JB33" i="15" s="1"/>
  <c r="MC33" i="15"/>
  <c r="MD33" i="15" s="1"/>
  <c r="PM32" i="15"/>
  <c r="PN32" i="15" s="1"/>
  <c r="GO33" i="15"/>
  <c r="GP33" i="15" s="1"/>
  <c r="V32" i="15"/>
  <c r="PI33" i="15"/>
  <c r="PJ33" i="15" s="1"/>
  <c r="IS33" i="15"/>
  <c r="IT33" i="15" s="1"/>
  <c r="IG33" i="15"/>
  <c r="IH33" i="15" s="1"/>
  <c r="QW33" i="15"/>
  <c r="QX33" i="15" s="1"/>
  <c r="BA33" i="15"/>
  <c r="BB33" i="15" s="1"/>
  <c r="HY33" i="15"/>
  <c r="HZ33" i="15" s="1"/>
  <c r="BU32" i="15"/>
  <c r="BV32" i="15" s="1"/>
  <c r="E33" i="15"/>
  <c r="F33" i="15" s="1"/>
  <c r="JY33" i="15"/>
  <c r="JZ33" i="15" s="1"/>
  <c r="PE33" i="15"/>
  <c r="PF33" i="15" s="1"/>
  <c r="MF34" i="15"/>
  <c r="RP34" i="15"/>
  <c r="LD34" i="15"/>
  <c r="QG32" i="15"/>
  <c r="QH31" i="15"/>
  <c r="UC32" i="15"/>
  <c r="UD31" i="15"/>
  <c r="JD34" i="15"/>
  <c r="FA32" i="15"/>
  <c r="FB31" i="15"/>
  <c r="DX34" i="15"/>
  <c r="DH34" i="15"/>
  <c r="NU32" i="15"/>
  <c r="NV31" i="15"/>
  <c r="JP34" i="15"/>
  <c r="SC32" i="15"/>
  <c r="SD31" i="15"/>
  <c r="LA32" i="15"/>
  <c r="LB31" i="15"/>
  <c r="DY32" i="15"/>
  <c r="DZ31" i="15"/>
  <c r="DU32" i="15"/>
  <c r="DV31" i="15"/>
  <c r="QK32" i="15"/>
  <c r="QL31" i="15"/>
  <c r="TL34" i="15"/>
  <c r="OW32" i="15"/>
  <c r="OX31" i="15"/>
  <c r="LE32" i="15"/>
  <c r="LF31" i="15"/>
  <c r="FN32" i="15"/>
  <c r="DP34" i="15"/>
  <c r="EZ34" i="15"/>
  <c r="CR33" i="15"/>
  <c r="TT34" i="15"/>
  <c r="NL34" i="15"/>
  <c r="CG32" i="15"/>
  <c r="CH31" i="15"/>
  <c r="DI32" i="15"/>
  <c r="DJ31" i="15"/>
  <c r="IK32" i="15"/>
  <c r="IL31" i="15"/>
  <c r="CW32" i="15"/>
  <c r="CX31" i="15"/>
  <c r="Y32" i="15"/>
  <c r="Z31" i="15"/>
  <c r="DD34" i="15"/>
  <c r="HA32" i="15"/>
  <c r="HB31" i="15"/>
  <c r="FL34" i="15"/>
  <c r="CF34" i="15"/>
  <c r="OL32" i="15"/>
  <c r="KJ34" i="15"/>
  <c r="EW32" i="15"/>
  <c r="EX31" i="15"/>
  <c r="FT34" i="15"/>
  <c r="H33" i="15"/>
  <c r="X34" i="15"/>
  <c r="OJ34" i="15"/>
  <c r="KC32" i="15"/>
  <c r="KD31" i="15"/>
  <c r="ES32" i="15"/>
  <c r="ET31" i="15"/>
  <c r="MS32" i="15"/>
  <c r="MT31" i="15"/>
  <c r="P34" i="15"/>
  <c r="SS32" i="15"/>
  <c r="ST31" i="15"/>
  <c r="RM32" i="15"/>
  <c r="RN31" i="15"/>
  <c r="MN34" i="15"/>
  <c r="HL34" i="15"/>
  <c r="KV34" i="15"/>
  <c r="QV34" i="15"/>
  <c r="EJ34" i="15"/>
  <c r="KW32" i="15"/>
  <c r="KX31" i="15"/>
  <c r="RQ32" i="15"/>
  <c r="RR31" i="15"/>
  <c r="TH34" i="15"/>
  <c r="JQ32" i="15"/>
  <c r="JR31" i="15"/>
  <c r="IH32" i="15"/>
  <c r="TU33" i="15"/>
  <c r="EV34" i="15"/>
  <c r="ND34" i="15"/>
  <c r="KR34" i="15"/>
  <c r="RY32" i="15"/>
  <c r="RZ31" i="15"/>
  <c r="JH34" i="15"/>
  <c r="TD34" i="15"/>
  <c r="QX32" i="15"/>
  <c r="LL34" i="15"/>
  <c r="AB34" i="15"/>
  <c r="DQ33" i="15"/>
  <c r="IF34" i="15"/>
  <c r="TE32" i="15"/>
  <c r="TF31" i="15"/>
  <c r="HP34" i="15"/>
  <c r="PT34" i="15"/>
  <c r="FP34" i="15"/>
  <c r="DL34" i="15"/>
  <c r="DN33" i="15"/>
  <c r="AR34" i="15"/>
  <c r="NT34" i="15"/>
  <c r="MK32" i="15"/>
  <c r="ML31" i="15"/>
  <c r="GN34" i="15"/>
  <c r="AJ34" i="15"/>
  <c r="FD34" i="15"/>
  <c r="AS32" i="15"/>
  <c r="AT31" i="15"/>
  <c r="CJ34" i="15"/>
  <c r="IO32" i="15"/>
  <c r="IP31" i="15"/>
  <c r="PP34" i="15"/>
  <c r="HH34" i="15"/>
  <c r="RD34" i="15"/>
  <c r="QN34" i="15"/>
  <c r="EK33" i="15"/>
  <c r="GP32" i="15"/>
  <c r="GB34" i="15"/>
  <c r="IJ34" i="15"/>
  <c r="PN31" i="15"/>
  <c r="NE32" i="15"/>
  <c r="NF31" i="15"/>
  <c r="TQ32" i="15"/>
  <c r="TR31" i="15"/>
  <c r="RT34" i="15"/>
  <c r="UG32" i="15"/>
  <c r="UH31" i="15"/>
  <c r="QB34" i="15"/>
  <c r="GS33" i="15"/>
  <c r="GT33" i="15" s="1"/>
  <c r="FX34" i="15"/>
  <c r="TP34" i="15"/>
  <c r="IV34" i="15"/>
  <c r="PL33" i="15"/>
  <c r="BL34" i="15"/>
  <c r="KK33" i="15"/>
  <c r="KL33" i="15" s="1"/>
  <c r="QF34" i="15"/>
  <c r="RA32" i="15"/>
  <c r="RB31" i="15"/>
  <c r="IC33" i="15"/>
  <c r="ID33" i="15" s="1"/>
  <c r="LH34" i="15"/>
  <c r="M32" i="15"/>
  <c r="N31" i="15"/>
  <c r="US32" i="15"/>
  <c r="UT31" i="15"/>
  <c r="HQ33" i="15"/>
  <c r="JU32" i="15"/>
  <c r="JV31" i="15"/>
  <c r="PA32" i="15"/>
  <c r="PB31" i="15"/>
  <c r="MB34" i="15"/>
  <c r="D34" i="15"/>
  <c r="Q32" i="15"/>
  <c r="R31" i="15"/>
  <c r="KB34" i="15"/>
  <c r="GJ34" i="15"/>
  <c r="FE33" i="15"/>
  <c r="GF34" i="15"/>
  <c r="MR34" i="15"/>
  <c r="GR34" i="15"/>
  <c r="SN34" i="15"/>
  <c r="JE32" i="15"/>
  <c r="JF31" i="15"/>
  <c r="HX34" i="15"/>
  <c r="CN34" i="15"/>
  <c r="TM32" i="15"/>
  <c r="TN31" i="15"/>
  <c r="NI32" i="15"/>
  <c r="NJ31" i="15"/>
  <c r="LM33" i="15"/>
  <c r="UF34" i="15"/>
  <c r="PQ32" i="15"/>
  <c r="PR31" i="15"/>
  <c r="MO33" i="15"/>
  <c r="MP33" i="15" s="1"/>
  <c r="TI32" i="15"/>
  <c r="TJ31" i="15"/>
  <c r="UB34" i="15"/>
  <c r="NP34" i="15"/>
  <c r="SJ34" i="15"/>
  <c r="SL33" i="15"/>
  <c r="BD34" i="15"/>
  <c r="AV34" i="15"/>
  <c r="AW32" i="15"/>
  <c r="AX31" i="15"/>
  <c r="ER34" i="15"/>
  <c r="AC33" i="15"/>
  <c r="NM32" i="15"/>
  <c r="NN31" i="15"/>
  <c r="FQ32" i="15"/>
  <c r="FR31" i="15"/>
  <c r="EN34" i="15"/>
  <c r="T34" i="15"/>
  <c r="FY33" i="15"/>
  <c r="FZ33" i="15" s="1"/>
  <c r="GG32" i="15"/>
  <c r="GH31" i="15"/>
  <c r="CK33" i="15"/>
  <c r="NX34" i="15"/>
  <c r="CB33" i="15"/>
  <c r="SZ34" i="15"/>
  <c r="UK32" i="15"/>
  <c r="UL31" i="15"/>
  <c r="FH34" i="15"/>
  <c r="JX34" i="15"/>
  <c r="NH34" i="15"/>
  <c r="CV34" i="15"/>
  <c r="JI32" i="15"/>
  <c r="JJ31" i="15"/>
  <c r="BY32" i="15"/>
  <c r="BZ31" i="15"/>
  <c r="I32" i="15"/>
  <c r="J32" i="15" s="1"/>
  <c r="EF34" i="15"/>
  <c r="IB34" i="15"/>
  <c r="MW32" i="15"/>
  <c r="MX31" i="15"/>
  <c r="OZ34" i="15"/>
  <c r="HM33" i="15"/>
  <c r="NQ32" i="15"/>
  <c r="NR31" i="15"/>
  <c r="BV31" i="15"/>
  <c r="QR34" i="15"/>
  <c r="JT34" i="15"/>
  <c r="KS33" i="15"/>
  <c r="ON34" i="15"/>
  <c r="GC32" i="15"/>
  <c r="GD31" i="15"/>
  <c r="SV34" i="15"/>
  <c r="CD31" i="15"/>
  <c r="BH34" i="15"/>
  <c r="RX34" i="15"/>
  <c r="IN34" i="15"/>
  <c r="BP34" i="15"/>
  <c r="BQ34" i="15" s="1"/>
  <c r="BR33" i="15"/>
  <c r="CS32" i="15"/>
  <c r="PH34" i="15"/>
  <c r="OO32" i="15"/>
  <c r="OP31" i="15"/>
  <c r="JZ32" i="15"/>
  <c r="PJ32" i="15"/>
  <c r="QS33" i="15"/>
  <c r="TA32" i="15"/>
  <c r="TB31" i="15"/>
  <c r="OV34" i="15"/>
  <c r="BM32" i="15"/>
  <c r="BN31" i="15"/>
  <c r="AF34" i="15"/>
  <c r="SO33" i="15"/>
  <c r="MJ34" i="15"/>
  <c r="EO33" i="15"/>
  <c r="PX34" i="15"/>
  <c r="IW32" i="15"/>
  <c r="IX31" i="15"/>
  <c r="QZ34" i="15"/>
  <c r="EG33" i="15"/>
  <c r="PF32" i="15"/>
  <c r="RU32" i="15"/>
  <c r="RV31" i="15"/>
  <c r="SR34" i="15"/>
  <c r="CO33" i="15"/>
  <c r="CP33" i="15" s="1"/>
  <c r="UN34" i="15"/>
  <c r="KP33" i="15"/>
  <c r="KN34" i="15"/>
  <c r="KO34" i="15" s="1"/>
  <c r="TX34" i="15"/>
  <c r="UR34" i="15"/>
  <c r="LP34" i="15"/>
  <c r="LU32" i="15"/>
  <c r="LV31" i="15"/>
  <c r="LX34" i="15"/>
  <c r="OB34" i="15"/>
  <c r="OS32" i="15"/>
  <c r="OT31" i="15"/>
  <c r="BI33" i="15"/>
  <c r="OF33" i="15"/>
  <c r="OG33" i="15" s="1"/>
  <c r="OH32" i="15"/>
  <c r="GZ34" i="15"/>
  <c r="L34" i="15"/>
  <c r="DT34" i="15"/>
  <c r="AK33" i="15"/>
  <c r="UO33" i="15"/>
  <c r="NB32" i="15"/>
  <c r="MZ33" i="15"/>
  <c r="HD34" i="15"/>
  <c r="FU33" i="15"/>
  <c r="KZ34" i="15"/>
  <c r="IT32" i="15"/>
  <c r="PU32" i="15"/>
  <c r="PV31" i="15"/>
  <c r="SF34" i="15"/>
  <c r="KF34" i="15"/>
  <c r="CZ34" i="15"/>
  <c r="DB33" i="15"/>
  <c r="JB32" i="15"/>
  <c r="PD34" i="15"/>
  <c r="FI33" i="15"/>
  <c r="BX34" i="15"/>
  <c r="MV34" i="15"/>
  <c r="HI32" i="15"/>
  <c r="HJ31" i="15"/>
  <c r="MG33" i="15"/>
  <c r="JL34" i="15"/>
  <c r="GV34" i="15"/>
  <c r="UJ34" i="15"/>
  <c r="QC32" i="15"/>
  <c r="QD31" i="15"/>
  <c r="BT33" i="15"/>
  <c r="HT34" i="15"/>
  <c r="EC32" i="15"/>
  <c r="ED31" i="15"/>
  <c r="AP33" i="15"/>
  <c r="AN34" i="15"/>
  <c r="DE32" i="15"/>
  <c r="DF31" i="15"/>
  <c r="KG32" i="15"/>
  <c r="KH31" i="15"/>
  <c r="HU32" i="15"/>
  <c r="HV31" i="15"/>
  <c r="OC32" i="15"/>
  <c r="OD31" i="15"/>
  <c r="RH34" i="15"/>
  <c r="IR34" i="15"/>
  <c r="RL34" i="15"/>
  <c r="EB34" i="15"/>
  <c r="QJ34" i="15"/>
  <c r="AZ34" i="15"/>
  <c r="NY32" i="15"/>
  <c r="NZ31" i="15"/>
  <c r="GK32" i="15"/>
  <c r="GL31" i="15"/>
  <c r="IZ34" i="15"/>
  <c r="OR34" i="15"/>
  <c r="UP32" i="15"/>
  <c r="SB34" i="15"/>
  <c r="LT34" i="15"/>
  <c r="SG33" i="15"/>
  <c r="F36" i="11"/>
  <c r="G36" i="11" s="1"/>
  <c r="F37" i="2"/>
  <c r="G37" i="2" s="1"/>
  <c r="G36" i="2"/>
  <c r="E37" i="11"/>
  <c r="G35" i="11"/>
  <c r="E37" i="9"/>
  <c r="F36" i="9"/>
  <c r="E37" i="8"/>
  <c r="F36" i="8"/>
  <c r="E38" i="2"/>
  <c r="DA34" i="15" l="1"/>
  <c r="HE34" i="15"/>
  <c r="HF34" i="15" s="1"/>
  <c r="QS34" i="15"/>
  <c r="LQ34" i="15"/>
  <c r="LR34" i="15" s="1"/>
  <c r="TY34" i="15"/>
  <c r="TZ34" i="15" s="1"/>
  <c r="PE34" i="15"/>
  <c r="PF34" i="15" s="1"/>
  <c r="BE34" i="15"/>
  <c r="BF34" i="15" s="1"/>
  <c r="AG34" i="15"/>
  <c r="AH34" i="15" s="1"/>
  <c r="GW34" i="15"/>
  <c r="GX34" i="15" s="1"/>
  <c r="RI34" i="15"/>
  <c r="RJ34" i="15" s="1"/>
  <c r="JM34" i="15"/>
  <c r="JN34" i="15" s="1"/>
  <c r="PY34" i="15"/>
  <c r="PZ34" i="15" s="1"/>
  <c r="BI34" i="15"/>
  <c r="BJ34" i="15" s="1"/>
  <c r="U34" i="15"/>
  <c r="V34" i="15" s="1"/>
  <c r="JY34" i="15"/>
  <c r="JZ34" i="15" s="1"/>
  <c r="JA34" i="15"/>
  <c r="JB34" i="15" s="1"/>
  <c r="LY34" i="15"/>
  <c r="LZ34" i="15" s="1"/>
  <c r="HY34" i="15"/>
  <c r="HZ34" i="15" s="1"/>
  <c r="FU34" i="15"/>
  <c r="FV34" i="15" s="1"/>
  <c r="MC34" i="15"/>
  <c r="MD34" i="15" s="1"/>
  <c r="EG34" i="15"/>
  <c r="EH34" i="15" s="1"/>
  <c r="FM34" i="15"/>
  <c r="FN34" i="15" s="1"/>
  <c r="PM33" i="15"/>
  <c r="PN33" i="15" s="1"/>
  <c r="KS34" i="15"/>
  <c r="KT34" i="15" s="1"/>
  <c r="AC34" i="15"/>
  <c r="AD34" i="15" s="1"/>
  <c r="HQ34" i="15"/>
  <c r="HR34" i="15" s="1"/>
  <c r="E34" i="15"/>
  <c r="F34" i="15" s="1"/>
  <c r="PI34" i="15"/>
  <c r="PJ34" i="15" s="1"/>
  <c r="IS34" i="15"/>
  <c r="IT34" i="15" s="1"/>
  <c r="HM34" i="15"/>
  <c r="HN34" i="15" s="1"/>
  <c r="EK34" i="15"/>
  <c r="EL34" i="15" s="1"/>
  <c r="SO34" i="15"/>
  <c r="SP34" i="15" s="1"/>
  <c r="MG34" i="15"/>
  <c r="UO34" i="15"/>
  <c r="UP34" i="15" s="1"/>
  <c r="LM34" i="15"/>
  <c r="LN34" i="15" s="1"/>
  <c r="TU34" i="15"/>
  <c r="TV34" i="15" s="1"/>
  <c r="CS33" i="15"/>
  <c r="CT33" i="15" s="1"/>
  <c r="I33" i="15"/>
  <c r="J33" i="15" s="1"/>
  <c r="EO34" i="15"/>
  <c r="EP34" i="15" s="1"/>
  <c r="DQ34" i="15"/>
  <c r="DR34" i="15" s="1"/>
  <c r="CK34" i="15"/>
  <c r="CL34" i="15" s="1"/>
  <c r="FE34" i="15"/>
  <c r="FF34" i="15" s="1"/>
  <c r="SG34" i="15"/>
  <c r="SH34" i="15" s="1"/>
  <c r="EV35" i="15"/>
  <c r="MW33" i="15"/>
  <c r="MX32" i="15"/>
  <c r="IF35" i="15"/>
  <c r="FV33" i="15"/>
  <c r="LE33" i="15"/>
  <c r="LF32" i="15"/>
  <c r="FT35" i="15"/>
  <c r="IK33" i="15"/>
  <c r="IL32" i="15"/>
  <c r="JP35" i="15"/>
  <c r="RP35" i="15"/>
  <c r="MR35" i="15"/>
  <c r="US33" i="15"/>
  <c r="UT32" i="15"/>
  <c r="AD33" i="15"/>
  <c r="RM33" i="15"/>
  <c r="RN32" i="15"/>
  <c r="OW33" i="15"/>
  <c r="OX32" i="15"/>
  <c r="MH33" i="15"/>
  <c r="BM33" i="15"/>
  <c r="BN32" i="15"/>
  <c r="GR35" i="15"/>
  <c r="GN35" i="15"/>
  <c r="SV35" i="15"/>
  <c r="SZ35" i="15"/>
  <c r="UF35" i="15"/>
  <c r="GS34" i="15"/>
  <c r="MK33" i="15"/>
  <c r="ML32" i="15"/>
  <c r="AB35" i="15"/>
  <c r="EW33" i="15"/>
  <c r="EX32" i="15"/>
  <c r="DI33" i="15"/>
  <c r="DJ32" i="15"/>
  <c r="TL35" i="15"/>
  <c r="MF35" i="15"/>
  <c r="MN35" i="15"/>
  <c r="OV35" i="15"/>
  <c r="ER35" i="15"/>
  <c r="GF35" i="15"/>
  <c r="M33" i="15"/>
  <c r="N32" i="15"/>
  <c r="QB35" i="15"/>
  <c r="RD35" i="15"/>
  <c r="LL35" i="15"/>
  <c r="JQ33" i="15"/>
  <c r="JR32" i="15"/>
  <c r="SS33" i="15"/>
  <c r="ST32" i="15"/>
  <c r="NU33" i="15"/>
  <c r="NV32" i="15"/>
  <c r="RE34" i="15"/>
  <c r="LD35" i="15"/>
  <c r="UK33" i="15"/>
  <c r="UL32" i="15"/>
  <c r="EH33" i="15"/>
  <c r="LH35" i="15"/>
  <c r="NT35" i="15"/>
  <c r="LN33" i="15"/>
  <c r="TH35" i="15"/>
  <c r="KJ35" i="15"/>
  <c r="DH35" i="15"/>
  <c r="AZ35" i="15"/>
  <c r="ON35" i="15"/>
  <c r="EF35" i="15"/>
  <c r="CB34" i="15"/>
  <c r="AW33" i="15"/>
  <c r="AX32" i="15"/>
  <c r="GJ35" i="15"/>
  <c r="HH35" i="15"/>
  <c r="P35" i="15"/>
  <c r="CG33" i="15"/>
  <c r="CH32" i="15"/>
  <c r="QK33" i="15"/>
  <c r="QL32" i="15"/>
  <c r="OB35" i="15"/>
  <c r="NY33" i="15"/>
  <c r="NZ32" i="15"/>
  <c r="LU33" i="15"/>
  <c r="LV32" i="15"/>
  <c r="IC34" i="15"/>
  <c r="ID34" i="15" s="1"/>
  <c r="UG33" i="15"/>
  <c r="UH32" i="15"/>
  <c r="PP35" i="15"/>
  <c r="AR35" i="15"/>
  <c r="TD35" i="15"/>
  <c r="CF35" i="15"/>
  <c r="TP35" i="15"/>
  <c r="PU33" i="15"/>
  <c r="PV32" i="15"/>
  <c r="AN35" i="15"/>
  <c r="MV35" i="15"/>
  <c r="NX35" i="15"/>
  <c r="AV35" i="15"/>
  <c r="KB35" i="15"/>
  <c r="RQ33" i="15"/>
  <c r="RR32" i="15"/>
  <c r="NL35" i="15"/>
  <c r="DU33" i="15"/>
  <c r="DV32" i="15"/>
  <c r="DX35" i="15"/>
  <c r="JU33" i="15"/>
  <c r="JV32" i="15"/>
  <c r="KZ35" i="15"/>
  <c r="TA33" i="15"/>
  <c r="TB32" i="15"/>
  <c r="QZ35" i="15"/>
  <c r="MZ34" i="15"/>
  <c r="RA33" i="15"/>
  <c r="RB32" i="15"/>
  <c r="RT35" i="15"/>
  <c r="DL35" i="15"/>
  <c r="MS33" i="15"/>
  <c r="MT32" i="15"/>
  <c r="TT35" i="15"/>
  <c r="HU33" i="15"/>
  <c r="HV32" i="15"/>
  <c r="FH35" i="15"/>
  <c r="DE33" i="15"/>
  <c r="DF32" i="15"/>
  <c r="GC33" i="15"/>
  <c r="GD32" i="15"/>
  <c r="PD35" i="15"/>
  <c r="BD35" i="15"/>
  <c r="TM33" i="15"/>
  <c r="TN32" i="15"/>
  <c r="IO33" i="15"/>
  <c r="IP32" i="15"/>
  <c r="FP35" i="15"/>
  <c r="JH35" i="15"/>
  <c r="KW33" i="15"/>
  <c r="KX32" i="15"/>
  <c r="FL35" i="15"/>
  <c r="TV33" i="15"/>
  <c r="DY33" i="15"/>
  <c r="DZ32" i="15"/>
  <c r="FA33" i="15"/>
  <c r="FB32" i="15"/>
  <c r="JL35" i="15"/>
  <c r="TI33" i="15"/>
  <c r="TJ32" i="15"/>
  <c r="RU33" i="15"/>
  <c r="RV32" i="15"/>
  <c r="HD35" i="15"/>
  <c r="JI33" i="15"/>
  <c r="JJ32" i="15"/>
  <c r="CN35" i="15"/>
  <c r="Q33" i="15"/>
  <c r="R32" i="15"/>
  <c r="QF35" i="15"/>
  <c r="TQ33" i="15"/>
  <c r="TR32" i="15"/>
  <c r="CL33" i="15"/>
  <c r="EJ35" i="15"/>
  <c r="ES33" i="15"/>
  <c r="ET32" i="15"/>
  <c r="CT32" i="15"/>
  <c r="IG34" i="15"/>
  <c r="SR35" i="15"/>
  <c r="FQ33" i="15"/>
  <c r="FR32" i="15"/>
  <c r="FX35" i="15"/>
  <c r="FI34" i="15"/>
  <c r="RL35" i="15"/>
  <c r="SJ35" i="15"/>
  <c r="KK34" i="15"/>
  <c r="CJ35" i="15"/>
  <c r="RY33" i="15"/>
  <c r="RZ32" i="15"/>
  <c r="EL33" i="15"/>
  <c r="HA33" i="15"/>
  <c r="HB32" i="15"/>
  <c r="CR34" i="15"/>
  <c r="JD35" i="15"/>
  <c r="MO34" i="15"/>
  <c r="MP34" i="15" s="1"/>
  <c r="PQ33" i="15"/>
  <c r="PR32" i="15"/>
  <c r="LX35" i="15"/>
  <c r="HT35" i="15"/>
  <c r="JT35" i="15"/>
  <c r="L35" i="15"/>
  <c r="D35" i="15"/>
  <c r="PT35" i="15"/>
  <c r="KT33" i="15"/>
  <c r="QV35" i="15"/>
  <c r="KC33" i="15"/>
  <c r="KD32" i="15"/>
  <c r="LA33" i="15"/>
  <c r="LB32" i="15"/>
  <c r="DM34" i="15"/>
  <c r="DN34" i="15" s="1"/>
  <c r="KG33" i="15"/>
  <c r="KH32" i="15"/>
  <c r="EC33" i="15"/>
  <c r="ED32" i="15"/>
  <c r="IW33" i="15"/>
  <c r="IX32" i="15"/>
  <c r="BT34" i="15"/>
  <c r="QT34" i="15"/>
  <c r="QR35" i="15"/>
  <c r="OJ35" i="15"/>
  <c r="EZ35" i="15"/>
  <c r="BU33" i="15"/>
  <c r="BV33" i="15" s="1"/>
  <c r="UC33" i="15"/>
  <c r="UD32" i="15"/>
  <c r="LI34" i="15"/>
  <c r="CW33" i="15"/>
  <c r="CX32" i="15"/>
  <c r="QN35" i="15"/>
  <c r="QJ35" i="15"/>
  <c r="BX35" i="15"/>
  <c r="CV35" i="15"/>
  <c r="TX35" i="15"/>
  <c r="FY34" i="15"/>
  <c r="NE33" i="15"/>
  <c r="NF32" i="15"/>
  <c r="SB35" i="15"/>
  <c r="DB34" i="15"/>
  <c r="CZ35" i="15"/>
  <c r="DA35" i="15" s="1"/>
  <c r="KP34" i="15"/>
  <c r="KN35" i="15"/>
  <c r="KO35" i="15" s="1"/>
  <c r="NP35" i="15"/>
  <c r="MB35" i="15"/>
  <c r="BL35" i="15"/>
  <c r="AS33" i="15"/>
  <c r="AT32" i="15"/>
  <c r="KF35" i="15"/>
  <c r="GZ35" i="15"/>
  <c r="AF35" i="15"/>
  <c r="IN35" i="15"/>
  <c r="NQ33" i="15"/>
  <c r="NR32" i="15"/>
  <c r="FD35" i="15"/>
  <c r="HR33" i="15"/>
  <c r="ND35" i="15"/>
  <c r="DD35" i="15"/>
  <c r="DP35" i="15"/>
  <c r="OK34" i="15"/>
  <c r="SK34" i="15"/>
  <c r="AJ35" i="15"/>
  <c r="OS33" i="15"/>
  <c r="OT32" i="15"/>
  <c r="IB35" i="15"/>
  <c r="HI33" i="15"/>
  <c r="HJ32" i="15"/>
  <c r="NI33" i="15"/>
  <c r="NJ32" i="15"/>
  <c r="BY33" i="15"/>
  <c r="BZ32" i="15"/>
  <c r="GG33" i="15"/>
  <c r="GH32" i="15"/>
  <c r="BR34" i="15"/>
  <c r="BP35" i="15"/>
  <c r="HX35" i="15"/>
  <c r="KR35" i="15"/>
  <c r="UJ35" i="15"/>
  <c r="UN35" i="15"/>
  <c r="RX35" i="15"/>
  <c r="EN35" i="15"/>
  <c r="UB35" i="15"/>
  <c r="JE33" i="15"/>
  <c r="JF32" i="15"/>
  <c r="PL34" i="15"/>
  <c r="IJ35" i="15"/>
  <c r="FF33" i="15"/>
  <c r="HP35" i="15"/>
  <c r="KV35" i="15"/>
  <c r="X35" i="15"/>
  <c r="DR33" i="15"/>
  <c r="SC33" i="15"/>
  <c r="SD32" i="15"/>
  <c r="BJ33" i="15"/>
  <c r="OO33" i="15"/>
  <c r="OP32" i="15"/>
  <c r="PH35" i="15"/>
  <c r="UR35" i="15"/>
  <c r="IR35" i="15"/>
  <c r="QT33" i="15"/>
  <c r="MJ35" i="15"/>
  <c r="T35" i="15"/>
  <c r="OC33" i="15"/>
  <c r="OD32" i="15"/>
  <c r="SF35" i="15"/>
  <c r="UP33" i="15"/>
  <c r="JX35" i="15"/>
  <c r="EP33" i="15"/>
  <c r="SP33" i="15"/>
  <c r="PA33" i="15"/>
  <c r="PB32" i="15"/>
  <c r="IV35" i="15"/>
  <c r="NA33" i="15"/>
  <c r="HN33" i="15"/>
  <c r="Y33" i="15"/>
  <c r="Z32" i="15"/>
  <c r="AO34" i="15"/>
  <c r="GO34" i="15"/>
  <c r="GP34" i="15" s="1"/>
  <c r="QG33" i="15"/>
  <c r="QH32" i="15"/>
  <c r="QO34" i="15"/>
  <c r="QP34" i="15" s="1"/>
  <c r="GK33" i="15"/>
  <c r="GL32" i="15"/>
  <c r="NM33" i="15"/>
  <c r="NN32" i="15"/>
  <c r="EB35" i="15"/>
  <c r="LP35" i="15"/>
  <c r="PX35" i="15"/>
  <c r="AK34" i="15"/>
  <c r="DT35" i="15"/>
  <c r="LT35" i="15"/>
  <c r="BA34" i="15"/>
  <c r="BB34" i="15" s="1"/>
  <c r="QC33" i="15"/>
  <c r="QD32" i="15"/>
  <c r="NH35" i="15"/>
  <c r="RH35" i="15"/>
  <c r="OR35" i="15"/>
  <c r="GV35" i="15"/>
  <c r="IZ35" i="15"/>
  <c r="SH33" i="15"/>
  <c r="OF34" i="15"/>
  <c r="OG34" i="15" s="1"/>
  <c r="OH33" i="15"/>
  <c r="CO34" i="15"/>
  <c r="BH35" i="15"/>
  <c r="OZ35" i="15"/>
  <c r="FJ33" i="15"/>
  <c r="SN35" i="15"/>
  <c r="GB35" i="15"/>
  <c r="AL33" i="15"/>
  <c r="TE33" i="15"/>
  <c r="TF32" i="15"/>
  <c r="CC33" i="15"/>
  <c r="HL35" i="15"/>
  <c r="H34" i="15"/>
  <c r="QW34" i="15"/>
  <c r="SW34" i="15"/>
  <c r="F37" i="9"/>
  <c r="G37" i="9" s="1"/>
  <c r="F37" i="8"/>
  <c r="G37" i="8" s="1"/>
  <c r="E38" i="11"/>
  <c r="F37" i="11"/>
  <c r="G36" i="10"/>
  <c r="G37" i="10"/>
  <c r="G36" i="9"/>
  <c r="E38" i="9"/>
  <c r="G36" i="8"/>
  <c r="E38" i="8"/>
  <c r="E39" i="2"/>
  <c r="F38" i="2"/>
  <c r="TY35" i="15" l="1"/>
  <c r="AG35" i="15"/>
  <c r="LQ35" i="15"/>
  <c r="LR35" i="15" s="1"/>
  <c r="LY35" i="15"/>
  <c r="LZ35" i="15" s="1"/>
  <c r="FM35" i="15"/>
  <c r="FN35" i="15" s="1"/>
  <c r="RI35" i="15"/>
  <c r="RJ35" i="15" s="1"/>
  <c r="JM35" i="15"/>
  <c r="JN35" i="15" s="1"/>
  <c r="NA34" i="15"/>
  <c r="NB34" i="15" s="1"/>
  <c r="JY35" i="15"/>
  <c r="JZ35" i="15" s="1"/>
  <c r="U35" i="15"/>
  <c r="V35" i="15" s="1"/>
  <c r="EG35" i="15"/>
  <c r="EH35" i="15" s="1"/>
  <c r="FU35" i="15"/>
  <c r="FV35" i="15" s="1"/>
  <c r="GS35" i="15"/>
  <c r="GT35" i="15" s="1"/>
  <c r="EO35" i="15"/>
  <c r="EP35" i="15" s="1"/>
  <c r="IS35" i="15"/>
  <c r="IT35" i="15" s="1"/>
  <c r="E35" i="15"/>
  <c r="F35" i="15" s="1"/>
  <c r="MC35" i="15"/>
  <c r="MD35" i="15" s="1"/>
  <c r="PI35" i="15"/>
  <c r="PJ35" i="15" s="1"/>
  <c r="KS35" i="15"/>
  <c r="KT35" i="15" s="1"/>
  <c r="OK35" i="15"/>
  <c r="OL35" i="15" s="1"/>
  <c r="UO35" i="15"/>
  <c r="UP35" i="15" s="1"/>
  <c r="AK35" i="15"/>
  <c r="AL35" i="15" s="1"/>
  <c r="HQ35" i="15"/>
  <c r="HR35" i="15" s="1"/>
  <c r="LI35" i="15"/>
  <c r="LJ35" i="15" s="1"/>
  <c r="SG35" i="15"/>
  <c r="SH35" i="15" s="1"/>
  <c r="SO35" i="15"/>
  <c r="SP35" i="15" s="1"/>
  <c r="SK35" i="15"/>
  <c r="SL35" i="15" s="1"/>
  <c r="CO35" i="15"/>
  <c r="CP35" i="15" s="1"/>
  <c r="I34" i="15"/>
  <c r="J34" i="15" s="1"/>
  <c r="MG35" i="15"/>
  <c r="MH35" i="15" s="1"/>
  <c r="EK35" i="15"/>
  <c r="EL35" i="15" s="1"/>
  <c r="KK35" i="15"/>
  <c r="KL35" i="15" s="1"/>
  <c r="MH34" i="15"/>
  <c r="AO35" i="15"/>
  <c r="AP35" i="15" s="1"/>
  <c r="IG35" i="15"/>
  <c r="IH35" i="15" s="1"/>
  <c r="SW35" i="15"/>
  <c r="SX35" i="15" s="1"/>
  <c r="CC34" i="15"/>
  <c r="CD34" i="15" s="1"/>
  <c r="QW35" i="15"/>
  <c r="QX35" i="15" s="1"/>
  <c r="FI35" i="15"/>
  <c r="FJ35" i="15" s="1"/>
  <c r="RE35" i="15"/>
  <c r="RF35" i="15" s="1"/>
  <c r="QR36" i="15"/>
  <c r="HA34" i="15"/>
  <c r="HB33" i="15"/>
  <c r="HD36" i="15"/>
  <c r="TP36" i="15"/>
  <c r="AZ36" i="15"/>
  <c r="FP36" i="15"/>
  <c r="DP36" i="15"/>
  <c r="IO34" i="15"/>
  <c r="IP33" i="15"/>
  <c r="MS34" i="15"/>
  <c r="MT33" i="15"/>
  <c r="MR36" i="15"/>
  <c r="MW34" i="15"/>
  <c r="MX33" i="15"/>
  <c r="CV36" i="15"/>
  <c r="ER36" i="15"/>
  <c r="L36" i="15"/>
  <c r="RU34" i="15"/>
  <c r="RV33" i="15"/>
  <c r="DL36" i="15"/>
  <c r="DU34" i="15"/>
  <c r="DV33" i="15"/>
  <c r="QK34" i="15"/>
  <c r="QL33" i="15"/>
  <c r="DH36" i="15"/>
  <c r="NU34" i="15"/>
  <c r="NV33" i="15"/>
  <c r="SZ36" i="15"/>
  <c r="EV36" i="15"/>
  <c r="BP36" i="15"/>
  <c r="PX36" i="15"/>
  <c r="PL35" i="15"/>
  <c r="DD36" i="15"/>
  <c r="QJ36" i="15"/>
  <c r="RY34" i="15"/>
  <c r="RZ33" i="15"/>
  <c r="ES34" i="15"/>
  <c r="ET33" i="15"/>
  <c r="TM34" i="15"/>
  <c r="TN33" i="15"/>
  <c r="NL36" i="15"/>
  <c r="CF36" i="15"/>
  <c r="KJ36" i="15"/>
  <c r="OV36" i="15"/>
  <c r="SX34" i="15"/>
  <c r="PT36" i="15"/>
  <c r="GG34" i="15"/>
  <c r="GH33" i="15"/>
  <c r="IW34" i="15"/>
  <c r="IX33" i="15"/>
  <c r="TI34" i="15"/>
  <c r="TJ33" i="15"/>
  <c r="BD36" i="15"/>
  <c r="CG34" i="15"/>
  <c r="CH33" i="15"/>
  <c r="KL34" i="15"/>
  <c r="SS34" i="15"/>
  <c r="ST33" i="15"/>
  <c r="MN36" i="15"/>
  <c r="SV36" i="15"/>
  <c r="RP36" i="15"/>
  <c r="BH36" i="15"/>
  <c r="US34" i="15"/>
  <c r="UT33" i="15"/>
  <c r="MB36" i="15"/>
  <c r="HL36" i="15"/>
  <c r="JE34" i="15"/>
  <c r="JF33" i="15"/>
  <c r="QS35" i="15"/>
  <c r="QT35" i="15" s="1"/>
  <c r="JT36" i="15"/>
  <c r="EJ36" i="15"/>
  <c r="JL36" i="15"/>
  <c r="RT36" i="15"/>
  <c r="TD36" i="15"/>
  <c r="P36" i="15"/>
  <c r="TH36" i="15"/>
  <c r="GN36" i="15"/>
  <c r="PY35" i="15"/>
  <c r="PZ35" i="15" s="1"/>
  <c r="EC34" i="15"/>
  <c r="ED33" i="15"/>
  <c r="CJ36" i="15"/>
  <c r="CK35" i="15"/>
  <c r="RQ34" i="15"/>
  <c r="RR33" i="15"/>
  <c r="JQ34" i="15"/>
  <c r="JR33" i="15"/>
  <c r="MF36" i="15"/>
  <c r="PM34" i="15"/>
  <c r="HT36" i="15"/>
  <c r="PD36" i="15"/>
  <c r="RA34" i="15"/>
  <c r="RB33" i="15"/>
  <c r="AR36" i="15"/>
  <c r="HH36" i="15"/>
  <c r="LL36" i="15"/>
  <c r="GT34" i="15"/>
  <c r="JP36" i="15"/>
  <c r="LT36" i="15"/>
  <c r="UF36" i="15"/>
  <c r="D36" i="15"/>
  <c r="DQ35" i="15"/>
  <c r="DR35" i="15" s="1"/>
  <c r="FD36" i="15"/>
  <c r="SJ36" i="15"/>
  <c r="TQ34" i="15"/>
  <c r="TR33" i="15"/>
  <c r="FA34" i="15"/>
  <c r="FB33" i="15"/>
  <c r="KB36" i="15"/>
  <c r="NT36" i="15"/>
  <c r="TL36" i="15"/>
  <c r="GR36" i="15"/>
  <c r="BX36" i="15"/>
  <c r="PH36" i="15"/>
  <c r="GV36" i="15"/>
  <c r="CW34" i="15"/>
  <c r="CX33" i="15"/>
  <c r="KG34" i="15"/>
  <c r="KH33" i="15"/>
  <c r="SL34" i="15"/>
  <c r="QF36" i="15"/>
  <c r="MZ35" i="15"/>
  <c r="RD36" i="15"/>
  <c r="IK34" i="15"/>
  <c r="IL33" i="15"/>
  <c r="BT35" i="15"/>
  <c r="EB36" i="15"/>
  <c r="UB36" i="15"/>
  <c r="DM35" i="15"/>
  <c r="LX36" i="15"/>
  <c r="DY34" i="15"/>
  <c r="DZ33" i="15"/>
  <c r="NB33" i="15"/>
  <c r="AV36" i="15"/>
  <c r="PP36" i="15"/>
  <c r="GJ36" i="15"/>
  <c r="LJ34" i="15"/>
  <c r="RF34" i="15"/>
  <c r="BM34" i="15"/>
  <c r="BN33" i="15"/>
  <c r="FT36" i="15"/>
  <c r="BQ35" i="15"/>
  <c r="KF36" i="15"/>
  <c r="TT36" i="15"/>
  <c r="HX36" i="15"/>
  <c r="LP36" i="15"/>
  <c r="JX36" i="15"/>
  <c r="NI34" i="15"/>
  <c r="NJ33" i="15"/>
  <c r="HI34" i="15"/>
  <c r="HJ33" i="15"/>
  <c r="RL36" i="15"/>
  <c r="GC34" i="15"/>
  <c r="GD33" i="15"/>
  <c r="LH36" i="15"/>
  <c r="QB36" i="15"/>
  <c r="DI34" i="15"/>
  <c r="DJ33" i="15"/>
  <c r="Y34" i="15"/>
  <c r="Z33" i="15"/>
  <c r="OB36" i="15"/>
  <c r="SR36" i="15"/>
  <c r="DT36" i="15"/>
  <c r="NM34" i="15"/>
  <c r="NN33" i="15"/>
  <c r="RX36" i="15"/>
  <c r="LA34" i="15"/>
  <c r="LB33" i="15"/>
  <c r="PQ34" i="15"/>
  <c r="PR33" i="15"/>
  <c r="Q34" i="15"/>
  <c r="R33" i="15"/>
  <c r="QZ36" i="15"/>
  <c r="NX36" i="15"/>
  <c r="UG34" i="15"/>
  <c r="UH33" i="15"/>
  <c r="AW34" i="15"/>
  <c r="AX33" i="15"/>
  <c r="FE35" i="15"/>
  <c r="TU35" i="15"/>
  <c r="IJ36" i="15"/>
  <c r="UR36" i="15"/>
  <c r="OH34" i="15"/>
  <c r="OF35" i="15"/>
  <c r="PA34" i="15"/>
  <c r="PB33" i="15"/>
  <c r="QN36" i="15"/>
  <c r="NQ34" i="15"/>
  <c r="NR33" i="15"/>
  <c r="BU34" i="15"/>
  <c r="CP34" i="15"/>
  <c r="IC35" i="15"/>
  <c r="CB35" i="15"/>
  <c r="LM35" i="15"/>
  <c r="EW34" i="15"/>
  <c r="EX33" i="15"/>
  <c r="HE35" i="15"/>
  <c r="NP36" i="15"/>
  <c r="OR36" i="15"/>
  <c r="EN36" i="15"/>
  <c r="HM35" i="15"/>
  <c r="GK34" i="15"/>
  <c r="GL33" i="15"/>
  <c r="SB36" i="15"/>
  <c r="BI35" i="15"/>
  <c r="TA34" i="15"/>
  <c r="TB33" i="15"/>
  <c r="CD33" i="15"/>
  <c r="M34" i="15"/>
  <c r="N33" i="15"/>
  <c r="OW34" i="15"/>
  <c r="OX33" i="15"/>
  <c r="LE34" i="15"/>
  <c r="LF33" i="15"/>
  <c r="BE35" i="15"/>
  <c r="LD36" i="15"/>
  <c r="PU34" i="15"/>
  <c r="PV33" i="15"/>
  <c r="IV36" i="15"/>
  <c r="ND36" i="15"/>
  <c r="KP35" i="15"/>
  <c r="KN36" i="15"/>
  <c r="TE34" i="15"/>
  <c r="TF33" i="15"/>
  <c r="SF36" i="15"/>
  <c r="UC34" i="15"/>
  <c r="UD33" i="15"/>
  <c r="FL36" i="15"/>
  <c r="T36" i="15"/>
  <c r="UN36" i="15"/>
  <c r="KC34" i="15"/>
  <c r="KD33" i="15"/>
  <c r="FX36" i="15"/>
  <c r="FJ34" i="15"/>
  <c r="GO35" i="15"/>
  <c r="OS34" i="15"/>
  <c r="OT33" i="15"/>
  <c r="GZ36" i="15"/>
  <c r="FY35" i="15"/>
  <c r="QV36" i="15"/>
  <c r="JD36" i="15"/>
  <c r="FZ34" i="15"/>
  <c r="KW34" i="15"/>
  <c r="KX33" i="15"/>
  <c r="FH36" i="15"/>
  <c r="KZ36" i="15"/>
  <c r="AN36" i="15"/>
  <c r="LU34" i="15"/>
  <c r="LV33" i="15"/>
  <c r="EF36" i="15"/>
  <c r="GF36" i="15"/>
  <c r="AB36" i="15"/>
  <c r="GW35" i="15"/>
  <c r="GX35" i="15" s="1"/>
  <c r="CR35" i="15"/>
  <c r="DX36" i="15"/>
  <c r="IR36" i="15"/>
  <c r="BL36" i="15"/>
  <c r="IZ36" i="15"/>
  <c r="BY34" i="15"/>
  <c r="BZ33" i="15"/>
  <c r="RH36" i="15"/>
  <c r="GB36" i="15"/>
  <c r="SC34" i="15"/>
  <c r="SD33" i="15"/>
  <c r="IN36" i="15"/>
  <c r="NH36" i="15"/>
  <c r="MO35" i="15"/>
  <c r="DE34" i="15"/>
  <c r="DF33" i="15"/>
  <c r="SN36" i="15"/>
  <c r="QG34" i="15"/>
  <c r="QH33" i="15"/>
  <c r="X36" i="15"/>
  <c r="EZ36" i="15"/>
  <c r="CN36" i="15"/>
  <c r="MV36" i="15"/>
  <c r="KV36" i="15"/>
  <c r="UJ36" i="15"/>
  <c r="AJ36" i="15"/>
  <c r="TZ35" i="15"/>
  <c r="TX36" i="15"/>
  <c r="TY36" i="15" s="1"/>
  <c r="OJ36" i="15"/>
  <c r="QX34" i="15"/>
  <c r="JI34" i="15"/>
  <c r="JJ33" i="15"/>
  <c r="AP34" i="15"/>
  <c r="UK34" i="15"/>
  <c r="UL33" i="15"/>
  <c r="RM34" i="15"/>
  <c r="RN33" i="15"/>
  <c r="IH34" i="15"/>
  <c r="PE35" i="15"/>
  <c r="JU34" i="15"/>
  <c r="JV33" i="15"/>
  <c r="AS34" i="15"/>
  <c r="AT33" i="15"/>
  <c r="H35" i="15"/>
  <c r="OO34" i="15"/>
  <c r="OP33" i="15"/>
  <c r="CZ36" i="15"/>
  <c r="DA36" i="15" s="1"/>
  <c r="DB35" i="15"/>
  <c r="QO35" i="15"/>
  <c r="IB36" i="15"/>
  <c r="OC34" i="15"/>
  <c r="OD33" i="15"/>
  <c r="AF36" i="15"/>
  <c r="AG36" i="15" s="1"/>
  <c r="AH35" i="15"/>
  <c r="NE34" i="15"/>
  <c r="NF33" i="15"/>
  <c r="QC34" i="15"/>
  <c r="QD33" i="15"/>
  <c r="OZ36" i="15"/>
  <c r="BA35" i="15"/>
  <c r="MJ36" i="15"/>
  <c r="HP36" i="15"/>
  <c r="KR36" i="15"/>
  <c r="AL34" i="15"/>
  <c r="OL34" i="15"/>
  <c r="FQ34" i="15"/>
  <c r="FR33" i="15"/>
  <c r="CS34" i="15"/>
  <c r="JH36" i="15"/>
  <c r="HU34" i="15"/>
  <c r="HV33" i="15"/>
  <c r="AC35" i="15"/>
  <c r="AD35" i="15" s="1"/>
  <c r="NY34" i="15"/>
  <c r="NZ33" i="15"/>
  <c r="ON36" i="15"/>
  <c r="HY35" i="15"/>
  <c r="HZ35" i="15" s="1"/>
  <c r="MK34" i="15"/>
  <c r="ML33" i="15"/>
  <c r="IF36" i="15"/>
  <c r="JA35" i="15"/>
  <c r="F38" i="11"/>
  <c r="G38" i="11" s="1"/>
  <c r="F39" i="2"/>
  <c r="G39" i="2" s="1"/>
  <c r="G37" i="11"/>
  <c r="E39" i="11"/>
  <c r="E39" i="9"/>
  <c r="F38" i="9"/>
  <c r="E39" i="8"/>
  <c r="F38" i="8"/>
  <c r="E40" i="2"/>
  <c r="G38" i="2"/>
  <c r="RI36" i="15" l="1"/>
  <c r="FM36" i="15"/>
  <c r="FN36" i="15" s="1"/>
  <c r="QO36" i="15"/>
  <c r="QP36" i="15" s="1"/>
  <c r="MC36" i="15"/>
  <c r="MD36" i="15" s="1"/>
  <c r="UO36" i="15"/>
  <c r="UP36" i="15" s="1"/>
  <c r="EG36" i="15"/>
  <c r="EH36" i="15" s="1"/>
  <c r="FU36" i="15"/>
  <c r="FV36" i="15" s="1"/>
  <c r="SO36" i="15"/>
  <c r="SP36" i="15" s="1"/>
  <c r="OK36" i="15"/>
  <c r="OL36" i="15" s="1"/>
  <c r="JM36" i="15"/>
  <c r="JN36" i="15" s="1"/>
  <c r="AK36" i="15"/>
  <c r="AL36" i="15" s="1"/>
  <c r="FE36" i="15"/>
  <c r="FF36" i="15" s="1"/>
  <c r="JA36" i="15"/>
  <c r="JB36" i="15" s="1"/>
  <c r="LI36" i="15"/>
  <c r="LJ36" i="15" s="1"/>
  <c r="KS36" i="15"/>
  <c r="KT36" i="15" s="1"/>
  <c r="PI36" i="15"/>
  <c r="PJ36" i="15" s="1"/>
  <c r="IS36" i="15"/>
  <c r="IT36" i="15" s="1"/>
  <c r="EO36" i="15"/>
  <c r="EP36" i="15" s="1"/>
  <c r="HQ36" i="15"/>
  <c r="HR36" i="15" s="1"/>
  <c r="SG36" i="15"/>
  <c r="SH36" i="15" s="1"/>
  <c r="GO36" i="15"/>
  <c r="GP36" i="15" s="1"/>
  <c r="RE36" i="15"/>
  <c r="RF36" i="15" s="1"/>
  <c r="TU36" i="15"/>
  <c r="TV36" i="15" s="1"/>
  <c r="AO36" i="15"/>
  <c r="AP36" i="15" s="1"/>
  <c r="PM35" i="15"/>
  <c r="PN35" i="15" s="1"/>
  <c r="HM36" i="15"/>
  <c r="HN36" i="15" s="1"/>
  <c r="MO36" i="15"/>
  <c r="MP36" i="15" s="1"/>
  <c r="QW36" i="15"/>
  <c r="QX36" i="15" s="1"/>
  <c r="BE36" i="15"/>
  <c r="BF36" i="15" s="1"/>
  <c r="BQ36" i="15"/>
  <c r="BR36" i="15" s="1"/>
  <c r="EK36" i="15"/>
  <c r="EL36" i="15" s="1"/>
  <c r="FI36" i="15"/>
  <c r="FJ36" i="15" s="1"/>
  <c r="DM36" i="15"/>
  <c r="DN36" i="15" s="1"/>
  <c r="SW36" i="15"/>
  <c r="SX36" i="15" s="1"/>
  <c r="CS35" i="15"/>
  <c r="CT35" i="15" s="1"/>
  <c r="BA36" i="15"/>
  <c r="BB36" i="15" s="1"/>
  <c r="HE36" i="15"/>
  <c r="HF36" i="15" s="1"/>
  <c r="LM36" i="15"/>
  <c r="LN36" i="15" s="1"/>
  <c r="PE36" i="15"/>
  <c r="PF36" i="15" s="1"/>
  <c r="IC36" i="15"/>
  <c r="ID36" i="15" s="1"/>
  <c r="BI36" i="15"/>
  <c r="BJ36" i="15" s="1"/>
  <c r="BU35" i="15"/>
  <c r="BV35" i="15" s="1"/>
  <c r="FY36" i="15"/>
  <c r="FZ36" i="15" s="1"/>
  <c r="ID35" i="15"/>
  <c r="CK36" i="15"/>
  <c r="CL36" i="15" s="1"/>
  <c r="NM35" i="15"/>
  <c r="NN34" i="15"/>
  <c r="D37" i="15"/>
  <c r="TH37" i="15"/>
  <c r="ES35" i="15"/>
  <c r="ET34" i="15"/>
  <c r="NU35" i="15"/>
  <c r="NV34" i="15"/>
  <c r="MR37" i="15"/>
  <c r="HA35" i="15"/>
  <c r="HB34" i="15"/>
  <c r="GJ37" i="15"/>
  <c r="GR37" i="15"/>
  <c r="E36" i="15"/>
  <c r="P37" i="15"/>
  <c r="US35" i="15"/>
  <c r="UT34" i="15"/>
  <c r="IW35" i="15"/>
  <c r="IX34" i="15"/>
  <c r="RY35" i="15"/>
  <c r="RZ34" i="15"/>
  <c r="DH37" i="15"/>
  <c r="QR37" i="15"/>
  <c r="TA35" i="15"/>
  <c r="TB34" i="15"/>
  <c r="CB36" i="15"/>
  <c r="AW35" i="15"/>
  <c r="AX34" i="15"/>
  <c r="JX37" i="15"/>
  <c r="PP37" i="15"/>
  <c r="MZ36" i="15"/>
  <c r="TD37" i="15"/>
  <c r="BH37" i="15"/>
  <c r="MS35" i="15"/>
  <c r="MT34" i="15"/>
  <c r="SR37" i="15"/>
  <c r="AV37" i="15"/>
  <c r="TL37" i="15"/>
  <c r="LT37" i="15"/>
  <c r="BJ35" i="15"/>
  <c r="GG35" i="15"/>
  <c r="GH34" i="15"/>
  <c r="QJ37" i="15"/>
  <c r="QK35" i="15"/>
  <c r="QL34" i="15"/>
  <c r="HT37" i="15"/>
  <c r="M35" i="15"/>
  <c r="N34" i="15"/>
  <c r="GZ37" i="15"/>
  <c r="KN37" i="15"/>
  <c r="UG35" i="15"/>
  <c r="UH34" i="15"/>
  <c r="NT37" i="15"/>
  <c r="MF37" i="15"/>
  <c r="DD37" i="15"/>
  <c r="IO35" i="15"/>
  <c r="IP34" i="15"/>
  <c r="CN37" i="15"/>
  <c r="LU35" i="15"/>
  <c r="LV34" i="15"/>
  <c r="ND37" i="15"/>
  <c r="SB37" i="15"/>
  <c r="NX37" i="15"/>
  <c r="OB37" i="15"/>
  <c r="LP37" i="15"/>
  <c r="JP37" i="15"/>
  <c r="RT37" i="15"/>
  <c r="RP37" i="15"/>
  <c r="PT37" i="15"/>
  <c r="DU35" i="15"/>
  <c r="DV34" i="15"/>
  <c r="DP37" i="15"/>
  <c r="BX37" i="15"/>
  <c r="HU35" i="15"/>
  <c r="HV34" i="15"/>
  <c r="AB37" i="15"/>
  <c r="JI35" i="15"/>
  <c r="JJ34" i="15"/>
  <c r="IZ37" i="15"/>
  <c r="AN37" i="15"/>
  <c r="FX37" i="15"/>
  <c r="QF37" i="15"/>
  <c r="JQ35" i="15"/>
  <c r="JR34" i="15"/>
  <c r="PN34" i="15"/>
  <c r="DN35" i="15"/>
  <c r="UF37" i="15"/>
  <c r="IV37" i="15"/>
  <c r="GK35" i="15"/>
  <c r="GL34" i="15"/>
  <c r="NQ35" i="15"/>
  <c r="NR34" i="15"/>
  <c r="QZ37" i="15"/>
  <c r="Y35" i="15"/>
  <c r="Z34" i="15"/>
  <c r="HX37" i="15"/>
  <c r="DY35" i="15"/>
  <c r="DZ34" i="15"/>
  <c r="KB37" i="15"/>
  <c r="LN35" i="15"/>
  <c r="JL37" i="15"/>
  <c r="SV37" i="15"/>
  <c r="PL36" i="15"/>
  <c r="DL37" i="15"/>
  <c r="TI35" i="15"/>
  <c r="TJ34" i="15"/>
  <c r="MV37" i="15"/>
  <c r="DT37" i="15"/>
  <c r="EZ37" i="15"/>
  <c r="QP35" i="15"/>
  <c r="TT37" i="15"/>
  <c r="LL37" i="15"/>
  <c r="RQ35" i="15"/>
  <c r="RR34" i="15"/>
  <c r="EJ37" i="15"/>
  <c r="MP35" i="15"/>
  <c r="PX37" i="15"/>
  <c r="FP37" i="15"/>
  <c r="NE35" i="15"/>
  <c r="NF34" i="15"/>
  <c r="SC35" i="15"/>
  <c r="SD34" i="15"/>
  <c r="RM35" i="15"/>
  <c r="RN34" i="15"/>
  <c r="IB37" i="15"/>
  <c r="HP37" i="15"/>
  <c r="EN37" i="15"/>
  <c r="QN37" i="15"/>
  <c r="DI35" i="15"/>
  <c r="DJ34" i="15"/>
  <c r="TV35" i="15"/>
  <c r="LX37" i="15"/>
  <c r="KG35" i="15"/>
  <c r="KH34" i="15"/>
  <c r="MN37" i="15"/>
  <c r="OV37" i="15"/>
  <c r="RU35" i="15"/>
  <c r="RV34" i="15"/>
  <c r="GS36" i="15"/>
  <c r="LQ36" i="15"/>
  <c r="GB37" i="15"/>
  <c r="OJ37" i="15"/>
  <c r="UN37" i="15"/>
  <c r="Q35" i="15"/>
  <c r="R34" i="15"/>
  <c r="FA35" i="15"/>
  <c r="FB34" i="15"/>
  <c r="HH37" i="15"/>
  <c r="CL35" i="15"/>
  <c r="JT37" i="15"/>
  <c r="BP37" i="15"/>
  <c r="IK35" i="15"/>
  <c r="IL34" i="15"/>
  <c r="TE35" i="15"/>
  <c r="TF34" i="15"/>
  <c r="AF37" i="15"/>
  <c r="AG37" i="15" s="1"/>
  <c r="AH36" i="15"/>
  <c r="UK35" i="15"/>
  <c r="UL34" i="15"/>
  <c r="X37" i="15"/>
  <c r="KZ37" i="15"/>
  <c r="PA35" i="15"/>
  <c r="PB34" i="15"/>
  <c r="QB37" i="15"/>
  <c r="KF37" i="15"/>
  <c r="CW35" i="15"/>
  <c r="CX34" i="15"/>
  <c r="AR37" i="15"/>
  <c r="CJ37" i="15"/>
  <c r="SS35" i="15"/>
  <c r="ST34" i="15"/>
  <c r="KJ37" i="15"/>
  <c r="BR35" i="15"/>
  <c r="L37" i="15"/>
  <c r="BB35" i="15"/>
  <c r="LY36" i="15"/>
  <c r="FQ35" i="15"/>
  <c r="FR34" i="15"/>
  <c r="CZ37" i="15"/>
  <c r="DB36" i="15"/>
  <c r="PU35" i="15"/>
  <c r="PV34" i="15"/>
  <c r="H36" i="15"/>
  <c r="T37" i="15"/>
  <c r="OF36" i="15"/>
  <c r="LH37" i="15"/>
  <c r="CC35" i="15"/>
  <c r="TQ35" i="15"/>
  <c r="TR34" i="15"/>
  <c r="QS36" i="15"/>
  <c r="AZ37" i="15"/>
  <c r="EW35" i="15"/>
  <c r="EX34" i="15"/>
  <c r="GF37" i="15"/>
  <c r="EF37" i="15"/>
  <c r="OC35" i="15"/>
  <c r="OD34" i="15"/>
  <c r="MK35" i="15"/>
  <c r="ML34" i="15"/>
  <c r="GV37" i="15"/>
  <c r="EC35" i="15"/>
  <c r="ED34" i="15"/>
  <c r="CF37" i="15"/>
  <c r="ER37" i="15"/>
  <c r="I35" i="15"/>
  <c r="MB37" i="15"/>
  <c r="JH37" i="15"/>
  <c r="RJ36" i="15"/>
  <c r="RH37" i="15"/>
  <c r="RI37" i="15" s="1"/>
  <c r="BY35" i="15"/>
  <c r="BZ34" i="15"/>
  <c r="KR37" i="15"/>
  <c r="BL37" i="15"/>
  <c r="SN37" i="15"/>
  <c r="IR37" i="15"/>
  <c r="OR37" i="15"/>
  <c r="SJ37" i="15"/>
  <c r="JE35" i="15"/>
  <c r="JF34" i="15"/>
  <c r="CG35" i="15"/>
  <c r="CH34" i="15"/>
  <c r="EV37" i="15"/>
  <c r="CV37" i="15"/>
  <c r="TP37" i="15"/>
  <c r="KO36" i="15"/>
  <c r="KP36" i="15" s="1"/>
  <c r="NI35" i="15"/>
  <c r="NJ34" i="15"/>
  <c r="OS35" i="15"/>
  <c r="OT34" i="15"/>
  <c r="JB35" i="15"/>
  <c r="QG35" i="15"/>
  <c r="QH34" i="15"/>
  <c r="HY36" i="15"/>
  <c r="UB37" i="15"/>
  <c r="ON37" i="15"/>
  <c r="CT34" i="15"/>
  <c r="FT37" i="15"/>
  <c r="AS35" i="15"/>
  <c r="AT34" i="15"/>
  <c r="UJ37" i="15"/>
  <c r="NH37" i="15"/>
  <c r="CR36" i="15"/>
  <c r="FL37" i="15"/>
  <c r="LE35" i="15"/>
  <c r="LF34" i="15"/>
  <c r="UR37" i="15"/>
  <c r="LA35" i="15"/>
  <c r="LB34" i="15"/>
  <c r="GC35" i="15"/>
  <c r="GD34" i="15"/>
  <c r="EB37" i="15"/>
  <c r="FD37" i="15"/>
  <c r="PD37" i="15"/>
  <c r="PY36" i="15"/>
  <c r="BF35" i="15"/>
  <c r="NL37" i="15"/>
  <c r="MG36" i="15"/>
  <c r="HF35" i="15"/>
  <c r="U36" i="15"/>
  <c r="SF37" i="15"/>
  <c r="RD37" i="15"/>
  <c r="IF37" i="15"/>
  <c r="TX37" i="15"/>
  <c r="TY37" i="15" s="1"/>
  <c r="TZ36" i="15"/>
  <c r="OO35" i="15"/>
  <c r="OP34" i="15"/>
  <c r="FH37" i="15"/>
  <c r="DE35" i="15"/>
  <c r="DF34" i="15"/>
  <c r="LD37" i="15"/>
  <c r="AJ37" i="15"/>
  <c r="DX37" i="15"/>
  <c r="PQ35" i="15"/>
  <c r="PR34" i="15"/>
  <c r="RA35" i="15"/>
  <c r="RB34" i="15"/>
  <c r="NY35" i="15"/>
  <c r="NZ34" i="15"/>
  <c r="SK36" i="15"/>
  <c r="SL36" i="15" s="1"/>
  <c r="JD37" i="15"/>
  <c r="NA35" i="15"/>
  <c r="RL37" i="15"/>
  <c r="BM35" i="15"/>
  <c r="BN34" i="15"/>
  <c r="BV34" i="15"/>
  <c r="PH37" i="15"/>
  <c r="FF35" i="15"/>
  <c r="PF35" i="15"/>
  <c r="GP35" i="15"/>
  <c r="HL37" i="15"/>
  <c r="BD37" i="15"/>
  <c r="SZ37" i="15"/>
  <c r="HD37" i="15"/>
  <c r="JY36" i="15"/>
  <c r="JZ36" i="15" s="1"/>
  <c r="HI35" i="15"/>
  <c r="HJ34" i="15"/>
  <c r="FZ35" i="15"/>
  <c r="KC35" i="15"/>
  <c r="KD34" i="15"/>
  <c r="MJ37" i="15"/>
  <c r="KW35" i="15"/>
  <c r="KX34" i="15"/>
  <c r="NP37" i="15"/>
  <c r="CO36" i="15"/>
  <c r="OZ37" i="15"/>
  <c r="AC36" i="15"/>
  <c r="QC35" i="15"/>
  <c r="QD34" i="15"/>
  <c r="JU35" i="15"/>
  <c r="JV34" i="15"/>
  <c r="KV37" i="15"/>
  <c r="IN37" i="15"/>
  <c r="GW36" i="15"/>
  <c r="QV37" i="15"/>
  <c r="UC35" i="15"/>
  <c r="UD34" i="15"/>
  <c r="OW35" i="15"/>
  <c r="OX34" i="15"/>
  <c r="IJ37" i="15"/>
  <c r="RX37" i="15"/>
  <c r="BT36" i="15"/>
  <c r="DQ36" i="15"/>
  <c r="DR36" i="15" s="1"/>
  <c r="KK36" i="15"/>
  <c r="GN37" i="15"/>
  <c r="HN35" i="15"/>
  <c r="TM35" i="15"/>
  <c r="TN34" i="15"/>
  <c r="MW35" i="15"/>
  <c r="MX34" i="15"/>
  <c r="IG36" i="15"/>
  <c r="OG35" i="15"/>
  <c r="F39" i="8"/>
  <c r="G39" i="8" s="1"/>
  <c r="F39" i="9"/>
  <c r="G39" i="9" s="1"/>
  <c r="E40" i="11"/>
  <c r="F39" i="11"/>
  <c r="G38" i="10"/>
  <c r="G39" i="10"/>
  <c r="G38" i="9"/>
  <c r="E40" i="9"/>
  <c r="G38" i="8"/>
  <c r="E40" i="8"/>
  <c r="E41" i="2"/>
  <c r="F40" i="2"/>
  <c r="FM37" i="15" l="1"/>
  <c r="FN37" i="15" s="1"/>
  <c r="LI37" i="15"/>
  <c r="LJ37" i="15" s="1"/>
  <c r="PI37" i="15"/>
  <c r="PJ37" i="15" s="1"/>
  <c r="MC37" i="15"/>
  <c r="MD37" i="15" s="1"/>
  <c r="QO37" i="15"/>
  <c r="QP37" i="15" s="1"/>
  <c r="PM36" i="15"/>
  <c r="PN36" i="15" s="1"/>
  <c r="OK37" i="15"/>
  <c r="OL37" i="15" s="1"/>
  <c r="FE37" i="15"/>
  <c r="FF37" i="15" s="1"/>
  <c r="EG37" i="15"/>
  <c r="EH37" i="15" s="1"/>
  <c r="JA37" i="15"/>
  <c r="JB37" i="15" s="1"/>
  <c r="SO37" i="15"/>
  <c r="SP37" i="15" s="1"/>
  <c r="IS37" i="15"/>
  <c r="IT37" i="15" s="1"/>
  <c r="KS37" i="15"/>
  <c r="KT37" i="15" s="1"/>
  <c r="FU37" i="15"/>
  <c r="FV37" i="15" s="1"/>
  <c r="RE37" i="15"/>
  <c r="RF37" i="15" s="1"/>
  <c r="HQ37" i="15"/>
  <c r="HR37" i="15" s="1"/>
  <c r="MO37" i="15"/>
  <c r="MP37" i="15" s="1"/>
  <c r="HM37" i="15"/>
  <c r="HN37" i="15" s="1"/>
  <c r="AO37" i="15"/>
  <c r="AP37" i="15" s="1"/>
  <c r="TU37" i="15"/>
  <c r="TV37" i="15" s="1"/>
  <c r="BE37" i="15"/>
  <c r="BF37" i="15" s="1"/>
  <c r="DM37" i="15"/>
  <c r="DN37" i="15" s="1"/>
  <c r="BU36" i="15"/>
  <c r="BV36" i="15" s="1"/>
  <c r="QW37" i="15"/>
  <c r="QX37" i="15" s="1"/>
  <c r="BI37" i="15"/>
  <c r="BJ37" i="15" s="1"/>
  <c r="GS37" i="15"/>
  <c r="GT37" i="15" s="1"/>
  <c r="NA36" i="15"/>
  <c r="NB36" i="15" s="1"/>
  <c r="CS36" i="15"/>
  <c r="CT36" i="15" s="1"/>
  <c r="MG37" i="15"/>
  <c r="MH37" i="15" s="1"/>
  <c r="HE37" i="15"/>
  <c r="HF37" i="15" s="1"/>
  <c r="EK37" i="15"/>
  <c r="EL37" i="15" s="1"/>
  <c r="BA37" i="15"/>
  <c r="BB37" i="15" s="1"/>
  <c r="CK37" i="15"/>
  <c r="CL37" i="15" s="1"/>
  <c r="CO37" i="15"/>
  <c r="CP37" i="15" s="1"/>
  <c r="PE37" i="15"/>
  <c r="PF37" i="15" s="1"/>
  <c r="FI37" i="15"/>
  <c r="FJ37" i="15" s="1"/>
  <c r="FY37" i="15"/>
  <c r="FZ37" i="15" s="1"/>
  <c r="IG37" i="15"/>
  <c r="IH37" i="15" s="1"/>
  <c r="GW37" i="15"/>
  <c r="GX37" i="15" s="1"/>
  <c r="LY37" i="15"/>
  <c r="LZ37" i="15" s="1"/>
  <c r="U37" i="15"/>
  <c r="V37" i="15" s="1"/>
  <c r="QS37" i="15"/>
  <c r="KK37" i="15"/>
  <c r="KL37" i="15" s="1"/>
  <c r="I36" i="15"/>
  <c r="J36" i="15" s="1"/>
  <c r="CC36" i="15"/>
  <c r="CD36" i="15" s="1"/>
  <c r="PY37" i="15"/>
  <c r="PZ37" i="15" s="1"/>
  <c r="LQ37" i="15"/>
  <c r="LR37" i="15" s="1"/>
  <c r="OG36" i="15"/>
  <c r="OH36" i="15" s="1"/>
  <c r="HY37" i="15"/>
  <c r="HZ37" i="15" s="1"/>
  <c r="E37" i="15"/>
  <c r="F37" i="15" s="1"/>
  <c r="CW36" i="15"/>
  <c r="CX35" i="15"/>
  <c r="EN38" i="15"/>
  <c r="RQ36" i="15"/>
  <c r="RR35" i="15"/>
  <c r="SV38" i="15"/>
  <c r="OB38" i="15"/>
  <c r="NT38" i="15"/>
  <c r="AB38" i="15"/>
  <c r="BP38" i="15"/>
  <c r="LL38" i="15"/>
  <c r="HU36" i="15"/>
  <c r="HV35" i="15"/>
  <c r="TL38" i="15"/>
  <c r="NM36" i="15"/>
  <c r="NN35" i="15"/>
  <c r="EW36" i="15"/>
  <c r="EX35" i="15"/>
  <c r="BX38" i="15"/>
  <c r="NX38" i="15"/>
  <c r="UG36" i="15"/>
  <c r="UH35" i="15"/>
  <c r="AW36" i="15"/>
  <c r="AX35" i="15"/>
  <c r="LA36" i="15"/>
  <c r="LB35" i="15"/>
  <c r="CG36" i="15"/>
  <c r="CH35" i="15"/>
  <c r="NP38" i="15"/>
  <c r="QB38" i="15"/>
  <c r="JT38" i="15"/>
  <c r="IB38" i="15"/>
  <c r="JL38" i="15"/>
  <c r="UF38" i="15"/>
  <c r="KN38" i="15"/>
  <c r="AV38" i="15"/>
  <c r="CB37" i="15"/>
  <c r="GT36" i="15"/>
  <c r="IJ38" i="15"/>
  <c r="UB38" i="15"/>
  <c r="AZ38" i="15"/>
  <c r="FQ36" i="15"/>
  <c r="FR35" i="15"/>
  <c r="RU36" i="15"/>
  <c r="RV35" i="15"/>
  <c r="SB38" i="15"/>
  <c r="SR38" i="15"/>
  <c r="CD35" i="15"/>
  <c r="GR38" i="15"/>
  <c r="LT38" i="15"/>
  <c r="ER38" i="15"/>
  <c r="SW37" i="15"/>
  <c r="HH38" i="15"/>
  <c r="TT38" i="15"/>
  <c r="DP38" i="15"/>
  <c r="UR38" i="15"/>
  <c r="NL38" i="15"/>
  <c r="FL38" i="15"/>
  <c r="QG36" i="15"/>
  <c r="QH35" i="15"/>
  <c r="OR38" i="15"/>
  <c r="CF38" i="15"/>
  <c r="PA36" i="15"/>
  <c r="PB35" i="15"/>
  <c r="OV38" i="15"/>
  <c r="KB38" i="15"/>
  <c r="GZ38" i="15"/>
  <c r="IC37" i="15"/>
  <c r="TA36" i="15"/>
  <c r="TB35" i="15"/>
  <c r="GJ38" i="15"/>
  <c r="JM37" i="15"/>
  <c r="KF38" i="15"/>
  <c r="QV38" i="15"/>
  <c r="TQ36" i="15"/>
  <c r="TR35" i="15"/>
  <c r="RM36" i="15"/>
  <c r="RN35" i="15"/>
  <c r="JQ36" i="15"/>
  <c r="JR35" i="15"/>
  <c r="ND38" i="15"/>
  <c r="LM37" i="15"/>
  <c r="ON38" i="15"/>
  <c r="JH38" i="15"/>
  <c r="DX38" i="15"/>
  <c r="KZ38" i="15"/>
  <c r="FA36" i="15"/>
  <c r="FB35" i="15"/>
  <c r="MN38" i="15"/>
  <c r="EZ38" i="15"/>
  <c r="DY36" i="15"/>
  <c r="DZ35" i="15"/>
  <c r="QF38" i="15"/>
  <c r="DU36" i="15"/>
  <c r="DV35" i="15"/>
  <c r="M36" i="15"/>
  <c r="N35" i="15"/>
  <c r="QR38" i="15"/>
  <c r="HA36" i="15"/>
  <c r="HB35" i="15"/>
  <c r="PQ36" i="15"/>
  <c r="PR35" i="15"/>
  <c r="MB38" i="15"/>
  <c r="BQ37" i="15"/>
  <c r="L38" i="15"/>
  <c r="SC36" i="15"/>
  <c r="SD35" i="15"/>
  <c r="HZ36" i="15"/>
  <c r="PT38" i="15"/>
  <c r="LU36" i="15"/>
  <c r="LV35" i="15"/>
  <c r="QT36" i="15"/>
  <c r="MR38" i="15"/>
  <c r="PL37" i="15"/>
  <c r="CR37" i="15"/>
  <c r="NH38" i="15"/>
  <c r="GV38" i="15"/>
  <c r="LH38" i="15"/>
  <c r="X38" i="15"/>
  <c r="HX38" i="15"/>
  <c r="CP36" i="15"/>
  <c r="HT38" i="15"/>
  <c r="MS36" i="15"/>
  <c r="MT35" i="15"/>
  <c r="OW36" i="15"/>
  <c r="OX35" i="15"/>
  <c r="AJ38" i="15"/>
  <c r="UC36" i="15"/>
  <c r="UD35" i="15"/>
  <c r="GN38" i="15"/>
  <c r="NI36" i="15"/>
  <c r="NJ35" i="15"/>
  <c r="GX36" i="15"/>
  <c r="KJ38" i="15"/>
  <c r="Q36" i="15"/>
  <c r="R35" i="15"/>
  <c r="KG36" i="15"/>
  <c r="KH35" i="15"/>
  <c r="NE36" i="15"/>
  <c r="NF35" i="15"/>
  <c r="DT38" i="15"/>
  <c r="FX38" i="15"/>
  <c r="CN38" i="15"/>
  <c r="BH38" i="15"/>
  <c r="DH38" i="15"/>
  <c r="JX38" i="15"/>
  <c r="KW36" i="15"/>
  <c r="KX35" i="15"/>
  <c r="BM36" i="15"/>
  <c r="BN35" i="15"/>
  <c r="BL38" i="15"/>
  <c r="KL36" i="15"/>
  <c r="UK36" i="15"/>
  <c r="UL35" i="15"/>
  <c r="LX38" i="15"/>
  <c r="MV38" i="15"/>
  <c r="Y36" i="15"/>
  <c r="Z35" i="15"/>
  <c r="RP38" i="15"/>
  <c r="QK36" i="15"/>
  <c r="QL35" i="15"/>
  <c r="NU36" i="15"/>
  <c r="NV35" i="15"/>
  <c r="LE36" i="15"/>
  <c r="LF35" i="15"/>
  <c r="MJ38" i="15"/>
  <c r="MW36" i="15"/>
  <c r="MX35" i="15"/>
  <c r="EC36" i="15"/>
  <c r="ED35" i="15"/>
  <c r="RL38" i="15"/>
  <c r="OO36" i="15"/>
  <c r="OP35" i="15"/>
  <c r="MK36" i="15"/>
  <c r="ML35" i="15"/>
  <c r="OF37" i="15"/>
  <c r="UN38" i="15"/>
  <c r="LZ36" i="15"/>
  <c r="FP38" i="15"/>
  <c r="QZ38" i="15"/>
  <c r="AN38" i="15"/>
  <c r="RY36" i="15"/>
  <c r="RZ35" i="15"/>
  <c r="UO37" i="15"/>
  <c r="IV38" i="15"/>
  <c r="SJ38" i="15"/>
  <c r="PH38" i="15"/>
  <c r="OS36" i="15"/>
  <c r="OT35" i="15"/>
  <c r="PD38" i="15"/>
  <c r="HI36" i="15"/>
  <c r="HJ35" i="15"/>
  <c r="AK37" i="15"/>
  <c r="AL37" i="15" s="1"/>
  <c r="RT38" i="15"/>
  <c r="IO36" i="15"/>
  <c r="IP35" i="15"/>
  <c r="QJ38" i="15"/>
  <c r="TD38" i="15"/>
  <c r="ES36" i="15"/>
  <c r="ET35" i="15"/>
  <c r="EO37" i="15"/>
  <c r="SF38" i="15"/>
  <c r="SN38" i="15"/>
  <c r="IN38" i="15"/>
  <c r="UJ38" i="15"/>
  <c r="FD38" i="15"/>
  <c r="EB38" i="15"/>
  <c r="IZ38" i="15"/>
  <c r="NB35" i="15"/>
  <c r="IW36" i="15"/>
  <c r="IX35" i="15"/>
  <c r="TH38" i="15"/>
  <c r="RA36" i="15"/>
  <c r="RB35" i="15"/>
  <c r="PU36" i="15"/>
  <c r="PV35" i="15"/>
  <c r="HP38" i="15"/>
  <c r="LD38" i="15"/>
  <c r="TM36" i="15"/>
  <c r="TN35" i="15"/>
  <c r="DE36" i="15"/>
  <c r="DF35" i="15"/>
  <c r="OH35" i="15"/>
  <c r="TP38" i="15"/>
  <c r="JU36" i="15"/>
  <c r="JV35" i="15"/>
  <c r="SS36" i="15"/>
  <c r="ST35" i="15"/>
  <c r="PZ36" i="15"/>
  <c r="HD38" i="15"/>
  <c r="TZ37" i="15"/>
  <c r="TX38" i="15"/>
  <c r="TY38" i="15" s="1"/>
  <c r="FT38" i="15"/>
  <c r="T38" i="15"/>
  <c r="OJ38" i="15"/>
  <c r="PX38" i="15"/>
  <c r="TI36" i="15"/>
  <c r="TJ35" i="15"/>
  <c r="IH36" i="15"/>
  <c r="CV38" i="15"/>
  <c r="BY36" i="15"/>
  <c r="BZ35" i="15"/>
  <c r="OC36" i="15"/>
  <c r="OD35" i="15"/>
  <c r="J35" i="15"/>
  <c r="CJ38" i="15"/>
  <c r="TE36" i="15"/>
  <c r="TF35" i="15"/>
  <c r="GO37" i="15"/>
  <c r="GP37" i="15" s="1"/>
  <c r="DI36" i="15"/>
  <c r="DJ35" i="15"/>
  <c r="DL38" i="15"/>
  <c r="NQ36" i="15"/>
  <c r="NR35" i="15"/>
  <c r="DD38" i="15"/>
  <c r="GG36" i="15"/>
  <c r="GH35" i="15"/>
  <c r="MZ37" i="15"/>
  <c r="HL38" i="15"/>
  <c r="CZ38" i="15"/>
  <c r="FH38" i="15"/>
  <c r="KO37" i="15"/>
  <c r="JY37" i="15"/>
  <c r="JZ37" i="15" s="1"/>
  <c r="KR38" i="15"/>
  <c r="AF38" i="15"/>
  <c r="AH37" i="15"/>
  <c r="SK37" i="15"/>
  <c r="SL37" i="15" s="1"/>
  <c r="AC37" i="15"/>
  <c r="SZ38" i="15"/>
  <c r="NY36" i="15"/>
  <c r="NZ35" i="15"/>
  <c r="IF38" i="15"/>
  <c r="GC36" i="15"/>
  <c r="GD35" i="15"/>
  <c r="RJ37" i="15"/>
  <c r="RH38" i="15"/>
  <c r="RI38" i="15" s="1"/>
  <c r="EF38" i="15"/>
  <c r="H37" i="15"/>
  <c r="QN38" i="15"/>
  <c r="JI36" i="15"/>
  <c r="JJ35" i="15"/>
  <c r="LR36" i="15"/>
  <c r="MH36" i="15"/>
  <c r="US36" i="15"/>
  <c r="UT35" i="15"/>
  <c r="D38" i="15"/>
  <c r="DA37" i="15"/>
  <c r="GF38" i="15"/>
  <c r="JE36" i="15"/>
  <c r="JF35" i="15"/>
  <c r="IR38" i="15"/>
  <c r="KC36" i="15"/>
  <c r="KD35" i="15"/>
  <c r="KV38" i="15"/>
  <c r="DQ37" i="15"/>
  <c r="JD38" i="15"/>
  <c r="AS36" i="15"/>
  <c r="AT35" i="15"/>
  <c r="V36" i="15"/>
  <c r="JP38" i="15"/>
  <c r="BT37" i="15"/>
  <c r="QC36" i="15"/>
  <c r="QD35" i="15"/>
  <c r="RX38" i="15"/>
  <c r="OZ38" i="15"/>
  <c r="BD38" i="15"/>
  <c r="RD38" i="15"/>
  <c r="EV38" i="15"/>
  <c r="AR38" i="15"/>
  <c r="IK36" i="15"/>
  <c r="IL35" i="15"/>
  <c r="GB38" i="15"/>
  <c r="EJ38" i="15"/>
  <c r="GK36" i="15"/>
  <c r="GL35" i="15"/>
  <c r="AD36" i="15"/>
  <c r="LP38" i="15"/>
  <c r="MF38" i="15"/>
  <c r="PP38" i="15"/>
  <c r="P38" i="15"/>
  <c r="F36" i="15"/>
  <c r="SG37" i="15"/>
  <c r="SH37" i="15" s="1"/>
  <c r="F40" i="11"/>
  <c r="G40" i="11" s="1"/>
  <c r="F41" i="2"/>
  <c r="G41" i="2" s="1"/>
  <c r="G39" i="11"/>
  <c r="E41" i="11"/>
  <c r="E41" i="9"/>
  <c r="F40" i="9"/>
  <c r="E41" i="8"/>
  <c r="F40" i="8"/>
  <c r="G40" i="2"/>
  <c r="E42" i="2"/>
  <c r="FE38" i="15" l="1"/>
  <c r="MC38" i="15"/>
  <c r="QO38" i="15"/>
  <c r="QP38" i="15" s="1"/>
  <c r="PM37" i="15"/>
  <c r="PN37" i="15" s="1"/>
  <c r="PI38" i="15"/>
  <c r="PJ38" i="15" s="1"/>
  <c r="EG38" i="15"/>
  <c r="EH38" i="15" s="1"/>
  <c r="JA38" i="15"/>
  <c r="JB38" i="15" s="1"/>
  <c r="SO38" i="15"/>
  <c r="SP38" i="15" s="1"/>
  <c r="IS38" i="15"/>
  <c r="IT38" i="15" s="1"/>
  <c r="OK38" i="15"/>
  <c r="OL38" i="15" s="1"/>
  <c r="RE38" i="15"/>
  <c r="RF38" i="15" s="1"/>
  <c r="FU38" i="15"/>
  <c r="FV38" i="15" s="1"/>
  <c r="AC38" i="15"/>
  <c r="AD38" i="15" s="1"/>
  <c r="HM38" i="15"/>
  <c r="HN38" i="15" s="1"/>
  <c r="TU38" i="15"/>
  <c r="TV38" i="15" s="1"/>
  <c r="BE38" i="15"/>
  <c r="BF38" i="15" s="1"/>
  <c r="AO38" i="15"/>
  <c r="AP38" i="15" s="1"/>
  <c r="QW38" i="15"/>
  <c r="QX38" i="15" s="1"/>
  <c r="UO38" i="15"/>
  <c r="UP38" i="15" s="1"/>
  <c r="DM38" i="15"/>
  <c r="DN38" i="15" s="1"/>
  <c r="IC38" i="15"/>
  <c r="ID38" i="15" s="1"/>
  <c r="HE38" i="15"/>
  <c r="HF38" i="15" s="1"/>
  <c r="NA37" i="15"/>
  <c r="NB37" i="15" s="1"/>
  <c r="CK38" i="15"/>
  <c r="CL38" i="15" s="1"/>
  <c r="EK38" i="15"/>
  <c r="EL38" i="15" s="1"/>
  <c r="BA38" i="15"/>
  <c r="BB38" i="15" s="1"/>
  <c r="I37" i="15"/>
  <c r="J37" i="15" s="1"/>
  <c r="FI38" i="15"/>
  <c r="FJ38" i="15" s="1"/>
  <c r="LQ38" i="15"/>
  <c r="LR38" i="15" s="1"/>
  <c r="U38" i="15"/>
  <c r="V38" i="15" s="1"/>
  <c r="QS38" i="15"/>
  <c r="QT38" i="15" s="1"/>
  <c r="PE38" i="15"/>
  <c r="PF38" i="15" s="1"/>
  <c r="QT37" i="15"/>
  <c r="EO38" i="15"/>
  <c r="EP38" i="15" s="1"/>
  <c r="LM38" i="15"/>
  <c r="LN38" i="15" s="1"/>
  <c r="JM38" i="15"/>
  <c r="JN38" i="15" s="1"/>
  <c r="HY38" i="15"/>
  <c r="HZ38" i="15" s="1"/>
  <c r="KO38" i="15"/>
  <c r="E38" i="15"/>
  <c r="F38" i="15" s="1"/>
  <c r="PY38" i="15"/>
  <c r="PZ38" i="15" s="1"/>
  <c r="BQ38" i="15"/>
  <c r="BR38" i="15" s="1"/>
  <c r="SW38" i="15"/>
  <c r="SX38" i="15" s="1"/>
  <c r="DQ38" i="15"/>
  <c r="DR38" i="15" s="1"/>
  <c r="DA38" i="15"/>
  <c r="DB38" i="15" s="1"/>
  <c r="IF39" i="15"/>
  <c r="NY37" i="15"/>
  <c r="NZ36" i="15"/>
  <c r="JX39" i="15"/>
  <c r="X39" i="15"/>
  <c r="M37" i="15"/>
  <c r="N36" i="15"/>
  <c r="TL39" i="15"/>
  <c r="EP37" i="15"/>
  <c r="JH39" i="15"/>
  <c r="GJ39" i="15"/>
  <c r="FL39" i="15"/>
  <c r="GR39" i="15"/>
  <c r="NP39" i="15"/>
  <c r="EN39" i="15"/>
  <c r="QB39" i="15"/>
  <c r="PH39" i="15"/>
  <c r="DH39" i="15"/>
  <c r="NI37" i="15"/>
  <c r="NJ36" i="15"/>
  <c r="DU37" i="15"/>
  <c r="DV36" i="15"/>
  <c r="NL39" i="15"/>
  <c r="HU37" i="15"/>
  <c r="HV36" i="15"/>
  <c r="OS37" i="15"/>
  <c r="OT36" i="15"/>
  <c r="DX39" i="15"/>
  <c r="RP39" i="15"/>
  <c r="ES37" i="15"/>
  <c r="ET36" i="15"/>
  <c r="GS38" i="15"/>
  <c r="OO37" i="15"/>
  <c r="OP36" i="15"/>
  <c r="Y37" i="15"/>
  <c r="Z36" i="15"/>
  <c r="GN39" i="15"/>
  <c r="LH39" i="15"/>
  <c r="ON39" i="15"/>
  <c r="TA37" i="15"/>
  <c r="TB36" i="15"/>
  <c r="CB38" i="15"/>
  <c r="CG37" i="15"/>
  <c r="CH36" i="15"/>
  <c r="KJ39" i="15"/>
  <c r="BT38" i="15"/>
  <c r="TD39" i="15"/>
  <c r="RL39" i="15"/>
  <c r="BH39" i="15"/>
  <c r="GV39" i="15"/>
  <c r="SC37" i="15"/>
  <c r="SD36" i="15"/>
  <c r="QF39" i="15"/>
  <c r="LN37" i="15"/>
  <c r="CW37" i="15"/>
  <c r="CX36" i="15"/>
  <c r="QG37" i="15"/>
  <c r="QH36" i="15"/>
  <c r="CV39" i="15"/>
  <c r="BI38" i="15"/>
  <c r="BJ38" i="15" s="1"/>
  <c r="SR39" i="15"/>
  <c r="AV39" i="15"/>
  <c r="LA37" i="15"/>
  <c r="LB36" i="15"/>
  <c r="LL39" i="15"/>
  <c r="OF38" i="15"/>
  <c r="JD39" i="15"/>
  <c r="AF39" i="15"/>
  <c r="DE37" i="15"/>
  <c r="DF36" i="15"/>
  <c r="NH39" i="15"/>
  <c r="DY37" i="15"/>
  <c r="DZ36" i="15"/>
  <c r="GZ39" i="15"/>
  <c r="UR39" i="15"/>
  <c r="SB39" i="15"/>
  <c r="KN39" i="15"/>
  <c r="IJ39" i="15"/>
  <c r="EJ39" i="15"/>
  <c r="SS37" i="15"/>
  <c r="ST36" i="15"/>
  <c r="SF39" i="15"/>
  <c r="PT39" i="15"/>
  <c r="DD39" i="15"/>
  <c r="QN39" i="15"/>
  <c r="DL39" i="15"/>
  <c r="OJ39" i="15"/>
  <c r="EB39" i="15"/>
  <c r="QJ39" i="15"/>
  <c r="EC37" i="15"/>
  <c r="ED36" i="15"/>
  <c r="LX39" i="15"/>
  <c r="CN39" i="15"/>
  <c r="UC37" i="15"/>
  <c r="UD36" i="15"/>
  <c r="ND39" i="15"/>
  <c r="DR37" i="15"/>
  <c r="KP37" i="15"/>
  <c r="AW37" i="15"/>
  <c r="AX36" i="15"/>
  <c r="BR37" i="15"/>
  <c r="LU37" i="15"/>
  <c r="LV36" i="15"/>
  <c r="TI37" i="15"/>
  <c r="TJ36" i="15"/>
  <c r="AR39" i="15"/>
  <c r="P39" i="15"/>
  <c r="TM37" i="15"/>
  <c r="TN36" i="15"/>
  <c r="FD39" i="15"/>
  <c r="FF38" i="15"/>
  <c r="RY37" i="15"/>
  <c r="RZ36" i="15"/>
  <c r="CR38" i="15"/>
  <c r="L39" i="15"/>
  <c r="EZ39" i="15"/>
  <c r="KB39" i="15"/>
  <c r="DP39" i="15"/>
  <c r="BU37" i="15"/>
  <c r="BP39" i="15"/>
  <c r="LT39" i="15"/>
  <c r="TP39" i="15"/>
  <c r="SG38" i="15"/>
  <c r="KV39" i="15"/>
  <c r="IO37" i="15"/>
  <c r="IP36" i="15"/>
  <c r="MW37" i="15"/>
  <c r="MX36" i="15"/>
  <c r="UK37" i="15"/>
  <c r="UL36" i="15"/>
  <c r="FX39" i="15"/>
  <c r="AJ39" i="15"/>
  <c r="JQ37" i="15"/>
  <c r="JR36" i="15"/>
  <c r="TT39" i="15"/>
  <c r="UF39" i="15"/>
  <c r="UG37" i="15"/>
  <c r="UH36" i="15"/>
  <c r="AD37" i="15"/>
  <c r="LI38" i="15"/>
  <c r="QK37" i="15"/>
  <c r="QL36" i="15"/>
  <c r="JU37" i="15"/>
  <c r="JV36" i="15"/>
  <c r="MV39" i="15"/>
  <c r="T39" i="15"/>
  <c r="LD39" i="15"/>
  <c r="KK38" i="15"/>
  <c r="AN39" i="15"/>
  <c r="DT39" i="15"/>
  <c r="GW38" i="15"/>
  <c r="MB39" i="15"/>
  <c r="MD38" i="15"/>
  <c r="MN39" i="15"/>
  <c r="OV39" i="15"/>
  <c r="RU37" i="15"/>
  <c r="RV36" i="15"/>
  <c r="AB39" i="15"/>
  <c r="CS37" i="15"/>
  <c r="CT37" i="15" s="1"/>
  <c r="BY37" i="15"/>
  <c r="BZ36" i="15"/>
  <c r="SZ39" i="15"/>
  <c r="SJ39" i="15"/>
  <c r="HP39" i="15"/>
  <c r="RT39" i="15"/>
  <c r="MJ39" i="15"/>
  <c r="BL39" i="15"/>
  <c r="OW37" i="15"/>
  <c r="OX36" i="15"/>
  <c r="RM37" i="15"/>
  <c r="RN36" i="15"/>
  <c r="JL39" i="15"/>
  <c r="NX39" i="15"/>
  <c r="HQ38" i="15"/>
  <c r="HR38" i="15" s="1"/>
  <c r="HX39" i="15"/>
  <c r="JY38" i="15"/>
  <c r="PP39" i="15"/>
  <c r="UJ39" i="15"/>
  <c r="AK38" i="15"/>
  <c r="QZ39" i="15"/>
  <c r="FA37" i="15"/>
  <c r="FB36" i="15"/>
  <c r="PA37" i="15"/>
  <c r="PB36" i="15"/>
  <c r="HH39" i="15"/>
  <c r="FQ37" i="15"/>
  <c r="FR36" i="15"/>
  <c r="JN37" i="15"/>
  <c r="D39" i="15"/>
  <c r="GB39" i="15"/>
  <c r="GG37" i="15"/>
  <c r="GH36" i="15"/>
  <c r="JI37" i="15"/>
  <c r="JJ36" i="15"/>
  <c r="DI37" i="15"/>
  <c r="DJ36" i="15"/>
  <c r="BD39" i="15"/>
  <c r="KC37" i="15"/>
  <c r="KD36" i="15"/>
  <c r="TX39" i="15"/>
  <c r="TZ38" i="15"/>
  <c r="LE37" i="15"/>
  <c r="LF36" i="15"/>
  <c r="NE37" i="15"/>
  <c r="NF36" i="15"/>
  <c r="PL38" i="15"/>
  <c r="PQ37" i="15"/>
  <c r="PR36" i="15"/>
  <c r="TQ37" i="15"/>
  <c r="TR36" i="15"/>
  <c r="LY38" i="15"/>
  <c r="ID37" i="15"/>
  <c r="BX39" i="15"/>
  <c r="NT39" i="15"/>
  <c r="FM38" i="15"/>
  <c r="FN38" i="15" s="1"/>
  <c r="RQ37" i="15"/>
  <c r="RR36" i="15"/>
  <c r="MK37" i="15"/>
  <c r="ML36" i="15"/>
  <c r="US37" i="15"/>
  <c r="UT36" i="15"/>
  <c r="IV39" i="15"/>
  <c r="KR39" i="15"/>
  <c r="EF39" i="15"/>
  <c r="FH39" i="15"/>
  <c r="CZ39" i="15"/>
  <c r="HI37" i="15"/>
  <c r="HJ36" i="15"/>
  <c r="MS37" i="15"/>
  <c r="MT36" i="15"/>
  <c r="FY38" i="15"/>
  <c r="KZ39" i="15"/>
  <c r="QV39" i="15"/>
  <c r="AZ39" i="15"/>
  <c r="IB39" i="15"/>
  <c r="OB39" i="15"/>
  <c r="RA37" i="15"/>
  <c r="RB36" i="15"/>
  <c r="TH39" i="15"/>
  <c r="PX39" i="15"/>
  <c r="GO38" i="15"/>
  <c r="MF39" i="15"/>
  <c r="FT39" i="15"/>
  <c r="LP39" i="15"/>
  <c r="DB37" i="15"/>
  <c r="KG37" i="15"/>
  <c r="KH36" i="15"/>
  <c r="CC37" i="15"/>
  <c r="CF39" i="15"/>
  <c r="OG37" i="15"/>
  <c r="OH37" i="15" s="1"/>
  <c r="EW37" i="15"/>
  <c r="EX36" i="15"/>
  <c r="IW37" i="15"/>
  <c r="IX36" i="15"/>
  <c r="IK37" i="15"/>
  <c r="IL36" i="15"/>
  <c r="AS37" i="15"/>
  <c r="AT36" i="15"/>
  <c r="NQ37" i="15"/>
  <c r="NR36" i="15"/>
  <c r="IR39" i="15"/>
  <c r="OZ39" i="15"/>
  <c r="CJ39" i="15"/>
  <c r="IN39" i="15"/>
  <c r="JE37" i="15"/>
  <c r="JF36" i="15"/>
  <c r="BM37" i="15"/>
  <c r="BN36" i="15"/>
  <c r="MR39" i="15"/>
  <c r="GC37" i="15"/>
  <c r="GD36" i="15"/>
  <c r="PU37" i="15"/>
  <c r="PV36" i="15"/>
  <c r="SN39" i="15"/>
  <c r="PD39" i="15"/>
  <c r="UP37" i="15"/>
  <c r="NU37" i="15"/>
  <c r="NV36" i="15"/>
  <c r="HT39" i="15"/>
  <c r="HA37" i="15"/>
  <c r="HB36" i="15"/>
  <c r="IG38" i="15"/>
  <c r="KF39" i="15"/>
  <c r="ER39" i="15"/>
  <c r="JT39" i="15"/>
  <c r="SX37" i="15"/>
  <c r="AG38" i="15"/>
  <c r="MZ38" i="15"/>
  <c r="JP39" i="15"/>
  <c r="SK38" i="15"/>
  <c r="IZ39" i="15"/>
  <c r="JA39" i="15" s="1"/>
  <c r="EV39" i="15"/>
  <c r="RD39" i="15"/>
  <c r="H38" i="15"/>
  <c r="TE37" i="15"/>
  <c r="TF36" i="15"/>
  <c r="RH39" i="15"/>
  <c r="RI39" i="15" s="1"/>
  <c r="RJ38" i="15"/>
  <c r="RX39" i="15"/>
  <c r="CO38" i="15"/>
  <c r="FP39" i="15"/>
  <c r="HL39" i="15"/>
  <c r="HD39" i="15"/>
  <c r="GK37" i="15"/>
  <c r="GL36" i="15"/>
  <c r="QC37" i="15"/>
  <c r="QD36" i="15"/>
  <c r="GF39" i="15"/>
  <c r="OC37" i="15"/>
  <c r="OD36" i="15"/>
  <c r="MO38" i="15"/>
  <c r="MP38" i="15" s="1"/>
  <c r="UN39" i="15"/>
  <c r="KW37" i="15"/>
  <c r="KX36" i="15"/>
  <c r="Q37" i="15"/>
  <c r="R36" i="15"/>
  <c r="QR39" i="15"/>
  <c r="OR39" i="15"/>
  <c r="MG38" i="15"/>
  <c r="UB39" i="15"/>
  <c r="NM37" i="15"/>
  <c r="NN36" i="15"/>
  <c r="SV39" i="15"/>
  <c r="KS38" i="15"/>
  <c r="KT38" i="15" s="1"/>
  <c r="F41" i="9"/>
  <c r="G41" i="9" s="1"/>
  <c r="F41" i="8"/>
  <c r="G41" i="8" s="1"/>
  <c r="E42" i="11"/>
  <c r="F41" i="11"/>
  <c r="G41" i="10"/>
  <c r="G40" i="10"/>
  <c r="E42" i="9"/>
  <c r="G40" i="9"/>
  <c r="E42" i="8"/>
  <c r="G40" i="8"/>
  <c r="E43" i="2"/>
  <c r="F42" i="2"/>
  <c r="QO39" i="15" l="1"/>
  <c r="PI39" i="15"/>
  <c r="PJ39" i="15" s="1"/>
  <c r="EG39" i="15"/>
  <c r="EH39" i="15" s="1"/>
  <c r="DQ39" i="15"/>
  <c r="DR39" i="15" s="1"/>
  <c r="NA38" i="15"/>
  <c r="NB38" i="15" s="1"/>
  <c r="IS39" i="15"/>
  <c r="IT39" i="15" s="1"/>
  <c r="SO39" i="15"/>
  <c r="SP39" i="15" s="1"/>
  <c r="OK39" i="15"/>
  <c r="OL39" i="15" s="1"/>
  <c r="RE39" i="15"/>
  <c r="RF39" i="15" s="1"/>
  <c r="DM39" i="15"/>
  <c r="DN39" i="15" s="1"/>
  <c r="BA39" i="15"/>
  <c r="BB39" i="15" s="1"/>
  <c r="AC39" i="15"/>
  <c r="AD39" i="15" s="1"/>
  <c r="UO39" i="15"/>
  <c r="UP39" i="15" s="1"/>
  <c r="FI39" i="15"/>
  <c r="FJ39" i="15" s="1"/>
  <c r="CK39" i="15"/>
  <c r="CL39" i="15" s="1"/>
  <c r="U39" i="15"/>
  <c r="V39" i="15" s="1"/>
  <c r="KO39" i="15"/>
  <c r="KP39" i="15" s="1"/>
  <c r="SK39" i="15"/>
  <c r="SL39" i="15" s="1"/>
  <c r="KP38" i="15"/>
  <c r="BU38" i="15"/>
  <c r="BV38" i="15" s="1"/>
  <c r="QS39" i="15"/>
  <c r="QT39" i="15" s="1"/>
  <c r="EO39" i="15"/>
  <c r="EP39" i="15" s="1"/>
  <c r="LQ39" i="15"/>
  <c r="LR39" i="15" s="1"/>
  <c r="LM39" i="15"/>
  <c r="LN39" i="15" s="1"/>
  <c r="JM39" i="15"/>
  <c r="JN39" i="15" s="1"/>
  <c r="PY39" i="15"/>
  <c r="PZ39" i="15" s="1"/>
  <c r="E39" i="15"/>
  <c r="F39" i="15" s="1"/>
  <c r="MG39" i="15"/>
  <c r="MH39" i="15" s="1"/>
  <c r="CC38" i="15"/>
  <c r="CD38" i="15" s="1"/>
  <c r="HY39" i="15"/>
  <c r="HZ39" i="15" s="1"/>
  <c r="FY39" i="15"/>
  <c r="FZ39" i="15" s="1"/>
  <c r="KK39" i="15"/>
  <c r="KL39" i="15" s="1"/>
  <c r="DA39" i="15"/>
  <c r="DB39" i="15" s="1"/>
  <c r="LI39" i="15"/>
  <c r="LJ39" i="15" s="1"/>
  <c r="GW39" i="15"/>
  <c r="GX39" i="15" s="1"/>
  <c r="CO39" i="15"/>
  <c r="CP39" i="15" s="1"/>
  <c r="AG39" i="15"/>
  <c r="AH39" i="15" s="1"/>
  <c r="JY39" i="15"/>
  <c r="JZ39" i="15" s="1"/>
  <c r="SG39" i="15"/>
  <c r="SH39" i="15" s="1"/>
  <c r="AK39" i="15"/>
  <c r="AL39" i="15" s="1"/>
  <c r="LY39" i="15"/>
  <c r="LZ39" i="15" s="1"/>
  <c r="GO39" i="15"/>
  <c r="GP39" i="15" s="1"/>
  <c r="GP38" i="15"/>
  <c r="UJ40" i="15"/>
  <c r="KV40" i="15"/>
  <c r="GX38" i="15"/>
  <c r="LJ38" i="15"/>
  <c r="DD40" i="15"/>
  <c r="DY38" i="15"/>
  <c r="DZ37" i="15"/>
  <c r="AV40" i="15"/>
  <c r="GV40" i="15"/>
  <c r="LH40" i="15"/>
  <c r="NL40" i="15"/>
  <c r="GJ40" i="15"/>
  <c r="SC38" i="15"/>
  <c r="SD37" i="15"/>
  <c r="GG38" i="15"/>
  <c r="GH37" i="15"/>
  <c r="GB40" i="15"/>
  <c r="UG38" i="15"/>
  <c r="UH37" i="15"/>
  <c r="UC38" i="15"/>
  <c r="UD37" i="15"/>
  <c r="NH40" i="15"/>
  <c r="SR40" i="15"/>
  <c r="ON40" i="15"/>
  <c r="OR40" i="15"/>
  <c r="MB40" i="15"/>
  <c r="FD40" i="15"/>
  <c r="CP38" i="15"/>
  <c r="PT40" i="15"/>
  <c r="BH40" i="15"/>
  <c r="GN40" i="15"/>
  <c r="DU38" i="15"/>
  <c r="DV37" i="15"/>
  <c r="HD40" i="15"/>
  <c r="HP40" i="15"/>
  <c r="DT40" i="15"/>
  <c r="UF40" i="15"/>
  <c r="TP40" i="15"/>
  <c r="CN40" i="15"/>
  <c r="SH38" i="15"/>
  <c r="BI39" i="15"/>
  <c r="JH40" i="15"/>
  <c r="FE39" i="15"/>
  <c r="IF40" i="15"/>
  <c r="OB40" i="15"/>
  <c r="MJ40" i="15"/>
  <c r="HX40" i="15"/>
  <c r="SL38" i="15"/>
  <c r="TM38" i="15"/>
  <c r="TN37" i="15"/>
  <c r="LX40" i="15"/>
  <c r="SF40" i="15"/>
  <c r="RL40" i="15"/>
  <c r="Y38" i="15"/>
  <c r="Z37" i="15"/>
  <c r="NI38" i="15"/>
  <c r="NJ37" i="15"/>
  <c r="GK38" i="15"/>
  <c r="GL37" i="15"/>
  <c r="BL40" i="15"/>
  <c r="HU38" i="15"/>
  <c r="HV37" i="15"/>
  <c r="RT40" i="15"/>
  <c r="NQ38" i="15"/>
  <c r="NR37" i="15"/>
  <c r="QV40" i="15"/>
  <c r="US38" i="15"/>
  <c r="UT37" i="15"/>
  <c r="NE38" i="15"/>
  <c r="NF37" i="15"/>
  <c r="SJ40" i="15"/>
  <c r="AN40" i="15"/>
  <c r="TT40" i="15"/>
  <c r="LT40" i="15"/>
  <c r="LZ38" i="15"/>
  <c r="DE38" i="15"/>
  <c r="DF37" i="15"/>
  <c r="TL40" i="15"/>
  <c r="MC39" i="15"/>
  <c r="HT40" i="15"/>
  <c r="HE39" i="15"/>
  <c r="HF39" i="15" s="1"/>
  <c r="AZ40" i="15"/>
  <c r="RX40" i="15"/>
  <c r="PU38" i="15"/>
  <c r="PV37" i="15"/>
  <c r="KZ40" i="15"/>
  <c r="P40" i="15"/>
  <c r="SS38" i="15"/>
  <c r="ST37" i="15"/>
  <c r="AF40" i="15"/>
  <c r="CV40" i="15"/>
  <c r="TD40" i="15"/>
  <c r="OO38" i="15"/>
  <c r="OP37" i="15"/>
  <c r="DH40" i="15"/>
  <c r="CR39" i="15"/>
  <c r="CF40" i="15"/>
  <c r="HL40" i="15"/>
  <c r="IV40" i="15"/>
  <c r="HQ39" i="15"/>
  <c r="SZ40" i="15"/>
  <c r="JQ38" i="15"/>
  <c r="JR37" i="15"/>
  <c r="BP40" i="15"/>
  <c r="EC38" i="15"/>
  <c r="ED37" i="15"/>
  <c r="AH38" i="15"/>
  <c r="BT39" i="15"/>
  <c r="GS39" i="15"/>
  <c r="GT39" i="15" s="1"/>
  <c r="FL40" i="15"/>
  <c r="PP40" i="15"/>
  <c r="JP40" i="15"/>
  <c r="PD40" i="15"/>
  <c r="FP40" i="15"/>
  <c r="Q38" i="15"/>
  <c r="R37" i="15"/>
  <c r="KW38" i="15"/>
  <c r="KX37" i="15"/>
  <c r="NX40" i="15"/>
  <c r="LD40" i="15"/>
  <c r="BQ39" i="15"/>
  <c r="AR40" i="15"/>
  <c r="QJ40" i="15"/>
  <c r="EJ40" i="15"/>
  <c r="QG38" i="15"/>
  <c r="QH37" i="15"/>
  <c r="BV37" i="15"/>
  <c r="PH40" i="15"/>
  <c r="NU38" i="15"/>
  <c r="NV37" i="15"/>
  <c r="KR40" i="15"/>
  <c r="PL39" i="15"/>
  <c r="MK38" i="15"/>
  <c r="ML37" i="15"/>
  <c r="IK38" i="15"/>
  <c r="IL37" i="15"/>
  <c r="RQ38" i="15"/>
  <c r="RR37" i="15"/>
  <c r="TX40" i="15"/>
  <c r="HH40" i="15"/>
  <c r="BY38" i="15"/>
  <c r="BZ37" i="15"/>
  <c r="AL38" i="15"/>
  <c r="JD40" i="15"/>
  <c r="KL38" i="15"/>
  <c r="ES38" i="15"/>
  <c r="ET37" i="15"/>
  <c r="M38" i="15"/>
  <c r="N37" i="15"/>
  <c r="TY39" i="15"/>
  <c r="CJ40" i="15"/>
  <c r="QK38" i="15"/>
  <c r="QL37" i="15"/>
  <c r="IB40" i="15"/>
  <c r="LE38" i="15"/>
  <c r="LF37" i="15"/>
  <c r="GC38" i="15"/>
  <c r="GD37" i="15"/>
  <c r="FM39" i="15"/>
  <c r="FN39" i="15" s="1"/>
  <c r="CS38" i="15"/>
  <c r="CT38" i="15" s="1"/>
  <c r="T40" i="15"/>
  <c r="AJ40" i="15"/>
  <c r="DP40" i="15"/>
  <c r="TI38" i="15"/>
  <c r="TJ37" i="15"/>
  <c r="EB40" i="15"/>
  <c r="IJ40" i="15"/>
  <c r="KJ40" i="15"/>
  <c r="QB40" i="15"/>
  <c r="AO39" i="15"/>
  <c r="AP39" i="15" s="1"/>
  <c r="IO38" i="15"/>
  <c r="IP37" i="15"/>
  <c r="FT40" i="15"/>
  <c r="UN40" i="15"/>
  <c r="JT40" i="15"/>
  <c r="TE38" i="15"/>
  <c r="TF37" i="15"/>
  <c r="KC38" i="15"/>
  <c r="KD37" i="15"/>
  <c r="PA38" i="15"/>
  <c r="PB37" i="15"/>
  <c r="JL40" i="15"/>
  <c r="AB40" i="15"/>
  <c r="FZ38" i="15"/>
  <c r="KB40" i="15"/>
  <c r="CW38" i="15"/>
  <c r="CX37" i="15"/>
  <c r="RP40" i="15"/>
  <c r="X40" i="15"/>
  <c r="MN40" i="15"/>
  <c r="TQ38" i="15"/>
  <c r="TR37" i="15"/>
  <c r="IR40" i="15"/>
  <c r="AS38" i="15"/>
  <c r="AT37" i="15"/>
  <c r="MH38" i="15"/>
  <c r="ER40" i="15"/>
  <c r="KF40" i="15"/>
  <c r="PX40" i="15"/>
  <c r="HI38" i="15"/>
  <c r="HJ37" i="15"/>
  <c r="NT40" i="15"/>
  <c r="BD40" i="15"/>
  <c r="MV40" i="15"/>
  <c r="FX40" i="15"/>
  <c r="LU38" i="15"/>
  <c r="LV37" i="15"/>
  <c r="KN40" i="15"/>
  <c r="CG38" i="15"/>
  <c r="CH37" i="15"/>
  <c r="JZ38" i="15"/>
  <c r="PQ38" i="15"/>
  <c r="PR37" i="15"/>
  <c r="QR40" i="15"/>
  <c r="LP40" i="15"/>
  <c r="MS38" i="15"/>
  <c r="MT37" i="15"/>
  <c r="FA38" i="15"/>
  <c r="FB37" i="15"/>
  <c r="EZ40" i="15"/>
  <c r="OJ40" i="15"/>
  <c r="OF39" i="15"/>
  <c r="IC39" i="15"/>
  <c r="CB39" i="15"/>
  <c r="DX40" i="15"/>
  <c r="EN40" i="15"/>
  <c r="JX40" i="15"/>
  <c r="HM39" i="15"/>
  <c r="GR40" i="15"/>
  <c r="OZ40" i="15"/>
  <c r="MZ39" i="15"/>
  <c r="GF40" i="15"/>
  <c r="TU39" i="15"/>
  <c r="TV39" i="15" s="1"/>
  <c r="RD40" i="15"/>
  <c r="RU38" i="15"/>
  <c r="RV37" i="15"/>
  <c r="SB40" i="15"/>
  <c r="CD37" i="15"/>
  <c r="EK39" i="15"/>
  <c r="EF40" i="15"/>
  <c r="GZ40" i="15"/>
  <c r="LA38" i="15"/>
  <c r="LB37" i="15"/>
  <c r="RY38" i="15"/>
  <c r="RZ37" i="15"/>
  <c r="D40" i="15"/>
  <c r="MO39" i="15"/>
  <c r="MP39" i="15" s="1"/>
  <c r="MF40" i="15"/>
  <c r="MR40" i="15"/>
  <c r="OC38" i="15"/>
  <c r="OD37" i="15"/>
  <c r="BM38" i="15"/>
  <c r="BN37" i="15"/>
  <c r="SV40" i="15"/>
  <c r="FU39" i="15"/>
  <c r="BX40" i="15"/>
  <c r="RM38" i="15"/>
  <c r="RN37" i="15"/>
  <c r="JE38" i="15"/>
  <c r="JF37" i="15"/>
  <c r="CZ40" i="15"/>
  <c r="QW39" i="15"/>
  <c r="JU38" i="15"/>
  <c r="JV37" i="15"/>
  <c r="UK38" i="15"/>
  <c r="UL37" i="15"/>
  <c r="NM38" i="15"/>
  <c r="NN37" i="15"/>
  <c r="QC38" i="15"/>
  <c r="QD37" i="15"/>
  <c r="EV40" i="15"/>
  <c r="HA38" i="15"/>
  <c r="HB37" i="15"/>
  <c r="EW38" i="15"/>
  <c r="EX37" i="15"/>
  <c r="DI38" i="15"/>
  <c r="DJ37" i="15"/>
  <c r="QZ40" i="15"/>
  <c r="OW38" i="15"/>
  <c r="OX37" i="15"/>
  <c r="OV40" i="15"/>
  <c r="BE39" i="15"/>
  <c r="BF39" i="15" s="1"/>
  <c r="AW38" i="15"/>
  <c r="AX37" i="15"/>
  <c r="DL40" i="15"/>
  <c r="QF40" i="15"/>
  <c r="OS38" i="15"/>
  <c r="OT37" i="15"/>
  <c r="NP40" i="15"/>
  <c r="NY38" i="15"/>
  <c r="NZ37" i="15"/>
  <c r="PM38" i="15"/>
  <c r="PN38" i="15" s="1"/>
  <c r="JI38" i="15"/>
  <c r="JJ37" i="15"/>
  <c r="QP39" i="15"/>
  <c r="QN40" i="15"/>
  <c r="QO40" i="15" s="1"/>
  <c r="IZ40" i="15"/>
  <c r="JA40" i="15" s="1"/>
  <c r="JB39" i="15"/>
  <c r="ND40" i="15"/>
  <c r="KG38" i="15"/>
  <c r="KH37" i="15"/>
  <c r="SN40" i="15"/>
  <c r="FQ38" i="15"/>
  <c r="FR37" i="15"/>
  <c r="RH40" i="15"/>
  <c r="RJ39" i="15"/>
  <c r="KS39" i="15"/>
  <c r="IW38" i="15"/>
  <c r="IX37" i="15"/>
  <c r="H39" i="15"/>
  <c r="IG39" i="15"/>
  <c r="TH40" i="15"/>
  <c r="UB40" i="15"/>
  <c r="IN40" i="15"/>
  <c r="OG38" i="15"/>
  <c r="RA38" i="15"/>
  <c r="RB37" i="15"/>
  <c r="FH40" i="15"/>
  <c r="SW39" i="15"/>
  <c r="MW38" i="15"/>
  <c r="MX37" i="15"/>
  <c r="L40" i="15"/>
  <c r="UR40" i="15"/>
  <c r="LL40" i="15"/>
  <c r="TA38" i="15"/>
  <c r="TB37" i="15"/>
  <c r="PE39" i="15"/>
  <c r="GT38" i="15"/>
  <c r="IH38" i="15"/>
  <c r="I38" i="15"/>
  <c r="F42" i="11"/>
  <c r="G42" i="11" s="1"/>
  <c r="F43" i="2"/>
  <c r="G43" i="2" s="1"/>
  <c r="G41" i="11"/>
  <c r="E43" i="11"/>
  <c r="E43" i="9"/>
  <c r="F42" i="9"/>
  <c r="E43" i="8"/>
  <c r="F42" i="8"/>
  <c r="G42" i="2"/>
  <c r="E44" i="2"/>
  <c r="IS40" i="15" l="1"/>
  <c r="NA39" i="15"/>
  <c r="PI40" i="15"/>
  <c r="OK40" i="15"/>
  <c r="OL40" i="15" s="1"/>
  <c r="EG40" i="15"/>
  <c r="EH40" i="15" s="1"/>
  <c r="RE40" i="15"/>
  <c r="RF40" i="15" s="1"/>
  <c r="SO40" i="15"/>
  <c r="SP40" i="15" s="1"/>
  <c r="DM40" i="15"/>
  <c r="DN40" i="15" s="1"/>
  <c r="IC40" i="15"/>
  <c r="ID40" i="15" s="1"/>
  <c r="FI40" i="15"/>
  <c r="FJ40" i="15" s="1"/>
  <c r="AC40" i="15"/>
  <c r="AD40" i="15" s="1"/>
  <c r="GW40" i="15"/>
  <c r="GX40" i="15" s="1"/>
  <c r="KO40" i="15"/>
  <c r="KP40" i="15" s="1"/>
  <c r="EO40" i="15"/>
  <c r="EP40" i="15" s="1"/>
  <c r="E40" i="15"/>
  <c r="F40" i="15" s="1"/>
  <c r="I39" i="15"/>
  <c r="J39" i="15" s="1"/>
  <c r="CC39" i="15"/>
  <c r="CD39" i="15" s="1"/>
  <c r="SK40" i="15"/>
  <c r="SL40" i="15" s="1"/>
  <c r="LM40" i="15"/>
  <c r="LN40" i="15" s="1"/>
  <c r="BU39" i="15"/>
  <c r="BV39" i="15" s="1"/>
  <c r="LY40" i="15"/>
  <c r="LZ40" i="15" s="1"/>
  <c r="FY40" i="15"/>
  <c r="FZ40" i="15" s="1"/>
  <c r="MG40" i="15"/>
  <c r="MH40" i="15" s="1"/>
  <c r="IG40" i="15"/>
  <c r="IH40" i="15" s="1"/>
  <c r="CO40" i="15"/>
  <c r="CP40" i="15" s="1"/>
  <c r="GO40" i="15"/>
  <c r="GP40" i="15" s="1"/>
  <c r="AK40" i="15"/>
  <c r="AL40" i="15" s="1"/>
  <c r="SW40" i="15"/>
  <c r="SX40" i="15" s="1"/>
  <c r="QW40" i="15"/>
  <c r="QX40" i="15" s="1"/>
  <c r="KS40" i="15"/>
  <c r="KT40" i="15" s="1"/>
  <c r="BQ40" i="15"/>
  <c r="BR40" i="15" s="1"/>
  <c r="OG39" i="15"/>
  <c r="OH39" i="15" s="1"/>
  <c r="EK40" i="15"/>
  <c r="EL40" i="15" s="1"/>
  <c r="TY40" i="15"/>
  <c r="TZ40" i="15" s="1"/>
  <c r="FU40" i="15"/>
  <c r="MC40" i="15"/>
  <c r="MD40" i="15" s="1"/>
  <c r="IH39" i="15"/>
  <c r="PE40" i="15"/>
  <c r="PF40" i="15" s="1"/>
  <c r="FE40" i="15"/>
  <c r="FF40" i="15" s="1"/>
  <c r="GJ41" i="15"/>
  <c r="PL40" i="15"/>
  <c r="AN41" i="15"/>
  <c r="OB41" i="15"/>
  <c r="EZ41" i="15"/>
  <c r="GZ41" i="15"/>
  <c r="NL41" i="15"/>
  <c r="OS39" i="15"/>
  <c r="OT38" i="15"/>
  <c r="GR41" i="15"/>
  <c r="MS39" i="15"/>
  <c r="MT38" i="15"/>
  <c r="NT41" i="15"/>
  <c r="X41" i="15"/>
  <c r="DP41" i="15"/>
  <c r="M39" i="15"/>
  <c r="N38" i="15"/>
  <c r="LD41" i="15"/>
  <c r="GS40" i="15"/>
  <c r="GT40" i="15" s="1"/>
  <c r="CR40" i="15"/>
  <c r="PU39" i="15"/>
  <c r="PV38" i="15"/>
  <c r="NI39" i="15"/>
  <c r="NJ38" i="15"/>
  <c r="HD41" i="15"/>
  <c r="SR41" i="15"/>
  <c r="MJ41" i="15"/>
  <c r="BX41" i="15"/>
  <c r="HM40" i="15"/>
  <c r="HN40" i="15" s="1"/>
  <c r="LP41" i="15"/>
  <c r="UN41" i="15"/>
  <c r="AJ41" i="15"/>
  <c r="KR41" i="15"/>
  <c r="DH41" i="15"/>
  <c r="RX41" i="15"/>
  <c r="SJ41" i="15"/>
  <c r="IF41" i="15"/>
  <c r="LH41" i="15"/>
  <c r="TE39" i="15"/>
  <c r="TF38" i="15"/>
  <c r="MW39" i="15"/>
  <c r="MX38" i="15"/>
  <c r="DL41" i="15"/>
  <c r="FT41" i="15"/>
  <c r="ES39" i="15"/>
  <c r="ET38" i="15"/>
  <c r="KT39" i="15"/>
  <c r="BT40" i="15"/>
  <c r="Y39" i="15"/>
  <c r="Z38" i="15"/>
  <c r="DU39" i="15"/>
  <c r="DV38" i="15"/>
  <c r="NH41" i="15"/>
  <c r="NP41" i="15"/>
  <c r="EV41" i="15"/>
  <c r="SX39" i="15"/>
  <c r="SB41" i="15"/>
  <c r="JX41" i="15"/>
  <c r="HI39" i="15"/>
  <c r="HJ38" i="15"/>
  <c r="FV39" i="15"/>
  <c r="NX41" i="15"/>
  <c r="AZ41" i="15"/>
  <c r="NE39" i="15"/>
  <c r="NF38" i="15"/>
  <c r="GN41" i="15"/>
  <c r="GV41" i="15"/>
  <c r="EB41" i="15"/>
  <c r="HA39" i="15"/>
  <c r="HB38" i="15"/>
  <c r="KG39" i="15"/>
  <c r="KH38" i="15"/>
  <c r="NM39" i="15"/>
  <c r="NN38" i="15"/>
  <c r="OC39" i="15"/>
  <c r="OD38" i="15"/>
  <c r="EN41" i="15"/>
  <c r="QR41" i="15"/>
  <c r="CW39" i="15"/>
  <c r="CX38" i="15"/>
  <c r="T41" i="15"/>
  <c r="NU39" i="15"/>
  <c r="NV38" i="15"/>
  <c r="OO39" i="15"/>
  <c r="OP38" i="15"/>
  <c r="RL41" i="15"/>
  <c r="JH41" i="15"/>
  <c r="CJ41" i="15"/>
  <c r="MN41" i="15"/>
  <c r="ON41" i="15"/>
  <c r="FA39" i="15"/>
  <c r="FB38" i="15"/>
  <c r="EF41" i="15"/>
  <c r="AW39" i="15"/>
  <c r="AX38" i="15"/>
  <c r="MR41" i="15"/>
  <c r="PX41" i="15"/>
  <c r="CS39" i="15"/>
  <c r="JD41" i="15"/>
  <c r="DQ40" i="15"/>
  <c r="DR40" i="15" s="1"/>
  <c r="KW39" i="15"/>
  <c r="KX38" i="15"/>
  <c r="EC39" i="15"/>
  <c r="ED38" i="15"/>
  <c r="TD41" i="15"/>
  <c r="HE40" i="15"/>
  <c r="US39" i="15"/>
  <c r="UT38" i="15"/>
  <c r="BI40" i="15"/>
  <c r="BJ39" i="15"/>
  <c r="UC39" i="15"/>
  <c r="UD38" i="15"/>
  <c r="AV41" i="15"/>
  <c r="AR41" i="15"/>
  <c r="CF41" i="15"/>
  <c r="JT41" i="15"/>
  <c r="QF41" i="15"/>
  <c r="PQ39" i="15"/>
  <c r="PR38" i="15"/>
  <c r="KF41" i="15"/>
  <c r="KB41" i="15"/>
  <c r="FM40" i="15"/>
  <c r="BP41" i="15"/>
  <c r="QV41" i="15"/>
  <c r="SF41" i="15"/>
  <c r="BH41" i="15"/>
  <c r="SG40" i="15"/>
  <c r="UO40" i="15"/>
  <c r="UP40" i="15" s="1"/>
  <c r="EW39" i="15"/>
  <c r="EX38" i="15"/>
  <c r="FL41" i="15"/>
  <c r="KZ41" i="15"/>
  <c r="RH41" i="15"/>
  <c r="TI39" i="15"/>
  <c r="TJ38" i="15"/>
  <c r="OV41" i="15"/>
  <c r="DX41" i="15"/>
  <c r="IO39" i="15"/>
  <c r="IP38" i="15"/>
  <c r="Q39" i="15"/>
  <c r="R38" i="15"/>
  <c r="BR39" i="15"/>
  <c r="HT41" i="15"/>
  <c r="QX39" i="15"/>
  <c r="CN41" i="15"/>
  <c r="PT41" i="15"/>
  <c r="DY39" i="15"/>
  <c r="DZ38" i="15"/>
  <c r="RI40" i="15"/>
  <c r="HP41" i="15"/>
  <c r="MV41" i="15"/>
  <c r="QC39" i="15"/>
  <c r="QD38" i="15"/>
  <c r="RD41" i="15"/>
  <c r="AO40" i="15"/>
  <c r="GC39" i="15"/>
  <c r="GD38" i="15"/>
  <c r="BY39" i="15"/>
  <c r="BZ38" i="15"/>
  <c r="PH41" i="15"/>
  <c r="PI41" i="15" s="1"/>
  <c r="PJ40" i="15"/>
  <c r="FP41" i="15"/>
  <c r="CV41" i="15"/>
  <c r="LX41" i="15"/>
  <c r="UG39" i="15"/>
  <c r="UH38" i="15"/>
  <c r="BM39" i="15"/>
  <c r="BN38" i="15"/>
  <c r="UK39" i="15"/>
  <c r="UL38" i="15"/>
  <c r="JU39" i="15"/>
  <c r="JV38" i="15"/>
  <c r="TH41" i="15"/>
  <c r="TU40" i="15"/>
  <c r="CB40" i="15"/>
  <c r="CG39" i="15"/>
  <c r="CH38" i="15"/>
  <c r="ER41" i="15"/>
  <c r="QB41" i="15"/>
  <c r="JQ39" i="15"/>
  <c r="JR38" i="15"/>
  <c r="AF41" i="15"/>
  <c r="NQ39" i="15"/>
  <c r="NR38" i="15"/>
  <c r="DD41" i="15"/>
  <c r="PY40" i="15"/>
  <c r="HL41" i="15"/>
  <c r="OZ41" i="15"/>
  <c r="RP41" i="15"/>
  <c r="ND41" i="15"/>
  <c r="LE39" i="15"/>
  <c r="LF38" i="15"/>
  <c r="HH41" i="15"/>
  <c r="PF39" i="15"/>
  <c r="TL41" i="15"/>
  <c r="AG40" i="15"/>
  <c r="AH40" i="15" s="1"/>
  <c r="TM39" i="15"/>
  <c r="TN38" i="15"/>
  <c r="TP41" i="15"/>
  <c r="FF39" i="15"/>
  <c r="GB41" i="15"/>
  <c r="SV41" i="15"/>
  <c r="FQ39" i="15"/>
  <c r="FR38" i="15"/>
  <c r="BE40" i="15"/>
  <c r="UB41" i="15"/>
  <c r="MO40" i="15"/>
  <c r="OW39" i="15"/>
  <c r="OX38" i="15"/>
  <c r="QZ41" i="15"/>
  <c r="CZ41" i="15"/>
  <c r="GF41" i="15"/>
  <c r="OH38" i="15"/>
  <c r="KN41" i="15"/>
  <c r="JL41" i="15"/>
  <c r="KJ41" i="15"/>
  <c r="ID39" i="15"/>
  <c r="TX41" i="15"/>
  <c r="QG39" i="15"/>
  <c r="QH38" i="15"/>
  <c r="PD41" i="15"/>
  <c r="SZ41" i="15"/>
  <c r="RT41" i="15"/>
  <c r="UF41" i="15"/>
  <c r="FD41" i="15"/>
  <c r="DA40" i="15"/>
  <c r="L41" i="15"/>
  <c r="GK39" i="15"/>
  <c r="GL38" i="15"/>
  <c r="MF41" i="15"/>
  <c r="AS39" i="15"/>
  <c r="AT38" i="15"/>
  <c r="TZ39" i="15"/>
  <c r="EL39" i="15"/>
  <c r="JP41" i="15"/>
  <c r="HQ40" i="15"/>
  <c r="SS39" i="15"/>
  <c r="ST38" i="15"/>
  <c r="DE39" i="15"/>
  <c r="DF38" i="15"/>
  <c r="HX41" i="15"/>
  <c r="JY40" i="15"/>
  <c r="GG39" i="15"/>
  <c r="GH38" i="15"/>
  <c r="BA40" i="15"/>
  <c r="BB40" i="15" s="1"/>
  <c r="TQ39" i="15"/>
  <c r="TR38" i="15"/>
  <c r="MK39" i="15"/>
  <c r="ML38" i="15"/>
  <c r="FH41" i="15"/>
  <c r="SN41" i="15"/>
  <c r="RA39" i="15"/>
  <c r="RB38" i="15"/>
  <c r="RU39" i="15"/>
  <c r="RV38" i="15"/>
  <c r="TA39" i="15"/>
  <c r="TB38" i="15"/>
  <c r="JI39" i="15"/>
  <c r="JJ38" i="15"/>
  <c r="PM39" i="15"/>
  <c r="PN39" i="15" s="1"/>
  <c r="P41" i="15"/>
  <c r="MD39" i="15"/>
  <c r="LQ40" i="15"/>
  <c r="LR40" i="15" s="1"/>
  <c r="TT41" i="15"/>
  <c r="IN41" i="15"/>
  <c r="IZ41" i="15"/>
  <c r="JA41" i="15" s="1"/>
  <c r="JB40" i="15"/>
  <c r="AB41" i="15"/>
  <c r="QP40" i="15"/>
  <c r="QN41" i="15"/>
  <c r="H40" i="15"/>
  <c r="J38" i="15"/>
  <c r="JE39" i="15"/>
  <c r="JF38" i="15"/>
  <c r="IT40" i="15"/>
  <c r="IR41" i="15"/>
  <c r="PA39" i="15"/>
  <c r="PB38" i="15"/>
  <c r="LI40" i="15"/>
  <c r="DI39" i="15"/>
  <c r="DJ38" i="15"/>
  <c r="OJ41" i="15"/>
  <c r="IJ41" i="15"/>
  <c r="RQ39" i="15"/>
  <c r="RR38" i="15"/>
  <c r="QJ41" i="15"/>
  <c r="PP41" i="15"/>
  <c r="IV41" i="15"/>
  <c r="LT41" i="15"/>
  <c r="HU39" i="15"/>
  <c r="HV38" i="15"/>
  <c r="JM40" i="15"/>
  <c r="DT41" i="15"/>
  <c r="MB41" i="15"/>
  <c r="SC39" i="15"/>
  <c r="SD38" i="15"/>
  <c r="KV41" i="15"/>
  <c r="CK40" i="15"/>
  <c r="IK39" i="15"/>
  <c r="IL38" i="15"/>
  <c r="BD41" i="15"/>
  <c r="D41" i="15"/>
  <c r="LL41" i="15"/>
  <c r="OF40" i="15"/>
  <c r="IB41" i="15"/>
  <c r="RY39" i="15"/>
  <c r="RZ38" i="15"/>
  <c r="LU39" i="15"/>
  <c r="LV38" i="15"/>
  <c r="EJ41" i="15"/>
  <c r="UR41" i="15"/>
  <c r="IW39" i="15"/>
  <c r="IX38" i="15"/>
  <c r="NY39" i="15"/>
  <c r="NZ38" i="15"/>
  <c r="RM39" i="15"/>
  <c r="RN38" i="15"/>
  <c r="LA39" i="15"/>
  <c r="LB38" i="15"/>
  <c r="MZ40" i="15"/>
  <c r="NB39" i="15"/>
  <c r="FX41" i="15"/>
  <c r="KC39" i="15"/>
  <c r="KD38" i="15"/>
  <c r="QK39" i="15"/>
  <c r="QL38" i="15"/>
  <c r="HN39" i="15"/>
  <c r="KK40" i="15"/>
  <c r="KL40" i="15" s="1"/>
  <c r="BL41" i="15"/>
  <c r="U40" i="15"/>
  <c r="V40" i="15" s="1"/>
  <c r="HR39" i="15"/>
  <c r="OR41" i="15"/>
  <c r="HY40" i="15"/>
  <c r="HZ40" i="15" s="1"/>
  <c r="UJ41" i="15"/>
  <c r="QS40" i="15"/>
  <c r="F43" i="8"/>
  <c r="G43" i="8" s="1"/>
  <c r="F43" i="9"/>
  <c r="G43" i="9" s="1"/>
  <c r="E44" i="11"/>
  <c r="F43" i="11"/>
  <c r="G42" i="10"/>
  <c r="G43" i="10"/>
  <c r="G42" i="9"/>
  <c r="E44" i="9"/>
  <c r="G42" i="8"/>
  <c r="E44" i="8"/>
  <c r="E45" i="2"/>
  <c r="F44" i="2"/>
  <c r="IC41" i="15" l="1"/>
  <c r="BU40" i="15"/>
  <c r="QW41" i="15"/>
  <c r="QX41" i="15" s="1"/>
  <c r="AC41" i="15"/>
  <c r="AD41" i="15" s="1"/>
  <c r="EO41" i="15"/>
  <c r="EP41" i="15" s="1"/>
  <c r="MG41" i="15"/>
  <c r="MH41" i="15" s="1"/>
  <c r="E41" i="15"/>
  <c r="F41" i="15" s="1"/>
  <c r="IG41" i="15"/>
  <c r="IH41" i="15" s="1"/>
  <c r="FU41" i="15"/>
  <c r="FV41" i="15" s="1"/>
  <c r="FY41" i="15"/>
  <c r="FZ41" i="15" s="1"/>
  <c r="LY41" i="15"/>
  <c r="LZ41" i="15" s="1"/>
  <c r="SG41" i="15"/>
  <c r="SH41" i="15" s="1"/>
  <c r="CO41" i="15"/>
  <c r="CP41" i="15" s="1"/>
  <c r="SK41" i="15"/>
  <c r="SL41" i="15" s="1"/>
  <c r="BQ41" i="15"/>
  <c r="BR41" i="15" s="1"/>
  <c r="KS41" i="15"/>
  <c r="KT41" i="15" s="1"/>
  <c r="PY41" i="15"/>
  <c r="PZ41" i="15" s="1"/>
  <c r="EK41" i="15"/>
  <c r="EL41" i="15" s="1"/>
  <c r="TY41" i="15"/>
  <c r="TZ41" i="15" s="1"/>
  <c r="FE41" i="15"/>
  <c r="FF41" i="15" s="1"/>
  <c r="FV40" i="15"/>
  <c r="PE41" i="15"/>
  <c r="PF41" i="15" s="1"/>
  <c r="FM41" i="15"/>
  <c r="FN41" i="15" s="1"/>
  <c r="HQ41" i="15"/>
  <c r="HR41" i="15" s="1"/>
  <c r="AK41" i="15"/>
  <c r="AL41" i="15" s="1"/>
  <c r="HE41" i="15"/>
  <c r="HF41" i="15" s="1"/>
  <c r="MO41" i="15"/>
  <c r="MP41" i="15" s="1"/>
  <c r="AO41" i="15"/>
  <c r="AP41" i="15" s="1"/>
  <c r="BE41" i="15"/>
  <c r="BF41" i="15" s="1"/>
  <c r="JM41" i="15"/>
  <c r="JN41" i="15" s="1"/>
  <c r="CS40" i="15"/>
  <c r="CT40" i="15" s="1"/>
  <c r="JY41" i="15"/>
  <c r="JZ41" i="15" s="1"/>
  <c r="CK41" i="15"/>
  <c r="CL41" i="15" s="1"/>
  <c r="TU41" i="15"/>
  <c r="TV41" i="15" s="1"/>
  <c r="DA41" i="15"/>
  <c r="DB41" i="15" s="1"/>
  <c r="RI41" i="15"/>
  <c r="RJ41" i="15" s="1"/>
  <c r="QS41" i="15"/>
  <c r="QT41" i="15" s="1"/>
  <c r="JZ40" i="15"/>
  <c r="AG41" i="15"/>
  <c r="AH41" i="15" s="1"/>
  <c r="BI41" i="15"/>
  <c r="BJ41" i="15" s="1"/>
  <c r="LI41" i="15"/>
  <c r="LJ41" i="15" s="1"/>
  <c r="RQ40" i="15"/>
  <c r="RR39" i="15"/>
  <c r="RH42" i="15"/>
  <c r="GF42" i="15"/>
  <c r="HL42" i="15"/>
  <c r="PT42" i="15"/>
  <c r="RJ40" i="15"/>
  <c r="EF42" i="15"/>
  <c r="MW40" i="15"/>
  <c r="MX39" i="15"/>
  <c r="M40" i="15"/>
  <c r="N39" i="15"/>
  <c r="OB42" i="15"/>
  <c r="KZ42" i="15"/>
  <c r="KF42" i="15"/>
  <c r="US40" i="15"/>
  <c r="UT39" i="15"/>
  <c r="GV42" i="15"/>
  <c r="NP42" i="15"/>
  <c r="HM41" i="15"/>
  <c r="DL42" i="15"/>
  <c r="GB42" i="15"/>
  <c r="RU40" i="15"/>
  <c r="RV39" i="15"/>
  <c r="CN42" i="15"/>
  <c r="CW40" i="15"/>
  <c r="CX39" i="15"/>
  <c r="GN42" i="15"/>
  <c r="TE40" i="15"/>
  <c r="TF39" i="15"/>
  <c r="BX42" i="15"/>
  <c r="DP42" i="15"/>
  <c r="AN42" i="15"/>
  <c r="OZ42" i="15"/>
  <c r="TP42" i="15"/>
  <c r="RT42" i="15"/>
  <c r="DB40" i="15"/>
  <c r="JU40" i="15"/>
  <c r="JV39" i="15"/>
  <c r="BY40" i="15"/>
  <c r="BZ39" i="15"/>
  <c r="FN40" i="15"/>
  <c r="FA40" i="15"/>
  <c r="FB39" i="15"/>
  <c r="QT40" i="15"/>
  <c r="NH42" i="15"/>
  <c r="LJ40" i="15"/>
  <c r="AP40" i="15"/>
  <c r="QN42" i="15"/>
  <c r="T42" i="15"/>
  <c r="IN42" i="15"/>
  <c r="RA40" i="15"/>
  <c r="RB39" i="15"/>
  <c r="JP42" i="15"/>
  <c r="QZ42" i="15"/>
  <c r="TM40" i="15"/>
  <c r="TN39" i="15"/>
  <c r="DD42" i="15"/>
  <c r="FL42" i="15"/>
  <c r="PQ40" i="15"/>
  <c r="PR39" i="15"/>
  <c r="TD42" i="15"/>
  <c r="QR42" i="15"/>
  <c r="LH42" i="15"/>
  <c r="MJ42" i="15"/>
  <c r="X42" i="15"/>
  <c r="PL41" i="15"/>
  <c r="KN42" i="15"/>
  <c r="TA40" i="15"/>
  <c r="TB39" i="15"/>
  <c r="DY40" i="15"/>
  <c r="DZ39" i="15"/>
  <c r="DI40" i="15"/>
  <c r="DJ39" i="15"/>
  <c r="SZ42" i="15"/>
  <c r="UK40" i="15"/>
  <c r="UL39" i="15"/>
  <c r="GC40" i="15"/>
  <c r="GD39" i="15"/>
  <c r="QF42" i="15"/>
  <c r="ON42" i="15"/>
  <c r="EN42" i="15"/>
  <c r="NE40" i="15"/>
  <c r="NF39" i="15"/>
  <c r="IF42" i="15"/>
  <c r="NT42" i="15"/>
  <c r="QK40" i="15"/>
  <c r="QL39" i="15"/>
  <c r="KB42" i="15"/>
  <c r="DE40" i="15"/>
  <c r="DF39" i="15"/>
  <c r="NQ40" i="15"/>
  <c r="NR39" i="15"/>
  <c r="HT42" i="15"/>
  <c r="EW40" i="15"/>
  <c r="EX39" i="15"/>
  <c r="EC40" i="15"/>
  <c r="ED39" i="15"/>
  <c r="MN42" i="15"/>
  <c r="AZ42" i="15"/>
  <c r="DU40" i="15"/>
  <c r="DV39" i="15"/>
  <c r="GJ42" i="15"/>
  <c r="H41" i="15"/>
  <c r="FP42" i="15"/>
  <c r="KV42" i="15"/>
  <c r="RY40" i="15"/>
  <c r="RZ39" i="15"/>
  <c r="SS40" i="15"/>
  <c r="ST39" i="15"/>
  <c r="OW40" i="15"/>
  <c r="OX39" i="15"/>
  <c r="TL42" i="15"/>
  <c r="AF42" i="15"/>
  <c r="BM40" i="15"/>
  <c r="BN39" i="15"/>
  <c r="UO41" i="15"/>
  <c r="UP41" i="15" s="1"/>
  <c r="JT42" i="15"/>
  <c r="MP40" i="15"/>
  <c r="SJ42" i="15"/>
  <c r="SR42" i="15"/>
  <c r="UN42" i="15"/>
  <c r="FD42" i="15"/>
  <c r="CZ42" i="15"/>
  <c r="OF41" i="15"/>
  <c r="D42" i="15"/>
  <c r="RD42" i="15"/>
  <c r="KW40" i="15"/>
  <c r="KX39" i="15"/>
  <c r="CL40" i="15"/>
  <c r="OC40" i="15"/>
  <c r="OD39" i="15"/>
  <c r="NX42" i="15"/>
  <c r="HD42" i="15"/>
  <c r="MS40" i="15"/>
  <c r="MT39" i="15"/>
  <c r="IK40" i="15"/>
  <c r="IL39" i="15"/>
  <c r="EZ42" i="15"/>
  <c r="LL42" i="15"/>
  <c r="FH42" i="15"/>
  <c r="IR42" i="15"/>
  <c r="AS40" i="15"/>
  <c r="AT39" i="15"/>
  <c r="QG40" i="15"/>
  <c r="QH39" i="15"/>
  <c r="UB42" i="15"/>
  <c r="HH42" i="15"/>
  <c r="Q40" i="15"/>
  <c r="R39" i="15"/>
  <c r="BH42" i="15"/>
  <c r="DQ41" i="15"/>
  <c r="CJ42" i="15"/>
  <c r="Y40" i="15"/>
  <c r="Z39" i="15"/>
  <c r="HF40" i="15"/>
  <c r="FI41" i="15"/>
  <c r="EB42" i="15"/>
  <c r="PJ41" i="15"/>
  <c r="PH42" i="15"/>
  <c r="PI42" i="15" s="1"/>
  <c r="OJ42" i="15"/>
  <c r="MZ41" i="15"/>
  <c r="SN42" i="15"/>
  <c r="MK40" i="15"/>
  <c r="ML39" i="15"/>
  <c r="MF42" i="15"/>
  <c r="JQ40" i="15"/>
  <c r="JR39" i="15"/>
  <c r="NA40" i="15"/>
  <c r="NB40" i="15" s="1"/>
  <c r="QC40" i="15"/>
  <c r="QD39" i="15"/>
  <c r="BJ40" i="15"/>
  <c r="JD42" i="15"/>
  <c r="JH42" i="15"/>
  <c r="NM40" i="15"/>
  <c r="NN39" i="15"/>
  <c r="RX42" i="15"/>
  <c r="GR42" i="15"/>
  <c r="IS41" i="15"/>
  <c r="IT41" i="15" s="1"/>
  <c r="NU40" i="15"/>
  <c r="NV39" i="15"/>
  <c r="TI40" i="15"/>
  <c r="TJ39" i="15"/>
  <c r="AW40" i="15"/>
  <c r="AX39" i="15"/>
  <c r="DT42" i="15"/>
  <c r="PA40" i="15"/>
  <c r="PB39" i="15"/>
  <c r="QB42" i="15"/>
  <c r="IO40" i="15"/>
  <c r="IP39" i="15"/>
  <c r="SH40" i="15"/>
  <c r="CF42" i="15"/>
  <c r="BV40" i="15"/>
  <c r="BT41" i="15"/>
  <c r="DH42" i="15"/>
  <c r="NI40" i="15"/>
  <c r="NJ39" i="15"/>
  <c r="EJ42" i="15"/>
  <c r="UC40" i="15"/>
  <c r="UD39" i="15"/>
  <c r="IJ42" i="15"/>
  <c r="AB42" i="15"/>
  <c r="FX42" i="15"/>
  <c r="MB42" i="15"/>
  <c r="RM40" i="15"/>
  <c r="RN39" i="15"/>
  <c r="UG40" i="15"/>
  <c r="UH39" i="15"/>
  <c r="SF42" i="15"/>
  <c r="AR42" i="15"/>
  <c r="RL42" i="15"/>
  <c r="KG40" i="15"/>
  <c r="KH39" i="15"/>
  <c r="HI40" i="15"/>
  <c r="HJ39" i="15"/>
  <c r="OS40" i="15"/>
  <c r="OT39" i="15"/>
  <c r="EV42" i="15"/>
  <c r="TH42" i="15"/>
  <c r="IZ42" i="15"/>
  <c r="JB41" i="15"/>
  <c r="TT42" i="15"/>
  <c r="HU40" i="15"/>
  <c r="HV39" i="15"/>
  <c r="NY40" i="15"/>
  <c r="NZ39" i="15"/>
  <c r="TX42" i="15"/>
  <c r="IW40" i="15"/>
  <c r="IX39" i="15"/>
  <c r="OG40" i="15"/>
  <c r="OH40" i="15" s="1"/>
  <c r="KR42" i="15"/>
  <c r="PU40" i="15"/>
  <c r="PV39" i="15"/>
  <c r="NL42" i="15"/>
  <c r="SO41" i="15"/>
  <c r="LP42" i="15"/>
  <c r="SC40" i="15"/>
  <c r="SD39" i="15"/>
  <c r="LA40" i="15"/>
  <c r="LB39" i="15"/>
  <c r="LT42" i="15"/>
  <c r="P42" i="15"/>
  <c r="BD42" i="15"/>
  <c r="BA41" i="15"/>
  <c r="KJ42" i="15"/>
  <c r="ER42" i="15"/>
  <c r="LX42" i="15"/>
  <c r="MV42" i="15"/>
  <c r="BL42" i="15"/>
  <c r="UR42" i="15"/>
  <c r="BF40" i="15"/>
  <c r="PP42" i="15"/>
  <c r="PM40" i="15"/>
  <c r="GK40" i="15"/>
  <c r="GL39" i="15"/>
  <c r="SV42" i="15"/>
  <c r="OV42" i="15"/>
  <c r="QV42" i="15"/>
  <c r="AV42" i="15"/>
  <c r="PX42" i="15"/>
  <c r="OK41" i="15"/>
  <c r="OL41" i="15" s="1"/>
  <c r="JX42" i="15"/>
  <c r="ES40" i="15"/>
  <c r="ET39" i="15"/>
  <c r="CT39" i="15"/>
  <c r="RE41" i="15"/>
  <c r="LD42" i="15"/>
  <c r="CB41" i="15"/>
  <c r="KC40" i="15"/>
  <c r="KD39" i="15"/>
  <c r="UF42" i="15"/>
  <c r="ID41" i="15"/>
  <c r="IB42" i="15"/>
  <c r="DM41" i="15"/>
  <c r="HY41" i="15"/>
  <c r="HZ41" i="15" s="1"/>
  <c r="LQ41" i="15"/>
  <c r="I40" i="15"/>
  <c r="IV42" i="15"/>
  <c r="TQ40" i="15"/>
  <c r="TR39" i="15"/>
  <c r="LE40" i="15"/>
  <c r="LF39" i="15"/>
  <c r="DX42" i="15"/>
  <c r="FQ40" i="15"/>
  <c r="FR39" i="15"/>
  <c r="KO41" i="15"/>
  <c r="KP41" i="15" s="1"/>
  <c r="GO41" i="15"/>
  <c r="GG40" i="15"/>
  <c r="GH39" i="15"/>
  <c r="L42" i="15"/>
  <c r="JL42" i="15"/>
  <c r="ND42" i="15"/>
  <c r="MC41" i="15"/>
  <c r="HR40" i="15"/>
  <c r="BP42" i="15"/>
  <c r="PZ40" i="15"/>
  <c r="OO40" i="15"/>
  <c r="OP39" i="15"/>
  <c r="SB42" i="15"/>
  <c r="FT42" i="15"/>
  <c r="AJ42" i="15"/>
  <c r="CR41" i="15"/>
  <c r="GZ42" i="15"/>
  <c r="QO41" i="15"/>
  <c r="HX42" i="15"/>
  <c r="LU40" i="15"/>
  <c r="LV39" i="15"/>
  <c r="PD42" i="15"/>
  <c r="UJ42" i="15"/>
  <c r="TV40" i="15"/>
  <c r="OR42" i="15"/>
  <c r="LM41" i="15"/>
  <c r="U41" i="15"/>
  <c r="JE40" i="15"/>
  <c r="JF39" i="15"/>
  <c r="GW41" i="15"/>
  <c r="GX41" i="15" s="1"/>
  <c r="KK41" i="15"/>
  <c r="QJ42" i="15"/>
  <c r="JI40" i="15"/>
  <c r="JJ39" i="15"/>
  <c r="JN40" i="15"/>
  <c r="CC40" i="15"/>
  <c r="RP42" i="15"/>
  <c r="CG40" i="15"/>
  <c r="CH39" i="15"/>
  <c r="CV42" i="15"/>
  <c r="HP42" i="15"/>
  <c r="SW41" i="15"/>
  <c r="MR42" i="15"/>
  <c r="HA40" i="15"/>
  <c r="HB39" i="15"/>
  <c r="GS41" i="15"/>
  <c r="EG41" i="15"/>
  <c r="F45" i="2"/>
  <c r="G45" i="2" s="1"/>
  <c r="F44" i="11"/>
  <c r="G44" i="11" s="1"/>
  <c r="G43" i="11"/>
  <c r="E45" i="11"/>
  <c r="E45" i="9"/>
  <c r="F44" i="9"/>
  <c r="E45" i="8"/>
  <c r="F44" i="8"/>
  <c r="E46" i="2"/>
  <c r="G44" i="2"/>
  <c r="LY42" i="15" l="1"/>
  <c r="SG42" i="15"/>
  <c r="HQ42" i="15"/>
  <c r="HR42" i="15" s="1"/>
  <c r="QW42" i="15"/>
  <c r="QX42" i="15" s="1"/>
  <c r="IG42" i="15"/>
  <c r="IH42" i="15" s="1"/>
  <c r="SK42" i="15"/>
  <c r="SL42" i="15" s="1"/>
  <c r="E42" i="15"/>
  <c r="F42" i="15" s="1"/>
  <c r="FE42" i="15"/>
  <c r="FF42" i="15" s="1"/>
  <c r="MC42" i="15"/>
  <c r="MD42" i="15" s="1"/>
  <c r="FM42" i="15"/>
  <c r="FN42" i="15" s="1"/>
  <c r="MO42" i="15"/>
  <c r="MP42" i="15" s="1"/>
  <c r="SW42" i="15"/>
  <c r="SX42" i="15" s="1"/>
  <c r="QO42" i="15"/>
  <c r="QP42" i="15" s="1"/>
  <c r="HE42" i="15"/>
  <c r="HF42" i="15" s="1"/>
  <c r="AO42" i="15"/>
  <c r="AP42" i="15" s="1"/>
  <c r="CS41" i="15"/>
  <c r="CT41" i="15" s="1"/>
  <c r="BE42" i="15"/>
  <c r="BF42" i="15" s="1"/>
  <c r="CC41" i="15"/>
  <c r="CD41" i="15" s="1"/>
  <c r="I41" i="15"/>
  <c r="J41" i="15" s="1"/>
  <c r="LQ42" i="15"/>
  <c r="LR42" i="15" s="1"/>
  <c r="HM42" i="15"/>
  <c r="HN42" i="15" s="1"/>
  <c r="DA42" i="15"/>
  <c r="DB42" i="15" s="1"/>
  <c r="EG42" i="15"/>
  <c r="EH42" i="15" s="1"/>
  <c r="U42" i="15"/>
  <c r="V42" i="15" s="1"/>
  <c r="JM42" i="15"/>
  <c r="JN42" i="15" s="1"/>
  <c r="LI42" i="15"/>
  <c r="LJ42" i="15" s="1"/>
  <c r="DQ42" i="15"/>
  <c r="DR42" i="15" s="1"/>
  <c r="GS42" i="15"/>
  <c r="GT42" i="15" s="1"/>
  <c r="DM42" i="15"/>
  <c r="DN42" i="15" s="1"/>
  <c r="BI42" i="15"/>
  <c r="BJ42" i="15" s="1"/>
  <c r="PM41" i="15"/>
  <c r="PN41" i="15" s="1"/>
  <c r="LM42" i="15"/>
  <c r="LN42" i="15" s="1"/>
  <c r="AG42" i="15"/>
  <c r="AH42" i="15" s="1"/>
  <c r="EH41" i="15"/>
  <c r="FI42" i="15"/>
  <c r="FJ42" i="15" s="1"/>
  <c r="SO42" i="15"/>
  <c r="SP42" i="15" s="1"/>
  <c r="DR41" i="15"/>
  <c r="NA41" i="15"/>
  <c r="NB41" i="15" s="1"/>
  <c r="GO42" i="15"/>
  <c r="GP42" i="15" s="1"/>
  <c r="KK42" i="15"/>
  <c r="KL42" i="15" s="1"/>
  <c r="RE42" i="15"/>
  <c r="RF42" i="15" s="1"/>
  <c r="GW42" i="15"/>
  <c r="GX42" i="15" s="1"/>
  <c r="PP43" i="15"/>
  <c r="OJ43" i="15"/>
  <c r="TQ41" i="15"/>
  <c r="TR40" i="15"/>
  <c r="HI41" i="15"/>
  <c r="HJ40" i="15"/>
  <c r="NM41" i="15"/>
  <c r="NN40" i="15"/>
  <c r="UB43" i="15"/>
  <c r="UN43" i="15"/>
  <c r="SS41" i="15"/>
  <c r="ST40" i="15"/>
  <c r="EW41" i="15"/>
  <c r="EX40" i="15"/>
  <c r="EN43" i="15"/>
  <c r="PN40" i="15"/>
  <c r="QZ43" i="15"/>
  <c r="FA41" i="15"/>
  <c r="FB40" i="15"/>
  <c r="BX43" i="15"/>
  <c r="NP43" i="15"/>
  <c r="EC41" i="15"/>
  <c r="ED40" i="15"/>
  <c r="RP43" i="15"/>
  <c r="PL42" i="15"/>
  <c r="PT43" i="15"/>
  <c r="SR43" i="15"/>
  <c r="RY41" i="15"/>
  <c r="RZ40" i="15"/>
  <c r="HT43" i="15"/>
  <c r="JP43" i="15"/>
  <c r="TE41" i="15"/>
  <c r="TF40" i="15"/>
  <c r="GV43" i="15"/>
  <c r="HN41" i="15"/>
  <c r="BP43" i="15"/>
  <c r="LU41" i="15"/>
  <c r="LV40" i="15"/>
  <c r="NY41" i="15"/>
  <c r="NZ40" i="15"/>
  <c r="PA41" i="15"/>
  <c r="PB40" i="15"/>
  <c r="EB43" i="15"/>
  <c r="QG41" i="15"/>
  <c r="QH40" i="15"/>
  <c r="KV43" i="15"/>
  <c r="QF43" i="15"/>
  <c r="X43" i="15"/>
  <c r="BY41" i="15"/>
  <c r="BZ40" i="15"/>
  <c r="GN43" i="15"/>
  <c r="HL43" i="15"/>
  <c r="JX43" i="15"/>
  <c r="OC41" i="15"/>
  <c r="OD40" i="15"/>
  <c r="MJ43" i="15"/>
  <c r="GP41" i="15"/>
  <c r="US41" i="15"/>
  <c r="UT40" i="15"/>
  <c r="NE41" i="15"/>
  <c r="NF40" i="15"/>
  <c r="IJ43" i="15"/>
  <c r="HY42" i="15"/>
  <c r="BL43" i="15"/>
  <c r="HU41" i="15"/>
  <c r="HV40" i="15"/>
  <c r="UC41" i="15"/>
  <c r="UD40" i="15"/>
  <c r="AS41" i="15"/>
  <c r="AT40" i="15"/>
  <c r="SJ43" i="15"/>
  <c r="FP43" i="15"/>
  <c r="NQ41" i="15"/>
  <c r="NR40" i="15"/>
  <c r="RA41" i="15"/>
  <c r="RB40" i="15"/>
  <c r="JU41" i="15"/>
  <c r="JV40" i="15"/>
  <c r="KF43" i="15"/>
  <c r="GF43" i="15"/>
  <c r="MS41" i="15"/>
  <c r="MT40" i="15"/>
  <c r="NX43" i="15"/>
  <c r="LA41" i="15"/>
  <c r="LB40" i="15"/>
  <c r="MV43" i="15"/>
  <c r="SC41" i="15"/>
  <c r="SD40" i="15"/>
  <c r="EJ43" i="15"/>
  <c r="DT43" i="15"/>
  <c r="GC41" i="15"/>
  <c r="GD40" i="15"/>
  <c r="LH43" i="15"/>
  <c r="CW41" i="15"/>
  <c r="CX40" i="15"/>
  <c r="UJ43" i="15"/>
  <c r="P43" i="15"/>
  <c r="RL43" i="15"/>
  <c r="GZ43" i="15"/>
  <c r="L43" i="15"/>
  <c r="IB43" i="15"/>
  <c r="PX43" i="15"/>
  <c r="LP43" i="15"/>
  <c r="TT43" i="15"/>
  <c r="AR43" i="15"/>
  <c r="QC41" i="15"/>
  <c r="QD40" i="15"/>
  <c r="IR43" i="15"/>
  <c r="KW41" i="15"/>
  <c r="KX40" i="15"/>
  <c r="JT43" i="15"/>
  <c r="H42" i="15"/>
  <c r="DE41" i="15"/>
  <c r="DF40" i="15"/>
  <c r="IN43" i="15"/>
  <c r="RT43" i="15"/>
  <c r="KZ43" i="15"/>
  <c r="RH43" i="15"/>
  <c r="KN43" i="15"/>
  <c r="KG41" i="15"/>
  <c r="KH40" i="15"/>
  <c r="AW41" i="15"/>
  <c r="AX40" i="15"/>
  <c r="Y41" i="15"/>
  <c r="Z40" i="15"/>
  <c r="FJ41" i="15"/>
  <c r="J40" i="15"/>
  <c r="KB43" i="15"/>
  <c r="UK41" i="15"/>
  <c r="UL40" i="15"/>
  <c r="CN43" i="15"/>
  <c r="UR43" i="15"/>
  <c r="OK42" i="15"/>
  <c r="EO42" i="15"/>
  <c r="FH43" i="15"/>
  <c r="RD43" i="15"/>
  <c r="UO42" i="15"/>
  <c r="GJ43" i="15"/>
  <c r="QR43" i="15"/>
  <c r="T43" i="15"/>
  <c r="OB43" i="15"/>
  <c r="RQ41" i="15"/>
  <c r="RR40" i="15"/>
  <c r="CG41" i="15"/>
  <c r="CH40" i="15"/>
  <c r="IO41" i="15"/>
  <c r="IP40" i="15"/>
  <c r="LT43" i="15"/>
  <c r="TX43" i="15"/>
  <c r="HX43" i="15"/>
  <c r="TH43" i="15"/>
  <c r="DH43" i="15"/>
  <c r="TI41" i="15"/>
  <c r="TJ40" i="15"/>
  <c r="JQ41" i="15"/>
  <c r="JR40" i="15"/>
  <c r="CJ43" i="15"/>
  <c r="LL43" i="15"/>
  <c r="RF41" i="15"/>
  <c r="V41" i="15"/>
  <c r="TP43" i="15"/>
  <c r="PY42" i="15"/>
  <c r="FX43" i="15"/>
  <c r="ON43" i="15"/>
  <c r="JD43" i="15"/>
  <c r="NI41" i="15"/>
  <c r="NJ40" i="15"/>
  <c r="MR43" i="15"/>
  <c r="UG41" i="15"/>
  <c r="UH40" i="15"/>
  <c r="MF43" i="15"/>
  <c r="LN41" i="15"/>
  <c r="TY42" i="15"/>
  <c r="BM41" i="15"/>
  <c r="BN40" i="15"/>
  <c r="QK41" i="15"/>
  <c r="QL40" i="15"/>
  <c r="SZ43" i="15"/>
  <c r="TD43" i="15"/>
  <c r="QP41" i="15"/>
  <c r="FY42" i="15"/>
  <c r="FZ42" i="15" s="1"/>
  <c r="LE41" i="15"/>
  <c r="LF40" i="15"/>
  <c r="TM41" i="15"/>
  <c r="TN40" i="15"/>
  <c r="PD43" i="15"/>
  <c r="IV43" i="15"/>
  <c r="JH43" i="15"/>
  <c r="LR41" i="15"/>
  <c r="AV43" i="15"/>
  <c r="GG41" i="15"/>
  <c r="GH40" i="15"/>
  <c r="KL41" i="15"/>
  <c r="BQ42" i="15"/>
  <c r="BT42" i="15"/>
  <c r="NU41" i="15"/>
  <c r="NV40" i="15"/>
  <c r="BU41" i="15"/>
  <c r="QS42" i="15"/>
  <c r="QT42" i="15" s="1"/>
  <c r="AF43" i="15"/>
  <c r="DU41" i="15"/>
  <c r="DV40" i="15"/>
  <c r="QN43" i="15"/>
  <c r="RU41" i="15"/>
  <c r="RV40" i="15"/>
  <c r="M41" i="15"/>
  <c r="N40" i="15"/>
  <c r="PE42" i="15"/>
  <c r="QB43" i="15"/>
  <c r="CR42" i="15"/>
  <c r="IZ43" i="15"/>
  <c r="D43" i="15"/>
  <c r="AZ43" i="15"/>
  <c r="NT43" i="15"/>
  <c r="DI41" i="15"/>
  <c r="DJ40" i="15"/>
  <c r="PQ41" i="15"/>
  <c r="PR40" i="15"/>
  <c r="RI42" i="15"/>
  <c r="OZ43" i="15"/>
  <c r="IC42" i="15"/>
  <c r="ID42" i="15" s="1"/>
  <c r="ES41" i="15"/>
  <c r="ET40" i="15"/>
  <c r="QJ43" i="15"/>
  <c r="HA41" i="15"/>
  <c r="HB40" i="15"/>
  <c r="JE41" i="15"/>
  <c r="JF40" i="15"/>
  <c r="KO42" i="15"/>
  <c r="TU42" i="15"/>
  <c r="RM41" i="15"/>
  <c r="RN40" i="15"/>
  <c r="MW41" i="15"/>
  <c r="MX40" i="15"/>
  <c r="OS41" i="15"/>
  <c r="OT40" i="15"/>
  <c r="FD43" i="15"/>
  <c r="HH43" i="15"/>
  <c r="AB43" i="15"/>
  <c r="ND43" i="15"/>
  <c r="JI41" i="15"/>
  <c r="JJ40" i="15"/>
  <c r="UF43" i="15"/>
  <c r="QV43" i="15"/>
  <c r="ER43" i="15"/>
  <c r="KC41" i="15"/>
  <c r="KD40" i="15"/>
  <c r="NL43" i="15"/>
  <c r="FT43" i="15"/>
  <c r="OR43" i="15"/>
  <c r="SX41" i="15"/>
  <c r="IS42" i="15"/>
  <c r="OF42" i="15"/>
  <c r="SB43" i="15"/>
  <c r="CD40" i="15"/>
  <c r="SV43" i="15"/>
  <c r="BD43" i="15"/>
  <c r="KR43" i="15"/>
  <c r="CK42" i="15"/>
  <c r="CF43" i="15"/>
  <c r="GT41" i="15"/>
  <c r="SN43" i="15"/>
  <c r="MN43" i="15"/>
  <c r="IF43" i="15"/>
  <c r="DY41" i="15"/>
  <c r="DZ40" i="15"/>
  <c r="FL43" i="15"/>
  <c r="GB43" i="15"/>
  <c r="MG42" i="15"/>
  <c r="EK42" i="15"/>
  <c r="PH43" i="15"/>
  <c r="PJ42" i="15"/>
  <c r="JY42" i="15"/>
  <c r="LX43" i="15"/>
  <c r="LZ42" i="15"/>
  <c r="AJ43" i="15"/>
  <c r="KJ43" i="15"/>
  <c r="EV43" i="15"/>
  <c r="HP43" i="15"/>
  <c r="FQ41" i="15"/>
  <c r="FR40" i="15"/>
  <c r="BA42" i="15"/>
  <c r="PU41" i="15"/>
  <c r="PV40" i="15"/>
  <c r="MK41" i="15"/>
  <c r="ML40" i="15"/>
  <c r="BH43" i="15"/>
  <c r="BB41" i="15"/>
  <c r="DX43" i="15"/>
  <c r="AK42" i="15"/>
  <c r="MB43" i="15"/>
  <c r="GR43" i="15"/>
  <c r="SP41" i="15"/>
  <c r="Q41" i="15"/>
  <c r="R40" i="15"/>
  <c r="IK41" i="15"/>
  <c r="IL40" i="15"/>
  <c r="NH43" i="15"/>
  <c r="AN43" i="15"/>
  <c r="DN41" i="15"/>
  <c r="CO42" i="15"/>
  <c r="CP42" i="15" s="1"/>
  <c r="AC42" i="15"/>
  <c r="AD42" i="15" s="1"/>
  <c r="IW41" i="15"/>
  <c r="IX40" i="15"/>
  <c r="HD43" i="15"/>
  <c r="JL43" i="15"/>
  <c r="SF43" i="15"/>
  <c r="SH42" i="15"/>
  <c r="OV43" i="15"/>
  <c r="EZ43" i="15"/>
  <c r="CB42" i="15"/>
  <c r="TL43" i="15"/>
  <c r="CV43" i="15"/>
  <c r="OO41" i="15"/>
  <c r="OP40" i="15"/>
  <c r="LD43" i="15"/>
  <c r="GK41" i="15"/>
  <c r="GL40" i="15"/>
  <c r="FU42" i="15"/>
  <c r="OG41" i="15"/>
  <c r="MD41" i="15"/>
  <c r="RX43" i="15"/>
  <c r="MZ42" i="15"/>
  <c r="KS42" i="15"/>
  <c r="CZ43" i="15"/>
  <c r="OW41" i="15"/>
  <c r="OX40" i="15"/>
  <c r="TA41" i="15"/>
  <c r="TB40" i="15"/>
  <c r="DD43" i="15"/>
  <c r="DP43" i="15"/>
  <c r="DL43" i="15"/>
  <c r="EF43" i="15"/>
  <c r="JA42" i="15"/>
  <c r="F45" i="8"/>
  <c r="G45" i="8" s="1"/>
  <c r="F45" i="9"/>
  <c r="G45" i="9" s="1"/>
  <c r="E46" i="11"/>
  <c r="F45" i="11"/>
  <c r="G44" i="10"/>
  <c r="G45" i="10"/>
  <c r="E46" i="9"/>
  <c r="G44" i="9"/>
  <c r="G44" i="8"/>
  <c r="E46" i="8"/>
  <c r="E47" i="2"/>
  <c r="F46" i="2"/>
  <c r="EO43" i="15" l="1"/>
  <c r="SK43" i="15"/>
  <c r="IG43" i="15"/>
  <c r="IH43" i="15" s="1"/>
  <c r="HE43" i="15"/>
  <c r="HF43" i="15" s="1"/>
  <c r="LQ43" i="15"/>
  <c r="LR43" i="15" s="1"/>
  <c r="RI43" i="15"/>
  <c r="RJ43" i="15" s="1"/>
  <c r="SW43" i="15"/>
  <c r="SX43" i="15" s="1"/>
  <c r="MC43" i="15"/>
  <c r="MD43" i="15" s="1"/>
  <c r="FE43" i="15"/>
  <c r="FF43" i="15" s="1"/>
  <c r="LM43" i="15"/>
  <c r="LN43" i="15" s="1"/>
  <c r="E43" i="15"/>
  <c r="F43" i="15" s="1"/>
  <c r="NA42" i="15"/>
  <c r="NB42" i="15" s="1"/>
  <c r="MG43" i="15"/>
  <c r="MH43" i="15" s="1"/>
  <c r="AO43" i="15"/>
  <c r="AP43" i="15" s="1"/>
  <c r="MO43" i="15"/>
  <c r="MP43" i="15" s="1"/>
  <c r="PM42" i="15"/>
  <c r="PN42" i="15" s="1"/>
  <c r="EG43" i="15"/>
  <c r="EH43" i="15" s="1"/>
  <c r="GS43" i="15"/>
  <c r="GT43" i="15" s="1"/>
  <c r="DQ43" i="15"/>
  <c r="DR43" i="15" s="1"/>
  <c r="KS43" i="15"/>
  <c r="KT43" i="15" s="1"/>
  <c r="AG43" i="15"/>
  <c r="AH43" i="15" s="1"/>
  <c r="EK43" i="15"/>
  <c r="EL43" i="15" s="1"/>
  <c r="IS43" i="15"/>
  <c r="IT43" i="15" s="1"/>
  <c r="BA43" i="15"/>
  <c r="BB43" i="15" s="1"/>
  <c r="LI43" i="15"/>
  <c r="LJ43" i="15" s="1"/>
  <c r="DM43" i="15"/>
  <c r="DN43" i="15" s="1"/>
  <c r="TU43" i="15"/>
  <c r="TV43" i="15" s="1"/>
  <c r="SO43" i="15"/>
  <c r="SP43" i="15" s="1"/>
  <c r="KK43" i="15"/>
  <c r="KL43" i="15" s="1"/>
  <c r="BU42" i="15"/>
  <c r="BV42" i="15" s="1"/>
  <c r="BQ43" i="15"/>
  <c r="BR43" i="15" s="1"/>
  <c r="GO43" i="15"/>
  <c r="GP43" i="15" s="1"/>
  <c r="OK43" i="15"/>
  <c r="OL43" i="15" s="1"/>
  <c r="IT42" i="15"/>
  <c r="PE43" i="15"/>
  <c r="EL42" i="15"/>
  <c r="KO43" i="15"/>
  <c r="KP43" i="15" s="1"/>
  <c r="AK43" i="15"/>
  <c r="AL43" i="15" s="1"/>
  <c r="CK43" i="15"/>
  <c r="CL43" i="15" s="1"/>
  <c r="OG42" i="15"/>
  <c r="OH42" i="15" s="1"/>
  <c r="JY43" i="15"/>
  <c r="JZ43" i="15" s="1"/>
  <c r="UO43" i="15"/>
  <c r="UP43" i="15" s="1"/>
  <c r="HY43" i="15"/>
  <c r="HZ43" i="15" s="1"/>
  <c r="JA43" i="15"/>
  <c r="JB43" i="15" s="1"/>
  <c r="FU43" i="15"/>
  <c r="FV43" i="15" s="1"/>
  <c r="JU42" i="15"/>
  <c r="JV41" i="15"/>
  <c r="QF44" i="15"/>
  <c r="NM42" i="15"/>
  <c r="NN41" i="15"/>
  <c r="UB44" i="15"/>
  <c r="EJ44" i="15"/>
  <c r="NP44" i="15"/>
  <c r="KR44" i="15"/>
  <c r="ER44" i="15"/>
  <c r="MW42" i="15"/>
  <c r="MX41" i="15"/>
  <c r="AV44" i="15"/>
  <c r="FX44" i="15"/>
  <c r="Y42" i="15"/>
  <c r="Z41" i="15"/>
  <c r="H43" i="15"/>
  <c r="L44" i="15"/>
  <c r="RA42" i="15"/>
  <c r="RB41" i="15"/>
  <c r="NE42" i="15"/>
  <c r="NF41" i="15"/>
  <c r="TE42" i="15"/>
  <c r="TF41" i="15"/>
  <c r="BX44" i="15"/>
  <c r="HI42" i="15"/>
  <c r="HJ41" i="15"/>
  <c r="NH44" i="15"/>
  <c r="DI42" i="15"/>
  <c r="DJ41" i="15"/>
  <c r="RU42" i="15"/>
  <c r="RV41" i="15"/>
  <c r="QK42" i="15"/>
  <c r="QL41" i="15"/>
  <c r="HZ42" i="15"/>
  <c r="GJ44" i="15"/>
  <c r="GZ44" i="15"/>
  <c r="SC42" i="15"/>
  <c r="SD41" i="15"/>
  <c r="KB44" i="15"/>
  <c r="MZ43" i="15"/>
  <c r="PH44" i="15"/>
  <c r="RX44" i="15"/>
  <c r="QN44" i="15"/>
  <c r="PY43" i="15"/>
  <c r="PZ43" i="15" s="1"/>
  <c r="HX44" i="15"/>
  <c r="JT44" i="15"/>
  <c r="NQ42" i="15"/>
  <c r="NR41" i="15"/>
  <c r="US42" i="15"/>
  <c r="UT41" i="15"/>
  <c r="KV44" i="15"/>
  <c r="JP44" i="15"/>
  <c r="TQ42" i="15"/>
  <c r="TR41" i="15"/>
  <c r="TD44" i="15"/>
  <c r="HP44" i="15"/>
  <c r="GB44" i="15"/>
  <c r="QV44" i="15"/>
  <c r="NT44" i="15"/>
  <c r="BM42" i="15"/>
  <c r="BN41" i="15"/>
  <c r="TX44" i="15"/>
  <c r="RD44" i="15"/>
  <c r="AW42" i="15"/>
  <c r="AX41" i="15"/>
  <c r="MV44" i="15"/>
  <c r="FP44" i="15"/>
  <c r="HT44" i="15"/>
  <c r="FA42" i="15"/>
  <c r="FB41" i="15"/>
  <c r="OL42" i="15"/>
  <c r="NL44" i="15"/>
  <c r="PX44" i="15"/>
  <c r="X44" i="15"/>
  <c r="AN44" i="15"/>
  <c r="M42" i="15"/>
  <c r="N41" i="15"/>
  <c r="Q42" i="15"/>
  <c r="R41" i="15"/>
  <c r="FL44" i="15"/>
  <c r="SV44" i="15"/>
  <c r="AZ44" i="15"/>
  <c r="FM43" i="15"/>
  <c r="JH44" i="15"/>
  <c r="TY43" i="15"/>
  <c r="TP44" i="15"/>
  <c r="TZ42" i="15"/>
  <c r="KW42" i="15"/>
  <c r="KX41" i="15"/>
  <c r="QG42" i="15"/>
  <c r="QH41" i="15"/>
  <c r="OJ44" i="15"/>
  <c r="BB42" i="15"/>
  <c r="LT44" i="15"/>
  <c r="RL44" i="15"/>
  <c r="SL43" i="15"/>
  <c r="SJ44" i="15"/>
  <c r="MJ44" i="15"/>
  <c r="QZ44" i="15"/>
  <c r="T44" i="15"/>
  <c r="TH44" i="15"/>
  <c r="SF44" i="15"/>
  <c r="EV44" i="15"/>
  <c r="SB44" i="15"/>
  <c r="JE42" i="15"/>
  <c r="JF41" i="15"/>
  <c r="D44" i="15"/>
  <c r="DU42" i="15"/>
  <c r="DV41" i="15"/>
  <c r="FH44" i="15"/>
  <c r="KG42" i="15"/>
  <c r="KH41" i="15"/>
  <c r="IR44" i="15"/>
  <c r="LA42" i="15"/>
  <c r="LB41" i="15"/>
  <c r="EB44" i="15"/>
  <c r="RY42" i="15"/>
  <c r="RZ41" i="15"/>
  <c r="PP44" i="15"/>
  <c r="GK42" i="15"/>
  <c r="GL41" i="15"/>
  <c r="GR44" i="15"/>
  <c r="DY42" i="15"/>
  <c r="DZ41" i="15"/>
  <c r="AF44" i="15"/>
  <c r="IV44" i="15"/>
  <c r="MH42" i="15"/>
  <c r="KP42" i="15"/>
  <c r="P44" i="15"/>
  <c r="OC42" i="15"/>
  <c r="OD41" i="15"/>
  <c r="EP43" i="15"/>
  <c r="EN44" i="15"/>
  <c r="EO44" i="15" s="1"/>
  <c r="QW43" i="15"/>
  <c r="DH44" i="15"/>
  <c r="EC42" i="15"/>
  <c r="ED41" i="15"/>
  <c r="GG42" i="15"/>
  <c r="GH41" i="15"/>
  <c r="BD44" i="15"/>
  <c r="DL44" i="15"/>
  <c r="JL44" i="15"/>
  <c r="KJ44" i="15"/>
  <c r="JI42" i="15"/>
  <c r="JJ41" i="15"/>
  <c r="JM43" i="15"/>
  <c r="JN43" i="15" s="1"/>
  <c r="OH41" i="15"/>
  <c r="ND44" i="15"/>
  <c r="HA42" i="15"/>
  <c r="HB41" i="15"/>
  <c r="PF42" i="15"/>
  <c r="MF44" i="15"/>
  <c r="LL44" i="15"/>
  <c r="IO42" i="15"/>
  <c r="IP41" i="15"/>
  <c r="KN44" i="15"/>
  <c r="QC42" i="15"/>
  <c r="QD41" i="15"/>
  <c r="UJ44" i="15"/>
  <c r="NX44" i="15"/>
  <c r="AS42" i="15"/>
  <c r="AT41" i="15"/>
  <c r="JZ42" i="15"/>
  <c r="PA42" i="15"/>
  <c r="PB41" i="15"/>
  <c r="SR44" i="15"/>
  <c r="EP42" i="15"/>
  <c r="SG43" i="15"/>
  <c r="ON44" i="15"/>
  <c r="KT42" i="15"/>
  <c r="QS43" i="15"/>
  <c r="QT43" i="15" s="1"/>
  <c r="PD44" i="15"/>
  <c r="CJ44" i="15"/>
  <c r="UR44" i="15"/>
  <c r="RH44" i="15"/>
  <c r="RE43" i="15"/>
  <c r="FI43" i="15"/>
  <c r="JX44" i="15"/>
  <c r="HQ43" i="15"/>
  <c r="SZ44" i="15"/>
  <c r="U43" i="15"/>
  <c r="AB44" i="15"/>
  <c r="IZ44" i="15"/>
  <c r="UG42" i="15"/>
  <c r="UH41" i="15"/>
  <c r="CL42" i="15"/>
  <c r="CG42" i="15"/>
  <c r="CH41" i="15"/>
  <c r="RJ42" i="15"/>
  <c r="AR44" i="15"/>
  <c r="NY42" i="15"/>
  <c r="NZ41" i="15"/>
  <c r="EW42" i="15"/>
  <c r="EX41" i="15"/>
  <c r="PI43" i="15"/>
  <c r="MK42" i="15"/>
  <c r="ML41" i="15"/>
  <c r="IB44" i="15"/>
  <c r="IK42" i="15"/>
  <c r="IL41" i="15"/>
  <c r="UF44" i="15"/>
  <c r="MB44" i="15"/>
  <c r="OF43" i="15"/>
  <c r="AL42" i="15"/>
  <c r="UC42" i="15"/>
  <c r="UD41" i="15"/>
  <c r="HL44" i="15"/>
  <c r="PT44" i="15"/>
  <c r="FD44" i="15"/>
  <c r="GV44" i="15"/>
  <c r="OS42" i="15"/>
  <c r="OT41" i="15"/>
  <c r="PQ42" i="15"/>
  <c r="PR41" i="15"/>
  <c r="FQ42" i="15"/>
  <c r="FR41" i="15"/>
  <c r="LD44" i="15"/>
  <c r="MN44" i="15"/>
  <c r="CN44" i="15"/>
  <c r="SS42" i="15"/>
  <c r="ST41" i="15"/>
  <c r="CB43" i="15"/>
  <c r="DT44" i="15"/>
  <c r="QR44" i="15"/>
  <c r="PU42" i="15"/>
  <c r="PV41" i="15"/>
  <c r="JB42" i="15"/>
  <c r="HD44" i="15"/>
  <c r="DX44" i="15"/>
  <c r="MS42" i="15"/>
  <c r="MT41" i="15"/>
  <c r="CR43" i="15"/>
  <c r="JQ42" i="15"/>
  <c r="JR41" i="15"/>
  <c r="TT44" i="15"/>
  <c r="LU42" i="15"/>
  <c r="LV41" i="15"/>
  <c r="TA42" i="15"/>
  <c r="TB41" i="15"/>
  <c r="CV44" i="15"/>
  <c r="HM43" i="15"/>
  <c r="HN43" i="15" s="1"/>
  <c r="SN44" i="15"/>
  <c r="OR44" i="15"/>
  <c r="BE43" i="15"/>
  <c r="BF43" i="15" s="1"/>
  <c r="QO43" i="15"/>
  <c r="QP43" i="15" s="1"/>
  <c r="BT43" i="15"/>
  <c r="LE42" i="15"/>
  <c r="LF41" i="15"/>
  <c r="OB44" i="15"/>
  <c r="LP44" i="15"/>
  <c r="LH44" i="15"/>
  <c r="HU42" i="15"/>
  <c r="HV41" i="15"/>
  <c r="GN44" i="15"/>
  <c r="BP44" i="15"/>
  <c r="UP42" i="15"/>
  <c r="CS42" i="15"/>
  <c r="CZ44" i="15"/>
  <c r="DE42" i="15"/>
  <c r="DF41" i="15"/>
  <c r="EZ44" i="15"/>
  <c r="OV44" i="15"/>
  <c r="EF44" i="15"/>
  <c r="QJ44" i="15"/>
  <c r="DD44" i="15"/>
  <c r="OO42" i="15"/>
  <c r="OP41" i="15"/>
  <c r="TV42" i="15"/>
  <c r="AJ44" i="15"/>
  <c r="CC42" i="15"/>
  <c r="CD42" i="15" s="1"/>
  <c r="ES42" i="15"/>
  <c r="ET41" i="15"/>
  <c r="MR44" i="15"/>
  <c r="KZ44" i="15"/>
  <c r="AC43" i="15"/>
  <c r="AD43" i="15" s="1"/>
  <c r="LX44" i="15"/>
  <c r="FV42" i="15"/>
  <c r="HH44" i="15"/>
  <c r="IC43" i="15"/>
  <c r="ID43" i="15" s="1"/>
  <c r="I42" i="15"/>
  <c r="J42" i="15" s="1"/>
  <c r="BV41" i="15"/>
  <c r="FY43" i="15"/>
  <c r="FZ43" i="15" s="1"/>
  <c r="NI42" i="15"/>
  <c r="NJ41" i="15"/>
  <c r="TI42" i="15"/>
  <c r="TJ41" i="15"/>
  <c r="UK42" i="15"/>
  <c r="UL41" i="15"/>
  <c r="RT44" i="15"/>
  <c r="GF44" i="15"/>
  <c r="BL44" i="15"/>
  <c r="BR42" i="15"/>
  <c r="UN44" i="15"/>
  <c r="LY43" i="15"/>
  <c r="JD44" i="15"/>
  <c r="IJ44" i="15"/>
  <c r="KC42" i="15"/>
  <c r="KD41" i="15"/>
  <c r="RM42" i="15"/>
  <c r="RN41" i="15"/>
  <c r="DP44" i="15"/>
  <c r="IF44" i="15"/>
  <c r="TM42" i="15"/>
  <c r="TN41" i="15"/>
  <c r="CW42" i="15"/>
  <c r="CX41" i="15"/>
  <c r="IW42" i="15"/>
  <c r="IX41" i="15"/>
  <c r="NU42" i="15"/>
  <c r="NV41" i="15"/>
  <c r="RQ42" i="15"/>
  <c r="RR41" i="15"/>
  <c r="PL43" i="15"/>
  <c r="OW42" i="15"/>
  <c r="OX41" i="15"/>
  <c r="TL44" i="15"/>
  <c r="CO43" i="15"/>
  <c r="BH44" i="15"/>
  <c r="GW43" i="15"/>
  <c r="GX43" i="15" s="1"/>
  <c r="CF44" i="15"/>
  <c r="FT44" i="15"/>
  <c r="OZ44" i="15"/>
  <c r="QB44" i="15"/>
  <c r="IN44" i="15"/>
  <c r="PZ42" i="15"/>
  <c r="GC42" i="15"/>
  <c r="GD41" i="15"/>
  <c r="KF44" i="15"/>
  <c r="BY42" i="15"/>
  <c r="BZ41" i="15"/>
  <c r="DA43" i="15"/>
  <c r="RP44" i="15"/>
  <c r="BI43" i="15"/>
  <c r="F46" i="11"/>
  <c r="G46" i="11" s="1"/>
  <c r="F47" i="2"/>
  <c r="G47" i="2" s="1"/>
  <c r="E47" i="11"/>
  <c r="G45" i="11"/>
  <c r="E47" i="9"/>
  <c r="F46" i="9"/>
  <c r="E47" i="8"/>
  <c r="F46" i="8"/>
  <c r="G46" i="2"/>
  <c r="E48" i="2"/>
  <c r="LQ44" i="15" l="1"/>
  <c r="MG44" i="15"/>
  <c r="HE44" i="15"/>
  <c r="HF44" i="15" s="1"/>
  <c r="SW44" i="15"/>
  <c r="SX44" i="15" s="1"/>
  <c r="IS44" i="15"/>
  <c r="IT44" i="15" s="1"/>
  <c r="AG44" i="15"/>
  <c r="AH44" i="15" s="1"/>
  <c r="MO44" i="15"/>
  <c r="MP44" i="15" s="1"/>
  <c r="LM44" i="15"/>
  <c r="LN44" i="15" s="1"/>
  <c r="OG43" i="15"/>
  <c r="OH43" i="15" s="1"/>
  <c r="KS44" i="15"/>
  <c r="KT44" i="15" s="1"/>
  <c r="SG44" i="15"/>
  <c r="SH44" i="15" s="1"/>
  <c r="PE44" i="15"/>
  <c r="PF44" i="15" s="1"/>
  <c r="OK44" i="15"/>
  <c r="OL44" i="15" s="1"/>
  <c r="KK44" i="15"/>
  <c r="KL44" i="15" s="1"/>
  <c r="TU44" i="15"/>
  <c r="TV44" i="15" s="1"/>
  <c r="BA44" i="15"/>
  <c r="BB44" i="15" s="1"/>
  <c r="HY44" i="15"/>
  <c r="HZ44" i="15" s="1"/>
  <c r="CK44" i="15"/>
  <c r="CL44" i="15" s="1"/>
  <c r="SO44" i="15"/>
  <c r="SP44" i="15" s="1"/>
  <c r="PI44" i="15"/>
  <c r="PJ44" i="15" s="1"/>
  <c r="AK44" i="15"/>
  <c r="AL44" i="15" s="1"/>
  <c r="JA44" i="15"/>
  <c r="JB44" i="15" s="1"/>
  <c r="HQ44" i="15"/>
  <c r="HR44" i="15" s="1"/>
  <c r="FI44" i="15"/>
  <c r="FJ44" i="15" s="1"/>
  <c r="PF43" i="15"/>
  <c r="FM44" i="15"/>
  <c r="FN44" i="15" s="1"/>
  <c r="JY44" i="15"/>
  <c r="JZ44" i="15" s="1"/>
  <c r="RE44" i="15"/>
  <c r="RF44" i="15" s="1"/>
  <c r="CS43" i="15"/>
  <c r="CT43" i="15" s="1"/>
  <c r="U44" i="15"/>
  <c r="V44" i="15" s="1"/>
  <c r="HR43" i="15"/>
  <c r="BI44" i="15"/>
  <c r="BJ44" i="15" s="1"/>
  <c r="LY44" i="15"/>
  <c r="LZ44" i="15" s="1"/>
  <c r="CT42" i="15"/>
  <c r="TY44" i="15"/>
  <c r="TZ44" i="15" s="1"/>
  <c r="CO44" i="15"/>
  <c r="CP44" i="15" s="1"/>
  <c r="DA44" i="15"/>
  <c r="DB44" i="15" s="1"/>
  <c r="BE44" i="15"/>
  <c r="BF44" i="15" s="1"/>
  <c r="QW44" i="15"/>
  <c r="QX44" i="15" s="1"/>
  <c r="H44" i="15"/>
  <c r="UN45" i="15"/>
  <c r="IB45" i="15"/>
  <c r="IR45" i="15"/>
  <c r="QG43" i="15"/>
  <c r="QH42" i="15"/>
  <c r="TD45" i="15"/>
  <c r="RU43" i="15"/>
  <c r="RV42" i="15"/>
  <c r="IV45" i="15"/>
  <c r="T45" i="15"/>
  <c r="RX45" i="15"/>
  <c r="Y43" i="15"/>
  <c r="Z42" i="15"/>
  <c r="UB45" i="15"/>
  <c r="TA43" i="15"/>
  <c r="TB42" i="15"/>
  <c r="KN45" i="15"/>
  <c r="FD45" i="15"/>
  <c r="IO43" i="15"/>
  <c r="IP42" i="15"/>
  <c r="KG43" i="15"/>
  <c r="KH42" i="15"/>
  <c r="V43" i="15"/>
  <c r="KW43" i="15"/>
  <c r="KX42" i="15"/>
  <c r="AW43" i="15"/>
  <c r="AX42" i="15"/>
  <c r="PH45" i="15"/>
  <c r="DI43" i="15"/>
  <c r="DJ42" i="15"/>
  <c r="QN45" i="15"/>
  <c r="DT45" i="15"/>
  <c r="OV45" i="15"/>
  <c r="CB44" i="15"/>
  <c r="PT45" i="15"/>
  <c r="SZ45" i="15"/>
  <c r="BD45" i="15"/>
  <c r="AF45" i="15"/>
  <c r="FJ43" i="15"/>
  <c r="M43" i="15"/>
  <c r="N42" i="15"/>
  <c r="RF43" i="15"/>
  <c r="TQ43" i="15"/>
  <c r="TR42" i="15"/>
  <c r="PJ43" i="15"/>
  <c r="FX45" i="15"/>
  <c r="NM43" i="15"/>
  <c r="NN42" i="15"/>
  <c r="GV45" i="15"/>
  <c r="FP45" i="15"/>
  <c r="IW43" i="15"/>
  <c r="IX42" i="15"/>
  <c r="LH45" i="15"/>
  <c r="ON45" i="15"/>
  <c r="JQ43" i="15"/>
  <c r="JR42" i="15"/>
  <c r="EW43" i="15"/>
  <c r="EX42" i="15"/>
  <c r="LL45" i="15"/>
  <c r="FH45" i="15"/>
  <c r="QZ45" i="15"/>
  <c r="AN45" i="15"/>
  <c r="RD45" i="15"/>
  <c r="CW43" i="15"/>
  <c r="CX42" i="15"/>
  <c r="BJ43" i="15"/>
  <c r="GF45" i="15"/>
  <c r="EZ45" i="15"/>
  <c r="LE43" i="15"/>
  <c r="LF42" i="15"/>
  <c r="SS43" i="15"/>
  <c r="ST42" i="15"/>
  <c r="HL45" i="15"/>
  <c r="JX45" i="15"/>
  <c r="MH44" i="15"/>
  <c r="MF45" i="15"/>
  <c r="GG43" i="15"/>
  <c r="GH42" i="15"/>
  <c r="DY43" i="15"/>
  <c r="DZ42" i="15"/>
  <c r="TX45" i="15"/>
  <c r="JP45" i="15"/>
  <c r="MZ44" i="15"/>
  <c r="NH45" i="15"/>
  <c r="QF45" i="15"/>
  <c r="LU43" i="15"/>
  <c r="LV42" i="15"/>
  <c r="OB45" i="15"/>
  <c r="KZ45" i="15"/>
  <c r="BH45" i="15"/>
  <c r="IF45" i="15"/>
  <c r="RT45" i="15"/>
  <c r="BT44" i="15"/>
  <c r="CR44" i="15"/>
  <c r="CP43" i="15"/>
  <c r="NY43" i="15"/>
  <c r="NZ42" i="15"/>
  <c r="SR45" i="15"/>
  <c r="GR45" i="15"/>
  <c r="DU43" i="15"/>
  <c r="DV42" i="15"/>
  <c r="MJ45" i="15"/>
  <c r="TP45" i="15"/>
  <c r="TZ43" i="15"/>
  <c r="KV45" i="15"/>
  <c r="AV45" i="15"/>
  <c r="OJ45" i="15"/>
  <c r="OZ45" i="15"/>
  <c r="EC43" i="15"/>
  <c r="ED42" i="15"/>
  <c r="SJ45" i="15"/>
  <c r="X45" i="15"/>
  <c r="HI43" i="15"/>
  <c r="HJ42" i="15"/>
  <c r="JU43" i="15"/>
  <c r="JV42" i="15"/>
  <c r="HH45" i="15"/>
  <c r="AB45" i="15"/>
  <c r="MK43" i="15"/>
  <c r="ML42" i="15"/>
  <c r="DP45" i="15"/>
  <c r="QO44" i="15"/>
  <c r="QP44" i="15" s="1"/>
  <c r="MS43" i="15"/>
  <c r="MT42" i="15"/>
  <c r="PA43" i="15"/>
  <c r="PB42" i="15"/>
  <c r="D45" i="15"/>
  <c r="BM43" i="15"/>
  <c r="BN42" i="15"/>
  <c r="KB45" i="15"/>
  <c r="MW43" i="15"/>
  <c r="MX42" i="15"/>
  <c r="IG44" i="15"/>
  <c r="IH44" i="15" s="1"/>
  <c r="EJ45" i="15"/>
  <c r="DL45" i="15"/>
  <c r="TM43" i="15"/>
  <c r="TN42" i="15"/>
  <c r="UK43" i="15"/>
  <c r="UL42" i="15"/>
  <c r="HA43" i="15"/>
  <c r="HB42" i="15"/>
  <c r="DH45" i="15"/>
  <c r="GK43" i="15"/>
  <c r="GL42" i="15"/>
  <c r="JH45" i="15"/>
  <c r="PX45" i="15"/>
  <c r="LI44" i="15"/>
  <c r="US43" i="15"/>
  <c r="UT42" i="15"/>
  <c r="BX45" i="15"/>
  <c r="ER45" i="15"/>
  <c r="AO44" i="15"/>
  <c r="LX45" i="15"/>
  <c r="GW44" i="15"/>
  <c r="MR45" i="15"/>
  <c r="CZ45" i="15"/>
  <c r="OR45" i="15"/>
  <c r="RH45" i="15"/>
  <c r="JE43" i="15"/>
  <c r="JF42" i="15"/>
  <c r="RL45" i="15"/>
  <c r="NT45" i="15"/>
  <c r="SC43" i="15"/>
  <c r="SD42" i="15"/>
  <c r="DM44" i="15"/>
  <c r="QR45" i="15"/>
  <c r="LA43" i="15"/>
  <c r="LB42" i="15"/>
  <c r="TH45" i="15"/>
  <c r="LR44" i="15"/>
  <c r="LP45" i="15"/>
  <c r="RP45" i="15"/>
  <c r="CC43" i="15"/>
  <c r="CD43" i="15" s="1"/>
  <c r="GC43" i="15"/>
  <c r="GD42" i="15"/>
  <c r="OW43" i="15"/>
  <c r="OX42" i="15"/>
  <c r="TI43" i="15"/>
  <c r="TJ42" i="15"/>
  <c r="LD45" i="15"/>
  <c r="CG43" i="15"/>
  <c r="CH42" i="15"/>
  <c r="UR45" i="15"/>
  <c r="AS43" i="15"/>
  <c r="AT42" i="15"/>
  <c r="ND45" i="15"/>
  <c r="EP44" i="15"/>
  <c r="EN45" i="15"/>
  <c r="EO45" i="15" s="1"/>
  <c r="NL45" i="15"/>
  <c r="NQ43" i="15"/>
  <c r="NR42" i="15"/>
  <c r="GZ45" i="15"/>
  <c r="TE43" i="15"/>
  <c r="TF42" i="15"/>
  <c r="KR45" i="15"/>
  <c r="DQ44" i="15"/>
  <c r="MV45" i="15"/>
  <c r="AC44" i="15"/>
  <c r="AD44" i="15" s="1"/>
  <c r="DE43" i="15"/>
  <c r="DF42" i="15"/>
  <c r="SN45" i="15"/>
  <c r="PP45" i="15"/>
  <c r="SB45" i="15"/>
  <c r="LT45" i="15"/>
  <c r="AZ45" i="15"/>
  <c r="JT45" i="15"/>
  <c r="FE44" i="15"/>
  <c r="FT45" i="15"/>
  <c r="BY43" i="15"/>
  <c r="BZ42" i="15"/>
  <c r="OF44" i="15"/>
  <c r="NE43" i="15"/>
  <c r="NF42" i="15"/>
  <c r="EK44" i="15"/>
  <c r="NA43" i="15"/>
  <c r="NB43" i="15" s="1"/>
  <c r="EF45" i="15"/>
  <c r="BL45" i="15"/>
  <c r="AR45" i="15"/>
  <c r="KF45" i="15"/>
  <c r="DB43" i="15"/>
  <c r="RM43" i="15"/>
  <c r="RN42" i="15"/>
  <c r="MB45" i="15"/>
  <c r="NX45" i="15"/>
  <c r="FA43" i="15"/>
  <c r="FB42" i="15"/>
  <c r="QX43" i="15"/>
  <c r="UO44" i="15"/>
  <c r="UP44" i="15" s="1"/>
  <c r="GJ45" i="15"/>
  <c r="RI44" i="15"/>
  <c r="RJ44" i="15" s="1"/>
  <c r="GS44" i="15"/>
  <c r="TT45" i="15"/>
  <c r="CF45" i="15"/>
  <c r="CN45" i="15"/>
  <c r="MN45" i="15"/>
  <c r="KC43" i="15"/>
  <c r="KD42" i="15"/>
  <c r="PL44" i="15"/>
  <c r="FQ43" i="15"/>
  <c r="FR42" i="15"/>
  <c r="FY44" i="15"/>
  <c r="OC43" i="15"/>
  <c r="OD42" i="15"/>
  <c r="OO43" i="15"/>
  <c r="OP42" i="15"/>
  <c r="GN45" i="15"/>
  <c r="PQ43" i="15"/>
  <c r="PR42" i="15"/>
  <c r="BU43" i="15"/>
  <c r="UJ45" i="15"/>
  <c r="JI43" i="15"/>
  <c r="JJ42" i="15"/>
  <c r="SF45" i="15"/>
  <c r="SV45" i="15"/>
  <c r="HT45" i="15"/>
  <c r="GB45" i="15"/>
  <c r="RA43" i="15"/>
  <c r="RB42" i="15"/>
  <c r="QK43" i="15"/>
  <c r="QL42" i="15"/>
  <c r="QJ45" i="15"/>
  <c r="JL45" i="15"/>
  <c r="DX45" i="15"/>
  <c r="AJ45" i="15"/>
  <c r="HD45" i="15"/>
  <c r="BP45" i="15"/>
  <c r="JM44" i="15"/>
  <c r="QV45" i="15"/>
  <c r="HM44" i="15"/>
  <c r="HN44" i="15" s="1"/>
  <c r="UF45" i="15"/>
  <c r="UG43" i="15"/>
  <c r="UH42" i="15"/>
  <c r="RY43" i="15"/>
  <c r="RZ42" i="15"/>
  <c r="BQ44" i="15"/>
  <c r="BR44" i="15" s="1"/>
  <c r="RQ43" i="15"/>
  <c r="RR42" i="15"/>
  <c r="I43" i="15"/>
  <c r="CV45" i="15"/>
  <c r="PU43" i="15"/>
  <c r="PV42" i="15"/>
  <c r="IK43" i="15"/>
  <c r="IL42" i="15"/>
  <c r="IZ45" i="15"/>
  <c r="PD45" i="15"/>
  <c r="P45" i="15"/>
  <c r="EB45" i="15"/>
  <c r="SH43" i="15"/>
  <c r="FL45" i="15"/>
  <c r="HX45" i="15"/>
  <c r="SK44" i="15"/>
  <c r="NP45" i="15"/>
  <c r="PM43" i="15"/>
  <c r="Q43" i="15"/>
  <c r="R42" i="15"/>
  <c r="LZ43" i="15"/>
  <c r="UC43" i="15"/>
  <c r="UD42" i="15"/>
  <c r="TL45" i="15"/>
  <c r="ES43" i="15"/>
  <c r="ET42" i="15"/>
  <c r="IN45" i="15"/>
  <c r="NI43" i="15"/>
  <c r="NJ42" i="15"/>
  <c r="CJ45" i="15"/>
  <c r="KO44" i="15"/>
  <c r="IJ45" i="15"/>
  <c r="FU44" i="15"/>
  <c r="EV45" i="15"/>
  <c r="QB45" i="15"/>
  <c r="JD45" i="15"/>
  <c r="NU43" i="15"/>
  <c r="NV42" i="15"/>
  <c r="EG44" i="15"/>
  <c r="IC44" i="15"/>
  <c r="DD45" i="15"/>
  <c r="HU43" i="15"/>
  <c r="HV42" i="15"/>
  <c r="OS43" i="15"/>
  <c r="OT42" i="15"/>
  <c r="E44" i="15"/>
  <c r="QS44" i="15"/>
  <c r="QC43" i="15"/>
  <c r="QD42" i="15"/>
  <c r="KJ45" i="15"/>
  <c r="GO44" i="15"/>
  <c r="FN43" i="15"/>
  <c r="HP45" i="15"/>
  <c r="PY44" i="15"/>
  <c r="PZ44" i="15" s="1"/>
  <c r="L45" i="15"/>
  <c r="MC44" i="15"/>
  <c r="MD44" i="15" s="1"/>
  <c r="F47" i="9"/>
  <c r="G47" i="9" s="1"/>
  <c r="F47" i="8"/>
  <c r="G47" i="8" s="1"/>
  <c r="E48" i="11"/>
  <c r="F47" i="11"/>
  <c r="G46" i="10"/>
  <c r="G47" i="10"/>
  <c r="G46" i="9"/>
  <c r="E48" i="9"/>
  <c r="G46" i="8"/>
  <c r="E48" i="8"/>
  <c r="E49" i="2"/>
  <c r="F48" i="2"/>
  <c r="HE45" i="15" l="1"/>
  <c r="HF45" i="15" s="1"/>
  <c r="PE45" i="15"/>
  <c r="SW45" i="15"/>
  <c r="SX45" i="15" s="1"/>
  <c r="KO45" i="15"/>
  <c r="KP45" i="15" s="1"/>
  <c r="KK45" i="15"/>
  <c r="KL45" i="15" s="1"/>
  <c r="KS45" i="15"/>
  <c r="KT45" i="15" s="1"/>
  <c r="LM45" i="15"/>
  <c r="LN45" i="15" s="1"/>
  <c r="QW45" i="15"/>
  <c r="QX45" i="15" s="1"/>
  <c r="BE45" i="15"/>
  <c r="BF45" i="15" s="1"/>
  <c r="RE45" i="15"/>
  <c r="RF45" i="15" s="1"/>
  <c r="BA45" i="15"/>
  <c r="BB45" i="15" s="1"/>
  <c r="SK45" i="15"/>
  <c r="SL45" i="15" s="1"/>
  <c r="FI45" i="15"/>
  <c r="FJ45" i="15" s="1"/>
  <c r="QS45" i="15"/>
  <c r="QT45" i="15" s="1"/>
  <c r="CS44" i="15"/>
  <c r="CT44" i="15" s="1"/>
  <c r="I44" i="15"/>
  <c r="J44" i="15" s="1"/>
  <c r="AO45" i="15"/>
  <c r="AP45" i="15" s="1"/>
  <c r="FY45" i="15"/>
  <c r="FZ45" i="15" s="1"/>
  <c r="LY45" i="15"/>
  <c r="LZ45" i="15" s="1"/>
  <c r="DQ45" i="15"/>
  <c r="DR45" i="15" s="1"/>
  <c r="PM44" i="15"/>
  <c r="PN44" i="15" s="1"/>
  <c r="BU44" i="15"/>
  <c r="BV44" i="15" s="1"/>
  <c r="FE45" i="15"/>
  <c r="FF45" i="15" s="1"/>
  <c r="GW45" i="15"/>
  <c r="GX45" i="15" s="1"/>
  <c r="EG45" i="15"/>
  <c r="EH45" i="15" s="1"/>
  <c r="FU45" i="15"/>
  <c r="FV45" i="15" s="1"/>
  <c r="E45" i="15"/>
  <c r="F45" i="15" s="1"/>
  <c r="GO45" i="15"/>
  <c r="GP45" i="15" s="1"/>
  <c r="KP44" i="15"/>
  <c r="PN43" i="15"/>
  <c r="FZ44" i="15"/>
  <c r="LI45" i="15"/>
  <c r="LJ45" i="15" s="1"/>
  <c r="BV43" i="15"/>
  <c r="JM45" i="15"/>
  <c r="JN45" i="15" s="1"/>
  <c r="DM45" i="15"/>
  <c r="DN45" i="15" s="1"/>
  <c r="EK45" i="15"/>
  <c r="EL45" i="15" s="1"/>
  <c r="IC45" i="15"/>
  <c r="ID45" i="15" s="1"/>
  <c r="GS45" i="15"/>
  <c r="GT45" i="15" s="1"/>
  <c r="AC45" i="15"/>
  <c r="SN46" i="15"/>
  <c r="EN46" i="15"/>
  <c r="EO46" i="15" s="1"/>
  <c r="EP45" i="15"/>
  <c r="RH46" i="15"/>
  <c r="MW44" i="15"/>
  <c r="MX43" i="15"/>
  <c r="HH46" i="15"/>
  <c r="EW44" i="15"/>
  <c r="EX43" i="15"/>
  <c r="KN46" i="15"/>
  <c r="FA44" i="15"/>
  <c r="FB43" i="15"/>
  <c r="NE44" i="15"/>
  <c r="NF43" i="15"/>
  <c r="LP46" i="15"/>
  <c r="PX46" i="15"/>
  <c r="AV46" i="15"/>
  <c r="BT45" i="15"/>
  <c r="MZ45" i="15"/>
  <c r="EZ46" i="15"/>
  <c r="QG44" i="15"/>
  <c r="QH43" i="15"/>
  <c r="KV46" i="15"/>
  <c r="RT46" i="15"/>
  <c r="GF46" i="15"/>
  <c r="JQ44" i="15"/>
  <c r="JR43" i="15"/>
  <c r="M44" i="15"/>
  <c r="N43" i="15"/>
  <c r="IR46" i="15"/>
  <c r="OF45" i="15"/>
  <c r="ND46" i="15"/>
  <c r="TH46" i="15"/>
  <c r="OR46" i="15"/>
  <c r="JH46" i="15"/>
  <c r="JP46" i="15"/>
  <c r="ON46" i="15"/>
  <c r="DI44" i="15"/>
  <c r="DJ43" i="15"/>
  <c r="TA44" i="15"/>
  <c r="TB43" i="15"/>
  <c r="TQ44" i="15"/>
  <c r="TR43" i="15"/>
  <c r="SF46" i="15"/>
  <c r="DE44" i="15"/>
  <c r="DF43" i="15"/>
  <c r="BM44" i="15"/>
  <c r="BN43" i="15"/>
  <c r="JU44" i="15"/>
  <c r="JV43" i="15"/>
  <c r="TX46" i="15"/>
  <c r="AF46" i="15"/>
  <c r="PH46" i="15"/>
  <c r="UB46" i="15"/>
  <c r="IS45" i="15"/>
  <c r="KJ46" i="15"/>
  <c r="MB46" i="15"/>
  <c r="BY44" i="15"/>
  <c r="BZ43" i="15"/>
  <c r="AS44" i="15"/>
  <c r="AT43" i="15"/>
  <c r="CZ46" i="15"/>
  <c r="GK44" i="15"/>
  <c r="GL43" i="15"/>
  <c r="D46" i="15"/>
  <c r="TP46" i="15"/>
  <c r="IF46" i="15"/>
  <c r="LJ44" i="15"/>
  <c r="ID44" i="15"/>
  <c r="SV46" i="15"/>
  <c r="PL45" i="15"/>
  <c r="JI44" i="15"/>
  <c r="JJ43" i="15"/>
  <c r="FV44" i="15"/>
  <c r="MV46" i="15"/>
  <c r="UR46" i="15"/>
  <c r="LA44" i="15"/>
  <c r="LB43" i="15"/>
  <c r="DH46" i="15"/>
  <c r="F44" i="15"/>
  <c r="HI44" i="15"/>
  <c r="HJ43" i="15"/>
  <c r="CW44" i="15"/>
  <c r="CX43" i="15"/>
  <c r="LH46" i="15"/>
  <c r="BD46" i="15"/>
  <c r="IB46" i="15"/>
  <c r="IZ46" i="15"/>
  <c r="KB46" i="15"/>
  <c r="HX46" i="15"/>
  <c r="OS44" i="15"/>
  <c r="OT43" i="15"/>
  <c r="CJ46" i="15"/>
  <c r="DX46" i="15"/>
  <c r="CN46" i="15"/>
  <c r="FT46" i="15"/>
  <c r="QR46" i="15"/>
  <c r="X46" i="15"/>
  <c r="MJ46" i="15"/>
  <c r="BH46" i="15"/>
  <c r="DY44" i="15"/>
  <c r="DZ43" i="15"/>
  <c r="CK45" i="15"/>
  <c r="CL45" i="15" s="1"/>
  <c r="AW44" i="15"/>
  <c r="AX43" i="15"/>
  <c r="Y44" i="15"/>
  <c r="Z43" i="15"/>
  <c r="UN46" i="15"/>
  <c r="CR45" i="15"/>
  <c r="EV46" i="15"/>
  <c r="IJ46" i="15"/>
  <c r="RQ44" i="15"/>
  <c r="RR43" i="15"/>
  <c r="RM44" i="15"/>
  <c r="RN43" i="15"/>
  <c r="QT44" i="15"/>
  <c r="MR46" i="15"/>
  <c r="PA44" i="15"/>
  <c r="PB43" i="15"/>
  <c r="KZ46" i="15"/>
  <c r="RD46" i="15"/>
  <c r="IW44" i="15"/>
  <c r="IX43" i="15"/>
  <c r="SG45" i="15"/>
  <c r="RX46" i="15"/>
  <c r="RP46" i="15"/>
  <c r="NX46" i="15"/>
  <c r="FL46" i="15"/>
  <c r="HA44" i="15"/>
  <c r="HB43" i="15"/>
  <c r="TY45" i="15"/>
  <c r="GG44" i="15"/>
  <c r="GH43" i="15"/>
  <c r="FP46" i="15"/>
  <c r="KW44" i="15"/>
  <c r="KX43" i="15"/>
  <c r="J43" i="15"/>
  <c r="KF46" i="15"/>
  <c r="JT46" i="15"/>
  <c r="KR46" i="15"/>
  <c r="SJ46" i="15"/>
  <c r="SK46" i="15" s="1"/>
  <c r="DU44" i="15"/>
  <c r="DV43" i="15"/>
  <c r="DA45" i="15"/>
  <c r="MF46" i="15"/>
  <c r="AP44" i="15"/>
  <c r="SZ46" i="15"/>
  <c r="JA45" i="15"/>
  <c r="H45" i="15"/>
  <c r="KC44" i="15"/>
  <c r="KD43" i="15"/>
  <c r="HU44" i="15"/>
  <c r="HV43" i="15"/>
  <c r="CF46" i="15"/>
  <c r="PQ44" i="15"/>
  <c r="PR43" i="15"/>
  <c r="TT46" i="15"/>
  <c r="LD46" i="15"/>
  <c r="SC44" i="15"/>
  <c r="SD43" i="15"/>
  <c r="LX46" i="15"/>
  <c r="UK44" i="15"/>
  <c r="UL43" i="15"/>
  <c r="MS44" i="15"/>
  <c r="MT43" i="15"/>
  <c r="SL44" i="15"/>
  <c r="GT44" i="15"/>
  <c r="OB46" i="15"/>
  <c r="AN46" i="15"/>
  <c r="GV46" i="15"/>
  <c r="T46" i="15"/>
  <c r="QN46" i="15"/>
  <c r="UJ46" i="15"/>
  <c r="GN46" i="15"/>
  <c r="AZ46" i="15"/>
  <c r="NT46" i="15"/>
  <c r="QO45" i="15"/>
  <c r="QP45" i="15" s="1"/>
  <c r="GR46" i="15"/>
  <c r="JX46" i="15"/>
  <c r="QZ46" i="15"/>
  <c r="GX44" i="15"/>
  <c r="PT46" i="15"/>
  <c r="KG44" i="15"/>
  <c r="KH43" i="15"/>
  <c r="OG44" i="15"/>
  <c r="Q44" i="15"/>
  <c r="R43" i="15"/>
  <c r="IK44" i="15"/>
  <c r="IL43" i="15"/>
  <c r="NP46" i="15"/>
  <c r="AG45" i="15"/>
  <c r="TE44" i="15"/>
  <c r="TF43" i="15"/>
  <c r="TI44" i="15"/>
  <c r="TJ43" i="15"/>
  <c r="TM44" i="15"/>
  <c r="TN43" i="15"/>
  <c r="DR44" i="15"/>
  <c r="EC44" i="15"/>
  <c r="ED43" i="15"/>
  <c r="SR46" i="15"/>
  <c r="BI45" i="15"/>
  <c r="TU45" i="15"/>
  <c r="FQ44" i="15"/>
  <c r="FR43" i="15"/>
  <c r="CV46" i="15"/>
  <c r="DD46" i="15"/>
  <c r="IN46" i="15"/>
  <c r="EB46" i="15"/>
  <c r="UF46" i="15"/>
  <c r="ER46" i="15"/>
  <c r="DN44" i="15"/>
  <c r="DP46" i="15"/>
  <c r="FH46" i="15"/>
  <c r="NM44" i="15"/>
  <c r="NN43" i="15"/>
  <c r="CB45" i="15"/>
  <c r="IO44" i="15"/>
  <c r="IP43" i="15"/>
  <c r="IV46" i="15"/>
  <c r="MG45" i="15"/>
  <c r="MH45" i="15" s="1"/>
  <c r="HT46" i="15"/>
  <c r="CG44" i="15"/>
  <c r="CH43" i="15"/>
  <c r="RY44" i="15"/>
  <c r="RZ43" i="15"/>
  <c r="GP44" i="15"/>
  <c r="CO45" i="15"/>
  <c r="HL46" i="15"/>
  <c r="OV46" i="15"/>
  <c r="JY45" i="15"/>
  <c r="JZ45" i="15" s="1"/>
  <c r="U45" i="15"/>
  <c r="V45" i="15" s="1"/>
  <c r="LQ45" i="15"/>
  <c r="BP46" i="15"/>
  <c r="HD46" i="15"/>
  <c r="QC44" i="15"/>
  <c r="QD43" i="15"/>
  <c r="MN46" i="15"/>
  <c r="JL46" i="15"/>
  <c r="BQ45" i="15"/>
  <c r="MC45" i="15"/>
  <c r="L46" i="15"/>
  <c r="QK44" i="15"/>
  <c r="QL43" i="15"/>
  <c r="P46" i="15"/>
  <c r="LT46" i="15"/>
  <c r="PY45" i="15"/>
  <c r="RI45" i="15"/>
  <c r="OW44" i="15"/>
  <c r="OX43" i="15"/>
  <c r="BX46" i="15"/>
  <c r="DL46" i="15"/>
  <c r="JD46" i="15"/>
  <c r="PD46" i="15"/>
  <c r="PE46" i="15" s="1"/>
  <c r="PF45" i="15"/>
  <c r="HM45" i="15"/>
  <c r="GB46" i="15"/>
  <c r="GJ46" i="15"/>
  <c r="EF46" i="15"/>
  <c r="RL46" i="15"/>
  <c r="EL44" i="15"/>
  <c r="NY44" i="15"/>
  <c r="NZ43" i="15"/>
  <c r="QF46" i="15"/>
  <c r="LL46" i="15"/>
  <c r="FX46" i="15"/>
  <c r="PI45" i="15"/>
  <c r="SO45" i="15"/>
  <c r="PU44" i="15"/>
  <c r="PV43" i="15"/>
  <c r="HY45" i="15"/>
  <c r="HZ45" i="15" s="1"/>
  <c r="UG44" i="15"/>
  <c r="UH43" i="15"/>
  <c r="TL46" i="15"/>
  <c r="BL46" i="15"/>
  <c r="OO44" i="15"/>
  <c r="OP43" i="15"/>
  <c r="GZ46" i="15"/>
  <c r="LU44" i="15"/>
  <c r="LV43" i="15"/>
  <c r="HP46" i="15"/>
  <c r="UC44" i="15"/>
  <c r="UD43" i="15"/>
  <c r="QV46" i="15"/>
  <c r="OC44" i="15"/>
  <c r="OD43" i="15"/>
  <c r="EH44" i="15"/>
  <c r="SB46" i="15"/>
  <c r="NQ44" i="15"/>
  <c r="NR43" i="15"/>
  <c r="GC44" i="15"/>
  <c r="GD43" i="15"/>
  <c r="EJ46" i="15"/>
  <c r="MK44" i="15"/>
  <c r="ML43" i="15"/>
  <c r="OZ46" i="15"/>
  <c r="SS44" i="15"/>
  <c r="ST43" i="15"/>
  <c r="DT46" i="15"/>
  <c r="FD46" i="15"/>
  <c r="RU44" i="15"/>
  <c r="RV43" i="15"/>
  <c r="MO45" i="15"/>
  <c r="MP45" i="15" s="1"/>
  <c r="LE44" i="15"/>
  <c r="LF43" i="15"/>
  <c r="AJ46" i="15"/>
  <c r="NI44" i="15"/>
  <c r="NJ43" i="15"/>
  <c r="JN44" i="15"/>
  <c r="QJ46" i="15"/>
  <c r="AR46" i="15"/>
  <c r="ES44" i="15"/>
  <c r="ET43" i="15"/>
  <c r="FM45" i="15"/>
  <c r="FN45" i="15" s="1"/>
  <c r="NU44" i="15"/>
  <c r="NV43" i="15"/>
  <c r="RA44" i="15"/>
  <c r="RB43" i="15"/>
  <c r="AK45" i="15"/>
  <c r="AL45" i="15" s="1"/>
  <c r="QB46" i="15"/>
  <c r="UO45" i="15"/>
  <c r="NA44" i="15"/>
  <c r="PP46" i="15"/>
  <c r="NL46" i="15"/>
  <c r="CC44" i="15"/>
  <c r="JE44" i="15"/>
  <c r="JF43" i="15"/>
  <c r="US44" i="15"/>
  <c r="UT43" i="15"/>
  <c r="IG45" i="15"/>
  <c r="IH45" i="15" s="1"/>
  <c r="AB46" i="15"/>
  <c r="OJ46" i="15"/>
  <c r="NH46" i="15"/>
  <c r="HQ45" i="15"/>
  <c r="HR45" i="15" s="1"/>
  <c r="FF44" i="15"/>
  <c r="TD46" i="15"/>
  <c r="OK45" i="15"/>
  <c r="F48" i="11"/>
  <c r="G48" i="11" s="1"/>
  <c r="F49" i="2"/>
  <c r="G49" i="2" s="1"/>
  <c r="G47" i="11"/>
  <c r="E49" i="11"/>
  <c r="E49" i="9"/>
  <c r="F48" i="9"/>
  <c r="E49" i="8"/>
  <c r="F48" i="8"/>
  <c r="E50" i="2"/>
  <c r="G48" i="2"/>
  <c r="I45" i="15" l="1"/>
  <c r="J45" i="15" s="1"/>
  <c r="LY46" i="15"/>
  <c r="LZ46" i="15" s="1"/>
  <c r="KS46" i="15"/>
  <c r="KT46" i="15" s="1"/>
  <c r="OG45" i="15"/>
  <c r="OH45" i="15" s="1"/>
  <c r="RE46" i="15"/>
  <c r="RF46" i="15" s="1"/>
  <c r="QW46" i="15"/>
  <c r="QX46" i="15" s="1"/>
  <c r="TY46" i="15"/>
  <c r="TZ46" i="15" s="1"/>
  <c r="TU46" i="15"/>
  <c r="TV46" i="15" s="1"/>
  <c r="EG46" i="15"/>
  <c r="EH46" i="15" s="1"/>
  <c r="JA46" i="15"/>
  <c r="JB46" i="15" s="1"/>
  <c r="LI46" i="15"/>
  <c r="LJ46" i="15" s="1"/>
  <c r="FE46" i="15"/>
  <c r="FF46" i="15" s="1"/>
  <c r="CC45" i="15"/>
  <c r="CD45" i="15" s="1"/>
  <c r="OK46" i="15"/>
  <c r="OL46" i="15" s="1"/>
  <c r="DM46" i="15"/>
  <c r="DN46" i="15" s="1"/>
  <c r="GO46" i="15"/>
  <c r="GP46" i="15" s="1"/>
  <c r="RI46" i="15"/>
  <c r="RJ46" i="15" s="1"/>
  <c r="AC46" i="15"/>
  <c r="AD46" i="15" s="1"/>
  <c r="UO46" i="15"/>
  <c r="UP46" i="15" s="1"/>
  <c r="E46" i="15"/>
  <c r="F46" i="15" s="1"/>
  <c r="SO46" i="15"/>
  <c r="SP46" i="15" s="1"/>
  <c r="NA45" i="15"/>
  <c r="NB45" i="15" s="1"/>
  <c r="GS46" i="15"/>
  <c r="GT46" i="15" s="1"/>
  <c r="DA46" i="15"/>
  <c r="DB46" i="15" s="1"/>
  <c r="IS46" i="15"/>
  <c r="IT46" i="15" s="1"/>
  <c r="CO46" i="15"/>
  <c r="CP46" i="15" s="1"/>
  <c r="AD45" i="15"/>
  <c r="MC46" i="15"/>
  <c r="MD46" i="15" s="1"/>
  <c r="LQ46" i="15"/>
  <c r="LR46" i="15" s="1"/>
  <c r="BI46" i="15"/>
  <c r="BJ46" i="15" s="1"/>
  <c r="PI46" i="15"/>
  <c r="PJ46" i="15" s="1"/>
  <c r="PY46" i="15"/>
  <c r="PZ46" i="15" s="1"/>
  <c r="AG46" i="15"/>
  <c r="AH46" i="15" s="1"/>
  <c r="BQ46" i="15"/>
  <c r="BR46" i="15" s="1"/>
  <c r="SG46" i="15"/>
  <c r="SH46" i="15" s="1"/>
  <c r="L47" i="15"/>
  <c r="AZ47" i="15"/>
  <c r="UK45" i="15"/>
  <c r="UL44" i="15"/>
  <c r="EV47" i="15"/>
  <c r="QR47" i="15"/>
  <c r="BM45" i="15"/>
  <c r="BN44" i="15"/>
  <c r="TH47" i="15"/>
  <c r="KN47" i="15"/>
  <c r="BD47" i="15"/>
  <c r="PL46" i="15"/>
  <c r="QG45" i="15"/>
  <c r="QH44" i="15"/>
  <c r="KV47" i="15"/>
  <c r="H46" i="15"/>
  <c r="UC45" i="15"/>
  <c r="UD44" i="15"/>
  <c r="LX47" i="15"/>
  <c r="SZ47" i="15"/>
  <c r="FP47" i="15"/>
  <c r="FT47" i="15"/>
  <c r="BY45" i="15"/>
  <c r="BZ44" i="15"/>
  <c r="DE45" i="15"/>
  <c r="DF44" i="15"/>
  <c r="ND47" i="15"/>
  <c r="EW45" i="15"/>
  <c r="EX44" i="15"/>
  <c r="X47" i="15"/>
  <c r="AS45" i="15"/>
  <c r="AT44" i="15"/>
  <c r="KW45" i="15"/>
  <c r="KX44" i="15"/>
  <c r="JD47" i="15"/>
  <c r="JL47" i="15"/>
  <c r="RY45" i="15"/>
  <c r="RZ44" i="15"/>
  <c r="SR47" i="15"/>
  <c r="UJ47" i="15"/>
  <c r="IW45" i="15"/>
  <c r="IX44" i="15"/>
  <c r="CR46" i="15"/>
  <c r="CN47" i="15"/>
  <c r="LH47" i="15"/>
  <c r="MD45" i="15"/>
  <c r="SH45" i="15"/>
  <c r="FA45" i="15"/>
  <c r="FB44" i="15"/>
  <c r="IK45" i="15"/>
  <c r="IL44" i="15"/>
  <c r="PD47" i="15"/>
  <c r="PF46" i="15"/>
  <c r="MN47" i="15"/>
  <c r="ER47" i="15"/>
  <c r="KG45" i="15"/>
  <c r="KH44" i="15"/>
  <c r="PM45" i="15"/>
  <c r="SC45" i="15"/>
  <c r="SD44" i="15"/>
  <c r="UP45" i="15"/>
  <c r="CP45" i="15"/>
  <c r="SV47" i="15"/>
  <c r="MB47" i="15"/>
  <c r="SF47" i="15"/>
  <c r="OF46" i="15"/>
  <c r="EZ47" i="15"/>
  <c r="HH47" i="15"/>
  <c r="GZ47" i="15"/>
  <c r="CG45" i="15"/>
  <c r="CH44" i="15"/>
  <c r="EC45" i="15"/>
  <c r="ED44" i="15"/>
  <c r="MF47" i="15"/>
  <c r="GG45" i="15"/>
  <c r="GH44" i="15"/>
  <c r="RD47" i="15"/>
  <c r="UN47" i="15"/>
  <c r="DX47" i="15"/>
  <c r="CW45" i="15"/>
  <c r="CX44" i="15"/>
  <c r="JM46" i="15"/>
  <c r="OH44" i="15"/>
  <c r="MZ46" i="15"/>
  <c r="IB47" i="15"/>
  <c r="NL47" i="15"/>
  <c r="UF47" i="15"/>
  <c r="PT47" i="15"/>
  <c r="QN47" i="15"/>
  <c r="LD47" i="15"/>
  <c r="KZ47" i="15"/>
  <c r="FU46" i="15"/>
  <c r="NB44" i="15"/>
  <c r="MW45" i="15"/>
  <c r="MX44" i="15"/>
  <c r="JU45" i="15"/>
  <c r="JV44" i="15"/>
  <c r="NI45" i="15"/>
  <c r="NJ44" i="15"/>
  <c r="TV45" i="15"/>
  <c r="Y45" i="15"/>
  <c r="Z44" i="15"/>
  <c r="CJ47" i="15"/>
  <c r="HI45" i="15"/>
  <c r="HJ44" i="15"/>
  <c r="KJ47" i="15"/>
  <c r="TQ45" i="15"/>
  <c r="TR44" i="15"/>
  <c r="BT46" i="15"/>
  <c r="RJ45" i="15"/>
  <c r="FX47" i="15"/>
  <c r="QZ47" i="15"/>
  <c r="T47" i="15"/>
  <c r="TT47" i="15"/>
  <c r="DU45" i="15"/>
  <c r="DV44" i="15"/>
  <c r="IR47" i="15"/>
  <c r="RH47" i="15"/>
  <c r="Q45" i="15"/>
  <c r="R44" i="15"/>
  <c r="AR47" i="15"/>
  <c r="QJ47" i="15"/>
  <c r="MG46" i="15"/>
  <c r="MH46" i="15" s="1"/>
  <c r="EB47" i="15"/>
  <c r="HA45" i="15"/>
  <c r="HB44" i="15"/>
  <c r="PA45" i="15"/>
  <c r="PB44" i="15"/>
  <c r="AW45" i="15"/>
  <c r="AX44" i="15"/>
  <c r="DH47" i="15"/>
  <c r="IF47" i="15"/>
  <c r="UB47" i="15"/>
  <c r="TA45" i="15"/>
  <c r="TB44" i="15"/>
  <c r="IT45" i="15"/>
  <c r="AV47" i="15"/>
  <c r="GN47" i="15"/>
  <c r="OZ47" i="15"/>
  <c r="TD47" i="15"/>
  <c r="HQ46" i="15"/>
  <c r="HR46" i="15" s="1"/>
  <c r="TI45" i="15"/>
  <c r="TJ44" i="15"/>
  <c r="GV47" i="15"/>
  <c r="PQ45" i="15"/>
  <c r="PR44" i="15"/>
  <c r="SL46" i="15"/>
  <c r="SJ47" i="15"/>
  <c r="GW46" i="15"/>
  <c r="CK46" i="15"/>
  <c r="OS45" i="15"/>
  <c r="OT44" i="15"/>
  <c r="EP46" i="15"/>
  <c r="EN47" i="15"/>
  <c r="EO47" i="15" s="1"/>
  <c r="GB47" i="15"/>
  <c r="US45" i="15"/>
  <c r="UT44" i="15"/>
  <c r="RX47" i="15"/>
  <c r="PP47" i="15"/>
  <c r="OO45" i="15"/>
  <c r="OP44" i="15"/>
  <c r="NQ45" i="15"/>
  <c r="NR44" i="15"/>
  <c r="IV47" i="15"/>
  <c r="JX47" i="15"/>
  <c r="MR47" i="15"/>
  <c r="HX47" i="15"/>
  <c r="TP47" i="15"/>
  <c r="PJ45" i="15"/>
  <c r="DI45" i="15"/>
  <c r="DJ44" i="15"/>
  <c r="M45" i="15"/>
  <c r="N44" i="15"/>
  <c r="PZ45" i="15"/>
  <c r="SN47" i="15"/>
  <c r="HM46" i="15"/>
  <c r="LL47" i="15"/>
  <c r="HT47" i="15"/>
  <c r="FY46" i="15"/>
  <c r="OW45" i="15"/>
  <c r="OX44" i="15"/>
  <c r="CF47" i="15"/>
  <c r="DY45" i="15"/>
  <c r="DZ44" i="15"/>
  <c r="LA45" i="15"/>
  <c r="LB44" i="15"/>
  <c r="PH47" i="15"/>
  <c r="PX47" i="15"/>
  <c r="SP45" i="15"/>
  <c r="HL47" i="15"/>
  <c r="OR47" i="15"/>
  <c r="FH47" i="15"/>
  <c r="DP47" i="15"/>
  <c r="MK45" i="15"/>
  <c r="ML44" i="15"/>
  <c r="QC45" i="15"/>
  <c r="QD44" i="15"/>
  <c r="GC45" i="15"/>
  <c r="GD44" i="15"/>
  <c r="BP47" i="15"/>
  <c r="QB47" i="15"/>
  <c r="BR45" i="15"/>
  <c r="LE45" i="15"/>
  <c r="LF44" i="15"/>
  <c r="RL47" i="15"/>
  <c r="MO46" i="15"/>
  <c r="LT47" i="15"/>
  <c r="U46" i="15"/>
  <c r="IO45" i="15"/>
  <c r="IP44" i="15"/>
  <c r="GR47" i="15"/>
  <c r="LM46" i="15"/>
  <c r="LN46" i="15" s="1"/>
  <c r="BJ45" i="15"/>
  <c r="KO46" i="15"/>
  <c r="D47" i="15"/>
  <c r="AF47" i="15"/>
  <c r="ON47" i="15"/>
  <c r="JQ45" i="15"/>
  <c r="JR44" i="15"/>
  <c r="LP47" i="15"/>
  <c r="QV47" i="15"/>
  <c r="IJ47" i="15"/>
  <c r="LU45" i="15"/>
  <c r="LV44" i="15"/>
  <c r="HD47" i="15"/>
  <c r="NY45" i="15"/>
  <c r="NZ44" i="15"/>
  <c r="JT47" i="15"/>
  <c r="UR47" i="15"/>
  <c r="AH45" i="15"/>
  <c r="GF47" i="15"/>
  <c r="LR45" i="15"/>
  <c r="SW46" i="15"/>
  <c r="PU45" i="15"/>
  <c r="PV44" i="15"/>
  <c r="MS45" i="15"/>
  <c r="MT44" i="15"/>
  <c r="SS45" i="15"/>
  <c r="ST44" i="15"/>
  <c r="EJ47" i="15"/>
  <c r="NH47" i="15"/>
  <c r="AK46" i="15"/>
  <c r="DD47" i="15"/>
  <c r="AN47" i="15"/>
  <c r="OL45" i="15"/>
  <c r="SB47" i="15"/>
  <c r="RA45" i="15"/>
  <c r="RB44" i="15"/>
  <c r="UG45" i="15"/>
  <c r="UH44" i="15"/>
  <c r="EF47" i="15"/>
  <c r="CB46" i="15"/>
  <c r="QO46" i="15"/>
  <c r="HU45" i="15"/>
  <c r="HV44" i="15"/>
  <c r="NX47" i="15"/>
  <c r="AB47" i="15"/>
  <c r="RU45" i="15"/>
  <c r="RV44" i="15"/>
  <c r="HY46" i="15"/>
  <c r="GJ47" i="15"/>
  <c r="P47" i="15"/>
  <c r="OV47" i="15"/>
  <c r="CD44" i="15"/>
  <c r="DQ46" i="15"/>
  <c r="AO46" i="15"/>
  <c r="AP46" i="15" s="1"/>
  <c r="KF47" i="15"/>
  <c r="RM45" i="15"/>
  <c r="RN44" i="15"/>
  <c r="MJ47" i="15"/>
  <c r="GK45" i="15"/>
  <c r="GL44" i="15"/>
  <c r="TZ45" i="15"/>
  <c r="JP47" i="15"/>
  <c r="KK46" i="15"/>
  <c r="DT47" i="15"/>
  <c r="FI46" i="15"/>
  <c r="FJ46" i="15" s="1"/>
  <c r="JE45" i="15"/>
  <c r="JF44" i="15"/>
  <c r="DL47" i="15"/>
  <c r="TM45" i="15"/>
  <c r="TN44" i="15"/>
  <c r="QS46" i="15"/>
  <c r="IN47" i="15"/>
  <c r="FL47" i="15"/>
  <c r="OJ47" i="15"/>
  <c r="JY46" i="15"/>
  <c r="OB47" i="15"/>
  <c r="KB47" i="15"/>
  <c r="NU45" i="15"/>
  <c r="NV44" i="15"/>
  <c r="OC45" i="15"/>
  <c r="OD44" i="15"/>
  <c r="BU45" i="15"/>
  <c r="BV45" i="15" s="1"/>
  <c r="CV47" i="15"/>
  <c r="KC45" i="15"/>
  <c r="KD44" i="15"/>
  <c r="BE46" i="15"/>
  <c r="JB45" i="15"/>
  <c r="MV47" i="15"/>
  <c r="DB45" i="15"/>
  <c r="TX47" i="15"/>
  <c r="JH47" i="15"/>
  <c r="RT47" i="15"/>
  <c r="NE45" i="15"/>
  <c r="NF44" i="15"/>
  <c r="HE46" i="15"/>
  <c r="HF46" i="15" s="1"/>
  <c r="FQ45" i="15"/>
  <c r="FR44" i="15"/>
  <c r="RP47" i="15"/>
  <c r="JI45" i="15"/>
  <c r="JJ44" i="15"/>
  <c r="ES45" i="15"/>
  <c r="ET44" i="15"/>
  <c r="HP47" i="15"/>
  <c r="QF47" i="15"/>
  <c r="BX47" i="15"/>
  <c r="AJ47" i="15"/>
  <c r="BL47" i="15"/>
  <c r="TL47" i="15"/>
  <c r="TE45" i="15"/>
  <c r="TF44" i="15"/>
  <c r="KR47" i="15"/>
  <c r="IC46" i="15"/>
  <c r="BH47" i="15"/>
  <c r="IG46" i="15"/>
  <c r="FM46" i="15"/>
  <c r="FD47" i="15"/>
  <c r="QK45" i="15"/>
  <c r="QL44" i="15"/>
  <c r="HN45" i="15"/>
  <c r="NM45" i="15"/>
  <c r="NN44" i="15"/>
  <c r="NP47" i="15"/>
  <c r="NT47" i="15"/>
  <c r="EK46" i="15"/>
  <c r="BA46" i="15"/>
  <c r="RQ45" i="15"/>
  <c r="RR44" i="15"/>
  <c r="IZ47" i="15"/>
  <c r="CZ47" i="15"/>
  <c r="CS45" i="15"/>
  <c r="F49" i="8"/>
  <c r="G49" i="8" s="1"/>
  <c r="F49" i="9"/>
  <c r="G49" i="9" s="1"/>
  <c r="E50" i="11"/>
  <c r="F49" i="11"/>
  <c r="G48" i="10"/>
  <c r="G49" i="10"/>
  <c r="G48" i="9"/>
  <c r="E50" i="9"/>
  <c r="G48" i="8"/>
  <c r="E50" i="8"/>
  <c r="E51" i="2"/>
  <c r="F50" i="2"/>
  <c r="TY47" i="15" l="1"/>
  <c r="TZ47" i="15" s="1"/>
  <c r="RI47" i="15"/>
  <c r="OG46" i="15"/>
  <c r="OH46" i="15" s="1"/>
  <c r="DM47" i="15"/>
  <c r="DN47" i="15" s="1"/>
  <c r="RE47" i="15"/>
  <c r="RF47" i="15" s="1"/>
  <c r="TU47" i="15"/>
  <c r="TV47" i="15" s="1"/>
  <c r="KS47" i="15"/>
  <c r="KT47" i="15" s="1"/>
  <c r="AC47" i="15"/>
  <c r="AD47" i="15" s="1"/>
  <c r="JA47" i="15"/>
  <c r="JB47" i="15" s="1"/>
  <c r="OK47" i="15"/>
  <c r="OL47" i="15" s="1"/>
  <c r="PI47" i="15"/>
  <c r="PJ47" i="15" s="1"/>
  <c r="GO47" i="15"/>
  <c r="GP47" i="15" s="1"/>
  <c r="GW47" i="15"/>
  <c r="GX47" i="15" s="1"/>
  <c r="DA47" i="15"/>
  <c r="DB47" i="15" s="1"/>
  <c r="LQ47" i="15"/>
  <c r="LR47" i="15" s="1"/>
  <c r="JY47" i="15"/>
  <c r="JZ47" i="15" s="1"/>
  <c r="IC47" i="15"/>
  <c r="ID47" i="15" s="1"/>
  <c r="MC47" i="15"/>
  <c r="MD47" i="15" s="1"/>
  <c r="BE47" i="15"/>
  <c r="BF47" i="15" s="1"/>
  <c r="UO47" i="15"/>
  <c r="UP47" i="15" s="1"/>
  <c r="GS47" i="15"/>
  <c r="GT47" i="15" s="1"/>
  <c r="CK47" i="15"/>
  <c r="CL47" i="15" s="1"/>
  <c r="FU47" i="15"/>
  <c r="FV47" i="15" s="1"/>
  <c r="BQ47" i="15"/>
  <c r="BR47" i="15" s="1"/>
  <c r="IG47" i="15"/>
  <c r="IH47" i="15" s="1"/>
  <c r="SW47" i="15"/>
  <c r="SX47" i="15" s="1"/>
  <c r="KO47" i="15"/>
  <c r="KP47" i="15" s="1"/>
  <c r="BA47" i="15"/>
  <c r="BB47" i="15" s="1"/>
  <c r="QS47" i="15"/>
  <c r="QT47" i="15" s="1"/>
  <c r="EK47" i="15"/>
  <c r="EL47" i="15" s="1"/>
  <c r="HM47" i="15"/>
  <c r="HN47" i="15" s="1"/>
  <c r="SG47" i="15"/>
  <c r="SH47" i="15" s="1"/>
  <c r="SX46" i="15"/>
  <c r="FY47" i="15"/>
  <c r="FZ47" i="15" s="1"/>
  <c r="HY47" i="15"/>
  <c r="HZ47" i="15" s="1"/>
  <c r="PM46" i="15"/>
  <c r="PN46" i="15" s="1"/>
  <c r="ID46" i="15"/>
  <c r="HN46" i="15"/>
  <c r="U47" i="15"/>
  <c r="MO47" i="15"/>
  <c r="MP47" i="15" s="1"/>
  <c r="AK47" i="15"/>
  <c r="AL47" i="15" s="1"/>
  <c r="KK47" i="15"/>
  <c r="FM47" i="15"/>
  <c r="FN47" i="15" s="1"/>
  <c r="CS46" i="15"/>
  <c r="CT46" i="15" s="1"/>
  <c r="QO47" i="15"/>
  <c r="QP47" i="15" s="1"/>
  <c r="JM47" i="15"/>
  <c r="JN47" i="15" s="1"/>
  <c r="HE47" i="15"/>
  <c r="HF47" i="15" s="1"/>
  <c r="AV48" i="15"/>
  <c r="JX48" i="15"/>
  <c r="AR48" i="15"/>
  <c r="JU46" i="15"/>
  <c r="JV45" i="15"/>
  <c r="SV48" i="15"/>
  <c r="KW46" i="15"/>
  <c r="KX45" i="15"/>
  <c r="LX48" i="15"/>
  <c r="BM46" i="15"/>
  <c r="BN45" i="15"/>
  <c r="LT48" i="15"/>
  <c r="BT47" i="15"/>
  <c r="QK46" i="15"/>
  <c r="QL45" i="15"/>
  <c r="QJ48" i="15"/>
  <c r="HT48" i="15"/>
  <c r="SJ48" i="15"/>
  <c r="TA46" i="15"/>
  <c r="TB45" i="15"/>
  <c r="MW46" i="15"/>
  <c r="MX45" i="15"/>
  <c r="IB48" i="15"/>
  <c r="EC46" i="15"/>
  <c r="ED45" i="15"/>
  <c r="LH48" i="15"/>
  <c r="AS46" i="15"/>
  <c r="AT45" i="15"/>
  <c r="QT46" i="15"/>
  <c r="OR48" i="15"/>
  <c r="LL48" i="15"/>
  <c r="IV48" i="15"/>
  <c r="Q46" i="15"/>
  <c r="R45" i="15"/>
  <c r="TQ46" i="15"/>
  <c r="TR45" i="15"/>
  <c r="LY47" i="15"/>
  <c r="X48" i="15"/>
  <c r="UC46" i="15"/>
  <c r="UD45" i="15"/>
  <c r="QR48" i="15"/>
  <c r="JP48" i="15"/>
  <c r="RU46" i="15"/>
  <c r="RV45" i="15"/>
  <c r="GK46" i="15"/>
  <c r="GL45" i="15"/>
  <c r="AB48" i="15"/>
  <c r="DD48" i="15"/>
  <c r="UR48" i="15"/>
  <c r="JQ46" i="15"/>
  <c r="JR45" i="15"/>
  <c r="RL48" i="15"/>
  <c r="UB48" i="15"/>
  <c r="KL46" i="15"/>
  <c r="CG46" i="15"/>
  <c r="CH45" i="15"/>
  <c r="SC46" i="15"/>
  <c r="SD45" i="15"/>
  <c r="CN48" i="15"/>
  <c r="H47" i="15"/>
  <c r="FH48" i="15"/>
  <c r="NQ46" i="15"/>
  <c r="NR45" i="15"/>
  <c r="PQ46" i="15"/>
  <c r="PR45" i="15"/>
  <c r="IH46" i="15"/>
  <c r="RJ47" i="15"/>
  <c r="RH48" i="15"/>
  <c r="RI48" i="15" s="1"/>
  <c r="KJ48" i="15"/>
  <c r="MZ47" i="15"/>
  <c r="CT45" i="15"/>
  <c r="EV48" i="15"/>
  <c r="MF48" i="15"/>
  <c r="ON48" i="15"/>
  <c r="IZ48" i="15"/>
  <c r="MJ48" i="15"/>
  <c r="NX48" i="15"/>
  <c r="LE46" i="15"/>
  <c r="LF45" i="15"/>
  <c r="HL48" i="15"/>
  <c r="GV48" i="15"/>
  <c r="IF48" i="15"/>
  <c r="KZ48" i="15"/>
  <c r="GZ48" i="15"/>
  <c r="CR47" i="15"/>
  <c r="EW46" i="15"/>
  <c r="EX45" i="15"/>
  <c r="OS46" i="15"/>
  <c r="OT45" i="15"/>
  <c r="JT48" i="15"/>
  <c r="SN48" i="15"/>
  <c r="OO46" i="15"/>
  <c r="OP45" i="15"/>
  <c r="GX46" i="15"/>
  <c r="IR48" i="15"/>
  <c r="HI46" i="15"/>
  <c r="HJ45" i="15"/>
  <c r="KG46" i="15"/>
  <c r="KH45" i="15"/>
  <c r="ND48" i="15"/>
  <c r="KV48" i="15"/>
  <c r="UK46" i="15"/>
  <c r="UL45" i="15"/>
  <c r="NL48" i="15"/>
  <c r="QF48" i="15"/>
  <c r="FN46" i="15"/>
  <c r="DH48" i="15"/>
  <c r="IS47" i="15"/>
  <c r="CJ48" i="15"/>
  <c r="ER48" i="15"/>
  <c r="IW46" i="15"/>
  <c r="IX45" i="15"/>
  <c r="BB46" i="15"/>
  <c r="AN48" i="15"/>
  <c r="D48" i="15"/>
  <c r="PX48" i="15"/>
  <c r="PP48" i="15"/>
  <c r="TI46" i="15"/>
  <c r="TJ45" i="15"/>
  <c r="CL46" i="15"/>
  <c r="QG46" i="15"/>
  <c r="QH45" i="15"/>
  <c r="AZ48" i="15"/>
  <c r="GJ48" i="15"/>
  <c r="MV48" i="15"/>
  <c r="IN48" i="15"/>
  <c r="AF48" i="15"/>
  <c r="NY46" i="15"/>
  <c r="NZ45" i="15"/>
  <c r="BP48" i="15"/>
  <c r="PH48" i="15"/>
  <c r="M46" i="15"/>
  <c r="N45" i="15"/>
  <c r="HQ47" i="15"/>
  <c r="AW46" i="15"/>
  <c r="AX45" i="15"/>
  <c r="DU46" i="15"/>
  <c r="DV45" i="15"/>
  <c r="LD48" i="15"/>
  <c r="CW46" i="15"/>
  <c r="CX45" i="15"/>
  <c r="HH48" i="15"/>
  <c r="MP46" i="15"/>
  <c r="UJ48" i="15"/>
  <c r="DE46" i="15"/>
  <c r="DF45" i="15"/>
  <c r="PL47" i="15"/>
  <c r="BX48" i="15"/>
  <c r="JZ46" i="15"/>
  <c r="KR48" i="15"/>
  <c r="RX48" i="15"/>
  <c r="TD48" i="15"/>
  <c r="Y46" i="15"/>
  <c r="Z45" i="15"/>
  <c r="QP46" i="15"/>
  <c r="DX48" i="15"/>
  <c r="MN48" i="15"/>
  <c r="PN45" i="15"/>
  <c r="ES46" i="15"/>
  <c r="ET45" i="15"/>
  <c r="RM46" i="15"/>
  <c r="RN45" i="15"/>
  <c r="DI46" i="15"/>
  <c r="DJ45" i="15"/>
  <c r="PA46" i="15"/>
  <c r="PB45" i="15"/>
  <c r="TT48" i="15"/>
  <c r="QN48" i="15"/>
  <c r="EZ48" i="15"/>
  <c r="SR48" i="15"/>
  <c r="BY46" i="15"/>
  <c r="BZ45" i="15"/>
  <c r="BF46" i="15"/>
  <c r="L48" i="15"/>
  <c r="TX48" i="15"/>
  <c r="QV48" i="15"/>
  <c r="BH48" i="15"/>
  <c r="EJ48" i="15"/>
  <c r="NA46" i="15"/>
  <c r="V46" i="15"/>
  <c r="PD48" i="15"/>
  <c r="FV46" i="15"/>
  <c r="BD48" i="15"/>
  <c r="LP48" i="15"/>
  <c r="KC46" i="15"/>
  <c r="KD45" i="15"/>
  <c r="RQ46" i="15"/>
  <c r="RR45" i="15"/>
  <c r="HU46" i="15"/>
  <c r="HV45" i="15"/>
  <c r="SS46" i="15"/>
  <c r="ST45" i="15"/>
  <c r="RY46" i="15"/>
  <c r="RZ45" i="15"/>
  <c r="FT48" i="15"/>
  <c r="I46" i="15"/>
  <c r="J46" i="15" s="1"/>
  <c r="MR48" i="15"/>
  <c r="OJ48" i="15"/>
  <c r="CZ48" i="15"/>
  <c r="NH48" i="15"/>
  <c r="EL46" i="15"/>
  <c r="TE46" i="15"/>
  <c r="TF45" i="15"/>
  <c r="NT48" i="15"/>
  <c r="DQ47" i="15"/>
  <c r="HD48" i="15"/>
  <c r="EF48" i="15"/>
  <c r="NP48" i="15"/>
  <c r="BL48" i="15"/>
  <c r="NE46" i="15"/>
  <c r="NF45" i="15"/>
  <c r="GB48" i="15"/>
  <c r="HA46" i="15"/>
  <c r="HB45" i="15"/>
  <c r="T48" i="15"/>
  <c r="KB48" i="15"/>
  <c r="JE46" i="15"/>
  <c r="JF45" i="15"/>
  <c r="OV48" i="15"/>
  <c r="UG46" i="15"/>
  <c r="UH45" i="15"/>
  <c r="LU46" i="15"/>
  <c r="LV45" i="15"/>
  <c r="GR48" i="15"/>
  <c r="QC46" i="15"/>
  <c r="QD45" i="15"/>
  <c r="DY46" i="15"/>
  <c r="DZ45" i="15"/>
  <c r="TP48" i="15"/>
  <c r="OZ48" i="15"/>
  <c r="NI46" i="15"/>
  <c r="NJ45" i="15"/>
  <c r="JN46" i="15"/>
  <c r="KP46" i="15"/>
  <c r="SB48" i="15"/>
  <c r="OW46" i="15"/>
  <c r="OX45" i="15"/>
  <c r="GF48" i="15"/>
  <c r="JI46" i="15"/>
  <c r="JJ45" i="15"/>
  <c r="QB48" i="15"/>
  <c r="CV48" i="15"/>
  <c r="BU46" i="15"/>
  <c r="BV46" i="15" s="1"/>
  <c r="AO47" i="15"/>
  <c r="OC46" i="15"/>
  <c r="OD45" i="15"/>
  <c r="GC46" i="15"/>
  <c r="GD45" i="15"/>
  <c r="PT48" i="15"/>
  <c r="FI47" i="15"/>
  <c r="MS46" i="15"/>
  <c r="MT45" i="15"/>
  <c r="BI47" i="15"/>
  <c r="AG47" i="15"/>
  <c r="CF48" i="15"/>
  <c r="HZ46" i="15"/>
  <c r="EP47" i="15"/>
  <c r="EN48" i="15"/>
  <c r="EO48" i="15" s="1"/>
  <c r="EB48" i="15"/>
  <c r="QZ48" i="15"/>
  <c r="EG47" i="15"/>
  <c r="EH47" i="15" s="1"/>
  <c r="UF48" i="15"/>
  <c r="RD48" i="15"/>
  <c r="SF48" i="15"/>
  <c r="IK46" i="15"/>
  <c r="IL45" i="15"/>
  <c r="JL48" i="15"/>
  <c r="FP48" i="15"/>
  <c r="KN48" i="15"/>
  <c r="SK47" i="15"/>
  <c r="DP48" i="15"/>
  <c r="TM46" i="15"/>
  <c r="TN45" i="15"/>
  <c r="KF48" i="15"/>
  <c r="FQ46" i="15"/>
  <c r="FR45" i="15"/>
  <c r="CB47" i="15"/>
  <c r="TL48" i="15"/>
  <c r="PY47" i="15"/>
  <c r="US46" i="15"/>
  <c r="UT45" i="15"/>
  <c r="NU46" i="15"/>
  <c r="NV45" i="15"/>
  <c r="UN48" i="15"/>
  <c r="AL46" i="15"/>
  <c r="RT48" i="15"/>
  <c r="JH48" i="15"/>
  <c r="P48" i="15"/>
  <c r="IJ48" i="15"/>
  <c r="MK46" i="15"/>
  <c r="ML45" i="15"/>
  <c r="HX48" i="15"/>
  <c r="GN48" i="15"/>
  <c r="MG47" i="15"/>
  <c r="MH47" i="15" s="1"/>
  <c r="FZ46" i="15"/>
  <c r="SO47" i="15"/>
  <c r="SP47" i="15" s="1"/>
  <c r="E47" i="15"/>
  <c r="F47" i="15" s="1"/>
  <c r="JD48" i="15"/>
  <c r="PE47" i="15"/>
  <c r="PF47" i="15" s="1"/>
  <c r="FD48" i="15"/>
  <c r="HP48" i="15"/>
  <c r="FL48" i="15"/>
  <c r="RP48" i="15"/>
  <c r="FE47" i="15"/>
  <c r="DL48" i="15"/>
  <c r="CC46" i="15"/>
  <c r="CD46" i="15" s="1"/>
  <c r="LM47" i="15"/>
  <c r="LN47" i="15" s="1"/>
  <c r="LA46" i="15"/>
  <c r="LB45" i="15"/>
  <c r="CO47" i="15"/>
  <c r="CP47" i="15" s="1"/>
  <c r="OF47" i="15"/>
  <c r="NM46" i="15"/>
  <c r="NN45" i="15"/>
  <c r="AJ48" i="15"/>
  <c r="DT48" i="15"/>
  <c r="RA46" i="15"/>
  <c r="RB45" i="15"/>
  <c r="OB48" i="15"/>
  <c r="PU46" i="15"/>
  <c r="PV45" i="15"/>
  <c r="IO46" i="15"/>
  <c r="IP45" i="15"/>
  <c r="DR46" i="15"/>
  <c r="FX48" i="15"/>
  <c r="LI47" i="15"/>
  <c r="GG46" i="15"/>
  <c r="GH45" i="15"/>
  <c r="MB48" i="15"/>
  <c r="FA46" i="15"/>
  <c r="FB45" i="15"/>
  <c r="SZ48" i="15"/>
  <c r="TH48" i="15"/>
  <c r="QW47" i="15"/>
  <c r="F51" i="2"/>
  <c r="G51" i="2" s="1"/>
  <c r="F50" i="11"/>
  <c r="G50" i="11" s="1"/>
  <c r="G49" i="11"/>
  <c r="E51" i="11"/>
  <c r="E51" i="9"/>
  <c r="F50" i="9"/>
  <c r="E51" i="8"/>
  <c r="F50" i="8"/>
  <c r="G50" i="2"/>
  <c r="E52" i="2"/>
  <c r="TY48" i="15" l="1"/>
  <c r="DM48" i="15"/>
  <c r="DN48" i="15" s="1"/>
  <c r="OG47" i="15"/>
  <c r="OH47" i="15" s="1"/>
  <c r="TU48" i="15"/>
  <c r="TV48" i="15" s="1"/>
  <c r="FM48" i="15"/>
  <c r="FN48" i="15" s="1"/>
  <c r="RE48" i="15"/>
  <c r="RF48" i="15" s="1"/>
  <c r="JA48" i="15"/>
  <c r="JB48" i="15" s="1"/>
  <c r="AG48" i="15"/>
  <c r="AH48" i="15" s="1"/>
  <c r="DA48" i="15"/>
  <c r="DB48" i="15" s="1"/>
  <c r="GO48" i="15"/>
  <c r="GP48" i="15" s="1"/>
  <c r="IG48" i="15"/>
  <c r="IH48" i="15" s="1"/>
  <c r="SW48" i="15"/>
  <c r="SX48" i="15" s="1"/>
  <c r="IC48" i="15"/>
  <c r="ID48" i="15" s="1"/>
  <c r="UO48" i="15"/>
  <c r="UP48" i="15" s="1"/>
  <c r="CS47" i="15"/>
  <c r="CT47" i="15" s="1"/>
  <c r="MC48" i="15"/>
  <c r="MD48" i="15" s="1"/>
  <c r="DQ48" i="15"/>
  <c r="DR48" i="15" s="1"/>
  <c r="BQ48" i="15"/>
  <c r="BR48" i="15" s="1"/>
  <c r="HQ48" i="15"/>
  <c r="HR48" i="15" s="1"/>
  <c r="QW48" i="15"/>
  <c r="QX48" i="15" s="1"/>
  <c r="BI48" i="15"/>
  <c r="BJ48" i="15" s="1"/>
  <c r="LI48" i="15"/>
  <c r="LJ48" i="15" s="1"/>
  <c r="FY48" i="15"/>
  <c r="FZ48" i="15" s="1"/>
  <c r="QS48" i="15"/>
  <c r="QT48" i="15" s="1"/>
  <c r="CK48" i="15"/>
  <c r="CL48" i="15" s="1"/>
  <c r="FE48" i="15"/>
  <c r="FF48" i="15" s="1"/>
  <c r="KK48" i="15"/>
  <c r="KL48" i="15" s="1"/>
  <c r="LY48" i="15"/>
  <c r="LZ48" i="15" s="1"/>
  <c r="FI48" i="15"/>
  <c r="FJ48" i="15" s="1"/>
  <c r="U48" i="15"/>
  <c r="V48" i="15" s="1"/>
  <c r="KL47" i="15"/>
  <c r="V47" i="15"/>
  <c r="JM48" i="15"/>
  <c r="JN48" i="15" s="1"/>
  <c r="SK48" i="15"/>
  <c r="SL48" i="15" s="1"/>
  <c r="EK48" i="15"/>
  <c r="EL48" i="15" s="1"/>
  <c r="AO48" i="15"/>
  <c r="AP48" i="15" s="1"/>
  <c r="NA47" i="15"/>
  <c r="NB47" i="15" s="1"/>
  <c r="BU47" i="15"/>
  <c r="BV47" i="15" s="1"/>
  <c r="PY48" i="15"/>
  <c r="PZ48" i="15" s="1"/>
  <c r="JI47" i="15"/>
  <c r="JJ46" i="15"/>
  <c r="HX49" i="15"/>
  <c r="TL49" i="15"/>
  <c r="FP49" i="15"/>
  <c r="BL49" i="15"/>
  <c r="OJ49" i="15"/>
  <c r="LP49" i="15"/>
  <c r="ES47" i="15"/>
  <c r="ET46" i="15"/>
  <c r="BX49" i="15"/>
  <c r="M47" i="15"/>
  <c r="N46" i="15"/>
  <c r="QG47" i="15"/>
  <c r="QH46" i="15"/>
  <c r="HI47" i="15"/>
  <c r="HJ46" i="15"/>
  <c r="EV49" i="15"/>
  <c r="LL49" i="15"/>
  <c r="JU47" i="15"/>
  <c r="JV46" i="15"/>
  <c r="PH49" i="15"/>
  <c r="IS48" i="15"/>
  <c r="IT48" i="15" s="1"/>
  <c r="IT47" i="15"/>
  <c r="IF49" i="15"/>
  <c r="CN49" i="15"/>
  <c r="GK47" i="15"/>
  <c r="GL46" i="15"/>
  <c r="AR49" i="15"/>
  <c r="KN49" i="15"/>
  <c r="AB49" i="15"/>
  <c r="MR49" i="15"/>
  <c r="RP49" i="15"/>
  <c r="NP49" i="15"/>
  <c r="PL48" i="15"/>
  <c r="BD49" i="15"/>
  <c r="BP49" i="15"/>
  <c r="TI47" i="15"/>
  <c r="TJ46" i="15"/>
  <c r="DH49" i="15"/>
  <c r="GV49" i="15"/>
  <c r="PM47" i="15"/>
  <c r="SC47" i="15"/>
  <c r="SD46" i="15"/>
  <c r="RU47" i="15"/>
  <c r="RV46" i="15"/>
  <c r="MK47" i="15"/>
  <c r="ML46" i="15"/>
  <c r="GF49" i="15"/>
  <c r="EF49" i="15"/>
  <c r="I47" i="15"/>
  <c r="J47" i="15" s="1"/>
  <c r="SR49" i="15"/>
  <c r="MN49" i="15"/>
  <c r="DE47" i="15"/>
  <c r="DF46" i="15"/>
  <c r="BE48" i="15"/>
  <c r="MZ48" i="15"/>
  <c r="JP49" i="15"/>
  <c r="QK47" i="15"/>
  <c r="QL46" i="15"/>
  <c r="NE47" i="15"/>
  <c r="NF46" i="15"/>
  <c r="BY47" i="15"/>
  <c r="BZ46" i="15"/>
  <c r="HY48" i="15"/>
  <c r="FQ47" i="15"/>
  <c r="FR46" i="15"/>
  <c r="SF49" i="15"/>
  <c r="OW47" i="15"/>
  <c r="OX46" i="15"/>
  <c r="UG47" i="15"/>
  <c r="UH46" i="15"/>
  <c r="SG48" i="15"/>
  <c r="PD49" i="15"/>
  <c r="EZ49" i="15"/>
  <c r="DX49" i="15"/>
  <c r="UJ49" i="15"/>
  <c r="PP49" i="15"/>
  <c r="OO47" i="15"/>
  <c r="OP46" i="15"/>
  <c r="HL49" i="15"/>
  <c r="NB46" i="15"/>
  <c r="CG47" i="15"/>
  <c r="CH46" i="15"/>
  <c r="AS47" i="15"/>
  <c r="AT46" i="15"/>
  <c r="JX49" i="15"/>
  <c r="H48" i="15"/>
  <c r="JL49" i="15"/>
  <c r="HR47" i="15"/>
  <c r="FT49" i="15"/>
  <c r="NY47" i="15"/>
  <c r="NZ46" i="15"/>
  <c r="PZ47" i="15"/>
  <c r="KJ49" i="15"/>
  <c r="FU48" i="15"/>
  <c r="LJ47" i="15"/>
  <c r="KZ49" i="15"/>
  <c r="PU47" i="15"/>
  <c r="PV46" i="15"/>
  <c r="QJ49" i="15"/>
  <c r="AJ49" i="15"/>
  <c r="OV49" i="15"/>
  <c r="HD49" i="15"/>
  <c r="QN49" i="15"/>
  <c r="AH47" i="15"/>
  <c r="PX49" i="15"/>
  <c r="QF49" i="15"/>
  <c r="SN49" i="15"/>
  <c r="LE47" i="15"/>
  <c r="LF46" i="15"/>
  <c r="QR49" i="15"/>
  <c r="LH49" i="15"/>
  <c r="BT48" i="15"/>
  <c r="CF49" i="15"/>
  <c r="CJ49" i="15"/>
  <c r="MS47" i="15"/>
  <c r="MT46" i="15"/>
  <c r="HH49" i="15"/>
  <c r="AF49" i="15"/>
  <c r="NL49" i="15"/>
  <c r="NX49" i="15"/>
  <c r="RJ48" i="15"/>
  <c r="RH49" i="15"/>
  <c r="AV49" i="15"/>
  <c r="SB49" i="15"/>
  <c r="FA47" i="15"/>
  <c r="FB46" i="15"/>
  <c r="RT49" i="15"/>
  <c r="RY47" i="15"/>
  <c r="RZ46" i="15"/>
  <c r="Y47" i="15"/>
  <c r="Z46" i="15"/>
  <c r="D49" i="15"/>
  <c r="JT49" i="15"/>
  <c r="UB49" i="15"/>
  <c r="UC47" i="15"/>
  <c r="UD46" i="15"/>
  <c r="EC47" i="15"/>
  <c r="ED46" i="15"/>
  <c r="LT49" i="15"/>
  <c r="HT49" i="15"/>
  <c r="L49" i="15"/>
  <c r="SZ49" i="15"/>
  <c r="PT49" i="15"/>
  <c r="NM47" i="15"/>
  <c r="NN46" i="15"/>
  <c r="PE48" i="15"/>
  <c r="PF48" i="15" s="1"/>
  <c r="UF49" i="15"/>
  <c r="EJ49" i="15"/>
  <c r="TT49" i="15"/>
  <c r="IN49" i="15"/>
  <c r="AN49" i="15"/>
  <c r="IB49" i="15"/>
  <c r="GR49" i="15"/>
  <c r="LU47" i="15"/>
  <c r="LV46" i="15"/>
  <c r="FF47" i="15"/>
  <c r="AK48" i="15"/>
  <c r="AL48" i="15" s="1"/>
  <c r="NI47" i="15"/>
  <c r="NJ46" i="15"/>
  <c r="KB49" i="15"/>
  <c r="TD49" i="15"/>
  <c r="CW47" i="15"/>
  <c r="CX46" i="15"/>
  <c r="AP47" i="15"/>
  <c r="UK47" i="15"/>
  <c r="UL46" i="15"/>
  <c r="OS47" i="15"/>
  <c r="OT46" i="15"/>
  <c r="MJ49" i="15"/>
  <c r="RL49" i="15"/>
  <c r="X49" i="15"/>
  <c r="BM47" i="15"/>
  <c r="BN46" i="15"/>
  <c r="AC48" i="15"/>
  <c r="AD48" i="15" s="1"/>
  <c r="CB48" i="15"/>
  <c r="MB49" i="15"/>
  <c r="OF48" i="15"/>
  <c r="SS47" i="15"/>
  <c r="ST46" i="15"/>
  <c r="BH49" i="15"/>
  <c r="RX49" i="15"/>
  <c r="LD49" i="15"/>
  <c r="MV49" i="15"/>
  <c r="PQ47" i="15"/>
  <c r="PR46" i="15"/>
  <c r="LX49" i="15"/>
  <c r="OB49" i="15"/>
  <c r="IR49" i="15"/>
  <c r="IK47" i="15"/>
  <c r="IL46" i="15"/>
  <c r="KF49" i="15"/>
  <c r="JH49" i="15"/>
  <c r="FD49" i="15"/>
  <c r="OC47" i="15"/>
  <c r="OD46" i="15"/>
  <c r="DR47" i="15"/>
  <c r="KV49" i="15"/>
  <c r="EW47" i="15"/>
  <c r="EX46" i="15"/>
  <c r="JQ47" i="15"/>
  <c r="JR46" i="15"/>
  <c r="MW47" i="15"/>
  <c r="MX46" i="15"/>
  <c r="LZ47" i="15"/>
  <c r="OK48" i="15"/>
  <c r="OL48" i="15" s="1"/>
  <c r="RM47" i="15"/>
  <c r="RN46" i="15"/>
  <c r="IJ49" i="15"/>
  <c r="NT49" i="15"/>
  <c r="JD49" i="15"/>
  <c r="SO48" i="15"/>
  <c r="SP48" i="15" s="1"/>
  <c r="KO48" i="15"/>
  <c r="KP48" i="15" s="1"/>
  <c r="IW47" i="15"/>
  <c r="IX46" i="15"/>
  <c r="IZ49" i="15"/>
  <c r="NQ47" i="15"/>
  <c r="NR46" i="15"/>
  <c r="TQ47" i="15"/>
  <c r="TR46" i="15"/>
  <c r="MF49" i="15"/>
  <c r="RA47" i="15"/>
  <c r="RB46" i="15"/>
  <c r="DT49" i="15"/>
  <c r="GC47" i="15"/>
  <c r="GD46" i="15"/>
  <c r="GG47" i="15"/>
  <c r="GH46" i="15"/>
  <c r="CO48" i="15"/>
  <c r="GW48" i="15"/>
  <c r="GX48" i="15" s="1"/>
  <c r="LA47" i="15"/>
  <c r="LB46" i="15"/>
  <c r="DP49" i="15"/>
  <c r="TP49" i="15"/>
  <c r="HU47" i="15"/>
  <c r="HV46" i="15"/>
  <c r="JY48" i="15"/>
  <c r="JZ48" i="15" s="1"/>
  <c r="EB49" i="15"/>
  <c r="CV49" i="15"/>
  <c r="HA47" i="15"/>
  <c r="HB46" i="15"/>
  <c r="QV49" i="15"/>
  <c r="DI47" i="15"/>
  <c r="DJ46" i="15"/>
  <c r="QO48" i="15"/>
  <c r="DU47" i="15"/>
  <c r="DV46" i="15"/>
  <c r="ND49" i="15"/>
  <c r="CR48" i="15"/>
  <c r="HM48" i="15"/>
  <c r="UR49" i="15"/>
  <c r="TA47" i="15"/>
  <c r="TB46" i="15"/>
  <c r="KW47" i="15"/>
  <c r="KX46" i="15"/>
  <c r="PI48" i="15"/>
  <c r="KC47" i="15"/>
  <c r="KD46" i="15"/>
  <c r="QC47" i="15"/>
  <c r="QD46" i="15"/>
  <c r="RD49" i="15"/>
  <c r="TM47" i="15"/>
  <c r="TN46" i="15"/>
  <c r="EG48" i="15"/>
  <c r="TE47" i="15"/>
  <c r="TF46" i="15"/>
  <c r="UN49" i="15"/>
  <c r="OZ49" i="15"/>
  <c r="BJ47" i="15"/>
  <c r="FX49" i="15"/>
  <c r="QX47" i="15"/>
  <c r="LM48" i="15"/>
  <c r="LN48" i="15" s="1"/>
  <c r="MG48" i="15"/>
  <c r="MH48" i="15" s="1"/>
  <c r="EN49" i="15"/>
  <c r="EO49" i="15" s="1"/>
  <c r="EP48" i="15"/>
  <c r="NH49" i="15"/>
  <c r="RQ47" i="15"/>
  <c r="RR46" i="15"/>
  <c r="TX49" i="15"/>
  <c r="TY49" i="15" s="1"/>
  <c r="TZ48" i="15"/>
  <c r="HE48" i="15"/>
  <c r="GJ49" i="15"/>
  <c r="ER49" i="15"/>
  <c r="ON49" i="15"/>
  <c r="FJ47" i="15"/>
  <c r="Q47" i="15"/>
  <c r="R46" i="15"/>
  <c r="SL47" i="15"/>
  <c r="SV49" i="15"/>
  <c r="LQ48" i="15"/>
  <c r="CZ49" i="15"/>
  <c r="AZ49" i="15"/>
  <c r="OR49" i="15"/>
  <c r="TH49" i="15"/>
  <c r="FL49" i="15"/>
  <c r="P49" i="15"/>
  <c r="HP49" i="15"/>
  <c r="JE47" i="15"/>
  <c r="JF46" i="15"/>
  <c r="E48" i="15"/>
  <c r="F48" i="15" s="1"/>
  <c r="QZ49" i="15"/>
  <c r="T49" i="15"/>
  <c r="PA47" i="15"/>
  <c r="PB46" i="15"/>
  <c r="BA48" i="15"/>
  <c r="NU47" i="15"/>
  <c r="NV46" i="15"/>
  <c r="CC47" i="15"/>
  <c r="IO47" i="15"/>
  <c r="IP46" i="15"/>
  <c r="DL49" i="15"/>
  <c r="GN49" i="15"/>
  <c r="US47" i="15"/>
  <c r="UT46" i="15"/>
  <c r="QB49" i="15"/>
  <c r="DY47" i="15"/>
  <c r="DZ46" i="15"/>
  <c r="GB49" i="15"/>
  <c r="KR49" i="15"/>
  <c r="AW47" i="15"/>
  <c r="AX46" i="15"/>
  <c r="GS48" i="15"/>
  <c r="GT48" i="15" s="1"/>
  <c r="KG47" i="15"/>
  <c r="KH46" i="15"/>
  <c r="GZ49" i="15"/>
  <c r="MO48" i="15"/>
  <c r="FH49" i="15"/>
  <c r="DD49" i="15"/>
  <c r="IV49" i="15"/>
  <c r="SJ49" i="15"/>
  <c r="KS48" i="15"/>
  <c r="KT48" i="15" s="1"/>
  <c r="F51" i="8"/>
  <c r="G51" i="8" s="1"/>
  <c r="F51" i="9"/>
  <c r="G51" i="9" s="1"/>
  <c r="E52" i="11"/>
  <c r="F51" i="11"/>
  <c r="G51" i="10"/>
  <c r="G50" i="10"/>
  <c r="E52" i="9"/>
  <c r="G50" i="9"/>
  <c r="E52" i="8"/>
  <c r="G50" i="8"/>
  <c r="E53" i="2"/>
  <c r="F52" i="2"/>
  <c r="GO49" i="15" l="1"/>
  <c r="DM49" i="15"/>
  <c r="DN49" i="15" s="1"/>
  <c r="IG49" i="15"/>
  <c r="IH49" i="15" s="1"/>
  <c r="JA49" i="15"/>
  <c r="JB49" i="15" s="1"/>
  <c r="AG49" i="15"/>
  <c r="AH49" i="15" s="1"/>
  <c r="TU49" i="15"/>
  <c r="TV49" i="15" s="1"/>
  <c r="DA49" i="15"/>
  <c r="DB49" i="15" s="1"/>
  <c r="SW49" i="15"/>
  <c r="SX49" i="15" s="1"/>
  <c r="BQ49" i="15"/>
  <c r="BR49" i="15" s="1"/>
  <c r="HQ49" i="15"/>
  <c r="HR49" i="15" s="1"/>
  <c r="CS48" i="15"/>
  <c r="CT48" i="15" s="1"/>
  <c r="DQ49" i="15"/>
  <c r="DR49" i="15" s="1"/>
  <c r="UO49" i="15"/>
  <c r="UP49" i="15" s="1"/>
  <c r="FI49" i="15"/>
  <c r="FJ49" i="15" s="1"/>
  <c r="FY49" i="15"/>
  <c r="FZ49" i="15" s="1"/>
  <c r="SG49" i="15"/>
  <c r="SH49" i="15" s="1"/>
  <c r="FE49" i="15"/>
  <c r="FF49" i="15" s="1"/>
  <c r="BU48" i="15"/>
  <c r="BV48" i="15" s="1"/>
  <c r="EK49" i="15"/>
  <c r="EL49" i="15" s="1"/>
  <c r="HM49" i="15"/>
  <c r="HN49" i="15" s="1"/>
  <c r="PI49" i="15"/>
  <c r="PJ49" i="15" s="1"/>
  <c r="NA48" i="15"/>
  <c r="NB48" i="15" s="1"/>
  <c r="CO49" i="15"/>
  <c r="CP49" i="15" s="1"/>
  <c r="SK49" i="15"/>
  <c r="SL49" i="15" s="1"/>
  <c r="JM49" i="15"/>
  <c r="JN49" i="15" s="1"/>
  <c r="FU49" i="15"/>
  <c r="FV49" i="15" s="1"/>
  <c r="BA49" i="15"/>
  <c r="BB49" i="15" s="1"/>
  <c r="EG49" i="15"/>
  <c r="EH49" i="15" s="1"/>
  <c r="CC48" i="15"/>
  <c r="CD48" i="15" s="1"/>
  <c r="HY49" i="15"/>
  <c r="HZ49" i="15" s="1"/>
  <c r="QO49" i="15"/>
  <c r="QP49" i="15" s="1"/>
  <c r="PM48" i="15"/>
  <c r="PN48" i="15" s="1"/>
  <c r="MO49" i="15"/>
  <c r="MP49" i="15" s="1"/>
  <c r="HE49" i="15"/>
  <c r="HF49" i="15" s="1"/>
  <c r="AK49" i="15"/>
  <c r="AL49" i="15" s="1"/>
  <c r="LQ49" i="15"/>
  <c r="LR49" i="15" s="1"/>
  <c r="BE49" i="15"/>
  <c r="BF49" i="15" s="1"/>
  <c r="CV50" i="15"/>
  <c r="QK48" i="15"/>
  <c r="QL47" i="15"/>
  <c r="MV50" i="15"/>
  <c r="OZ50" i="15"/>
  <c r="PT50" i="15"/>
  <c r="IJ50" i="15"/>
  <c r="MJ50" i="15"/>
  <c r="GR50" i="15"/>
  <c r="D50" i="15"/>
  <c r="NX50" i="15"/>
  <c r="BL50" i="15"/>
  <c r="KW48" i="15"/>
  <c r="KX47" i="15"/>
  <c r="TA48" i="15"/>
  <c r="TB47" i="15"/>
  <c r="GS49" i="15"/>
  <c r="SZ50" i="15"/>
  <c r="Y48" i="15"/>
  <c r="Z47" i="15"/>
  <c r="LE48" i="15"/>
  <c r="LF47" i="15"/>
  <c r="AS48" i="15"/>
  <c r="AT47" i="15"/>
  <c r="UG48" i="15"/>
  <c r="UH47" i="15"/>
  <c r="KN50" i="15"/>
  <c r="FP50" i="15"/>
  <c r="RP50" i="15"/>
  <c r="P50" i="15"/>
  <c r="LL50" i="15"/>
  <c r="HU48" i="15"/>
  <c r="HV47" i="15"/>
  <c r="MF50" i="15"/>
  <c r="KF50" i="15"/>
  <c r="OS48" i="15"/>
  <c r="OT47" i="15"/>
  <c r="IB50" i="15"/>
  <c r="AF50" i="15"/>
  <c r="SN50" i="15"/>
  <c r="KZ50" i="15"/>
  <c r="EV50" i="15"/>
  <c r="HP50" i="15"/>
  <c r="X50" i="15"/>
  <c r="MR50" i="15"/>
  <c r="IO48" i="15"/>
  <c r="IP47" i="15"/>
  <c r="ER50" i="15"/>
  <c r="RM48" i="15"/>
  <c r="RN47" i="15"/>
  <c r="BH50" i="15"/>
  <c r="L50" i="15"/>
  <c r="RY48" i="15"/>
  <c r="RZ47" i="15"/>
  <c r="CG48" i="15"/>
  <c r="CH47" i="15"/>
  <c r="OW48" i="15"/>
  <c r="OX47" i="15"/>
  <c r="DE48" i="15"/>
  <c r="DF47" i="15"/>
  <c r="DH50" i="15"/>
  <c r="TL50" i="15"/>
  <c r="RH50" i="15"/>
  <c r="H49" i="15"/>
  <c r="GZ50" i="15"/>
  <c r="LU48" i="15"/>
  <c r="LV47" i="15"/>
  <c r="GV50" i="15"/>
  <c r="KR50" i="15"/>
  <c r="IK48" i="15"/>
  <c r="IL47" i="15"/>
  <c r="UK48" i="15"/>
  <c r="UL47" i="15"/>
  <c r="AN50" i="15"/>
  <c r="HH50" i="15"/>
  <c r="MP48" i="15"/>
  <c r="AR50" i="15"/>
  <c r="JD50" i="15"/>
  <c r="RL50" i="15"/>
  <c r="JU48" i="15"/>
  <c r="JV47" i="15"/>
  <c r="FL50" i="15"/>
  <c r="CR49" i="15"/>
  <c r="DP50" i="15"/>
  <c r="SS48" i="15"/>
  <c r="ST47" i="15"/>
  <c r="RT50" i="15"/>
  <c r="QF50" i="15"/>
  <c r="HL50" i="15"/>
  <c r="SF50" i="15"/>
  <c r="MN50" i="15"/>
  <c r="TI48" i="15"/>
  <c r="TJ47" i="15"/>
  <c r="HI48" i="15"/>
  <c r="HJ47" i="15"/>
  <c r="HX50" i="15"/>
  <c r="OJ50" i="15"/>
  <c r="ON50" i="15"/>
  <c r="AB50" i="15"/>
  <c r="OF49" i="15"/>
  <c r="HT50" i="15"/>
  <c r="KJ50" i="15"/>
  <c r="HN48" i="15"/>
  <c r="SH48" i="15"/>
  <c r="GK48" i="15"/>
  <c r="GL47" i="15"/>
  <c r="HZ48" i="15"/>
  <c r="OC48" i="15"/>
  <c r="OD47" i="15"/>
  <c r="LH50" i="15"/>
  <c r="QJ50" i="15"/>
  <c r="QR50" i="15"/>
  <c r="RA48" i="15"/>
  <c r="RB47" i="15"/>
  <c r="PU48" i="15"/>
  <c r="PV47" i="15"/>
  <c r="UN50" i="15"/>
  <c r="TH50" i="15"/>
  <c r="ND50" i="15"/>
  <c r="IR50" i="15"/>
  <c r="KS49" i="15"/>
  <c r="GB50" i="15"/>
  <c r="AZ50" i="15"/>
  <c r="RQ48" i="15"/>
  <c r="RR47" i="15"/>
  <c r="RD50" i="15"/>
  <c r="DU48" i="15"/>
  <c r="DV47" i="15"/>
  <c r="MW48" i="15"/>
  <c r="MX47" i="15"/>
  <c r="OB50" i="15"/>
  <c r="CW48" i="15"/>
  <c r="CX47" i="15"/>
  <c r="IN50" i="15"/>
  <c r="FA48" i="15"/>
  <c r="FB47" i="15"/>
  <c r="PX50" i="15"/>
  <c r="SR50" i="15"/>
  <c r="BP50" i="15"/>
  <c r="CP48" i="15"/>
  <c r="QG48" i="15"/>
  <c r="QH47" i="15"/>
  <c r="AW48" i="15"/>
  <c r="AX47" i="15"/>
  <c r="TE48" i="15"/>
  <c r="TF47" i="15"/>
  <c r="T50" i="15"/>
  <c r="LA48" i="15"/>
  <c r="LB47" i="15"/>
  <c r="NQ48" i="15"/>
  <c r="NR47" i="15"/>
  <c r="TD50" i="15"/>
  <c r="LT50" i="15"/>
  <c r="SB50" i="15"/>
  <c r="MS48" i="15"/>
  <c r="MT47" i="15"/>
  <c r="OO48" i="15"/>
  <c r="OP47" i="15"/>
  <c r="FQ48" i="15"/>
  <c r="FR47" i="15"/>
  <c r="I48" i="15"/>
  <c r="BD50" i="15"/>
  <c r="CN50" i="15"/>
  <c r="JI48" i="15"/>
  <c r="JJ47" i="15"/>
  <c r="UR50" i="15"/>
  <c r="RX50" i="15"/>
  <c r="TQ48" i="15"/>
  <c r="TR47" i="15"/>
  <c r="JQ48" i="15"/>
  <c r="JR47" i="15"/>
  <c r="MB50" i="15"/>
  <c r="TT50" i="15"/>
  <c r="QN50" i="15"/>
  <c r="PP50" i="15"/>
  <c r="EF50" i="15"/>
  <c r="BF48" i="15"/>
  <c r="M48" i="15"/>
  <c r="N47" i="15"/>
  <c r="OG48" i="15"/>
  <c r="OH48" i="15" s="1"/>
  <c r="RU48" i="15"/>
  <c r="RV47" i="15"/>
  <c r="EB50" i="15"/>
  <c r="NL50" i="15"/>
  <c r="OK49" i="15"/>
  <c r="GW49" i="15"/>
  <c r="IZ50" i="15"/>
  <c r="LX50" i="15"/>
  <c r="CD47" i="15"/>
  <c r="EJ50" i="15"/>
  <c r="QS49" i="15"/>
  <c r="QT49" i="15" s="1"/>
  <c r="CJ50" i="15"/>
  <c r="QP48" i="15"/>
  <c r="NY48" i="15"/>
  <c r="NZ47" i="15"/>
  <c r="EH48" i="15"/>
  <c r="KK49" i="15"/>
  <c r="KL49" i="15" s="1"/>
  <c r="IF50" i="15"/>
  <c r="BX50" i="15"/>
  <c r="JT50" i="15"/>
  <c r="PD50" i="15"/>
  <c r="GJ50" i="15"/>
  <c r="NU48" i="15"/>
  <c r="NV47" i="15"/>
  <c r="NH50" i="15"/>
  <c r="DY48" i="15"/>
  <c r="DZ47" i="15"/>
  <c r="QZ50" i="15"/>
  <c r="DI48" i="15"/>
  <c r="DJ47" i="15"/>
  <c r="E49" i="15"/>
  <c r="SV50" i="15"/>
  <c r="EN50" i="15"/>
  <c r="EP49" i="15"/>
  <c r="QC48" i="15"/>
  <c r="QD47" i="15"/>
  <c r="EW48" i="15"/>
  <c r="EX47" i="15"/>
  <c r="CB49" i="15"/>
  <c r="KB50" i="15"/>
  <c r="EC48" i="15"/>
  <c r="ED47" i="15"/>
  <c r="BI49" i="15"/>
  <c r="BJ49" i="15" s="1"/>
  <c r="HF48" i="15"/>
  <c r="FT50" i="15"/>
  <c r="UJ50" i="15"/>
  <c r="BY48" i="15"/>
  <c r="BZ47" i="15"/>
  <c r="PN47" i="15"/>
  <c r="DL50" i="15"/>
  <c r="NT50" i="15"/>
  <c r="MZ49" i="15"/>
  <c r="PA48" i="15"/>
  <c r="PB47" i="15"/>
  <c r="SJ50" i="15"/>
  <c r="CZ50" i="15"/>
  <c r="QB50" i="15"/>
  <c r="MG49" i="15"/>
  <c r="QV50" i="15"/>
  <c r="IW48" i="15"/>
  <c r="IX47" i="15"/>
  <c r="KV50" i="15"/>
  <c r="LY49" i="15"/>
  <c r="AC49" i="15"/>
  <c r="AD49" i="15" s="1"/>
  <c r="QW49" i="15"/>
  <c r="QX49" i="15" s="1"/>
  <c r="CF50" i="15"/>
  <c r="HD50" i="15"/>
  <c r="FV48" i="15"/>
  <c r="GF50" i="15"/>
  <c r="PL49" i="15"/>
  <c r="IS49" i="15"/>
  <c r="FM49" i="15"/>
  <c r="JP50" i="15"/>
  <c r="LD50" i="15"/>
  <c r="JY49" i="15"/>
  <c r="KG48" i="15"/>
  <c r="KH47" i="15"/>
  <c r="TP50" i="15"/>
  <c r="OR50" i="15"/>
  <c r="BB48" i="15"/>
  <c r="LM49" i="15"/>
  <c r="GG48" i="15"/>
  <c r="GH47" i="15"/>
  <c r="KO49" i="15"/>
  <c r="UF50" i="15"/>
  <c r="UC48" i="15"/>
  <c r="UD47" i="15"/>
  <c r="PY49" i="15"/>
  <c r="PJ48" i="15"/>
  <c r="ES48" i="15"/>
  <c r="ET47" i="15"/>
  <c r="CK49" i="15"/>
  <c r="CL49" i="15" s="1"/>
  <c r="NM48" i="15"/>
  <c r="NN47" i="15"/>
  <c r="JX50" i="15"/>
  <c r="AO49" i="15"/>
  <c r="LI49" i="15"/>
  <c r="GP49" i="15"/>
  <c r="GN50" i="15"/>
  <c r="HA48" i="15"/>
  <c r="HB47" i="15"/>
  <c r="NI48" i="15"/>
  <c r="NJ47" i="15"/>
  <c r="RI49" i="15"/>
  <c r="BT49" i="15"/>
  <c r="OV50" i="15"/>
  <c r="DX50" i="15"/>
  <c r="NE48" i="15"/>
  <c r="NF47" i="15"/>
  <c r="MK48" i="15"/>
  <c r="ML47" i="15"/>
  <c r="NP50" i="15"/>
  <c r="PH50" i="15"/>
  <c r="LP50" i="15"/>
  <c r="MC49" i="15"/>
  <c r="FD50" i="15"/>
  <c r="DT50" i="15"/>
  <c r="SC48" i="15"/>
  <c r="SD47" i="15"/>
  <c r="JH50" i="15"/>
  <c r="TX50" i="15"/>
  <c r="TZ49" i="15"/>
  <c r="TM48" i="15"/>
  <c r="TN47" i="15"/>
  <c r="IV50" i="15"/>
  <c r="DD50" i="15"/>
  <c r="US48" i="15"/>
  <c r="UT47" i="15"/>
  <c r="KC48" i="15"/>
  <c r="KD47" i="15"/>
  <c r="SO49" i="15"/>
  <c r="PQ48" i="15"/>
  <c r="PR47" i="15"/>
  <c r="BM48" i="15"/>
  <c r="BN47" i="15"/>
  <c r="UB50" i="15"/>
  <c r="FH50" i="15"/>
  <c r="JE48" i="15"/>
  <c r="JF47" i="15"/>
  <c r="Q48" i="15"/>
  <c r="R47" i="15"/>
  <c r="FX50" i="15"/>
  <c r="GC48" i="15"/>
  <c r="GD47" i="15"/>
  <c r="IC49" i="15"/>
  <c r="PE49" i="15"/>
  <c r="AV50" i="15"/>
  <c r="AJ50" i="15"/>
  <c r="JL50" i="15"/>
  <c r="EZ50" i="15"/>
  <c r="U49" i="15"/>
  <c r="V49" i="15" s="1"/>
  <c r="LR48" i="15"/>
  <c r="RE49" i="15"/>
  <c r="RF49" i="15" s="1"/>
  <c r="F52" i="11"/>
  <c r="G52" i="11" s="1"/>
  <c r="F53" i="2"/>
  <c r="G53" i="2" s="1"/>
  <c r="G51" i="11"/>
  <c r="E53" i="11"/>
  <c r="E53" i="9"/>
  <c r="F52" i="9"/>
  <c r="E53" i="8"/>
  <c r="F52" i="8"/>
  <c r="G52" i="2"/>
  <c r="E54" i="2"/>
  <c r="DM50" i="15" l="1"/>
  <c r="CS49" i="15"/>
  <c r="IG50" i="15"/>
  <c r="IH50" i="15" s="1"/>
  <c r="DQ50" i="15"/>
  <c r="DR50" i="15" s="1"/>
  <c r="PI50" i="15"/>
  <c r="PJ50" i="15" s="1"/>
  <c r="BQ50" i="15"/>
  <c r="BR50" i="15" s="1"/>
  <c r="FY50" i="15"/>
  <c r="FZ50" i="15" s="1"/>
  <c r="AG50" i="15"/>
  <c r="AH50" i="15" s="1"/>
  <c r="JA50" i="15"/>
  <c r="JB50" i="15" s="1"/>
  <c r="HM50" i="15"/>
  <c r="HN50" i="15" s="1"/>
  <c r="FI50" i="15"/>
  <c r="FJ50" i="15" s="1"/>
  <c r="FU50" i="15"/>
  <c r="FV50" i="15" s="1"/>
  <c r="JM50" i="15"/>
  <c r="JN50" i="15" s="1"/>
  <c r="CO50" i="15"/>
  <c r="CP50" i="15" s="1"/>
  <c r="SO50" i="15"/>
  <c r="SP50" i="15" s="1"/>
  <c r="EG50" i="15"/>
  <c r="EH50" i="15" s="1"/>
  <c r="CC49" i="15"/>
  <c r="CD49" i="15" s="1"/>
  <c r="AK50" i="15"/>
  <c r="AL50" i="15" s="1"/>
  <c r="MO50" i="15"/>
  <c r="MP50" i="15" s="1"/>
  <c r="FM50" i="15"/>
  <c r="FN50" i="15" s="1"/>
  <c r="LQ50" i="15"/>
  <c r="LR50" i="15" s="1"/>
  <c r="RI50" i="15"/>
  <c r="RJ50" i="15" s="1"/>
  <c r="HE50" i="15"/>
  <c r="HF50" i="15" s="1"/>
  <c r="BA50" i="15"/>
  <c r="BB50" i="15" s="1"/>
  <c r="KS50" i="15"/>
  <c r="KT50" i="15" s="1"/>
  <c r="MG50" i="15"/>
  <c r="MH50" i="15" s="1"/>
  <c r="OK50" i="15"/>
  <c r="OL50" i="15" s="1"/>
  <c r="KO50" i="15"/>
  <c r="KP50" i="15" s="1"/>
  <c r="JY50" i="15"/>
  <c r="JZ50" i="15" s="1"/>
  <c r="GS50" i="15"/>
  <c r="GT50" i="15" s="1"/>
  <c r="IS50" i="15"/>
  <c r="IT50" i="15" s="1"/>
  <c r="PY50" i="15"/>
  <c r="PZ50" i="15" s="1"/>
  <c r="KP49" i="15"/>
  <c r="LI50" i="15"/>
  <c r="LJ50" i="15" s="1"/>
  <c r="LY50" i="15"/>
  <c r="LZ50" i="15" s="1"/>
  <c r="AO50" i="15"/>
  <c r="AP50" i="15" s="1"/>
  <c r="E50" i="15"/>
  <c r="F50" i="15" s="1"/>
  <c r="I49" i="15"/>
  <c r="J49" i="15" s="1"/>
  <c r="PE50" i="15"/>
  <c r="PF50" i="15" s="1"/>
  <c r="MC50" i="15"/>
  <c r="MD50" i="15" s="1"/>
  <c r="IC50" i="15"/>
  <c r="ID50" i="15" s="1"/>
  <c r="IJ51" i="15"/>
  <c r="BD51" i="15"/>
  <c r="T51" i="15"/>
  <c r="OB51" i="15"/>
  <c r="TH51" i="15"/>
  <c r="EV51" i="15"/>
  <c r="P51" i="15"/>
  <c r="BT50" i="15"/>
  <c r="EN51" i="15"/>
  <c r="KJ51" i="15"/>
  <c r="RL51" i="15"/>
  <c r="LU49" i="15"/>
  <c r="LV48" i="15"/>
  <c r="RY49" i="15"/>
  <c r="RZ48" i="15"/>
  <c r="PT51" i="15"/>
  <c r="ES49" i="15"/>
  <c r="ET48" i="15"/>
  <c r="TT51" i="15"/>
  <c r="TE49" i="15"/>
  <c r="TF48" i="15"/>
  <c r="UN51" i="15"/>
  <c r="SF51" i="15"/>
  <c r="L51" i="15"/>
  <c r="KZ51" i="15"/>
  <c r="TA49" i="15"/>
  <c r="TB48" i="15"/>
  <c r="OZ51" i="15"/>
  <c r="DT51" i="15"/>
  <c r="MD49" i="15"/>
  <c r="FQ49" i="15"/>
  <c r="FR48" i="15"/>
  <c r="MW49" i="15"/>
  <c r="MX48" i="15"/>
  <c r="HT51" i="15"/>
  <c r="JD51" i="15"/>
  <c r="GZ51" i="15"/>
  <c r="RP51" i="15"/>
  <c r="JU49" i="15"/>
  <c r="JV48" i="15"/>
  <c r="LD51" i="15"/>
  <c r="MB51" i="15"/>
  <c r="PU49" i="15"/>
  <c r="PV48" i="15"/>
  <c r="GN51" i="15"/>
  <c r="PL50" i="15"/>
  <c r="RA49" i="15"/>
  <c r="RB48" i="15"/>
  <c r="QK49" i="15"/>
  <c r="QL48" i="15"/>
  <c r="AV51" i="15"/>
  <c r="QC49" i="15"/>
  <c r="QD48" i="15"/>
  <c r="IW49" i="15"/>
  <c r="IX48" i="15"/>
  <c r="BY49" i="15"/>
  <c r="BZ48" i="15"/>
  <c r="US49" i="15"/>
  <c r="UT48" i="15"/>
  <c r="DD51" i="15"/>
  <c r="CZ51" i="15"/>
  <c r="BI50" i="15"/>
  <c r="BJ50" i="15" s="1"/>
  <c r="QZ51" i="15"/>
  <c r="NY49" i="15"/>
  <c r="NZ48" i="15"/>
  <c r="QR51" i="15"/>
  <c r="AB51" i="15"/>
  <c r="HH51" i="15"/>
  <c r="EO50" i="15"/>
  <c r="ID49" i="15"/>
  <c r="BE50" i="15"/>
  <c r="PM49" i="15"/>
  <c r="PN49" i="15" s="1"/>
  <c r="LL51" i="15"/>
  <c r="SV51" i="15"/>
  <c r="SN51" i="15"/>
  <c r="RD51" i="15"/>
  <c r="RH51" i="15"/>
  <c r="RE50" i="15"/>
  <c r="NP51" i="15"/>
  <c r="GG49" i="15"/>
  <c r="GH48" i="15"/>
  <c r="GF51" i="15"/>
  <c r="RU49" i="15"/>
  <c r="RV48" i="15"/>
  <c r="TQ49" i="15"/>
  <c r="TR48" i="15"/>
  <c r="SB51" i="15"/>
  <c r="BP51" i="15"/>
  <c r="RQ49" i="15"/>
  <c r="RR48" i="15"/>
  <c r="QJ51" i="15"/>
  <c r="RT51" i="15"/>
  <c r="TL51" i="15"/>
  <c r="IB51" i="15"/>
  <c r="SG50" i="15"/>
  <c r="CV51" i="15"/>
  <c r="KC49" i="15"/>
  <c r="KD48" i="15"/>
  <c r="J48" i="15"/>
  <c r="KK50" i="15"/>
  <c r="KL50" i="15" s="1"/>
  <c r="BH51" i="15"/>
  <c r="FT51" i="15"/>
  <c r="AF51" i="15"/>
  <c r="PH51" i="15"/>
  <c r="TM49" i="15"/>
  <c r="TN48" i="15"/>
  <c r="GV51" i="15"/>
  <c r="FD51" i="15"/>
  <c r="HA49" i="15"/>
  <c r="HB48" i="15"/>
  <c r="RM49" i="15"/>
  <c r="RN48" i="15"/>
  <c r="SJ51" i="15"/>
  <c r="SR51" i="15"/>
  <c r="HD51" i="15"/>
  <c r="NH51" i="15"/>
  <c r="CJ51" i="15"/>
  <c r="RX51" i="15"/>
  <c r="LJ49" i="15"/>
  <c r="OL49" i="15"/>
  <c r="SS49" i="15"/>
  <c r="ST48" i="15"/>
  <c r="AN51" i="15"/>
  <c r="DH51" i="15"/>
  <c r="ER51" i="15"/>
  <c r="OS49" i="15"/>
  <c r="OT48" i="15"/>
  <c r="NX51" i="15"/>
  <c r="SW50" i="15"/>
  <c r="FP51" i="15"/>
  <c r="AR51" i="15"/>
  <c r="QB51" i="15"/>
  <c r="QG49" i="15"/>
  <c r="QH48" i="15"/>
  <c r="IV51" i="15"/>
  <c r="BU49" i="15"/>
  <c r="DY49" i="15"/>
  <c r="DZ48" i="15"/>
  <c r="DA50" i="15"/>
  <c r="TX51" i="15"/>
  <c r="PA49" i="15"/>
  <c r="PB48" i="15"/>
  <c r="KB51" i="15"/>
  <c r="QS50" i="15"/>
  <c r="M49" i="15"/>
  <c r="N48" i="15"/>
  <c r="PZ49" i="15"/>
  <c r="LH51" i="15"/>
  <c r="OJ51" i="15"/>
  <c r="KF51" i="15"/>
  <c r="AS49" i="15"/>
  <c r="AT48" i="15"/>
  <c r="F49" i="15"/>
  <c r="FE50" i="15"/>
  <c r="CW49" i="15"/>
  <c r="CX48" i="15"/>
  <c r="GC49" i="15"/>
  <c r="GD48" i="15"/>
  <c r="AW49" i="15"/>
  <c r="AX48" i="15"/>
  <c r="MV51" i="15"/>
  <c r="EB51" i="15"/>
  <c r="RJ49" i="15"/>
  <c r="LM50" i="15"/>
  <c r="LT51" i="15"/>
  <c r="MK49" i="15"/>
  <c r="ML48" i="15"/>
  <c r="EZ51" i="15"/>
  <c r="NE49" i="15"/>
  <c r="NF48" i="15"/>
  <c r="JX51" i="15"/>
  <c r="OR51" i="15"/>
  <c r="TD51" i="15"/>
  <c r="PX51" i="15"/>
  <c r="GB51" i="15"/>
  <c r="HX51" i="15"/>
  <c r="DP51" i="15"/>
  <c r="UK49" i="15"/>
  <c r="UL48" i="15"/>
  <c r="IO49" i="15"/>
  <c r="IP48" i="15"/>
  <c r="D51" i="15"/>
  <c r="MN51" i="15"/>
  <c r="QV51" i="15"/>
  <c r="IF51" i="15"/>
  <c r="OF50" i="15"/>
  <c r="DU49" i="15"/>
  <c r="DV48" i="15"/>
  <c r="AZ51" i="15"/>
  <c r="JH51" i="15"/>
  <c r="NU49" i="15"/>
  <c r="NV48" i="15"/>
  <c r="UR51" i="15"/>
  <c r="OC49" i="15"/>
  <c r="OD48" i="15"/>
  <c r="CR50" i="15"/>
  <c r="CS50" i="15" s="1"/>
  <c r="CT49" i="15"/>
  <c r="DE49" i="15"/>
  <c r="DF48" i="15"/>
  <c r="MR51" i="15"/>
  <c r="MH49" i="15"/>
  <c r="LE49" i="15"/>
  <c r="LF48" i="15"/>
  <c r="GT49" i="15"/>
  <c r="HP51" i="15"/>
  <c r="GW50" i="15"/>
  <c r="GX50" i="15" s="1"/>
  <c r="UJ51" i="15"/>
  <c r="HL51" i="15"/>
  <c r="LP51" i="15"/>
  <c r="DI49" i="15"/>
  <c r="DJ48" i="15"/>
  <c r="BL51" i="15"/>
  <c r="OG49" i="15"/>
  <c r="UG49" i="15"/>
  <c r="UH48" i="15"/>
  <c r="JZ49" i="15"/>
  <c r="EJ51" i="15"/>
  <c r="DX51" i="15"/>
  <c r="QW50" i="15"/>
  <c r="MZ50" i="15"/>
  <c r="GJ51" i="15"/>
  <c r="EK50" i="15"/>
  <c r="NQ49" i="15"/>
  <c r="NR48" i="15"/>
  <c r="FA49" i="15"/>
  <c r="FB48" i="15"/>
  <c r="IR51" i="15"/>
  <c r="IK49" i="15"/>
  <c r="IL48" i="15"/>
  <c r="MF51" i="15"/>
  <c r="GR51" i="15"/>
  <c r="NA49" i="15"/>
  <c r="NB49" i="15" s="1"/>
  <c r="JT51" i="15"/>
  <c r="UC49" i="15"/>
  <c r="UD48" i="15"/>
  <c r="NL51" i="15"/>
  <c r="H50" i="15"/>
  <c r="MS49" i="15"/>
  <c r="MT48" i="15"/>
  <c r="KN51" i="15"/>
  <c r="TU50" i="15"/>
  <c r="AP49" i="15"/>
  <c r="FH51" i="15"/>
  <c r="UB51" i="15"/>
  <c r="TP51" i="15"/>
  <c r="OV51" i="15"/>
  <c r="UO50" i="15"/>
  <c r="AC50" i="15"/>
  <c r="EW49" i="15"/>
  <c r="EX48" i="15"/>
  <c r="HY50" i="15"/>
  <c r="JI49" i="15"/>
  <c r="JJ48" i="15"/>
  <c r="IT49" i="15"/>
  <c r="HI49" i="15"/>
  <c r="HJ48" i="15"/>
  <c r="FN49" i="15"/>
  <c r="KT49" i="15"/>
  <c r="OW49" i="15"/>
  <c r="OX48" i="15"/>
  <c r="Y49" i="15"/>
  <c r="Z48" i="15"/>
  <c r="TY50" i="15"/>
  <c r="TZ50" i="15" s="1"/>
  <c r="QN51" i="15"/>
  <c r="NI49" i="15"/>
  <c r="NJ48" i="15"/>
  <c r="JP51" i="15"/>
  <c r="SP49" i="15"/>
  <c r="UF51" i="15"/>
  <c r="OO49" i="15"/>
  <c r="OP48" i="15"/>
  <c r="FX51" i="15"/>
  <c r="JQ49" i="15"/>
  <c r="JR48" i="15"/>
  <c r="U50" i="15"/>
  <c r="V50" i="15" s="1"/>
  <c r="CB50" i="15"/>
  <c r="EF51" i="15"/>
  <c r="NM49" i="15"/>
  <c r="NN48" i="15"/>
  <c r="CK50" i="15"/>
  <c r="NT51" i="15"/>
  <c r="PF49" i="15"/>
  <c r="LX51" i="15"/>
  <c r="PP51" i="15"/>
  <c r="CN51" i="15"/>
  <c r="LA49" i="15"/>
  <c r="LB48" i="15"/>
  <c r="IN51" i="15"/>
  <c r="GK49" i="15"/>
  <c r="GL48" i="15"/>
  <c r="FL51" i="15"/>
  <c r="KR51" i="15"/>
  <c r="X51" i="15"/>
  <c r="HU49" i="15"/>
  <c r="HV48" i="15"/>
  <c r="MJ51" i="15"/>
  <c r="HQ50" i="15"/>
  <c r="HR50" i="15" s="1"/>
  <c r="KV51" i="15"/>
  <c r="IZ51" i="15"/>
  <c r="BX51" i="15"/>
  <c r="KW49" i="15"/>
  <c r="KX48" i="15"/>
  <c r="QF51" i="15"/>
  <c r="Q49" i="15"/>
  <c r="R48" i="15"/>
  <c r="JE49" i="15"/>
  <c r="JF48" i="15"/>
  <c r="EC49" i="15"/>
  <c r="ED48" i="15"/>
  <c r="ON51" i="15"/>
  <c r="JL51" i="15"/>
  <c r="CF51" i="15"/>
  <c r="SK50" i="15"/>
  <c r="SL50" i="15" s="1"/>
  <c r="BM49" i="15"/>
  <c r="BN48" i="15"/>
  <c r="AJ51" i="15"/>
  <c r="SC49" i="15"/>
  <c r="SD48" i="15"/>
  <c r="PQ49" i="15"/>
  <c r="PR48" i="15"/>
  <c r="KG49" i="15"/>
  <c r="KH48" i="15"/>
  <c r="DN50" i="15"/>
  <c r="DL51" i="15"/>
  <c r="PD51" i="15"/>
  <c r="LZ49" i="15"/>
  <c r="QO50" i="15"/>
  <c r="QP50" i="15" s="1"/>
  <c r="ND51" i="15"/>
  <c r="TI49" i="15"/>
  <c r="TJ48" i="15"/>
  <c r="GX49" i="15"/>
  <c r="CG49" i="15"/>
  <c r="CH48" i="15"/>
  <c r="LN49" i="15"/>
  <c r="SZ51" i="15"/>
  <c r="GO50" i="15"/>
  <c r="F53" i="8"/>
  <c r="G53" i="8" s="1"/>
  <c r="F53" i="9"/>
  <c r="G53" i="9" s="1"/>
  <c r="E54" i="11"/>
  <c r="F53" i="11"/>
  <c r="G52" i="10"/>
  <c r="G53" i="10"/>
  <c r="G52" i="9"/>
  <c r="E54" i="9"/>
  <c r="G52" i="8"/>
  <c r="E54" i="8"/>
  <c r="E55" i="2"/>
  <c r="F54" i="2"/>
  <c r="DQ51" i="15" l="1"/>
  <c r="PI51" i="15"/>
  <c r="BQ51" i="15"/>
  <c r="FU51" i="15"/>
  <c r="AO51" i="15"/>
  <c r="JA51" i="15"/>
  <c r="JB51" i="15" s="1"/>
  <c r="FI51" i="15"/>
  <c r="FJ51" i="15" s="1"/>
  <c r="JM51" i="15"/>
  <c r="JN51" i="15" s="1"/>
  <c r="FM51" i="15"/>
  <c r="FN51" i="15" s="1"/>
  <c r="SO51" i="15"/>
  <c r="SP51" i="15" s="1"/>
  <c r="AK51" i="15"/>
  <c r="AL51" i="15" s="1"/>
  <c r="CO51" i="15"/>
  <c r="MO51" i="15"/>
  <c r="MP51" i="15" s="1"/>
  <c r="RI51" i="15"/>
  <c r="RJ51" i="15" s="1"/>
  <c r="MG51" i="15"/>
  <c r="MH51" i="15" s="1"/>
  <c r="UO51" i="15"/>
  <c r="UP51" i="15" s="1"/>
  <c r="IS51" i="15"/>
  <c r="IT51" i="15" s="1"/>
  <c r="KO51" i="15"/>
  <c r="KP51" i="15" s="1"/>
  <c r="KS51" i="15"/>
  <c r="KT51" i="15" s="1"/>
  <c r="RE51" i="15"/>
  <c r="RF51" i="15" s="1"/>
  <c r="OK51" i="15"/>
  <c r="OL51" i="15" s="1"/>
  <c r="BU50" i="15"/>
  <c r="BV50" i="15" s="1"/>
  <c r="PY51" i="15"/>
  <c r="PZ51" i="15" s="1"/>
  <c r="I50" i="15"/>
  <c r="J50" i="15" s="1"/>
  <c r="LI51" i="15"/>
  <c r="LJ51" i="15" s="1"/>
  <c r="BE51" i="15"/>
  <c r="BF51" i="15" s="1"/>
  <c r="CK51" i="15"/>
  <c r="CL51" i="15" s="1"/>
  <c r="EO51" i="15"/>
  <c r="EP51" i="15" s="1"/>
  <c r="DA51" i="15"/>
  <c r="DB51" i="15" s="1"/>
  <c r="SG51" i="15"/>
  <c r="SH51" i="15" s="1"/>
  <c r="LY51" i="15"/>
  <c r="LZ51" i="15" s="1"/>
  <c r="GO51" i="15"/>
  <c r="GP51" i="15" s="1"/>
  <c r="GS51" i="15"/>
  <c r="GT51" i="15" s="1"/>
  <c r="PE51" i="15"/>
  <c r="PF51" i="15" s="1"/>
  <c r="FE51" i="15"/>
  <c r="FF51" i="15" s="1"/>
  <c r="HY51" i="15"/>
  <c r="HZ51" i="15" s="1"/>
  <c r="IC51" i="15"/>
  <c r="ID51" i="15" s="1"/>
  <c r="AC51" i="15"/>
  <c r="AD51" i="15" s="1"/>
  <c r="LM51" i="15"/>
  <c r="LN51" i="15" s="1"/>
  <c r="OG50" i="15"/>
  <c r="OH50" i="15" s="1"/>
  <c r="TU51" i="15"/>
  <c r="TV51" i="15" s="1"/>
  <c r="SW51" i="15"/>
  <c r="SX51" i="15" s="1"/>
  <c r="EK51" i="15"/>
  <c r="EL51" i="15" s="1"/>
  <c r="QS51" i="15"/>
  <c r="QT51" i="15" s="1"/>
  <c r="FP52" i="15"/>
  <c r="RX52" i="15"/>
  <c r="MB52" i="15"/>
  <c r="GC50" i="15"/>
  <c r="GD49" i="15"/>
  <c r="KB52" i="15"/>
  <c r="GV52" i="15"/>
  <c r="IB52" i="15"/>
  <c r="BY50" i="15"/>
  <c r="BZ49" i="15"/>
  <c r="ES50" i="15"/>
  <c r="ET49" i="15"/>
  <c r="TH52" i="15"/>
  <c r="CJ52" i="15"/>
  <c r="GG50" i="15"/>
  <c r="GH49" i="15"/>
  <c r="LD52" i="15"/>
  <c r="DT52" i="15"/>
  <c r="PT52" i="15"/>
  <c r="JX52" i="15"/>
  <c r="CL50" i="15"/>
  <c r="TM50" i="15"/>
  <c r="TN49" i="15"/>
  <c r="NP52" i="15"/>
  <c r="IW50" i="15"/>
  <c r="IX49" i="15"/>
  <c r="OB52" i="15"/>
  <c r="PA50" i="15"/>
  <c r="PB49" i="15"/>
  <c r="JY51" i="15"/>
  <c r="TL52" i="15"/>
  <c r="HH52" i="15"/>
  <c r="OZ52" i="15"/>
  <c r="NQ50" i="15"/>
  <c r="NR49" i="15"/>
  <c r="HL52" i="15"/>
  <c r="GJ52" i="15"/>
  <c r="NE50" i="15"/>
  <c r="NF49" i="15"/>
  <c r="RT52" i="15"/>
  <c r="UC50" i="15"/>
  <c r="UD49" i="15"/>
  <c r="AF52" i="15"/>
  <c r="OV52" i="15"/>
  <c r="KZ52" i="15"/>
  <c r="DL52" i="15"/>
  <c r="MS50" i="15"/>
  <c r="MT49" i="15"/>
  <c r="EC50" i="15"/>
  <c r="ED49" i="15"/>
  <c r="SZ52" i="15"/>
  <c r="T52" i="15"/>
  <c r="JT52" i="15"/>
  <c r="EZ52" i="15"/>
  <c r="HD52" i="15"/>
  <c r="RL52" i="15"/>
  <c r="KW50" i="15"/>
  <c r="KX49" i="15"/>
  <c r="IN52" i="15"/>
  <c r="TY51" i="15"/>
  <c r="TP52" i="15"/>
  <c r="NA50" i="15"/>
  <c r="NB50" i="15" s="1"/>
  <c r="HP52" i="15"/>
  <c r="UK50" i="15"/>
  <c r="UL49" i="15"/>
  <c r="MK50" i="15"/>
  <c r="ML49" i="15"/>
  <c r="DY50" i="15"/>
  <c r="DZ49" i="15"/>
  <c r="OS50" i="15"/>
  <c r="OT49" i="15"/>
  <c r="RF50" i="15"/>
  <c r="GZ52" i="15"/>
  <c r="DI50" i="15"/>
  <c r="DJ49" i="15"/>
  <c r="LP52" i="15"/>
  <c r="QF52" i="15"/>
  <c r="RH52" i="15"/>
  <c r="QN52" i="15"/>
  <c r="BF50" i="15"/>
  <c r="CG50" i="15"/>
  <c r="CH49" i="15"/>
  <c r="BX52" i="15"/>
  <c r="CB51" i="15"/>
  <c r="UB52" i="15"/>
  <c r="GR52" i="15"/>
  <c r="EJ52" i="15"/>
  <c r="AZ52" i="15"/>
  <c r="DP52" i="15"/>
  <c r="DR51" i="15"/>
  <c r="AS50" i="15"/>
  <c r="AT49" i="15"/>
  <c r="ER52" i="15"/>
  <c r="BH52" i="15"/>
  <c r="RQ50" i="15"/>
  <c r="RR49" i="15"/>
  <c r="RD52" i="15"/>
  <c r="NY50" i="15"/>
  <c r="NZ49" i="15"/>
  <c r="QK50" i="15"/>
  <c r="QL49" i="15"/>
  <c r="L52" i="15"/>
  <c r="IJ52" i="15"/>
  <c r="NL52" i="15"/>
  <c r="D52" i="15"/>
  <c r="NU50" i="15"/>
  <c r="NV49" i="15"/>
  <c r="AD50" i="15"/>
  <c r="IO50" i="15"/>
  <c r="IP49" i="15"/>
  <c r="AJ52" i="15"/>
  <c r="JU50" i="15"/>
  <c r="JV49" i="15"/>
  <c r="NM50" i="15"/>
  <c r="NN49" i="15"/>
  <c r="CW50" i="15"/>
  <c r="CX49" i="15"/>
  <c r="QW51" i="15"/>
  <c r="QR52" i="15"/>
  <c r="DX52" i="15"/>
  <c r="QT50" i="15"/>
  <c r="BR51" i="15"/>
  <c r="BP52" i="15"/>
  <c r="IV52" i="15"/>
  <c r="DH52" i="15"/>
  <c r="KK51" i="15"/>
  <c r="RA50" i="15"/>
  <c r="RB49" i="15"/>
  <c r="JD52" i="15"/>
  <c r="SF52" i="15"/>
  <c r="AG51" i="15"/>
  <c r="AH51" i="15" s="1"/>
  <c r="HU50" i="15"/>
  <c r="HV49" i="15"/>
  <c r="X52" i="15"/>
  <c r="RY50" i="15"/>
  <c r="RZ49" i="15"/>
  <c r="TX52" i="15"/>
  <c r="BD52" i="15"/>
  <c r="KJ52" i="15"/>
  <c r="MF52" i="15"/>
  <c r="DU50" i="15"/>
  <c r="DV49" i="15"/>
  <c r="HZ50" i="15"/>
  <c r="OJ52" i="15"/>
  <c r="RM50" i="15"/>
  <c r="RN49" i="15"/>
  <c r="E51" i="15"/>
  <c r="F51" i="15" s="1"/>
  <c r="BI51" i="15"/>
  <c r="BJ51" i="15" s="1"/>
  <c r="HT52" i="15"/>
  <c r="UP50" i="15"/>
  <c r="EP50" i="15"/>
  <c r="OR52" i="15"/>
  <c r="H51" i="15"/>
  <c r="EW50" i="15"/>
  <c r="EX49" i="15"/>
  <c r="UR52" i="15"/>
  <c r="PQ50" i="15"/>
  <c r="PR49" i="15"/>
  <c r="PH52" i="15"/>
  <c r="PI52" i="15" s="1"/>
  <c r="PJ51" i="15"/>
  <c r="MZ51" i="15"/>
  <c r="TA50" i="15"/>
  <c r="TB49" i="15"/>
  <c r="GW51" i="15"/>
  <c r="EL50" i="15"/>
  <c r="KF52" i="15"/>
  <c r="SJ52" i="15"/>
  <c r="SN52" i="15"/>
  <c r="UG50" i="15"/>
  <c r="UH49" i="15"/>
  <c r="SB52" i="15"/>
  <c r="SV52" i="15"/>
  <c r="DB50" i="15"/>
  <c r="PL51" i="15"/>
  <c r="UN52" i="15"/>
  <c r="EN52" i="15"/>
  <c r="JP52" i="15"/>
  <c r="KR52" i="15"/>
  <c r="GK50" i="15"/>
  <c r="GL49" i="15"/>
  <c r="QJ52" i="15"/>
  <c r="QZ52" i="15"/>
  <c r="TI50" i="15"/>
  <c r="TJ49" i="15"/>
  <c r="IK50" i="15"/>
  <c r="IL49" i="15"/>
  <c r="MR52" i="15"/>
  <c r="OF51" i="15"/>
  <c r="GB52" i="15"/>
  <c r="EB52" i="15"/>
  <c r="LH52" i="15"/>
  <c r="QG50" i="15"/>
  <c r="QH49" i="15"/>
  <c r="AN52" i="15"/>
  <c r="AO52" i="15" s="1"/>
  <c r="AP51" i="15"/>
  <c r="SX50" i="15"/>
  <c r="CZ52" i="15"/>
  <c r="BT51" i="15"/>
  <c r="BA51" i="15"/>
  <c r="BB51" i="15" s="1"/>
  <c r="JI50" i="15"/>
  <c r="JJ49" i="15"/>
  <c r="NT52" i="15"/>
  <c r="KG50" i="15"/>
  <c r="KH49" i="15"/>
  <c r="Q50" i="15"/>
  <c r="R49" i="15"/>
  <c r="AB52" i="15"/>
  <c r="QC50" i="15"/>
  <c r="QD49" i="15"/>
  <c r="AV52" i="15"/>
  <c r="SR52" i="15"/>
  <c r="U51" i="15"/>
  <c r="LT52" i="15"/>
  <c r="BM50" i="15"/>
  <c r="BN49" i="15"/>
  <c r="CP51" i="15"/>
  <c r="CN52" i="15"/>
  <c r="CC50" i="15"/>
  <c r="FX52" i="15"/>
  <c r="OH49" i="15"/>
  <c r="HA50" i="15"/>
  <c r="HB49" i="15"/>
  <c r="KC50" i="15"/>
  <c r="KD49" i="15"/>
  <c r="TQ50" i="15"/>
  <c r="TR49" i="15"/>
  <c r="DD52" i="15"/>
  <c r="GN52" i="15"/>
  <c r="MW50" i="15"/>
  <c r="MX49" i="15"/>
  <c r="TE50" i="15"/>
  <c r="TF49" i="15"/>
  <c r="BV49" i="15"/>
  <c r="OC50" i="15"/>
  <c r="OD49" i="15"/>
  <c r="FL52" i="15"/>
  <c r="NX52" i="15"/>
  <c r="SC50" i="15"/>
  <c r="SD49" i="15"/>
  <c r="LU50" i="15"/>
  <c r="LV49" i="15"/>
  <c r="RP52" i="15"/>
  <c r="SH50" i="15"/>
  <c r="IZ52" i="15"/>
  <c r="LE50" i="15"/>
  <c r="LF49" i="15"/>
  <c r="FH52" i="15"/>
  <c r="MJ52" i="15"/>
  <c r="LX52" i="15"/>
  <c r="HI50" i="15"/>
  <c r="HJ49" i="15"/>
  <c r="IR52" i="15"/>
  <c r="BL52" i="15"/>
  <c r="DE50" i="15"/>
  <c r="DF49" i="15"/>
  <c r="PX52" i="15"/>
  <c r="MV52" i="15"/>
  <c r="QB52" i="15"/>
  <c r="SS50" i="15"/>
  <c r="ST49" i="15"/>
  <c r="MC51" i="15"/>
  <c r="MD51" i="15" s="1"/>
  <c r="FY51" i="15"/>
  <c r="LN50" i="15"/>
  <c r="GP50" i="15"/>
  <c r="TT52" i="15"/>
  <c r="DM51" i="15"/>
  <c r="QV52" i="15"/>
  <c r="MN52" i="15"/>
  <c r="JE50" i="15"/>
  <c r="JF49" i="15"/>
  <c r="NH52" i="15"/>
  <c r="JH52" i="15"/>
  <c r="FT52" i="15"/>
  <c r="FU52" i="15" s="1"/>
  <c r="FV51" i="15"/>
  <c r="LA50" i="15"/>
  <c r="LB49" i="15"/>
  <c r="SK51" i="15"/>
  <c r="ND52" i="15"/>
  <c r="CF52" i="15"/>
  <c r="QO51" i="15"/>
  <c r="OO50" i="15"/>
  <c r="OP49" i="15"/>
  <c r="KN52" i="15"/>
  <c r="HE51" i="15"/>
  <c r="IF52" i="15"/>
  <c r="FF50" i="15"/>
  <c r="RU50" i="15"/>
  <c r="RV49" i="15"/>
  <c r="LL52" i="15"/>
  <c r="FQ50" i="15"/>
  <c r="FR49" i="15"/>
  <c r="TV50" i="15"/>
  <c r="P52" i="15"/>
  <c r="HM51" i="15"/>
  <c r="NI50" i="15"/>
  <c r="NJ49" i="15"/>
  <c r="UJ52" i="15"/>
  <c r="EF52" i="15"/>
  <c r="Y50" i="15"/>
  <c r="Z49" i="15"/>
  <c r="EG51" i="15"/>
  <c r="HX52" i="15"/>
  <c r="OW50" i="15"/>
  <c r="OX49" i="15"/>
  <c r="KV52" i="15"/>
  <c r="JQ50" i="15"/>
  <c r="JR49" i="15"/>
  <c r="PP52" i="15"/>
  <c r="HQ51" i="15"/>
  <c r="JL52" i="15"/>
  <c r="PD52" i="15"/>
  <c r="ON52" i="15"/>
  <c r="UF52" i="15"/>
  <c r="FA50" i="15"/>
  <c r="FB49" i="15"/>
  <c r="CR51" i="15"/>
  <c r="CT50" i="15"/>
  <c r="QX50" i="15"/>
  <c r="TD52" i="15"/>
  <c r="AW50" i="15"/>
  <c r="AX49" i="15"/>
  <c r="M50" i="15"/>
  <c r="N49" i="15"/>
  <c r="AR52" i="15"/>
  <c r="FD52" i="15"/>
  <c r="CV52" i="15"/>
  <c r="GF52" i="15"/>
  <c r="PM50" i="15"/>
  <c r="US50" i="15"/>
  <c r="UT49" i="15"/>
  <c r="PU50" i="15"/>
  <c r="PV49" i="15"/>
  <c r="LQ51" i="15"/>
  <c r="EV52" i="15"/>
  <c r="IG51" i="15"/>
  <c r="F54" i="11"/>
  <c r="G54" i="11" s="1"/>
  <c r="F55" i="2"/>
  <c r="G55" i="2" s="1"/>
  <c r="G53" i="11"/>
  <c r="E55" i="11"/>
  <c r="E55" i="9"/>
  <c r="F54" i="9"/>
  <c r="E55" i="8"/>
  <c r="F54" i="8"/>
  <c r="E56" i="2"/>
  <c r="G54" i="2"/>
  <c r="UO52" i="15" l="1"/>
  <c r="BQ52" i="15"/>
  <c r="BR52" i="15" s="1"/>
  <c r="CO52" i="15"/>
  <c r="MG52" i="15"/>
  <c r="MH52" i="15" s="1"/>
  <c r="FI52" i="15"/>
  <c r="FJ52" i="15" s="1"/>
  <c r="JA52" i="15"/>
  <c r="JB52" i="15" s="1"/>
  <c r="AK52" i="15"/>
  <c r="AL52" i="15" s="1"/>
  <c r="SO52" i="15"/>
  <c r="SP52" i="15" s="1"/>
  <c r="OK52" i="15"/>
  <c r="OL52" i="15" s="1"/>
  <c r="KS52" i="15"/>
  <c r="KT52" i="15" s="1"/>
  <c r="KO52" i="15"/>
  <c r="KP52" i="15" s="1"/>
  <c r="EG52" i="15"/>
  <c r="EH52" i="15" s="1"/>
  <c r="SW52" i="15"/>
  <c r="SX52" i="15" s="1"/>
  <c r="I51" i="15"/>
  <c r="J51" i="15" s="1"/>
  <c r="RE52" i="15"/>
  <c r="RF52" i="15" s="1"/>
  <c r="BE52" i="15"/>
  <c r="BF52" i="15" s="1"/>
  <c r="PY52" i="15"/>
  <c r="PZ52" i="15" s="1"/>
  <c r="BU51" i="15"/>
  <c r="BV51" i="15" s="1"/>
  <c r="EK52" i="15"/>
  <c r="EL52" i="15" s="1"/>
  <c r="EO52" i="15"/>
  <c r="EP52" i="15" s="1"/>
  <c r="PE52" i="15"/>
  <c r="PF52" i="15" s="1"/>
  <c r="GS52" i="15"/>
  <c r="GT52" i="15" s="1"/>
  <c r="OG51" i="15"/>
  <c r="OH51" i="15" s="1"/>
  <c r="DA52" i="15"/>
  <c r="DB52" i="15" s="1"/>
  <c r="HY52" i="15"/>
  <c r="HZ52" i="15" s="1"/>
  <c r="DM52" i="15"/>
  <c r="DN52" i="15" s="1"/>
  <c r="LY52" i="15"/>
  <c r="LZ52" i="15" s="1"/>
  <c r="KK52" i="15"/>
  <c r="KL52" i="15" s="1"/>
  <c r="IC52" i="15"/>
  <c r="ID52" i="15" s="1"/>
  <c r="FE52" i="15"/>
  <c r="FF52" i="15" s="1"/>
  <c r="TY52" i="15"/>
  <c r="TZ52" i="15" s="1"/>
  <c r="CC51" i="15"/>
  <c r="CD51" i="15" s="1"/>
  <c r="AC52" i="15"/>
  <c r="AD52" i="15" s="1"/>
  <c r="HQ52" i="15"/>
  <c r="HR52" i="15" s="1"/>
  <c r="AG52" i="15"/>
  <c r="AH52" i="15" s="1"/>
  <c r="HE52" i="15"/>
  <c r="HF52" i="15" s="1"/>
  <c r="JY52" i="15"/>
  <c r="JZ52" i="15" s="1"/>
  <c r="QO52" i="15"/>
  <c r="QP52" i="15" s="1"/>
  <c r="E52" i="15"/>
  <c r="F52" i="15" s="1"/>
  <c r="FY52" i="15"/>
  <c r="FZ52" i="15" s="1"/>
  <c r="U52" i="15"/>
  <c r="V52" i="15" s="1"/>
  <c r="GW52" i="15"/>
  <c r="GX52" i="15" s="1"/>
  <c r="LQ52" i="15"/>
  <c r="LR52" i="15" s="1"/>
  <c r="SK52" i="15"/>
  <c r="SL52" i="15" s="1"/>
  <c r="HM52" i="15"/>
  <c r="HN52" i="15" s="1"/>
  <c r="IG52" i="15"/>
  <c r="IH52" i="15" s="1"/>
  <c r="PM51" i="15"/>
  <c r="PN51" i="15" s="1"/>
  <c r="RP53" i="15"/>
  <c r="QP51" i="15"/>
  <c r="MK51" i="15"/>
  <c r="ML50" i="15"/>
  <c r="JT53" i="15"/>
  <c r="LD53" i="15"/>
  <c r="QR53" i="15"/>
  <c r="NL53" i="15"/>
  <c r="AS51" i="15"/>
  <c r="AT50" i="15"/>
  <c r="QN53" i="15"/>
  <c r="V51" i="15"/>
  <c r="UC51" i="15"/>
  <c r="UD50" i="15"/>
  <c r="PA51" i="15"/>
  <c r="PB50" i="15"/>
  <c r="GC51" i="15"/>
  <c r="GD50" i="15"/>
  <c r="PP53" i="15"/>
  <c r="QW52" i="15"/>
  <c r="QX52" i="15" s="1"/>
  <c r="UK51" i="15"/>
  <c r="UL50" i="15"/>
  <c r="T53" i="15"/>
  <c r="RT53" i="15"/>
  <c r="IJ53" i="15"/>
  <c r="DP53" i="15"/>
  <c r="HR51" i="15"/>
  <c r="GG51" i="15"/>
  <c r="GH50" i="15"/>
  <c r="OO51" i="15"/>
  <c r="OP50" i="15"/>
  <c r="RM51" i="15"/>
  <c r="RN50" i="15"/>
  <c r="QV53" i="15"/>
  <c r="M51" i="15"/>
  <c r="N50" i="15"/>
  <c r="OJ53" i="15"/>
  <c r="IR53" i="15"/>
  <c r="DU51" i="15"/>
  <c r="DV50" i="15"/>
  <c r="NM51" i="15"/>
  <c r="NN50" i="15"/>
  <c r="HA51" i="15"/>
  <c r="HB50" i="15"/>
  <c r="AB53" i="15"/>
  <c r="LH53" i="15"/>
  <c r="UG51" i="15"/>
  <c r="UH50" i="15"/>
  <c r="UR53" i="15"/>
  <c r="MF53" i="15"/>
  <c r="EJ53" i="15"/>
  <c r="TP53" i="15"/>
  <c r="GJ53" i="15"/>
  <c r="IW51" i="15"/>
  <c r="IX50" i="15"/>
  <c r="RX53" i="15"/>
  <c r="JE51" i="15"/>
  <c r="JF50" i="15"/>
  <c r="X53" i="15"/>
  <c r="QX51" i="15"/>
  <c r="RH53" i="15"/>
  <c r="NX53" i="15"/>
  <c r="TT53" i="15"/>
  <c r="LL53" i="15"/>
  <c r="LX53" i="15"/>
  <c r="FL53" i="15"/>
  <c r="RI52" i="15"/>
  <c r="RJ52" i="15" s="1"/>
  <c r="LM52" i="15"/>
  <c r="LN52" i="15" s="1"/>
  <c r="JU51" i="15"/>
  <c r="JV50" i="15"/>
  <c r="QK51" i="15"/>
  <c r="QL50" i="15"/>
  <c r="LP53" i="15"/>
  <c r="HN51" i="15"/>
  <c r="TH53" i="15"/>
  <c r="JL53" i="15"/>
  <c r="CZ53" i="15"/>
  <c r="CF53" i="15"/>
  <c r="CW51" i="15"/>
  <c r="CX50" i="15"/>
  <c r="NE51" i="15"/>
  <c r="NF50" i="15"/>
  <c r="JD53" i="15"/>
  <c r="MJ53" i="15"/>
  <c r="TU52" i="15"/>
  <c r="TV52" i="15" s="1"/>
  <c r="Q51" i="15"/>
  <c r="R50" i="15"/>
  <c r="EB53" i="15"/>
  <c r="KR53" i="15"/>
  <c r="EW51" i="15"/>
  <c r="EX50" i="15"/>
  <c r="RA51" i="15"/>
  <c r="RB50" i="15"/>
  <c r="GR53" i="15"/>
  <c r="LR51" i="15"/>
  <c r="EC51" i="15"/>
  <c r="ED50" i="15"/>
  <c r="HL53" i="15"/>
  <c r="NP53" i="15"/>
  <c r="FP53" i="15"/>
  <c r="TI51" i="15"/>
  <c r="TJ50" i="15"/>
  <c r="AR53" i="15"/>
  <c r="SR53" i="15"/>
  <c r="SV53" i="15"/>
  <c r="LU51" i="15"/>
  <c r="LV50" i="15"/>
  <c r="PH53" i="15"/>
  <c r="PI53" i="15" s="1"/>
  <c r="PJ52" i="15"/>
  <c r="P53" i="15"/>
  <c r="KC51" i="15"/>
  <c r="KD50" i="15"/>
  <c r="SF53" i="15"/>
  <c r="AZ53" i="15"/>
  <c r="KV53" i="15"/>
  <c r="OW51" i="15"/>
  <c r="OX50" i="15"/>
  <c r="GB53" i="15"/>
  <c r="NY51" i="15"/>
  <c r="NZ50" i="15"/>
  <c r="UB53" i="15"/>
  <c r="FX53" i="15"/>
  <c r="KG51" i="15"/>
  <c r="KH50" i="15"/>
  <c r="SJ53" i="15"/>
  <c r="KJ53" i="15"/>
  <c r="RD53" i="15"/>
  <c r="DI51" i="15"/>
  <c r="DJ50" i="15"/>
  <c r="MS51" i="15"/>
  <c r="MT50" i="15"/>
  <c r="NQ51" i="15"/>
  <c r="NR50" i="15"/>
  <c r="TM51" i="15"/>
  <c r="TN50" i="15"/>
  <c r="ES51" i="15"/>
  <c r="ET50" i="15"/>
  <c r="QS52" i="15"/>
  <c r="ND53" i="15"/>
  <c r="TQ51" i="15"/>
  <c r="TR50" i="15"/>
  <c r="SC51" i="15"/>
  <c r="SD50" i="15"/>
  <c r="JQ51" i="15"/>
  <c r="JR50" i="15"/>
  <c r="EV53" i="15"/>
  <c r="PU51" i="15"/>
  <c r="PV50" i="15"/>
  <c r="NT53" i="15"/>
  <c r="OF52" i="15"/>
  <c r="JP53" i="15"/>
  <c r="SL51" i="15"/>
  <c r="OR53" i="15"/>
  <c r="DH53" i="15"/>
  <c r="AJ53" i="15"/>
  <c r="CB52" i="15"/>
  <c r="GZ53" i="15"/>
  <c r="KW51" i="15"/>
  <c r="KX50" i="15"/>
  <c r="DN51" i="15"/>
  <c r="QZ53" i="15"/>
  <c r="HU51" i="15"/>
  <c r="HV50" i="15"/>
  <c r="CJ53" i="15"/>
  <c r="QC51" i="15"/>
  <c r="QD50" i="15"/>
  <c r="NA51" i="15"/>
  <c r="NB51" i="15" s="1"/>
  <c r="IN53" i="15"/>
  <c r="SS51" i="15"/>
  <c r="ST50" i="15"/>
  <c r="IH51" i="15"/>
  <c r="QB53" i="15"/>
  <c r="FH53" i="15"/>
  <c r="CP52" i="15"/>
  <c r="CN53" i="15"/>
  <c r="EN53" i="15"/>
  <c r="KF53" i="15"/>
  <c r="BD53" i="15"/>
  <c r="CD50" i="15"/>
  <c r="DL53" i="15"/>
  <c r="OZ53" i="15"/>
  <c r="JX53" i="15"/>
  <c r="BY51" i="15"/>
  <c r="BZ50" i="15"/>
  <c r="GN53" i="15"/>
  <c r="NI51" i="15"/>
  <c r="NJ50" i="15"/>
  <c r="DD53" i="15"/>
  <c r="HP53" i="15"/>
  <c r="QG51" i="15"/>
  <c r="QH50" i="15"/>
  <c r="TD53" i="15"/>
  <c r="SG52" i="15"/>
  <c r="Y51" i="15"/>
  <c r="Z50" i="15"/>
  <c r="NH53" i="15"/>
  <c r="TZ51" i="15"/>
  <c r="IV53" i="15"/>
  <c r="IO51" i="15"/>
  <c r="IP50" i="15"/>
  <c r="RQ51" i="15"/>
  <c r="RR50" i="15"/>
  <c r="RL53" i="15"/>
  <c r="KZ53" i="15"/>
  <c r="JZ51" i="15"/>
  <c r="DE51" i="15"/>
  <c r="DF50" i="15"/>
  <c r="MZ52" i="15"/>
  <c r="AP52" i="15"/>
  <c r="AN53" i="15"/>
  <c r="AO53" i="15" s="1"/>
  <c r="AW51" i="15"/>
  <c r="AX50" i="15"/>
  <c r="HI51" i="15"/>
  <c r="HJ50" i="15"/>
  <c r="QF53" i="15"/>
  <c r="LA51" i="15"/>
  <c r="LB50" i="15"/>
  <c r="HX53" i="15"/>
  <c r="EH51" i="15"/>
  <c r="LE51" i="15"/>
  <c r="LF50" i="15"/>
  <c r="JI51" i="15"/>
  <c r="JJ50" i="15"/>
  <c r="MR53" i="15"/>
  <c r="TX53" i="15"/>
  <c r="BP53" i="15"/>
  <c r="BQ53" i="15" s="1"/>
  <c r="BX53" i="15"/>
  <c r="HD53" i="15"/>
  <c r="IB53" i="15"/>
  <c r="JM52" i="15"/>
  <c r="JN52" i="15" s="1"/>
  <c r="FD53" i="15"/>
  <c r="MN53" i="15"/>
  <c r="SB53" i="15"/>
  <c r="SZ53" i="15"/>
  <c r="IS52" i="15"/>
  <c r="OB53" i="15"/>
  <c r="GK51" i="15"/>
  <c r="GL50" i="15"/>
  <c r="FV52" i="15"/>
  <c r="FT53" i="15"/>
  <c r="FU53" i="15" s="1"/>
  <c r="SN53" i="15"/>
  <c r="OC51" i="15"/>
  <c r="OD50" i="15"/>
  <c r="IF53" i="15"/>
  <c r="ON53" i="15"/>
  <c r="MV53" i="15"/>
  <c r="BM51" i="15"/>
  <c r="BN50" i="15"/>
  <c r="BA52" i="15"/>
  <c r="UP52" i="15"/>
  <c r="UN53" i="15"/>
  <c r="UO53" i="15" s="1"/>
  <c r="LI52" i="15"/>
  <c r="HT53" i="15"/>
  <c r="BH53" i="15"/>
  <c r="DQ52" i="15"/>
  <c r="DR52" i="15" s="1"/>
  <c r="OS51" i="15"/>
  <c r="OT50" i="15"/>
  <c r="HF51" i="15"/>
  <c r="OV53" i="15"/>
  <c r="HH53" i="15"/>
  <c r="PT53" i="15"/>
  <c r="GV53" i="15"/>
  <c r="MO52" i="15"/>
  <c r="TA51" i="15"/>
  <c r="TB50" i="15"/>
  <c r="BL53" i="15"/>
  <c r="MB53" i="15"/>
  <c r="CR52" i="15"/>
  <c r="FZ51" i="15"/>
  <c r="KL51" i="15"/>
  <c r="RU51" i="15"/>
  <c r="RV50" i="15"/>
  <c r="FA51" i="15"/>
  <c r="FB50" i="15"/>
  <c r="UF53" i="15"/>
  <c r="GF53" i="15"/>
  <c r="TE51" i="15"/>
  <c r="TF50" i="15"/>
  <c r="CV53" i="15"/>
  <c r="CK52" i="15"/>
  <c r="IZ53" i="15"/>
  <c r="MW51" i="15"/>
  <c r="MX50" i="15"/>
  <c r="IK51" i="15"/>
  <c r="IL50" i="15"/>
  <c r="PL52" i="15"/>
  <c r="RY51" i="15"/>
  <c r="RZ50" i="15"/>
  <c r="NU51" i="15"/>
  <c r="NV50" i="15"/>
  <c r="ER53" i="15"/>
  <c r="DT53" i="15"/>
  <c r="GX51" i="15"/>
  <c r="CS51" i="15"/>
  <c r="AV53" i="15"/>
  <c r="QJ53" i="15"/>
  <c r="PQ51" i="15"/>
  <c r="PR50" i="15"/>
  <c r="L53" i="15"/>
  <c r="FQ51" i="15"/>
  <c r="FR50" i="15"/>
  <c r="MC52" i="15"/>
  <c r="H52" i="15"/>
  <c r="JH53" i="15"/>
  <c r="US51" i="15"/>
  <c r="UT50" i="15"/>
  <c r="EF53" i="15"/>
  <c r="GO52" i="15"/>
  <c r="KN53" i="15"/>
  <c r="PD53" i="15"/>
  <c r="UJ53" i="15"/>
  <c r="PX53" i="15"/>
  <c r="LT53" i="15"/>
  <c r="BT52" i="15"/>
  <c r="PN50" i="15"/>
  <c r="BI52" i="15"/>
  <c r="DX53" i="15"/>
  <c r="D53" i="15"/>
  <c r="CG51" i="15"/>
  <c r="CH50" i="15"/>
  <c r="DY51" i="15"/>
  <c r="DZ50" i="15"/>
  <c r="EZ53" i="15"/>
  <c r="AF53" i="15"/>
  <c r="TL53" i="15"/>
  <c r="KB53" i="15"/>
  <c r="FM52" i="15"/>
  <c r="FN52" i="15" s="1"/>
  <c r="F55" i="8"/>
  <c r="G55" i="8" s="1"/>
  <c r="F55" i="9"/>
  <c r="G55" i="9" s="1"/>
  <c r="E56" i="11"/>
  <c r="F55" i="11"/>
  <c r="G54" i="10"/>
  <c r="G55" i="10"/>
  <c r="E56" i="9"/>
  <c r="G54" i="9"/>
  <c r="G54" i="8"/>
  <c r="E56" i="8"/>
  <c r="E57" i="2"/>
  <c r="F56" i="2"/>
  <c r="EK53" i="15" l="1"/>
  <c r="I52" i="15"/>
  <c r="RE53" i="15"/>
  <c r="MG53" i="15"/>
  <c r="MH53" i="15" s="1"/>
  <c r="FI53" i="15"/>
  <c r="FJ53" i="15" s="1"/>
  <c r="CO53" i="15"/>
  <c r="CP53" i="15" s="1"/>
  <c r="GS53" i="15"/>
  <c r="GT53" i="15" s="1"/>
  <c r="KO53" i="15"/>
  <c r="KP53" i="15" s="1"/>
  <c r="OG52" i="15"/>
  <c r="OH52" i="15" s="1"/>
  <c r="BU52" i="15"/>
  <c r="BV52" i="15" s="1"/>
  <c r="JA53" i="15"/>
  <c r="JB53" i="15" s="1"/>
  <c r="EG53" i="15"/>
  <c r="EH53" i="15" s="1"/>
  <c r="PY53" i="15"/>
  <c r="PZ53" i="15" s="1"/>
  <c r="PE53" i="15"/>
  <c r="PF53" i="15" s="1"/>
  <c r="DM53" i="15"/>
  <c r="DN53" i="15" s="1"/>
  <c r="EO53" i="15"/>
  <c r="EP53" i="15" s="1"/>
  <c r="JY53" i="15"/>
  <c r="JZ53" i="15" s="1"/>
  <c r="FE53" i="15"/>
  <c r="FF53" i="15" s="1"/>
  <c r="GO53" i="15"/>
  <c r="GP53" i="15" s="1"/>
  <c r="HE53" i="15"/>
  <c r="HF53" i="15" s="1"/>
  <c r="IC53" i="15"/>
  <c r="ID53" i="15" s="1"/>
  <c r="AG53" i="15"/>
  <c r="AH53" i="15" s="1"/>
  <c r="BA53" i="15"/>
  <c r="BB53" i="15" s="1"/>
  <c r="E53" i="15"/>
  <c r="F53" i="15" s="1"/>
  <c r="IS53" i="15"/>
  <c r="IT53" i="15" s="1"/>
  <c r="CS52" i="15"/>
  <c r="CT52" i="15" s="1"/>
  <c r="PM52" i="15"/>
  <c r="PN52" i="15" s="1"/>
  <c r="LI53" i="15"/>
  <c r="LJ53" i="15" s="1"/>
  <c r="HQ53" i="15"/>
  <c r="HR53" i="15" s="1"/>
  <c r="QS53" i="15"/>
  <c r="QT53" i="15" s="1"/>
  <c r="FY53" i="15"/>
  <c r="FZ53" i="15" s="1"/>
  <c r="CK53" i="15"/>
  <c r="CL53" i="15" s="1"/>
  <c r="SG53" i="15"/>
  <c r="SH53" i="15" s="1"/>
  <c r="GP52" i="15"/>
  <c r="MC53" i="15"/>
  <c r="MD53" i="15" s="1"/>
  <c r="BI53" i="15"/>
  <c r="BJ53" i="15" s="1"/>
  <c r="MO53" i="15"/>
  <c r="MP53" i="15" s="1"/>
  <c r="IG53" i="15"/>
  <c r="IH53" i="15" s="1"/>
  <c r="FL54" i="15"/>
  <c r="RX54" i="15"/>
  <c r="AB54" i="15"/>
  <c r="SV54" i="15"/>
  <c r="CW52" i="15"/>
  <c r="CX51" i="15"/>
  <c r="OO52" i="15"/>
  <c r="OP51" i="15"/>
  <c r="UN54" i="15"/>
  <c r="UP53" i="15"/>
  <c r="LX54" i="15"/>
  <c r="GC52" i="15"/>
  <c r="GD51" i="15"/>
  <c r="MK52" i="15"/>
  <c r="ML51" i="15"/>
  <c r="MR54" i="15"/>
  <c r="EV54" i="15"/>
  <c r="SR54" i="15"/>
  <c r="CF54" i="15"/>
  <c r="HA52" i="15"/>
  <c r="HB51" i="15"/>
  <c r="GG52" i="15"/>
  <c r="GH51" i="15"/>
  <c r="GK52" i="15"/>
  <c r="GL51" i="15"/>
  <c r="JX54" i="15"/>
  <c r="SS52" i="15"/>
  <c r="ST51" i="15"/>
  <c r="DI52" i="15"/>
  <c r="DJ51" i="15"/>
  <c r="OW52" i="15"/>
  <c r="OX51" i="15"/>
  <c r="CZ54" i="15"/>
  <c r="IW52" i="15"/>
  <c r="IX51" i="15"/>
  <c r="AC53" i="15"/>
  <c r="AD53" i="15" s="1"/>
  <c r="PU52" i="15"/>
  <c r="PV51" i="15"/>
  <c r="TE52" i="15"/>
  <c r="TF51" i="15"/>
  <c r="QB54" i="15"/>
  <c r="BL54" i="15"/>
  <c r="NH54" i="15"/>
  <c r="MZ53" i="15"/>
  <c r="DX54" i="15"/>
  <c r="TX54" i="15"/>
  <c r="GJ54" i="15"/>
  <c r="NU52" i="15"/>
  <c r="NV51" i="15"/>
  <c r="RP54" i="15"/>
  <c r="TQ52" i="15"/>
  <c r="TR51" i="15"/>
  <c r="SJ54" i="15"/>
  <c r="SH52" i="15"/>
  <c r="IT52" i="15"/>
  <c r="CV54" i="15"/>
  <c r="MS52" i="15"/>
  <c r="MT51" i="15"/>
  <c r="TA52" i="15"/>
  <c r="TB51" i="15"/>
  <c r="SZ54" i="15"/>
  <c r="KV54" i="15"/>
  <c r="BT53" i="15"/>
  <c r="DP54" i="15"/>
  <c r="LT54" i="15"/>
  <c r="LE52" i="15"/>
  <c r="LF51" i="15"/>
  <c r="SC52" i="15"/>
  <c r="SD51" i="15"/>
  <c r="EB54" i="15"/>
  <c r="HH54" i="15"/>
  <c r="FA52" i="15"/>
  <c r="FB51" i="15"/>
  <c r="OV54" i="15"/>
  <c r="HX54" i="15"/>
  <c r="KZ54" i="15"/>
  <c r="CJ54" i="15"/>
  <c r="ND54" i="15"/>
  <c r="SF54" i="15"/>
  <c r="Q52" i="15"/>
  <c r="R51" i="15"/>
  <c r="TY53" i="15"/>
  <c r="RH54" i="15"/>
  <c r="EJ54" i="15"/>
  <c r="EK54" i="15" s="1"/>
  <c r="EL53" i="15"/>
  <c r="RT54" i="15"/>
  <c r="GZ54" i="15"/>
  <c r="DT54" i="15"/>
  <c r="AZ54" i="15"/>
  <c r="DU52" i="15"/>
  <c r="DV51" i="15"/>
  <c r="MP52" i="15"/>
  <c r="IR54" i="15"/>
  <c r="RU52" i="15"/>
  <c r="RV51" i="15"/>
  <c r="QG52" i="15"/>
  <c r="QH51" i="15"/>
  <c r="KF54" i="15"/>
  <c r="CL52" i="15"/>
  <c r="KG52" i="15"/>
  <c r="KH51" i="15"/>
  <c r="NP54" i="15"/>
  <c r="TU53" i="15"/>
  <c r="LP54" i="15"/>
  <c r="OJ54" i="15"/>
  <c r="AS52" i="15"/>
  <c r="AT51" i="15"/>
  <c r="AW52" i="15"/>
  <c r="AX51" i="15"/>
  <c r="PA52" i="15"/>
  <c r="PB51" i="15"/>
  <c r="GV54" i="15"/>
  <c r="AJ54" i="15"/>
  <c r="TP54" i="15"/>
  <c r="MN54" i="15"/>
  <c r="TI52" i="15"/>
  <c r="TJ51" i="15"/>
  <c r="TD54" i="15"/>
  <c r="BD54" i="15"/>
  <c r="JP54" i="15"/>
  <c r="FX54" i="15"/>
  <c r="KC52" i="15"/>
  <c r="KD51" i="15"/>
  <c r="HL54" i="15"/>
  <c r="MJ54" i="15"/>
  <c r="MF54" i="15"/>
  <c r="MG54" i="15" s="1"/>
  <c r="T54" i="15"/>
  <c r="NL54" i="15"/>
  <c r="OK53" i="15"/>
  <c r="RA52" i="15"/>
  <c r="RB51" i="15"/>
  <c r="OZ54" i="15"/>
  <c r="LL54" i="15"/>
  <c r="JI52" i="15"/>
  <c r="JJ51" i="15"/>
  <c r="UC52" i="15"/>
  <c r="UD51" i="15"/>
  <c r="TT54" i="15"/>
  <c r="BB52" i="15"/>
  <c r="FP54" i="15"/>
  <c r="OR54" i="15"/>
  <c r="JM53" i="15"/>
  <c r="IB54" i="15"/>
  <c r="LA52" i="15"/>
  <c r="LB51" i="15"/>
  <c r="HU52" i="15"/>
  <c r="HV51" i="15"/>
  <c r="UR54" i="15"/>
  <c r="M52" i="15"/>
  <c r="N51" i="15"/>
  <c r="NQ52" i="15"/>
  <c r="NR51" i="15"/>
  <c r="GB54" i="15"/>
  <c r="GF54" i="15"/>
  <c r="CB53" i="15"/>
  <c r="AR54" i="15"/>
  <c r="NM52" i="15"/>
  <c r="NN51" i="15"/>
  <c r="PT54" i="15"/>
  <c r="KJ54" i="15"/>
  <c r="DH54" i="15"/>
  <c r="IJ54" i="15"/>
  <c r="AK53" i="15"/>
  <c r="PX54" i="15"/>
  <c r="KK53" i="15"/>
  <c r="PL53" i="15"/>
  <c r="CT51" i="15"/>
  <c r="OS52" i="15"/>
  <c r="OT51" i="15"/>
  <c r="SN54" i="15"/>
  <c r="HD54" i="15"/>
  <c r="QF54" i="15"/>
  <c r="DD54" i="15"/>
  <c r="EN54" i="15"/>
  <c r="HM53" i="15"/>
  <c r="P54" i="15"/>
  <c r="JD54" i="15"/>
  <c r="QK52" i="15"/>
  <c r="QL51" i="15"/>
  <c r="QT52" i="15"/>
  <c r="SW53" i="15"/>
  <c r="OB54" i="15"/>
  <c r="AN54" i="15"/>
  <c r="AP53" i="15"/>
  <c r="JH54" i="15"/>
  <c r="JQ52" i="15"/>
  <c r="JR51" i="15"/>
  <c r="FM53" i="15"/>
  <c r="FN53" i="15" s="1"/>
  <c r="KB54" i="15"/>
  <c r="DE52" i="15"/>
  <c r="DF51" i="15"/>
  <c r="TH54" i="15"/>
  <c r="NX54" i="15"/>
  <c r="TL54" i="15"/>
  <c r="FD54" i="15"/>
  <c r="AF54" i="15"/>
  <c r="HP54" i="15"/>
  <c r="CR53" i="15"/>
  <c r="DQ53" i="15"/>
  <c r="DR53" i="15" s="1"/>
  <c r="RQ52" i="15"/>
  <c r="RR51" i="15"/>
  <c r="CN54" i="15"/>
  <c r="QZ54" i="15"/>
  <c r="OF53" i="15"/>
  <c r="ES52" i="15"/>
  <c r="ET51" i="15"/>
  <c r="UB54" i="15"/>
  <c r="EC52" i="15"/>
  <c r="ED51" i="15"/>
  <c r="QV54" i="15"/>
  <c r="UK52" i="15"/>
  <c r="UL51" i="15"/>
  <c r="QR54" i="15"/>
  <c r="Y52" i="15"/>
  <c r="Z51" i="15"/>
  <c r="RF53" i="15"/>
  <c r="RD54" i="15"/>
  <c r="J52" i="15"/>
  <c r="H53" i="15"/>
  <c r="DL54" i="15"/>
  <c r="KR54" i="15"/>
  <c r="QN54" i="15"/>
  <c r="RY52" i="15"/>
  <c r="RZ51" i="15"/>
  <c r="GW53" i="15"/>
  <c r="L54" i="15"/>
  <c r="RL54" i="15"/>
  <c r="EZ54" i="15"/>
  <c r="IK52" i="15"/>
  <c r="IL51" i="15"/>
  <c r="DY52" i="15"/>
  <c r="DZ51" i="15"/>
  <c r="KN54" i="15"/>
  <c r="MW52" i="15"/>
  <c r="MX51" i="15"/>
  <c r="LQ53" i="15"/>
  <c r="BJ52" i="15"/>
  <c r="FT54" i="15"/>
  <c r="FU54" i="15" s="1"/>
  <c r="FV53" i="15"/>
  <c r="BX54" i="15"/>
  <c r="JU52" i="15"/>
  <c r="JV51" i="15"/>
  <c r="X54" i="15"/>
  <c r="UG52" i="15"/>
  <c r="UH51" i="15"/>
  <c r="HY53" i="15"/>
  <c r="LD54" i="15"/>
  <c r="KS53" i="15"/>
  <c r="KT53" i="15" s="1"/>
  <c r="KW52" i="15"/>
  <c r="KX51" i="15"/>
  <c r="US52" i="15"/>
  <c r="UT51" i="15"/>
  <c r="BM52" i="15"/>
  <c r="BN51" i="15"/>
  <c r="MV54" i="15"/>
  <c r="ON54" i="15"/>
  <c r="FQ52" i="15"/>
  <c r="FR51" i="15"/>
  <c r="IF54" i="15"/>
  <c r="OC52" i="15"/>
  <c r="OD51" i="15"/>
  <c r="PQ52" i="15"/>
  <c r="PR51" i="15"/>
  <c r="QJ54" i="15"/>
  <c r="AV54" i="15"/>
  <c r="IZ54" i="15"/>
  <c r="MD52" i="15"/>
  <c r="BH54" i="15"/>
  <c r="HI52" i="15"/>
  <c r="HJ51" i="15"/>
  <c r="IO52" i="15"/>
  <c r="IP51" i="15"/>
  <c r="NI52" i="15"/>
  <c r="NJ51" i="15"/>
  <c r="FH54" i="15"/>
  <c r="U53" i="15"/>
  <c r="NT54" i="15"/>
  <c r="TM52" i="15"/>
  <c r="TN51" i="15"/>
  <c r="PH54" i="15"/>
  <c r="PI54" i="15" s="1"/>
  <c r="PJ53" i="15"/>
  <c r="NE52" i="15"/>
  <c r="NF51" i="15"/>
  <c r="LM53" i="15"/>
  <c r="LJ52" i="15"/>
  <c r="RM52" i="15"/>
  <c r="RN51" i="15"/>
  <c r="QW53" i="15"/>
  <c r="SO53" i="15"/>
  <c r="SP53" i="15" s="1"/>
  <c r="LU52" i="15"/>
  <c r="LV51" i="15"/>
  <c r="D54" i="15"/>
  <c r="BY52" i="15"/>
  <c r="BZ51" i="15"/>
  <c r="ER54" i="15"/>
  <c r="IN54" i="15"/>
  <c r="EW52" i="15"/>
  <c r="EX51" i="15"/>
  <c r="SB54" i="15"/>
  <c r="JL54" i="15"/>
  <c r="UF54" i="15"/>
  <c r="LY53" i="15"/>
  <c r="NA52" i="15"/>
  <c r="NB52" i="15" s="1"/>
  <c r="QC52" i="15"/>
  <c r="QD51" i="15"/>
  <c r="UJ54" i="15"/>
  <c r="PD54" i="15"/>
  <c r="CG52" i="15"/>
  <c r="CH51" i="15"/>
  <c r="EF54" i="15"/>
  <c r="MB54" i="15"/>
  <c r="HT54" i="15"/>
  <c r="BP54" i="15"/>
  <c r="BQ54" i="15" s="1"/>
  <c r="BR53" i="15"/>
  <c r="BE53" i="15"/>
  <c r="BF53" i="15" s="1"/>
  <c r="IV54" i="15"/>
  <c r="GN54" i="15"/>
  <c r="CC52" i="15"/>
  <c r="CD52" i="15" s="1"/>
  <c r="NY52" i="15"/>
  <c r="NZ51" i="15"/>
  <c r="GR54" i="15"/>
  <c r="SK53" i="15"/>
  <c r="RI53" i="15"/>
  <c r="RJ53" i="15" s="1"/>
  <c r="JE52" i="15"/>
  <c r="JF51" i="15"/>
  <c r="LH54" i="15"/>
  <c r="QO53" i="15"/>
  <c r="PP54" i="15"/>
  <c r="JT54" i="15"/>
  <c r="DA53" i="15"/>
  <c r="F56" i="11"/>
  <c r="G56" i="11" s="1"/>
  <c r="F57" i="2"/>
  <c r="G57" i="2" s="1"/>
  <c r="E57" i="11"/>
  <c r="G55" i="11"/>
  <c r="E57" i="9"/>
  <c r="F56" i="9"/>
  <c r="E57" i="8"/>
  <c r="F56" i="8"/>
  <c r="G56" i="2"/>
  <c r="E58" i="2"/>
  <c r="RE54" i="15" l="1"/>
  <c r="BU53" i="15"/>
  <c r="PY54" i="15"/>
  <c r="PZ54" i="15" s="1"/>
  <c r="CO54" i="15"/>
  <c r="CP54" i="15" s="1"/>
  <c r="DM54" i="15"/>
  <c r="DN54" i="15" s="1"/>
  <c r="KO54" i="15"/>
  <c r="KP54" i="15" s="1"/>
  <c r="OG53" i="15"/>
  <c r="OH53" i="15" s="1"/>
  <c r="EO54" i="15"/>
  <c r="EP54" i="15" s="1"/>
  <c r="LI54" i="15"/>
  <c r="LJ54" i="15" s="1"/>
  <c r="QS54" i="15"/>
  <c r="QT54" i="15" s="1"/>
  <c r="FE54" i="15"/>
  <c r="FF54" i="15" s="1"/>
  <c r="CS53" i="15"/>
  <c r="CT53" i="15" s="1"/>
  <c r="GO54" i="15"/>
  <c r="GP54" i="15" s="1"/>
  <c r="HE54" i="15"/>
  <c r="HF54" i="15" s="1"/>
  <c r="BI54" i="15"/>
  <c r="BJ54" i="15" s="1"/>
  <c r="PM53" i="15"/>
  <c r="PN53" i="15" s="1"/>
  <c r="MC54" i="15"/>
  <c r="SK54" i="15"/>
  <c r="FY54" i="15"/>
  <c r="FZ54" i="15" s="1"/>
  <c r="HM54" i="15"/>
  <c r="HN54" i="15" s="1"/>
  <c r="IG54" i="15"/>
  <c r="IH54" i="15" s="1"/>
  <c r="TY54" i="15"/>
  <c r="TZ54" i="15" s="1"/>
  <c r="MO54" i="15"/>
  <c r="MP54" i="15" s="1"/>
  <c r="SG54" i="15"/>
  <c r="SH54" i="15" s="1"/>
  <c r="JM54" i="15"/>
  <c r="JN54" i="15" s="1"/>
  <c r="LQ54" i="15"/>
  <c r="LR54" i="15" s="1"/>
  <c r="HN53" i="15"/>
  <c r="TU54" i="15"/>
  <c r="TV54" i="15" s="1"/>
  <c r="U54" i="15"/>
  <c r="V54" i="15" s="1"/>
  <c r="QO54" i="15"/>
  <c r="QP54" i="15" s="1"/>
  <c r="LY54" i="15"/>
  <c r="LZ54" i="15" s="1"/>
  <c r="SW54" i="15"/>
  <c r="SX54" i="15" s="1"/>
  <c r="KK54" i="15"/>
  <c r="KL54" i="15" s="1"/>
  <c r="HY54" i="15"/>
  <c r="HZ54" i="15" s="1"/>
  <c r="OK54" i="15"/>
  <c r="OL54" i="15" s="1"/>
  <c r="GW54" i="15"/>
  <c r="GX54" i="15" s="1"/>
  <c r="CV55" i="15"/>
  <c r="MZ54" i="15"/>
  <c r="OW53" i="15"/>
  <c r="OX52" i="15"/>
  <c r="RX55" i="15"/>
  <c r="LL55" i="15"/>
  <c r="PT55" i="15"/>
  <c r="QF55" i="15"/>
  <c r="RH55" i="15"/>
  <c r="LA53" i="15"/>
  <c r="LB52" i="15"/>
  <c r="JP55" i="15"/>
  <c r="Q53" i="15"/>
  <c r="R52" i="15"/>
  <c r="SC53" i="15"/>
  <c r="SD52" i="15"/>
  <c r="NH55" i="15"/>
  <c r="DI53" i="15"/>
  <c r="DJ52" i="15"/>
  <c r="MR55" i="15"/>
  <c r="BM53" i="15"/>
  <c r="BN52" i="15"/>
  <c r="HU53" i="15"/>
  <c r="HV52" i="15"/>
  <c r="KR55" i="15"/>
  <c r="AR55" i="15"/>
  <c r="RA53" i="15"/>
  <c r="RB52" i="15"/>
  <c r="AS53" i="15"/>
  <c r="AT52" i="15"/>
  <c r="FL55" i="15"/>
  <c r="LH55" i="15"/>
  <c r="OS53" i="15"/>
  <c r="OT52" i="15"/>
  <c r="CB54" i="15"/>
  <c r="IB55" i="15"/>
  <c r="BD55" i="15"/>
  <c r="OL53" i="15"/>
  <c r="DU53" i="15"/>
  <c r="DV52" i="15"/>
  <c r="SF55" i="15"/>
  <c r="LE53" i="15"/>
  <c r="LF52" i="15"/>
  <c r="SL53" i="15"/>
  <c r="SS53" i="15"/>
  <c r="ST52" i="15"/>
  <c r="MK53" i="15"/>
  <c r="ML52" i="15"/>
  <c r="MS53" i="15"/>
  <c r="MT52" i="15"/>
  <c r="AV55" i="15"/>
  <c r="EF55" i="15"/>
  <c r="OJ55" i="15"/>
  <c r="AZ55" i="15"/>
  <c r="LT55" i="15"/>
  <c r="SJ55" i="15"/>
  <c r="BL55" i="15"/>
  <c r="US53" i="15"/>
  <c r="UT52" i="15"/>
  <c r="JE53" i="15"/>
  <c r="JF52" i="15"/>
  <c r="QV55" i="15"/>
  <c r="CZ55" i="15"/>
  <c r="SB55" i="15"/>
  <c r="AN55" i="15"/>
  <c r="IR55" i="15"/>
  <c r="UB55" i="15"/>
  <c r="H54" i="15"/>
  <c r="GC53" i="15"/>
  <c r="GD52" i="15"/>
  <c r="PD55" i="15"/>
  <c r="BY53" i="15"/>
  <c r="BZ52" i="15"/>
  <c r="OC53" i="15"/>
  <c r="OD52" i="15"/>
  <c r="TH55" i="15"/>
  <c r="GF55" i="15"/>
  <c r="OR55" i="15"/>
  <c r="NL55" i="15"/>
  <c r="LP55" i="15"/>
  <c r="TQ53" i="15"/>
  <c r="TR52" i="15"/>
  <c r="QB55" i="15"/>
  <c r="IZ55" i="15"/>
  <c r="TL55" i="15"/>
  <c r="ES53" i="15"/>
  <c r="ET52" i="15"/>
  <c r="QZ55" i="15"/>
  <c r="CJ55" i="15"/>
  <c r="GK53" i="15"/>
  <c r="GL52" i="15"/>
  <c r="LZ53" i="15"/>
  <c r="HD55" i="15"/>
  <c r="AW53" i="15"/>
  <c r="AX52" i="15"/>
  <c r="SN55" i="15"/>
  <c r="NT55" i="15"/>
  <c r="NX55" i="15"/>
  <c r="GR55" i="15"/>
  <c r="ND55" i="15"/>
  <c r="NY53" i="15"/>
  <c r="NZ52" i="15"/>
  <c r="CC53" i="15"/>
  <c r="D55" i="15"/>
  <c r="IF55" i="15"/>
  <c r="Y53" i="15"/>
  <c r="Z52" i="15"/>
  <c r="CN55" i="15"/>
  <c r="DE53" i="15"/>
  <c r="DF52" i="15"/>
  <c r="T55" i="15"/>
  <c r="MN55" i="15"/>
  <c r="KZ55" i="15"/>
  <c r="BV53" i="15"/>
  <c r="BT54" i="15"/>
  <c r="RP55" i="15"/>
  <c r="TE53" i="15"/>
  <c r="TF52" i="15"/>
  <c r="LX55" i="15"/>
  <c r="HT55" i="15"/>
  <c r="EV55" i="15"/>
  <c r="MW53" i="15"/>
  <c r="MX52" i="15"/>
  <c r="KW53" i="15"/>
  <c r="KX52" i="15"/>
  <c r="ER55" i="15"/>
  <c r="DP55" i="15"/>
  <c r="NI53" i="15"/>
  <c r="NJ52" i="15"/>
  <c r="X55" i="15"/>
  <c r="RL55" i="15"/>
  <c r="BA54" i="15"/>
  <c r="BB54" i="15" s="1"/>
  <c r="P55" i="15"/>
  <c r="PX55" i="15"/>
  <c r="GB55" i="15"/>
  <c r="NP55" i="15"/>
  <c r="DT55" i="15"/>
  <c r="IS54" i="15"/>
  <c r="IT54" i="15" s="1"/>
  <c r="AF55" i="15"/>
  <c r="NE53" i="15"/>
  <c r="NF52" i="15"/>
  <c r="RU53" i="15"/>
  <c r="RV52" i="15"/>
  <c r="MD54" i="15"/>
  <c r="MB55" i="15"/>
  <c r="FD55" i="15"/>
  <c r="TM53" i="15"/>
  <c r="TN52" i="15"/>
  <c r="CG53" i="15"/>
  <c r="CH52" i="15"/>
  <c r="QK53" i="15"/>
  <c r="QL52" i="15"/>
  <c r="LR53" i="15"/>
  <c r="UJ55" i="15"/>
  <c r="GN55" i="15"/>
  <c r="QC53" i="15"/>
  <c r="QD52" i="15"/>
  <c r="LU53" i="15"/>
  <c r="LV52" i="15"/>
  <c r="FQ53" i="15"/>
  <c r="FR52" i="15"/>
  <c r="L55" i="15"/>
  <c r="KB55" i="15"/>
  <c r="AK54" i="15"/>
  <c r="AL54" i="15" s="1"/>
  <c r="TV53" i="15"/>
  <c r="MH54" i="15"/>
  <c r="MF55" i="15"/>
  <c r="HX55" i="15"/>
  <c r="NU53" i="15"/>
  <c r="NV52" i="15"/>
  <c r="GG53" i="15"/>
  <c r="GH52" i="15"/>
  <c r="UN55" i="15"/>
  <c r="UO54" i="15"/>
  <c r="UP54" i="15" s="1"/>
  <c r="DX55" i="15"/>
  <c r="FX55" i="15"/>
  <c r="OZ55" i="15"/>
  <c r="QJ55" i="15"/>
  <c r="IN55" i="15"/>
  <c r="IK53" i="15"/>
  <c r="IL52" i="15"/>
  <c r="NA53" i="15"/>
  <c r="SO54" i="15"/>
  <c r="IO53" i="15"/>
  <c r="IP52" i="15"/>
  <c r="JU53" i="15"/>
  <c r="JV52" i="15"/>
  <c r="RQ53" i="15"/>
  <c r="RR52" i="15"/>
  <c r="FM54" i="15"/>
  <c r="TT55" i="15"/>
  <c r="TP55" i="15"/>
  <c r="KG53" i="15"/>
  <c r="KH52" i="15"/>
  <c r="GZ55" i="15"/>
  <c r="HZ53" i="15"/>
  <c r="KV55" i="15"/>
  <c r="IC54" i="15"/>
  <c r="PU53" i="15"/>
  <c r="PV52" i="15"/>
  <c r="AG54" i="15"/>
  <c r="HH55" i="15"/>
  <c r="PH55" i="15"/>
  <c r="PI55" i="15" s="1"/>
  <c r="PJ54" i="15"/>
  <c r="PL54" i="15"/>
  <c r="FH55" i="15"/>
  <c r="TI53" i="15"/>
  <c r="TJ52" i="15"/>
  <c r="DA54" i="15"/>
  <c r="IV55" i="15"/>
  <c r="QW54" i="15"/>
  <c r="ON55" i="15"/>
  <c r="DQ54" i="15"/>
  <c r="DR54" i="15" s="1"/>
  <c r="IJ55" i="15"/>
  <c r="NQ53" i="15"/>
  <c r="NR52" i="15"/>
  <c r="MJ55" i="15"/>
  <c r="AL53" i="15"/>
  <c r="CK54" i="15"/>
  <c r="CL54" i="15" s="1"/>
  <c r="OV55" i="15"/>
  <c r="GJ55" i="15"/>
  <c r="AC54" i="15"/>
  <c r="AD54" i="15" s="1"/>
  <c r="HA53" i="15"/>
  <c r="HB52" i="15"/>
  <c r="OO53" i="15"/>
  <c r="OP52" i="15"/>
  <c r="I53" i="15"/>
  <c r="EB55" i="15"/>
  <c r="TD55" i="15"/>
  <c r="QR55" i="15"/>
  <c r="SZ55" i="15"/>
  <c r="PE54" i="15"/>
  <c r="NM53" i="15"/>
  <c r="NN52" i="15"/>
  <c r="RI54" i="15"/>
  <c r="DL55" i="15"/>
  <c r="PQ53" i="15"/>
  <c r="PR52" i="15"/>
  <c r="JA54" i="15"/>
  <c r="EZ55" i="15"/>
  <c r="FP55" i="15"/>
  <c r="BE54" i="15"/>
  <c r="BF54" i="15" s="1"/>
  <c r="HI53" i="15"/>
  <c r="HJ52" i="15"/>
  <c r="CR54" i="15"/>
  <c r="KF55" i="15"/>
  <c r="JT55" i="15"/>
  <c r="RM53" i="15"/>
  <c r="RN52" i="15"/>
  <c r="RY53" i="15"/>
  <c r="RZ52" i="15"/>
  <c r="EG54" i="15"/>
  <c r="M53" i="15"/>
  <c r="N52" i="15"/>
  <c r="HL55" i="15"/>
  <c r="GX53" i="15"/>
  <c r="RT55" i="15"/>
  <c r="TZ53" i="15"/>
  <c r="IW53" i="15"/>
  <c r="IX52" i="15"/>
  <c r="CF55" i="15"/>
  <c r="CW53" i="15"/>
  <c r="CX52" i="15"/>
  <c r="E54" i="15"/>
  <c r="PA53" i="15"/>
  <c r="PB52" i="15"/>
  <c r="OB55" i="15"/>
  <c r="KS54" i="15"/>
  <c r="DY53" i="15"/>
  <c r="DZ52" i="15"/>
  <c r="OF54" i="15"/>
  <c r="RD55" i="15"/>
  <c r="RE55" i="15" s="1"/>
  <c r="RF54" i="15"/>
  <c r="JX55" i="15"/>
  <c r="UG53" i="15"/>
  <c r="UH52" i="15"/>
  <c r="JY54" i="15"/>
  <c r="UF55" i="15"/>
  <c r="JQ53" i="15"/>
  <c r="JR52" i="15"/>
  <c r="DH55" i="15"/>
  <c r="UC53" i="15"/>
  <c r="UD52" i="15"/>
  <c r="AJ55" i="15"/>
  <c r="PP55" i="15"/>
  <c r="BR54" i="15"/>
  <c r="BP55" i="15"/>
  <c r="BQ55" i="15" s="1"/>
  <c r="JL55" i="15"/>
  <c r="BH55" i="15"/>
  <c r="MV55" i="15"/>
  <c r="FV54" i="15"/>
  <c r="FT55" i="15"/>
  <c r="FU55" i="15" s="1"/>
  <c r="QP53" i="15"/>
  <c r="UK53" i="15"/>
  <c r="UL52" i="15"/>
  <c r="DD55" i="15"/>
  <c r="KL53" i="15"/>
  <c r="UR55" i="15"/>
  <c r="JI53" i="15"/>
  <c r="JJ52" i="15"/>
  <c r="GV55" i="15"/>
  <c r="FA53" i="15"/>
  <c r="FB52" i="15"/>
  <c r="TA53" i="15"/>
  <c r="TB52" i="15"/>
  <c r="TX55" i="15"/>
  <c r="GS54" i="15"/>
  <c r="FI54" i="15"/>
  <c r="SX53" i="15"/>
  <c r="AO54" i="15"/>
  <c r="AB55" i="15"/>
  <c r="EC53" i="15"/>
  <c r="ED52" i="15"/>
  <c r="EW53" i="15"/>
  <c r="EX52" i="15"/>
  <c r="KN55" i="15"/>
  <c r="LD55" i="15"/>
  <c r="JD55" i="15"/>
  <c r="V53" i="15"/>
  <c r="BX55" i="15"/>
  <c r="EN55" i="15"/>
  <c r="EO55" i="15" s="1"/>
  <c r="JN53" i="15"/>
  <c r="LM54" i="15"/>
  <c r="QN55" i="15"/>
  <c r="QX53" i="15"/>
  <c r="HP55" i="15"/>
  <c r="JH55" i="15"/>
  <c r="KJ55" i="15"/>
  <c r="LN53" i="15"/>
  <c r="KC53" i="15"/>
  <c r="KD52" i="15"/>
  <c r="QG53" i="15"/>
  <c r="QH52" i="15"/>
  <c r="EL54" i="15"/>
  <c r="EJ55" i="15"/>
  <c r="EK55" i="15" s="1"/>
  <c r="DB53" i="15"/>
  <c r="SR55" i="15"/>
  <c r="SV55" i="15"/>
  <c r="HQ54" i="15"/>
  <c r="HR54" i="15" s="1"/>
  <c r="F57" i="11"/>
  <c r="G57" i="11" s="1"/>
  <c r="F57" i="8"/>
  <c r="G57" i="8" s="1"/>
  <c r="F57" i="9"/>
  <c r="G57" i="9" s="1"/>
  <c r="E58" i="11"/>
  <c r="G57" i="10"/>
  <c r="G56" i="10"/>
  <c r="G56" i="9"/>
  <c r="E58" i="9"/>
  <c r="G56" i="8"/>
  <c r="E58" i="8"/>
  <c r="E59" i="2"/>
  <c r="F58" i="2"/>
  <c r="PY55" i="15" l="1"/>
  <c r="FE55" i="15"/>
  <c r="FF55" i="15" s="1"/>
  <c r="MC55" i="15"/>
  <c r="MD55" i="15" s="1"/>
  <c r="KO55" i="15"/>
  <c r="KP55" i="15" s="1"/>
  <c r="OG54" i="15"/>
  <c r="OH54" i="15" s="1"/>
  <c r="QS55" i="15"/>
  <c r="QT55" i="15" s="1"/>
  <c r="BI55" i="15"/>
  <c r="BJ55" i="15" s="1"/>
  <c r="SK55" i="15"/>
  <c r="SL55" i="15" s="1"/>
  <c r="KS55" i="15"/>
  <c r="KT55" i="15" s="1"/>
  <c r="LQ55" i="15"/>
  <c r="SL54" i="15"/>
  <c r="PM54" i="15"/>
  <c r="PN54" i="15" s="1"/>
  <c r="HE55" i="15"/>
  <c r="HF55" i="15" s="1"/>
  <c r="U55" i="15"/>
  <c r="V55" i="15" s="1"/>
  <c r="QW55" i="15"/>
  <c r="QX55" i="15" s="1"/>
  <c r="IG55" i="15"/>
  <c r="IH55" i="15" s="1"/>
  <c r="TY55" i="15"/>
  <c r="TZ55" i="15" s="1"/>
  <c r="GW55" i="15"/>
  <c r="GX55" i="15" s="1"/>
  <c r="HY55" i="15"/>
  <c r="HZ55" i="15" s="1"/>
  <c r="JM55" i="15"/>
  <c r="JN55" i="15" s="1"/>
  <c r="LY55" i="15"/>
  <c r="LZ55" i="15" s="1"/>
  <c r="CC54" i="15"/>
  <c r="CD54" i="15" s="1"/>
  <c r="QO55" i="15"/>
  <c r="QP55" i="15" s="1"/>
  <c r="TU55" i="15"/>
  <c r="TV55" i="15" s="1"/>
  <c r="SO55" i="15"/>
  <c r="SP55" i="15" s="1"/>
  <c r="KK55" i="15"/>
  <c r="KL55" i="15" s="1"/>
  <c r="IC55" i="15"/>
  <c r="ID55" i="15" s="1"/>
  <c r="NA54" i="15"/>
  <c r="NB54" i="15" s="1"/>
  <c r="SW55" i="15"/>
  <c r="SX55" i="15" s="1"/>
  <c r="I54" i="15"/>
  <c r="J54" i="15" s="1"/>
  <c r="RI55" i="15"/>
  <c r="RJ55" i="15" s="1"/>
  <c r="FI55" i="15"/>
  <c r="FJ55" i="15" s="1"/>
  <c r="GS55" i="15"/>
  <c r="GT55" i="15" s="1"/>
  <c r="EG55" i="15"/>
  <c r="EH55" i="15" s="1"/>
  <c r="LM55" i="15"/>
  <c r="LN55" i="15" s="1"/>
  <c r="AG55" i="15"/>
  <c r="AH55" i="15" s="1"/>
  <c r="PE55" i="15"/>
  <c r="PF55" i="15" s="1"/>
  <c r="DA55" i="15"/>
  <c r="DB55" i="15" s="1"/>
  <c r="FM55" i="15"/>
  <c r="FN55" i="15" s="1"/>
  <c r="JY55" i="15"/>
  <c r="JZ55" i="15" s="1"/>
  <c r="AO55" i="15"/>
  <c r="AP55" i="15" s="1"/>
  <c r="JA55" i="15"/>
  <c r="JB55" i="15" s="1"/>
  <c r="LT56" i="15"/>
  <c r="PU54" i="15"/>
  <c r="PV53" i="15"/>
  <c r="IO54" i="15"/>
  <c r="IP53" i="15"/>
  <c r="QC54" i="15"/>
  <c r="QD53" i="15"/>
  <c r="GK54" i="15"/>
  <c r="GL53" i="15"/>
  <c r="OR56" i="15"/>
  <c r="AP54" i="15"/>
  <c r="SF56" i="15"/>
  <c r="OW54" i="15"/>
  <c r="OX53" i="15"/>
  <c r="LU54" i="15"/>
  <c r="LV53" i="15"/>
  <c r="UN56" i="15"/>
  <c r="GG54" i="15"/>
  <c r="GH53" i="15"/>
  <c r="NE54" i="15"/>
  <c r="NF53" i="15"/>
  <c r="NI54" i="15"/>
  <c r="NJ53" i="15"/>
  <c r="BT55" i="15"/>
  <c r="CJ56" i="15"/>
  <c r="AN56" i="15"/>
  <c r="RA54" i="15"/>
  <c r="RB53" i="15"/>
  <c r="Q54" i="15"/>
  <c r="R53" i="15"/>
  <c r="NB53" i="15"/>
  <c r="GN56" i="15"/>
  <c r="AH54" i="15"/>
  <c r="DP56" i="15"/>
  <c r="NY54" i="15"/>
  <c r="NZ53" i="15"/>
  <c r="GF56" i="15"/>
  <c r="OJ56" i="15"/>
  <c r="AR56" i="15"/>
  <c r="MZ55" i="15"/>
  <c r="UR56" i="15"/>
  <c r="EW54" i="15"/>
  <c r="EX53" i="15"/>
  <c r="M54" i="15"/>
  <c r="N53" i="15"/>
  <c r="HA54" i="15"/>
  <c r="HB53" i="15"/>
  <c r="NU54" i="15"/>
  <c r="NV53" i="15"/>
  <c r="AF56" i="15"/>
  <c r="KZ56" i="15"/>
  <c r="ND56" i="15"/>
  <c r="QZ56" i="15"/>
  <c r="SB56" i="15"/>
  <c r="OK55" i="15"/>
  <c r="DU54" i="15"/>
  <c r="DV53" i="15"/>
  <c r="JP56" i="15"/>
  <c r="CV56" i="15"/>
  <c r="TE54" i="15"/>
  <c r="TF53" i="15"/>
  <c r="PP56" i="15"/>
  <c r="JH56" i="15"/>
  <c r="PQ54" i="15"/>
  <c r="PR53" i="15"/>
  <c r="AC55" i="15"/>
  <c r="AD55" i="15" s="1"/>
  <c r="IV56" i="15"/>
  <c r="UJ56" i="15"/>
  <c r="IS55" i="15"/>
  <c r="IT55" i="15" s="1"/>
  <c r="TH56" i="15"/>
  <c r="CZ56" i="15"/>
  <c r="FP56" i="15"/>
  <c r="OB56" i="15"/>
  <c r="GZ56" i="15"/>
  <c r="IK54" i="15"/>
  <c r="IL53" i="15"/>
  <c r="HX56" i="15"/>
  <c r="DT56" i="15"/>
  <c r="ER56" i="15"/>
  <c r="GR56" i="15"/>
  <c r="DB54" i="15"/>
  <c r="EF56" i="15"/>
  <c r="KR56" i="15"/>
  <c r="LA54" i="15"/>
  <c r="LB53" i="15"/>
  <c r="SC54" i="15"/>
  <c r="SD53" i="15"/>
  <c r="OO54" i="15"/>
  <c r="OP53" i="15"/>
  <c r="GJ56" i="15"/>
  <c r="GO55" i="15"/>
  <c r="GP55" i="15" s="1"/>
  <c r="MF56" i="15"/>
  <c r="MN56" i="15"/>
  <c r="GT54" i="15"/>
  <c r="ES54" i="15"/>
  <c r="ET53" i="15"/>
  <c r="QV56" i="15"/>
  <c r="EH54" i="15"/>
  <c r="BD56" i="15"/>
  <c r="KT54" i="15"/>
  <c r="RJ54" i="15"/>
  <c r="RP56" i="15"/>
  <c r="HL56" i="15"/>
  <c r="OV56" i="15"/>
  <c r="TI54" i="15"/>
  <c r="TJ53" i="15"/>
  <c r="IN56" i="15"/>
  <c r="NP56" i="15"/>
  <c r="T56" i="15"/>
  <c r="NX56" i="15"/>
  <c r="TL56" i="15"/>
  <c r="OC54" i="15"/>
  <c r="OD53" i="15"/>
  <c r="QX54" i="15"/>
  <c r="AV56" i="15"/>
  <c r="ID54" i="15"/>
  <c r="RH56" i="15"/>
  <c r="X56" i="15"/>
  <c r="JI54" i="15"/>
  <c r="JJ53" i="15"/>
  <c r="EC54" i="15"/>
  <c r="ED53" i="15"/>
  <c r="SV56" i="15"/>
  <c r="RM54" i="15"/>
  <c r="RN53" i="15"/>
  <c r="FH56" i="15"/>
  <c r="KG54" i="15"/>
  <c r="KH53" i="15"/>
  <c r="QK54" i="15"/>
  <c r="QL53" i="15"/>
  <c r="KW54" i="15"/>
  <c r="KX53" i="15"/>
  <c r="IB56" i="15"/>
  <c r="HU54" i="15"/>
  <c r="HV53" i="15"/>
  <c r="QF56" i="15"/>
  <c r="AZ56" i="15"/>
  <c r="RY54" i="15"/>
  <c r="RZ53" i="15"/>
  <c r="SR56" i="15"/>
  <c r="FJ54" i="15"/>
  <c r="GB56" i="15"/>
  <c r="NT56" i="15"/>
  <c r="JB54" i="15"/>
  <c r="BY54" i="15"/>
  <c r="BZ53" i="15"/>
  <c r="JE54" i="15"/>
  <c r="JF53" i="15"/>
  <c r="CD53" i="15"/>
  <c r="SG55" i="15"/>
  <c r="RU54" i="15"/>
  <c r="RV53" i="15"/>
  <c r="ON56" i="15"/>
  <c r="DY54" i="15"/>
  <c r="DZ53" i="15"/>
  <c r="HP56" i="15"/>
  <c r="DH56" i="15"/>
  <c r="TP56" i="15"/>
  <c r="KB56" i="15"/>
  <c r="MW54" i="15"/>
  <c r="MX53" i="15"/>
  <c r="DE54" i="15"/>
  <c r="DF53" i="15"/>
  <c r="IZ56" i="15"/>
  <c r="PF54" i="15"/>
  <c r="CB55" i="15"/>
  <c r="LD56" i="15"/>
  <c r="IR56" i="15"/>
  <c r="KJ56" i="15"/>
  <c r="AJ56" i="15"/>
  <c r="DL56" i="15"/>
  <c r="MJ56" i="15"/>
  <c r="CG54" i="15"/>
  <c r="CH53" i="15"/>
  <c r="CN56" i="15"/>
  <c r="PD56" i="15"/>
  <c r="US54" i="15"/>
  <c r="UT53" i="15"/>
  <c r="MS54" i="15"/>
  <c r="MT53" i="15"/>
  <c r="BM54" i="15"/>
  <c r="BN53" i="15"/>
  <c r="BU54" i="15"/>
  <c r="EZ56" i="15"/>
  <c r="DD56" i="15"/>
  <c r="PA54" i="15"/>
  <c r="PB53" i="15"/>
  <c r="QJ56" i="15"/>
  <c r="OZ56" i="15"/>
  <c r="SN56" i="15"/>
  <c r="QB56" i="15"/>
  <c r="OS54" i="15"/>
  <c r="OT53" i="15"/>
  <c r="MR56" i="15"/>
  <c r="MO55" i="15"/>
  <c r="MP55" i="15" s="1"/>
  <c r="AS54" i="15"/>
  <c r="AT53" i="15"/>
  <c r="AB56" i="15"/>
  <c r="NM54" i="15"/>
  <c r="NN53" i="15"/>
  <c r="UF56" i="15"/>
  <c r="TM54" i="15"/>
  <c r="TN53" i="15"/>
  <c r="SP54" i="15"/>
  <c r="BL56" i="15"/>
  <c r="LH56" i="15"/>
  <c r="EB56" i="15"/>
  <c r="OF55" i="15"/>
  <c r="HQ55" i="15"/>
  <c r="UK54" i="15"/>
  <c r="UL53" i="15"/>
  <c r="CK55" i="15"/>
  <c r="CL55" i="15" s="1"/>
  <c r="EL55" i="15"/>
  <c r="EJ56" i="15"/>
  <c r="EK56" i="15" s="1"/>
  <c r="CF56" i="15"/>
  <c r="EV56" i="15"/>
  <c r="BH56" i="15"/>
  <c r="PJ55" i="15"/>
  <c r="PH56" i="15"/>
  <c r="P56" i="15"/>
  <c r="TA54" i="15"/>
  <c r="TB53" i="15"/>
  <c r="UG54" i="15"/>
  <c r="UH53" i="15"/>
  <c r="CR55" i="15"/>
  <c r="NQ54" i="15"/>
  <c r="NR53" i="15"/>
  <c r="CO55" i="15"/>
  <c r="L56" i="15"/>
  <c r="FD56" i="15"/>
  <c r="Y54" i="15"/>
  <c r="Z53" i="15"/>
  <c r="J53" i="15"/>
  <c r="MK54" i="15"/>
  <c r="ML53" i="15"/>
  <c r="PT56" i="15"/>
  <c r="RD56" i="15"/>
  <c r="RF55" i="15"/>
  <c r="LE54" i="15"/>
  <c r="LF53" i="15"/>
  <c r="AK55" i="15"/>
  <c r="JT56" i="15"/>
  <c r="CW54" i="15"/>
  <c r="CX53" i="15"/>
  <c r="TX56" i="15"/>
  <c r="KF56" i="15"/>
  <c r="TT56" i="15"/>
  <c r="FX56" i="15"/>
  <c r="GC54" i="15"/>
  <c r="GD53" i="15"/>
  <c r="QG54" i="15"/>
  <c r="QH53" i="15"/>
  <c r="JL56" i="15"/>
  <c r="JZ54" i="15"/>
  <c r="IW54" i="15"/>
  <c r="IX53" i="15"/>
  <c r="TD56" i="15"/>
  <c r="IJ56" i="15"/>
  <c r="DX56" i="15"/>
  <c r="BA55" i="15"/>
  <c r="AW54" i="15"/>
  <c r="AX53" i="15"/>
  <c r="TQ54" i="15"/>
  <c r="TR53" i="15"/>
  <c r="H55" i="15"/>
  <c r="SJ56" i="15"/>
  <c r="LI55" i="15"/>
  <c r="DI54" i="15"/>
  <c r="DJ53" i="15"/>
  <c r="LL56" i="15"/>
  <c r="CS54" i="15"/>
  <c r="CT54" i="15" s="1"/>
  <c r="RX56" i="15"/>
  <c r="UC54" i="15"/>
  <c r="UD53" i="15"/>
  <c r="FT56" i="15"/>
  <c r="FU56" i="15" s="1"/>
  <c r="FV55" i="15"/>
  <c r="PL55" i="15"/>
  <c r="QR56" i="15"/>
  <c r="HT56" i="15"/>
  <c r="JD56" i="15"/>
  <c r="HH56" i="15"/>
  <c r="RQ54" i="15"/>
  <c r="RR53" i="15"/>
  <c r="FQ54" i="15"/>
  <c r="FR53" i="15"/>
  <c r="MB56" i="15"/>
  <c r="RL56" i="15"/>
  <c r="LX56" i="15"/>
  <c r="IF56" i="15"/>
  <c r="LR55" i="15"/>
  <c r="LP56" i="15"/>
  <c r="UB56" i="15"/>
  <c r="SS54" i="15"/>
  <c r="ST53" i="15"/>
  <c r="FL56" i="15"/>
  <c r="LN54" i="15"/>
  <c r="DM55" i="15"/>
  <c r="DN55" i="15" s="1"/>
  <c r="JU54" i="15"/>
  <c r="JV53" i="15"/>
  <c r="D56" i="15"/>
  <c r="NL56" i="15"/>
  <c r="KN56" i="15"/>
  <c r="KV56" i="15"/>
  <c r="QN56" i="15"/>
  <c r="JQ54" i="15"/>
  <c r="JR53" i="15"/>
  <c r="E55" i="15"/>
  <c r="EP55" i="15"/>
  <c r="EN56" i="15"/>
  <c r="MV56" i="15"/>
  <c r="PZ55" i="15"/>
  <c r="PX56" i="15"/>
  <c r="PY56" i="15" s="1"/>
  <c r="SZ56" i="15"/>
  <c r="MG55" i="15"/>
  <c r="BX56" i="15"/>
  <c r="HM55" i="15"/>
  <c r="FA54" i="15"/>
  <c r="FB53" i="15"/>
  <c r="JX56" i="15"/>
  <c r="HI54" i="15"/>
  <c r="HJ53" i="15"/>
  <c r="KC54" i="15"/>
  <c r="KD53" i="15"/>
  <c r="GV56" i="15"/>
  <c r="BR55" i="15"/>
  <c r="BP56" i="15"/>
  <c r="BQ56" i="15" s="1"/>
  <c r="RT56" i="15"/>
  <c r="BE55" i="15"/>
  <c r="DQ55" i="15"/>
  <c r="DR55" i="15" s="1"/>
  <c r="UO55" i="15"/>
  <c r="F54" i="15"/>
  <c r="HD56" i="15"/>
  <c r="FN54" i="15"/>
  <c r="NH56" i="15"/>
  <c r="FY55" i="15"/>
  <c r="F58" i="11"/>
  <c r="G58" i="11" s="1"/>
  <c r="F59" i="2"/>
  <c r="G59" i="2" s="1"/>
  <c r="E59" i="11"/>
  <c r="E59" i="9"/>
  <c r="F58" i="9"/>
  <c r="E59" i="8"/>
  <c r="F58" i="8"/>
  <c r="E60" i="2"/>
  <c r="G58" i="2"/>
  <c r="QW56" i="15" l="1"/>
  <c r="HY56" i="15"/>
  <c r="MC56" i="15"/>
  <c r="IG56" i="15"/>
  <c r="IH56" i="15" s="1"/>
  <c r="JM56" i="15"/>
  <c r="JN56" i="15" s="1"/>
  <c r="U56" i="15"/>
  <c r="V56" i="15" s="1"/>
  <c r="GW56" i="15"/>
  <c r="GX56" i="15" s="1"/>
  <c r="SK56" i="15"/>
  <c r="SL56" i="15" s="1"/>
  <c r="TY56" i="15"/>
  <c r="TZ56" i="15" s="1"/>
  <c r="HE56" i="15"/>
  <c r="HF56" i="15" s="1"/>
  <c r="KS56" i="15"/>
  <c r="KT56" i="15" s="1"/>
  <c r="LY56" i="15"/>
  <c r="LZ56" i="15" s="1"/>
  <c r="CC55" i="15"/>
  <c r="CD55" i="15" s="1"/>
  <c r="AK56" i="15"/>
  <c r="AL56" i="15" s="1"/>
  <c r="FI56" i="15"/>
  <c r="FJ56" i="15" s="1"/>
  <c r="TU56" i="15"/>
  <c r="TV56" i="15" s="1"/>
  <c r="IC56" i="15"/>
  <c r="ID56" i="15" s="1"/>
  <c r="SG56" i="15"/>
  <c r="SH56" i="15" s="1"/>
  <c r="SW56" i="15"/>
  <c r="SX56" i="15" s="1"/>
  <c r="I55" i="15"/>
  <c r="J55" i="15" s="1"/>
  <c r="HM56" i="15"/>
  <c r="HN56" i="15" s="1"/>
  <c r="CO56" i="15"/>
  <c r="CP56" i="15" s="1"/>
  <c r="SO56" i="15"/>
  <c r="SP56" i="15" s="1"/>
  <c r="BE56" i="15"/>
  <c r="BF56" i="15" s="1"/>
  <c r="DA56" i="15"/>
  <c r="DB56" i="15" s="1"/>
  <c r="LI56" i="15"/>
  <c r="LJ56" i="15" s="1"/>
  <c r="HQ56" i="15"/>
  <c r="HR56" i="15" s="1"/>
  <c r="MG56" i="15"/>
  <c r="MH56" i="15" s="1"/>
  <c r="LM56" i="15"/>
  <c r="LN56" i="15" s="1"/>
  <c r="AG56" i="15"/>
  <c r="AH56" i="15" s="1"/>
  <c r="JA56" i="15"/>
  <c r="JB56" i="15" s="1"/>
  <c r="OK56" i="15"/>
  <c r="OL56" i="15" s="1"/>
  <c r="EG56" i="15"/>
  <c r="EH56" i="15" s="1"/>
  <c r="BA56" i="15"/>
  <c r="BB56" i="15" s="1"/>
  <c r="GS56" i="15"/>
  <c r="GT56" i="15" s="1"/>
  <c r="AO56" i="15"/>
  <c r="AP56" i="15" s="1"/>
  <c r="PE56" i="15"/>
  <c r="PF56" i="15" s="1"/>
  <c r="FM56" i="15"/>
  <c r="FN56" i="15" s="1"/>
  <c r="E56" i="15"/>
  <c r="F56" i="15" s="1"/>
  <c r="UO56" i="15"/>
  <c r="UP56" i="15" s="1"/>
  <c r="FY56" i="15"/>
  <c r="FZ56" i="15" s="1"/>
  <c r="BU55" i="15"/>
  <c r="BV55" i="15" s="1"/>
  <c r="SS55" i="15"/>
  <c r="ST54" i="15"/>
  <c r="MJ57" i="15"/>
  <c r="MW55" i="15"/>
  <c r="MX54" i="15"/>
  <c r="HU55" i="15"/>
  <c r="HV54" i="15"/>
  <c r="CV57" i="15"/>
  <c r="HA55" i="15"/>
  <c r="HB54" i="15"/>
  <c r="IW55" i="15"/>
  <c r="IX54" i="15"/>
  <c r="KC55" i="15"/>
  <c r="KD54" i="15"/>
  <c r="JE55" i="15"/>
  <c r="JF54" i="15"/>
  <c r="TI55" i="15"/>
  <c r="TJ54" i="15"/>
  <c r="MN57" i="15"/>
  <c r="ER57" i="15"/>
  <c r="PU55" i="15"/>
  <c r="PV54" i="15"/>
  <c r="DP57" i="15"/>
  <c r="JD57" i="15"/>
  <c r="IB57" i="15"/>
  <c r="OV57" i="15"/>
  <c r="TH57" i="15"/>
  <c r="M55" i="15"/>
  <c r="N54" i="15"/>
  <c r="GN57" i="15"/>
  <c r="UN57" i="15"/>
  <c r="QR57" i="15"/>
  <c r="RD57" i="15"/>
  <c r="OF56" i="15"/>
  <c r="AS55" i="15"/>
  <c r="AT54" i="15"/>
  <c r="DL57" i="15"/>
  <c r="BY55" i="15"/>
  <c r="BZ54" i="15"/>
  <c r="RH57" i="15"/>
  <c r="MF57" i="15"/>
  <c r="DT57" i="15"/>
  <c r="JP57" i="15"/>
  <c r="UP55" i="15"/>
  <c r="HH57" i="15"/>
  <c r="IO55" i="15"/>
  <c r="IP54" i="15"/>
  <c r="TA55" i="15"/>
  <c r="TB54" i="15"/>
  <c r="MO56" i="15"/>
  <c r="MP56" i="15" s="1"/>
  <c r="AL55" i="15"/>
  <c r="TP57" i="15"/>
  <c r="KW55" i="15"/>
  <c r="KX54" i="15"/>
  <c r="RI56" i="15"/>
  <c r="MH55" i="15"/>
  <c r="IS56" i="15"/>
  <c r="IT56" i="15" s="1"/>
  <c r="LT57" i="15"/>
  <c r="EN57" i="15"/>
  <c r="CG55" i="15"/>
  <c r="CH54" i="15"/>
  <c r="AB57" i="15"/>
  <c r="PT57" i="15"/>
  <c r="AJ57" i="15"/>
  <c r="NT57" i="15"/>
  <c r="GO56" i="15"/>
  <c r="DU55" i="15"/>
  <c r="DV54" i="15"/>
  <c r="EW55" i="15"/>
  <c r="EX54" i="15"/>
  <c r="Q55" i="15"/>
  <c r="R54" i="15"/>
  <c r="LU55" i="15"/>
  <c r="LV54" i="15"/>
  <c r="QS56" i="15"/>
  <c r="PA55" i="15"/>
  <c r="PB54" i="15"/>
  <c r="ES55" i="15"/>
  <c r="ET54" i="15"/>
  <c r="EZ57" i="15"/>
  <c r="JX57" i="15"/>
  <c r="FX57" i="15"/>
  <c r="P57" i="15"/>
  <c r="EB57" i="15"/>
  <c r="MR57" i="15"/>
  <c r="BM55" i="15"/>
  <c r="BN54" i="15"/>
  <c r="QK55" i="15"/>
  <c r="QL54" i="15"/>
  <c r="AV57" i="15"/>
  <c r="HL57" i="15"/>
  <c r="GJ57" i="15"/>
  <c r="HX57" i="15"/>
  <c r="HY57" i="15" s="1"/>
  <c r="HZ56" i="15"/>
  <c r="UJ57" i="15"/>
  <c r="OG55" i="15"/>
  <c r="OH55" i="15" s="1"/>
  <c r="JI55" i="15"/>
  <c r="JJ54" i="15"/>
  <c r="DI55" i="15"/>
  <c r="DJ54" i="15"/>
  <c r="KN57" i="15"/>
  <c r="LH57" i="15"/>
  <c r="KJ57" i="15"/>
  <c r="GB57" i="15"/>
  <c r="HN55" i="15"/>
  <c r="UR57" i="15"/>
  <c r="RA55" i="15"/>
  <c r="RB54" i="15"/>
  <c r="OW55" i="15"/>
  <c r="OX54" i="15"/>
  <c r="KK56" i="15"/>
  <c r="KL56" i="15" s="1"/>
  <c r="GC55" i="15"/>
  <c r="GD54" i="15"/>
  <c r="OS55" i="15"/>
  <c r="OT54" i="15"/>
  <c r="MS55" i="15"/>
  <c r="MT54" i="15"/>
  <c r="IR57" i="15"/>
  <c r="DH57" i="15"/>
  <c r="KG55" i="15"/>
  <c r="KH54" i="15"/>
  <c r="IV57" i="15"/>
  <c r="SB57" i="15"/>
  <c r="MZ56" i="15"/>
  <c r="AN57" i="15"/>
  <c r="SF57" i="15"/>
  <c r="KO56" i="15"/>
  <c r="NU55" i="15"/>
  <c r="NV54" i="15"/>
  <c r="DD57" i="15"/>
  <c r="UK55" i="15"/>
  <c r="UL54" i="15"/>
  <c r="HI55" i="15"/>
  <c r="HJ54" i="15"/>
  <c r="JY56" i="15"/>
  <c r="MK55" i="15"/>
  <c r="ML54" i="15"/>
  <c r="BH57" i="15"/>
  <c r="BL57" i="15"/>
  <c r="QB57" i="15"/>
  <c r="HP57" i="15"/>
  <c r="OC55" i="15"/>
  <c r="OD54" i="15"/>
  <c r="RP57" i="15"/>
  <c r="OO55" i="15"/>
  <c r="OP54" i="15"/>
  <c r="IK55" i="15"/>
  <c r="IL54" i="15"/>
  <c r="AC56" i="15"/>
  <c r="QZ57" i="15"/>
  <c r="SH55" i="15"/>
  <c r="EO56" i="15"/>
  <c r="X57" i="15"/>
  <c r="H56" i="15"/>
  <c r="PH57" i="15"/>
  <c r="BX57" i="15"/>
  <c r="Y55" i="15"/>
  <c r="Z54" i="15"/>
  <c r="US55" i="15"/>
  <c r="UT54" i="15"/>
  <c r="HR55" i="15"/>
  <c r="SR57" i="15"/>
  <c r="FH57" i="15"/>
  <c r="AR57" i="15"/>
  <c r="CJ57" i="15"/>
  <c r="GG55" i="15"/>
  <c r="GH54" i="15"/>
  <c r="TQ55" i="15"/>
  <c r="TR54" i="15"/>
  <c r="AW55" i="15"/>
  <c r="AX54" i="15"/>
  <c r="DX57" i="15"/>
  <c r="PD57" i="15"/>
  <c r="LD57" i="15"/>
  <c r="TL57" i="15"/>
  <c r="SC55" i="15"/>
  <c r="SD54" i="15"/>
  <c r="GZ57" i="15"/>
  <c r="PQ55" i="15"/>
  <c r="PR54" i="15"/>
  <c r="OR57" i="15"/>
  <c r="TE55" i="15"/>
  <c r="TF54" i="15"/>
  <c r="CR56" i="15"/>
  <c r="UG55" i="15"/>
  <c r="UH54" i="15"/>
  <c r="QN57" i="15"/>
  <c r="LJ55" i="15"/>
  <c r="DY55" i="15"/>
  <c r="DZ54" i="15"/>
  <c r="ND57" i="15"/>
  <c r="OJ57" i="15"/>
  <c r="BT56" i="15"/>
  <c r="DE55" i="15"/>
  <c r="DF54" i="15"/>
  <c r="GV57" i="15"/>
  <c r="JL57" i="15"/>
  <c r="UB57" i="15"/>
  <c r="LP57" i="15"/>
  <c r="NH57" i="15"/>
  <c r="TT57" i="15"/>
  <c r="FV56" i="15"/>
  <c r="FT57" i="15"/>
  <c r="FU57" i="15" s="1"/>
  <c r="BF55" i="15"/>
  <c r="OL55" i="15"/>
  <c r="BV54" i="15"/>
  <c r="PI56" i="15"/>
  <c r="PJ56" i="15" s="1"/>
  <c r="LL57" i="15"/>
  <c r="KB57" i="15"/>
  <c r="PL56" i="15"/>
  <c r="KF57" i="15"/>
  <c r="F55" i="15"/>
  <c r="SN57" i="15"/>
  <c r="RY55" i="15"/>
  <c r="RZ54" i="15"/>
  <c r="JU55" i="15"/>
  <c r="JV54" i="15"/>
  <c r="FQ55" i="15"/>
  <c r="FR54" i="15"/>
  <c r="RX57" i="15"/>
  <c r="IJ57" i="15"/>
  <c r="L57" i="15"/>
  <c r="CF57" i="15"/>
  <c r="OZ57" i="15"/>
  <c r="ON57" i="15"/>
  <c r="SV57" i="15"/>
  <c r="T57" i="15"/>
  <c r="BD57" i="15"/>
  <c r="KR57" i="15"/>
  <c r="OB57" i="15"/>
  <c r="JH57" i="15"/>
  <c r="KZ57" i="15"/>
  <c r="GK55" i="15"/>
  <c r="GL54" i="15"/>
  <c r="NQ55" i="15"/>
  <c r="NR54" i="15"/>
  <c r="JQ55" i="15"/>
  <c r="JR54" i="15"/>
  <c r="QG55" i="15"/>
  <c r="QH54" i="15"/>
  <c r="IF57" i="15"/>
  <c r="FZ55" i="15"/>
  <c r="RL57" i="15"/>
  <c r="MD56" i="15"/>
  <c r="MB57" i="15"/>
  <c r="MC57" i="15" s="1"/>
  <c r="DQ56" i="15"/>
  <c r="UC55" i="15"/>
  <c r="UD54" i="15"/>
  <c r="RM55" i="15"/>
  <c r="RN54" i="15"/>
  <c r="LA55" i="15"/>
  <c r="LB54" i="15"/>
  <c r="DM56" i="15"/>
  <c r="TD57" i="15"/>
  <c r="CW55" i="15"/>
  <c r="CX54" i="15"/>
  <c r="EJ57" i="15"/>
  <c r="EL56" i="15"/>
  <c r="UF57" i="15"/>
  <c r="CP55" i="15"/>
  <c r="IZ57" i="15"/>
  <c r="BB55" i="15"/>
  <c r="NA55" i="15"/>
  <c r="AF57" i="15"/>
  <c r="GF57" i="15"/>
  <c r="NI55" i="15"/>
  <c r="NJ54" i="15"/>
  <c r="BI56" i="15"/>
  <c r="BJ56" i="15" s="1"/>
  <c r="QO56" i="15"/>
  <c r="IN57" i="15"/>
  <c r="CZ57" i="15"/>
  <c r="LE55" i="15"/>
  <c r="LF54" i="15"/>
  <c r="FA55" i="15"/>
  <c r="FB54" i="15"/>
  <c r="NL57" i="15"/>
  <c r="D57" i="15"/>
  <c r="EV57" i="15"/>
  <c r="RT57" i="15"/>
  <c r="MV57" i="15"/>
  <c r="RQ55" i="15"/>
  <c r="RR54" i="15"/>
  <c r="CS55" i="15"/>
  <c r="JT57" i="15"/>
  <c r="QJ57" i="15"/>
  <c r="CN57" i="15"/>
  <c r="RU55" i="15"/>
  <c r="RV54" i="15"/>
  <c r="AZ57" i="15"/>
  <c r="EC55" i="15"/>
  <c r="ED54" i="15"/>
  <c r="NP57" i="15"/>
  <c r="QV57" i="15"/>
  <c r="QX56" i="15"/>
  <c r="FP57" i="15"/>
  <c r="PP57" i="15"/>
  <c r="RE56" i="15"/>
  <c r="GR57" i="15"/>
  <c r="HT57" i="15"/>
  <c r="SJ57" i="15"/>
  <c r="KV57" i="15"/>
  <c r="HD57" i="15"/>
  <c r="LX57" i="15"/>
  <c r="LQ56" i="15"/>
  <c r="FD57" i="15"/>
  <c r="SZ57" i="15"/>
  <c r="TX57" i="15"/>
  <c r="CB56" i="15"/>
  <c r="TM55" i="15"/>
  <c r="TN54" i="15"/>
  <c r="NX57" i="15"/>
  <c r="PX57" i="15"/>
  <c r="PY57" i="15" s="1"/>
  <c r="PZ56" i="15"/>
  <c r="BP57" i="15"/>
  <c r="BQ57" i="15" s="1"/>
  <c r="BR56" i="15"/>
  <c r="FL57" i="15"/>
  <c r="CK56" i="15"/>
  <c r="NM55" i="15"/>
  <c r="NN54" i="15"/>
  <c r="FE56" i="15"/>
  <c r="QF57" i="15"/>
  <c r="EF57" i="15"/>
  <c r="NY55" i="15"/>
  <c r="NZ54" i="15"/>
  <c r="NE55" i="15"/>
  <c r="NF54" i="15"/>
  <c r="QC55" i="15"/>
  <c r="QD54" i="15"/>
  <c r="PM55" i="15"/>
  <c r="F59" i="8"/>
  <c r="G59" i="8" s="1"/>
  <c r="F59" i="9"/>
  <c r="G59" i="9" s="1"/>
  <c r="E60" i="11"/>
  <c r="F59" i="11"/>
  <c r="G58" i="10"/>
  <c r="G59" i="10"/>
  <c r="G58" i="9"/>
  <c r="E60" i="9"/>
  <c r="G58" i="8"/>
  <c r="E60" i="8"/>
  <c r="E61" i="2"/>
  <c r="F60" i="2"/>
  <c r="GW57" i="15" l="1"/>
  <c r="GX57" i="15" s="1"/>
  <c r="U57" i="15"/>
  <c r="V57" i="15" s="1"/>
  <c r="HE57" i="15"/>
  <c r="HF57" i="15" s="1"/>
  <c r="SK57" i="15"/>
  <c r="SL57" i="15" s="1"/>
  <c r="CC56" i="15"/>
  <c r="CD56" i="15" s="1"/>
  <c r="KS57" i="15"/>
  <c r="KT57" i="15" s="1"/>
  <c r="AK57" i="15"/>
  <c r="AL57" i="15" s="1"/>
  <c r="I56" i="15"/>
  <c r="J56" i="15" s="1"/>
  <c r="DA57" i="15"/>
  <c r="DB57" i="15" s="1"/>
  <c r="HM57" i="15"/>
  <c r="HN57" i="15" s="1"/>
  <c r="BA57" i="15"/>
  <c r="BB57" i="15" s="1"/>
  <c r="HQ57" i="15"/>
  <c r="HR57" i="15" s="1"/>
  <c r="GO57" i="15"/>
  <c r="GP57" i="15" s="1"/>
  <c r="BE57" i="15"/>
  <c r="BF57" i="15" s="1"/>
  <c r="MG57" i="15"/>
  <c r="MH57" i="15" s="1"/>
  <c r="AG57" i="15"/>
  <c r="AH57" i="15" s="1"/>
  <c r="JA57" i="15"/>
  <c r="JB57" i="15" s="1"/>
  <c r="LM57" i="15"/>
  <c r="LN57" i="15" s="1"/>
  <c r="EO57" i="15"/>
  <c r="EP57" i="15" s="1"/>
  <c r="AO57" i="15"/>
  <c r="AP57" i="15" s="1"/>
  <c r="DQ57" i="15"/>
  <c r="DR57" i="15" s="1"/>
  <c r="CS56" i="15"/>
  <c r="CT56" i="15" s="1"/>
  <c r="DM57" i="15"/>
  <c r="DN57" i="15" s="1"/>
  <c r="LQ57" i="15"/>
  <c r="LR57" i="15" s="1"/>
  <c r="BU56" i="15"/>
  <c r="BV56" i="15" s="1"/>
  <c r="PE57" i="15"/>
  <c r="PF57" i="15" s="1"/>
  <c r="EG57" i="15"/>
  <c r="EH57" i="15" s="1"/>
  <c r="AC57" i="15"/>
  <c r="AD57" i="15" s="1"/>
  <c r="NA56" i="15"/>
  <c r="NB56" i="15" s="1"/>
  <c r="QO57" i="15"/>
  <c r="QP57" i="15" s="1"/>
  <c r="PM56" i="15"/>
  <c r="PN56" i="15" s="1"/>
  <c r="QS57" i="15"/>
  <c r="QT57" i="15" s="1"/>
  <c r="RI57" i="15"/>
  <c r="RJ57" i="15" s="1"/>
  <c r="RE57" i="15"/>
  <c r="RF57" i="15" s="1"/>
  <c r="KO57" i="15"/>
  <c r="KP57" i="15" s="1"/>
  <c r="FE57" i="15"/>
  <c r="FF57" i="15" s="1"/>
  <c r="NB55" i="15"/>
  <c r="JU56" i="15"/>
  <c r="JV55" i="15"/>
  <c r="DU56" i="15"/>
  <c r="DV55" i="15"/>
  <c r="AR58" i="15"/>
  <c r="RY56" i="15"/>
  <c r="RZ55" i="15"/>
  <c r="BH58" i="15"/>
  <c r="GN58" i="15"/>
  <c r="TX58" i="15"/>
  <c r="OJ58" i="15"/>
  <c r="SC56" i="15"/>
  <c r="SD55" i="15"/>
  <c r="FH58" i="15"/>
  <c r="IV58" i="15"/>
  <c r="RA56" i="15"/>
  <c r="RB55" i="15"/>
  <c r="FX58" i="15"/>
  <c r="KW56" i="15"/>
  <c r="KX55" i="15"/>
  <c r="MF58" i="15"/>
  <c r="GP56" i="15"/>
  <c r="TI56" i="15"/>
  <c r="TJ55" i="15"/>
  <c r="SS56" i="15"/>
  <c r="ST55" i="15"/>
  <c r="MK56" i="15"/>
  <c r="ML55" i="15"/>
  <c r="UR58" i="15"/>
  <c r="HX58" i="15"/>
  <c r="HY58" i="15" s="1"/>
  <c r="HZ57" i="15"/>
  <c r="JX58" i="15"/>
  <c r="NT58" i="15"/>
  <c r="TP58" i="15"/>
  <c r="IN58" i="15"/>
  <c r="NM56" i="15"/>
  <c r="NN55" i="15"/>
  <c r="JQ56" i="15"/>
  <c r="JR55" i="15"/>
  <c r="ON58" i="15"/>
  <c r="NH58" i="15"/>
  <c r="DY56" i="15"/>
  <c r="DZ55" i="15"/>
  <c r="QZ58" i="15"/>
  <c r="JY57" i="15"/>
  <c r="JZ57" i="15" s="1"/>
  <c r="JZ56" i="15"/>
  <c r="RH58" i="15"/>
  <c r="M56" i="15"/>
  <c r="N55" i="15"/>
  <c r="JE56" i="15"/>
  <c r="JF55" i="15"/>
  <c r="FI57" i="15"/>
  <c r="FJ57" i="15" s="1"/>
  <c r="LE56" i="15"/>
  <c r="LF55" i="15"/>
  <c r="LD58" i="15"/>
  <c r="SR58" i="15"/>
  <c r="KG56" i="15"/>
  <c r="KH55" i="15"/>
  <c r="GJ58" i="15"/>
  <c r="EZ58" i="15"/>
  <c r="AJ58" i="15"/>
  <c r="RJ56" i="15"/>
  <c r="PP58" i="15"/>
  <c r="TD58" i="15"/>
  <c r="LX58" i="15"/>
  <c r="BI57" i="15"/>
  <c r="OZ58" i="15"/>
  <c r="KF58" i="15"/>
  <c r="LR56" i="15"/>
  <c r="QN58" i="15"/>
  <c r="HI56" i="15"/>
  <c r="HJ55" i="15"/>
  <c r="TH58" i="15"/>
  <c r="SN58" i="15"/>
  <c r="LP58" i="15"/>
  <c r="IK56" i="15"/>
  <c r="IL55" i="15"/>
  <c r="DH58" i="15"/>
  <c r="GB58" i="15"/>
  <c r="HL58" i="15"/>
  <c r="PT58" i="15"/>
  <c r="MO57" i="15"/>
  <c r="MP57" i="15" s="1"/>
  <c r="BY56" i="15"/>
  <c r="BZ55" i="15"/>
  <c r="KC56" i="15"/>
  <c r="KD55" i="15"/>
  <c r="MJ58" i="15"/>
  <c r="IF58" i="15"/>
  <c r="ND58" i="15"/>
  <c r="EJ58" i="15"/>
  <c r="FL58" i="15"/>
  <c r="PD58" i="15"/>
  <c r="US56" i="15"/>
  <c r="UT55" i="15"/>
  <c r="UK56" i="15"/>
  <c r="UL55" i="15"/>
  <c r="KJ58" i="15"/>
  <c r="ES56" i="15"/>
  <c r="ET55" i="15"/>
  <c r="DL58" i="15"/>
  <c r="OV58" i="15"/>
  <c r="UN58" i="15"/>
  <c r="UB58" i="15"/>
  <c r="UG56" i="15"/>
  <c r="UH55" i="15"/>
  <c r="OO56" i="15"/>
  <c r="OP55" i="15"/>
  <c r="IR58" i="15"/>
  <c r="AV58" i="15"/>
  <c r="AD56" i="15"/>
  <c r="DN56" i="15"/>
  <c r="IB58" i="15"/>
  <c r="IW56" i="15"/>
  <c r="IX55" i="15"/>
  <c r="LY57" i="15"/>
  <c r="T58" i="15"/>
  <c r="TT58" i="15"/>
  <c r="UO57" i="15"/>
  <c r="EC56" i="15"/>
  <c r="ED55" i="15"/>
  <c r="PZ57" i="15"/>
  <c r="PX58" i="15"/>
  <c r="PY58" i="15" s="1"/>
  <c r="GF58" i="15"/>
  <c r="RM56" i="15"/>
  <c r="RN55" i="15"/>
  <c r="KZ58" i="15"/>
  <c r="PN55" i="15"/>
  <c r="CT55" i="15"/>
  <c r="DX58" i="15"/>
  <c r="Y56" i="15"/>
  <c r="Z55" i="15"/>
  <c r="DD58" i="15"/>
  <c r="LH58" i="15"/>
  <c r="PA56" i="15"/>
  <c r="PB55" i="15"/>
  <c r="AB58" i="15"/>
  <c r="TA56" i="15"/>
  <c r="TB55" i="15"/>
  <c r="SO57" i="15"/>
  <c r="SP57" i="15" s="1"/>
  <c r="TY57" i="15"/>
  <c r="OK57" i="15"/>
  <c r="GZ58" i="15"/>
  <c r="NQ56" i="15"/>
  <c r="NR55" i="15"/>
  <c r="EV58" i="15"/>
  <c r="PL57" i="15"/>
  <c r="JL58" i="15"/>
  <c r="CR57" i="15"/>
  <c r="BX58" i="15"/>
  <c r="RP58" i="15"/>
  <c r="MS56" i="15"/>
  <c r="MT55" i="15"/>
  <c r="QK56" i="15"/>
  <c r="QL55" i="15"/>
  <c r="AS56" i="15"/>
  <c r="AT55" i="15"/>
  <c r="JD58" i="15"/>
  <c r="JT58" i="15"/>
  <c r="P58" i="15"/>
  <c r="SB58" i="15"/>
  <c r="CZ58" i="15"/>
  <c r="FF56" i="15"/>
  <c r="CW56" i="15"/>
  <c r="CX55" i="15"/>
  <c r="RT58" i="15"/>
  <c r="NX58" i="15"/>
  <c r="JH58" i="15"/>
  <c r="KB58" i="15"/>
  <c r="AW56" i="15"/>
  <c r="AX55" i="15"/>
  <c r="NU56" i="15"/>
  <c r="NV55" i="15"/>
  <c r="KP56" i="15"/>
  <c r="IO56" i="15"/>
  <c r="IP55" i="15"/>
  <c r="HA56" i="15"/>
  <c r="HB55" i="15"/>
  <c r="IC57" i="15"/>
  <c r="ID57" i="15" s="1"/>
  <c r="MN58" i="15"/>
  <c r="FP58" i="15"/>
  <c r="CK57" i="15"/>
  <c r="CL57" i="15" s="1"/>
  <c r="QV58" i="15"/>
  <c r="LA56" i="15"/>
  <c r="LB55" i="15"/>
  <c r="AZ58" i="15"/>
  <c r="GV58" i="15"/>
  <c r="OC56" i="15"/>
  <c r="OD55" i="15"/>
  <c r="OS56" i="15"/>
  <c r="OT55" i="15"/>
  <c r="KN58" i="15"/>
  <c r="LU56" i="15"/>
  <c r="LV55" i="15"/>
  <c r="CG56" i="15"/>
  <c r="CH55" i="15"/>
  <c r="HH58" i="15"/>
  <c r="OF57" i="15"/>
  <c r="DP58" i="15"/>
  <c r="FM57" i="15"/>
  <c r="OW56" i="15"/>
  <c r="OX55" i="15"/>
  <c r="TL58" i="15"/>
  <c r="MV58" i="15"/>
  <c r="CF58" i="15"/>
  <c r="HD58" i="15"/>
  <c r="L58" i="15"/>
  <c r="TM56" i="15"/>
  <c r="TN55" i="15"/>
  <c r="BM56" i="15"/>
  <c r="BN55" i="15"/>
  <c r="EN58" i="15"/>
  <c r="RD58" i="15"/>
  <c r="DR56" i="15"/>
  <c r="CV58" i="15"/>
  <c r="UF58" i="15"/>
  <c r="SZ58" i="15"/>
  <c r="AF58" i="15"/>
  <c r="CN58" i="15"/>
  <c r="GC56" i="15"/>
  <c r="GD55" i="15"/>
  <c r="Q56" i="15"/>
  <c r="R55" i="15"/>
  <c r="EP56" i="15"/>
  <c r="RF56" i="15"/>
  <c r="IG57" i="15"/>
  <c r="CJ58" i="15"/>
  <c r="UJ58" i="15"/>
  <c r="QP56" i="15"/>
  <c r="KV58" i="15"/>
  <c r="QC56" i="15"/>
  <c r="QD55" i="15"/>
  <c r="UC56" i="15"/>
  <c r="UD55" i="15"/>
  <c r="RU56" i="15"/>
  <c r="RV55" i="15"/>
  <c r="SF58" i="15"/>
  <c r="RX58" i="15"/>
  <c r="DE56" i="15"/>
  <c r="DF55" i="15"/>
  <c r="OR58" i="15"/>
  <c r="H57" i="15"/>
  <c r="HP58" i="15"/>
  <c r="CB57" i="15"/>
  <c r="GR58" i="15"/>
  <c r="PI57" i="15"/>
  <c r="GG56" i="15"/>
  <c r="GH55" i="15"/>
  <c r="AN58" i="15"/>
  <c r="FY57" i="15"/>
  <c r="QT56" i="15"/>
  <c r="PU56" i="15"/>
  <c r="PV55" i="15"/>
  <c r="HU56" i="15"/>
  <c r="HV55" i="15"/>
  <c r="QF58" i="15"/>
  <c r="X58" i="15"/>
  <c r="DT58" i="15"/>
  <c r="QG56" i="15"/>
  <c r="QH55" i="15"/>
  <c r="FD58" i="15"/>
  <c r="NP58" i="15"/>
  <c r="D58" i="15"/>
  <c r="TE56" i="15"/>
  <c r="TF55" i="15"/>
  <c r="MD57" i="15"/>
  <c r="MB58" i="15"/>
  <c r="MC58" i="15" s="1"/>
  <c r="LL58" i="15"/>
  <c r="TQ56" i="15"/>
  <c r="TR55" i="15"/>
  <c r="HT58" i="15"/>
  <c r="IZ58" i="15"/>
  <c r="DI56" i="15"/>
  <c r="DJ55" i="15"/>
  <c r="NY56" i="15"/>
  <c r="NZ55" i="15"/>
  <c r="EF58" i="15"/>
  <c r="QJ58" i="15"/>
  <c r="FA56" i="15"/>
  <c r="FB55" i="15"/>
  <c r="RL58" i="15"/>
  <c r="KR58" i="15"/>
  <c r="FQ56" i="15"/>
  <c r="FR55" i="15"/>
  <c r="BT57" i="15"/>
  <c r="EK57" i="15"/>
  <c r="EL57" i="15" s="1"/>
  <c r="LI57" i="15"/>
  <c r="LJ57" i="15" s="1"/>
  <c r="QB58" i="15"/>
  <c r="E57" i="15"/>
  <c r="F57" i="15" s="1"/>
  <c r="JI56" i="15"/>
  <c r="JJ55" i="15"/>
  <c r="EW56" i="15"/>
  <c r="EX55" i="15"/>
  <c r="LT58" i="15"/>
  <c r="QR58" i="15"/>
  <c r="GS57" i="15"/>
  <c r="FT58" i="15"/>
  <c r="FV57" i="15"/>
  <c r="SV58" i="15"/>
  <c r="RQ56" i="15"/>
  <c r="RR55" i="15"/>
  <c r="BR57" i="15"/>
  <c r="BP58" i="15"/>
  <c r="BQ58" i="15" s="1"/>
  <c r="NI56" i="15"/>
  <c r="NJ55" i="15"/>
  <c r="GK56" i="15"/>
  <c r="GL55" i="15"/>
  <c r="SJ58" i="15"/>
  <c r="IJ58" i="15"/>
  <c r="NE56" i="15"/>
  <c r="NF55" i="15"/>
  <c r="NL58" i="15"/>
  <c r="SW57" i="15"/>
  <c r="PH58" i="15"/>
  <c r="QW57" i="15"/>
  <c r="QX57" i="15" s="1"/>
  <c r="OB58" i="15"/>
  <c r="MR58" i="15"/>
  <c r="JM57" i="15"/>
  <c r="JN57" i="15" s="1"/>
  <c r="CO57" i="15"/>
  <c r="BD58" i="15"/>
  <c r="PQ56" i="15"/>
  <c r="PR55" i="15"/>
  <c r="CL56" i="15"/>
  <c r="BL58" i="15"/>
  <c r="MZ57" i="15"/>
  <c r="KK57" i="15"/>
  <c r="OG56" i="15"/>
  <c r="EB58" i="15"/>
  <c r="IS57" i="15"/>
  <c r="JP58" i="15"/>
  <c r="SG57" i="15"/>
  <c r="SH57" i="15" s="1"/>
  <c r="ER58" i="15"/>
  <c r="MW56" i="15"/>
  <c r="MX55" i="15"/>
  <c r="TU57" i="15"/>
  <c r="F60" i="11"/>
  <c r="G60" i="11" s="1"/>
  <c r="F61" i="2"/>
  <c r="G61" i="2" s="1"/>
  <c r="G59" i="11"/>
  <c r="E61" i="11"/>
  <c r="E61" i="9"/>
  <c r="F60" i="9"/>
  <c r="E61" i="8"/>
  <c r="F60" i="8"/>
  <c r="G60" i="2"/>
  <c r="E62" i="2"/>
  <c r="AK58" i="15" l="1"/>
  <c r="AG58" i="15"/>
  <c r="CC57" i="15"/>
  <c r="CD57" i="15" s="1"/>
  <c r="GO58" i="15"/>
  <c r="GP58" i="15" s="1"/>
  <c r="KS58" i="15"/>
  <c r="KT58" i="15" s="1"/>
  <c r="I57" i="15"/>
  <c r="J57" i="15" s="1"/>
  <c r="PI58" i="15"/>
  <c r="PJ58" i="15" s="1"/>
  <c r="PM57" i="15"/>
  <c r="PN57" i="15" s="1"/>
  <c r="AO58" i="15"/>
  <c r="AP58" i="15" s="1"/>
  <c r="NA57" i="15"/>
  <c r="NB57" i="15" s="1"/>
  <c r="BU57" i="15"/>
  <c r="BV57" i="15" s="1"/>
  <c r="DQ58" i="15"/>
  <c r="DR58" i="15" s="1"/>
  <c r="DM58" i="15"/>
  <c r="DN58" i="15" s="1"/>
  <c r="JA58" i="15"/>
  <c r="JB58" i="15" s="1"/>
  <c r="CS57" i="15"/>
  <c r="CT57" i="15" s="1"/>
  <c r="LQ58" i="15"/>
  <c r="LR58" i="15" s="1"/>
  <c r="QO58" i="15"/>
  <c r="QP58" i="15" s="1"/>
  <c r="GS58" i="15"/>
  <c r="GT58" i="15" s="1"/>
  <c r="AC58" i="15"/>
  <c r="AD58" i="15" s="1"/>
  <c r="EG58" i="15"/>
  <c r="EH58" i="15" s="1"/>
  <c r="LY58" i="15"/>
  <c r="LZ58" i="15" s="1"/>
  <c r="KO58" i="15"/>
  <c r="KP58" i="15" s="1"/>
  <c r="RI58" i="15"/>
  <c r="RJ58" i="15" s="1"/>
  <c r="RE58" i="15"/>
  <c r="RF58" i="15" s="1"/>
  <c r="FE58" i="15"/>
  <c r="FF58" i="15" s="1"/>
  <c r="CO58" i="15"/>
  <c r="CP58" i="15" s="1"/>
  <c r="IS58" i="15"/>
  <c r="IT58" i="15" s="1"/>
  <c r="IG58" i="15"/>
  <c r="IH58" i="15" s="1"/>
  <c r="SW58" i="15"/>
  <c r="SX58" i="15" s="1"/>
  <c r="UO58" i="15"/>
  <c r="UP58" i="15" s="1"/>
  <c r="KK58" i="15"/>
  <c r="KL58" i="15" s="1"/>
  <c r="OK58" i="15"/>
  <c r="OL58" i="15" s="1"/>
  <c r="TY58" i="15"/>
  <c r="TZ58" i="15" s="1"/>
  <c r="FY58" i="15"/>
  <c r="FZ58" i="15" s="1"/>
  <c r="TU58" i="15"/>
  <c r="FM58" i="15"/>
  <c r="FN58" i="15" s="1"/>
  <c r="BI58" i="15"/>
  <c r="BJ58" i="15" s="1"/>
  <c r="OG57" i="15"/>
  <c r="OH57" i="15" s="1"/>
  <c r="RA57" i="15"/>
  <c r="RB56" i="15"/>
  <c r="X59" i="15"/>
  <c r="IO57" i="15"/>
  <c r="IP56" i="15"/>
  <c r="LH59" i="15"/>
  <c r="EC57" i="15"/>
  <c r="ED56" i="15"/>
  <c r="PD59" i="15"/>
  <c r="KG57" i="15"/>
  <c r="KH56" i="15"/>
  <c r="IV59" i="15"/>
  <c r="BX59" i="15"/>
  <c r="KF59" i="15"/>
  <c r="UG57" i="15"/>
  <c r="UH56" i="15"/>
  <c r="OZ59" i="15"/>
  <c r="DY57" i="15"/>
  <c r="DZ56" i="15"/>
  <c r="HX59" i="15"/>
  <c r="HY59" i="15" s="1"/>
  <c r="HZ58" i="15"/>
  <c r="FH59" i="15"/>
  <c r="DU57" i="15"/>
  <c r="DV56" i="15"/>
  <c r="GV59" i="15"/>
  <c r="TT59" i="15"/>
  <c r="UB59" i="15"/>
  <c r="FL59" i="15"/>
  <c r="GB59" i="15"/>
  <c r="NH59" i="15"/>
  <c r="UR59" i="15"/>
  <c r="GJ59" i="15"/>
  <c r="NL59" i="15"/>
  <c r="PA57" i="15"/>
  <c r="PB56" i="15"/>
  <c r="QF59" i="15"/>
  <c r="RL59" i="15"/>
  <c r="HU57" i="15"/>
  <c r="HV56" i="15"/>
  <c r="OW57" i="15"/>
  <c r="OX56" i="15"/>
  <c r="NU57" i="15"/>
  <c r="NV56" i="15"/>
  <c r="P59" i="15"/>
  <c r="DD59" i="15"/>
  <c r="TV57" i="15"/>
  <c r="FN57" i="15"/>
  <c r="SR59" i="15"/>
  <c r="JU57" i="15"/>
  <c r="JV56" i="15"/>
  <c r="HP59" i="15"/>
  <c r="JX59" i="15"/>
  <c r="TL59" i="15"/>
  <c r="JT59" i="15"/>
  <c r="PL58" i="15"/>
  <c r="EJ59" i="15"/>
  <c r="DH59" i="15"/>
  <c r="LD59" i="15"/>
  <c r="SC57" i="15"/>
  <c r="SD56" i="15"/>
  <c r="HA57" i="15"/>
  <c r="HB56" i="15"/>
  <c r="US57" i="15"/>
  <c r="UT56" i="15"/>
  <c r="KR59" i="15"/>
  <c r="OR59" i="15"/>
  <c r="SJ59" i="15"/>
  <c r="FA57" i="15"/>
  <c r="FB56" i="15"/>
  <c r="TE57" i="15"/>
  <c r="TF56" i="15"/>
  <c r="PU57" i="15"/>
  <c r="PV56" i="15"/>
  <c r="RX59" i="15"/>
  <c r="RD59" i="15"/>
  <c r="AW57" i="15"/>
  <c r="AX56" i="15"/>
  <c r="Y57" i="15"/>
  <c r="Z56" i="15"/>
  <c r="T59" i="15"/>
  <c r="UN59" i="15"/>
  <c r="LX59" i="15"/>
  <c r="ON59" i="15"/>
  <c r="MK57" i="15"/>
  <c r="ML56" i="15"/>
  <c r="CZ59" i="15"/>
  <c r="HL59" i="15"/>
  <c r="DP59" i="15"/>
  <c r="AZ59" i="15"/>
  <c r="JD59" i="15"/>
  <c r="EV59" i="15"/>
  <c r="DX59" i="15"/>
  <c r="UP57" i="15"/>
  <c r="IK57" i="15"/>
  <c r="IL56" i="15"/>
  <c r="LZ57" i="15"/>
  <c r="BA58" i="15"/>
  <c r="BB58" i="15" s="1"/>
  <c r="OJ59" i="15"/>
  <c r="QZ59" i="15"/>
  <c r="CV59" i="15"/>
  <c r="BL59" i="15"/>
  <c r="EN59" i="15"/>
  <c r="OF58" i="15"/>
  <c r="KB59" i="15"/>
  <c r="OV59" i="15"/>
  <c r="ND59" i="15"/>
  <c r="TD59" i="15"/>
  <c r="JQ57" i="15"/>
  <c r="JR56" i="15"/>
  <c r="SS57" i="15"/>
  <c r="ST56" i="15"/>
  <c r="OL57" i="15"/>
  <c r="DA58" i="15"/>
  <c r="FQ57" i="15"/>
  <c r="FR56" i="15"/>
  <c r="UF59" i="15"/>
  <c r="UJ59" i="15"/>
  <c r="EF59" i="15"/>
  <c r="OH56" i="15"/>
  <c r="LA57" i="15"/>
  <c r="LB56" i="15"/>
  <c r="JH59" i="15"/>
  <c r="NQ57" i="15"/>
  <c r="NR56" i="15"/>
  <c r="IF59" i="15"/>
  <c r="LP59" i="15"/>
  <c r="LE57" i="15"/>
  <c r="LF56" i="15"/>
  <c r="TX59" i="15"/>
  <c r="U58" i="15"/>
  <c r="BM57" i="15"/>
  <c r="BN56" i="15"/>
  <c r="QV59" i="15"/>
  <c r="AS57" i="15"/>
  <c r="AT56" i="15"/>
  <c r="IW57" i="15"/>
  <c r="IX56" i="15"/>
  <c r="IH57" i="15"/>
  <c r="FI58" i="15"/>
  <c r="TI57" i="15"/>
  <c r="TJ56" i="15"/>
  <c r="TZ57" i="15"/>
  <c r="SB59" i="15"/>
  <c r="QR59" i="15"/>
  <c r="EW57" i="15"/>
  <c r="EX56" i="15"/>
  <c r="GC57" i="15"/>
  <c r="GD56" i="15"/>
  <c r="HH59" i="15"/>
  <c r="NX59" i="15"/>
  <c r="QS58" i="15"/>
  <c r="QT58" i="15" s="1"/>
  <c r="GZ59" i="15"/>
  <c r="IB59" i="15"/>
  <c r="DL59" i="15"/>
  <c r="MJ59" i="15"/>
  <c r="SN59" i="15"/>
  <c r="PP59" i="15"/>
  <c r="NM57" i="15"/>
  <c r="NN56" i="15"/>
  <c r="GW58" i="15"/>
  <c r="GX58" i="15" s="1"/>
  <c r="LT59" i="15"/>
  <c r="GK57" i="15"/>
  <c r="GL56" i="15"/>
  <c r="MW57" i="15"/>
  <c r="MX56" i="15"/>
  <c r="CK58" i="15"/>
  <c r="KZ59" i="15"/>
  <c r="TH59" i="15"/>
  <c r="JE57" i="15"/>
  <c r="JF56" i="15"/>
  <c r="IN59" i="15"/>
  <c r="MF59" i="15"/>
  <c r="GN59" i="15"/>
  <c r="PT59" i="15"/>
  <c r="CJ59" i="15"/>
  <c r="NE57" i="15"/>
  <c r="NF56" i="15"/>
  <c r="JM58" i="15"/>
  <c r="JN58" i="15" s="1"/>
  <c r="SK58" i="15"/>
  <c r="SL58" i="15" s="1"/>
  <c r="OS57" i="15"/>
  <c r="OT56" i="15"/>
  <c r="OO57" i="15"/>
  <c r="OP56" i="15"/>
  <c r="FT59" i="15"/>
  <c r="SF59" i="15"/>
  <c r="BD59" i="15"/>
  <c r="NP59" i="15"/>
  <c r="NI57" i="15"/>
  <c r="NJ56" i="15"/>
  <c r="E58" i="15"/>
  <c r="F58" i="15" s="1"/>
  <c r="OB59" i="15"/>
  <c r="SO58" i="15"/>
  <c r="SP58" i="15" s="1"/>
  <c r="M57" i="15"/>
  <c r="N56" i="15"/>
  <c r="BJ57" i="15"/>
  <c r="PE58" i="15"/>
  <c r="AR59" i="15"/>
  <c r="OC57" i="15"/>
  <c r="OD56" i="15"/>
  <c r="DE57" i="15"/>
  <c r="DF56" i="15"/>
  <c r="QJ59" i="15"/>
  <c r="JI57" i="15"/>
  <c r="JJ56" i="15"/>
  <c r="CP57" i="15"/>
  <c r="FD59" i="15"/>
  <c r="FP59" i="15"/>
  <c r="RM57" i="15"/>
  <c r="RN56" i="15"/>
  <c r="LI58" i="15"/>
  <c r="IZ59" i="15"/>
  <c r="GT57" i="15"/>
  <c r="QC57" i="15"/>
  <c r="QD56" i="15"/>
  <c r="AF59" i="15"/>
  <c r="AG59" i="15" s="1"/>
  <c r="AH58" i="15"/>
  <c r="HD59" i="15"/>
  <c r="LU57" i="15"/>
  <c r="LV56" i="15"/>
  <c r="RT59" i="15"/>
  <c r="MS57" i="15"/>
  <c r="MT56" i="15"/>
  <c r="GF59" i="15"/>
  <c r="AV59" i="15"/>
  <c r="KL57" i="15"/>
  <c r="AL58" i="15"/>
  <c r="AJ59" i="15"/>
  <c r="AK59" i="15" s="1"/>
  <c r="TP59" i="15"/>
  <c r="KW57" i="15"/>
  <c r="KX56" i="15"/>
  <c r="BH59" i="15"/>
  <c r="HE58" i="15"/>
  <c r="TQ57" i="15"/>
  <c r="TR56" i="15"/>
  <c r="CR58" i="15"/>
  <c r="LL59" i="15"/>
  <c r="MZ58" i="15"/>
  <c r="Q57" i="15"/>
  <c r="R56" i="15"/>
  <c r="RU57" i="15"/>
  <c r="RV56" i="15"/>
  <c r="NY57" i="15"/>
  <c r="NZ56" i="15"/>
  <c r="MR59" i="15"/>
  <c r="CN59" i="15"/>
  <c r="HM58" i="15"/>
  <c r="QB59" i="15"/>
  <c r="L59" i="15"/>
  <c r="QW58" i="15"/>
  <c r="EK58" i="15"/>
  <c r="QG57" i="15"/>
  <c r="QH56" i="15"/>
  <c r="BE58" i="15"/>
  <c r="KN59" i="15"/>
  <c r="MN59" i="15"/>
  <c r="TA57" i="15"/>
  <c r="TB56" i="15"/>
  <c r="KJ59" i="15"/>
  <c r="BY57" i="15"/>
  <c r="BZ56" i="15"/>
  <c r="HI57" i="15"/>
  <c r="HJ56" i="15"/>
  <c r="RH59" i="15"/>
  <c r="FX59" i="15"/>
  <c r="EO58" i="15"/>
  <c r="MV59" i="15"/>
  <c r="JL59" i="15"/>
  <c r="D59" i="15"/>
  <c r="ER59" i="15"/>
  <c r="BR58" i="15"/>
  <c r="BP59" i="15"/>
  <c r="BQ59" i="15" s="1"/>
  <c r="TM57" i="15"/>
  <c r="TN56" i="15"/>
  <c r="SG58" i="15"/>
  <c r="UC57" i="15"/>
  <c r="UD56" i="15"/>
  <c r="CG57" i="15"/>
  <c r="CH56" i="15"/>
  <c r="QK57" i="15"/>
  <c r="QL56" i="15"/>
  <c r="HQ58" i="15"/>
  <c r="DI57" i="15"/>
  <c r="DJ56" i="15"/>
  <c r="GR59" i="15"/>
  <c r="ES57" i="15"/>
  <c r="ET56" i="15"/>
  <c r="SV59" i="15"/>
  <c r="DT59" i="15"/>
  <c r="CB58" i="15"/>
  <c r="KV59" i="15"/>
  <c r="MG58" i="15"/>
  <c r="IC58" i="15"/>
  <c r="CW57" i="15"/>
  <c r="CX56" i="15"/>
  <c r="RP59" i="15"/>
  <c r="AB59" i="15"/>
  <c r="PZ58" i="15"/>
  <c r="PX59" i="15"/>
  <c r="PY59" i="15" s="1"/>
  <c r="IR59" i="15"/>
  <c r="MO58" i="15"/>
  <c r="MP58" i="15" s="1"/>
  <c r="EZ59" i="15"/>
  <c r="FZ57" i="15"/>
  <c r="FU58" i="15"/>
  <c r="FV58" i="15" s="1"/>
  <c r="H58" i="15"/>
  <c r="MB59" i="15"/>
  <c r="MD58" i="15"/>
  <c r="IJ59" i="15"/>
  <c r="PQ57" i="15"/>
  <c r="PR56" i="15"/>
  <c r="AN59" i="15"/>
  <c r="GG57" i="15"/>
  <c r="GH56" i="15"/>
  <c r="KC57" i="15"/>
  <c r="KD56" i="15"/>
  <c r="JP59" i="15"/>
  <c r="RQ57" i="15"/>
  <c r="RR56" i="15"/>
  <c r="PH59" i="15"/>
  <c r="EB59" i="15"/>
  <c r="PJ57" i="15"/>
  <c r="SX57" i="15"/>
  <c r="BT58" i="15"/>
  <c r="HT59" i="15"/>
  <c r="SZ59" i="15"/>
  <c r="CF59" i="15"/>
  <c r="IT57" i="15"/>
  <c r="UK57" i="15"/>
  <c r="UL56" i="15"/>
  <c r="QN59" i="15"/>
  <c r="JY58" i="15"/>
  <c r="NT59" i="15"/>
  <c r="RY57" i="15"/>
  <c r="RZ56" i="15"/>
  <c r="LM58" i="15"/>
  <c r="LN58" i="15" s="1"/>
  <c r="F61" i="9"/>
  <c r="G61" i="9" s="1"/>
  <c r="F61" i="8"/>
  <c r="G61" i="8" s="1"/>
  <c r="E62" i="11"/>
  <c r="F61" i="11"/>
  <c r="G61" i="10"/>
  <c r="G60" i="10"/>
  <c r="E62" i="9"/>
  <c r="G60" i="9"/>
  <c r="E62" i="8"/>
  <c r="G60" i="8"/>
  <c r="E63" i="2"/>
  <c r="F62" i="2"/>
  <c r="PI59" i="15" l="1"/>
  <c r="GO59" i="15"/>
  <c r="CC58" i="15"/>
  <c r="CD58" i="15" s="1"/>
  <c r="I58" i="15"/>
  <c r="QO59" i="15"/>
  <c r="QP59" i="15" s="1"/>
  <c r="BU58" i="15"/>
  <c r="BV58" i="15" s="1"/>
  <c r="AC59" i="15"/>
  <c r="AD59" i="15" s="1"/>
  <c r="KO59" i="15"/>
  <c r="KP59" i="15" s="1"/>
  <c r="RE59" i="15"/>
  <c r="RF59" i="15" s="1"/>
  <c r="KK59" i="15"/>
  <c r="KL59" i="15" s="1"/>
  <c r="GS59" i="15"/>
  <c r="GT59" i="15" s="1"/>
  <c r="CO59" i="15"/>
  <c r="CP59" i="15" s="1"/>
  <c r="LY59" i="15"/>
  <c r="LZ59" i="15" s="1"/>
  <c r="DA59" i="15"/>
  <c r="DB59" i="15" s="1"/>
  <c r="TY59" i="15"/>
  <c r="TZ59" i="15" s="1"/>
  <c r="IG59" i="15"/>
  <c r="IH59" i="15" s="1"/>
  <c r="RI59" i="15"/>
  <c r="RJ59" i="15" s="1"/>
  <c r="TU59" i="15"/>
  <c r="TV59" i="15" s="1"/>
  <c r="IS59" i="15"/>
  <c r="IT59" i="15" s="1"/>
  <c r="OK59" i="15"/>
  <c r="OL59" i="15" s="1"/>
  <c r="TV58" i="15"/>
  <c r="CK59" i="15"/>
  <c r="CL59" i="15" s="1"/>
  <c r="SW59" i="15"/>
  <c r="SX59" i="15" s="1"/>
  <c r="EK59" i="15"/>
  <c r="EL59" i="15" s="1"/>
  <c r="FY59" i="15"/>
  <c r="FZ59" i="15" s="1"/>
  <c r="FM59" i="15"/>
  <c r="FN59" i="15" s="1"/>
  <c r="HM59" i="15"/>
  <c r="HN59" i="15" s="1"/>
  <c r="JY59" i="15"/>
  <c r="JZ59" i="15" s="1"/>
  <c r="MG59" i="15"/>
  <c r="MH59" i="15" s="1"/>
  <c r="SG59" i="15"/>
  <c r="SH59" i="15" s="1"/>
  <c r="U59" i="15"/>
  <c r="BE59" i="15"/>
  <c r="BF59" i="15" s="1"/>
  <c r="PE59" i="15"/>
  <c r="PF59" i="15" s="1"/>
  <c r="FI59" i="15"/>
  <c r="FJ59" i="15" s="1"/>
  <c r="QW59" i="15"/>
  <c r="QX59" i="15" s="1"/>
  <c r="IC59" i="15"/>
  <c r="ID59" i="15" s="1"/>
  <c r="EO59" i="15"/>
  <c r="BI59" i="15"/>
  <c r="BJ59" i="15" s="1"/>
  <c r="LI59" i="15"/>
  <c r="LJ58" i="15"/>
  <c r="HE59" i="15"/>
  <c r="HF59" i="15" s="1"/>
  <c r="HQ59" i="15"/>
  <c r="HR59" i="15" s="1"/>
  <c r="CL58" i="15"/>
  <c r="OC58" i="15"/>
  <c r="OD57" i="15"/>
  <c r="EW58" i="15"/>
  <c r="EX57" i="15"/>
  <c r="MN60" i="15"/>
  <c r="RU58" i="15"/>
  <c r="RV57" i="15"/>
  <c r="IZ60" i="15"/>
  <c r="PP60" i="15"/>
  <c r="DX60" i="15"/>
  <c r="OR60" i="15"/>
  <c r="JT60" i="15"/>
  <c r="LH60" i="15"/>
  <c r="OO58" i="15"/>
  <c r="OP57" i="15"/>
  <c r="JE58" i="15"/>
  <c r="JF57" i="15"/>
  <c r="QR60" i="15"/>
  <c r="UJ60" i="15"/>
  <c r="KB60" i="15"/>
  <c r="UN60" i="15"/>
  <c r="NH60" i="15"/>
  <c r="OZ60" i="15"/>
  <c r="EC58" i="15"/>
  <c r="ED57" i="15"/>
  <c r="Q58" i="15"/>
  <c r="R57" i="15"/>
  <c r="SB60" i="15"/>
  <c r="V58" i="15"/>
  <c r="NU58" i="15"/>
  <c r="NV57" i="15"/>
  <c r="GB60" i="15"/>
  <c r="IO58" i="15"/>
  <c r="IP57" i="15"/>
  <c r="NM58" i="15"/>
  <c r="NN57" i="15"/>
  <c r="UR60" i="15"/>
  <c r="MZ59" i="15"/>
  <c r="RM58" i="15"/>
  <c r="RN57" i="15"/>
  <c r="OS58" i="15"/>
  <c r="OT57" i="15"/>
  <c r="TH60" i="15"/>
  <c r="TX60" i="15"/>
  <c r="OF59" i="15"/>
  <c r="EV60" i="15"/>
  <c r="T60" i="15"/>
  <c r="KR60" i="15"/>
  <c r="X60" i="15"/>
  <c r="TA58" i="15"/>
  <c r="TB57" i="15"/>
  <c r="SN60" i="15"/>
  <c r="DI58" i="15"/>
  <c r="DJ57" i="15"/>
  <c r="MV60" i="15"/>
  <c r="M58" i="15"/>
  <c r="N57" i="15"/>
  <c r="SK59" i="15"/>
  <c r="MJ60" i="15"/>
  <c r="UF60" i="15"/>
  <c r="EN60" i="15"/>
  <c r="OW58" i="15"/>
  <c r="OX57" i="15"/>
  <c r="FL60" i="15"/>
  <c r="UG58" i="15"/>
  <c r="UH57" i="15"/>
  <c r="NY58" i="15"/>
  <c r="NZ57" i="15"/>
  <c r="EF60" i="15"/>
  <c r="SZ60" i="15"/>
  <c r="QG58" i="15"/>
  <c r="QH57" i="15"/>
  <c r="GF60" i="15"/>
  <c r="FP60" i="15"/>
  <c r="JM59" i="15"/>
  <c r="JN59" i="15" s="1"/>
  <c r="DL60" i="15"/>
  <c r="EP58" i="15"/>
  <c r="JD60" i="15"/>
  <c r="Y58" i="15"/>
  <c r="Z57" i="15"/>
  <c r="US58" i="15"/>
  <c r="UT57" i="15"/>
  <c r="TL60" i="15"/>
  <c r="UO59" i="15"/>
  <c r="ES58" i="15"/>
  <c r="ET57" i="15"/>
  <c r="AN60" i="15"/>
  <c r="SO59" i="15"/>
  <c r="SP59" i="15" s="1"/>
  <c r="LE58" i="15"/>
  <c r="LF57" i="15"/>
  <c r="FQ58" i="15"/>
  <c r="FR57" i="15"/>
  <c r="JZ58" i="15"/>
  <c r="RA58" i="15"/>
  <c r="RB57" i="15"/>
  <c r="AR60" i="15"/>
  <c r="AB60" i="15"/>
  <c r="FX60" i="15"/>
  <c r="KZ60" i="15"/>
  <c r="IB60" i="15"/>
  <c r="LP60" i="15"/>
  <c r="BL60" i="15"/>
  <c r="AZ60" i="15"/>
  <c r="AW58" i="15"/>
  <c r="AX57" i="15"/>
  <c r="JX60" i="15"/>
  <c r="HU58" i="15"/>
  <c r="HV57" i="15"/>
  <c r="UB60" i="15"/>
  <c r="KF60" i="15"/>
  <c r="SJ60" i="15"/>
  <c r="KN60" i="15"/>
  <c r="OB60" i="15"/>
  <c r="NE58" i="15"/>
  <c r="NF57" i="15"/>
  <c r="ID58" i="15"/>
  <c r="TI58" i="15"/>
  <c r="TJ57" i="15"/>
  <c r="CV60" i="15"/>
  <c r="DP60" i="15"/>
  <c r="HA58" i="15"/>
  <c r="HB57" i="15"/>
  <c r="HR58" i="15"/>
  <c r="RL60" i="15"/>
  <c r="BX60" i="15"/>
  <c r="NA58" i="15"/>
  <c r="GR60" i="15"/>
  <c r="QK58" i="15"/>
  <c r="QL57" i="15"/>
  <c r="E59" i="15"/>
  <c r="RD60" i="15"/>
  <c r="HP60" i="15"/>
  <c r="TT60" i="15"/>
  <c r="CF60" i="15"/>
  <c r="CW58" i="15"/>
  <c r="CX57" i="15"/>
  <c r="J58" i="15"/>
  <c r="H59" i="15"/>
  <c r="KV60" i="15"/>
  <c r="TQ58" i="15"/>
  <c r="TR57" i="15"/>
  <c r="CJ60" i="15"/>
  <c r="GZ60" i="15"/>
  <c r="IF60" i="15"/>
  <c r="SS58" i="15"/>
  <c r="ST57" i="15"/>
  <c r="QZ60" i="15"/>
  <c r="HN58" i="15"/>
  <c r="SC58" i="15"/>
  <c r="SD57" i="15"/>
  <c r="LQ59" i="15"/>
  <c r="EG59" i="15"/>
  <c r="EH59" i="15" s="1"/>
  <c r="D60" i="15"/>
  <c r="LL60" i="15"/>
  <c r="OG58" i="15"/>
  <c r="OH58" i="15" s="1"/>
  <c r="NI58" i="15"/>
  <c r="NJ57" i="15"/>
  <c r="PT60" i="15"/>
  <c r="MW58" i="15"/>
  <c r="MX57" i="15"/>
  <c r="QS59" i="15"/>
  <c r="QT59" i="15" s="1"/>
  <c r="HL60" i="15"/>
  <c r="RX60" i="15"/>
  <c r="LD60" i="15"/>
  <c r="JU58" i="15"/>
  <c r="JV57" i="15"/>
  <c r="QF60" i="15"/>
  <c r="GV60" i="15"/>
  <c r="IV60" i="15"/>
  <c r="BM58" i="15"/>
  <c r="BN57" i="15"/>
  <c r="GG58" i="15"/>
  <c r="GH57" i="15"/>
  <c r="BT59" i="15"/>
  <c r="UC58" i="15"/>
  <c r="UD57" i="15"/>
  <c r="HI58" i="15"/>
  <c r="HJ57" i="15"/>
  <c r="JI58" i="15"/>
  <c r="JJ57" i="15"/>
  <c r="IW58" i="15"/>
  <c r="IX57" i="15"/>
  <c r="NQ58" i="15"/>
  <c r="NR57" i="15"/>
  <c r="JQ58" i="15"/>
  <c r="JR57" i="15"/>
  <c r="CZ60" i="15"/>
  <c r="DQ59" i="15"/>
  <c r="LX60" i="15"/>
  <c r="IN60" i="15"/>
  <c r="MB60" i="15"/>
  <c r="RT60" i="15"/>
  <c r="QN60" i="15"/>
  <c r="OJ60" i="15"/>
  <c r="DB58" i="15"/>
  <c r="PU58" i="15"/>
  <c r="PV57" i="15"/>
  <c r="SR60" i="15"/>
  <c r="PA58" i="15"/>
  <c r="PB57" i="15"/>
  <c r="DU58" i="15"/>
  <c r="DV57" i="15"/>
  <c r="KS59" i="15"/>
  <c r="DY58" i="15"/>
  <c r="DZ57" i="15"/>
  <c r="IJ60" i="15"/>
  <c r="MS58" i="15"/>
  <c r="MT57" i="15"/>
  <c r="CG58" i="15"/>
  <c r="CH57" i="15"/>
  <c r="NT60" i="15"/>
  <c r="QB60" i="15"/>
  <c r="RQ58" i="15"/>
  <c r="RR57" i="15"/>
  <c r="BD60" i="15"/>
  <c r="JH60" i="15"/>
  <c r="DM59" i="15"/>
  <c r="NL60" i="15"/>
  <c r="FJ58" i="15"/>
  <c r="KG58" i="15"/>
  <c r="KH57" i="15"/>
  <c r="JA59" i="15"/>
  <c r="OV60" i="15"/>
  <c r="PL59" i="15"/>
  <c r="PX60" i="15"/>
  <c r="PZ59" i="15"/>
  <c r="AV60" i="15"/>
  <c r="PQ58" i="15"/>
  <c r="PR57" i="15"/>
  <c r="CR59" i="15"/>
  <c r="RY58" i="15"/>
  <c r="RZ57" i="15"/>
  <c r="RH60" i="15"/>
  <c r="PM58" i="15"/>
  <c r="PN58" i="15" s="1"/>
  <c r="LU58" i="15"/>
  <c r="LV57" i="15"/>
  <c r="FU59" i="15"/>
  <c r="FV59" i="15" s="1"/>
  <c r="NP60" i="15"/>
  <c r="TM58" i="15"/>
  <c r="TN57" i="15"/>
  <c r="CN60" i="15"/>
  <c r="HH60" i="15"/>
  <c r="BA59" i="15"/>
  <c r="BB59" i="15" s="1"/>
  <c r="EZ60" i="15"/>
  <c r="DT60" i="15"/>
  <c r="BP60" i="15"/>
  <c r="BQ60" i="15" s="1"/>
  <c r="BR59" i="15"/>
  <c r="KJ60" i="15"/>
  <c r="MR60" i="15"/>
  <c r="AH59" i="15"/>
  <c r="AF60" i="15"/>
  <c r="AG60" i="15" s="1"/>
  <c r="BF58" i="15"/>
  <c r="LT60" i="15"/>
  <c r="QX58" i="15"/>
  <c r="MK58" i="15"/>
  <c r="ML57" i="15"/>
  <c r="TE58" i="15"/>
  <c r="TF57" i="15"/>
  <c r="DH60" i="15"/>
  <c r="FH60" i="15"/>
  <c r="PF58" i="15"/>
  <c r="CS58" i="15"/>
  <c r="IR60" i="15"/>
  <c r="AL59" i="15"/>
  <c r="AJ60" i="15"/>
  <c r="AK60" i="15" s="1"/>
  <c r="RP60" i="15"/>
  <c r="LM59" i="15"/>
  <c r="BH60" i="15"/>
  <c r="GK58" i="15"/>
  <c r="GL57" i="15"/>
  <c r="JP60" i="15"/>
  <c r="BY58" i="15"/>
  <c r="BZ57" i="15"/>
  <c r="QJ60" i="15"/>
  <c r="AS58" i="15"/>
  <c r="AT57" i="15"/>
  <c r="TD60" i="15"/>
  <c r="SV60" i="15"/>
  <c r="KW58" i="15"/>
  <c r="KX57" i="15"/>
  <c r="DE58" i="15"/>
  <c r="DF57" i="15"/>
  <c r="SH58" i="15"/>
  <c r="MH58" i="15"/>
  <c r="GW59" i="15"/>
  <c r="GX59" i="15" s="1"/>
  <c r="QV60" i="15"/>
  <c r="LA58" i="15"/>
  <c r="LB57" i="15"/>
  <c r="ND60" i="15"/>
  <c r="EL58" i="15"/>
  <c r="PD60" i="15"/>
  <c r="AO59" i="15"/>
  <c r="FT60" i="15"/>
  <c r="P60" i="15"/>
  <c r="HT60" i="15"/>
  <c r="JL60" i="15"/>
  <c r="FD60" i="15"/>
  <c r="EB60" i="15"/>
  <c r="L60" i="15"/>
  <c r="PH60" i="15"/>
  <c r="PI60" i="15" s="1"/>
  <c r="PJ59" i="15"/>
  <c r="FE59" i="15"/>
  <c r="HF58" i="15"/>
  <c r="CB59" i="15"/>
  <c r="HD60" i="15"/>
  <c r="NX60" i="15"/>
  <c r="GP59" i="15"/>
  <c r="GN60" i="15"/>
  <c r="GO60" i="15" s="1"/>
  <c r="UK58" i="15"/>
  <c r="UL57" i="15"/>
  <c r="KC58" i="15"/>
  <c r="KD57" i="15"/>
  <c r="MO59" i="15"/>
  <c r="MP59" i="15" s="1"/>
  <c r="ER60" i="15"/>
  <c r="TP60" i="15"/>
  <c r="QC58" i="15"/>
  <c r="QD57" i="15"/>
  <c r="SF60" i="15"/>
  <c r="MF60" i="15"/>
  <c r="GC58" i="15"/>
  <c r="GD57" i="15"/>
  <c r="IK58" i="15"/>
  <c r="IL57" i="15"/>
  <c r="ON60" i="15"/>
  <c r="FA58" i="15"/>
  <c r="FB57" i="15"/>
  <c r="EJ60" i="15"/>
  <c r="DD60" i="15"/>
  <c r="GJ60" i="15"/>
  <c r="HZ59" i="15"/>
  <c r="HX60" i="15"/>
  <c r="HY60" i="15" s="1"/>
  <c r="MC59" i="15"/>
  <c r="F62" i="11"/>
  <c r="G62" i="11" s="1"/>
  <c r="F63" i="2"/>
  <c r="G63" i="2" s="1"/>
  <c r="G61" i="11"/>
  <c r="E63" i="11"/>
  <c r="E63" i="9"/>
  <c r="F62" i="9"/>
  <c r="E63" i="8"/>
  <c r="F62" i="8"/>
  <c r="G62" i="2"/>
  <c r="E64" i="2"/>
  <c r="BU59" i="15" l="1"/>
  <c r="MG60" i="15"/>
  <c r="MH60" i="15" s="1"/>
  <c r="KK60" i="15"/>
  <c r="TU60" i="15"/>
  <c r="TV60" i="15" s="1"/>
  <c r="LY60" i="15"/>
  <c r="LZ60" i="15" s="1"/>
  <c r="HE60" i="15"/>
  <c r="HF60" i="15" s="1"/>
  <c r="FM60" i="15"/>
  <c r="FN60" i="15" s="1"/>
  <c r="EK60" i="15"/>
  <c r="EL60" i="15" s="1"/>
  <c r="EO60" i="15"/>
  <c r="EP60" i="15" s="1"/>
  <c r="IC60" i="15"/>
  <c r="ID60" i="15" s="1"/>
  <c r="JY60" i="15"/>
  <c r="JZ60" i="15" s="1"/>
  <c r="QW60" i="15"/>
  <c r="QX60" i="15" s="1"/>
  <c r="U60" i="15"/>
  <c r="V60" i="15" s="1"/>
  <c r="LQ60" i="15"/>
  <c r="LR60" i="15" s="1"/>
  <c r="FI60" i="15"/>
  <c r="FJ60" i="15" s="1"/>
  <c r="AO60" i="15"/>
  <c r="AP60" i="15" s="1"/>
  <c r="PE60" i="15"/>
  <c r="PF60" i="15" s="1"/>
  <c r="SG60" i="15"/>
  <c r="SH60" i="15" s="1"/>
  <c r="KS60" i="15"/>
  <c r="KT60" i="15" s="1"/>
  <c r="LI60" i="15"/>
  <c r="LJ60" i="15" s="1"/>
  <c r="LJ59" i="15"/>
  <c r="BE60" i="15"/>
  <c r="BF60" i="15" s="1"/>
  <c r="JA60" i="15"/>
  <c r="JB60" i="15" s="1"/>
  <c r="V59" i="15"/>
  <c r="HM60" i="15"/>
  <c r="HN60" i="15" s="1"/>
  <c r="NA59" i="15"/>
  <c r="NB59" i="15" s="1"/>
  <c r="HQ60" i="15"/>
  <c r="HR60" i="15" s="1"/>
  <c r="EP59" i="15"/>
  <c r="E60" i="15"/>
  <c r="JB59" i="15"/>
  <c r="SK60" i="15"/>
  <c r="SL60" i="15" s="1"/>
  <c r="F59" i="15"/>
  <c r="DM60" i="15"/>
  <c r="DN60" i="15" s="1"/>
  <c r="CS59" i="15"/>
  <c r="CT59" i="15" s="1"/>
  <c r="LM60" i="15"/>
  <c r="LN60" i="15" s="1"/>
  <c r="UO60" i="15"/>
  <c r="UP60" i="15" s="1"/>
  <c r="MC60" i="15"/>
  <c r="MD60" i="15" s="1"/>
  <c r="OF60" i="15"/>
  <c r="ON61" i="15"/>
  <c r="GZ61" i="15"/>
  <c r="UB61" i="15"/>
  <c r="TL61" i="15"/>
  <c r="M59" i="15"/>
  <c r="N58" i="15"/>
  <c r="NU59" i="15"/>
  <c r="NV58" i="15"/>
  <c r="RU59" i="15"/>
  <c r="RV58" i="15"/>
  <c r="SR61" i="15"/>
  <c r="IF61" i="15"/>
  <c r="PU59" i="15"/>
  <c r="PV58" i="15"/>
  <c r="NI59" i="15"/>
  <c r="NJ58" i="15"/>
  <c r="AB61" i="15"/>
  <c r="SZ61" i="15"/>
  <c r="TX61" i="15"/>
  <c r="QR61" i="15"/>
  <c r="MN61" i="15"/>
  <c r="CJ61" i="15"/>
  <c r="CK60" i="15"/>
  <c r="TI59" i="15"/>
  <c r="TJ58" i="15"/>
  <c r="HU59" i="15"/>
  <c r="HV58" i="15"/>
  <c r="EF61" i="15"/>
  <c r="MV61" i="15"/>
  <c r="GB61" i="15"/>
  <c r="RD61" i="15"/>
  <c r="LT61" i="15"/>
  <c r="IK59" i="15"/>
  <c r="IL58" i="15"/>
  <c r="NP61" i="15"/>
  <c r="NT61" i="15"/>
  <c r="NQ59" i="15"/>
  <c r="NR58" i="15"/>
  <c r="LN59" i="15"/>
  <c r="US59" i="15"/>
  <c r="UT58" i="15"/>
  <c r="TH61" i="15"/>
  <c r="JE59" i="15"/>
  <c r="JF58" i="15"/>
  <c r="OV61" i="15"/>
  <c r="OJ61" i="15"/>
  <c r="GV61" i="15"/>
  <c r="LL61" i="15"/>
  <c r="TQ59" i="15"/>
  <c r="TR58" i="15"/>
  <c r="OK60" i="15"/>
  <c r="JX61" i="15"/>
  <c r="AR61" i="15"/>
  <c r="DI59" i="15"/>
  <c r="DJ58" i="15"/>
  <c r="SB61" i="15"/>
  <c r="EW59" i="15"/>
  <c r="EX58" i="15"/>
  <c r="PX61" i="15"/>
  <c r="HD61" i="15"/>
  <c r="FU60" i="15"/>
  <c r="FV60" i="15" s="1"/>
  <c r="CG59" i="15"/>
  <c r="CH58" i="15"/>
  <c r="IW59" i="15"/>
  <c r="IX58" i="15"/>
  <c r="QK59" i="15"/>
  <c r="QL58" i="15"/>
  <c r="Y59" i="15"/>
  <c r="Z58" i="15"/>
  <c r="NY59" i="15"/>
  <c r="NZ58" i="15"/>
  <c r="OS59" i="15"/>
  <c r="OT58" i="15"/>
  <c r="OO59" i="15"/>
  <c r="OP58" i="15"/>
  <c r="QG59" i="15"/>
  <c r="QH58" i="15"/>
  <c r="MK59" i="15"/>
  <c r="ML58" i="15"/>
  <c r="BM59" i="15"/>
  <c r="BN58" i="15"/>
  <c r="JQ59" i="15"/>
  <c r="JR58" i="15"/>
  <c r="CB60" i="15"/>
  <c r="QF61" i="15"/>
  <c r="KV61" i="15"/>
  <c r="NE59" i="15"/>
  <c r="NF58" i="15"/>
  <c r="AW59" i="15"/>
  <c r="AX58" i="15"/>
  <c r="RA59" i="15"/>
  <c r="RB58" i="15"/>
  <c r="SN61" i="15"/>
  <c r="Q59" i="15"/>
  <c r="R58" i="15"/>
  <c r="OC59" i="15"/>
  <c r="OD58" i="15"/>
  <c r="AV61" i="15"/>
  <c r="CZ61" i="15"/>
  <c r="OG59" i="15"/>
  <c r="MS59" i="15"/>
  <c r="MT58" i="15"/>
  <c r="QN61" i="15"/>
  <c r="JI59" i="15"/>
  <c r="JJ58" i="15"/>
  <c r="D61" i="15"/>
  <c r="H60" i="15"/>
  <c r="OB61" i="15"/>
  <c r="AZ61" i="15"/>
  <c r="JD61" i="15"/>
  <c r="UG59" i="15"/>
  <c r="UH58" i="15"/>
  <c r="RM59" i="15"/>
  <c r="RN58" i="15"/>
  <c r="LH61" i="15"/>
  <c r="FA59" i="15"/>
  <c r="FB58" i="15"/>
  <c r="ES59" i="15"/>
  <c r="ET58" i="15"/>
  <c r="UK59" i="15"/>
  <c r="UL58" i="15"/>
  <c r="SV61" i="15"/>
  <c r="LU59" i="15"/>
  <c r="LV58" i="15"/>
  <c r="JU59" i="15"/>
  <c r="JV58" i="15"/>
  <c r="EG60" i="15"/>
  <c r="GR61" i="15"/>
  <c r="TA59" i="15"/>
  <c r="TB58" i="15"/>
  <c r="NB58" i="15"/>
  <c r="EC59" i="15"/>
  <c r="ED58" i="15"/>
  <c r="AC60" i="15"/>
  <c r="AD60" i="15" s="1"/>
  <c r="NX61" i="15"/>
  <c r="FT61" i="15"/>
  <c r="SF61" i="15"/>
  <c r="IJ61" i="15"/>
  <c r="DL61" i="15"/>
  <c r="FL61" i="15"/>
  <c r="MZ60" i="15"/>
  <c r="JT61" i="15"/>
  <c r="I59" i="15"/>
  <c r="J59" i="15" s="1"/>
  <c r="BH61" i="15"/>
  <c r="GN61" i="15"/>
  <c r="GO61" i="15" s="1"/>
  <c r="GP60" i="15"/>
  <c r="IV61" i="15"/>
  <c r="KG59" i="15"/>
  <c r="KH58" i="15"/>
  <c r="QJ61" i="15"/>
  <c r="MB61" i="15"/>
  <c r="LD61" i="15"/>
  <c r="BL61" i="15"/>
  <c r="FQ59" i="15"/>
  <c r="FR58" i="15"/>
  <c r="DN59" i="15"/>
  <c r="X61" i="15"/>
  <c r="OZ61" i="15"/>
  <c r="PY60" i="15"/>
  <c r="DP61" i="15"/>
  <c r="PL60" i="15"/>
  <c r="RP61" i="15"/>
  <c r="TD61" i="15"/>
  <c r="GJ61" i="15"/>
  <c r="RH61" i="15"/>
  <c r="UC59" i="15"/>
  <c r="UD58" i="15"/>
  <c r="RX61" i="15"/>
  <c r="SC59" i="15"/>
  <c r="SD58" i="15"/>
  <c r="CW59" i="15"/>
  <c r="CX58" i="15"/>
  <c r="BX61" i="15"/>
  <c r="KN61" i="15"/>
  <c r="DA60" i="15"/>
  <c r="DB60" i="15" s="1"/>
  <c r="CC59" i="15"/>
  <c r="OW59" i="15"/>
  <c r="OX58" i="15"/>
  <c r="IG60" i="15"/>
  <c r="UR61" i="15"/>
  <c r="NH61" i="15"/>
  <c r="OR61" i="15"/>
  <c r="PT61" i="15"/>
  <c r="FX61" i="15"/>
  <c r="HT61" i="15"/>
  <c r="AF61" i="15"/>
  <c r="AH60" i="15"/>
  <c r="MR61" i="15"/>
  <c r="RT61" i="15"/>
  <c r="LR59" i="15"/>
  <c r="LE59" i="15"/>
  <c r="LF58" i="15"/>
  <c r="JM60" i="15"/>
  <c r="JN60" i="15" s="1"/>
  <c r="KT59" i="15"/>
  <c r="QO60" i="15"/>
  <c r="CN61" i="15"/>
  <c r="KJ61" i="15"/>
  <c r="KK61" i="15" s="1"/>
  <c r="KL60" i="15"/>
  <c r="FH61" i="15"/>
  <c r="FP61" i="15"/>
  <c r="EN61" i="15"/>
  <c r="KR61" i="15"/>
  <c r="NM59" i="15"/>
  <c r="NN58" i="15"/>
  <c r="UN61" i="15"/>
  <c r="DX61" i="15"/>
  <c r="GS60" i="15"/>
  <c r="GT60" i="15" s="1"/>
  <c r="RQ59" i="15"/>
  <c r="RR58" i="15"/>
  <c r="HP61" i="15"/>
  <c r="QB61" i="15"/>
  <c r="KW59" i="15"/>
  <c r="KX58" i="15"/>
  <c r="AJ61" i="15"/>
  <c r="AL60" i="15"/>
  <c r="IR61" i="15"/>
  <c r="QC59" i="15"/>
  <c r="QD58" i="15"/>
  <c r="RI60" i="15"/>
  <c r="BY59" i="15"/>
  <c r="BZ58" i="15"/>
  <c r="SL59" i="15"/>
  <c r="ER61" i="15"/>
  <c r="EB61" i="15"/>
  <c r="LA59" i="15"/>
  <c r="LB58" i="15"/>
  <c r="JP61" i="15"/>
  <c r="DH61" i="15"/>
  <c r="CR60" i="15"/>
  <c r="JH61" i="15"/>
  <c r="IN61" i="15"/>
  <c r="BV59" i="15"/>
  <c r="BT60" i="15"/>
  <c r="BU60" i="15" s="1"/>
  <c r="HL61" i="15"/>
  <c r="QZ61" i="15"/>
  <c r="CF61" i="15"/>
  <c r="SJ61" i="15"/>
  <c r="SO60" i="15"/>
  <c r="UF61" i="15"/>
  <c r="T61" i="15"/>
  <c r="IS60" i="15"/>
  <c r="UP59" i="15"/>
  <c r="RE60" i="15"/>
  <c r="UJ61" i="15"/>
  <c r="GC59" i="15"/>
  <c r="GD58" i="15"/>
  <c r="MF61" i="15"/>
  <c r="FE60" i="15"/>
  <c r="FF60" i="15" s="1"/>
  <c r="TP61" i="15"/>
  <c r="BP61" i="15"/>
  <c r="BQ61" i="15" s="1"/>
  <c r="BR60" i="15"/>
  <c r="LP61" i="15"/>
  <c r="EJ61" i="15"/>
  <c r="MO60" i="15"/>
  <c r="EZ61" i="15"/>
  <c r="CT58" i="15"/>
  <c r="BD61" i="15"/>
  <c r="DU59" i="15"/>
  <c r="DV58" i="15"/>
  <c r="QS60" i="15"/>
  <c r="TY60" i="15"/>
  <c r="IB61" i="15"/>
  <c r="AN61" i="15"/>
  <c r="PP61" i="15"/>
  <c r="JL61" i="15"/>
  <c r="CV61" i="15"/>
  <c r="HZ60" i="15"/>
  <c r="HX61" i="15"/>
  <c r="PM59" i="15"/>
  <c r="NL61" i="15"/>
  <c r="L61" i="15"/>
  <c r="FY60" i="15"/>
  <c r="FZ60" i="15" s="1"/>
  <c r="DT61" i="15"/>
  <c r="QV61" i="15"/>
  <c r="BA60" i="15"/>
  <c r="LX61" i="15"/>
  <c r="GG59" i="15"/>
  <c r="GH58" i="15"/>
  <c r="SS59" i="15"/>
  <c r="ST58" i="15"/>
  <c r="TT61" i="15"/>
  <c r="HA59" i="15"/>
  <c r="HB58" i="15"/>
  <c r="SW60" i="15"/>
  <c r="SX60" i="15" s="1"/>
  <c r="KZ61" i="15"/>
  <c r="AP59" i="15"/>
  <c r="GF61" i="15"/>
  <c r="EV61" i="15"/>
  <c r="IO59" i="15"/>
  <c r="IP58" i="15"/>
  <c r="KB61" i="15"/>
  <c r="BI60" i="15"/>
  <c r="FD61" i="15"/>
  <c r="DE59" i="15"/>
  <c r="DF58" i="15"/>
  <c r="TM59" i="15"/>
  <c r="TN58" i="15"/>
  <c r="P61" i="15"/>
  <c r="PD61" i="15"/>
  <c r="AS59" i="15"/>
  <c r="AT58" i="15"/>
  <c r="HI59" i="15"/>
  <c r="HJ58" i="15"/>
  <c r="PH61" i="15"/>
  <c r="PJ60" i="15"/>
  <c r="MD59" i="15"/>
  <c r="ND61" i="15"/>
  <c r="DY59" i="15"/>
  <c r="DZ58" i="15"/>
  <c r="RY59" i="15"/>
  <c r="RZ58" i="15"/>
  <c r="RL61" i="15"/>
  <c r="DD61" i="15"/>
  <c r="KC59" i="15"/>
  <c r="KD58" i="15"/>
  <c r="FF59" i="15"/>
  <c r="GW60" i="15"/>
  <c r="GK59" i="15"/>
  <c r="GL58" i="15"/>
  <c r="TE59" i="15"/>
  <c r="TF58" i="15"/>
  <c r="HH61" i="15"/>
  <c r="PQ59" i="15"/>
  <c r="PR58" i="15"/>
  <c r="PA59" i="15"/>
  <c r="PB58" i="15"/>
  <c r="DQ60" i="15"/>
  <c r="CO60" i="15"/>
  <c r="MW59" i="15"/>
  <c r="MX58" i="15"/>
  <c r="DR59" i="15"/>
  <c r="KF61" i="15"/>
  <c r="MJ61" i="15"/>
  <c r="IZ61" i="15"/>
  <c r="KO60" i="15"/>
  <c r="KP60" i="15" s="1"/>
  <c r="F63" i="9"/>
  <c r="G63" i="9" s="1"/>
  <c r="F63" i="8"/>
  <c r="G63" i="8" s="1"/>
  <c r="G62" i="9"/>
  <c r="E64" i="11"/>
  <c r="F63" i="11"/>
  <c r="G62" i="10"/>
  <c r="G63" i="10"/>
  <c r="E64" i="9"/>
  <c r="G62" i="8"/>
  <c r="E64" i="8"/>
  <c r="E65" i="2"/>
  <c r="F64" i="2"/>
  <c r="HE61" i="15" l="1"/>
  <c r="MG61" i="15"/>
  <c r="EO61" i="15"/>
  <c r="EP61" i="15" s="1"/>
  <c r="PE61" i="15"/>
  <c r="EK61" i="15"/>
  <c r="EL61" i="15" s="1"/>
  <c r="LQ61" i="15"/>
  <c r="LR61" i="15" s="1"/>
  <c r="QO61" i="15"/>
  <c r="QP61" i="15" s="1"/>
  <c r="AO61" i="15"/>
  <c r="AP61" i="15" s="1"/>
  <c r="IC61" i="15"/>
  <c r="ID61" i="15" s="1"/>
  <c r="U61" i="15"/>
  <c r="V61" i="15" s="1"/>
  <c r="CK61" i="15"/>
  <c r="CL61" i="15" s="1"/>
  <c r="LI61" i="15"/>
  <c r="LJ61" i="15" s="1"/>
  <c r="JA61" i="15"/>
  <c r="JB61" i="15" s="1"/>
  <c r="KS61" i="15"/>
  <c r="KT61" i="15" s="1"/>
  <c r="DM61" i="15"/>
  <c r="DN61" i="15" s="1"/>
  <c r="QW61" i="15"/>
  <c r="QX61" i="15" s="1"/>
  <c r="HQ61" i="15"/>
  <c r="HR61" i="15" s="1"/>
  <c r="BE61" i="15"/>
  <c r="BF61" i="15" s="1"/>
  <c r="LM61" i="15"/>
  <c r="LN61" i="15" s="1"/>
  <c r="FI61" i="15"/>
  <c r="FJ61" i="15" s="1"/>
  <c r="IG61" i="15"/>
  <c r="IH61" i="15" s="1"/>
  <c r="E61" i="15"/>
  <c r="F61" i="15" s="1"/>
  <c r="HM61" i="15"/>
  <c r="HN61" i="15" s="1"/>
  <c r="CC60" i="15"/>
  <c r="CD60" i="15" s="1"/>
  <c r="GW61" i="15"/>
  <c r="GX61" i="15" s="1"/>
  <c r="RI61" i="15"/>
  <c r="RJ61" i="15" s="1"/>
  <c r="NA60" i="15"/>
  <c r="NB60" i="15" s="1"/>
  <c r="F60" i="15"/>
  <c r="PY61" i="15"/>
  <c r="PZ61" i="15" s="1"/>
  <c r="EG61" i="15"/>
  <c r="EH61" i="15" s="1"/>
  <c r="OK61" i="15"/>
  <c r="OL61" i="15" s="1"/>
  <c r="SK61" i="15"/>
  <c r="SL61" i="15" s="1"/>
  <c r="RE61" i="15"/>
  <c r="RF61" i="15" s="1"/>
  <c r="QS61" i="15"/>
  <c r="QT61" i="15" s="1"/>
  <c r="TY61" i="15"/>
  <c r="TZ61" i="15" s="1"/>
  <c r="BA61" i="15"/>
  <c r="BB61" i="15" s="1"/>
  <c r="SO61" i="15"/>
  <c r="SP61" i="15" s="1"/>
  <c r="IS61" i="15"/>
  <c r="IT61" i="15" s="1"/>
  <c r="DQ61" i="15"/>
  <c r="DR61" i="15" s="1"/>
  <c r="MO61" i="15"/>
  <c r="MP61" i="15" s="1"/>
  <c r="CO61" i="15"/>
  <c r="CP61" i="15" s="1"/>
  <c r="IT60" i="15"/>
  <c r="OG60" i="15"/>
  <c r="OH60" i="15" s="1"/>
  <c r="BI61" i="15"/>
  <c r="BJ61" i="15" s="1"/>
  <c r="PM60" i="15"/>
  <c r="PN60" i="15" s="1"/>
  <c r="SZ62" i="15"/>
  <c r="HX62" i="15"/>
  <c r="LD62" i="15"/>
  <c r="TA60" i="15"/>
  <c r="TB59" i="15"/>
  <c r="KV62" i="15"/>
  <c r="DI60" i="15"/>
  <c r="DJ59" i="15"/>
  <c r="TH62" i="15"/>
  <c r="GZ62" i="15"/>
  <c r="NY60" i="15"/>
  <c r="NZ59" i="15"/>
  <c r="FL62" i="15"/>
  <c r="GR62" i="15"/>
  <c r="RM60" i="15"/>
  <c r="RN59" i="15"/>
  <c r="QF62" i="15"/>
  <c r="Y60" i="15"/>
  <c r="Z59" i="15"/>
  <c r="EH60" i="15"/>
  <c r="GB62" i="15"/>
  <c r="CZ62" i="15"/>
  <c r="AR62" i="15"/>
  <c r="US60" i="15"/>
  <c r="UT59" i="15"/>
  <c r="EF62" i="15"/>
  <c r="GC60" i="15"/>
  <c r="GD59" i="15"/>
  <c r="JH62" i="15"/>
  <c r="MB62" i="15"/>
  <c r="DL62" i="15"/>
  <c r="UG60" i="15"/>
  <c r="UH59" i="15"/>
  <c r="AV62" i="15"/>
  <c r="QK60" i="15"/>
  <c r="QL59" i="15"/>
  <c r="NI60" i="15"/>
  <c r="NJ59" i="15"/>
  <c r="RL62" i="15"/>
  <c r="OW60" i="15"/>
  <c r="OX59" i="15"/>
  <c r="CR61" i="15"/>
  <c r="EN62" i="15"/>
  <c r="MR62" i="15"/>
  <c r="DA61" i="15"/>
  <c r="DB61" i="15" s="1"/>
  <c r="RP62" i="15"/>
  <c r="CD59" i="15"/>
  <c r="JX62" i="15"/>
  <c r="HU60" i="15"/>
  <c r="HV59" i="15"/>
  <c r="ON62" i="15"/>
  <c r="UJ62" i="15"/>
  <c r="DE60" i="15"/>
  <c r="DF59" i="15"/>
  <c r="FD62" i="15"/>
  <c r="JL62" i="15"/>
  <c r="AJ62" i="15"/>
  <c r="FP62" i="15"/>
  <c r="PN59" i="15"/>
  <c r="QJ62" i="15"/>
  <c r="JU60" i="15"/>
  <c r="JV59" i="15"/>
  <c r="JD62" i="15"/>
  <c r="CB61" i="15"/>
  <c r="PU60" i="15"/>
  <c r="PV59" i="15"/>
  <c r="MV62" i="15"/>
  <c r="QC60" i="15"/>
  <c r="QD59" i="15"/>
  <c r="RY60" i="15"/>
  <c r="RZ59" i="15"/>
  <c r="CV62" i="15"/>
  <c r="DH62" i="15"/>
  <c r="AF62" i="15"/>
  <c r="KN62" i="15"/>
  <c r="PL61" i="15"/>
  <c r="AZ62" i="15"/>
  <c r="IW60" i="15"/>
  <c r="IX59" i="15"/>
  <c r="NQ60" i="15"/>
  <c r="NR59" i="15"/>
  <c r="TI60" i="15"/>
  <c r="TJ59" i="15"/>
  <c r="IH60" i="15"/>
  <c r="OH59" i="15"/>
  <c r="HA60" i="15"/>
  <c r="HB59" i="15"/>
  <c r="MW60" i="15"/>
  <c r="MX59" i="15"/>
  <c r="EZ62" i="15"/>
  <c r="SS60" i="15"/>
  <c r="ST59" i="15"/>
  <c r="KW60" i="15"/>
  <c r="KX59" i="15"/>
  <c r="BX62" i="15"/>
  <c r="DP62" i="15"/>
  <c r="IJ62" i="15"/>
  <c r="LU60" i="15"/>
  <c r="LV59" i="15"/>
  <c r="BB60" i="15"/>
  <c r="OC60" i="15"/>
  <c r="OD59" i="15"/>
  <c r="JQ60" i="15"/>
  <c r="JR59" i="15"/>
  <c r="TQ60" i="15"/>
  <c r="TR59" i="15"/>
  <c r="IF62" i="15"/>
  <c r="OF61" i="15"/>
  <c r="SB62" i="15"/>
  <c r="TT62" i="15"/>
  <c r="IR62" i="15"/>
  <c r="LX62" i="15"/>
  <c r="DR60" i="15"/>
  <c r="KG60" i="15"/>
  <c r="KH59" i="15"/>
  <c r="SF62" i="15"/>
  <c r="CG60" i="15"/>
  <c r="CH59" i="15"/>
  <c r="NT62" i="15"/>
  <c r="CL60" i="15"/>
  <c r="SR62" i="15"/>
  <c r="RJ60" i="15"/>
  <c r="MS60" i="15"/>
  <c r="MT59" i="15"/>
  <c r="DY60" i="15"/>
  <c r="DZ59" i="15"/>
  <c r="KB62" i="15"/>
  <c r="QB62" i="15"/>
  <c r="CS60" i="15"/>
  <c r="FX62" i="15"/>
  <c r="SV62" i="15"/>
  <c r="OB62" i="15"/>
  <c r="Q60" i="15"/>
  <c r="R59" i="15"/>
  <c r="BM60" i="15"/>
  <c r="BN59" i="15"/>
  <c r="FU61" i="15"/>
  <c r="FV61" i="15" s="1"/>
  <c r="LL62" i="15"/>
  <c r="CJ62" i="15"/>
  <c r="AB62" i="15"/>
  <c r="HT62" i="15"/>
  <c r="LA60" i="15"/>
  <c r="LB59" i="15"/>
  <c r="CW60" i="15"/>
  <c r="CX59" i="15"/>
  <c r="IV62" i="15"/>
  <c r="SN62" i="15"/>
  <c r="HF61" i="15"/>
  <c r="HD62" i="15"/>
  <c r="HE62" i="15" s="1"/>
  <c r="GX60" i="15"/>
  <c r="NP62" i="15"/>
  <c r="MP60" i="15"/>
  <c r="LY61" i="15"/>
  <c r="UR62" i="15"/>
  <c r="PA60" i="15"/>
  <c r="PB59" i="15"/>
  <c r="UF62" i="15"/>
  <c r="HH62" i="15"/>
  <c r="PP62" i="15"/>
  <c r="PH62" i="15"/>
  <c r="EB62" i="15"/>
  <c r="OZ62" i="15"/>
  <c r="FT62" i="15"/>
  <c r="H61" i="15"/>
  <c r="SP60" i="15"/>
  <c r="MK60" i="15"/>
  <c r="ML59" i="15"/>
  <c r="GV62" i="15"/>
  <c r="MN62" i="15"/>
  <c r="RU60" i="15"/>
  <c r="RV59" i="15"/>
  <c r="LE60" i="15"/>
  <c r="LF59" i="15"/>
  <c r="NM60" i="15"/>
  <c r="NN59" i="15"/>
  <c r="ND62" i="15"/>
  <c r="AN62" i="15"/>
  <c r="PT62" i="15"/>
  <c r="NX62" i="15"/>
  <c r="PX62" i="15"/>
  <c r="OL60" i="15"/>
  <c r="IK60" i="15"/>
  <c r="IL59" i="15"/>
  <c r="QT60" i="15"/>
  <c r="BL62" i="15"/>
  <c r="GJ62" i="15"/>
  <c r="RT62" i="15"/>
  <c r="TE60" i="15"/>
  <c r="TF59" i="15"/>
  <c r="KO61" i="15"/>
  <c r="KP61" i="15" s="1"/>
  <c r="BJ60" i="15"/>
  <c r="RA60" i="15"/>
  <c r="RB59" i="15"/>
  <c r="PZ60" i="15"/>
  <c r="OJ62" i="15"/>
  <c r="QR62" i="15"/>
  <c r="NU60" i="15"/>
  <c r="NV59" i="15"/>
  <c r="AK61" i="15"/>
  <c r="AL61" i="15" s="1"/>
  <c r="UB62" i="15"/>
  <c r="TD62" i="15"/>
  <c r="EJ62" i="15"/>
  <c r="FH62" i="15"/>
  <c r="BP62" i="15"/>
  <c r="BR61" i="15"/>
  <c r="GF62" i="15"/>
  <c r="IZ62" i="15"/>
  <c r="SG61" i="15"/>
  <c r="FE61" i="15"/>
  <c r="RQ60" i="15"/>
  <c r="RR59" i="15"/>
  <c r="MJ62" i="15"/>
  <c r="FY61" i="15"/>
  <c r="FZ61" i="15" s="1"/>
  <c r="MC61" i="15"/>
  <c r="QZ62" i="15"/>
  <c r="ER62" i="15"/>
  <c r="GS61" i="15"/>
  <c r="GT61" i="15" s="1"/>
  <c r="CN62" i="15"/>
  <c r="RX62" i="15"/>
  <c r="BH62" i="15"/>
  <c r="JY61" i="15"/>
  <c r="OV62" i="15"/>
  <c r="LT62" i="15"/>
  <c r="FM61" i="15"/>
  <c r="FN61" i="15" s="1"/>
  <c r="PI61" i="15"/>
  <c r="UN62" i="15"/>
  <c r="TM60" i="15"/>
  <c r="TN59" i="15"/>
  <c r="MZ61" i="15"/>
  <c r="KR62" i="15"/>
  <c r="GG60" i="15"/>
  <c r="GH59" i="15"/>
  <c r="LP62" i="15"/>
  <c r="QV62" i="15"/>
  <c r="EV62" i="15"/>
  <c r="TU61" i="15"/>
  <c r="KJ62" i="15"/>
  <c r="KK62" i="15" s="1"/>
  <c r="KL61" i="15"/>
  <c r="AS60" i="15"/>
  <c r="AT59" i="15"/>
  <c r="QG60" i="15"/>
  <c r="QH59" i="15"/>
  <c r="KZ62" i="15"/>
  <c r="L62" i="15"/>
  <c r="OR62" i="15"/>
  <c r="I60" i="15"/>
  <c r="AC61" i="15"/>
  <c r="ES60" i="15"/>
  <c r="ET59" i="15"/>
  <c r="JI60" i="15"/>
  <c r="JJ59" i="15"/>
  <c r="AW60" i="15"/>
  <c r="AX59" i="15"/>
  <c r="OO60" i="15"/>
  <c r="OP59" i="15"/>
  <c r="RD62" i="15"/>
  <c r="TZ60" i="15"/>
  <c r="M60" i="15"/>
  <c r="N59" i="15"/>
  <c r="HY61" i="15"/>
  <c r="HI60" i="15"/>
  <c r="HJ59" i="15"/>
  <c r="TP62" i="15"/>
  <c r="GK60" i="15"/>
  <c r="GL59" i="15"/>
  <c r="SC60" i="15"/>
  <c r="SD59" i="15"/>
  <c r="DT62" i="15"/>
  <c r="CP60" i="15"/>
  <c r="X62" i="15"/>
  <c r="UK60" i="15"/>
  <c r="UL59" i="15"/>
  <c r="KF62" i="15"/>
  <c r="P62" i="15"/>
  <c r="SW61" i="15"/>
  <c r="DU60" i="15"/>
  <c r="DV59" i="15"/>
  <c r="MH61" i="15"/>
  <c r="MF62" i="15"/>
  <c r="HL62" i="15"/>
  <c r="DX62" i="15"/>
  <c r="NH62" i="15"/>
  <c r="UC60" i="15"/>
  <c r="UD59" i="15"/>
  <c r="FQ60" i="15"/>
  <c r="FR59" i="15"/>
  <c r="QN62" i="15"/>
  <c r="EW60" i="15"/>
  <c r="EX59" i="15"/>
  <c r="UO61" i="15"/>
  <c r="RF60" i="15"/>
  <c r="TX62" i="15"/>
  <c r="TL62" i="15"/>
  <c r="JE60" i="15"/>
  <c r="JF59" i="15"/>
  <c r="LH62" i="15"/>
  <c r="IN62" i="15"/>
  <c r="T62" i="15"/>
  <c r="PQ60" i="15"/>
  <c r="PR59" i="15"/>
  <c r="IO60" i="15"/>
  <c r="IP59" i="15"/>
  <c r="JP62" i="15"/>
  <c r="SJ62" i="15"/>
  <c r="IB62" i="15"/>
  <c r="HP62" i="15"/>
  <c r="CF62" i="15"/>
  <c r="GN62" i="15"/>
  <c r="GO62" i="15" s="1"/>
  <c r="GP61" i="15"/>
  <c r="D62" i="15"/>
  <c r="PF61" i="15"/>
  <c r="PD62" i="15"/>
  <c r="KC60" i="15"/>
  <c r="KD59" i="15"/>
  <c r="DD62" i="15"/>
  <c r="NL62" i="15"/>
  <c r="BD62" i="15"/>
  <c r="BT61" i="15"/>
  <c r="BV60" i="15"/>
  <c r="BY60" i="15"/>
  <c r="BZ59" i="15"/>
  <c r="JM61" i="15"/>
  <c r="JN61" i="15" s="1"/>
  <c r="RH62" i="15"/>
  <c r="JT62" i="15"/>
  <c r="EC60" i="15"/>
  <c r="ED59" i="15"/>
  <c r="FA60" i="15"/>
  <c r="FB59" i="15"/>
  <c r="QP60" i="15"/>
  <c r="NE60" i="15"/>
  <c r="NF59" i="15"/>
  <c r="OS60" i="15"/>
  <c r="OT59" i="15"/>
  <c r="AG61" i="15"/>
  <c r="F64" i="11"/>
  <c r="G64" i="11" s="1"/>
  <c r="F65" i="2"/>
  <c r="G65" i="2" s="1"/>
  <c r="G63" i="11"/>
  <c r="E65" i="11"/>
  <c r="G64" i="10"/>
  <c r="E65" i="9"/>
  <c r="F64" i="9"/>
  <c r="E65" i="8"/>
  <c r="F64" i="8"/>
  <c r="E66" i="2"/>
  <c r="G64" i="2"/>
  <c r="KS62" i="15" l="1"/>
  <c r="DM62" i="15"/>
  <c r="EO62" i="15"/>
  <c r="EP62" i="15" s="1"/>
  <c r="NA61" i="15"/>
  <c r="NB61" i="15" s="1"/>
  <c r="EK62" i="15"/>
  <c r="EL62" i="15" s="1"/>
  <c r="U62" i="15"/>
  <c r="V62" i="15" s="1"/>
  <c r="BE62" i="15"/>
  <c r="BF62" i="15" s="1"/>
  <c r="HM62" i="15"/>
  <c r="HN62" i="15" s="1"/>
  <c r="CK62" i="15"/>
  <c r="CL62" i="15" s="1"/>
  <c r="AO62" i="15"/>
  <c r="IC62" i="15"/>
  <c r="ID62" i="15" s="1"/>
  <c r="QO62" i="15"/>
  <c r="QP62" i="15" s="1"/>
  <c r="GW62" i="15"/>
  <c r="GX62" i="15" s="1"/>
  <c r="IG62" i="15"/>
  <c r="IH62" i="15" s="1"/>
  <c r="BI62" i="15"/>
  <c r="BJ62" i="15" s="1"/>
  <c r="RI62" i="15"/>
  <c r="RJ62" i="15" s="1"/>
  <c r="LY62" i="15"/>
  <c r="LZ62" i="15" s="1"/>
  <c r="RE62" i="15"/>
  <c r="RF62" i="15" s="1"/>
  <c r="SW62" i="15"/>
  <c r="SX62" i="15" s="1"/>
  <c r="E62" i="15"/>
  <c r="F62" i="15" s="1"/>
  <c r="SG62" i="15"/>
  <c r="SH62" i="15" s="1"/>
  <c r="BA62" i="15"/>
  <c r="BB62" i="15" s="1"/>
  <c r="DQ62" i="15"/>
  <c r="DR62" i="15" s="1"/>
  <c r="TY62" i="15"/>
  <c r="TZ62" i="15" s="1"/>
  <c r="JY62" i="15"/>
  <c r="JZ62" i="15" s="1"/>
  <c r="I61" i="15"/>
  <c r="J61" i="15" s="1"/>
  <c r="FE62" i="15"/>
  <c r="FF62" i="15" s="1"/>
  <c r="MC62" i="15"/>
  <c r="MD62" i="15" s="1"/>
  <c r="SO62" i="15"/>
  <c r="SP62" i="15" s="1"/>
  <c r="CO62" i="15"/>
  <c r="CP62" i="15" s="1"/>
  <c r="PI62" i="15"/>
  <c r="PJ62" i="15" s="1"/>
  <c r="HY62" i="15"/>
  <c r="HZ62" i="15" s="1"/>
  <c r="CS61" i="15"/>
  <c r="CT61" i="15" s="1"/>
  <c r="TU62" i="15"/>
  <c r="TV62" i="15" s="1"/>
  <c r="AG62" i="15"/>
  <c r="AH62" i="15" s="1"/>
  <c r="UO62" i="15"/>
  <c r="UP62" i="15" s="1"/>
  <c r="AC62" i="15"/>
  <c r="AD62" i="15" s="1"/>
  <c r="LD63" i="15"/>
  <c r="MN63" i="15"/>
  <c r="KW61" i="15"/>
  <c r="KX60" i="15"/>
  <c r="RL63" i="15"/>
  <c r="HX63" i="15"/>
  <c r="GK61" i="15"/>
  <c r="GL60" i="15"/>
  <c r="PP63" i="15"/>
  <c r="OW61" i="15"/>
  <c r="OX60" i="15"/>
  <c r="IK61" i="15"/>
  <c r="IL60" i="15"/>
  <c r="HH63" i="15"/>
  <c r="CW61" i="15"/>
  <c r="CX60" i="15"/>
  <c r="SX61" i="15"/>
  <c r="NT63" i="15"/>
  <c r="IF63" i="15"/>
  <c r="KN63" i="15"/>
  <c r="JD63" i="15"/>
  <c r="ON63" i="15"/>
  <c r="GC61" i="15"/>
  <c r="GD60" i="15"/>
  <c r="FL63" i="15"/>
  <c r="HZ61" i="15"/>
  <c r="RM61" i="15"/>
  <c r="RN60" i="15"/>
  <c r="MF63" i="15"/>
  <c r="GV63" i="15"/>
  <c r="SV63" i="15"/>
  <c r="SS61" i="15"/>
  <c r="ST60" i="15"/>
  <c r="GR63" i="15"/>
  <c r="BT62" i="15"/>
  <c r="ES61" i="15"/>
  <c r="ET60" i="15"/>
  <c r="LP63" i="15"/>
  <c r="IZ63" i="15"/>
  <c r="PX63" i="15"/>
  <c r="LA61" i="15"/>
  <c r="LB60" i="15"/>
  <c r="PY62" i="15"/>
  <c r="AF63" i="15"/>
  <c r="JU61" i="15"/>
  <c r="JV60" i="15"/>
  <c r="NI61" i="15"/>
  <c r="NJ60" i="15"/>
  <c r="EF63" i="15"/>
  <c r="SZ63" i="15"/>
  <c r="CB62" i="15"/>
  <c r="RX63" i="15"/>
  <c r="FX63" i="15"/>
  <c r="CG61" i="15"/>
  <c r="CH60" i="15"/>
  <c r="EZ63" i="15"/>
  <c r="AH61" i="15"/>
  <c r="QJ63" i="15"/>
  <c r="HU61" i="15"/>
  <c r="HV60" i="15"/>
  <c r="NY61" i="15"/>
  <c r="NZ60" i="15"/>
  <c r="OF62" i="15"/>
  <c r="HP63" i="15"/>
  <c r="QV63" i="15"/>
  <c r="OR63" i="15"/>
  <c r="GF63" i="15"/>
  <c r="MK61" i="15"/>
  <c r="ML60" i="15"/>
  <c r="PA61" i="15"/>
  <c r="PB60" i="15"/>
  <c r="SF63" i="15"/>
  <c r="TQ61" i="15"/>
  <c r="TR60" i="15"/>
  <c r="DH63" i="15"/>
  <c r="JX63" i="15"/>
  <c r="US61" i="15"/>
  <c r="UT60" i="15"/>
  <c r="CF63" i="15"/>
  <c r="SR63" i="15"/>
  <c r="TL63" i="15"/>
  <c r="RA61" i="15"/>
  <c r="RB60" i="15"/>
  <c r="HT63" i="15"/>
  <c r="SH61" i="15"/>
  <c r="MW61" i="15"/>
  <c r="MX60" i="15"/>
  <c r="JZ61" i="15"/>
  <c r="QK61" i="15"/>
  <c r="QL60" i="15"/>
  <c r="RU61" i="15"/>
  <c r="RV60" i="15"/>
  <c r="DD63" i="15"/>
  <c r="J60" i="15"/>
  <c r="UR63" i="15"/>
  <c r="JQ61" i="15"/>
  <c r="JR60" i="15"/>
  <c r="CV63" i="15"/>
  <c r="FP63" i="15"/>
  <c r="JA62" i="15"/>
  <c r="AR63" i="15"/>
  <c r="GZ63" i="15"/>
  <c r="JH63" i="15"/>
  <c r="P63" i="15"/>
  <c r="JP63" i="15"/>
  <c r="BP63" i="15"/>
  <c r="H62" i="15"/>
  <c r="AB63" i="15"/>
  <c r="QB63" i="15"/>
  <c r="KG61" i="15"/>
  <c r="KH60" i="15"/>
  <c r="HA61" i="15"/>
  <c r="HB60" i="15"/>
  <c r="TH63" i="15"/>
  <c r="HQ62" i="15"/>
  <c r="OV63" i="15"/>
  <c r="NL63" i="15"/>
  <c r="KF63" i="15"/>
  <c r="KO62" i="15"/>
  <c r="AP62" i="15"/>
  <c r="AN63" i="15"/>
  <c r="AD61" i="15"/>
  <c r="KB63" i="15"/>
  <c r="OC61" i="15"/>
  <c r="OD60" i="15"/>
  <c r="AV63" i="15"/>
  <c r="CZ63" i="15"/>
  <c r="SB63" i="15"/>
  <c r="JI61" i="15"/>
  <c r="JJ60" i="15"/>
  <c r="TP63" i="15"/>
  <c r="NX63" i="15"/>
  <c r="PT63" i="15"/>
  <c r="PQ61" i="15"/>
  <c r="PR60" i="15"/>
  <c r="ER63" i="15"/>
  <c r="FH63" i="15"/>
  <c r="NP63" i="15"/>
  <c r="LZ61" i="15"/>
  <c r="RY61" i="15"/>
  <c r="RZ60" i="15"/>
  <c r="AJ63" i="15"/>
  <c r="RP63" i="15"/>
  <c r="GB63" i="15"/>
  <c r="LQ62" i="15"/>
  <c r="OJ63" i="15"/>
  <c r="EW61" i="15"/>
  <c r="EX60" i="15"/>
  <c r="QN63" i="15"/>
  <c r="KC61" i="15"/>
  <c r="KD60" i="15"/>
  <c r="X63" i="15"/>
  <c r="EJ63" i="15"/>
  <c r="TE61" i="15"/>
  <c r="TF60" i="15"/>
  <c r="ND63" i="15"/>
  <c r="FT63" i="15"/>
  <c r="CJ63" i="15"/>
  <c r="LX63" i="15"/>
  <c r="JL63" i="15"/>
  <c r="DA62" i="15"/>
  <c r="DB62" i="15" s="1"/>
  <c r="UG61" i="15"/>
  <c r="UH60" i="15"/>
  <c r="DI61" i="15"/>
  <c r="DJ60" i="15"/>
  <c r="FI62" i="15"/>
  <c r="JE61" i="15"/>
  <c r="JF60" i="15"/>
  <c r="PL62" i="15"/>
  <c r="UF63" i="15"/>
  <c r="NE61" i="15"/>
  <c r="NF60" i="15"/>
  <c r="IR63" i="15"/>
  <c r="LU61" i="15"/>
  <c r="LV60" i="15"/>
  <c r="TI61" i="15"/>
  <c r="TJ60" i="15"/>
  <c r="QC61" i="15"/>
  <c r="QD60" i="15"/>
  <c r="EG62" i="15"/>
  <c r="KV63" i="15"/>
  <c r="BQ62" i="15"/>
  <c r="UJ63" i="15"/>
  <c r="NU61" i="15"/>
  <c r="NV60" i="15"/>
  <c r="QR63" i="15"/>
  <c r="BH63" i="15"/>
  <c r="SJ63" i="15"/>
  <c r="GG61" i="15"/>
  <c r="GH60" i="15"/>
  <c r="KT62" i="15"/>
  <c r="KR63" i="15"/>
  <c r="MO62" i="15"/>
  <c r="MV63" i="15"/>
  <c r="FD63" i="15"/>
  <c r="MR63" i="15"/>
  <c r="DU61" i="15"/>
  <c r="DV60" i="15"/>
  <c r="CN63" i="15"/>
  <c r="GS62" i="15"/>
  <c r="UK61" i="15"/>
  <c r="UL60" i="15"/>
  <c r="PD63" i="15"/>
  <c r="TM61" i="15"/>
  <c r="TN60" i="15"/>
  <c r="JT63" i="15"/>
  <c r="RT63" i="15"/>
  <c r="HD63" i="15"/>
  <c r="HE63" i="15" s="1"/>
  <c r="HF62" i="15"/>
  <c r="LL63" i="15"/>
  <c r="BU61" i="15"/>
  <c r="BV61" i="15" s="1"/>
  <c r="AS61" i="15"/>
  <c r="AT60" i="15"/>
  <c r="UP61" i="15"/>
  <c r="QS62" i="15"/>
  <c r="TD63" i="15"/>
  <c r="GJ63" i="15"/>
  <c r="EB63" i="15"/>
  <c r="FU62" i="15"/>
  <c r="IJ63" i="15"/>
  <c r="NQ61" i="15"/>
  <c r="NR60" i="15"/>
  <c r="FF61" i="15"/>
  <c r="DN62" i="15"/>
  <c r="DL63" i="15"/>
  <c r="Y61" i="15"/>
  <c r="Z60" i="15"/>
  <c r="OG61" i="15"/>
  <c r="OH61" i="15" s="1"/>
  <c r="Q61" i="15"/>
  <c r="R60" i="15"/>
  <c r="BY61" i="15"/>
  <c r="BZ60" i="15"/>
  <c r="TX63" i="15"/>
  <c r="FQ61" i="15"/>
  <c r="FR60" i="15"/>
  <c r="D63" i="15"/>
  <c r="QG61" i="15"/>
  <c r="QH60" i="15"/>
  <c r="NH63" i="15"/>
  <c r="IS62" i="15"/>
  <c r="LH63" i="15"/>
  <c r="DX63" i="15"/>
  <c r="OO61" i="15"/>
  <c r="OP60" i="15"/>
  <c r="FY62" i="15"/>
  <c r="FZ62" i="15" s="1"/>
  <c r="NM61" i="15"/>
  <c r="NN60" i="15"/>
  <c r="MS61" i="15"/>
  <c r="MT60" i="15"/>
  <c r="TT63" i="15"/>
  <c r="DP63" i="15"/>
  <c r="EN63" i="15"/>
  <c r="MB63" i="15"/>
  <c r="LI62" i="15"/>
  <c r="LJ62" i="15" s="1"/>
  <c r="BX63" i="15"/>
  <c r="RQ61" i="15"/>
  <c r="RR60" i="15"/>
  <c r="OB63" i="15"/>
  <c r="HI61" i="15"/>
  <c r="HJ60" i="15"/>
  <c r="BD63" i="15"/>
  <c r="MZ62" i="15"/>
  <c r="UC61" i="15"/>
  <c r="UD60" i="15"/>
  <c r="QZ63" i="15"/>
  <c r="DY61" i="15"/>
  <c r="DZ60" i="15"/>
  <c r="DT63" i="15"/>
  <c r="UN63" i="15"/>
  <c r="OZ63" i="15"/>
  <c r="RH63" i="15"/>
  <c r="GP62" i="15"/>
  <c r="GN63" i="15"/>
  <c r="GO63" i="15" s="1"/>
  <c r="SC61" i="15"/>
  <c r="SD60" i="15"/>
  <c r="KL62" i="15"/>
  <c r="KJ63" i="15"/>
  <c r="KK63" i="15" s="1"/>
  <c r="FM62" i="15"/>
  <c r="UB63" i="15"/>
  <c r="PM61" i="15"/>
  <c r="PJ61" i="15"/>
  <c r="SN63" i="15"/>
  <c r="BM61" i="15"/>
  <c r="BN60" i="15"/>
  <c r="TV61" i="15"/>
  <c r="IW61" i="15"/>
  <c r="IX60" i="15"/>
  <c r="PU61" i="15"/>
  <c r="PV60" i="15"/>
  <c r="DE61" i="15"/>
  <c r="DF60" i="15"/>
  <c r="CT60" i="15"/>
  <c r="MD61" i="15"/>
  <c r="QF63" i="15"/>
  <c r="TA61" i="15"/>
  <c r="TB60" i="15"/>
  <c r="SK62" i="15"/>
  <c r="EV63" i="15"/>
  <c r="IV63" i="15"/>
  <c r="IB63" i="15"/>
  <c r="QW62" i="15"/>
  <c r="QX62" i="15" s="1"/>
  <c r="OS61" i="15"/>
  <c r="OT60" i="15"/>
  <c r="L63" i="15"/>
  <c r="IO61" i="15"/>
  <c r="IP60" i="15"/>
  <c r="KZ63" i="15"/>
  <c r="FA61" i="15"/>
  <c r="FB60" i="15"/>
  <c r="M61" i="15"/>
  <c r="N60" i="15"/>
  <c r="T63" i="15"/>
  <c r="EC61" i="15"/>
  <c r="ED60" i="15"/>
  <c r="RD63" i="15"/>
  <c r="IN63" i="15"/>
  <c r="JM62" i="15"/>
  <c r="JN62" i="15" s="1"/>
  <c r="HL63" i="15"/>
  <c r="AW61" i="15"/>
  <c r="AX60" i="15"/>
  <c r="LT63" i="15"/>
  <c r="MJ63" i="15"/>
  <c r="AK62" i="15"/>
  <c r="AL62" i="15" s="1"/>
  <c r="BL63" i="15"/>
  <c r="LE61" i="15"/>
  <c r="LF60" i="15"/>
  <c r="PH63" i="15"/>
  <c r="LM62" i="15"/>
  <c r="LN62" i="15" s="1"/>
  <c r="MG62" i="15"/>
  <c r="MH62" i="15" s="1"/>
  <c r="AZ63" i="15"/>
  <c r="OK62" i="15"/>
  <c r="OL62" i="15" s="1"/>
  <c r="CR62" i="15"/>
  <c r="CC61" i="15"/>
  <c r="PE62" i="15"/>
  <c r="F65" i="9"/>
  <c r="G65" i="9" s="1"/>
  <c r="F65" i="8"/>
  <c r="G65" i="8" s="1"/>
  <c r="E66" i="11"/>
  <c r="F65" i="11"/>
  <c r="G65" i="10"/>
  <c r="E66" i="9"/>
  <c r="G64" i="9"/>
  <c r="G64" i="8"/>
  <c r="E66" i="8"/>
  <c r="E67" i="2"/>
  <c r="F66" i="2"/>
  <c r="RI63" i="15" l="1"/>
  <c r="MC63" i="15"/>
  <c r="MD63" i="15" s="1"/>
  <c r="HM63" i="15"/>
  <c r="HN63" i="15" s="1"/>
  <c r="I62" i="15"/>
  <c r="J62" i="15" s="1"/>
  <c r="IC63" i="15"/>
  <c r="ID63" i="15" s="1"/>
  <c r="BI63" i="15"/>
  <c r="BJ63" i="15" s="1"/>
  <c r="CK63" i="15"/>
  <c r="CL63" i="15" s="1"/>
  <c r="FE63" i="15"/>
  <c r="FF63" i="15" s="1"/>
  <c r="RE63" i="15"/>
  <c r="RF63" i="15" s="1"/>
  <c r="SW63" i="15"/>
  <c r="SX63" i="15" s="1"/>
  <c r="PY63" i="15"/>
  <c r="PZ63" i="15" s="1"/>
  <c r="BA63" i="15"/>
  <c r="BB63" i="15" s="1"/>
  <c r="SG63" i="15"/>
  <c r="SH63" i="15" s="1"/>
  <c r="EG63" i="15"/>
  <c r="EH63" i="15" s="1"/>
  <c r="JY63" i="15"/>
  <c r="JZ63" i="15" s="1"/>
  <c r="CO63" i="15"/>
  <c r="CP63" i="15" s="1"/>
  <c r="LQ63" i="15"/>
  <c r="LR63" i="15" s="1"/>
  <c r="HY63" i="15"/>
  <c r="HZ63" i="15" s="1"/>
  <c r="CC62" i="15"/>
  <c r="CD62" i="15" s="1"/>
  <c r="MO63" i="15"/>
  <c r="MP63" i="15" s="1"/>
  <c r="CS62" i="15"/>
  <c r="CT62" i="15" s="1"/>
  <c r="AG63" i="15"/>
  <c r="AH63" i="15" s="1"/>
  <c r="FM63" i="15"/>
  <c r="FN63" i="15" s="1"/>
  <c r="HQ63" i="15"/>
  <c r="HR63" i="15" s="1"/>
  <c r="QS63" i="15"/>
  <c r="QT63" i="15" s="1"/>
  <c r="SK63" i="15"/>
  <c r="SL63" i="15" s="1"/>
  <c r="PE63" i="15"/>
  <c r="PF63" i="15" s="1"/>
  <c r="KO63" i="15"/>
  <c r="KP63" i="15" s="1"/>
  <c r="IS63" i="15"/>
  <c r="IT63" i="15" s="1"/>
  <c r="JA63" i="15"/>
  <c r="JB63" i="15" s="1"/>
  <c r="LI63" i="15"/>
  <c r="LJ63" i="15" s="1"/>
  <c r="FI63" i="15"/>
  <c r="FJ63" i="15" s="1"/>
  <c r="AK63" i="15"/>
  <c r="AL63" i="15" s="1"/>
  <c r="FU63" i="15"/>
  <c r="FV63" i="15" s="1"/>
  <c r="GS63" i="15"/>
  <c r="GT63" i="15" s="1"/>
  <c r="MK62" i="15"/>
  <c r="ML61" i="15"/>
  <c r="LL64" i="15"/>
  <c r="JE62" i="15"/>
  <c r="JF61" i="15"/>
  <c r="EJ64" i="15"/>
  <c r="RY62" i="15"/>
  <c r="RZ61" i="15"/>
  <c r="SR64" i="15"/>
  <c r="GF64" i="15"/>
  <c r="CG62" i="15"/>
  <c r="CH61" i="15"/>
  <c r="SV64" i="15"/>
  <c r="EK63" i="15"/>
  <c r="EL63" i="15" s="1"/>
  <c r="UN64" i="15"/>
  <c r="JI62" i="15"/>
  <c r="JJ61" i="15"/>
  <c r="OV64" i="15"/>
  <c r="P64" i="15"/>
  <c r="DD64" i="15"/>
  <c r="FX64" i="15"/>
  <c r="NT64" i="15"/>
  <c r="CF64" i="15"/>
  <c r="OR64" i="15"/>
  <c r="LA62" i="15"/>
  <c r="LB61" i="15"/>
  <c r="GV64" i="15"/>
  <c r="KW62" i="15"/>
  <c r="KX61" i="15"/>
  <c r="Y62" i="15"/>
  <c r="Z61" i="15"/>
  <c r="IF64" i="15"/>
  <c r="LE62" i="15"/>
  <c r="LF61" i="15"/>
  <c r="PM62" i="15"/>
  <c r="PN62" i="15" s="1"/>
  <c r="RT64" i="15"/>
  <c r="MV64" i="15"/>
  <c r="DI62" i="15"/>
  <c r="DJ61" i="15"/>
  <c r="NP64" i="15"/>
  <c r="CZ64" i="15"/>
  <c r="PZ62" i="15"/>
  <c r="MP62" i="15"/>
  <c r="UB64" i="15"/>
  <c r="KC62" i="15"/>
  <c r="KD61" i="15"/>
  <c r="FJ62" i="15"/>
  <c r="JH64" i="15"/>
  <c r="RU62" i="15"/>
  <c r="RV61" i="15"/>
  <c r="RX64" i="15"/>
  <c r="PX64" i="15"/>
  <c r="MF64" i="15"/>
  <c r="CW62" i="15"/>
  <c r="CX61" i="15"/>
  <c r="MN64" i="15"/>
  <c r="UJ64" i="15"/>
  <c r="DP64" i="15"/>
  <c r="IJ64" i="15"/>
  <c r="JT64" i="15"/>
  <c r="QC62" i="15"/>
  <c r="QD61" i="15"/>
  <c r="UG62" i="15"/>
  <c r="UH61" i="15"/>
  <c r="QN64" i="15"/>
  <c r="FH64" i="15"/>
  <c r="AV64" i="15"/>
  <c r="TH64" i="15"/>
  <c r="QV64" i="15"/>
  <c r="JB62" i="15"/>
  <c r="LD64" i="15"/>
  <c r="MR64" i="15"/>
  <c r="BP64" i="15"/>
  <c r="LH64" i="15"/>
  <c r="SB64" i="15"/>
  <c r="IV64" i="15"/>
  <c r="X64" i="15"/>
  <c r="UC62" i="15"/>
  <c r="UD61" i="15"/>
  <c r="D64" i="15"/>
  <c r="KR64" i="15"/>
  <c r="DA63" i="15"/>
  <c r="DB63" i="15" s="1"/>
  <c r="GZ64" i="15"/>
  <c r="QK62" i="15"/>
  <c r="QL61" i="15"/>
  <c r="US62" i="15"/>
  <c r="UT61" i="15"/>
  <c r="HR62" i="15"/>
  <c r="UO63" i="15"/>
  <c r="IZ64" i="15"/>
  <c r="RM62" i="15"/>
  <c r="RN61" i="15"/>
  <c r="HH64" i="15"/>
  <c r="EV64" i="15"/>
  <c r="MZ63" i="15"/>
  <c r="TM62" i="15"/>
  <c r="TN61" i="15"/>
  <c r="TI62" i="15"/>
  <c r="TJ61" i="15"/>
  <c r="JL64" i="15"/>
  <c r="ER64" i="15"/>
  <c r="OC62" i="15"/>
  <c r="OD61" i="15"/>
  <c r="HA62" i="15"/>
  <c r="HB61" i="15"/>
  <c r="HP64" i="15"/>
  <c r="CB63" i="15"/>
  <c r="LR62" i="15"/>
  <c r="PH64" i="15"/>
  <c r="PL63" i="15"/>
  <c r="MB64" i="15"/>
  <c r="DY62" i="15"/>
  <c r="DZ61" i="15"/>
  <c r="BL64" i="15"/>
  <c r="FQ62" i="15"/>
  <c r="FR61" i="15"/>
  <c r="EB64" i="15"/>
  <c r="PF62" i="15"/>
  <c r="EW62" i="15"/>
  <c r="EX61" i="15"/>
  <c r="AR64" i="15"/>
  <c r="JX64" i="15"/>
  <c r="CD61" i="15"/>
  <c r="LP64" i="15"/>
  <c r="FN62" i="15"/>
  <c r="IK62" i="15"/>
  <c r="IL61" i="15"/>
  <c r="SS62" i="15"/>
  <c r="ST61" i="15"/>
  <c r="DL64" i="15"/>
  <c r="MJ64" i="15"/>
  <c r="MS62" i="15"/>
  <c r="MT61" i="15"/>
  <c r="LX64" i="15"/>
  <c r="PQ62" i="15"/>
  <c r="PR61" i="15"/>
  <c r="KB64" i="15"/>
  <c r="KG62" i="15"/>
  <c r="KH61" i="15"/>
  <c r="MW62" i="15"/>
  <c r="MX61" i="15"/>
  <c r="OF63" i="15"/>
  <c r="FL64" i="15"/>
  <c r="GW63" i="15"/>
  <c r="BM62" i="15"/>
  <c r="BN61" i="15"/>
  <c r="NQ62" i="15"/>
  <c r="NR61" i="15"/>
  <c r="TA62" i="15"/>
  <c r="TB61" i="15"/>
  <c r="SC62" i="15"/>
  <c r="SD61" i="15"/>
  <c r="TX64" i="15"/>
  <c r="GJ64" i="15"/>
  <c r="SL62" i="15"/>
  <c r="IR64" i="15"/>
  <c r="OJ64" i="15"/>
  <c r="PT64" i="15"/>
  <c r="DH64" i="15"/>
  <c r="SZ64" i="15"/>
  <c r="TY63" i="15"/>
  <c r="TZ63" i="15" s="1"/>
  <c r="SN64" i="15"/>
  <c r="NH64" i="15"/>
  <c r="QG62" i="15"/>
  <c r="QH61" i="15"/>
  <c r="KZ64" i="15"/>
  <c r="PD64" i="15"/>
  <c r="SJ64" i="15"/>
  <c r="IT62" i="15"/>
  <c r="IG63" i="15"/>
  <c r="QB64" i="15"/>
  <c r="FP64" i="15"/>
  <c r="NY62" i="15"/>
  <c r="NZ61" i="15"/>
  <c r="EF64" i="15"/>
  <c r="ES62" i="15"/>
  <c r="ET61" i="15"/>
  <c r="GC62" i="15"/>
  <c r="GD61" i="15"/>
  <c r="OW62" i="15"/>
  <c r="OX61" i="15"/>
  <c r="AF64" i="15"/>
  <c r="BD64" i="15"/>
  <c r="AN64" i="15"/>
  <c r="TQ62" i="15"/>
  <c r="TR61" i="15"/>
  <c r="EH62" i="15"/>
  <c r="BT63" i="15"/>
  <c r="ON64" i="15"/>
  <c r="PP64" i="15"/>
  <c r="E63" i="15"/>
  <c r="RL64" i="15"/>
  <c r="QZ64" i="15"/>
  <c r="FA62" i="15"/>
  <c r="FB61" i="15"/>
  <c r="AW62" i="15"/>
  <c r="AX61" i="15"/>
  <c r="NM62" i="15"/>
  <c r="NN61" i="15"/>
  <c r="CR63" i="15"/>
  <c r="NE62" i="15"/>
  <c r="NF61" i="15"/>
  <c r="HU62" i="15"/>
  <c r="HV61" i="15"/>
  <c r="JP64" i="15"/>
  <c r="DT64" i="15"/>
  <c r="FD64" i="15"/>
  <c r="EN64" i="15"/>
  <c r="KJ64" i="15"/>
  <c r="KL63" i="15"/>
  <c r="IO62" i="15"/>
  <c r="IP61" i="15"/>
  <c r="UK62" i="15"/>
  <c r="UL61" i="15"/>
  <c r="DE62" i="15"/>
  <c r="DF61" i="15"/>
  <c r="TD64" i="15"/>
  <c r="HL64" i="15"/>
  <c r="RH64" i="15"/>
  <c r="RI64" i="15" s="1"/>
  <c r="RJ63" i="15"/>
  <c r="PI63" i="15"/>
  <c r="BH64" i="15"/>
  <c r="NX64" i="15"/>
  <c r="PU62" i="15"/>
  <c r="PV61" i="15"/>
  <c r="CN64" i="15"/>
  <c r="QT62" i="15"/>
  <c r="QO63" i="15"/>
  <c r="FV62" i="15"/>
  <c r="GB64" i="15"/>
  <c r="SO63" i="15"/>
  <c r="LY63" i="15"/>
  <c r="LZ63" i="15" s="1"/>
  <c r="SF64" i="15"/>
  <c r="QJ64" i="15"/>
  <c r="NI62" i="15"/>
  <c r="NJ61" i="15"/>
  <c r="GT62" i="15"/>
  <c r="NA62" i="15"/>
  <c r="IB64" i="15"/>
  <c r="TE62" i="15"/>
  <c r="TF61" i="15"/>
  <c r="BQ63" i="15"/>
  <c r="KV64" i="15"/>
  <c r="TT64" i="15"/>
  <c r="GG62" i="15"/>
  <c r="GH61" i="15"/>
  <c r="HI62" i="15"/>
  <c r="HJ61" i="15"/>
  <c r="OK63" i="15"/>
  <c r="BY62" i="15"/>
  <c r="BZ61" i="15"/>
  <c r="HT64" i="15"/>
  <c r="AZ64" i="15"/>
  <c r="OS62" i="15"/>
  <c r="OT61" i="15"/>
  <c r="OZ64" i="15"/>
  <c r="OO62" i="15"/>
  <c r="OP61" i="15"/>
  <c r="Q62" i="15"/>
  <c r="R61" i="15"/>
  <c r="QR64" i="15"/>
  <c r="UF64" i="15"/>
  <c r="TP64" i="15"/>
  <c r="KF64" i="15"/>
  <c r="JQ62" i="15"/>
  <c r="JR61" i="15"/>
  <c r="RA62" i="15"/>
  <c r="RB61" i="15"/>
  <c r="GR64" i="15"/>
  <c r="JD64" i="15"/>
  <c r="GK62" i="15"/>
  <c r="GL61" i="15"/>
  <c r="KS63" i="15"/>
  <c r="HF63" i="15"/>
  <c r="HD64" i="15"/>
  <c r="HE64" i="15" s="1"/>
  <c r="T64" i="15"/>
  <c r="QF64" i="15"/>
  <c r="GN64" i="15"/>
  <c r="GO64" i="15" s="1"/>
  <c r="GP63" i="15"/>
  <c r="FY63" i="15"/>
  <c r="FT64" i="15"/>
  <c r="AB64" i="15"/>
  <c r="JM63" i="15"/>
  <c r="MG63" i="15"/>
  <c r="QW63" i="15"/>
  <c r="RQ62" i="15"/>
  <c r="RR61" i="15"/>
  <c r="OG62" i="15"/>
  <c r="OH62" i="15" s="1"/>
  <c r="AS62" i="15"/>
  <c r="AT61" i="15"/>
  <c r="DU62" i="15"/>
  <c r="DV61" i="15"/>
  <c r="ND64" i="15"/>
  <c r="RP64" i="15"/>
  <c r="H63" i="15"/>
  <c r="DQ63" i="15"/>
  <c r="AC63" i="15"/>
  <c r="AD63" i="15" s="1"/>
  <c r="PA62" i="15"/>
  <c r="PB61" i="15"/>
  <c r="JU62" i="15"/>
  <c r="JV61" i="15"/>
  <c r="DM63" i="15"/>
  <c r="KP62" i="15"/>
  <c r="U63" i="15"/>
  <c r="V63" i="15" s="1"/>
  <c r="UR64" i="15"/>
  <c r="EC62" i="15"/>
  <c r="ED61" i="15"/>
  <c r="M62" i="15"/>
  <c r="N61" i="15"/>
  <c r="LT64" i="15"/>
  <c r="TU63" i="15"/>
  <c r="LU62" i="15"/>
  <c r="LV61" i="15"/>
  <c r="L64" i="15"/>
  <c r="CJ64" i="15"/>
  <c r="AO63" i="15"/>
  <c r="OB64" i="15"/>
  <c r="CV64" i="15"/>
  <c r="IN64" i="15"/>
  <c r="IW62" i="15"/>
  <c r="IX61" i="15"/>
  <c r="LM63" i="15"/>
  <c r="RD64" i="15"/>
  <c r="BX64" i="15"/>
  <c r="DX64" i="15"/>
  <c r="BU62" i="15"/>
  <c r="EO63" i="15"/>
  <c r="NU62" i="15"/>
  <c r="NV61" i="15"/>
  <c r="PN61" i="15"/>
  <c r="AJ64" i="15"/>
  <c r="NL64" i="15"/>
  <c r="BR62" i="15"/>
  <c r="TL64" i="15"/>
  <c r="EZ64" i="15"/>
  <c r="KN64" i="15"/>
  <c r="HX64" i="15"/>
  <c r="BE63" i="15"/>
  <c r="BF63" i="15" s="1"/>
  <c r="F66" i="11"/>
  <c r="G66" i="11" s="1"/>
  <c r="F67" i="2"/>
  <c r="G67" i="2" s="1"/>
  <c r="E67" i="11"/>
  <c r="G65" i="11"/>
  <c r="E67" i="9"/>
  <c r="F66" i="9"/>
  <c r="E67" i="8"/>
  <c r="F66" i="8"/>
  <c r="G66" i="2"/>
  <c r="E68" i="2"/>
  <c r="HM64" i="15" l="1"/>
  <c r="HY64" i="15"/>
  <c r="HZ64" i="15" s="1"/>
  <c r="LQ64" i="15"/>
  <c r="LR64" i="15" s="1"/>
  <c r="JY64" i="15"/>
  <c r="JZ64" i="15" s="1"/>
  <c r="I63" i="15"/>
  <c r="J63" i="15" s="1"/>
  <c r="SG64" i="15"/>
  <c r="SH64" i="15" s="1"/>
  <c r="EG64" i="15"/>
  <c r="EH64" i="15" s="1"/>
  <c r="FY64" i="15"/>
  <c r="FZ64" i="15" s="1"/>
  <c r="SW64" i="15"/>
  <c r="SX64" i="15" s="1"/>
  <c r="PI64" i="15"/>
  <c r="PJ64" i="15" s="1"/>
  <c r="QS64" i="15"/>
  <c r="QT64" i="15" s="1"/>
  <c r="NA63" i="15"/>
  <c r="NB63" i="15" s="1"/>
  <c r="DQ64" i="15"/>
  <c r="DR64" i="15" s="1"/>
  <c r="IS64" i="15"/>
  <c r="IT64" i="15" s="1"/>
  <c r="MO64" i="15"/>
  <c r="MP64" i="15" s="1"/>
  <c r="LI64" i="15"/>
  <c r="LJ64" i="15" s="1"/>
  <c r="CS63" i="15"/>
  <c r="CT63" i="15" s="1"/>
  <c r="FI64" i="15"/>
  <c r="FJ64" i="15" s="1"/>
  <c r="LM64" i="15"/>
  <c r="LN64" i="15" s="1"/>
  <c r="PE64" i="15"/>
  <c r="PF64" i="15" s="1"/>
  <c r="KS64" i="15"/>
  <c r="KT64" i="15" s="1"/>
  <c r="SK64" i="15"/>
  <c r="SL64" i="15" s="1"/>
  <c r="QW64" i="15"/>
  <c r="QX64" i="15" s="1"/>
  <c r="EO64" i="15"/>
  <c r="EP64" i="15" s="1"/>
  <c r="DM64" i="15"/>
  <c r="DN64" i="15" s="1"/>
  <c r="JM64" i="15"/>
  <c r="JN64" i="15" s="1"/>
  <c r="IG64" i="15"/>
  <c r="IH64" i="15" s="1"/>
  <c r="FM64" i="15"/>
  <c r="FN64" i="15" s="1"/>
  <c r="GS64" i="15"/>
  <c r="GT64" i="15" s="1"/>
  <c r="TU64" i="15"/>
  <c r="TV64" i="15" s="1"/>
  <c r="BU63" i="15"/>
  <c r="BV63" i="15" s="1"/>
  <c r="UO64" i="15"/>
  <c r="OK64" i="15"/>
  <c r="OL64" i="15" s="1"/>
  <c r="IH63" i="15"/>
  <c r="KT63" i="15"/>
  <c r="QO64" i="15"/>
  <c r="QP64" i="15" s="1"/>
  <c r="GW64" i="15"/>
  <c r="GX64" i="15" s="1"/>
  <c r="LY64" i="15"/>
  <c r="LZ64" i="15" s="1"/>
  <c r="AO64" i="15"/>
  <c r="AP64" i="15" s="1"/>
  <c r="MG64" i="15"/>
  <c r="MH64" i="15" s="1"/>
  <c r="BQ64" i="15"/>
  <c r="BR64" i="15" s="1"/>
  <c r="OZ65" i="15"/>
  <c r="TQ63" i="15"/>
  <c r="TR62" i="15"/>
  <c r="NM63" i="15"/>
  <c r="NN62" i="15"/>
  <c r="AP63" i="15"/>
  <c r="QB65" i="15"/>
  <c r="DH65" i="15"/>
  <c r="MS63" i="15"/>
  <c r="MT62" i="15"/>
  <c r="EW63" i="15"/>
  <c r="EX62" i="15"/>
  <c r="HH65" i="15"/>
  <c r="UC63" i="15"/>
  <c r="UD62" i="15"/>
  <c r="TH65" i="15"/>
  <c r="UB65" i="15"/>
  <c r="IF65" i="15"/>
  <c r="RY63" i="15"/>
  <c r="RZ62" i="15"/>
  <c r="AJ65" i="15"/>
  <c r="LE63" i="15"/>
  <c r="LF62" i="15"/>
  <c r="BM63" i="15"/>
  <c r="BN62" i="15"/>
  <c r="MJ65" i="15"/>
  <c r="P65" i="15"/>
  <c r="EB65" i="15"/>
  <c r="HP65" i="15"/>
  <c r="RM63" i="15"/>
  <c r="RN62" i="15"/>
  <c r="MN65" i="15"/>
  <c r="Y63" i="15"/>
  <c r="Z62" i="15"/>
  <c r="OV65" i="15"/>
  <c r="EJ65" i="15"/>
  <c r="QX63" i="15"/>
  <c r="CB64" i="15"/>
  <c r="AC64" i="15"/>
  <c r="AD64" i="15" s="1"/>
  <c r="CC63" i="15"/>
  <c r="FL65" i="15"/>
  <c r="X65" i="15"/>
  <c r="AV65" i="15"/>
  <c r="QV65" i="15"/>
  <c r="AN65" i="15"/>
  <c r="FT65" i="15"/>
  <c r="PU63" i="15"/>
  <c r="PV62" i="15"/>
  <c r="KJ65" i="15"/>
  <c r="OL63" i="15"/>
  <c r="HA63" i="15"/>
  <c r="HB62" i="15"/>
  <c r="IZ65" i="15"/>
  <c r="IV65" i="15"/>
  <c r="CW63" i="15"/>
  <c r="CX62" i="15"/>
  <c r="HQ64" i="15"/>
  <c r="KW63" i="15"/>
  <c r="KX62" i="15"/>
  <c r="JE63" i="15"/>
  <c r="JF62" i="15"/>
  <c r="GK63" i="15"/>
  <c r="GL62" i="15"/>
  <c r="IO63" i="15"/>
  <c r="IP62" i="15"/>
  <c r="PA63" i="15"/>
  <c r="PB62" i="15"/>
  <c r="NX65" i="15"/>
  <c r="EP63" i="15"/>
  <c r="FA63" i="15"/>
  <c r="FB62" i="15"/>
  <c r="AF65" i="15"/>
  <c r="SJ65" i="15"/>
  <c r="OJ65" i="15"/>
  <c r="DN63" i="15"/>
  <c r="FQ63" i="15"/>
  <c r="FR62" i="15"/>
  <c r="FH65" i="15"/>
  <c r="MH63" i="15"/>
  <c r="GX63" i="15"/>
  <c r="LN63" i="15"/>
  <c r="NU63" i="15"/>
  <c r="NV62" i="15"/>
  <c r="H64" i="15"/>
  <c r="JQ63" i="15"/>
  <c r="JR62" i="15"/>
  <c r="HT65" i="15"/>
  <c r="EN65" i="15"/>
  <c r="QZ65" i="15"/>
  <c r="OF64" i="15"/>
  <c r="DL65" i="15"/>
  <c r="OC63" i="15"/>
  <c r="OD62" i="15"/>
  <c r="QN65" i="15"/>
  <c r="MF65" i="15"/>
  <c r="CZ65" i="15"/>
  <c r="GV65" i="15"/>
  <c r="JI63" i="15"/>
  <c r="JJ62" i="15"/>
  <c r="LL65" i="15"/>
  <c r="D65" i="15"/>
  <c r="CJ65" i="15"/>
  <c r="OS63" i="15"/>
  <c r="OT62" i="15"/>
  <c r="PD65" i="15"/>
  <c r="IR65" i="15"/>
  <c r="BL65" i="15"/>
  <c r="SB65" i="15"/>
  <c r="QP63" i="15"/>
  <c r="PX65" i="15"/>
  <c r="NP65" i="15"/>
  <c r="UN65" i="15"/>
  <c r="AR65" i="15"/>
  <c r="BD65" i="15"/>
  <c r="RA63" i="15"/>
  <c r="RB62" i="15"/>
  <c r="RP65" i="15"/>
  <c r="BH65" i="15"/>
  <c r="FD65" i="15"/>
  <c r="RL65" i="15"/>
  <c r="OW63" i="15"/>
  <c r="OX62" i="15"/>
  <c r="SS63" i="15"/>
  <c r="ST62" i="15"/>
  <c r="ER65" i="15"/>
  <c r="US63" i="15"/>
  <c r="UT62" i="15"/>
  <c r="LA63" i="15"/>
  <c r="LB62" i="15"/>
  <c r="UP63" i="15"/>
  <c r="MK63" i="15"/>
  <c r="ML62" i="15"/>
  <c r="UJ65" i="15"/>
  <c r="CN65" i="15"/>
  <c r="GR65" i="15"/>
  <c r="L65" i="15"/>
  <c r="BE64" i="15"/>
  <c r="BF64" i="15" s="1"/>
  <c r="KZ65" i="15"/>
  <c r="GJ65" i="15"/>
  <c r="MW63" i="15"/>
  <c r="MX62" i="15"/>
  <c r="DY63" i="15"/>
  <c r="DZ62" i="15"/>
  <c r="JN63" i="15"/>
  <c r="LH65" i="15"/>
  <c r="UG63" i="15"/>
  <c r="UH62" i="15"/>
  <c r="OR65" i="15"/>
  <c r="EK64" i="15"/>
  <c r="KK64" i="15"/>
  <c r="KL64" i="15" s="1"/>
  <c r="KC63" i="15"/>
  <c r="KD62" i="15"/>
  <c r="SZ65" i="15"/>
  <c r="AZ65" i="15"/>
  <c r="BX65" i="15"/>
  <c r="RD65" i="15"/>
  <c r="QJ65" i="15"/>
  <c r="DT65" i="15"/>
  <c r="E64" i="15"/>
  <c r="GC63" i="15"/>
  <c r="GD62" i="15"/>
  <c r="JA64" i="15"/>
  <c r="IK63" i="15"/>
  <c r="IL62" i="15"/>
  <c r="MB65" i="15"/>
  <c r="JL65" i="15"/>
  <c r="QK63" i="15"/>
  <c r="QL62" i="15"/>
  <c r="BP65" i="15"/>
  <c r="RX65" i="15"/>
  <c r="DI63" i="15"/>
  <c r="DJ62" i="15"/>
  <c r="OO63" i="15"/>
  <c r="OP62" i="15"/>
  <c r="TE63" i="15"/>
  <c r="TF62" i="15"/>
  <c r="DX65" i="15"/>
  <c r="LT65" i="15"/>
  <c r="KN65" i="15"/>
  <c r="ND65" i="15"/>
  <c r="M63" i="15"/>
  <c r="N62" i="15"/>
  <c r="PP65" i="15"/>
  <c r="QG63" i="15"/>
  <c r="QH62" i="15"/>
  <c r="GZ65" i="15"/>
  <c r="BR63" i="15"/>
  <c r="QC63" i="15"/>
  <c r="QD62" i="15"/>
  <c r="SV65" i="15"/>
  <c r="PT65" i="15"/>
  <c r="BY63" i="15"/>
  <c r="BZ62" i="15"/>
  <c r="GN65" i="15"/>
  <c r="GP64" i="15"/>
  <c r="JP65" i="15"/>
  <c r="ES63" i="15"/>
  <c r="ET62" i="15"/>
  <c r="NH65" i="15"/>
  <c r="TX65" i="15"/>
  <c r="KG63" i="15"/>
  <c r="KH62" i="15"/>
  <c r="LP65" i="15"/>
  <c r="TI63" i="15"/>
  <c r="TJ62" i="15"/>
  <c r="MR65" i="15"/>
  <c r="MV65" i="15"/>
  <c r="CF65" i="15"/>
  <c r="PY64" i="15"/>
  <c r="CO64" i="15"/>
  <c r="EV65" i="15"/>
  <c r="NI63" i="15"/>
  <c r="NJ62" i="15"/>
  <c r="TP65" i="15"/>
  <c r="QF65" i="15"/>
  <c r="KB65" i="15"/>
  <c r="PL64" i="15"/>
  <c r="DA64" i="15"/>
  <c r="DB64" i="15" s="1"/>
  <c r="JT65" i="15"/>
  <c r="RU63" i="15"/>
  <c r="RV62" i="15"/>
  <c r="BI64" i="15"/>
  <c r="BJ64" i="15" s="1"/>
  <c r="JU63" i="15"/>
  <c r="JV62" i="15"/>
  <c r="IB65" i="15"/>
  <c r="LU63" i="15"/>
  <c r="LV62" i="15"/>
  <c r="TL65" i="15"/>
  <c r="UF65" i="15"/>
  <c r="SN65" i="15"/>
  <c r="JH65" i="15"/>
  <c r="RT65" i="15"/>
  <c r="CG63" i="15"/>
  <c r="CH62" i="15"/>
  <c r="FE64" i="15"/>
  <c r="FF64" i="15" s="1"/>
  <c r="NQ63" i="15"/>
  <c r="NR62" i="15"/>
  <c r="AB65" i="15"/>
  <c r="HX65" i="15"/>
  <c r="DU63" i="15"/>
  <c r="DV62" i="15"/>
  <c r="EC63" i="15"/>
  <c r="ED62" i="15"/>
  <c r="GG63" i="15"/>
  <c r="GH62" i="15"/>
  <c r="HD65" i="15"/>
  <c r="HE65" i="15" s="1"/>
  <c r="HF64" i="15"/>
  <c r="KO64" i="15"/>
  <c r="EF65" i="15"/>
  <c r="SC63" i="15"/>
  <c r="SD62" i="15"/>
  <c r="UR65" i="15"/>
  <c r="OG63" i="15"/>
  <c r="TT65" i="15"/>
  <c r="SO64" i="15"/>
  <c r="TD65" i="15"/>
  <c r="BV62" i="15"/>
  <c r="SP63" i="15"/>
  <c r="PJ63" i="15"/>
  <c r="NB62" i="15"/>
  <c r="KR65" i="15"/>
  <c r="LD65" i="15"/>
  <c r="IJ65" i="15"/>
  <c r="NT65" i="15"/>
  <c r="GF65" i="15"/>
  <c r="IC64" i="15"/>
  <c r="DD65" i="15"/>
  <c r="UK63" i="15"/>
  <c r="UL62" i="15"/>
  <c r="JD65" i="15"/>
  <c r="AW63" i="15"/>
  <c r="AX62" i="15"/>
  <c r="RH65" i="15"/>
  <c r="RJ64" i="15"/>
  <c r="AS63" i="15"/>
  <c r="AT62" i="15"/>
  <c r="TV63" i="15"/>
  <c r="ON65" i="15"/>
  <c r="CV65" i="15"/>
  <c r="Q63" i="15"/>
  <c r="R62" i="15"/>
  <c r="AK64" i="15"/>
  <c r="NE63" i="15"/>
  <c r="NF62" i="15"/>
  <c r="BT64" i="15"/>
  <c r="NY63" i="15"/>
  <c r="NZ62" i="15"/>
  <c r="CK64" i="15"/>
  <c r="TA63" i="15"/>
  <c r="TB62" i="15"/>
  <c r="PQ63" i="15"/>
  <c r="PR62" i="15"/>
  <c r="JX65" i="15"/>
  <c r="PH65" i="15"/>
  <c r="MZ64" i="15"/>
  <c r="FU64" i="15"/>
  <c r="DR63" i="15"/>
  <c r="PM63" i="15"/>
  <c r="FX65" i="15"/>
  <c r="MC64" i="15"/>
  <c r="KF65" i="15"/>
  <c r="EZ65" i="15"/>
  <c r="HI63" i="15"/>
  <c r="HJ62" i="15"/>
  <c r="IW63" i="15"/>
  <c r="IX62" i="15"/>
  <c r="SF65" i="15"/>
  <c r="IN65" i="15"/>
  <c r="T65" i="15"/>
  <c r="QR65" i="15"/>
  <c r="HL65" i="15"/>
  <c r="HN64" i="15"/>
  <c r="HU63" i="15"/>
  <c r="HV62" i="15"/>
  <c r="TM63" i="15"/>
  <c r="TN62" i="15"/>
  <c r="NL65" i="15"/>
  <c r="U64" i="15"/>
  <c r="V64" i="15" s="1"/>
  <c r="OB65" i="15"/>
  <c r="RQ63" i="15"/>
  <c r="RR62" i="15"/>
  <c r="KV65" i="15"/>
  <c r="GB65" i="15"/>
  <c r="DE63" i="15"/>
  <c r="DF62" i="15"/>
  <c r="CR64" i="15"/>
  <c r="FP65" i="15"/>
  <c r="TY64" i="15"/>
  <c r="TZ64" i="15" s="1"/>
  <c r="LX65" i="15"/>
  <c r="RE64" i="15"/>
  <c r="RF64" i="15" s="1"/>
  <c r="F63" i="15"/>
  <c r="BA64" i="15"/>
  <c r="DP65" i="15"/>
  <c r="FZ63" i="15"/>
  <c r="SR65" i="15"/>
  <c r="AG64" i="15"/>
  <c r="F67" i="9"/>
  <c r="G67" i="9" s="1"/>
  <c r="F67" i="8"/>
  <c r="G67" i="8" s="1"/>
  <c r="E68" i="11"/>
  <c r="F67" i="11"/>
  <c r="G66" i="10"/>
  <c r="G67" i="10"/>
  <c r="G66" i="9"/>
  <c r="E68" i="9"/>
  <c r="E68" i="8"/>
  <c r="G66" i="8"/>
  <c r="E69" i="2"/>
  <c r="F68" i="2"/>
  <c r="FY65" i="15" l="1"/>
  <c r="SG65" i="15"/>
  <c r="LM65" i="15"/>
  <c r="LN65" i="15" s="1"/>
  <c r="SW65" i="15"/>
  <c r="SX65" i="15" s="1"/>
  <c r="FI65" i="15"/>
  <c r="FJ65" i="15" s="1"/>
  <c r="NA64" i="15"/>
  <c r="NB64" i="15" s="1"/>
  <c r="DQ65" i="15"/>
  <c r="DR65" i="15" s="1"/>
  <c r="QS65" i="15"/>
  <c r="QT65" i="15" s="1"/>
  <c r="BQ65" i="15"/>
  <c r="BR65" i="15" s="1"/>
  <c r="EO65" i="15"/>
  <c r="UO65" i="15"/>
  <c r="UP65" i="15" s="1"/>
  <c r="KS65" i="15"/>
  <c r="JM65" i="15"/>
  <c r="JN65" i="15" s="1"/>
  <c r="GS65" i="15"/>
  <c r="GT65" i="15" s="1"/>
  <c r="IG65" i="15"/>
  <c r="IH65" i="15" s="1"/>
  <c r="E65" i="15"/>
  <c r="F65" i="15" s="1"/>
  <c r="LY65" i="15"/>
  <c r="LZ65" i="15" s="1"/>
  <c r="AG65" i="15"/>
  <c r="AH65" i="15" s="1"/>
  <c r="BA65" i="15"/>
  <c r="BB65" i="15" s="1"/>
  <c r="OK65" i="15"/>
  <c r="OL65" i="15" s="1"/>
  <c r="BU64" i="15"/>
  <c r="BV64" i="15" s="1"/>
  <c r="IC65" i="15"/>
  <c r="ID65" i="15" s="1"/>
  <c r="CO65" i="15"/>
  <c r="CP65" i="15" s="1"/>
  <c r="EK65" i="15"/>
  <c r="EL65" i="15" s="1"/>
  <c r="UP64" i="15"/>
  <c r="AK65" i="15"/>
  <c r="AL65" i="15" s="1"/>
  <c r="JA65" i="15"/>
  <c r="JB65" i="15" s="1"/>
  <c r="DM65" i="15"/>
  <c r="DN65" i="15" s="1"/>
  <c r="CC64" i="15"/>
  <c r="CD64" i="15" s="1"/>
  <c r="MC65" i="15"/>
  <c r="MD65" i="15" s="1"/>
  <c r="PM64" i="15"/>
  <c r="PN64" i="15" s="1"/>
  <c r="KO65" i="15"/>
  <c r="KP65" i="15" s="1"/>
  <c r="CP64" i="15"/>
  <c r="HQ65" i="15"/>
  <c r="HR65" i="15" s="1"/>
  <c r="SO65" i="15"/>
  <c r="SP65" i="15" s="1"/>
  <c r="MD64" i="15"/>
  <c r="FU65" i="15"/>
  <c r="FV65" i="15" s="1"/>
  <c r="CK65" i="15"/>
  <c r="OG64" i="15"/>
  <c r="OH64" i="15" s="1"/>
  <c r="RL66" i="15"/>
  <c r="HX66" i="15"/>
  <c r="DX66" i="15"/>
  <c r="GV66" i="15"/>
  <c r="SJ66" i="15"/>
  <c r="KW64" i="15"/>
  <c r="KX63" i="15"/>
  <c r="AN66" i="15"/>
  <c r="Y64" i="15"/>
  <c r="Z63" i="15"/>
  <c r="DD66" i="15"/>
  <c r="TT66" i="15"/>
  <c r="LU64" i="15"/>
  <c r="LV63" i="15"/>
  <c r="TP66" i="15"/>
  <c r="LP66" i="15"/>
  <c r="SV66" i="15"/>
  <c r="GC64" i="15"/>
  <c r="GD63" i="15"/>
  <c r="OR66" i="15"/>
  <c r="CN66" i="15"/>
  <c r="FD66" i="15"/>
  <c r="JQ64" i="15"/>
  <c r="JR63" i="15"/>
  <c r="QV66" i="15"/>
  <c r="LE64" i="15"/>
  <c r="LF63" i="15"/>
  <c r="DH66" i="15"/>
  <c r="CR65" i="15"/>
  <c r="PX66" i="15"/>
  <c r="T66" i="15"/>
  <c r="TE64" i="15"/>
  <c r="TF63" i="15"/>
  <c r="SB66" i="15"/>
  <c r="CZ66" i="15"/>
  <c r="LQ65" i="15"/>
  <c r="LR65" i="15" s="1"/>
  <c r="AH64" i="15"/>
  <c r="MN66" i="15"/>
  <c r="AL64" i="15"/>
  <c r="QB66" i="15"/>
  <c r="UG64" i="15"/>
  <c r="UH63" i="15"/>
  <c r="UJ66" i="15"/>
  <c r="BH66" i="15"/>
  <c r="BL66" i="15"/>
  <c r="H65" i="15"/>
  <c r="AF66" i="15"/>
  <c r="CW64" i="15"/>
  <c r="CX63" i="15"/>
  <c r="AV66" i="15"/>
  <c r="AJ66" i="15"/>
  <c r="Q64" i="15"/>
  <c r="R63" i="15"/>
  <c r="TX66" i="15"/>
  <c r="OO64" i="15"/>
  <c r="OP63" i="15"/>
  <c r="RP66" i="15"/>
  <c r="MF66" i="15"/>
  <c r="RM64" i="15"/>
  <c r="RN63" i="15"/>
  <c r="DE64" i="15"/>
  <c r="DF63" i="15"/>
  <c r="GB66" i="15"/>
  <c r="NI64" i="15"/>
  <c r="NJ63" i="15"/>
  <c r="NT66" i="15"/>
  <c r="NQ64" i="15"/>
  <c r="NR63" i="15"/>
  <c r="GW65" i="15"/>
  <c r="LH66" i="15"/>
  <c r="FA64" i="15"/>
  <c r="FB63" i="15"/>
  <c r="IV66" i="15"/>
  <c r="X66" i="15"/>
  <c r="HP66" i="15"/>
  <c r="RY64" i="15"/>
  <c r="RZ63" i="15"/>
  <c r="MS64" i="15"/>
  <c r="MT63" i="15"/>
  <c r="JX66" i="15"/>
  <c r="SC64" i="15"/>
  <c r="SD63" i="15"/>
  <c r="FE65" i="15"/>
  <c r="JU64" i="15"/>
  <c r="JV63" i="15"/>
  <c r="GZ66" i="15"/>
  <c r="DI64" i="15"/>
  <c r="DJ63" i="15"/>
  <c r="QJ66" i="15"/>
  <c r="MK64" i="15"/>
  <c r="ML63" i="15"/>
  <c r="IR66" i="15"/>
  <c r="JB64" i="15"/>
  <c r="HR64" i="15"/>
  <c r="NM64" i="15"/>
  <c r="NN63" i="15"/>
  <c r="OJ66" i="15"/>
  <c r="RQ64" i="15"/>
  <c r="RR63" i="15"/>
  <c r="IJ66" i="15"/>
  <c r="AO65" i="15"/>
  <c r="NH66" i="15"/>
  <c r="RA64" i="15"/>
  <c r="RB63" i="15"/>
  <c r="QN66" i="15"/>
  <c r="NU64" i="15"/>
  <c r="NV63" i="15"/>
  <c r="NX66" i="15"/>
  <c r="IZ66" i="15"/>
  <c r="IF66" i="15"/>
  <c r="LI65" i="15"/>
  <c r="UR66" i="15"/>
  <c r="KV66" i="15"/>
  <c r="EF66" i="15"/>
  <c r="CG64" i="15"/>
  <c r="CH63" i="15"/>
  <c r="BI65" i="15"/>
  <c r="EV66" i="15"/>
  <c r="QG64" i="15"/>
  <c r="QH63" i="15"/>
  <c r="RX66" i="15"/>
  <c r="RD66" i="15"/>
  <c r="DY64" i="15"/>
  <c r="DZ63" i="15"/>
  <c r="PD66" i="15"/>
  <c r="MG65" i="15"/>
  <c r="MH65" i="15" s="1"/>
  <c r="FL66" i="15"/>
  <c r="EB66" i="15"/>
  <c r="UB66" i="15"/>
  <c r="QR66" i="15"/>
  <c r="QC64" i="15"/>
  <c r="QD63" i="15"/>
  <c r="BP66" i="15"/>
  <c r="LA64" i="15"/>
  <c r="LB63" i="15"/>
  <c r="BD66" i="15"/>
  <c r="OC64" i="15"/>
  <c r="OD63" i="15"/>
  <c r="HA64" i="15"/>
  <c r="HB63" i="15"/>
  <c r="TQ64" i="15"/>
  <c r="TR63" i="15"/>
  <c r="IB66" i="15"/>
  <c r="ON66" i="15"/>
  <c r="PY65" i="15"/>
  <c r="PZ65" i="15" s="1"/>
  <c r="PP66" i="15"/>
  <c r="BX66" i="15"/>
  <c r="MW64" i="15"/>
  <c r="MX63" i="15"/>
  <c r="IS65" i="15"/>
  <c r="IT65" i="15" s="1"/>
  <c r="AC65" i="15"/>
  <c r="AD65" i="15" s="1"/>
  <c r="JY65" i="15"/>
  <c r="JZ65" i="15" s="1"/>
  <c r="JI64" i="15"/>
  <c r="JJ63" i="15"/>
  <c r="AS64" i="15"/>
  <c r="AT63" i="15"/>
  <c r="U65" i="15"/>
  <c r="JH66" i="15"/>
  <c r="CF66" i="15"/>
  <c r="JP66" i="15"/>
  <c r="BB64" i="15"/>
  <c r="US64" i="15"/>
  <c r="UT63" i="15"/>
  <c r="QO65" i="15"/>
  <c r="QP65" i="15" s="1"/>
  <c r="OS64" i="15"/>
  <c r="OT63" i="15"/>
  <c r="DL66" i="15"/>
  <c r="PA64" i="15"/>
  <c r="PB63" i="15"/>
  <c r="TH66" i="15"/>
  <c r="OZ66" i="15"/>
  <c r="DT66" i="15"/>
  <c r="OB66" i="15"/>
  <c r="RU64" i="15"/>
  <c r="RV63" i="15"/>
  <c r="RH66" i="15"/>
  <c r="JT66" i="15"/>
  <c r="M64" i="15"/>
  <c r="N63" i="15"/>
  <c r="QK64" i="15"/>
  <c r="QL63" i="15"/>
  <c r="AZ66" i="15"/>
  <c r="GJ66" i="15"/>
  <c r="ER66" i="15"/>
  <c r="AR66" i="15"/>
  <c r="CL64" i="15"/>
  <c r="OF65" i="15"/>
  <c r="FH66" i="15"/>
  <c r="PE65" i="15"/>
  <c r="CD63" i="15"/>
  <c r="P66" i="15"/>
  <c r="KG64" i="15"/>
  <c r="KH63" i="15"/>
  <c r="IN66" i="15"/>
  <c r="IW64" i="15"/>
  <c r="IX63" i="15"/>
  <c r="HI64" i="15"/>
  <c r="HJ63" i="15"/>
  <c r="KR66" i="15"/>
  <c r="KT65" i="15"/>
  <c r="GN66" i="15"/>
  <c r="ND66" i="15"/>
  <c r="HY65" i="15"/>
  <c r="CJ66" i="15"/>
  <c r="OH63" i="15"/>
  <c r="IO64" i="15"/>
  <c r="IP63" i="15"/>
  <c r="CB65" i="15"/>
  <c r="FM65" i="15"/>
  <c r="UC64" i="15"/>
  <c r="UD63" i="15"/>
  <c r="GO65" i="15"/>
  <c r="GP65" i="15" s="1"/>
  <c r="UK64" i="15"/>
  <c r="UL63" i="15"/>
  <c r="CS64" i="15"/>
  <c r="ID64" i="15"/>
  <c r="HD66" i="15"/>
  <c r="HF65" i="15"/>
  <c r="D66" i="15"/>
  <c r="QZ66" i="15"/>
  <c r="MO65" i="15"/>
  <c r="MP65" i="15" s="1"/>
  <c r="KJ66" i="15"/>
  <c r="MJ66" i="15"/>
  <c r="I64" i="15"/>
  <c r="AB66" i="15"/>
  <c r="GF66" i="15"/>
  <c r="DP66" i="15"/>
  <c r="TA64" i="15"/>
  <c r="TB63" i="15"/>
  <c r="EZ66" i="15"/>
  <c r="TU65" i="15"/>
  <c r="TV65" i="15" s="1"/>
  <c r="KF66" i="15"/>
  <c r="BE65" i="15"/>
  <c r="EL64" i="15"/>
  <c r="HH66" i="15"/>
  <c r="EG65" i="15"/>
  <c r="MZ65" i="15"/>
  <c r="PH66" i="15"/>
  <c r="SR66" i="15"/>
  <c r="PQ64" i="15"/>
  <c r="PR63" i="15"/>
  <c r="RT66" i="15"/>
  <c r="NL66" i="15"/>
  <c r="GG64" i="15"/>
  <c r="GH63" i="15"/>
  <c r="LX66" i="15"/>
  <c r="NY64" i="15"/>
  <c r="NZ63" i="15"/>
  <c r="PL65" i="15"/>
  <c r="KZ66" i="15"/>
  <c r="TY65" i="15"/>
  <c r="TZ65" i="15" s="1"/>
  <c r="BT65" i="15"/>
  <c r="EC64" i="15"/>
  <c r="ED63" i="15"/>
  <c r="PN63" i="15"/>
  <c r="BY64" i="15"/>
  <c r="BZ63" i="15"/>
  <c r="SZ66" i="15"/>
  <c r="UN66" i="15"/>
  <c r="HU64" i="15"/>
  <c r="HV63" i="15"/>
  <c r="JD66" i="15"/>
  <c r="UF66" i="15"/>
  <c r="KB66" i="15"/>
  <c r="MR66" i="15"/>
  <c r="KN66" i="15"/>
  <c r="MB66" i="15"/>
  <c r="L66" i="15"/>
  <c r="LL66" i="15"/>
  <c r="EN66" i="15"/>
  <c r="EP65" i="15"/>
  <c r="FQ64" i="15"/>
  <c r="FR63" i="15"/>
  <c r="GK64" i="15"/>
  <c r="GL63" i="15"/>
  <c r="PU64" i="15"/>
  <c r="PV63" i="15"/>
  <c r="EJ66" i="15"/>
  <c r="GR66" i="15"/>
  <c r="SF66" i="15"/>
  <c r="SH65" i="15"/>
  <c r="ES64" i="15"/>
  <c r="ET63" i="15"/>
  <c r="LD66" i="15"/>
  <c r="RE65" i="15"/>
  <c r="SP64" i="15"/>
  <c r="MV66" i="15"/>
  <c r="KP64" i="15"/>
  <c r="SS64" i="15"/>
  <c r="ST63" i="15"/>
  <c r="FP66" i="15"/>
  <c r="TD66" i="15"/>
  <c r="DU64" i="15"/>
  <c r="DV63" i="15"/>
  <c r="PT66" i="15"/>
  <c r="KC64" i="15"/>
  <c r="KD63" i="15"/>
  <c r="OW64" i="15"/>
  <c r="OX63" i="15"/>
  <c r="NP66" i="15"/>
  <c r="FV64" i="15"/>
  <c r="BM64" i="15"/>
  <c r="BN63" i="15"/>
  <c r="EW64" i="15"/>
  <c r="EX63" i="15"/>
  <c r="SK65" i="15"/>
  <c r="CV66" i="15"/>
  <c r="DA65" i="15"/>
  <c r="TM64" i="15"/>
  <c r="TN63" i="15"/>
  <c r="SN66" i="15"/>
  <c r="JL66" i="15"/>
  <c r="AW64" i="15"/>
  <c r="AX63" i="15"/>
  <c r="F64" i="15"/>
  <c r="HL66" i="15"/>
  <c r="FX66" i="15"/>
  <c r="FZ65" i="15"/>
  <c r="NE64" i="15"/>
  <c r="NF63" i="15"/>
  <c r="PI65" i="15"/>
  <c r="PJ65" i="15" s="1"/>
  <c r="TL66" i="15"/>
  <c r="QF66" i="15"/>
  <c r="TI64" i="15"/>
  <c r="TJ63" i="15"/>
  <c r="QW65" i="15"/>
  <c r="LT66" i="15"/>
  <c r="IK64" i="15"/>
  <c r="IL63" i="15"/>
  <c r="KK65" i="15"/>
  <c r="PZ64" i="15"/>
  <c r="HT66" i="15"/>
  <c r="JE64" i="15"/>
  <c r="JF63" i="15"/>
  <c r="FT66" i="15"/>
  <c r="OV66" i="15"/>
  <c r="HM65" i="15"/>
  <c r="RI65" i="15"/>
  <c r="F68" i="9"/>
  <c r="G68" i="9" s="1"/>
  <c r="F68" i="11"/>
  <c r="G68" i="11" s="1"/>
  <c r="F69" i="2"/>
  <c r="G69" i="2" s="1"/>
  <c r="G67" i="11"/>
  <c r="E69" i="11"/>
  <c r="E69" i="9"/>
  <c r="E69" i="8"/>
  <c r="F68" i="8"/>
  <c r="E70" i="2"/>
  <c r="G68" i="2"/>
  <c r="U66" i="15" l="1"/>
  <c r="EO66" i="15"/>
  <c r="NA65" i="15"/>
  <c r="NB65" i="15" s="1"/>
  <c r="JM66" i="15"/>
  <c r="JN66" i="15" s="1"/>
  <c r="DA66" i="15"/>
  <c r="DB66" i="15" s="1"/>
  <c r="FI66" i="15"/>
  <c r="FJ66" i="15" s="1"/>
  <c r="LY66" i="15"/>
  <c r="LZ66" i="15" s="1"/>
  <c r="FU66" i="15"/>
  <c r="UO66" i="15"/>
  <c r="UP66" i="15" s="1"/>
  <c r="BA66" i="15"/>
  <c r="BB66" i="15" s="1"/>
  <c r="CO66" i="15"/>
  <c r="CP66" i="15" s="1"/>
  <c r="EK66" i="15"/>
  <c r="EL66" i="15" s="1"/>
  <c r="AG66" i="15"/>
  <c r="AH66" i="15" s="1"/>
  <c r="KK66" i="15"/>
  <c r="KL66" i="15" s="1"/>
  <c r="CC65" i="15"/>
  <c r="CD65" i="15" s="1"/>
  <c r="CK66" i="15"/>
  <c r="CL66" i="15" s="1"/>
  <c r="BI66" i="15"/>
  <c r="BJ66" i="15" s="1"/>
  <c r="I65" i="15"/>
  <c r="J65" i="15" s="1"/>
  <c r="SO66" i="15"/>
  <c r="SP66" i="15" s="1"/>
  <c r="CL65" i="15"/>
  <c r="AO66" i="15"/>
  <c r="AP66" i="15" s="1"/>
  <c r="EG66" i="15"/>
  <c r="EH66" i="15" s="1"/>
  <c r="DM66" i="15"/>
  <c r="DN66" i="15" s="1"/>
  <c r="QW66" i="15"/>
  <c r="QX66" i="15" s="1"/>
  <c r="HM66" i="15"/>
  <c r="HN66" i="15" s="1"/>
  <c r="KO66" i="15"/>
  <c r="KP66" i="15" s="1"/>
  <c r="PM65" i="15"/>
  <c r="PN65" i="15" s="1"/>
  <c r="FM66" i="15"/>
  <c r="FN66" i="15" s="1"/>
  <c r="HY66" i="15"/>
  <c r="HZ66" i="15" s="1"/>
  <c r="GW66" i="15"/>
  <c r="GX66" i="15" s="1"/>
  <c r="PE66" i="15"/>
  <c r="PF66" i="15" s="1"/>
  <c r="FE66" i="15"/>
  <c r="FF66" i="15" s="1"/>
  <c r="SK66" i="15"/>
  <c r="SL66" i="15" s="1"/>
  <c r="LI66" i="15"/>
  <c r="LJ66" i="15" s="1"/>
  <c r="RE66" i="15"/>
  <c r="RF66" i="15" s="1"/>
  <c r="TY66" i="15"/>
  <c r="TZ66" i="15" s="1"/>
  <c r="CS65" i="15"/>
  <c r="CT65" i="15" s="1"/>
  <c r="LL67" i="15"/>
  <c r="OO65" i="15"/>
  <c r="OP64" i="15"/>
  <c r="SZ67" i="15"/>
  <c r="BX67" i="15"/>
  <c r="RT67" i="15"/>
  <c r="RU65" i="15"/>
  <c r="RV64" i="15"/>
  <c r="JP67" i="15"/>
  <c r="LA65" i="15"/>
  <c r="LB64" i="15"/>
  <c r="RF65" i="15"/>
  <c r="SC65" i="15"/>
  <c r="SD64" i="15"/>
  <c r="NQ65" i="15"/>
  <c r="NR64" i="15"/>
  <c r="TX67" i="15"/>
  <c r="UG65" i="15"/>
  <c r="UH64" i="15"/>
  <c r="CT64" i="15"/>
  <c r="SV67" i="15"/>
  <c r="SL65" i="15"/>
  <c r="OF66" i="15"/>
  <c r="PP67" i="15"/>
  <c r="BP67" i="15"/>
  <c r="RD67" i="15"/>
  <c r="IF67" i="15"/>
  <c r="OJ67" i="15"/>
  <c r="CR66" i="15"/>
  <c r="LP67" i="15"/>
  <c r="SJ67" i="15"/>
  <c r="PY66" i="15"/>
  <c r="JX67" i="15"/>
  <c r="NT67" i="15"/>
  <c r="Q65" i="15"/>
  <c r="R64" i="15"/>
  <c r="GX65" i="15"/>
  <c r="BD67" i="15"/>
  <c r="HD67" i="15"/>
  <c r="KC65" i="15"/>
  <c r="KD64" i="15"/>
  <c r="PQ65" i="15"/>
  <c r="PR64" i="15"/>
  <c r="DP67" i="15"/>
  <c r="GN67" i="15"/>
  <c r="RX67" i="15"/>
  <c r="IZ67" i="15"/>
  <c r="NM65" i="15"/>
  <c r="NN64" i="15"/>
  <c r="QB67" i="15"/>
  <c r="DH67" i="15"/>
  <c r="GV67" i="15"/>
  <c r="IK65" i="15"/>
  <c r="IL64" i="15"/>
  <c r="SF67" i="15"/>
  <c r="KN67" i="15"/>
  <c r="EC65" i="15"/>
  <c r="ED64" i="15"/>
  <c r="AR67" i="15"/>
  <c r="DT67" i="15"/>
  <c r="JH67" i="15"/>
  <c r="ON67" i="15"/>
  <c r="NX67" i="15"/>
  <c r="MS65" i="15"/>
  <c r="MT64" i="15"/>
  <c r="NI65" i="15"/>
  <c r="NJ64" i="15"/>
  <c r="AJ67" i="15"/>
  <c r="TP67" i="15"/>
  <c r="LD67" i="15"/>
  <c r="SR67" i="15"/>
  <c r="GF67" i="15"/>
  <c r="KR67" i="15"/>
  <c r="ER67" i="15"/>
  <c r="QC65" i="15"/>
  <c r="QD64" i="15"/>
  <c r="QG65" i="15"/>
  <c r="QH64" i="15"/>
  <c r="LE65" i="15"/>
  <c r="LF64" i="15"/>
  <c r="DX67" i="15"/>
  <c r="UJ67" i="15"/>
  <c r="FH67" i="15"/>
  <c r="OW65" i="15"/>
  <c r="OX64" i="15"/>
  <c r="MB67" i="15"/>
  <c r="OZ67" i="15"/>
  <c r="IB67" i="15"/>
  <c r="RY65" i="15"/>
  <c r="RZ64" i="15"/>
  <c r="GB67" i="15"/>
  <c r="AV67" i="15"/>
  <c r="MN67" i="15"/>
  <c r="QX65" i="15"/>
  <c r="LU65" i="15"/>
  <c r="LV64" i="15"/>
  <c r="HZ65" i="15"/>
  <c r="PX67" i="15"/>
  <c r="PT67" i="15"/>
  <c r="UK65" i="15"/>
  <c r="UL64" i="15"/>
  <c r="HI65" i="15"/>
  <c r="HJ64" i="15"/>
  <c r="AS65" i="15"/>
  <c r="AT64" i="15"/>
  <c r="SW66" i="15"/>
  <c r="QR67" i="15"/>
  <c r="EV67" i="15"/>
  <c r="NU65" i="15"/>
  <c r="NV64" i="15"/>
  <c r="IR67" i="15"/>
  <c r="HP67" i="15"/>
  <c r="QV67" i="15"/>
  <c r="DQ66" i="15"/>
  <c r="HX67" i="15"/>
  <c r="KB67" i="15"/>
  <c r="TH67" i="15"/>
  <c r="JA66" i="15"/>
  <c r="JB66" i="15" s="1"/>
  <c r="DE65" i="15"/>
  <c r="DF64" i="15"/>
  <c r="CW65" i="15"/>
  <c r="CX64" i="15"/>
  <c r="LQ66" i="15"/>
  <c r="LR66" i="15" s="1"/>
  <c r="HQ66" i="15"/>
  <c r="EZ67" i="15"/>
  <c r="CF67" i="15"/>
  <c r="RI66" i="15"/>
  <c r="AB67" i="15"/>
  <c r="IW65" i="15"/>
  <c r="IX64" i="15"/>
  <c r="IC66" i="15"/>
  <c r="TQ65" i="15"/>
  <c r="TR64" i="15"/>
  <c r="UB67" i="15"/>
  <c r="QN67" i="15"/>
  <c r="MK65" i="15"/>
  <c r="ML64" i="15"/>
  <c r="DB65" i="15"/>
  <c r="TT67" i="15"/>
  <c r="RL67" i="15"/>
  <c r="BY65" i="15"/>
  <c r="BZ64" i="15"/>
  <c r="ES65" i="15"/>
  <c r="ET64" i="15"/>
  <c r="BT66" i="15"/>
  <c r="FP67" i="15"/>
  <c r="UC65" i="15"/>
  <c r="UD64" i="15"/>
  <c r="IN67" i="15"/>
  <c r="AZ67" i="15"/>
  <c r="PA65" i="15"/>
  <c r="PB64" i="15"/>
  <c r="IG66" i="15"/>
  <c r="IH66" i="15" s="1"/>
  <c r="CG65" i="15"/>
  <c r="CH64" i="15"/>
  <c r="X67" i="15"/>
  <c r="AF67" i="15"/>
  <c r="CZ67" i="15"/>
  <c r="JQ65" i="15"/>
  <c r="JR64" i="15"/>
  <c r="GC65" i="15"/>
  <c r="GD64" i="15"/>
  <c r="NL67" i="15"/>
  <c r="D67" i="15"/>
  <c r="GO66" i="15"/>
  <c r="GP66" i="15" s="1"/>
  <c r="JI65" i="15"/>
  <c r="JJ64" i="15"/>
  <c r="EH65" i="15"/>
  <c r="RA65" i="15"/>
  <c r="RB64" i="15"/>
  <c r="QJ67" i="15"/>
  <c r="RM65" i="15"/>
  <c r="RN64" i="15"/>
  <c r="J64" i="15"/>
  <c r="FF65" i="15"/>
  <c r="DD67" i="15"/>
  <c r="QS66" i="15"/>
  <c r="LT67" i="15"/>
  <c r="SN67" i="15"/>
  <c r="DU65" i="15"/>
  <c r="DV64" i="15"/>
  <c r="QF67" i="15"/>
  <c r="TD67" i="15"/>
  <c r="KZ67" i="15"/>
  <c r="EB67" i="15"/>
  <c r="EF67" i="15"/>
  <c r="IV67" i="15"/>
  <c r="H66" i="15"/>
  <c r="SB67" i="15"/>
  <c r="FD67" i="15"/>
  <c r="SG66" i="15"/>
  <c r="SH66" i="15" s="1"/>
  <c r="TA65" i="15"/>
  <c r="TB64" i="15"/>
  <c r="MR67" i="15"/>
  <c r="OV67" i="15"/>
  <c r="UF67" i="15"/>
  <c r="NY65" i="15"/>
  <c r="NZ64" i="15"/>
  <c r="HA65" i="15"/>
  <c r="HB64" i="15"/>
  <c r="MF67" i="15"/>
  <c r="E66" i="15"/>
  <c r="F66" i="15" s="1"/>
  <c r="AK66" i="15"/>
  <c r="AL66" i="15" s="1"/>
  <c r="RH67" i="15"/>
  <c r="KW65" i="15"/>
  <c r="KX64" i="15"/>
  <c r="GR67" i="15"/>
  <c r="GJ67" i="15"/>
  <c r="PI66" i="15"/>
  <c r="PJ66" i="15" s="1"/>
  <c r="PU65" i="15"/>
  <c r="PV64" i="15"/>
  <c r="PL66" i="15"/>
  <c r="NE65" i="15"/>
  <c r="NF64" i="15"/>
  <c r="HH67" i="15"/>
  <c r="MC66" i="15"/>
  <c r="MD66" i="15" s="1"/>
  <c r="CB66" i="15"/>
  <c r="AC66" i="15"/>
  <c r="AD66" i="15" s="1"/>
  <c r="FL67" i="15"/>
  <c r="FQ65" i="15"/>
  <c r="FR64" i="15"/>
  <c r="BE66" i="15"/>
  <c r="MO66" i="15"/>
  <c r="MP66" i="15" s="1"/>
  <c r="M65" i="15"/>
  <c r="N64" i="15"/>
  <c r="OS65" i="15"/>
  <c r="OT64" i="15"/>
  <c r="IS66" i="15"/>
  <c r="FN65" i="15"/>
  <c r="FA65" i="15"/>
  <c r="FB64" i="15"/>
  <c r="BL67" i="15"/>
  <c r="CN67" i="15"/>
  <c r="OK66" i="15"/>
  <c r="OL66" i="15" s="1"/>
  <c r="DY65" i="15"/>
  <c r="DZ64" i="15"/>
  <c r="L67" i="15"/>
  <c r="OB67" i="15"/>
  <c r="TM65" i="15"/>
  <c r="TN64" i="15"/>
  <c r="PH67" i="15"/>
  <c r="MZ66" i="15"/>
  <c r="CV67" i="15"/>
  <c r="JD67" i="15"/>
  <c r="JY66" i="15"/>
  <c r="JZ66" i="15" s="1"/>
  <c r="KG65" i="15"/>
  <c r="KH64" i="15"/>
  <c r="KV67" i="15"/>
  <c r="HN65" i="15"/>
  <c r="MV67" i="15"/>
  <c r="HU65" i="15"/>
  <c r="HV64" i="15"/>
  <c r="LX67" i="15"/>
  <c r="IO65" i="15"/>
  <c r="IP64" i="15"/>
  <c r="P67" i="15"/>
  <c r="QO66" i="15"/>
  <c r="OC65" i="15"/>
  <c r="OD64" i="15"/>
  <c r="MG66" i="15"/>
  <c r="MH66" i="15" s="1"/>
  <c r="GZ67" i="15"/>
  <c r="BU65" i="15"/>
  <c r="BV65" i="15" s="1"/>
  <c r="RP67" i="15"/>
  <c r="BJ65" i="15"/>
  <c r="TE65" i="15"/>
  <c r="TF64" i="15"/>
  <c r="OR67" i="15"/>
  <c r="Y65" i="15"/>
  <c r="Z64" i="15"/>
  <c r="BQ66" i="15"/>
  <c r="NP67" i="15"/>
  <c r="RQ65" i="15"/>
  <c r="RR64" i="15"/>
  <c r="AW65" i="15"/>
  <c r="AX64" i="15"/>
  <c r="ND67" i="15"/>
  <c r="OG65" i="15"/>
  <c r="OH65" i="15" s="1"/>
  <c r="FV66" i="15"/>
  <c r="FT67" i="15"/>
  <c r="FU67" i="15" s="1"/>
  <c r="GK65" i="15"/>
  <c r="GL64" i="15"/>
  <c r="QK65" i="15"/>
  <c r="QL64" i="15"/>
  <c r="KJ67" i="15"/>
  <c r="DI65" i="15"/>
  <c r="DJ64" i="15"/>
  <c r="JE65" i="15"/>
  <c r="JF64" i="15"/>
  <c r="FX67" i="15"/>
  <c r="HT67" i="15"/>
  <c r="HL67" i="15"/>
  <c r="EN67" i="15"/>
  <c r="EP66" i="15"/>
  <c r="KF67" i="15"/>
  <c r="QZ67" i="15"/>
  <c r="JT67" i="15"/>
  <c r="FY66" i="15"/>
  <c r="FZ66" i="15" s="1"/>
  <c r="PF65" i="15"/>
  <c r="UR67" i="15"/>
  <c r="IJ67" i="15"/>
  <c r="LJ65" i="15"/>
  <c r="BH67" i="15"/>
  <c r="V65" i="15"/>
  <c r="AP65" i="15"/>
  <c r="HE66" i="15"/>
  <c r="JL67" i="15"/>
  <c r="TI65" i="15"/>
  <c r="TJ64" i="15"/>
  <c r="EJ67" i="15"/>
  <c r="TL67" i="15"/>
  <c r="MJ67" i="15"/>
  <c r="SS65" i="15"/>
  <c r="ST64" i="15"/>
  <c r="KL65" i="15"/>
  <c r="DL67" i="15"/>
  <c r="EW65" i="15"/>
  <c r="EX64" i="15"/>
  <c r="NH67" i="15"/>
  <c r="BM65" i="15"/>
  <c r="BN64" i="15"/>
  <c r="LM66" i="15"/>
  <c r="UN67" i="15"/>
  <c r="GG65" i="15"/>
  <c r="GH64" i="15"/>
  <c r="TU66" i="15"/>
  <c r="CJ67" i="15"/>
  <c r="RJ65" i="15"/>
  <c r="US65" i="15"/>
  <c r="UT64" i="15"/>
  <c r="MW65" i="15"/>
  <c r="MX64" i="15"/>
  <c r="BF65" i="15"/>
  <c r="PD67" i="15"/>
  <c r="KS66" i="15"/>
  <c r="JU65" i="15"/>
  <c r="JV64" i="15"/>
  <c r="LH67" i="15"/>
  <c r="T67" i="15"/>
  <c r="U67" i="15" s="1"/>
  <c r="V66" i="15"/>
  <c r="AN67" i="15"/>
  <c r="GS66" i="15"/>
  <c r="F69" i="9"/>
  <c r="G69" i="9" s="1"/>
  <c r="F69" i="8"/>
  <c r="G69" i="8" s="1"/>
  <c r="E70" i="11"/>
  <c r="F69" i="11"/>
  <c r="G68" i="10"/>
  <c r="G69" i="10"/>
  <c r="E70" i="9"/>
  <c r="G68" i="8"/>
  <c r="E70" i="8"/>
  <c r="E71" i="2"/>
  <c r="F70" i="2"/>
  <c r="EO67" i="15" l="1"/>
  <c r="FI67" i="15"/>
  <c r="FJ67" i="15" s="1"/>
  <c r="CC66" i="15"/>
  <c r="EK67" i="15"/>
  <c r="NA66" i="15"/>
  <c r="SO67" i="15"/>
  <c r="SP67" i="15" s="1"/>
  <c r="CK67" i="15"/>
  <c r="CL67" i="15" s="1"/>
  <c r="CO67" i="15"/>
  <c r="CP67" i="15" s="1"/>
  <c r="UO67" i="15"/>
  <c r="UP67" i="15" s="1"/>
  <c r="I66" i="15"/>
  <c r="J66" i="15" s="1"/>
  <c r="BI67" i="15"/>
  <c r="BJ67" i="15" s="1"/>
  <c r="BA67" i="15"/>
  <c r="BB67" i="15" s="1"/>
  <c r="AO67" i="15"/>
  <c r="AP67" i="15" s="1"/>
  <c r="PY67" i="15"/>
  <c r="PZ67" i="15" s="1"/>
  <c r="GW67" i="15"/>
  <c r="GX67" i="15" s="1"/>
  <c r="RE67" i="15"/>
  <c r="RF67" i="15" s="1"/>
  <c r="QS67" i="15"/>
  <c r="QT67" i="15" s="1"/>
  <c r="PE67" i="15"/>
  <c r="PF67" i="15" s="1"/>
  <c r="QW67" i="15"/>
  <c r="QX67" i="15" s="1"/>
  <c r="TY67" i="15"/>
  <c r="TZ67" i="15" s="1"/>
  <c r="LI67" i="15"/>
  <c r="LJ67" i="15" s="1"/>
  <c r="SK67" i="15"/>
  <c r="SL67" i="15" s="1"/>
  <c r="FE67" i="15"/>
  <c r="FF67" i="15" s="1"/>
  <c r="HY67" i="15"/>
  <c r="HZ67" i="15" s="1"/>
  <c r="KS67" i="15"/>
  <c r="KT67" i="15" s="1"/>
  <c r="DQ67" i="15"/>
  <c r="DR67" i="15" s="1"/>
  <c r="IS67" i="15"/>
  <c r="IT67" i="15" s="1"/>
  <c r="GS67" i="15"/>
  <c r="GT67" i="15" s="1"/>
  <c r="TU67" i="15"/>
  <c r="TV67" i="15" s="1"/>
  <c r="HM67" i="15"/>
  <c r="HN67" i="15" s="1"/>
  <c r="LM67" i="15"/>
  <c r="LN67" i="15" s="1"/>
  <c r="HE67" i="15"/>
  <c r="HF67" i="15" s="1"/>
  <c r="IC67" i="15"/>
  <c r="ID67" i="15" s="1"/>
  <c r="RI67" i="15"/>
  <c r="RJ67" i="15" s="1"/>
  <c r="HQ67" i="15"/>
  <c r="HR67" i="15" s="1"/>
  <c r="IT66" i="15"/>
  <c r="DR66" i="15"/>
  <c r="QO67" i="15"/>
  <c r="QP67" i="15" s="1"/>
  <c r="FY67" i="15"/>
  <c r="FZ67" i="15" s="1"/>
  <c r="SW67" i="15"/>
  <c r="SX67" i="15" s="1"/>
  <c r="BQ67" i="15"/>
  <c r="BR67" i="15" s="1"/>
  <c r="BE67" i="15"/>
  <c r="BF67" i="15" s="1"/>
  <c r="CV68" i="15"/>
  <c r="D68" i="15"/>
  <c r="NL68" i="15"/>
  <c r="IN68" i="15"/>
  <c r="UB68" i="15"/>
  <c r="DE66" i="15"/>
  <c r="DF65" i="15"/>
  <c r="NU66" i="15"/>
  <c r="NV65" i="15"/>
  <c r="MN68" i="15"/>
  <c r="DX68" i="15"/>
  <c r="RX68" i="15"/>
  <c r="JX68" i="15"/>
  <c r="RU66" i="15"/>
  <c r="RV65" i="15"/>
  <c r="MF68" i="15"/>
  <c r="LD68" i="15"/>
  <c r="SB68" i="15"/>
  <c r="EV68" i="15"/>
  <c r="EC66" i="15"/>
  <c r="ED65" i="15"/>
  <c r="OF67" i="15"/>
  <c r="JA67" i="15"/>
  <c r="JB67" i="15" s="1"/>
  <c r="RT68" i="15"/>
  <c r="BL68" i="15"/>
  <c r="LU66" i="15"/>
  <c r="LV65" i="15"/>
  <c r="AR68" i="15"/>
  <c r="JE66" i="15"/>
  <c r="JF65" i="15"/>
  <c r="PL67" i="15"/>
  <c r="NY66" i="15"/>
  <c r="NZ65" i="15"/>
  <c r="GC66" i="15"/>
  <c r="GD65" i="15"/>
  <c r="FP68" i="15"/>
  <c r="TQ66" i="15"/>
  <c r="TR65" i="15"/>
  <c r="QT66" i="15"/>
  <c r="AV68" i="15"/>
  <c r="LE66" i="15"/>
  <c r="LF65" i="15"/>
  <c r="TP68" i="15"/>
  <c r="KN68" i="15"/>
  <c r="SJ68" i="15"/>
  <c r="SX66" i="15"/>
  <c r="SS66" i="15"/>
  <c r="ST65" i="15"/>
  <c r="UF68" i="15"/>
  <c r="EF68" i="15"/>
  <c r="QR68" i="15"/>
  <c r="GB68" i="15"/>
  <c r="AJ68" i="15"/>
  <c r="GN68" i="15"/>
  <c r="SV68" i="15"/>
  <c r="BX68" i="15"/>
  <c r="PP68" i="15"/>
  <c r="RQ66" i="15"/>
  <c r="RR65" i="15"/>
  <c r="PH68" i="15"/>
  <c r="OR68" i="15"/>
  <c r="LX68" i="15"/>
  <c r="OS66" i="15"/>
  <c r="OT65" i="15"/>
  <c r="PU66" i="15"/>
  <c r="PV65" i="15"/>
  <c r="JQ66" i="15"/>
  <c r="JR65" i="15"/>
  <c r="TH68" i="15"/>
  <c r="QG66" i="15"/>
  <c r="QH65" i="15"/>
  <c r="SF68" i="15"/>
  <c r="DP68" i="15"/>
  <c r="JP68" i="15"/>
  <c r="FA66" i="15"/>
  <c r="FB65" i="15"/>
  <c r="TM66" i="15"/>
  <c r="TN65" i="15"/>
  <c r="OV68" i="15"/>
  <c r="EB68" i="15"/>
  <c r="RM66" i="15"/>
  <c r="RN65" i="15"/>
  <c r="BT67" i="15"/>
  <c r="IW66" i="15"/>
  <c r="IX65" i="15"/>
  <c r="KB68" i="15"/>
  <c r="LY67" i="15"/>
  <c r="LZ67" i="15" s="1"/>
  <c r="LP68" i="15"/>
  <c r="SZ68" i="15"/>
  <c r="UC66" i="15"/>
  <c r="UD65" i="15"/>
  <c r="Y66" i="15"/>
  <c r="Z65" i="15"/>
  <c r="OB68" i="15"/>
  <c r="M66" i="15"/>
  <c r="N65" i="15"/>
  <c r="GJ68" i="15"/>
  <c r="QJ68" i="15"/>
  <c r="CZ68" i="15"/>
  <c r="AS66" i="15"/>
  <c r="AT65" i="15"/>
  <c r="RY66" i="15"/>
  <c r="RZ65" i="15"/>
  <c r="QC66" i="15"/>
  <c r="QD65" i="15"/>
  <c r="NI66" i="15"/>
  <c r="NJ65" i="15"/>
  <c r="UG66" i="15"/>
  <c r="UH65" i="15"/>
  <c r="IJ68" i="15"/>
  <c r="KJ68" i="15"/>
  <c r="AN68" i="15"/>
  <c r="KZ68" i="15"/>
  <c r="AF68" i="15"/>
  <c r="ES66" i="15"/>
  <c r="ET65" i="15"/>
  <c r="AB68" i="15"/>
  <c r="IB68" i="15"/>
  <c r="IK66" i="15"/>
  <c r="IL65" i="15"/>
  <c r="PQ66" i="15"/>
  <c r="PR65" i="15"/>
  <c r="CR67" i="15"/>
  <c r="OO66" i="15"/>
  <c r="OP65" i="15"/>
  <c r="UJ68" i="15"/>
  <c r="MJ68" i="15"/>
  <c r="PI67" i="15"/>
  <c r="PJ67" i="15" s="1"/>
  <c r="KF68" i="15"/>
  <c r="HI66" i="15"/>
  <c r="HJ65" i="15"/>
  <c r="ID66" i="15"/>
  <c r="ER68" i="15"/>
  <c r="MS66" i="15"/>
  <c r="MT65" i="15"/>
  <c r="PM66" i="15"/>
  <c r="TX68" i="15"/>
  <c r="LN66" i="15"/>
  <c r="NP68" i="15"/>
  <c r="IO66" i="15"/>
  <c r="IP65" i="15"/>
  <c r="UN68" i="15"/>
  <c r="TI66" i="15"/>
  <c r="TJ65" i="15"/>
  <c r="MR68" i="15"/>
  <c r="RA66" i="15"/>
  <c r="RB65" i="15"/>
  <c r="BY66" i="15"/>
  <c r="BZ65" i="15"/>
  <c r="HX68" i="15"/>
  <c r="OZ68" i="15"/>
  <c r="GV68" i="15"/>
  <c r="KC66" i="15"/>
  <c r="KD65" i="15"/>
  <c r="LL68" i="15"/>
  <c r="NT68" i="15"/>
  <c r="DD68" i="15"/>
  <c r="QZ68" i="15"/>
  <c r="JU66" i="15"/>
  <c r="JV65" i="15"/>
  <c r="TD68" i="15"/>
  <c r="X68" i="15"/>
  <c r="RL68" i="15"/>
  <c r="UK66" i="15"/>
  <c r="UL65" i="15"/>
  <c r="KT66" i="15"/>
  <c r="NX68" i="15"/>
  <c r="HD68" i="15"/>
  <c r="OJ68" i="15"/>
  <c r="NQ66" i="15"/>
  <c r="NR65" i="15"/>
  <c r="QN68" i="15"/>
  <c r="US66" i="15"/>
  <c r="UT65" i="15"/>
  <c r="QP66" i="15"/>
  <c r="MO67" i="15"/>
  <c r="FT68" i="15"/>
  <c r="FV67" i="15"/>
  <c r="NH68" i="15"/>
  <c r="QF68" i="15"/>
  <c r="KR68" i="15"/>
  <c r="DH68" i="15"/>
  <c r="HF66" i="15"/>
  <c r="IF68" i="15"/>
  <c r="IZ68" i="15"/>
  <c r="H67" i="15"/>
  <c r="IV68" i="15"/>
  <c r="CJ68" i="15"/>
  <c r="GG66" i="15"/>
  <c r="GH65" i="15"/>
  <c r="HU66" i="15"/>
  <c r="HV65" i="15"/>
  <c r="JL68" i="15"/>
  <c r="FQ66" i="15"/>
  <c r="FR65" i="15"/>
  <c r="FL68" i="15"/>
  <c r="EZ68" i="15"/>
  <c r="CS66" i="15"/>
  <c r="ON68" i="15"/>
  <c r="BD68" i="15"/>
  <c r="SC66" i="15"/>
  <c r="SD65" i="15"/>
  <c r="LT68" i="15"/>
  <c r="P68" i="15"/>
  <c r="JT68" i="15"/>
  <c r="MV68" i="15"/>
  <c r="RP68" i="15"/>
  <c r="EN68" i="15"/>
  <c r="EO68" i="15" s="1"/>
  <c r="EP67" i="15"/>
  <c r="KW66" i="15"/>
  <c r="KX65" i="15"/>
  <c r="CF68" i="15"/>
  <c r="TT68" i="15"/>
  <c r="KG66" i="15"/>
  <c r="KH65" i="15"/>
  <c r="OK67" i="15"/>
  <c r="OL67" i="15" s="1"/>
  <c r="AC67" i="15"/>
  <c r="RJ66" i="15"/>
  <c r="AG67" i="15"/>
  <c r="JI66" i="15"/>
  <c r="JJ65" i="15"/>
  <c r="IG67" i="15"/>
  <c r="TV66" i="15"/>
  <c r="QV68" i="15"/>
  <c r="PX68" i="15"/>
  <c r="GF68" i="15"/>
  <c r="JH68" i="15"/>
  <c r="QB68" i="15"/>
  <c r="BF66" i="15"/>
  <c r="RD68" i="15"/>
  <c r="CW66" i="15"/>
  <c r="CX65" i="15"/>
  <c r="NE66" i="15"/>
  <c r="NF65" i="15"/>
  <c r="TL68" i="15"/>
  <c r="EJ68" i="15"/>
  <c r="EL67" i="15"/>
  <c r="GK66" i="15"/>
  <c r="GL65" i="15"/>
  <c r="GT66" i="15"/>
  <c r="BM66" i="15"/>
  <c r="BN65" i="15"/>
  <c r="KV68" i="15"/>
  <c r="PD68" i="15"/>
  <c r="PT68" i="15"/>
  <c r="ND68" i="15"/>
  <c r="JY67" i="15"/>
  <c r="CN68" i="15"/>
  <c r="KK67" i="15"/>
  <c r="SG67" i="15"/>
  <c r="DU66" i="15"/>
  <c r="DV65" i="15"/>
  <c r="FM67" i="15"/>
  <c r="HR66" i="15"/>
  <c r="PZ66" i="15"/>
  <c r="OW66" i="15"/>
  <c r="OX65" i="15"/>
  <c r="KO67" i="15"/>
  <c r="HH68" i="15"/>
  <c r="HA66" i="15"/>
  <c r="HB65" i="15"/>
  <c r="DI66" i="15"/>
  <c r="DJ65" i="15"/>
  <c r="QK66" i="15"/>
  <c r="QL65" i="15"/>
  <c r="T68" i="15"/>
  <c r="V67" i="15"/>
  <c r="LH68" i="15"/>
  <c r="TE66" i="15"/>
  <c r="TF65" i="15"/>
  <c r="GR68" i="15"/>
  <c r="OG66" i="15"/>
  <c r="OH66" i="15" s="1"/>
  <c r="DY66" i="15"/>
  <c r="DZ65" i="15"/>
  <c r="RH68" i="15"/>
  <c r="CG66" i="15"/>
  <c r="CH65" i="15"/>
  <c r="MB68" i="15"/>
  <c r="HL68" i="15"/>
  <c r="HT68" i="15"/>
  <c r="DL68" i="15"/>
  <c r="CB67" i="15"/>
  <c r="CD66" i="15"/>
  <c r="AK67" i="15"/>
  <c r="AL67" i="15" s="1"/>
  <c r="FD68" i="15"/>
  <c r="SN68" i="15"/>
  <c r="GO67" i="15"/>
  <c r="PA66" i="15"/>
  <c r="PB65" i="15"/>
  <c r="LQ67" i="15"/>
  <c r="HP68" i="15"/>
  <c r="SR68" i="15"/>
  <c r="DT68" i="15"/>
  <c r="BR66" i="15"/>
  <c r="LA66" i="15"/>
  <c r="LB65" i="15"/>
  <c r="JM67" i="15"/>
  <c r="MZ67" i="15"/>
  <c r="NB66" i="15"/>
  <c r="UR68" i="15"/>
  <c r="L68" i="15"/>
  <c r="EG67" i="15"/>
  <c r="BU66" i="15"/>
  <c r="GZ68" i="15"/>
  <c r="TA66" i="15"/>
  <c r="TB65" i="15"/>
  <c r="EW66" i="15"/>
  <c r="EX65" i="15"/>
  <c r="MG67" i="15"/>
  <c r="JD68" i="15"/>
  <c r="MW66" i="15"/>
  <c r="MX65" i="15"/>
  <c r="BH68" i="15"/>
  <c r="FX68" i="15"/>
  <c r="AW66" i="15"/>
  <c r="AX65" i="15"/>
  <c r="OC66" i="15"/>
  <c r="OD65" i="15"/>
  <c r="MC67" i="15"/>
  <c r="E67" i="15"/>
  <c r="DA67" i="15"/>
  <c r="AZ68" i="15"/>
  <c r="MK66" i="15"/>
  <c r="ML65" i="15"/>
  <c r="IR68" i="15"/>
  <c r="FH68" i="15"/>
  <c r="FI68" i="15" s="1"/>
  <c r="NM66" i="15"/>
  <c r="NN65" i="15"/>
  <c r="Q66" i="15"/>
  <c r="R65" i="15"/>
  <c r="BP68" i="15"/>
  <c r="DM67" i="15"/>
  <c r="DN67" i="15" s="1"/>
  <c r="F70" i="9"/>
  <c r="G70" i="9" s="1"/>
  <c r="F70" i="11"/>
  <c r="G70" i="11" s="1"/>
  <c r="F71" i="2"/>
  <c r="G71" i="2" s="1"/>
  <c r="G69" i="11"/>
  <c r="E71" i="11"/>
  <c r="E71" i="9"/>
  <c r="E71" i="8"/>
  <c r="F70" i="8"/>
  <c r="G70" i="2"/>
  <c r="E72" i="2"/>
  <c r="NA67" i="15" l="1"/>
  <c r="I67" i="15"/>
  <c r="SO68" i="15"/>
  <c r="UO68" i="15"/>
  <c r="UP68" i="15" s="1"/>
  <c r="MO68" i="15"/>
  <c r="MP68" i="15" s="1"/>
  <c r="CO68" i="15"/>
  <c r="CP68" i="15" s="1"/>
  <c r="CK68" i="15"/>
  <c r="CL68" i="15" s="1"/>
  <c r="RE68" i="15"/>
  <c r="RF68" i="15" s="1"/>
  <c r="JY68" i="15"/>
  <c r="JZ68" i="15" s="1"/>
  <c r="TY68" i="15"/>
  <c r="TZ68" i="15" s="1"/>
  <c r="QW68" i="15"/>
  <c r="QX68" i="15" s="1"/>
  <c r="AO68" i="15"/>
  <c r="AP68" i="15" s="1"/>
  <c r="PE68" i="15"/>
  <c r="PF68" i="15" s="1"/>
  <c r="PY68" i="15"/>
  <c r="PZ68" i="15" s="1"/>
  <c r="HY68" i="15"/>
  <c r="HZ68" i="15" s="1"/>
  <c r="BQ68" i="15"/>
  <c r="BR68" i="15" s="1"/>
  <c r="FE68" i="15"/>
  <c r="FF68" i="15" s="1"/>
  <c r="LQ68" i="15"/>
  <c r="LR68" i="15" s="1"/>
  <c r="SK68" i="15"/>
  <c r="SL68" i="15" s="1"/>
  <c r="LM68" i="15"/>
  <c r="LN68" i="15" s="1"/>
  <c r="DQ68" i="15"/>
  <c r="DR68" i="15" s="1"/>
  <c r="GS68" i="15"/>
  <c r="GT68" i="15" s="1"/>
  <c r="RI68" i="15"/>
  <c r="RJ68" i="15" s="1"/>
  <c r="BU67" i="15"/>
  <c r="BV67" i="15" s="1"/>
  <c r="HM68" i="15"/>
  <c r="HN68" i="15" s="1"/>
  <c r="KO68" i="15"/>
  <c r="KP68" i="15" s="1"/>
  <c r="HE68" i="15"/>
  <c r="HF68" i="15" s="1"/>
  <c r="SW68" i="15"/>
  <c r="SX68" i="15" s="1"/>
  <c r="AC68" i="15"/>
  <c r="AD68" i="15" s="1"/>
  <c r="DA68" i="15"/>
  <c r="DB68" i="15" s="1"/>
  <c r="FY68" i="15"/>
  <c r="FZ68" i="15" s="1"/>
  <c r="JM68" i="15"/>
  <c r="JN68" i="15" s="1"/>
  <c r="TU68" i="15"/>
  <c r="TV68" i="15" s="1"/>
  <c r="BE68" i="15"/>
  <c r="BF68" i="15" s="1"/>
  <c r="IG68" i="15"/>
  <c r="IH68" i="15" s="1"/>
  <c r="GO68" i="15"/>
  <c r="GP68" i="15" s="1"/>
  <c r="FM68" i="15"/>
  <c r="FN68" i="15" s="1"/>
  <c r="PM67" i="15"/>
  <c r="PN67" i="15" s="1"/>
  <c r="AG68" i="15"/>
  <c r="MC68" i="15"/>
  <c r="MD68" i="15" s="1"/>
  <c r="EG68" i="15"/>
  <c r="EH68" i="15" s="1"/>
  <c r="IH67" i="15"/>
  <c r="KK68" i="15"/>
  <c r="KL68" i="15" s="1"/>
  <c r="MD67" i="15"/>
  <c r="SG68" i="15"/>
  <c r="SH68" i="15" s="1"/>
  <c r="MG68" i="15"/>
  <c r="MH68" i="15" s="1"/>
  <c r="E68" i="15"/>
  <c r="F68" i="15" s="1"/>
  <c r="EZ69" i="15"/>
  <c r="IZ69" i="15"/>
  <c r="PQ67" i="15"/>
  <c r="PR66" i="15"/>
  <c r="OV69" i="15"/>
  <c r="LE67" i="15"/>
  <c r="LF66" i="15"/>
  <c r="SB69" i="15"/>
  <c r="UB69" i="15"/>
  <c r="ON69" i="15"/>
  <c r="PU67" i="15"/>
  <c r="PV66" i="15"/>
  <c r="LH69" i="15"/>
  <c r="QN69" i="15"/>
  <c r="JU67" i="15"/>
  <c r="JV66" i="15"/>
  <c r="BY67" i="15"/>
  <c r="BZ66" i="15"/>
  <c r="MS67" i="15"/>
  <c r="MT66" i="15"/>
  <c r="UG67" i="15"/>
  <c r="UH66" i="15"/>
  <c r="Y67" i="15"/>
  <c r="Z66" i="15"/>
  <c r="OS67" i="15"/>
  <c r="OT66" i="15"/>
  <c r="GB69" i="15"/>
  <c r="AV69" i="15"/>
  <c r="LU67" i="15"/>
  <c r="LV66" i="15"/>
  <c r="LD69" i="15"/>
  <c r="TE67" i="15"/>
  <c r="TF66" i="15"/>
  <c r="QV69" i="15"/>
  <c r="ER69" i="15"/>
  <c r="IK67" i="15"/>
  <c r="IL66" i="15"/>
  <c r="TM67" i="15"/>
  <c r="TN66" i="15"/>
  <c r="LX69" i="15"/>
  <c r="IN69" i="15"/>
  <c r="GK67" i="15"/>
  <c r="GL66" i="15"/>
  <c r="T69" i="15"/>
  <c r="FN67" i="15"/>
  <c r="IF69" i="15"/>
  <c r="NQ67" i="15"/>
  <c r="NR66" i="15"/>
  <c r="RA67" i="15"/>
  <c r="RB66" i="15"/>
  <c r="NI67" i="15"/>
  <c r="NJ66" i="15"/>
  <c r="UC67" i="15"/>
  <c r="UD66" i="15"/>
  <c r="QR69" i="15"/>
  <c r="BL69" i="15"/>
  <c r="MH67" i="15"/>
  <c r="EJ69" i="15"/>
  <c r="MV69" i="15"/>
  <c r="MR69" i="15"/>
  <c r="IB69" i="15"/>
  <c r="FA67" i="15"/>
  <c r="FB66" i="15"/>
  <c r="OR69" i="15"/>
  <c r="IC68" i="15"/>
  <c r="ID68" i="15" s="1"/>
  <c r="RT69" i="15"/>
  <c r="MF69" i="15"/>
  <c r="TD69" i="15"/>
  <c r="QZ69" i="15"/>
  <c r="SR69" i="15"/>
  <c r="QK67" i="15"/>
  <c r="QL66" i="15"/>
  <c r="FQ67" i="15"/>
  <c r="FR66" i="15"/>
  <c r="OJ69" i="15"/>
  <c r="DD69" i="15"/>
  <c r="AB69" i="15"/>
  <c r="QC67" i="15"/>
  <c r="QD66" i="15"/>
  <c r="SZ69" i="15"/>
  <c r="JP69" i="15"/>
  <c r="EH67" i="15"/>
  <c r="NL69" i="15"/>
  <c r="CB68" i="15"/>
  <c r="EB69" i="15"/>
  <c r="EW67" i="15"/>
  <c r="EX66" i="15"/>
  <c r="JN67" i="15"/>
  <c r="DH69" i="15"/>
  <c r="HD69" i="15"/>
  <c r="HI67" i="15"/>
  <c r="HJ66" i="15"/>
  <c r="AD67" i="15"/>
  <c r="LP69" i="15"/>
  <c r="EF69" i="15"/>
  <c r="TQ67" i="15"/>
  <c r="TR66" i="15"/>
  <c r="RU67" i="15"/>
  <c r="RV66" i="15"/>
  <c r="QS68" i="15"/>
  <c r="AJ69" i="15"/>
  <c r="JL69" i="15"/>
  <c r="TI67" i="15"/>
  <c r="TJ66" i="15"/>
  <c r="RY67" i="15"/>
  <c r="RZ66" i="15"/>
  <c r="LR67" i="15"/>
  <c r="PH69" i="15"/>
  <c r="UF69" i="15"/>
  <c r="JZ67" i="15"/>
  <c r="F67" i="15"/>
  <c r="AR69" i="15"/>
  <c r="NX69" i="15"/>
  <c r="NT69" i="15"/>
  <c r="ES67" i="15"/>
  <c r="ET66" i="15"/>
  <c r="LY68" i="15"/>
  <c r="DP69" i="15"/>
  <c r="FP69" i="15"/>
  <c r="JA68" i="15"/>
  <c r="JX69" i="15"/>
  <c r="D69" i="15"/>
  <c r="GZ69" i="15"/>
  <c r="P69" i="15"/>
  <c r="UN69" i="15"/>
  <c r="KF69" i="15"/>
  <c r="AH67" i="15"/>
  <c r="AS67" i="15"/>
  <c r="AT66" i="15"/>
  <c r="KB69" i="15"/>
  <c r="SH67" i="15"/>
  <c r="RQ67" i="15"/>
  <c r="RR66" i="15"/>
  <c r="DE67" i="15"/>
  <c r="DF66" i="15"/>
  <c r="CC67" i="15"/>
  <c r="DI67" i="15"/>
  <c r="DJ66" i="15"/>
  <c r="OC67" i="15"/>
  <c r="OD66" i="15"/>
  <c r="PA67" i="15"/>
  <c r="PB66" i="15"/>
  <c r="QF69" i="15"/>
  <c r="LL69" i="15"/>
  <c r="PI68" i="15"/>
  <c r="AF69" i="15"/>
  <c r="DB67" i="15"/>
  <c r="SF69" i="15"/>
  <c r="PP69" i="15"/>
  <c r="SS67" i="15"/>
  <c r="ST66" i="15"/>
  <c r="GC67" i="15"/>
  <c r="GD66" i="15"/>
  <c r="RX69" i="15"/>
  <c r="CV69" i="15"/>
  <c r="OB69" i="15"/>
  <c r="DL69" i="15"/>
  <c r="RP69" i="15"/>
  <c r="PT69" i="15"/>
  <c r="RH69" i="15"/>
  <c r="LT69" i="15"/>
  <c r="MJ69" i="15"/>
  <c r="KZ69" i="15"/>
  <c r="CZ69" i="15"/>
  <c r="QO68" i="15"/>
  <c r="OF68" i="15"/>
  <c r="LI68" i="15"/>
  <c r="US67" i="15"/>
  <c r="UT66" i="15"/>
  <c r="DU67" i="15"/>
  <c r="DV66" i="15"/>
  <c r="HT69" i="15"/>
  <c r="AZ69" i="15"/>
  <c r="TA67" i="15"/>
  <c r="TB66" i="15"/>
  <c r="ND69" i="15"/>
  <c r="CW67" i="15"/>
  <c r="CX66" i="15"/>
  <c r="UK67" i="15"/>
  <c r="UL66" i="15"/>
  <c r="IW67" i="15"/>
  <c r="IX66" i="15"/>
  <c r="QG67" i="15"/>
  <c r="QH66" i="15"/>
  <c r="BX69" i="15"/>
  <c r="NY67" i="15"/>
  <c r="NZ66" i="15"/>
  <c r="DX69" i="15"/>
  <c r="EK68" i="15"/>
  <c r="TP69" i="15"/>
  <c r="DT69" i="15"/>
  <c r="JI67" i="15"/>
  <c r="JJ66" i="15"/>
  <c r="KR69" i="15"/>
  <c r="AW67" i="15"/>
  <c r="AX66" i="15"/>
  <c r="HU67" i="15"/>
  <c r="HV66" i="15"/>
  <c r="Q67" i="15"/>
  <c r="R66" i="15"/>
  <c r="PL68" i="15"/>
  <c r="EC67" i="15"/>
  <c r="ED66" i="15"/>
  <c r="U68" i="15"/>
  <c r="JD69" i="15"/>
  <c r="IJ69" i="15"/>
  <c r="PX69" i="15"/>
  <c r="FL69" i="15"/>
  <c r="HL69" i="15"/>
  <c r="NE67" i="15"/>
  <c r="NF66" i="15"/>
  <c r="OK68" i="15"/>
  <c r="BA68" i="15"/>
  <c r="BB68" i="15" s="1"/>
  <c r="KG67" i="15"/>
  <c r="KH66" i="15"/>
  <c r="UJ69" i="15"/>
  <c r="OG67" i="15"/>
  <c r="OH67" i="15" s="1"/>
  <c r="OW67" i="15"/>
  <c r="OX66" i="15"/>
  <c r="QB69" i="15"/>
  <c r="TT69" i="15"/>
  <c r="SC67" i="15"/>
  <c r="SD66" i="15"/>
  <c r="RL69" i="15"/>
  <c r="GV69" i="15"/>
  <c r="NP69" i="15"/>
  <c r="GJ69" i="15"/>
  <c r="BV66" i="15"/>
  <c r="TH69" i="15"/>
  <c r="SV69" i="15"/>
  <c r="SJ69" i="15"/>
  <c r="PN66" i="15"/>
  <c r="GW68" i="15"/>
  <c r="GX68" i="15" s="1"/>
  <c r="MP67" i="15"/>
  <c r="IR69" i="15"/>
  <c r="KW67" i="15"/>
  <c r="KX66" i="15"/>
  <c r="HX69" i="15"/>
  <c r="JT69" i="15"/>
  <c r="L69" i="15"/>
  <c r="IO67" i="15"/>
  <c r="IP66" i="15"/>
  <c r="DY67" i="15"/>
  <c r="DZ66" i="15"/>
  <c r="KV69" i="15"/>
  <c r="BT68" i="15"/>
  <c r="BH69" i="15"/>
  <c r="NM67" i="15"/>
  <c r="NN66" i="15"/>
  <c r="UR69" i="15"/>
  <c r="FD69" i="15"/>
  <c r="KS68" i="15"/>
  <c r="JH69" i="15"/>
  <c r="FT69" i="15"/>
  <c r="AN69" i="15"/>
  <c r="KP67" i="15"/>
  <c r="IS68" i="15"/>
  <c r="IT68" i="15" s="1"/>
  <c r="EV69" i="15"/>
  <c r="MN69" i="15"/>
  <c r="CR68" i="15"/>
  <c r="LA67" i="15"/>
  <c r="LB66" i="15"/>
  <c r="MK67" i="15"/>
  <c r="ML66" i="15"/>
  <c r="TL69" i="15"/>
  <c r="MB69" i="15"/>
  <c r="HP69" i="15"/>
  <c r="BP69" i="15"/>
  <c r="RD69" i="15"/>
  <c r="SN69" i="15"/>
  <c r="SO69" i="15" s="1"/>
  <c r="SP68" i="15"/>
  <c r="NH69" i="15"/>
  <c r="BM67" i="15"/>
  <c r="BN66" i="15"/>
  <c r="CF69" i="15"/>
  <c r="BD69" i="15"/>
  <c r="IV69" i="15"/>
  <c r="X69" i="15"/>
  <c r="OZ69" i="15"/>
  <c r="OO67" i="15"/>
  <c r="OP66" i="15"/>
  <c r="KL67" i="15"/>
  <c r="RM67" i="15"/>
  <c r="RN66" i="15"/>
  <c r="GP67" i="15"/>
  <c r="KN69" i="15"/>
  <c r="J67" i="15"/>
  <c r="H68" i="15"/>
  <c r="CS67" i="15"/>
  <c r="EP68" i="15"/>
  <c r="EN69" i="15"/>
  <c r="EO69" i="15" s="1"/>
  <c r="CN69" i="15"/>
  <c r="CG67" i="15"/>
  <c r="CH66" i="15"/>
  <c r="DM68" i="15"/>
  <c r="DN68" i="15" s="1"/>
  <c r="HA67" i="15"/>
  <c r="HB66" i="15"/>
  <c r="HH69" i="15"/>
  <c r="FX69" i="15"/>
  <c r="PD69" i="15"/>
  <c r="GG67" i="15"/>
  <c r="GH66" i="15"/>
  <c r="KC67" i="15"/>
  <c r="KD66" i="15"/>
  <c r="CJ69" i="15"/>
  <c r="QJ69" i="15"/>
  <c r="MW67" i="15"/>
  <c r="MX66" i="15"/>
  <c r="AK68" i="15"/>
  <c r="FJ68" i="15"/>
  <c r="FH69" i="15"/>
  <c r="FI69" i="15" s="1"/>
  <c r="MZ68" i="15"/>
  <c r="NB67" i="15"/>
  <c r="GR69" i="15"/>
  <c r="HQ68" i="15"/>
  <c r="GF69" i="15"/>
  <c r="TX69" i="15"/>
  <c r="CT66" i="15"/>
  <c r="KJ69" i="15"/>
  <c r="M67" i="15"/>
  <c r="N66" i="15"/>
  <c r="JQ67" i="15"/>
  <c r="JR66" i="15"/>
  <c r="GN69" i="15"/>
  <c r="JE67" i="15"/>
  <c r="JF66" i="15"/>
  <c r="BI68" i="15"/>
  <c r="BJ68" i="15" s="1"/>
  <c r="NU67" i="15"/>
  <c r="NV66" i="15"/>
  <c r="FU68" i="15"/>
  <c r="F71" i="9"/>
  <c r="G71" i="9" s="1"/>
  <c r="F71" i="8"/>
  <c r="G71" i="8" s="1"/>
  <c r="E72" i="11"/>
  <c r="F71" i="11"/>
  <c r="G71" i="10"/>
  <c r="G70" i="10"/>
  <c r="E72" i="9"/>
  <c r="E72" i="8"/>
  <c r="G70" i="8"/>
  <c r="E73" i="2"/>
  <c r="F72" i="2"/>
  <c r="CO69" i="15" l="1"/>
  <c r="EG69" i="15"/>
  <c r="SK69" i="15"/>
  <c r="JY69" i="15"/>
  <c r="JZ69" i="15" s="1"/>
  <c r="UO69" i="15"/>
  <c r="UP69" i="15" s="1"/>
  <c r="CK69" i="15"/>
  <c r="CL69" i="15" s="1"/>
  <c r="TY69" i="15"/>
  <c r="TZ69" i="15" s="1"/>
  <c r="AO69" i="15"/>
  <c r="AP69" i="15" s="1"/>
  <c r="KK69" i="15"/>
  <c r="KL69" i="15" s="1"/>
  <c r="AC69" i="15"/>
  <c r="AD69" i="15" s="1"/>
  <c r="LQ69" i="15"/>
  <c r="LR69" i="15" s="1"/>
  <c r="GS69" i="15"/>
  <c r="GT69" i="15" s="1"/>
  <c r="HE69" i="15"/>
  <c r="HF69" i="15" s="1"/>
  <c r="CC68" i="15"/>
  <c r="CD68" i="15" s="1"/>
  <c r="DA69" i="15"/>
  <c r="DB69" i="15" s="1"/>
  <c r="TU69" i="15"/>
  <c r="TV69" i="15" s="1"/>
  <c r="LM69" i="15"/>
  <c r="LN69" i="15" s="1"/>
  <c r="KS69" i="15"/>
  <c r="KT69" i="15" s="1"/>
  <c r="BQ69" i="15"/>
  <c r="BR69" i="15" s="1"/>
  <c r="SW69" i="15"/>
  <c r="SX69" i="15" s="1"/>
  <c r="AG69" i="15"/>
  <c r="AH69" i="15" s="1"/>
  <c r="EK69" i="15"/>
  <c r="EL69" i="15" s="1"/>
  <c r="MC69" i="15"/>
  <c r="MD69" i="15" s="1"/>
  <c r="JM69" i="15"/>
  <c r="JN69" i="15" s="1"/>
  <c r="U69" i="15"/>
  <c r="V69" i="15" s="1"/>
  <c r="GO69" i="15"/>
  <c r="GP69" i="15" s="1"/>
  <c r="AH68" i="15"/>
  <c r="BE69" i="15"/>
  <c r="BF69" i="15" s="1"/>
  <c r="LI69" i="15"/>
  <c r="LJ69" i="15" s="1"/>
  <c r="QO69" i="15"/>
  <c r="QP69" i="15" s="1"/>
  <c r="JA69" i="15"/>
  <c r="JB69" i="15" s="1"/>
  <c r="HQ69" i="15"/>
  <c r="HR69" i="15" s="1"/>
  <c r="QS69" i="15"/>
  <c r="QT69" i="15" s="1"/>
  <c r="OK69" i="15"/>
  <c r="OL69" i="15" s="1"/>
  <c r="PI69" i="15"/>
  <c r="BI69" i="15"/>
  <c r="BJ69" i="15" s="1"/>
  <c r="LY69" i="15"/>
  <c r="LZ69" i="15" s="1"/>
  <c r="AK69" i="15"/>
  <c r="FU69" i="15"/>
  <c r="FV69" i="15" s="1"/>
  <c r="CS68" i="15"/>
  <c r="UJ70" i="15"/>
  <c r="DX70" i="15"/>
  <c r="AZ70" i="15"/>
  <c r="RH70" i="15"/>
  <c r="SS68" i="15"/>
  <c r="ST67" i="15"/>
  <c r="AR70" i="15"/>
  <c r="EB70" i="15"/>
  <c r="UG68" i="15"/>
  <c r="UH67" i="15"/>
  <c r="LE68" i="15"/>
  <c r="LF67" i="15"/>
  <c r="DI68" i="15"/>
  <c r="DJ67" i="15"/>
  <c r="RU68" i="15"/>
  <c r="RV67" i="15"/>
  <c r="CD67" i="15"/>
  <c r="MR70" i="15"/>
  <c r="RA68" i="15"/>
  <c r="RB67" i="15"/>
  <c r="ER70" i="15"/>
  <c r="FD70" i="15"/>
  <c r="PL69" i="15"/>
  <c r="HT70" i="15"/>
  <c r="PT70" i="15"/>
  <c r="PP70" i="15"/>
  <c r="GZ70" i="15"/>
  <c r="CB69" i="15"/>
  <c r="QV70" i="15"/>
  <c r="MS68" i="15"/>
  <c r="MT67" i="15"/>
  <c r="OV70" i="15"/>
  <c r="BA69" i="15"/>
  <c r="BB69" i="15" s="1"/>
  <c r="SF70" i="15"/>
  <c r="DE68" i="15"/>
  <c r="DF67" i="15"/>
  <c r="TQ68" i="15"/>
  <c r="TR67" i="15"/>
  <c r="NL70" i="15"/>
  <c r="QK68" i="15"/>
  <c r="QL67" i="15"/>
  <c r="NQ68" i="15"/>
  <c r="NR67" i="15"/>
  <c r="PD70" i="15"/>
  <c r="LA68" i="15"/>
  <c r="LB67" i="15"/>
  <c r="DU68" i="15"/>
  <c r="DV67" i="15"/>
  <c r="D70" i="15"/>
  <c r="MV70" i="15"/>
  <c r="IF70" i="15"/>
  <c r="BY68" i="15"/>
  <c r="BZ67" i="15"/>
  <c r="PQ68" i="15"/>
  <c r="PR67" i="15"/>
  <c r="FE69" i="15"/>
  <c r="FF69" i="15" s="1"/>
  <c r="Q68" i="15"/>
  <c r="R67" i="15"/>
  <c r="BX70" i="15"/>
  <c r="RP70" i="15"/>
  <c r="RQ68" i="15"/>
  <c r="RR67" i="15"/>
  <c r="UF70" i="15"/>
  <c r="EH69" i="15"/>
  <c r="EF70" i="15"/>
  <c r="SR70" i="15"/>
  <c r="TE68" i="15"/>
  <c r="TF67" i="15"/>
  <c r="IZ70" i="15"/>
  <c r="IB70" i="15"/>
  <c r="GJ70" i="15"/>
  <c r="UR70" i="15"/>
  <c r="FX70" i="15"/>
  <c r="NH70" i="15"/>
  <c r="CT67" i="15"/>
  <c r="NM68" i="15"/>
  <c r="NN67" i="15"/>
  <c r="HX70" i="15"/>
  <c r="GV70" i="15"/>
  <c r="US68" i="15"/>
  <c r="UT67" i="15"/>
  <c r="JX70" i="15"/>
  <c r="PH70" i="15"/>
  <c r="JP70" i="15"/>
  <c r="IG69" i="15"/>
  <c r="IH69" i="15" s="1"/>
  <c r="JU68" i="15"/>
  <c r="JV67" i="15"/>
  <c r="JB68" i="15"/>
  <c r="BD70" i="15"/>
  <c r="L70" i="15"/>
  <c r="MK68" i="15"/>
  <c r="ML67" i="15"/>
  <c r="HU68" i="15"/>
  <c r="HV67" i="15"/>
  <c r="AF70" i="15"/>
  <c r="PJ68" i="15"/>
  <c r="LP70" i="15"/>
  <c r="QZ70" i="15"/>
  <c r="V68" i="15"/>
  <c r="LD70" i="15"/>
  <c r="QP68" i="15"/>
  <c r="KN70" i="15"/>
  <c r="OF69" i="15"/>
  <c r="DL70" i="15"/>
  <c r="KB70" i="15"/>
  <c r="TD70" i="15"/>
  <c r="EL68" i="15"/>
  <c r="T70" i="15"/>
  <c r="QN70" i="15"/>
  <c r="EZ70" i="15"/>
  <c r="TX70" i="15"/>
  <c r="MZ69" i="15"/>
  <c r="AW68" i="15"/>
  <c r="AX67" i="15"/>
  <c r="RI69" i="15"/>
  <c r="SZ70" i="15"/>
  <c r="EJ70" i="15"/>
  <c r="LH70" i="15"/>
  <c r="CR69" i="15"/>
  <c r="NU68" i="15"/>
  <c r="NV67" i="15"/>
  <c r="RD70" i="15"/>
  <c r="LL70" i="15"/>
  <c r="AS68" i="15"/>
  <c r="AT67" i="15"/>
  <c r="FP70" i="15"/>
  <c r="RY68" i="15"/>
  <c r="RZ67" i="15"/>
  <c r="HI68" i="15"/>
  <c r="HJ67" i="15"/>
  <c r="MF70" i="15"/>
  <c r="PM68" i="15"/>
  <c r="LU68" i="15"/>
  <c r="LV67" i="15"/>
  <c r="LJ68" i="15"/>
  <c r="EC68" i="15"/>
  <c r="ED67" i="15"/>
  <c r="BM68" i="15"/>
  <c r="BN67" i="15"/>
  <c r="QG68" i="15"/>
  <c r="QH67" i="15"/>
  <c r="IW68" i="15"/>
  <c r="IX67" i="15"/>
  <c r="FL70" i="15"/>
  <c r="KT68" i="15"/>
  <c r="UK68" i="15"/>
  <c r="UL67" i="15"/>
  <c r="CZ70" i="15"/>
  <c r="OB70" i="15"/>
  <c r="RE69" i="15"/>
  <c r="RF69" i="15" s="1"/>
  <c r="QC68" i="15"/>
  <c r="QD67" i="15"/>
  <c r="GK68" i="15"/>
  <c r="GL67" i="15"/>
  <c r="HY69" i="15"/>
  <c r="IK68" i="15"/>
  <c r="IL67" i="15"/>
  <c r="KG68" i="15"/>
  <c r="KH67" i="15"/>
  <c r="RM68" i="15"/>
  <c r="RN67" i="15"/>
  <c r="HL70" i="15"/>
  <c r="GW69" i="15"/>
  <c r="GX69" i="15" s="1"/>
  <c r="PX70" i="15"/>
  <c r="FM69" i="15"/>
  <c r="DP70" i="15"/>
  <c r="HD70" i="15"/>
  <c r="BL70" i="15"/>
  <c r="IN70" i="15"/>
  <c r="AV70" i="15"/>
  <c r="PU68" i="15"/>
  <c r="PV67" i="15"/>
  <c r="KC68" i="15"/>
  <c r="KD67" i="15"/>
  <c r="GF70" i="15"/>
  <c r="BT69" i="15"/>
  <c r="QB70" i="15"/>
  <c r="QF70" i="15"/>
  <c r="TI68" i="15"/>
  <c r="TJ67" i="15"/>
  <c r="AB70" i="15"/>
  <c r="RT70" i="15"/>
  <c r="GB70" i="15"/>
  <c r="ON70" i="15"/>
  <c r="NI68" i="15"/>
  <c r="NJ67" i="15"/>
  <c r="H69" i="15"/>
  <c r="GG68" i="15"/>
  <c r="GH67" i="15"/>
  <c r="NP70" i="15"/>
  <c r="NE68" i="15"/>
  <c r="NF67" i="15"/>
  <c r="SN70" i="15"/>
  <c r="SP69" i="15"/>
  <c r="OZ70" i="15"/>
  <c r="IC69" i="15"/>
  <c r="QR70" i="15"/>
  <c r="LX70" i="15"/>
  <c r="PY69" i="15"/>
  <c r="FQ68" i="15"/>
  <c r="FR67" i="15"/>
  <c r="TL70" i="15"/>
  <c r="JT70" i="15"/>
  <c r="MN70" i="15"/>
  <c r="OO68" i="15"/>
  <c r="OP67" i="15"/>
  <c r="KR70" i="15"/>
  <c r="KV70" i="15"/>
  <c r="JI68" i="15"/>
  <c r="JJ67" i="15"/>
  <c r="KF70" i="15"/>
  <c r="CG68" i="15"/>
  <c r="CH67" i="15"/>
  <c r="DT70" i="15"/>
  <c r="CV70" i="15"/>
  <c r="PE69" i="15"/>
  <c r="MO69" i="15"/>
  <c r="HP70" i="15"/>
  <c r="AN70" i="15"/>
  <c r="PA68" i="15"/>
  <c r="PB67" i="15"/>
  <c r="UN70" i="15"/>
  <c r="ES68" i="15"/>
  <c r="ET67" i="15"/>
  <c r="JL70" i="15"/>
  <c r="DD70" i="15"/>
  <c r="QT68" i="15"/>
  <c r="LZ68" i="15"/>
  <c r="UB70" i="15"/>
  <c r="HM69" i="15"/>
  <c r="GR70" i="15"/>
  <c r="FH70" i="15"/>
  <c r="FJ69" i="15"/>
  <c r="HA68" i="15"/>
  <c r="HB67" i="15"/>
  <c r="DM69" i="15"/>
  <c r="TT70" i="15"/>
  <c r="KZ70" i="15"/>
  <c r="FY69" i="15"/>
  <c r="FZ69" i="15" s="1"/>
  <c r="IJ70" i="15"/>
  <c r="QJ70" i="15"/>
  <c r="IV70" i="15"/>
  <c r="HR68" i="15"/>
  <c r="FV68" i="15"/>
  <c r="OW68" i="15"/>
  <c r="OX67" i="15"/>
  <c r="MG69" i="15"/>
  <c r="SG69" i="15"/>
  <c r="ND70" i="15"/>
  <c r="MJ70" i="15"/>
  <c r="RX70" i="15"/>
  <c r="DQ69" i="15"/>
  <c r="NT70" i="15"/>
  <c r="E69" i="15"/>
  <c r="F69" i="15" s="1"/>
  <c r="OJ70" i="15"/>
  <c r="OR70" i="15"/>
  <c r="OS68" i="15"/>
  <c r="OT67" i="15"/>
  <c r="CF70" i="15"/>
  <c r="NY68" i="15"/>
  <c r="NZ67" i="15"/>
  <c r="RL70" i="15"/>
  <c r="KW68" i="15"/>
  <c r="KX67" i="15"/>
  <c r="SC68" i="15"/>
  <c r="SD67" i="15"/>
  <c r="BP70" i="15"/>
  <c r="MW68" i="15"/>
  <c r="MX67" i="15"/>
  <c r="SJ70" i="15"/>
  <c r="SK70" i="15" s="1"/>
  <c r="SL69" i="15"/>
  <c r="DH70" i="15"/>
  <c r="JQ68" i="15"/>
  <c r="JR67" i="15"/>
  <c r="M68" i="15"/>
  <c r="N67" i="15"/>
  <c r="CP69" i="15"/>
  <c r="CN70" i="15"/>
  <c r="MB70" i="15"/>
  <c r="FT70" i="15"/>
  <c r="IO68" i="15"/>
  <c r="IP67" i="15"/>
  <c r="SV70" i="15"/>
  <c r="OG68" i="15"/>
  <c r="OH68" i="15" s="1"/>
  <c r="JD70" i="15"/>
  <c r="LT70" i="15"/>
  <c r="OC68" i="15"/>
  <c r="OD67" i="15"/>
  <c r="AL68" i="15"/>
  <c r="EW68" i="15"/>
  <c r="EX67" i="15"/>
  <c r="OL68" i="15"/>
  <c r="UC68" i="15"/>
  <c r="UD67" i="15"/>
  <c r="TM68" i="15"/>
  <c r="TN67" i="15"/>
  <c r="NA68" i="15"/>
  <c r="NX70" i="15"/>
  <c r="HH70" i="15"/>
  <c r="BH70" i="15"/>
  <c r="IR70" i="15"/>
  <c r="JE68" i="15"/>
  <c r="JF67" i="15"/>
  <c r="EV70" i="15"/>
  <c r="IS69" i="15"/>
  <c r="GN70" i="15"/>
  <c r="X70" i="15"/>
  <c r="CW68" i="15"/>
  <c r="CX67" i="15"/>
  <c r="DY68" i="15"/>
  <c r="DZ67" i="15"/>
  <c r="BU68" i="15"/>
  <c r="BV68" i="15" s="1"/>
  <c r="KJ70" i="15"/>
  <c r="CJ70" i="15"/>
  <c r="EN70" i="15"/>
  <c r="EP69" i="15"/>
  <c r="JH70" i="15"/>
  <c r="KO69" i="15"/>
  <c r="TH70" i="15"/>
  <c r="TP70" i="15"/>
  <c r="TA68" i="15"/>
  <c r="TB67" i="15"/>
  <c r="GC68" i="15"/>
  <c r="GD67" i="15"/>
  <c r="P70" i="15"/>
  <c r="AJ70" i="15"/>
  <c r="QW69" i="15"/>
  <c r="QX69" i="15" s="1"/>
  <c r="FA68" i="15"/>
  <c r="FB67" i="15"/>
  <c r="Y68" i="15"/>
  <c r="Z67" i="15"/>
  <c r="SB70" i="15"/>
  <c r="I68" i="15"/>
  <c r="F72" i="11"/>
  <c r="G72" i="11" s="1"/>
  <c r="F73" i="2"/>
  <c r="G73" i="2" s="1"/>
  <c r="G71" i="11"/>
  <c r="E73" i="11"/>
  <c r="E73" i="9"/>
  <c r="F72" i="9"/>
  <c r="E73" i="8"/>
  <c r="F72" i="8"/>
  <c r="G72" i="2"/>
  <c r="E74" i="2"/>
  <c r="CK70" i="15" l="1"/>
  <c r="UO70" i="15"/>
  <c r="UP70" i="15" s="1"/>
  <c r="JY70" i="15"/>
  <c r="JZ70" i="15" s="1"/>
  <c r="AO70" i="15"/>
  <c r="AP70" i="15" s="1"/>
  <c r="KK70" i="15"/>
  <c r="KL70" i="15" s="1"/>
  <c r="LQ70" i="15"/>
  <c r="LR70" i="15" s="1"/>
  <c r="BQ70" i="15"/>
  <c r="BR70" i="15" s="1"/>
  <c r="CC69" i="15"/>
  <c r="CD69" i="15" s="1"/>
  <c r="SW70" i="15"/>
  <c r="SX70" i="15" s="1"/>
  <c r="EK70" i="15"/>
  <c r="EL70" i="15" s="1"/>
  <c r="MC70" i="15"/>
  <c r="MD70" i="15" s="1"/>
  <c r="HE70" i="15"/>
  <c r="HF70" i="15" s="1"/>
  <c r="AG70" i="15"/>
  <c r="AH70" i="15" s="1"/>
  <c r="DM70" i="15"/>
  <c r="DN70" i="15" s="1"/>
  <c r="U70" i="15"/>
  <c r="V70" i="15" s="1"/>
  <c r="TU70" i="15"/>
  <c r="TV70" i="15" s="1"/>
  <c r="QO70" i="15"/>
  <c r="QP70" i="15" s="1"/>
  <c r="SG70" i="15"/>
  <c r="SH70" i="15" s="1"/>
  <c r="LI70" i="15"/>
  <c r="LJ70" i="15" s="1"/>
  <c r="CS69" i="15"/>
  <c r="CT69" i="15" s="1"/>
  <c r="BI70" i="15"/>
  <c r="BJ70" i="15" s="1"/>
  <c r="AK70" i="15"/>
  <c r="AL70" i="15" s="1"/>
  <c r="IS70" i="15"/>
  <c r="IT70" i="15" s="1"/>
  <c r="DQ70" i="15"/>
  <c r="DR70" i="15" s="1"/>
  <c r="PY70" i="15"/>
  <c r="PZ70" i="15" s="1"/>
  <c r="AL69" i="15"/>
  <c r="JA70" i="15"/>
  <c r="JB70" i="15" s="1"/>
  <c r="PI70" i="15"/>
  <c r="PJ70" i="15" s="1"/>
  <c r="OK70" i="15"/>
  <c r="OL70" i="15" s="1"/>
  <c r="PM69" i="15"/>
  <c r="PN69" i="15" s="1"/>
  <c r="PJ69" i="15"/>
  <c r="FM70" i="15"/>
  <c r="FN70" i="15" s="1"/>
  <c r="QS70" i="15"/>
  <c r="QT70" i="15" s="1"/>
  <c r="HM70" i="15"/>
  <c r="HN70" i="15" s="1"/>
  <c r="IC70" i="15"/>
  <c r="ID70" i="15" s="1"/>
  <c r="HY70" i="15"/>
  <c r="HZ70" i="15" s="1"/>
  <c r="I69" i="15"/>
  <c r="J69" i="15" s="1"/>
  <c r="NA69" i="15"/>
  <c r="NB69" i="15" s="1"/>
  <c r="CT68" i="15"/>
  <c r="RI70" i="15"/>
  <c r="RJ70" i="15" s="1"/>
  <c r="MO70" i="15"/>
  <c r="MP70" i="15" s="1"/>
  <c r="PE70" i="15"/>
  <c r="PF70" i="15" s="1"/>
  <c r="KO70" i="15"/>
  <c r="KP70" i="15" s="1"/>
  <c r="MG70" i="15"/>
  <c r="MH70" i="15" s="1"/>
  <c r="FN69" i="15"/>
  <c r="ON71" i="15"/>
  <c r="RM69" i="15"/>
  <c r="RN68" i="15"/>
  <c r="FP71" i="15"/>
  <c r="US69" i="15"/>
  <c r="UT68" i="15"/>
  <c r="NQ69" i="15"/>
  <c r="NR68" i="15"/>
  <c r="QV71" i="15"/>
  <c r="RA69" i="15"/>
  <c r="RB68" i="15"/>
  <c r="FT71" i="15"/>
  <c r="IW69" i="15"/>
  <c r="IX68" i="15"/>
  <c r="DL71" i="15"/>
  <c r="HU69" i="15"/>
  <c r="HV68" i="15"/>
  <c r="TE69" i="15"/>
  <c r="TF68" i="15"/>
  <c r="PQ69" i="15"/>
  <c r="PR68" i="15"/>
  <c r="KZ71" i="15"/>
  <c r="JI69" i="15"/>
  <c r="JJ68" i="15"/>
  <c r="QR71" i="15"/>
  <c r="GB71" i="15"/>
  <c r="PU69" i="15"/>
  <c r="PV68" i="15"/>
  <c r="KG69" i="15"/>
  <c r="KH68" i="15"/>
  <c r="DN69" i="15"/>
  <c r="GV71" i="15"/>
  <c r="SR71" i="15"/>
  <c r="MR71" i="15"/>
  <c r="SS69" i="15"/>
  <c r="ST68" i="15"/>
  <c r="TM69" i="15"/>
  <c r="TN68" i="15"/>
  <c r="UN71" i="15"/>
  <c r="AV71" i="15"/>
  <c r="QG69" i="15"/>
  <c r="QH68" i="15"/>
  <c r="AS69" i="15"/>
  <c r="AT68" i="15"/>
  <c r="AW69" i="15"/>
  <c r="AX68" i="15"/>
  <c r="OF70" i="15"/>
  <c r="MK69" i="15"/>
  <c r="ML68" i="15"/>
  <c r="HZ69" i="15"/>
  <c r="BY69" i="15"/>
  <c r="BZ68" i="15"/>
  <c r="QK69" i="15"/>
  <c r="QL68" i="15"/>
  <c r="CB70" i="15"/>
  <c r="RH71" i="15"/>
  <c r="KC69" i="15"/>
  <c r="KD68" i="15"/>
  <c r="KV71" i="15"/>
  <c r="RT71" i="15"/>
  <c r="IK69" i="15"/>
  <c r="IL68" i="15"/>
  <c r="LL71" i="15"/>
  <c r="MZ70" i="15"/>
  <c r="HX71" i="15"/>
  <c r="EF71" i="15"/>
  <c r="IF71" i="15"/>
  <c r="RJ69" i="15"/>
  <c r="RL71" i="15"/>
  <c r="ND71" i="15"/>
  <c r="HA69" i="15"/>
  <c r="HB68" i="15"/>
  <c r="BM69" i="15"/>
  <c r="BN68" i="15"/>
  <c r="NB68" i="15"/>
  <c r="KN71" i="15"/>
  <c r="L71" i="15"/>
  <c r="NL71" i="15"/>
  <c r="GZ71" i="15"/>
  <c r="AZ71" i="15"/>
  <c r="PA69" i="15"/>
  <c r="PB68" i="15"/>
  <c r="KR71" i="15"/>
  <c r="OZ71" i="15"/>
  <c r="AB71" i="15"/>
  <c r="IN71" i="15"/>
  <c r="KP69" i="15"/>
  <c r="BD71" i="15"/>
  <c r="NM69" i="15"/>
  <c r="NN68" i="15"/>
  <c r="MV71" i="15"/>
  <c r="RU69" i="15"/>
  <c r="RV68" i="15"/>
  <c r="RX71" i="15"/>
  <c r="TT71" i="15"/>
  <c r="BL71" i="15"/>
  <c r="GK69" i="15"/>
  <c r="GL68" i="15"/>
  <c r="EC69" i="15"/>
  <c r="ED68" i="15"/>
  <c r="RD71" i="15"/>
  <c r="TX71" i="15"/>
  <c r="UF71" i="15"/>
  <c r="TQ69" i="15"/>
  <c r="TR68" i="15"/>
  <c r="PP71" i="15"/>
  <c r="DX71" i="15"/>
  <c r="JL71" i="15"/>
  <c r="LX71" i="15"/>
  <c r="X71" i="15"/>
  <c r="EV71" i="15"/>
  <c r="SN71" i="15"/>
  <c r="TI69" i="15"/>
  <c r="TJ68" i="15"/>
  <c r="AC70" i="15"/>
  <c r="AD70" i="15" s="1"/>
  <c r="EZ71" i="15"/>
  <c r="LD71" i="15"/>
  <c r="D71" i="15"/>
  <c r="PT71" i="15"/>
  <c r="GC69" i="15"/>
  <c r="GD68" i="15"/>
  <c r="UC69" i="15"/>
  <c r="UD68" i="15"/>
  <c r="FH71" i="15"/>
  <c r="OO69" i="15"/>
  <c r="OP68" i="15"/>
  <c r="HD71" i="15"/>
  <c r="QC69" i="15"/>
  <c r="QD68" i="15"/>
  <c r="NH71" i="15"/>
  <c r="RQ69" i="15"/>
  <c r="RR68" i="15"/>
  <c r="DI69" i="15"/>
  <c r="DJ68" i="15"/>
  <c r="RY69" i="15"/>
  <c r="RZ68" i="15"/>
  <c r="KF71" i="15"/>
  <c r="EW69" i="15"/>
  <c r="EX68" i="15"/>
  <c r="SB71" i="15"/>
  <c r="JQ69" i="15"/>
  <c r="JR68" i="15"/>
  <c r="HP71" i="15"/>
  <c r="MP69" i="15"/>
  <c r="NE69" i="15"/>
  <c r="NF68" i="15"/>
  <c r="QF71" i="15"/>
  <c r="RE70" i="15"/>
  <c r="NU69" i="15"/>
  <c r="NV68" i="15"/>
  <c r="JU69" i="15"/>
  <c r="JV68" i="15"/>
  <c r="FX71" i="15"/>
  <c r="RP71" i="15"/>
  <c r="DE69" i="15"/>
  <c r="DF68" i="15"/>
  <c r="UJ71" i="15"/>
  <c r="KB71" i="15"/>
  <c r="TP71" i="15"/>
  <c r="MN71" i="15"/>
  <c r="QB71" i="15"/>
  <c r="DR69" i="15"/>
  <c r="OB71" i="15"/>
  <c r="QN71" i="15"/>
  <c r="SH69" i="15"/>
  <c r="HT71" i="15"/>
  <c r="LE69" i="15"/>
  <c r="LF68" i="15"/>
  <c r="TY70" i="15"/>
  <c r="SC69" i="15"/>
  <c r="SD68" i="15"/>
  <c r="CW69" i="15"/>
  <c r="CX68" i="15"/>
  <c r="TA69" i="15"/>
  <c r="TB68" i="15"/>
  <c r="FU70" i="15"/>
  <c r="NP71" i="15"/>
  <c r="DP71" i="15"/>
  <c r="LU69" i="15"/>
  <c r="LV68" i="15"/>
  <c r="CR70" i="15"/>
  <c r="IG70" i="15"/>
  <c r="BX71" i="15"/>
  <c r="DU69" i="15"/>
  <c r="DV68" i="15"/>
  <c r="SF71" i="15"/>
  <c r="PN68" i="15"/>
  <c r="SZ71" i="15"/>
  <c r="KW69" i="15"/>
  <c r="KX68" i="15"/>
  <c r="GR71" i="15"/>
  <c r="JE69" i="15"/>
  <c r="JF68" i="15"/>
  <c r="CZ71" i="15"/>
  <c r="JM70" i="15"/>
  <c r="JN70" i="15" s="1"/>
  <c r="T71" i="15"/>
  <c r="QZ71" i="15"/>
  <c r="JP71" i="15"/>
  <c r="UR71" i="15"/>
  <c r="PL70" i="15"/>
  <c r="UG69" i="15"/>
  <c r="UH68" i="15"/>
  <c r="BE70" i="15"/>
  <c r="NX71" i="15"/>
  <c r="ES69" i="15"/>
  <c r="ET68" i="15"/>
  <c r="CN71" i="15"/>
  <c r="NY69" i="15"/>
  <c r="NZ68" i="15"/>
  <c r="CF71" i="15"/>
  <c r="JD71" i="15"/>
  <c r="BT70" i="15"/>
  <c r="LH71" i="15"/>
  <c r="LP71" i="15"/>
  <c r="GJ71" i="15"/>
  <c r="DA70" i="15"/>
  <c r="DB70" i="15" s="1"/>
  <c r="BA70" i="15"/>
  <c r="BB70" i="15" s="1"/>
  <c r="FD71" i="15"/>
  <c r="LM70" i="15"/>
  <c r="LN70" i="15" s="1"/>
  <c r="SO70" i="15"/>
  <c r="DH71" i="15"/>
  <c r="LT71" i="15"/>
  <c r="CJ71" i="15"/>
  <c r="CL70" i="15"/>
  <c r="MH69" i="15"/>
  <c r="Q69" i="15"/>
  <c r="R68" i="15"/>
  <c r="KS70" i="15"/>
  <c r="EB71" i="15"/>
  <c r="CO70" i="15"/>
  <c r="CP70" i="15" s="1"/>
  <c r="P71" i="15"/>
  <c r="MB71" i="15"/>
  <c r="OW69" i="15"/>
  <c r="OX68" i="15"/>
  <c r="EN71" i="15"/>
  <c r="OR71" i="15"/>
  <c r="JT71" i="15"/>
  <c r="SL70" i="15"/>
  <c r="SJ71" i="15"/>
  <c r="UB71" i="15"/>
  <c r="PX71" i="15"/>
  <c r="FA69" i="15"/>
  <c r="FB68" i="15"/>
  <c r="QW70" i="15"/>
  <c r="OG69" i="15"/>
  <c r="OH69" i="15" s="1"/>
  <c r="MW69" i="15"/>
  <c r="MX68" i="15"/>
  <c r="E70" i="15"/>
  <c r="IJ71" i="15"/>
  <c r="TL71" i="15"/>
  <c r="H70" i="15"/>
  <c r="GF71" i="15"/>
  <c r="GW70" i="15"/>
  <c r="UK69" i="15"/>
  <c r="UL68" i="15"/>
  <c r="TD71" i="15"/>
  <c r="PH71" i="15"/>
  <c r="IB71" i="15"/>
  <c r="FE70" i="15"/>
  <c r="LA69" i="15"/>
  <c r="LB68" i="15"/>
  <c r="OV71" i="15"/>
  <c r="FI70" i="15"/>
  <c r="MS69" i="15"/>
  <c r="MT68" i="15"/>
  <c r="IO69" i="15"/>
  <c r="IP68" i="15"/>
  <c r="MJ71" i="15"/>
  <c r="AN71" i="15"/>
  <c r="M69" i="15"/>
  <c r="N68" i="15"/>
  <c r="OS69" i="15"/>
  <c r="OT68" i="15"/>
  <c r="IT69" i="15"/>
  <c r="IR71" i="15"/>
  <c r="QJ71" i="15"/>
  <c r="GG69" i="15"/>
  <c r="GH68" i="15"/>
  <c r="BH71" i="15"/>
  <c r="OJ71" i="15"/>
  <c r="J68" i="15"/>
  <c r="SV71" i="15"/>
  <c r="LY70" i="15"/>
  <c r="NT71" i="15"/>
  <c r="DD71" i="15"/>
  <c r="HL71" i="15"/>
  <c r="HI69" i="15"/>
  <c r="HJ68" i="15"/>
  <c r="EJ71" i="15"/>
  <c r="JX71" i="15"/>
  <c r="ID69" i="15"/>
  <c r="HQ70" i="15"/>
  <c r="PF69" i="15"/>
  <c r="ER71" i="15"/>
  <c r="EO70" i="15"/>
  <c r="DY69" i="15"/>
  <c r="DZ68" i="15"/>
  <c r="GN71" i="15"/>
  <c r="TH71" i="15"/>
  <c r="JH71" i="15"/>
  <c r="OC69" i="15"/>
  <c r="OD68" i="15"/>
  <c r="IV71" i="15"/>
  <c r="Y69" i="15"/>
  <c r="Z68" i="15"/>
  <c r="CV71" i="15"/>
  <c r="MF71" i="15"/>
  <c r="DT71" i="15"/>
  <c r="PZ69" i="15"/>
  <c r="KJ71" i="15"/>
  <c r="HH71" i="15"/>
  <c r="AJ71" i="15"/>
  <c r="BU69" i="15"/>
  <c r="BV69" i="15" s="1"/>
  <c r="GO70" i="15"/>
  <c r="BP71" i="15"/>
  <c r="FY70" i="15"/>
  <c r="FZ70" i="15" s="1"/>
  <c r="CG69" i="15"/>
  <c r="CH68" i="15"/>
  <c r="FQ69" i="15"/>
  <c r="FR68" i="15"/>
  <c r="NI69" i="15"/>
  <c r="NJ68" i="15"/>
  <c r="HN69" i="15"/>
  <c r="FL71" i="15"/>
  <c r="AF71" i="15"/>
  <c r="IZ71" i="15"/>
  <c r="EG70" i="15"/>
  <c r="PD71" i="15"/>
  <c r="AR71" i="15"/>
  <c r="GS70" i="15"/>
  <c r="GT70" i="15" s="1"/>
  <c r="F73" i="8"/>
  <c r="G73" i="8" s="1"/>
  <c r="F73" i="9"/>
  <c r="G73" i="9" s="1"/>
  <c r="E74" i="11"/>
  <c r="F73" i="11"/>
  <c r="G72" i="10"/>
  <c r="G73" i="10"/>
  <c r="G72" i="9"/>
  <c r="E74" i="9"/>
  <c r="G72" i="8"/>
  <c r="E74" i="8"/>
  <c r="E75" i="2"/>
  <c r="F74" i="2"/>
  <c r="AG71" i="15" l="1"/>
  <c r="BQ71" i="15"/>
  <c r="LQ71" i="15"/>
  <c r="KK71" i="15"/>
  <c r="JY71" i="15"/>
  <c r="JZ71" i="15" s="1"/>
  <c r="U71" i="15"/>
  <c r="V71" i="15" s="1"/>
  <c r="EK71" i="15"/>
  <c r="EL71" i="15" s="1"/>
  <c r="MC71" i="15"/>
  <c r="MD71" i="15" s="1"/>
  <c r="CC70" i="15"/>
  <c r="CD70" i="15" s="1"/>
  <c r="LI71" i="15"/>
  <c r="LJ71" i="15" s="1"/>
  <c r="HE71" i="15"/>
  <c r="HF71" i="15" s="1"/>
  <c r="SG71" i="15"/>
  <c r="SH71" i="15" s="1"/>
  <c r="IG71" i="15"/>
  <c r="IH71" i="15" s="1"/>
  <c r="PY71" i="15"/>
  <c r="PZ71" i="15" s="1"/>
  <c r="CS70" i="15"/>
  <c r="CT70" i="15" s="1"/>
  <c r="IS71" i="15"/>
  <c r="IT71" i="15" s="1"/>
  <c r="AK71" i="15"/>
  <c r="AL71" i="15" s="1"/>
  <c r="PI71" i="15"/>
  <c r="PJ71" i="15" s="1"/>
  <c r="TY71" i="15"/>
  <c r="TZ71" i="15" s="1"/>
  <c r="HQ71" i="15"/>
  <c r="HR71" i="15" s="1"/>
  <c r="JA71" i="15"/>
  <c r="JB71" i="15" s="1"/>
  <c r="QW71" i="15"/>
  <c r="QX71" i="15" s="1"/>
  <c r="OK71" i="15"/>
  <c r="OL71" i="15" s="1"/>
  <c r="IC71" i="15"/>
  <c r="ID71" i="15" s="1"/>
  <c r="HM71" i="15"/>
  <c r="HN71" i="15" s="1"/>
  <c r="EG71" i="15"/>
  <c r="EH71" i="15" s="1"/>
  <c r="RI71" i="15"/>
  <c r="RJ71" i="15" s="1"/>
  <c r="QS71" i="15"/>
  <c r="QT71" i="15" s="1"/>
  <c r="FU71" i="15"/>
  <c r="FV71" i="15" s="1"/>
  <c r="EO71" i="15"/>
  <c r="EP71" i="15" s="1"/>
  <c r="KO71" i="15"/>
  <c r="KP71" i="15" s="1"/>
  <c r="FE71" i="15"/>
  <c r="FF71" i="15" s="1"/>
  <c r="GO71" i="15"/>
  <c r="GP71" i="15" s="1"/>
  <c r="HY71" i="15"/>
  <c r="HZ71" i="15" s="1"/>
  <c r="I70" i="15"/>
  <c r="J70" i="15" s="1"/>
  <c r="PE71" i="15"/>
  <c r="PF71" i="15" s="1"/>
  <c r="NA70" i="15"/>
  <c r="NB70" i="15" s="1"/>
  <c r="FI71" i="15"/>
  <c r="FJ71" i="15" s="1"/>
  <c r="RE71" i="15"/>
  <c r="RF71" i="15" s="1"/>
  <c r="KS71" i="15"/>
  <c r="KT71" i="15" s="1"/>
  <c r="LY71" i="15"/>
  <c r="LZ71" i="15" s="1"/>
  <c r="E71" i="15"/>
  <c r="F71" i="15" s="1"/>
  <c r="SO71" i="15"/>
  <c r="BE71" i="15"/>
  <c r="BF71" i="15" s="1"/>
  <c r="GW71" i="15"/>
  <c r="GX71" i="15" s="1"/>
  <c r="FY71" i="15"/>
  <c r="FZ71" i="15" s="1"/>
  <c r="AN72" i="15"/>
  <c r="OB72" i="15"/>
  <c r="JU70" i="15"/>
  <c r="JV69" i="15"/>
  <c r="KF72" i="15"/>
  <c r="LZ70" i="15"/>
  <c r="BL72" i="15"/>
  <c r="BM70" i="15"/>
  <c r="BN69" i="15"/>
  <c r="MK70" i="15"/>
  <c r="ML69" i="15"/>
  <c r="LL72" i="15"/>
  <c r="DY70" i="15"/>
  <c r="DZ69" i="15"/>
  <c r="NP72" i="15"/>
  <c r="SV72" i="15"/>
  <c r="QB72" i="15"/>
  <c r="GC70" i="15"/>
  <c r="GD69" i="15"/>
  <c r="LX72" i="15"/>
  <c r="IK70" i="15"/>
  <c r="IL69" i="15"/>
  <c r="SR72" i="15"/>
  <c r="TE70" i="15"/>
  <c r="TF69" i="15"/>
  <c r="FP72" i="15"/>
  <c r="UG70" i="15"/>
  <c r="UH69" i="15"/>
  <c r="NU70" i="15"/>
  <c r="NV69" i="15"/>
  <c r="RY70" i="15"/>
  <c r="RZ69" i="15"/>
  <c r="JL72" i="15"/>
  <c r="OZ72" i="15"/>
  <c r="OF71" i="15"/>
  <c r="GV72" i="15"/>
  <c r="GR72" i="15"/>
  <c r="AB72" i="15"/>
  <c r="MJ72" i="15"/>
  <c r="IO70" i="15"/>
  <c r="IP69" i="15"/>
  <c r="SZ72" i="15"/>
  <c r="MN72" i="15"/>
  <c r="PT72" i="15"/>
  <c r="TT72" i="15"/>
  <c r="KR72" i="15"/>
  <c r="RT72" i="15"/>
  <c r="GX70" i="15"/>
  <c r="HU70" i="15"/>
  <c r="HV69" i="15"/>
  <c r="X72" i="15"/>
  <c r="UC70" i="15"/>
  <c r="UD69" i="15"/>
  <c r="SJ72" i="15"/>
  <c r="OR72" i="15"/>
  <c r="BT71" i="15"/>
  <c r="UR72" i="15"/>
  <c r="TA70" i="15"/>
  <c r="TB69" i="15"/>
  <c r="QF72" i="15"/>
  <c r="DI70" i="15"/>
  <c r="DJ69" i="15"/>
  <c r="DX72" i="15"/>
  <c r="KT70" i="15"/>
  <c r="HA70" i="15"/>
  <c r="HB69" i="15"/>
  <c r="AW70" i="15"/>
  <c r="AX69" i="15"/>
  <c r="RM70" i="15"/>
  <c r="RN69" i="15"/>
  <c r="KW70" i="15"/>
  <c r="KX69" i="15"/>
  <c r="MO71" i="15"/>
  <c r="MP71" i="15" s="1"/>
  <c r="D72" i="15"/>
  <c r="RX72" i="15"/>
  <c r="KV72" i="15"/>
  <c r="DL72" i="15"/>
  <c r="EB72" i="15"/>
  <c r="EN72" i="15"/>
  <c r="JD72" i="15"/>
  <c r="JP72" i="15"/>
  <c r="SF72" i="15"/>
  <c r="CW70" i="15"/>
  <c r="CX69" i="15"/>
  <c r="RQ70" i="15"/>
  <c r="RR69" i="15"/>
  <c r="F70" i="15"/>
  <c r="PP72" i="15"/>
  <c r="PA70" i="15"/>
  <c r="PB69" i="15"/>
  <c r="ND72" i="15"/>
  <c r="AS70" i="15"/>
  <c r="AT69" i="15"/>
  <c r="KG70" i="15"/>
  <c r="KH69" i="15"/>
  <c r="ON72" i="15"/>
  <c r="US70" i="15"/>
  <c r="UT69" i="15"/>
  <c r="CJ72" i="15"/>
  <c r="EP70" i="15"/>
  <c r="NE70" i="15"/>
  <c r="NF69" i="15"/>
  <c r="NH72" i="15"/>
  <c r="RL72" i="15"/>
  <c r="FL72" i="15"/>
  <c r="GJ72" i="15"/>
  <c r="CV72" i="15"/>
  <c r="TL72" i="15"/>
  <c r="QZ72" i="15"/>
  <c r="SC70" i="15"/>
  <c r="SD69" i="15"/>
  <c r="TP72" i="15"/>
  <c r="LD72" i="15"/>
  <c r="RU70" i="15"/>
  <c r="RV69" i="15"/>
  <c r="AZ72" i="15"/>
  <c r="KC70" i="15"/>
  <c r="KD69" i="15"/>
  <c r="QG70" i="15"/>
  <c r="QH69" i="15"/>
  <c r="PU70" i="15"/>
  <c r="PV69" i="15"/>
  <c r="IW70" i="15"/>
  <c r="IX69" i="15"/>
  <c r="PQ70" i="15"/>
  <c r="PR69" i="15"/>
  <c r="ER72" i="15"/>
  <c r="MS70" i="15"/>
  <c r="MT69" i="15"/>
  <c r="IJ72" i="15"/>
  <c r="DU70" i="15"/>
  <c r="DV69" i="15"/>
  <c r="KB72" i="15"/>
  <c r="HP72" i="15"/>
  <c r="CK71" i="15"/>
  <c r="EZ72" i="15"/>
  <c r="TQ70" i="15"/>
  <c r="TR69" i="15"/>
  <c r="RH72" i="15"/>
  <c r="AV72" i="15"/>
  <c r="GB72" i="15"/>
  <c r="FT72" i="15"/>
  <c r="TU71" i="15"/>
  <c r="Q70" i="15"/>
  <c r="R69" i="15"/>
  <c r="GS71" i="15"/>
  <c r="AR72" i="15"/>
  <c r="OV72" i="15"/>
  <c r="OW70" i="15"/>
  <c r="OX69" i="15"/>
  <c r="BX72" i="15"/>
  <c r="HR70" i="15"/>
  <c r="UF72" i="15"/>
  <c r="MV72" i="15"/>
  <c r="IH70" i="15"/>
  <c r="FV70" i="15"/>
  <c r="JH72" i="15"/>
  <c r="UJ72" i="15"/>
  <c r="SW71" i="15"/>
  <c r="QC70" i="15"/>
  <c r="QD69" i="15"/>
  <c r="AC71" i="15"/>
  <c r="AD71" i="15" s="1"/>
  <c r="GZ72" i="15"/>
  <c r="IF72" i="15"/>
  <c r="SK71" i="15"/>
  <c r="SL71" i="15" s="1"/>
  <c r="MF72" i="15"/>
  <c r="PL71" i="15"/>
  <c r="CG70" i="15"/>
  <c r="CH69" i="15"/>
  <c r="JX72" i="15"/>
  <c r="BU70" i="15"/>
  <c r="TX72" i="15"/>
  <c r="NM70" i="15"/>
  <c r="NN69" i="15"/>
  <c r="NL72" i="15"/>
  <c r="EH70" i="15"/>
  <c r="UN72" i="15"/>
  <c r="QR72" i="15"/>
  <c r="AO71" i="15"/>
  <c r="NI70" i="15"/>
  <c r="NJ69" i="15"/>
  <c r="FQ70" i="15"/>
  <c r="FR69" i="15"/>
  <c r="DH72" i="15"/>
  <c r="PD72" i="15"/>
  <c r="T72" i="15"/>
  <c r="HD72" i="15"/>
  <c r="EF72" i="15"/>
  <c r="CB71" i="15"/>
  <c r="RA70" i="15"/>
  <c r="RB69" i="15"/>
  <c r="UB72" i="15"/>
  <c r="OJ72" i="15"/>
  <c r="LT72" i="15"/>
  <c r="IV72" i="15"/>
  <c r="QJ72" i="15"/>
  <c r="JM71" i="15"/>
  <c r="JN71" i="15" s="1"/>
  <c r="LE70" i="15"/>
  <c r="LF69" i="15"/>
  <c r="LM71" i="15"/>
  <c r="JQ70" i="15"/>
  <c r="JR69" i="15"/>
  <c r="TI70" i="15"/>
  <c r="TJ69" i="15"/>
  <c r="PH72" i="15"/>
  <c r="P72" i="15"/>
  <c r="FD72" i="15"/>
  <c r="HT72" i="15"/>
  <c r="DE70" i="15"/>
  <c r="DF69" i="15"/>
  <c r="SN72" i="15"/>
  <c r="RD72" i="15"/>
  <c r="BF70" i="15"/>
  <c r="L72" i="15"/>
  <c r="TM70" i="15"/>
  <c r="TN69" i="15"/>
  <c r="JI70" i="15"/>
  <c r="JJ69" i="15"/>
  <c r="QV72" i="15"/>
  <c r="UO71" i="15"/>
  <c r="MR72" i="15"/>
  <c r="UK70" i="15"/>
  <c r="UL69" i="15"/>
  <c r="JT72" i="15"/>
  <c r="LA70" i="15"/>
  <c r="LB69" i="15"/>
  <c r="MW70" i="15"/>
  <c r="MX69" i="15"/>
  <c r="HI70" i="15"/>
  <c r="HJ69" i="15"/>
  <c r="HL72" i="15"/>
  <c r="CZ72" i="15"/>
  <c r="BD72" i="15"/>
  <c r="AF72" i="15"/>
  <c r="AG72" i="15" s="1"/>
  <c r="AH71" i="15"/>
  <c r="KJ72" i="15"/>
  <c r="KL71" i="15"/>
  <c r="GN72" i="15"/>
  <c r="OS70" i="15"/>
  <c r="OT69" i="15"/>
  <c r="FA70" i="15"/>
  <c r="FB69" i="15"/>
  <c r="FF70" i="15"/>
  <c r="ES70" i="15"/>
  <c r="ET69" i="15"/>
  <c r="FM71" i="15"/>
  <c r="RP72" i="15"/>
  <c r="SB72" i="15"/>
  <c r="OO70" i="15"/>
  <c r="OP69" i="15"/>
  <c r="SP70" i="15"/>
  <c r="RF70" i="15"/>
  <c r="HX72" i="15"/>
  <c r="QK70" i="15"/>
  <c r="QL69" i="15"/>
  <c r="KZ72" i="15"/>
  <c r="QX70" i="15"/>
  <c r="DT72" i="15"/>
  <c r="GF72" i="15"/>
  <c r="H71" i="15"/>
  <c r="CF72" i="15"/>
  <c r="EJ72" i="15"/>
  <c r="AJ72" i="15"/>
  <c r="MG71" i="15"/>
  <c r="TH72" i="15"/>
  <c r="IB72" i="15"/>
  <c r="MB72" i="15"/>
  <c r="CR71" i="15"/>
  <c r="TZ70" i="15"/>
  <c r="GP70" i="15"/>
  <c r="DD72" i="15"/>
  <c r="TD72" i="15"/>
  <c r="CO71" i="15"/>
  <c r="BA71" i="15"/>
  <c r="LU70" i="15"/>
  <c r="LV69" i="15"/>
  <c r="QN72" i="15"/>
  <c r="FH72" i="15"/>
  <c r="EV72" i="15"/>
  <c r="QO71" i="15"/>
  <c r="KN72" i="15"/>
  <c r="MZ71" i="15"/>
  <c r="GK70" i="15"/>
  <c r="GL69" i="15"/>
  <c r="LP72" i="15"/>
  <c r="LR71" i="15"/>
  <c r="LH72" i="15"/>
  <c r="Y70" i="15"/>
  <c r="Z69" i="15"/>
  <c r="BH72" i="15"/>
  <c r="BP72" i="15"/>
  <c r="BQ72" i="15" s="1"/>
  <c r="BR71" i="15"/>
  <c r="GG70" i="15"/>
  <c r="GH69" i="15"/>
  <c r="OC70" i="15"/>
  <c r="OD69" i="15"/>
  <c r="IR72" i="15"/>
  <c r="NY70" i="15"/>
  <c r="NZ69" i="15"/>
  <c r="OG70" i="15"/>
  <c r="PM70" i="15"/>
  <c r="CN72" i="15"/>
  <c r="IZ72" i="15"/>
  <c r="HH72" i="15"/>
  <c r="DM71" i="15"/>
  <c r="DN71" i="15" s="1"/>
  <c r="NT72" i="15"/>
  <c r="M70" i="15"/>
  <c r="N69" i="15"/>
  <c r="PX72" i="15"/>
  <c r="DA71" i="15"/>
  <c r="DB71" i="15" s="1"/>
  <c r="NX72" i="15"/>
  <c r="JE70" i="15"/>
  <c r="JF69" i="15"/>
  <c r="DP72" i="15"/>
  <c r="FX72" i="15"/>
  <c r="EW70" i="15"/>
  <c r="EX69" i="15"/>
  <c r="FJ70" i="15"/>
  <c r="EC70" i="15"/>
  <c r="ED69" i="15"/>
  <c r="IN72" i="15"/>
  <c r="BY70" i="15"/>
  <c r="BZ69" i="15"/>
  <c r="SS70" i="15"/>
  <c r="ST69" i="15"/>
  <c r="DQ71" i="15"/>
  <c r="DR71" i="15" s="1"/>
  <c r="NQ70" i="15"/>
  <c r="NR69" i="15"/>
  <c r="BI71" i="15"/>
  <c r="F74" i="11"/>
  <c r="G74" i="11" s="1"/>
  <c r="F75" i="2"/>
  <c r="G75" i="2" s="1"/>
  <c r="G73" i="11"/>
  <c r="E75" i="11"/>
  <c r="E75" i="9"/>
  <c r="F74" i="9"/>
  <c r="E75" i="8"/>
  <c r="F74" i="8"/>
  <c r="E76" i="2"/>
  <c r="G74" i="2"/>
  <c r="PY72" i="15" l="1"/>
  <c r="CS71" i="15"/>
  <c r="MC72" i="15"/>
  <c r="MD72" i="15" s="1"/>
  <c r="U72" i="15"/>
  <c r="V72" i="15" s="1"/>
  <c r="HM72" i="15"/>
  <c r="HN72" i="15" s="1"/>
  <c r="IC72" i="15"/>
  <c r="ID72" i="15" s="1"/>
  <c r="CC71" i="15"/>
  <c r="CD71" i="15" s="1"/>
  <c r="HE72" i="15"/>
  <c r="HF72" i="15" s="1"/>
  <c r="SG72" i="15"/>
  <c r="SH72" i="15" s="1"/>
  <c r="KO72" i="15"/>
  <c r="KP72" i="15" s="1"/>
  <c r="EO72" i="15"/>
  <c r="EP72" i="15" s="1"/>
  <c r="GW72" i="15"/>
  <c r="GX72" i="15" s="1"/>
  <c r="QS72" i="15"/>
  <c r="QT72" i="15" s="1"/>
  <c r="FY72" i="15"/>
  <c r="FZ72" i="15" s="1"/>
  <c r="FU72" i="15"/>
  <c r="FV72" i="15" s="1"/>
  <c r="GO72" i="15"/>
  <c r="GP72" i="15" s="1"/>
  <c r="QO72" i="15"/>
  <c r="QP72" i="15" s="1"/>
  <c r="SO72" i="15"/>
  <c r="SP72" i="15" s="1"/>
  <c r="BI72" i="15"/>
  <c r="BJ72" i="15" s="1"/>
  <c r="PE72" i="15"/>
  <c r="PF72" i="15" s="1"/>
  <c r="RE72" i="15"/>
  <c r="RF72" i="15" s="1"/>
  <c r="FI72" i="15"/>
  <c r="FJ72" i="15" s="1"/>
  <c r="KS72" i="15"/>
  <c r="KT72" i="15" s="1"/>
  <c r="MG72" i="15"/>
  <c r="MH72" i="15" s="1"/>
  <c r="BU71" i="15"/>
  <c r="BV71" i="15" s="1"/>
  <c r="OG71" i="15"/>
  <c r="OH71" i="15" s="1"/>
  <c r="NA71" i="15"/>
  <c r="NB71" i="15" s="1"/>
  <c r="BE72" i="15"/>
  <c r="BF72" i="15" s="1"/>
  <c r="SP71" i="15"/>
  <c r="E72" i="15"/>
  <c r="F72" i="15" s="1"/>
  <c r="SW72" i="15"/>
  <c r="SX72" i="15" s="1"/>
  <c r="BA72" i="15"/>
  <c r="BB72" i="15" s="1"/>
  <c r="AO72" i="15"/>
  <c r="AP72" i="15" s="1"/>
  <c r="GS72" i="15"/>
  <c r="GT72" i="15" s="1"/>
  <c r="FM72" i="15"/>
  <c r="CO72" i="15"/>
  <c r="CP72" i="15" s="1"/>
  <c r="CK72" i="15"/>
  <c r="CL72" i="15" s="1"/>
  <c r="BV70" i="15"/>
  <c r="UO72" i="15"/>
  <c r="UP72" i="15" s="1"/>
  <c r="TU72" i="15"/>
  <c r="TV72" i="15" s="1"/>
  <c r="PM71" i="15"/>
  <c r="PN71" i="15" s="1"/>
  <c r="BJ71" i="15"/>
  <c r="LM72" i="15"/>
  <c r="LN72" i="15" s="1"/>
  <c r="UK71" i="15"/>
  <c r="UL70" i="15"/>
  <c r="IZ73" i="15"/>
  <c r="DH73" i="15"/>
  <c r="UJ73" i="15"/>
  <c r="OV73" i="15"/>
  <c r="JD73" i="15"/>
  <c r="AW71" i="15"/>
  <c r="AX70" i="15"/>
  <c r="GC71" i="15"/>
  <c r="GD70" i="15"/>
  <c r="CV73" i="15"/>
  <c r="PU71" i="15"/>
  <c r="PV70" i="15"/>
  <c r="QG71" i="15"/>
  <c r="QH70" i="15"/>
  <c r="GJ73" i="15"/>
  <c r="AS71" i="15"/>
  <c r="AT70" i="15"/>
  <c r="SZ73" i="15"/>
  <c r="RY71" i="15"/>
  <c r="RZ70" i="15"/>
  <c r="HT73" i="15"/>
  <c r="LX73" i="15"/>
  <c r="MR73" i="15"/>
  <c r="TX73" i="15"/>
  <c r="QV73" i="15"/>
  <c r="OJ73" i="15"/>
  <c r="JX73" i="15"/>
  <c r="JH73" i="15"/>
  <c r="AR73" i="15"/>
  <c r="HP73" i="15"/>
  <c r="LY72" i="15"/>
  <c r="EN73" i="15"/>
  <c r="SJ73" i="15"/>
  <c r="QB73" i="15"/>
  <c r="JU71" i="15"/>
  <c r="JV70" i="15"/>
  <c r="HX73" i="15"/>
  <c r="EJ73" i="15"/>
  <c r="TD73" i="15"/>
  <c r="CF73" i="15"/>
  <c r="KB73" i="15"/>
  <c r="KC71" i="15"/>
  <c r="KD70" i="15"/>
  <c r="FN71" i="15"/>
  <c r="ND73" i="15"/>
  <c r="EB73" i="15"/>
  <c r="HA71" i="15"/>
  <c r="HB70" i="15"/>
  <c r="NU71" i="15"/>
  <c r="NV70" i="15"/>
  <c r="SV73" i="15"/>
  <c r="KJ73" i="15"/>
  <c r="OW71" i="15"/>
  <c r="OX70" i="15"/>
  <c r="PH73" i="15"/>
  <c r="FQ71" i="15"/>
  <c r="FR70" i="15"/>
  <c r="HQ72" i="15"/>
  <c r="AZ73" i="15"/>
  <c r="FL73" i="15"/>
  <c r="UC71" i="15"/>
  <c r="UD70" i="15"/>
  <c r="IO71" i="15"/>
  <c r="IP70" i="15"/>
  <c r="SX71" i="15"/>
  <c r="OB73" i="15"/>
  <c r="KF73" i="15"/>
  <c r="LH73" i="15"/>
  <c r="RP73" i="15"/>
  <c r="HL73" i="15"/>
  <c r="JI71" i="15"/>
  <c r="JJ70" i="15"/>
  <c r="CG71" i="15"/>
  <c r="CH70" i="15"/>
  <c r="BB71" i="15"/>
  <c r="PA71" i="15"/>
  <c r="PB70" i="15"/>
  <c r="MJ73" i="15"/>
  <c r="NP73" i="15"/>
  <c r="AP71" i="15"/>
  <c r="RM71" i="15"/>
  <c r="RN70" i="15"/>
  <c r="FD73" i="15"/>
  <c r="NI71" i="15"/>
  <c r="NJ70" i="15"/>
  <c r="PL72" i="15"/>
  <c r="Q71" i="15"/>
  <c r="R70" i="15"/>
  <c r="RL73" i="15"/>
  <c r="DX73" i="15"/>
  <c r="X73" i="15"/>
  <c r="UG71" i="15"/>
  <c r="UH70" i="15"/>
  <c r="AN73" i="15"/>
  <c r="AJ73" i="15"/>
  <c r="DD73" i="15"/>
  <c r="PN70" i="15"/>
  <c r="DU71" i="15"/>
  <c r="DV70" i="15"/>
  <c r="RU71" i="15"/>
  <c r="RV70" i="15"/>
  <c r="NH73" i="15"/>
  <c r="DL73" i="15"/>
  <c r="KK72" i="15"/>
  <c r="LU71" i="15"/>
  <c r="LV70" i="15"/>
  <c r="IV73" i="15"/>
  <c r="LT73" i="15"/>
  <c r="UB73" i="15"/>
  <c r="JQ71" i="15"/>
  <c r="JR70" i="15"/>
  <c r="MH71" i="15"/>
  <c r="LD73" i="15"/>
  <c r="PP73" i="15"/>
  <c r="KV73" i="15"/>
  <c r="HU71" i="15"/>
  <c r="HV70" i="15"/>
  <c r="AB73" i="15"/>
  <c r="FP73" i="15"/>
  <c r="DY71" i="15"/>
  <c r="DZ70" i="15"/>
  <c r="KG71" i="15"/>
  <c r="KH70" i="15"/>
  <c r="LP73" i="15"/>
  <c r="ES71" i="15"/>
  <c r="ET70" i="15"/>
  <c r="QR73" i="15"/>
  <c r="MF73" i="15"/>
  <c r="MV73" i="15"/>
  <c r="FT73" i="15"/>
  <c r="IJ73" i="15"/>
  <c r="DI71" i="15"/>
  <c r="DJ70" i="15"/>
  <c r="GR73" i="15"/>
  <c r="LN71" i="15"/>
  <c r="BD73" i="15"/>
  <c r="IR73" i="15"/>
  <c r="PX73" i="15"/>
  <c r="PY73" i="15" s="1"/>
  <c r="PZ72" i="15"/>
  <c r="MW71" i="15"/>
  <c r="MX70" i="15"/>
  <c r="CB72" i="15"/>
  <c r="SK72" i="15"/>
  <c r="GB73" i="15"/>
  <c r="NE71" i="15"/>
  <c r="NF70" i="15"/>
  <c r="RX73" i="15"/>
  <c r="RT73" i="15"/>
  <c r="GT71" i="15"/>
  <c r="LL73" i="15"/>
  <c r="CZ73" i="15"/>
  <c r="GF73" i="15"/>
  <c r="RD73" i="15"/>
  <c r="LE71" i="15"/>
  <c r="LF70" i="15"/>
  <c r="UN73" i="15"/>
  <c r="IF73" i="15"/>
  <c r="UF73" i="15"/>
  <c r="MS71" i="15"/>
  <c r="MT70" i="15"/>
  <c r="TP73" i="15"/>
  <c r="RQ71" i="15"/>
  <c r="RR70" i="15"/>
  <c r="QF73" i="15"/>
  <c r="GV73" i="15"/>
  <c r="TE71" i="15"/>
  <c r="TF70" i="15"/>
  <c r="PI72" i="15"/>
  <c r="JY72" i="15"/>
  <c r="EW71" i="15"/>
  <c r="EX70" i="15"/>
  <c r="CN73" i="15"/>
  <c r="CP71" i="15"/>
  <c r="DP73" i="15"/>
  <c r="HI71" i="15"/>
  <c r="HJ70" i="15"/>
  <c r="KN73" i="15"/>
  <c r="AV73" i="15"/>
  <c r="ER73" i="15"/>
  <c r="CJ73" i="15"/>
  <c r="SR73" i="15"/>
  <c r="LI72" i="15"/>
  <c r="JL73" i="15"/>
  <c r="JE71" i="15"/>
  <c r="JF70" i="15"/>
  <c r="TI71" i="15"/>
  <c r="TJ70" i="15"/>
  <c r="NY71" i="15"/>
  <c r="NZ70" i="15"/>
  <c r="RA71" i="15"/>
  <c r="RB70" i="15"/>
  <c r="DT73" i="15"/>
  <c r="GZ73" i="15"/>
  <c r="CL71" i="15"/>
  <c r="TA71" i="15"/>
  <c r="TB70" i="15"/>
  <c r="KR73" i="15"/>
  <c r="OF72" i="15"/>
  <c r="MK71" i="15"/>
  <c r="ML70" i="15"/>
  <c r="EK72" i="15"/>
  <c r="PD73" i="15"/>
  <c r="JP73" i="15"/>
  <c r="EZ73" i="15"/>
  <c r="AH72" i="15"/>
  <c r="AF73" i="15"/>
  <c r="AG73" i="15" s="1"/>
  <c r="H72" i="15"/>
  <c r="TM71" i="15"/>
  <c r="TN70" i="15"/>
  <c r="DA72" i="15"/>
  <c r="OC71" i="15"/>
  <c r="OD70" i="15"/>
  <c r="FA71" i="15"/>
  <c r="FB70" i="15"/>
  <c r="M71" i="15"/>
  <c r="N70" i="15"/>
  <c r="JM72" i="15"/>
  <c r="SC71" i="15"/>
  <c r="SD70" i="15"/>
  <c r="NT73" i="15"/>
  <c r="GG71" i="15"/>
  <c r="GH70" i="15"/>
  <c r="OS71" i="15"/>
  <c r="OT70" i="15"/>
  <c r="SN73" i="15"/>
  <c r="FE72" i="15"/>
  <c r="FF72" i="15" s="1"/>
  <c r="HD73" i="15"/>
  <c r="NL73" i="15"/>
  <c r="TY72" i="15"/>
  <c r="CW71" i="15"/>
  <c r="CX70" i="15"/>
  <c r="MO72" i="15"/>
  <c r="MP72" i="15" s="1"/>
  <c r="TT73" i="15"/>
  <c r="OH70" i="15"/>
  <c r="OK72" i="15"/>
  <c r="OL72" i="15" s="1"/>
  <c r="P73" i="15"/>
  <c r="SB73" i="15"/>
  <c r="NQ71" i="15"/>
  <c r="NR70" i="15"/>
  <c r="DQ72" i="15"/>
  <c r="DR72" i="15" s="1"/>
  <c r="MB73" i="15"/>
  <c r="EV73" i="15"/>
  <c r="LA71" i="15"/>
  <c r="LB70" i="15"/>
  <c r="EF73" i="15"/>
  <c r="D73" i="15"/>
  <c r="IN73" i="15"/>
  <c r="FH73" i="15"/>
  <c r="TH73" i="15"/>
  <c r="QJ73" i="15"/>
  <c r="QW72" i="15"/>
  <c r="QX72" i="15" s="1"/>
  <c r="AC72" i="15"/>
  <c r="RH73" i="15"/>
  <c r="PQ71" i="15"/>
  <c r="PR70" i="15"/>
  <c r="QZ73" i="15"/>
  <c r="US71" i="15"/>
  <c r="UT70" i="15"/>
  <c r="SF73" i="15"/>
  <c r="TV71" i="15"/>
  <c r="AK72" i="15"/>
  <c r="IK71" i="15"/>
  <c r="IL70" i="15"/>
  <c r="BM71" i="15"/>
  <c r="BN70" i="15"/>
  <c r="RI72" i="15"/>
  <c r="RJ72" i="15" s="1"/>
  <c r="OR73" i="15"/>
  <c r="GK71" i="15"/>
  <c r="GL70" i="15"/>
  <c r="CR72" i="15"/>
  <c r="CS72" i="15" s="1"/>
  <c r="CT71" i="15"/>
  <c r="IS72" i="15"/>
  <c r="IT72" i="15" s="1"/>
  <c r="SS71" i="15"/>
  <c r="ST70" i="15"/>
  <c r="KZ73" i="15"/>
  <c r="UP71" i="15"/>
  <c r="QP71" i="15"/>
  <c r="QK71" i="15"/>
  <c r="QL70" i="15"/>
  <c r="JT73" i="15"/>
  <c r="DE71" i="15"/>
  <c r="DF70" i="15"/>
  <c r="BX73" i="15"/>
  <c r="TL73" i="15"/>
  <c r="KW71" i="15"/>
  <c r="KX70" i="15"/>
  <c r="UR73" i="15"/>
  <c r="OZ73" i="15"/>
  <c r="HY72" i="15"/>
  <c r="HZ72" i="15" s="1"/>
  <c r="BL73" i="15"/>
  <c r="LQ72" i="15"/>
  <c r="MN73" i="15"/>
  <c r="Y71" i="15"/>
  <c r="Z70" i="15"/>
  <c r="FX73" i="15"/>
  <c r="OO71" i="15"/>
  <c r="OP70" i="15"/>
  <c r="MZ72" i="15"/>
  <c r="NX73" i="15"/>
  <c r="L73" i="15"/>
  <c r="BY71" i="15"/>
  <c r="BZ70" i="15"/>
  <c r="IB73" i="15"/>
  <c r="DM72" i="15"/>
  <c r="BR72" i="15"/>
  <c r="BP73" i="15"/>
  <c r="IG72" i="15"/>
  <c r="GN73" i="15"/>
  <c r="EC71" i="15"/>
  <c r="ED70" i="15"/>
  <c r="HH73" i="15"/>
  <c r="BH73" i="15"/>
  <c r="QN73" i="15"/>
  <c r="EG72" i="15"/>
  <c r="JA72" i="15"/>
  <c r="T73" i="15"/>
  <c r="NM71" i="15"/>
  <c r="NN70" i="15"/>
  <c r="QC71" i="15"/>
  <c r="QD70" i="15"/>
  <c r="TQ71" i="15"/>
  <c r="TR70" i="15"/>
  <c r="IW71" i="15"/>
  <c r="IX70" i="15"/>
  <c r="ON73" i="15"/>
  <c r="BT72" i="15"/>
  <c r="PT73" i="15"/>
  <c r="I71" i="15"/>
  <c r="F75" i="9"/>
  <c r="G75" i="9" s="1"/>
  <c r="F75" i="8"/>
  <c r="G75" i="8" s="1"/>
  <c r="E76" i="11"/>
  <c r="F75" i="11"/>
  <c r="G74" i="10"/>
  <c r="G75" i="10"/>
  <c r="E76" i="9"/>
  <c r="G74" i="9"/>
  <c r="G74" i="8"/>
  <c r="E76" i="8"/>
  <c r="E77" i="2"/>
  <c r="F76" i="2"/>
  <c r="GW73" i="15" l="1"/>
  <c r="HM73" i="15"/>
  <c r="HN73" i="15" s="1"/>
  <c r="MC73" i="15"/>
  <c r="SG73" i="15"/>
  <c r="HE73" i="15"/>
  <c r="HF73" i="15" s="1"/>
  <c r="RE73" i="15"/>
  <c r="RF73" i="15" s="1"/>
  <c r="SO73" i="15"/>
  <c r="SP73" i="15" s="1"/>
  <c r="LM73" i="15"/>
  <c r="LN73" i="15" s="1"/>
  <c r="NA72" i="15"/>
  <c r="NB72" i="15" s="1"/>
  <c r="EO73" i="15"/>
  <c r="EP73" i="15" s="1"/>
  <c r="FY73" i="15"/>
  <c r="FZ73" i="15" s="1"/>
  <c r="BA73" i="15"/>
  <c r="BB73" i="15" s="1"/>
  <c r="FU73" i="15"/>
  <c r="FV73" i="15" s="1"/>
  <c r="BI73" i="15"/>
  <c r="BJ73" i="15" s="1"/>
  <c r="MG73" i="15"/>
  <c r="MH73" i="15" s="1"/>
  <c r="BU72" i="15"/>
  <c r="BV72" i="15" s="1"/>
  <c r="QS73" i="15"/>
  <c r="QT73" i="15" s="1"/>
  <c r="GO73" i="15"/>
  <c r="GP73" i="15" s="1"/>
  <c r="OG72" i="15"/>
  <c r="OH72" i="15" s="1"/>
  <c r="KS73" i="15"/>
  <c r="KT73" i="15" s="1"/>
  <c r="FI73" i="15"/>
  <c r="FJ73" i="15" s="1"/>
  <c r="JA73" i="15"/>
  <c r="JB73" i="15" s="1"/>
  <c r="FM73" i="15"/>
  <c r="FN73" i="15" s="1"/>
  <c r="FN72" i="15"/>
  <c r="E73" i="15"/>
  <c r="F73" i="15" s="1"/>
  <c r="UO73" i="15"/>
  <c r="UP73" i="15" s="1"/>
  <c r="CO73" i="15"/>
  <c r="CP73" i="15" s="1"/>
  <c r="PI73" i="15"/>
  <c r="PJ73" i="15" s="1"/>
  <c r="AO73" i="15"/>
  <c r="AP73" i="15" s="1"/>
  <c r="AK73" i="15"/>
  <c r="AL73" i="15" s="1"/>
  <c r="SW73" i="15"/>
  <c r="SX73" i="15" s="1"/>
  <c r="LY73" i="15"/>
  <c r="LZ73" i="15" s="1"/>
  <c r="LQ73" i="15"/>
  <c r="LR73" i="15" s="1"/>
  <c r="LI73" i="15"/>
  <c r="LJ73" i="15" s="1"/>
  <c r="DM73" i="15"/>
  <c r="DN73" i="15" s="1"/>
  <c r="I72" i="15"/>
  <c r="J72" i="15" s="1"/>
  <c r="TY73" i="15"/>
  <c r="TZ73" i="15" s="1"/>
  <c r="EG73" i="15"/>
  <c r="EH73" i="15" s="1"/>
  <c r="SK73" i="15"/>
  <c r="SL73" i="15" s="1"/>
  <c r="FE73" i="15"/>
  <c r="FF73" i="15" s="1"/>
  <c r="HQ73" i="15"/>
  <c r="HR73" i="15" s="1"/>
  <c r="AC73" i="15"/>
  <c r="AD73" i="15" s="1"/>
  <c r="EH72" i="15"/>
  <c r="JY73" i="15"/>
  <c r="JZ73" i="15" s="1"/>
  <c r="LZ72" i="15"/>
  <c r="KK73" i="15"/>
  <c r="KL73" i="15" s="1"/>
  <c r="IG73" i="15"/>
  <c r="IH73" i="15" s="1"/>
  <c r="JM73" i="15"/>
  <c r="JN73" i="15" s="1"/>
  <c r="DN72" i="15"/>
  <c r="KL72" i="15"/>
  <c r="JT74" i="15"/>
  <c r="NH74" i="15"/>
  <c r="RL74" i="15"/>
  <c r="UC72" i="15"/>
  <c r="UD71" i="15"/>
  <c r="PP74" i="15"/>
  <c r="HX74" i="15"/>
  <c r="NT74" i="15"/>
  <c r="TP74" i="15"/>
  <c r="LL74" i="15"/>
  <c r="ES72" i="15"/>
  <c r="ET71" i="15"/>
  <c r="LD74" i="15"/>
  <c r="FL74" i="15"/>
  <c r="HA72" i="15"/>
  <c r="HB71" i="15"/>
  <c r="QG72" i="15"/>
  <c r="QH71" i="15"/>
  <c r="DH74" i="15"/>
  <c r="EZ74" i="15"/>
  <c r="IR74" i="15"/>
  <c r="FH74" i="15"/>
  <c r="BD74" i="15"/>
  <c r="RU72" i="15"/>
  <c r="RV71" i="15"/>
  <c r="Q72" i="15"/>
  <c r="R71" i="15"/>
  <c r="EB74" i="15"/>
  <c r="JU72" i="15"/>
  <c r="JV71" i="15"/>
  <c r="QV74" i="15"/>
  <c r="QK72" i="15"/>
  <c r="QL71" i="15"/>
  <c r="SC72" i="15"/>
  <c r="SD71" i="15"/>
  <c r="PD74" i="15"/>
  <c r="TI72" i="15"/>
  <c r="TJ71" i="15"/>
  <c r="MS72" i="15"/>
  <c r="MT71" i="15"/>
  <c r="RT74" i="15"/>
  <c r="LP74" i="15"/>
  <c r="CG72" i="15"/>
  <c r="CH71" i="15"/>
  <c r="TZ72" i="15"/>
  <c r="JB72" i="15"/>
  <c r="JP74" i="15"/>
  <c r="TT74" i="15"/>
  <c r="EK73" i="15"/>
  <c r="EL73" i="15" s="1"/>
  <c r="DP74" i="15"/>
  <c r="LR72" i="15"/>
  <c r="DU72" i="15"/>
  <c r="DV71" i="15"/>
  <c r="AZ74" i="15"/>
  <c r="ND74" i="15"/>
  <c r="QB74" i="15"/>
  <c r="TX74" i="15"/>
  <c r="PU72" i="15"/>
  <c r="PV71" i="15"/>
  <c r="IZ74" i="15"/>
  <c r="CZ74" i="15"/>
  <c r="IK72" i="15"/>
  <c r="IL71" i="15"/>
  <c r="MO73" i="15"/>
  <c r="JE72" i="15"/>
  <c r="JF71" i="15"/>
  <c r="UF74" i="15"/>
  <c r="RX74" i="15"/>
  <c r="GR74" i="15"/>
  <c r="JQ72" i="15"/>
  <c r="JR71" i="15"/>
  <c r="TU73" i="15"/>
  <c r="TV73" i="15" s="1"/>
  <c r="PL73" i="15"/>
  <c r="JI72" i="15"/>
  <c r="JJ71" i="15"/>
  <c r="SL72" i="15"/>
  <c r="MR74" i="15"/>
  <c r="CV74" i="15"/>
  <c r="IO72" i="15"/>
  <c r="IP71" i="15"/>
  <c r="Y72" i="15"/>
  <c r="Z71" i="15"/>
  <c r="OK73" i="15"/>
  <c r="OL73" i="15" s="1"/>
  <c r="SF74" i="15"/>
  <c r="SH73" i="15"/>
  <c r="KZ74" i="15"/>
  <c r="US72" i="15"/>
  <c r="UT71" i="15"/>
  <c r="EF74" i="15"/>
  <c r="M72" i="15"/>
  <c r="N71" i="15"/>
  <c r="MK72" i="15"/>
  <c r="ML71" i="15"/>
  <c r="CN74" i="15"/>
  <c r="IH72" i="15"/>
  <c r="UB74" i="15"/>
  <c r="SJ74" i="15"/>
  <c r="UK72" i="15"/>
  <c r="UL71" i="15"/>
  <c r="MN74" i="15"/>
  <c r="CW72" i="15"/>
  <c r="CX71" i="15"/>
  <c r="JN72" i="15"/>
  <c r="IF74" i="15"/>
  <c r="KG72" i="15"/>
  <c r="KH71" i="15"/>
  <c r="DD74" i="15"/>
  <c r="NI72" i="15"/>
  <c r="NJ71" i="15"/>
  <c r="HL74" i="15"/>
  <c r="PA72" i="15"/>
  <c r="PB71" i="15"/>
  <c r="IN74" i="15"/>
  <c r="IB74" i="15"/>
  <c r="BY72" i="15"/>
  <c r="BZ71" i="15"/>
  <c r="FA72" i="15"/>
  <c r="FB71" i="15"/>
  <c r="OF73" i="15"/>
  <c r="JL74" i="15"/>
  <c r="NE72" i="15"/>
  <c r="NF71" i="15"/>
  <c r="DI72" i="15"/>
  <c r="DJ71" i="15"/>
  <c r="PM72" i="15"/>
  <c r="PN72" i="15" s="1"/>
  <c r="FQ72" i="15"/>
  <c r="FR71" i="15"/>
  <c r="KC72" i="15"/>
  <c r="KD71" i="15"/>
  <c r="EN74" i="15"/>
  <c r="LX74" i="15"/>
  <c r="RQ72" i="15"/>
  <c r="RR71" i="15"/>
  <c r="T74" i="15"/>
  <c r="IS73" i="15"/>
  <c r="EW72" i="15"/>
  <c r="EX71" i="15"/>
  <c r="UN74" i="15"/>
  <c r="DY72" i="15"/>
  <c r="DZ71" i="15"/>
  <c r="AJ74" i="15"/>
  <c r="RP74" i="15"/>
  <c r="KB74" i="15"/>
  <c r="HT74" i="15"/>
  <c r="GC72" i="15"/>
  <c r="GD71" i="15"/>
  <c r="OZ74" i="15"/>
  <c r="PQ72" i="15"/>
  <c r="PR71" i="15"/>
  <c r="NL74" i="15"/>
  <c r="OC72" i="15"/>
  <c r="OD71" i="15"/>
  <c r="KR74" i="15"/>
  <c r="SR74" i="15"/>
  <c r="GB74" i="15"/>
  <c r="IJ74" i="15"/>
  <c r="LT74" i="15"/>
  <c r="AL72" i="15"/>
  <c r="FD74" i="15"/>
  <c r="LJ72" i="15"/>
  <c r="PJ72" i="15"/>
  <c r="HR72" i="15"/>
  <c r="GG72" i="15"/>
  <c r="GH71" i="15"/>
  <c r="MB74" i="15"/>
  <c r="MD73" i="15"/>
  <c r="LE72" i="15"/>
  <c r="LF71" i="15"/>
  <c r="FP74" i="15"/>
  <c r="IV74" i="15"/>
  <c r="AN74" i="15"/>
  <c r="LH74" i="15"/>
  <c r="PH74" i="15"/>
  <c r="GS73" i="15"/>
  <c r="HP74" i="15"/>
  <c r="AW72" i="15"/>
  <c r="AX71" i="15"/>
  <c r="EJ74" i="15"/>
  <c r="RA72" i="15"/>
  <c r="RB71" i="15"/>
  <c r="NM72" i="15"/>
  <c r="NN71" i="15"/>
  <c r="NX74" i="15"/>
  <c r="BT73" i="15"/>
  <c r="TA72" i="15"/>
  <c r="TB71" i="15"/>
  <c r="CJ74" i="15"/>
  <c r="RD74" i="15"/>
  <c r="CB73" i="15"/>
  <c r="FT74" i="15"/>
  <c r="AB74" i="15"/>
  <c r="RM72" i="15"/>
  <c r="RN71" i="15"/>
  <c r="KF74" i="15"/>
  <c r="RY72" i="15"/>
  <c r="RZ71" i="15"/>
  <c r="CC72" i="15"/>
  <c r="BP74" i="15"/>
  <c r="HI72" i="15"/>
  <c r="HJ71" i="15"/>
  <c r="D74" i="15"/>
  <c r="SS72" i="15"/>
  <c r="ST71" i="15"/>
  <c r="UR74" i="15"/>
  <c r="EV74" i="15"/>
  <c r="AD72" i="15"/>
  <c r="OW72" i="15"/>
  <c r="OX71" i="15"/>
  <c r="AR74" i="15"/>
  <c r="JD74" i="15"/>
  <c r="NU72" i="15"/>
  <c r="NV71" i="15"/>
  <c r="QC72" i="15"/>
  <c r="QD71" i="15"/>
  <c r="BL74" i="15"/>
  <c r="CR73" i="15"/>
  <c r="CS73" i="15" s="1"/>
  <c r="CT72" i="15"/>
  <c r="HD74" i="15"/>
  <c r="J71" i="15"/>
  <c r="OB74" i="15"/>
  <c r="CF74" i="15"/>
  <c r="JH74" i="15"/>
  <c r="SZ74" i="15"/>
  <c r="CK73" i="15"/>
  <c r="P74" i="15"/>
  <c r="TQ72" i="15"/>
  <c r="TR71" i="15"/>
  <c r="NY72" i="15"/>
  <c r="NZ71" i="15"/>
  <c r="BH74" i="15"/>
  <c r="DA73" i="15"/>
  <c r="RH74" i="15"/>
  <c r="HH74" i="15"/>
  <c r="TL74" i="15"/>
  <c r="GK72" i="15"/>
  <c r="GL71" i="15"/>
  <c r="TM72" i="15"/>
  <c r="TN71" i="15"/>
  <c r="TE72" i="15"/>
  <c r="TF71" i="15"/>
  <c r="OR74" i="15"/>
  <c r="ER74" i="15"/>
  <c r="UG72" i="15"/>
  <c r="UH71" i="15"/>
  <c r="ON74" i="15"/>
  <c r="EC72" i="15"/>
  <c r="ED71" i="15"/>
  <c r="OO72" i="15"/>
  <c r="OP71" i="15"/>
  <c r="BX74" i="15"/>
  <c r="NQ72" i="15"/>
  <c r="NR71" i="15"/>
  <c r="H73" i="15"/>
  <c r="GX73" i="15"/>
  <c r="GV74" i="15"/>
  <c r="GW74" i="15" s="1"/>
  <c r="GF74" i="15"/>
  <c r="MW72" i="15"/>
  <c r="MX71" i="15"/>
  <c r="HU72" i="15"/>
  <c r="HV71" i="15"/>
  <c r="U73" i="15"/>
  <c r="KJ74" i="15"/>
  <c r="IC73" i="15"/>
  <c r="OV74" i="15"/>
  <c r="BQ73" i="15"/>
  <c r="BR73" i="15" s="1"/>
  <c r="KN74" i="15"/>
  <c r="QR74" i="15"/>
  <c r="GJ74" i="15"/>
  <c r="HY73" i="15"/>
  <c r="QZ74" i="15"/>
  <c r="QN74" i="15"/>
  <c r="PT74" i="15"/>
  <c r="KW72" i="15"/>
  <c r="KX71" i="15"/>
  <c r="MZ73" i="15"/>
  <c r="QW73" i="15"/>
  <c r="SN74" i="15"/>
  <c r="GZ74" i="15"/>
  <c r="QO73" i="15"/>
  <c r="MV74" i="15"/>
  <c r="LU72" i="15"/>
  <c r="LV71" i="15"/>
  <c r="RI73" i="15"/>
  <c r="RJ73" i="15" s="1"/>
  <c r="QJ74" i="15"/>
  <c r="SB74" i="15"/>
  <c r="AF74" i="15"/>
  <c r="AH73" i="15"/>
  <c r="AV74" i="15"/>
  <c r="QF74" i="15"/>
  <c r="MF74" i="15"/>
  <c r="KV74" i="15"/>
  <c r="X74" i="15"/>
  <c r="MJ74" i="15"/>
  <c r="TD74" i="15"/>
  <c r="JZ72" i="15"/>
  <c r="BE73" i="15"/>
  <c r="BM72" i="15"/>
  <c r="BN71" i="15"/>
  <c r="OJ74" i="15"/>
  <c r="L74" i="15"/>
  <c r="LA72" i="15"/>
  <c r="LB71" i="15"/>
  <c r="KO73" i="15"/>
  <c r="DQ73" i="15"/>
  <c r="NP74" i="15"/>
  <c r="IW72" i="15"/>
  <c r="IX71" i="15"/>
  <c r="GN74" i="15"/>
  <c r="FX74" i="15"/>
  <c r="DE72" i="15"/>
  <c r="DF71" i="15"/>
  <c r="TH74" i="15"/>
  <c r="OS72" i="15"/>
  <c r="OT71" i="15"/>
  <c r="DT74" i="15"/>
  <c r="DB72" i="15"/>
  <c r="PX74" i="15"/>
  <c r="PY74" i="15" s="1"/>
  <c r="PZ73" i="15"/>
  <c r="DL74" i="15"/>
  <c r="DX74" i="15"/>
  <c r="SV74" i="15"/>
  <c r="EL72" i="15"/>
  <c r="JX74" i="15"/>
  <c r="AS72" i="15"/>
  <c r="AT71" i="15"/>
  <c r="UJ74" i="15"/>
  <c r="PE73" i="15"/>
  <c r="F76" i="11"/>
  <c r="G76" i="11" s="1"/>
  <c r="F77" i="2"/>
  <c r="G77" i="2" s="1"/>
  <c r="E77" i="11"/>
  <c r="G75" i="11"/>
  <c r="E77" i="9"/>
  <c r="F76" i="9"/>
  <c r="E77" i="8"/>
  <c r="F76" i="8"/>
  <c r="G76" i="2"/>
  <c r="E78" i="2"/>
  <c r="HE74" i="15" l="1"/>
  <c r="NA73" i="15"/>
  <c r="NB73" i="15" s="1"/>
  <c r="EO74" i="15"/>
  <c r="I73" i="15"/>
  <c r="J73" i="15" s="1"/>
  <c r="GO74" i="15"/>
  <c r="GP74" i="15" s="1"/>
  <c r="FY74" i="15"/>
  <c r="FZ74" i="15" s="1"/>
  <c r="E74" i="15"/>
  <c r="F74" i="15" s="1"/>
  <c r="BI74" i="15"/>
  <c r="BJ74" i="15" s="1"/>
  <c r="FU74" i="15"/>
  <c r="FV74" i="15" s="1"/>
  <c r="JY74" i="15"/>
  <c r="JZ74" i="15" s="1"/>
  <c r="IG74" i="15"/>
  <c r="IH74" i="15" s="1"/>
  <c r="AC74" i="15"/>
  <c r="AD74" i="15" s="1"/>
  <c r="PI74" i="15"/>
  <c r="PJ74" i="15" s="1"/>
  <c r="SW74" i="15"/>
  <c r="SX74" i="15" s="1"/>
  <c r="FI74" i="15"/>
  <c r="FJ74" i="15" s="1"/>
  <c r="KS74" i="15"/>
  <c r="KT74" i="15" s="1"/>
  <c r="LY74" i="15"/>
  <c r="LZ74" i="15" s="1"/>
  <c r="AK74" i="15"/>
  <c r="AL74" i="15" s="1"/>
  <c r="HQ74" i="15"/>
  <c r="HR74" i="15" s="1"/>
  <c r="PE74" i="15"/>
  <c r="PF74" i="15" s="1"/>
  <c r="TY74" i="15"/>
  <c r="TZ74" i="15" s="1"/>
  <c r="CK74" i="15"/>
  <c r="CL74" i="15" s="1"/>
  <c r="QW74" i="15"/>
  <c r="QX74" i="15" s="1"/>
  <c r="IS74" i="15"/>
  <c r="IT74" i="15" s="1"/>
  <c r="KK74" i="15"/>
  <c r="KL74" i="15" s="1"/>
  <c r="DQ74" i="15"/>
  <c r="DR74" i="15" s="1"/>
  <c r="MO74" i="15"/>
  <c r="MP74" i="15" s="1"/>
  <c r="KO74" i="15"/>
  <c r="KP74" i="15" s="1"/>
  <c r="HY74" i="15"/>
  <c r="HZ74" i="15" s="1"/>
  <c r="SK74" i="15"/>
  <c r="SL74" i="15" s="1"/>
  <c r="CL73" i="15"/>
  <c r="IC74" i="15"/>
  <c r="ID74" i="15" s="1"/>
  <c r="DA74" i="15"/>
  <c r="DB74" i="15" s="1"/>
  <c r="BE74" i="15"/>
  <c r="BF74" i="15" s="1"/>
  <c r="QO74" i="15"/>
  <c r="QP74" i="15" s="1"/>
  <c r="CC73" i="15"/>
  <c r="CD73" i="15" s="1"/>
  <c r="U74" i="15"/>
  <c r="V74" i="15" s="1"/>
  <c r="X75" i="15"/>
  <c r="Y73" i="15"/>
  <c r="Z72" i="15"/>
  <c r="RX75" i="15"/>
  <c r="ND75" i="15"/>
  <c r="JU73" i="15"/>
  <c r="JV72" i="15"/>
  <c r="PP75" i="15"/>
  <c r="NU73" i="15"/>
  <c r="NV72" i="15"/>
  <c r="BP75" i="15"/>
  <c r="TA73" i="15"/>
  <c r="TB72" i="15"/>
  <c r="LH75" i="15"/>
  <c r="HL75" i="15"/>
  <c r="EB75" i="15"/>
  <c r="QG73" i="15"/>
  <c r="QH72" i="15"/>
  <c r="LP75" i="15"/>
  <c r="JD75" i="15"/>
  <c r="FD75" i="15"/>
  <c r="OZ75" i="15"/>
  <c r="EW73" i="15"/>
  <c r="EX72" i="15"/>
  <c r="NE73" i="15"/>
  <c r="NF72" i="15"/>
  <c r="IO73" i="15"/>
  <c r="IP72" i="15"/>
  <c r="UF75" i="15"/>
  <c r="AZ75" i="15"/>
  <c r="RT75" i="15"/>
  <c r="UC73" i="15"/>
  <c r="UD72" i="15"/>
  <c r="DI73" i="15"/>
  <c r="DJ72" i="15"/>
  <c r="SZ75" i="15"/>
  <c r="BT74" i="15"/>
  <c r="AN75" i="15"/>
  <c r="JL75" i="15"/>
  <c r="NI73" i="15"/>
  <c r="NJ72" i="15"/>
  <c r="CN75" i="15"/>
  <c r="HA73" i="15"/>
  <c r="HB72" i="15"/>
  <c r="SN75" i="15"/>
  <c r="KN75" i="15"/>
  <c r="BX75" i="15"/>
  <c r="TL75" i="15"/>
  <c r="JH75" i="15"/>
  <c r="AR75" i="15"/>
  <c r="NX75" i="15"/>
  <c r="V73" i="15"/>
  <c r="DU73" i="15"/>
  <c r="DV72" i="15"/>
  <c r="Q73" i="15"/>
  <c r="R72" i="15"/>
  <c r="RL75" i="15"/>
  <c r="DL75" i="15"/>
  <c r="BQ74" i="15"/>
  <c r="BR74" i="15" s="1"/>
  <c r="RY73" i="15"/>
  <c r="RZ72" i="15"/>
  <c r="IV75" i="15"/>
  <c r="LT75" i="15"/>
  <c r="T75" i="15"/>
  <c r="DD75" i="15"/>
  <c r="CV75" i="15"/>
  <c r="JE73" i="15"/>
  <c r="JF72" i="15"/>
  <c r="MS73" i="15"/>
  <c r="MT72" i="15"/>
  <c r="FL75" i="15"/>
  <c r="NH75" i="15"/>
  <c r="DT75" i="15"/>
  <c r="KF75" i="15"/>
  <c r="FP75" i="15"/>
  <c r="IJ75" i="15"/>
  <c r="GC73" i="15"/>
  <c r="GD72" i="15"/>
  <c r="LQ74" i="15"/>
  <c r="OF74" i="15"/>
  <c r="MK73" i="15"/>
  <c r="ML72" i="15"/>
  <c r="DR73" i="15"/>
  <c r="RU73" i="15"/>
  <c r="RV72" i="15"/>
  <c r="QC73" i="15"/>
  <c r="QD72" i="15"/>
  <c r="GR75" i="15"/>
  <c r="H74" i="15"/>
  <c r="PX75" i="15"/>
  <c r="PY75" i="15" s="1"/>
  <c r="PZ74" i="15"/>
  <c r="OO73" i="15"/>
  <c r="OP72" i="15"/>
  <c r="CF75" i="15"/>
  <c r="OW73" i="15"/>
  <c r="OX72" i="15"/>
  <c r="NM73" i="15"/>
  <c r="NN72" i="15"/>
  <c r="KG73" i="15"/>
  <c r="KH72" i="15"/>
  <c r="MR75" i="15"/>
  <c r="DP75" i="15"/>
  <c r="TI73" i="15"/>
  <c r="TJ72" i="15"/>
  <c r="LD75" i="15"/>
  <c r="IW73" i="15"/>
  <c r="IX72" i="15"/>
  <c r="GZ75" i="15"/>
  <c r="OB75" i="15"/>
  <c r="HT75" i="15"/>
  <c r="RQ73" i="15"/>
  <c r="RR72" i="15"/>
  <c r="FA73" i="15"/>
  <c r="FB72" i="15"/>
  <c r="M73" i="15"/>
  <c r="N72" i="15"/>
  <c r="IK73" i="15"/>
  <c r="IL72" i="15"/>
  <c r="EK74" i="15"/>
  <c r="EL74" i="15" s="1"/>
  <c r="PF73" i="15"/>
  <c r="BF73" i="15"/>
  <c r="P75" i="15"/>
  <c r="HH75" i="15"/>
  <c r="GB75" i="15"/>
  <c r="IF75" i="15"/>
  <c r="DB73" i="15"/>
  <c r="JM74" i="15"/>
  <c r="PD75" i="15"/>
  <c r="BD75" i="15"/>
  <c r="JT75" i="15"/>
  <c r="LA73" i="15"/>
  <c r="LB72" i="15"/>
  <c r="OJ75" i="15"/>
  <c r="EV75" i="15"/>
  <c r="RA73" i="15"/>
  <c r="RB72" i="15"/>
  <c r="LE73" i="15"/>
  <c r="LF72" i="15"/>
  <c r="KB75" i="15"/>
  <c r="EF75" i="15"/>
  <c r="CZ75" i="15"/>
  <c r="FM74" i="15"/>
  <c r="FN74" i="15" s="1"/>
  <c r="ES73" i="15"/>
  <c r="ET72" i="15"/>
  <c r="GJ75" i="15"/>
  <c r="PQ73" i="15"/>
  <c r="PR72" i="15"/>
  <c r="GK73" i="15"/>
  <c r="GL72" i="15"/>
  <c r="L75" i="15"/>
  <c r="AV75" i="15"/>
  <c r="HD75" i="15"/>
  <c r="HF74" i="15"/>
  <c r="AB75" i="15"/>
  <c r="LX75" i="15"/>
  <c r="BY73" i="15"/>
  <c r="BZ72" i="15"/>
  <c r="JI73" i="15"/>
  <c r="JJ72" i="15"/>
  <c r="TT75" i="15"/>
  <c r="SC73" i="15"/>
  <c r="SD72" i="15"/>
  <c r="FH75" i="15"/>
  <c r="LL75" i="15"/>
  <c r="BA74" i="15"/>
  <c r="BB74" i="15" s="1"/>
  <c r="UB75" i="15"/>
  <c r="QF75" i="15"/>
  <c r="MZ74" i="15"/>
  <c r="EJ75" i="15"/>
  <c r="SR75" i="15"/>
  <c r="IB75" i="15"/>
  <c r="CW73" i="15"/>
  <c r="CX72" i="15"/>
  <c r="US73" i="15"/>
  <c r="UT72" i="15"/>
  <c r="PL74" i="15"/>
  <c r="IZ75" i="15"/>
  <c r="JP75" i="15"/>
  <c r="DH75" i="15"/>
  <c r="MF75" i="15"/>
  <c r="RH75" i="15"/>
  <c r="KJ75" i="15"/>
  <c r="FT75" i="15"/>
  <c r="MB75" i="15"/>
  <c r="EN75" i="15"/>
  <c r="EP74" i="15"/>
  <c r="ID73" i="15"/>
  <c r="MP73" i="15"/>
  <c r="LM74" i="15"/>
  <c r="LN74" i="15" s="1"/>
  <c r="HI73" i="15"/>
  <c r="HJ72" i="15"/>
  <c r="NP75" i="15"/>
  <c r="NQ73" i="15"/>
  <c r="NR72" i="15"/>
  <c r="EC73" i="15"/>
  <c r="ED72" i="15"/>
  <c r="UJ75" i="15"/>
  <c r="AF75" i="15"/>
  <c r="BM73" i="15"/>
  <c r="BN72" i="15"/>
  <c r="CB74" i="15"/>
  <c r="RP75" i="15"/>
  <c r="IN75" i="15"/>
  <c r="MN75" i="15"/>
  <c r="KZ75" i="15"/>
  <c r="TU74" i="15"/>
  <c r="PU73" i="15"/>
  <c r="PV72" i="15"/>
  <c r="QK73" i="15"/>
  <c r="QL72" i="15"/>
  <c r="IT73" i="15"/>
  <c r="TP75" i="15"/>
  <c r="OG73" i="15"/>
  <c r="DX75" i="15"/>
  <c r="UN75" i="15"/>
  <c r="QR75" i="15"/>
  <c r="OV75" i="15"/>
  <c r="OS73" i="15"/>
  <c r="OT72" i="15"/>
  <c r="RM73" i="15"/>
  <c r="RN72" i="15"/>
  <c r="ON75" i="15"/>
  <c r="TH75" i="15"/>
  <c r="UR75" i="15"/>
  <c r="HU73" i="15"/>
  <c r="HV72" i="15"/>
  <c r="FX75" i="15"/>
  <c r="MG74" i="15"/>
  <c r="MH74" i="15" s="1"/>
  <c r="BU73" i="15"/>
  <c r="IR75" i="15"/>
  <c r="UO74" i="15"/>
  <c r="TE73" i="15"/>
  <c r="TF72" i="15"/>
  <c r="TM73" i="15"/>
  <c r="TN72" i="15"/>
  <c r="DM74" i="15"/>
  <c r="DN74" i="15" s="1"/>
  <c r="UG73" i="15"/>
  <c r="UH72" i="15"/>
  <c r="ER75" i="15"/>
  <c r="KR75" i="15"/>
  <c r="TD75" i="15"/>
  <c r="MW73" i="15"/>
  <c r="MX72" i="15"/>
  <c r="JA74" i="15"/>
  <c r="CD72" i="15"/>
  <c r="HP75" i="15"/>
  <c r="AJ75" i="15"/>
  <c r="KC73" i="15"/>
  <c r="KD72" i="15"/>
  <c r="RI74" i="15"/>
  <c r="QZ75" i="15"/>
  <c r="GF75" i="15"/>
  <c r="OR75" i="15"/>
  <c r="BL75" i="15"/>
  <c r="EG74" i="15"/>
  <c r="EH74" i="15" s="1"/>
  <c r="RD75" i="15"/>
  <c r="OC73" i="15"/>
  <c r="OD72" i="15"/>
  <c r="UK73" i="15"/>
  <c r="UL72" i="15"/>
  <c r="SF75" i="15"/>
  <c r="JQ73" i="15"/>
  <c r="JR72" i="15"/>
  <c r="TX75" i="15"/>
  <c r="HM74" i="15"/>
  <c r="NT75" i="15"/>
  <c r="MC74" i="15"/>
  <c r="MD74" i="15" s="1"/>
  <c r="MV75" i="15"/>
  <c r="KV75" i="15"/>
  <c r="AS73" i="15"/>
  <c r="AT72" i="15"/>
  <c r="SB75" i="15"/>
  <c r="QP73" i="15"/>
  <c r="SO74" i="15"/>
  <c r="QJ75" i="15"/>
  <c r="SS73" i="15"/>
  <c r="ST72" i="15"/>
  <c r="MJ75" i="15"/>
  <c r="TQ73" i="15"/>
  <c r="TR72" i="15"/>
  <c r="GS74" i="15"/>
  <c r="GG73" i="15"/>
  <c r="GH72" i="15"/>
  <c r="NL75" i="15"/>
  <c r="FQ73" i="15"/>
  <c r="FR72" i="15"/>
  <c r="PA73" i="15"/>
  <c r="PB72" i="15"/>
  <c r="SJ75" i="15"/>
  <c r="OK74" i="15"/>
  <c r="CO74" i="15"/>
  <c r="CG73" i="15"/>
  <c r="CH72" i="15"/>
  <c r="QV75" i="15"/>
  <c r="EZ75" i="15"/>
  <c r="HX75" i="15"/>
  <c r="QS74" i="15"/>
  <c r="KP73" i="15"/>
  <c r="FE74" i="15"/>
  <c r="FF74" i="15" s="1"/>
  <c r="KW73" i="15"/>
  <c r="KX72" i="15"/>
  <c r="PT75" i="15"/>
  <c r="BH75" i="15"/>
  <c r="DE73" i="15"/>
  <c r="DF72" i="15"/>
  <c r="LI74" i="15"/>
  <c r="CT73" i="15"/>
  <c r="CR74" i="15"/>
  <c r="AW73" i="15"/>
  <c r="AX72" i="15"/>
  <c r="JX75" i="15"/>
  <c r="QN75" i="15"/>
  <c r="NY73" i="15"/>
  <c r="NZ72" i="15"/>
  <c r="GN75" i="15"/>
  <c r="SV75" i="15"/>
  <c r="LU73" i="15"/>
  <c r="LV72" i="15"/>
  <c r="GV75" i="15"/>
  <c r="GW75" i="15" s="1"/>
  <c r="GX74" i="15"/>
  <c r="D75" i="15"/>
  <c r="CJ75" i="15"/>
  <c r="PH75" i="15"/>
  <c r="DY73" i="15"/>
  <c r="DZ72" i="15"/>
  <c r="PM73" i="15"/>
  <c r="AG74" i="15"/>
  <c r="AH74" i="15" s="1"/>
  <c r="RE74" i="15"/>
  <c r="GT73" i="15"/>
  <c r="QB75" i="15"/>
  <c r="AO74" i="15"/>
  <c r="QX73" i="15"/>
  <c r="HZ73" i="15"/>
  <c r="SG74" i="15"/>
  <c r="F77" i="9"/>
  <c r="G77" i="9" s="1"/>
  <c r="F77" i="8"/>
  <c r="G77" i="8" s="1"/>
  <c r="E78" i="11"/>
  <c r="F77" i="11"/>
  <c r="G76" i="10"/>
  <c r="G77" i="10"/>
  <c r="G76" i="9"/>
  <c r="E78" i="9"/>
  <c r="G76" i="8"/>
  <c r="E78" i="8"/>
  <c r="E79" i="2"/>
  <c r="F78" i="2"/>
  <c r="EO75" i="15" l="1"/>
  <c r="LQ75" i="15"/>
  <c r="GO75" i="15"/>
  <c r="GP75" i="15" s="1"/>
  <c r="FY75" i="15"/>
  <c r="FZ75" i="15" s="1"/>
  <c r="IG75" i="15"/>
  <c r="IH75" i="15" s="1"/>
  <c r="E75" i="15"/>
  <c r="F75" i="15" s="1"/>
  <c r="MO75" i="15"/>
  <c r="MP75" i="15" s="1"/>
  <c r="LY75" i="15"/>
  <c r="LZ75" i="15" s="1"/>
  <c r="BI75" i="15"/>
  <c r="BJ75" i="15" s="1"/>
  <c r="RE75" i="15"/>
  <c r="RF75" i="15" s="1"/>
  <c r="AC75" i="15"/>
  <c r="FU75" i="15"/>
  <c r="FV75" i="15" s="1"/>
  <c r="KK75" i="15"/>
  <c r="KL75" i="15" s="1"/>
  <c r="CK75" i="15"/>
  <c r="CL75" i="15" s="1"/>
  <c r="AK75" i="15"/>
  <c r="AL75" i="15" s="1"/>
  <c r="GS75" i="15"/>
  <c r="GT75" i="15" s="1"/>
  <c r="TY75" i="15"/>
  <c r="TZ75" i="15" s="1"/>
  <c r="IS75" i="15"/>
  <c r="IT75" i="15" s="1"/>
  <c r="LI75" i="15"/>
  <c r="LJ75" i="15" s="1"/>
  <c r="SK75" i="15"/>
  <c r="SL75" i="15" s="1"/>
  <c r="DQ75" i="15"/>
  <c r="DR75" i="15" s="1"/>
  <c r="BE75" i="15"/>
  <c r="BF75" i="15" s="1"/>
  <c r="SG75" i="15"/>
  <c r="SH75" i="15" s="1"/>
  <c r="BU74" i="15"/>
  <c r="BV74" i="15" s="1"/>
  <c r="HM75" i="15"/>
  <c r="HN75" i="15" s="1"/>
  <c r="KO75" i="15"/>
  <c r="KP75" i="15" s="1"/>
  <c r="OG74" i="15"/>
  <c r="OH74" i="15" s="1"/>
  <c r="JM75" i="15"/>
  <c r="JN75" i="15" s="1"/>
  <c r="JA75" i="15"/>
  <c r="JB75" i="15" s="1"/>
  <c r="TU75" i="15"/>
  <c r="TV75" i="15" s="1"/>
  <c r="QO75" i="15"/>
  <c r="QP75" i="15" s="1"/>
  <c r="AO75" i="15"/>
  <c r="AP75" i="15" s="1"/>
  <c r="U75" i="15"/>
  <c r="V75" i="15" s="1"/>
  <c r="RI75" i="15"/>
  <c r="RJ75" i="15" s="1"/>
  <c r="UO75" i="15"/>
  <c r="UP75" i="15" s="1"/>
  <c r="BQ75" i="15"/>
  <c r="BR75" i="15" s="1"/>
  <c r="SO75" i="15"/>
  <c r="SP75" i="15" s="1"/>
  <c r="QS75" i="15"/>
  <c r="QT75" i="15" s="1"/>
  <c r="CO75" i="15"/>
  <c r="CP75" i="15" s="1"/>
  <c r="OK75" i="15"/>
  <c r="OL75" i="15" s="1"/>
  <c r="PM74" i="15"/>
  <c r="PN74" i="15" s="1"/>
  <c r="DM75" i="15"/>
  <c r="DN75" i="15" s="1"/>
  <c r="BM74" i="15"/>
  <c r="BN73" i="15"/>
  <c r="PL75" i="15"/>
  <c r="LL76" i="15"/>
  <c r="KG74" i="15"/>
  <c r="KH73" i="15"/>
  <c r="SZ76" i="15"/>
  <c r="HU74" i="15"/>
  <c r="HV73" i="15"/>
  <c r="TP76" i="15"/>
  <c r="FT76" i="15"/>
  <c r="FH76" i="15"/>
  <c r="L76" i="15"/>
  <c r="RA74" i="15"/>
  <c r="RB73" i="15"/>
  <c r="FI75" i="15"/>
  <c r="HT76" i="15"/>
  <c r="SN76" i="15"/>
  <c r="PP76" i="15"/>
  <c r="AF76" i="15"/>
  <c r="US74" i="15"/>
  <c r="UT73" i="15"/>
  <c r="NM74" i="15"/>
  <c r="NN73" i="15"/>
  <c r="MS74" i="15"/>
  <c r="MT73" i="15"/>
  <c r="RL76" i="15"/>
  <c r="SP74" i="15"/>
  <c r="DI74" i="15"/>
  <c r="DJ73" i="15"/>
  <c r="JD76" i="15"/>
  <c r="RQ74" i="15"/>
  <c r="RR73" i="15"/>
  <c r="DY74" i="15"/>
  <c r="DZ73" i="15"/>
  <c r="ER76" i="15"/>
  <c r="UJ76" i="15"/>
  <c r="GK74" i="15"/>
  <c r="GL73" i="15"/>
  <c r="EV76" i="15"/>
  <c r="GB76" i="15"/>
  <c r="MK74" i="15"/>
  <c r="ML73" i="15"/>
  <c r="LP76" i="15"/>
  <c r="LQ76" i="15" s="1"/>
  <c r="LR75" i="15"/>
  <c r="JU74" i="15"/>
  <c r="JV73" i="15"/>
  <c r="GG74" i="15"/>
  <c r="GH73" i="15"/>
  <c r="NT76" i="15"/>
  <c r="GF76" i="15"/>
  <c r="TH76" i="15"/>
  <c r="KJ76" i="15"/>
  <c r="CW74" i="15"/>
  <c r="CX73" i="15"/>
  <c r="SC74" i="15"/>
  <c r="SD73" i="15"/>
  <c r="OJ76" i="15"/>
  <c r="OW74" i="15"/>
  <c r="OX73" i="15"/>
  <c r="OF75" i="15"/>
  <c r="JE74" i="15"/>
  <c r="JF73" i="15"/>
  <c r="Q74" i="15"/>
  <c r="R73" i="15"/>
  <c r="UC74" i="15"/>
  <c r="UD73" i="15"/>
  <c r="LR74" i="15"/>
  <c r="ND76" i="15"/>
  <c r="FD76" i="15"/>
  <c r="UR76" i="15"/>
  <c r="CR75" i="15"/>
  <c r="UG74" i="15"/>
  <c r="UH73" i="15"/>
  <c r="QK74" i="15"/>
  <c r="QL73" i="15"/>
  <c r="IB76" i="15"/>
  <c r="TT76" i="15"/>
  <c r="PQ74" i="15"/>
  <c r="PR73" i="15"/>
  <c r="OL74" i="15"/>
  <c r="HH76" i="15"/>
  <c r="OB76" i="15"/>
  <c r="CF76" i="15"/>
  <c r="OH73" i="15"/>
  <c r="CV76" i="15"/>
  <c r="HA74" i="15"/>
  <c r="HB73" i="15"/>
  <c r="RT76" i="15"/>
  <c r="MB76" i="15"/>
  <c r="BL76" i="15"/>
  <c r="EC74" i="15"/>
  <c r="ED73" i="15"/>
  <c r="RH76" i="15"/>
  <c r="TV74" i="15"/>
  <c r="DU74" i="15"/>
  <c r="DV73" i="15"/>
  <c r="QG74" i="15"/>
  <c r="QH73" i="15"/>
  <c r="JX76" i="15"/>
  <c r="PH76" i="15"/>
  <c r="MJ76" i="15"/>
  <c r="TX76" i="15"/>
  <c r="ON76" i="15"/>
  <c r="PU74" i="15"/>
  <c r="PV73" i="15"/>
  <c r="IC75" i="15"/>
  <c r="RJ74" i="15"/>
  <c r="GJ76" i="15"/>
  <c r="LA74" i="15"/>
  <c r="LB73" i="15"/>
  <c r="P76" i="15"/>
  <c r="GZ76" i="15"/>
  <c r="DD76" i="15"/>
  <c r="CP74" i="15"/>
  <c r="RX76" i="15"/>
  <c r="JI74" i="15"/>
  <c r="JJ73" i="15"/>
  <c r="OO74" i="15"/>
  <c r="OP73" i="15"/>
  <c r="GC74" i="15"/>
  <c r="GD73" i="15"/>
  <c r="CN76" i="15"/>
  <c r="AZ76" i="15"/>
  <c r="EB76" i="15"/>
  <c r="KN76" i="15"/>
  <c r="SS74" i="15"/>
  <c r="ST73" i="15"/>
  <c r="DE74" i="15"/>
  <c r="DF73" i="15"/>
  <c r="RM74" i="15"/>
  <c r="RN73" i="15"/>
  <c r="NQ74" i="15"/>
  <c r="NR73" i="15"/>
  <c r="MF76" i="15"/>
  <c r="SR76" i="15"/>
  <c r="ES74" i="15"/>
  <c r="ET73" i="15"/>
  <c r="JT76" i="15"/>
  <c r="IJ76" i="15"/>
  <c r="HN74" i="15"/>
  <c r="Y74" i="15"/>
  <c r="Z73" i="15"/>
  <c r="OR76" i="15"/>
  <c r="CG74" i="15"/>
  <c r="CH73" i="15"/>
  <c r="AJ76" i="15"/>
  <c r="KZ76" i="15"/>
  <c r="EJ76" i="15"/>
  <c r="BY74" i="15"/>
  <c r="BZ73" i="15"/>
  <c r="FM75" i="15"/>
  <c r="IW74" i="15"/>
  <c r="IX73" i="15"/>
  <c r="T76" i="15"/>
  <c r="NX76" i="15"/>
  <c r="NI74" i="15"/>
  <c r="NJ73" i="15"/>
  <c r="UF76" i="15"/>
  <c r="HL76" i="15"/>
  <c r="X76" i="15"/>
  <c r="LE74" i="15"/>
  <c r="LF73" i="15"/>
  <c r="KR76" i="15"/>
  <c r="QJ76" i="15"/>
  <c r="KC74" i="15"/>
  <c r="KD73" i="15"/>
  <c r="SF76" i="15"/>
  <c r="OS74" i="15"/>
  <c r="OT73" i="15"/>
  <c r="NP76" i="15"/>
  <c r="LX76" i="15"/>
  <c r="BD76" i="15"/>
  <c r="EK75" i="15"/>
  <c r="EL75" i="15" s="1"/>
  <c r="LD76" i="15"/>
  <c r="PZ75" i="15"/>
  <c r="PX76" i="15"/>
  <c r="AR76" i="15"/>
  <c r="JN74" i="15"/>
  <c r="LJ74" i="15"/>
  <c r="RU74" i="15"/>
  <c r="RV73" i="15"/>
  <c r="QV76" i="15"/>
  <c r="SH74" i="15"/>
  <c r="HP76" i="15"/>
  <c r="TE74" i="15"/>
  <c r="TF73" i="15"/>
  <c r="MN76" i="15"/>
  <c r="DH76" i="15"/>
  <c r="MZ75" i="15"/>
  <c r="CZ76" i="15"/>
  <c r="FP76" i="15"/>
  <c r="LT76" i="15"/>
  <c r="JL76" i="15"/>
  <c r="IO74" i="15"/>
  <c r="IP73" i="15"/>
  <c r="LH76" i="15"/>
  <c r="FL76" i="15"/>
  <c r="HX76" i="15"/>
  <c r="OV76" i="15"/>
  <c r="IN76" i="15"/>
  <c r="HI74" i="15"/>
  <c r="HJ73" i="15"/>
  <c r="PI75" i="15"/>
  <c r="EF76" i="15"/>
  <c r="IK74" i="15"/>
  <c r="IL73" i="15"/>
  <c r="H75" i="15"/>
  <c r="IV76" i="15"/>
  <c r="JH76" i="15"/>
  <c r="CS74" i="15"/>
  <c r="QN76" i="15"/>
  <c r="FX76" i="15"/>
  <c r="TQ74" i="15"/>
  <c r="TR73" i="15"/>
  <c r="QZ76" i="15"/>
  <c r="QW75" i="15"/>
  <c r="QX75" i="15" s="1"/>
  <c r="JQ74" i="15"/>
  <c r="JR73" i="15"/>
  <c r="HY75" i="15"/>
  <c r="HZ75" i="15" s="1"/>
  <c r="SJ76" i="15"/>
  <c r="PT76" i="15"/>
  <c r="QT74" i="15"/>
  <c r="PD76" i="15"/>
  <c r="TI74" i="15"/>
  <c r="TJ73" i="15"/>
  <c r="GR76" i="15"/>
  <c r="KF76" i="15"/>
  <c r="AP74" i="15"/>
  <c r="NE74" i="15"/>
  <c r="NF73" i="15"/>
  <c r="TA74" i="15"/>
  <c r="TB73" i="15"/>
  <c r="I74" i="15"/>
  <c r="J74" i="15" s="1"/>
  <c r="PN73" i="15"/>
  <c r="D76" i="15"/>
  <c r="GX75" i="15"/>
  <c r="GV76" i="15"/>
  <c r="GW76" i="15" s="1"/>
  <c r="TM74" i="15"/>
  <c r="TN73" i="15"/>
  <c r="DT76" i="15"/>
  <c r="AN76" i="15"/>
  <c r="BH76" i="15"/>
  <c r="PA74" i="15"/>
  <c r="PB73" i="15"/>
  <c r="QB76" i="15"/>
  <c r="KW74" i="15"/>
  <c r="KX73" i="15"/>
  <c r="OC74" i="15"/>
  <c r="OD73" i="15"/>
  <c r="JP76" i="15"/>
  <c r="AB76" i="15"/>
  <c r="AC76" i="15" s="1"/>
  <c r="AD75" i="15"/>
  <c r="M74" i="15"/>
  <c r="N73" i="15"/>
  <c r="FE75" i="15"/>
  <c r="NL76" i="15"/>
  <c r="PE75" i="15"/>
  <c r="RF74" i="15"/>
  <c r="UN76" i="15"/>
  <c r="RP76" i="15"/>
  <c r="KB76" i="15"/>
  <c r="DP76" i="15"/>
  <c r="RY74" i="15"/>
  <c r="RZ73" i="15"/>
  <c r="TL76" i="15"/>
  <c r="BT75" i="15"/>
  <c r="EW74" i="15"/>
  <c r="EX73" i="15"/>
  <c r="BP76" i="15"/>
  <c r="KS75" i="15"/>
  <c r="IF76" i="15"/>
  <c r="MV76" i="15"/>
  <c r="EZ76" i="15"/>
  <c r="CJ76" i="15"/>
  <c r="AS74" i="15"/>
  <c r="AT73" i="15"/>
  <c r="GN76" i="15"/>
  <c r="GO76" i="15" s="1"/>
  <c r="DA75" i="15"/>
  <c r="DB75" i="15" s="1"/>
  <c r="QR76" i="15"/>
  <c r="KV76" i="15"/>
  <c r="RD76" i="15"/>
  <c r="MW74" i="15"/>
  <c r="MX73" i="15"/>
  <c r="MG75" i="15"/>
  <c r="MH75" i="15" s="1"/>
  <c r="UP74" i="15"/>
  <c r="JB74" i="15"/>
  <c r="UB76" i="15"/>
  <c r="HD76" i="15"/>
  <c r="JY75" i="15"/>
  <c r="JZ75" i="15" s="1"/>
  <c r="HQ75" i="15"/>
  <c r="FA74" i="15"/>
  <c r="FB73" i="15"/>
  <c r="MR76" i="15"/>
  <c r="QC74" i="15"/>
  <c r="QD73" i="15"/>
  <c r="BX76" i="15"/>
  <c r="BV73" i="15"/>
  <c r="OZ76" i="15"/>
  <c r="HE75" i="15"/>
  <c r="HF75" i="15" s="1"/>
  <c r="MC75" i="15"/>
  <c r="AW74" i="15"/>
  <c r="AX73" i="15"/>
  <c r="SB76" i="15"/>
  <c r="LU74" i="15"/>
  <c r="LV73" i="15"/>
  <c r="SV76" i="15"/>
  <c r="UK74" i="15"/>
  <c r="UL73" i="15"/>
  <c r="LM75" i="15"/>
  <c r="LN75" i="15" s="1"/>
  <c r="FQ74" i="15"/>
  <c r="FR73" i="15"/>
  <c r="IR76" i="15"/>
  <c r="QF76" i="15"/>
  <c r="GT74" i="15"/>
  <c r="AG75" i="15"/>
  <c r="NY74" i="15"/>
  <c r="NZ73" i="15"/>
  <c r="SW75" i="15"/>
  <c r="SX75" i="15" s="1"/>
  <c r="EG75" i="15"/>
  <c r="TD76" i="15"/>
  <c r="DX76" i="15"/>
  <c r="CB75" i="15"/>
  <c r="EP75" i="15"/>
  <c r="EN76" i="15"/>
  <c r="EO76" i="15" s="1"/>
  <c r="IZ76" i="15"/>
  <c r="BA75" i="15"/>
  <c r="BB75" i="15" s="1"/>
  <c r="AV76" i="15"/>
  <c r="NH76" i="15"/>
  <c r="DL76" i="15"/>
  <c r="CC74" i="15"/>
  <c r="CD74" i="15" s="1"/>
  <c r="NU74" i="15"/>
  <c r="NV73" i="15"/>
  <c r="NA74" i="15"/>
  <c r="F78" i="11"/>
  <c r="G78" i="11" s="1"/>
  <c r="F79" i="2"/>
  <c r="G79" i="2" s="1"/>
  <c r="G77" i="11"/>
  <c r="E79" i="11"/>
  <c r="E79" i="9"/>
  <c r="F78" i="9"/>
  <c r="E79" i="8"/>
  <c r="F78" i="8"/>
  <c r="E80" i="2"/>
  <c r="G78" i="2"/>
  <c r="HM76" i="15" l="1"/>
  <c r="RE76" i="15"/>
  <c r="E76" i="15"/>
  <c r="F76" i="15" s="1"/>
  <c r="LY76" i="15"/>
  <c r="LZ76" i="15" s="1"/>
  <c r="MO76" i="15"/>
  <c r="MP76" i="15" s="1"/>
  <c r="EG76" i="15"/>
  <c r="EH76" i="15" s="1"/>
  <c r="BI76" i="15"/>
  <c r="BJ76" i="15" s="1"/>
  <c r="GS76" i="15"/>
  <c r="GT76" i="15" s="1"/>
  <c r="TY76" i="15"/>
  <c r="TZ76" i="15" s="1"/>
  <c r="DQ76" i="15"/>
  <c r="DR76" i="15" s="1"/>
  <c r="BE76" i="15"/>
  <c r="BF76" i="15" s="1"/>
  <c r="IS76" i="15"/>
  <c r="IT76" i="15" s="1"/>
  <c r="CO76" i="15"/>
  <c r="CP76" i="15" s="1"/>
  <c r="AG76" i="15"/>
  <c r="AH76" i="15" s="1"/>
  <c r="KO76" i="15"/>
  <c r="KP76" i="15" s="1"/>
  <c r="JA76" i="15"/>
  <c r="JB76" i="15" s="1"/>
  <c r="LI76" i="15"/>
  <c r="LJ76" i="15" s="1"/>
  <c r="SK76" i="15"/>
  <c r="SL76" i="15" s="1"/>
  <c r="SG76" i="15"/>
  <c r="SH76" i="15" s="1"/>
  <c r="OG75" i="15"/>
  <c r="OH75" i="15" s="1"/>
  <c r="FI76" i="15"/>
  <c r="FJ76" i="15" s="1"/>
  <c r="JM76" i="15"/>
  <c r="JN76" i="15" s="1"/>
  <c r="UO76" i="15"/>
  <c r="UP76" i="15" s="1"/>
  <c r="PI76" i="15"/>
  <c r="PJ76" i="15" s="1"/>
  <c r="TU76" i="15"/>
  <c r="TV76" i="15" s="1"/>
  <c r="U76" i="15"/>
  <c r="V76" i="15" s="1"/>
  <c r="SO76" i="15"/>
  <c r="SP76" i="15" s="1"/>
  <c r="MC76" i="15"/>
  <c r="MD76" i="15" s="1"/>
  <c r="PM75" i="15"/>
  <c r="PN75" i="15" s="1"/>
  <c r="OK76" i="15"/>
  <c r="OL76" i="15" s="1"/>
  <c r="NA75" i="15"/>
  <c r="NB75" i="15" s="1"/>
  <c r="CS75" i="15"/>
  <c r="CT75" i="15" s="1"/>
  <c r="PE76" i="15"/>
  <c r="PF76" i="15" s="1"/>
  <c r="FE76" i="15"/>
  <c r="FF76" i="15" s="1"/>
  <c r="BQ76" i="15"/>
  <c r="BR76" i="15" s="1"/>
  <c r="IC76" i="15"/>
  <c r="ID76" i="15" s="1"/>
  <c r="FM76" i="15"/>
  <c r="FN76" i="15" s="1"/>
  <c r="KS76" i="15"/>
  <c r="KT76" i="15" s="1"/>
  <c r="HQ76" i="15"/>
  <c r="HR76" i="15" s="1"/>
  <c r="KG75" i="15"/>
  <c r="KH74" i="15"/>
  <c r="AZ77" i="15"/>
  <c r="JX77" i="15"/>
  <c r="OJ77" i="15"/>
  <c r="DI75" i="15"/>
  <c r="DJ74" i="15"/>
  <c r="LL77" i="15"/>
  <c r="UK75" i="15"/>
  <c r="UL74" i="15"/>
  <c r="HA75" i="15"/>
  <c r="HB74" i="15"/>
  <c r="JT77" i="15"/>
  <c r="P77" i="15"/>
  <c r="CV77" i="15"/>
  <c r="CR76" i="15"/>
  <c r="MK75" i="15"/>
  <c r="ML74" i="15"/>
  <c r="QR77" i="15"/>
  <c r="MZ76" i="15"/>
  <c r="PX77" i="15"/>
  <c r="KT75" i="15"/>
  <c r="BY75" i="15"/>
  <c r="BZ74" i="15"/>
  <c r="CN77" i="15"/>
  <c r="CT74" i="15"/>
  <c r="PL76" i="15"/>
  <c r="FP77" i="15"/>
  <c r="QC75" i="15"/>
  <c r="QD74" i="15"/>
  <c r="AN77" i="15"/>
  <c r="DA76" i="15"/>
  <c r="DB76" i="15" s="1"/>
  <c r="GR77" i="15"/>
  <c r="OV77" i="15"/>
  <c r="NB74" i="15"/>
  <c r="KR77" i="15"/>
  <c r="EJ77" i="15"/>
  <c r="ES75" i="15"/>
  <c r="ET74" i="15"/>
  <c r="LA75" i="15"/>
  <c r="LB74" i="15"/>
  <c r="QG75" i="15"/>
  <c r="QH74" i="15"/>
  <c r="SC75" i="15"/>
  <c r="SD74" i="15"/>
  <c r="GB77" i="15"/>
  <c r="RL77" i="15"/>
  <c r="RA75" i="15"/>
  <c r="RB74" i="15"/>
  <c r="PJ75" i="15"/>
  <c r="IW75" i="15"/>
  <c r="IX74" i="15"/>
  <c r="M75" i="15"/>
  <c r="N74" i="15"/>
  <c r="DT77" i="15"/>
  <c r="FX77" i="15"/>
  <c r="SR77" i="15"/>
  <c r="GJ77" i="15"/>
  <c r="CF77" i="15"/>
  <c r="UR77" i="15"/>
  <c r="EV77" i="15"/>
  <c r="L77" i="15"/>
  <c r="BM75" i="15"/>
  <c r="BN74" i="15"/>
  <c r="JD77" i="15"/>
  <c r="NE75" i="15"/>
  <c r="NF74" i="15"/>
  <c r="DH77" i="15"/>
  <c r="LD77" i="15"/>
  <c r="LE75" i="15"/>
  <c r="LF74" i="15"/>
  <c r="GC75" i="15"/>
  <c r="GD74" i="15"/>
  <c r="DU75" i="15"/>
  <c r="DV74" i="15"/>
  <c r="FD77" i="15"/>
  <c r="CW75" i="15"/>
  <c r="CX74" i="15"/>
  <c r="MS75" i="15"/>
  <c r="MT74" i="15"/>
  <c r="CB76" i="15"/>
  <c r="QZ77" i="15"/>
  <c r="MR77" i="15"/>
  <c r="TD77" i="15"/>
  <c r="JY76" i="15"/>
  <c r="JZ76" i="15" s="1"/>
  <c r="AD76" i="15"/>
  <c r="AB77" i="15"/>
  <c r="AC77" i="15" s="1"/>
  <c r="TI75" i="15"/>
  <c r="TJ74" i="15"/>
  <c r="QN77" i="15"/>
  <c r="HX77" i="15"/>
  <c r="MN77" i="15"/>
  <c r="EK76" i="15"/>
  <c r="KZ77" i="15"/>
  <c r="OB77" i="15"/>
  <c r="FF75" i="15"/>
  <c r="FH77" i="15"/>
  <c r="HT77" i="15"/>
  <c r="TQ75" i="15"/>
  <c r="TR74" i="15"/>
  <c r="BT76" i="15"/>
  <c r="BD77" i="15"/>
  <c r="X77" i="15"/>
  <c r="MF77" i="15"/>
  <c r="OO75" i="15"/>
  <c r="OP74" i="15"/>
  <c r="KJ77" i="15"/>
  <c r="GK75" i="15"/>
  <c r="GL74" i="15"/>
  <c r="NM75" i="15"/>
  <c r="NN74" i="15"/>
  <c r="FJ75" i="15"/>
  <c r="KC75" i="15"/>
  <c r="KD74" i="15"/>
  <c r="PH77" i="15"/>
  <c r="CZ77" i="15"/>
  <c r="FL77" i="15"/>
  <c r="AJ77" i="15"/>
  <c r="PY76" i="15"/>
  <c r="HH77" i="15"/>
  <c r="ND77" i="15"/>
  <c r="FT77" i="15"/>
  <c r="LP77" i="15"/>
  <c r="LQ77" i="15" s="1"/>
  <c r="LR76" i="15"/>
  <c r="GP76" i="15"/>
  <c r="GN77" i="15"/>
  <c r="FN75" i="15"/>
  <c r="TE75" i="15"/>
  <c r="TF74" i="15"/>
  <c r="HL77" i="15"/>
  <c r="HM77" i="15" s="1"/>
  <c r="HN76" i="15"/>
  <c r="NQ75" i="15"/>
  <c r="NR74" i="15"/>
  <c r="PU75" i="15"/>
  <c r="PV74" i="15"/>
  <c r="RH77" i="15"/>
  <c r="TH77" i="15"/>
  <c r="UJ77" i="15"/>
  <c r="QO76" i="15"/>
  <c r="QP76" i="15" s="1"/>
  <c r="UG75" i="15"/>
  <c r="UH74" i="15"/>
  <c r="TL77" i="15"/>
  <c r="NU75" i="15"/>
  <c r="NV74" i="15"/>
  <c r="OC75" i="15"/>
  <c r="OD74" i="15"/>
  <c r="HR75" i="15"/>
  <c r="LX77" i="15"/>
  <c r="UF77" i="15"/>
  <c r="JI75" i="15"/>
  <c r="JJ74" i="15"/>
  <c r="GF77" i="15"/>
  <c r="EB77" i="15"/>
  <c r="NL77" i="15"/>
  <c r="NY75" i="15"/>
  <c r="NZ74" i="15"/>
  <c r="PF75" i="15"/>
  <c r="CJ77" i="15"/>
  <c r="PT77" i="15"/>
  <c r="IV77" i="15"/>
  <c r="LH77" i="15"/>
  <c r="HP77" i="15"/>
  <c r="NP77" i="15"/>
  <c r="CG75" i="15"/>
  <c r="CH74" i="15"/>
  <c r="RM75" i="15"/>
  <c r="RN74" i="15"/>
  <c r="ON77" i="15"/>
  <c r="EC75" i="15"/>
  <c r="ED74" i="15"/>
  <c r="PQ75" i="15"/>
  <c r="PR74" i="15"/>
  <c r="UC75" i="15"/>
  <c r="UD74" i="15"/>
  <c r="ER77" i="15"/>
  <c r="US75" i="15"/>
  <c r="UT74" i="15"/>
  <c r="TP77" i="15"/>
  <c r="FY76" i="15"/>
  <c r="FZ76" i="15" s="1"/>
  <c r="OW75" i="15"/>
  <c r="OX74" i="15"/>
  <c r="IN77" i="15"/>
  <c r="SW76" i="15"/>
  <c r="SX76" i="15" s="1"/>
  <c r="DL77" i="15"/>
  <c r="JP77" i="15"/>
  <c r="DP77" i="15"/>
  <c r="QF77" i="15"/>
  <c r="D77" i="15"/>
  <c r="CK76" i="15"/>
  <c r="DM76" i="15"/>
  <c r="AF77" i="15"/>
  <c r="BH77" i="15"/>
  <c r="HI75" i="15"/>
  <c r="HJ74" i="15"/>
  <c r="EW75" i="15"/>
  <c r="EX74" i="15"/>
  <c r="NH77" i="15"/>
  <c r="AV77" i="15"/>
  <c r="DE75" i="15"/>
  <c r="DF74" i="15"/>
  <c r="RX77" i="15"/>
  <c r="RI76" i="15"/>
  <c r="BL77" i="15"/>
  <c r="TT77" i="15"/>
  <c r="Q75" i="15"/>
  <c r="R74" i="15"/>
  <c r="NT77" i="15"/>
  <c r="AH75" i="15"/>
  <c r="HU75" i="15"/>
  <c r="HV74" i="15"/>
  <c r="AK76" i="15"/>
  <c r="KV77" i="15"/>
  <c r="SV77" i="15"/>
  <c r="DX77" i="15"/>
  <c r="FA75" i="15"/>
  <c r="FB74" i="15"/>
  <c r="RY75" i="15"/>
  <c r="RZ74" i="15"/>
  <c r="GV77" i="15"/>
  <c r="GW77" i="15" s="1"/>
  <c r="GX76" i="15"/>
  <c r="MD75" i="15"/>
  <c r="DY75" i="15"/>
  <c r="DZ74" i="15"/>
  <c r="PP77" i="15"/>
  <c r="QS76" i="15"/>
  <c r="KF77" i="15"/>
  <c r="CC75" i="15"/>
  <c r="TM75" i="15"/>
  <c r="TN74" i="15"/>
  <c r="AW75" i="15"/>
  <c r="AX74" i="15"/>
  <c r="HE76" i="15"/>
  <c r="HF76" i="15" s="1"/>
  <c r="SJ77" i="15"/>
  <c r="IR77" i="15"/>
  <c r="EZ77" i="15"/>
  <c r="NI75" i="15"/>
  <c r="NJ74" i="15"/>
  <c r="RP77" i="15"/>
  <c r="JL77" i="15"/>
  <c r="MW75" i="15"/>
  <c r="MX74" i="15"/>
  <c r="MV77" i="15"/>
  <c r="I75" i="15"/>
  <c r="IK75" i="15"/>
  <c r="IL74" i="15"/>
  <c r="QV77" i="15"/>
  <c r="NX77" i="15"/>
  <c r="Y75" i="15"/>
  <c r="Z74" i="15"/>
  <c r="SS75" i="15"/>
  <c r="ST74" i="15"/>
  <c r="TX77" i="15"/>
  <c r="MB77" i="15"/>
  <c r="IB77" i="15"/>
  <c r="JE75" i="15"/>
  <c r="JF74" i="15"/>
  <c r="GG75" i="15"/>
  <c r="GH74" i="15"/>
  <c r="QJ77" i="15"/>
  <c r="AR77" i="15"/>
  <c r="LU75" i="15"/>
  <c r="LV74" i="15"/>
  <c r="SB77" i="15"/>
  <c r="PD77" i="15"/>
  <c r="AS75" i="15"/>
  <c r="AT74" i="15"/>
  <c r="UB77" i="15"/>
  <c r="KW75" i="15"/>
  <c r="KX74" i="15"/>
  <c r="MG76" i="15"/>
  <c r="IO75" i="15"/>
  <c r="IP74" i="15"/>
  <c r="OR77" i="15"/>
  <c r="KK76" i="15"/>
  <c r="KL76" i="15" s="1"/>
  <c r="OS75" i="15"/>
  <c r="OT74" i="15"/>
  <c r="FQ75" i="15"/>
  <c r="FR74" i="15"/>
  <c r="BX77" i="15"/>
  <c r="RD77" i="15"/>
  <c r="RE77" i="15" s="1"/>
  <c r="RF76" i="15"/>
  <c r="IF77" i="15"/>
  <c r="UN77" i="15"/>
  <c r="PA75" i="15"/>
  <c r="PB74" i="15"/>
  <c r="JQ75" i="15"/>
  <c r="JR74" i="15"/>
  <c r="EF77" i="15"/>
  <c r="LT77" i="15"/>
  <c r="SF77" i="15"/>
  <c r="T77" i="15"/>
  <c r="OF76" i="15"/>
  <c r="RQ75" i="15"/>
  <c r="RR74" i="15"/>
  <c r="SZ77" i="15"/>
  <c r="FU76" i="15"/>
  <c r="GZ77" i="15"/>
  <c r="BP77" i="15"/>
  <c r="HD77" i="15"/>
  <c r="JH77" i="15"/>
  <c r="KB77" i="15"/>
  <c r="H76" i="15"/>
  <c r="OZ77" i="15"/>
  <c r="QB77" i="15"/>
  <c r="BA76" i="15"/>
  <c r="HY76" i="15"/>
  <c r="ID75" i="15"/>
  <c r="IZ77" i="15"/>
  <c r="EN77" i="15"/>
  <c r="EO77" i="15" s="1"/>
  <c r="EP76" i="15"/>
  <c r="LM76" i="15"/>
  <c r="BU75" i="15"/>
  <c r="BV75" i="15" s="1"/>
  <c r="AO76" i="15"/>
  <c r="TA75" i="15"/>
  <c r="TB74" i="15"/>
  <c r="QW76" i="15"/>
  <c r="EH75" i="15"/>
  <c r="RU75" i="15"/>
  <c r="RV74" i="15"/>
  <c r="IJ77" i="15"/>
  <c r="KN77" i="15"/>
  <c r="DD77" i="15"/>
  <c r="MJ77" i="15"/>
  <c r="RT77" i="15"/>
  <c r="QK75" i="15"/>
  <c r="QL74" i="15"/>
  <c r="JU75" i="15"/>
  <c r="JV74" i="15"/>
  <c r="SN77" i="15"/>
  <c r="IG76" i="15"/>
  <c r="IH76" i="15" s="1"/>
  <c r="F79" i="9"/>
  <c r="G79" i="9" s="1"/>
  <c r="F79" i="8"/>
  <c r="G79" i="8" s="1"/>
  <c r="E80" i="11"/>
  <c r="F79" i="11"/>
  <c r="G78" i="10"/>
  <c r="G79" i="10"/>
  <c r="G78" i="9"/>
  <c r="E80" i="9"/>
  <c r="G78" i="8"/>
  <c r="E80" i="8"/>
  <c r="E81" i="2"/>
  <c r="F80" i="2"/>
  <c r="EG77" i="15" l="1"/>
  <c r="OG76" i="15"/>
  <c r="TY77" i="15"/>
  <c r="TZ77" i="15" s="1"/>
  <c r="BI77" i="15"/>
  <c r="BJ77" i="15" s="1"/>
  <c r="MO77" i="15"/>
  <c r="MP77" i="15" s="1"/>
  <c r="KO77" i="15"/>
  <c r="KP77" i="15" s="1"/>
  <c r="IS77" i="15"/>
  <c r="IT77" i="15" s="1"/>
  <c r="BE77" i="15"/>
  <c r="BF77" i="15" s="1"/>
  <c r="CO77" i="15"/>
  <c r="CP77" i="15" s="1"/>
  <c r="SG77" i="15"/>
  <c r="SH77" i="15" s="1"/>
  <c r="AG77" i="15"/>
  <c r="AH77" i="15" s="1"/>
  <c r="U77" i="15"/>
  <c r="V77" i="15" s="1"/>
  <c r="SK77" i="15"/>
  <c r="SL77" i="15" s="1"/>
  <c r="AK77" i="15"/>
  <c r="AL77" i="15" s="1"/>
  <c r="SO77" i="15"/>
  <c r="SP77" i="15" s="1"/>
  <c r="LM77" i="15"/>
  <c r="LN77" i="15" s="1"/>
  <c r="TU77" i="15"/>
  <c r="TV77" i="15" s="1"/>
  <c r="IC77" i="15"/>
  <c r="ID77" i="15" s="1"/>
  <c r="UO77" i="15"/>
  <c r="UP77" i="15" s="1"/>
  <c r="PI77" i="15"/>
  <c r="PJ77" i="15" s="1"/>
  <c r="FI77" i="15"/>
  <c r="FJ77" i="15" s="1"/>
  <c r="NA76" i="15"/>
  <c r="NB76" i="15" s="1"/>
  <c r="EK77" i="15"/>
  <c r="EL77" i="15" s="1"/>
  <c r="PM76" i="15"/>
  <c r="PN76" i="15" s="1"/>
  <c r="QW77" i="15"/>
  <c r="QX77" i="15" s="1"/>
  <c r="FU77" i="15"/>
  <c r="FV77" i="15" s="1"/>
  <c r="AO77" i="15"/>
  <c r="AP77" i="15" s="1"/>
  <c r="I76" i="15"/>
  <c r="J76" i="15" s="1"/>
  <c r="FE77" i="15"/>
  <c r="FF77" i="15" s="1"/>
  <c r="BA77" i="15"/>
  <c r="BB77" i="15" s="1"/>
  <c r="HY77" i="15"/>
  <c r="HZ77" i="15" s="1"/>
  <c r="MG77" i="15"/>
  <c r="MH77" i="15" s="1"/>
  <c r="RI77" i="15"/>
  <c r="RJ77" i="15" s="1"/>
  <c r="QS77" i="15"/>
  <c r="QT77" i="15" s="1"/>
  <c r="PY77" i="15"/>
  <c r="PZ77" i="15" s="1"/>
  <c r="DM77" i="15"/>
  <c r="DN77" i="15" s="1"/>
  <c r="CC76" i="15"/>
  <c r="CD76" i="15" s="1"/>
  <c r="CK77" i="15"/>
  <c r="CL77" i="15" s="1"/>
  <c r="TM76" i="15"/>
  <c r="TN75" i="15"/>
  <c r="HP78" i="15"/>
  <c r="RH78" i="15"/>
  <c r="OB78" i="15"/>
  <c r="MR78" i="15"/>
  <c r="QG76" i="15"/>
  <c r="QH75" i="15"/>
  <c r="MK76" i="15"/>
  <c r="ML75" i="15"/>
  <c r="QC76" i="15"/>
  <c r="QD75" i="15"/>
  <c r="IZ78" i="15"/>
  <c r="US76" i="15"/>
  <c r="UT75" i="15"/>
  <c r="JI76" i="15"/>
  <c r="JJ75" i="15"/>
  <c r="RJ76" i="15"/>
  <c r="KJ78" i="15"/>
  <c r="DH78" i="15"/>
  <c r="SC76" i="15"/>
  <c r="SD75" i="15"/>
  <c r="SV78" i="15"/>
  <c r="D78" i="15"/>
  <c r="ER78" i="15"/>
  <c r="HH78" i="15"/>
  <c r="KZ78" i="15"/>
  <c r="QZ78" i="15"/>
  <c r="FX78" i="15"/>
  <c r="LA76" i="15"/>
  <c r="LB75" i="15"/>
  <c r="PL77" i="15"/>
  <c r="CR77" i="15"/>
  <c r="JX78" i="15"/>
  <c r="IK76" i="15"/>
  <c r="IL75" i="15"/>
  <c r="IB78" i="15"/>
  <c r="DE76" i="15"/>
  <c r="DF75" i="15"/>
  <c r="QF78" i="15"/>
  <c r="IV78" i="15"/>
  <c r="UF78" i="15"/>
  <c r="PU76" i="15"/>
  <c r="PV75" i="15"/>
  <c r="CD75" i="15"/>
  <c r="BB76" i="15"/>
  <c r="AW76" i="15"/>
  <c r="AX75" i="15"/>
  <c r="LX78" i="15"/>
  <c r="AJ78" i="15"/>
  <c r="OO76" i="15"/>
  <c r="OP75" i="15"/>
  <c r="CB77" i="15"/>
  <c r="NE76" i="15"/>
  <c r="NF75" i="15"/>
  <c r="DT78" i="15"/>
  <c r="ES76" i="15"/>
  <c r="ET75" i="15"/>
  <c r="CV78" i="15"/>
  <c r="AZ78" i="15"/>
  <c r="FH78" i="15"/>
  <c r="BP78" i="15"/>
  <c r="AV78" i="15"/>
  <c r="UC76" i="15"/>
  <c r="UD75" i="15"/>
  <c r="NQ76" i="15"/>
  <c r="NR75" i="15"/>
  <c r="AL76" i="15"/>
  <c r="MH76" i="15"/>
  <c r="EJ78" i="15"/>
  <c r="CN78" i="15"/>
  <c r="P78" i="15"/>
  <c r="LD78" i="15"/>
  <c r="GK76" i="15"/>
  <c r="GL75" i="15"/>
  <c r="DX78" i="15"/>
  <c r="IF78" i="15"/>
  <c r="KV78" i="15"/>
  <c r="DP78" i="15"/>
  <c r="PT78" i="15"/>
  <c r="FL78" i="15"/>
  <c r="MF78" i="15"/>
  <c r="MN78" i="15"/>
  <c r="JD78" i="15"/>
  <c r="M76" i="15"/>
  <c r="N75" i="15"/>
  <c r="EL76" i="15"/>
  <c r="KG76" i="15"/>
  <c r="KH75" i="15"/>
  <c r="FP78" i="15"/>
  <c r="JE76" i="15"/>
  <c r="JF75" i="15"/>
  <c r="JP78" i="15"/>
  <c r="PQ76" i="15"/>
  <c r="PR75" i="15"/>
  <c r="CJ78" i="15"/>
  <c r="HN77" i="15"/>
  <c r="HL78" i="15"/>
  <c r="HX78" i="15"/>
  <c r="MS76" i="15"/>
  <c r="MT75" i="15"/>
  <c r="BY76" i="15"/>
  <c r="BZ75" i="15"/>
  <c r="IO76" i="15"/>
  <c r="IP75" i="15"/>
  <c r="GF78" i="15"/>
  <c r="MW76" i="15"/>
  <c r="MX75" i="15"/>
  <c r="JL78" i="15"/>
  <c r="RQ76" i="15"/>
  <c r="RR75" i="15"/>
  <c r="CL76" i="15"/>
  <c r="OC76" i="15"/>
  <c r="OD75" i="15"/>
  <c r="JM77" i="15"/>
  <c r="X78" i="15"/>
  <c r="HZ76" i="15"/>
  <c r="BM76" i="15"/>
  <c r="BN75" i="15"/>
  <c r="IW76" i="15"/>
  <c r="IX75" i="15"/>
  <c r="KR78" i="15"/>
  <c r="JT78" i="15"/>
  <c r="TD78" i="15"/>
  <c r="TH78" i="15"/>
  <c r="JQ76" i="15"/>
  <c r="JR75" i="15"/>
  <c r="DD78" i="15"/>
  <c r="IJ78" i="15"/>
  <c r="J75" i="15"/>
  <c r="DL78" i="15"/>
  <c r="EC76" i="15"/>
  <c r="ED75" i="15"/>
  <c r="TE76" i="15"/>
  <c r="TF75" i="15"/>
  <c r="QN78" i="15"/>
  <c r="CW76" i="15"/>
  <c r="CX75" i="15"/>
  <c r="L78" i="15"/>
  <c r="PZ76" i="15"/>
  <c r="EH77" i="15"/>
  <c r="EF78" i="15"/>
  <c r="NP78" i="15"/>
  <c r="ND78" i="15"/>
  <c r="RX78" i="15"/>
  <c r="QB78" i="15"/>
  <c r="MB78" i="15"/>
  <c r="DN76" i="15"/>
  <c r="NU76" i="15"/>
  <c r="NV75" i="15"/>
  <c r="CZ78" i="15"/>
  <c r="BD78" i="15"/>
  <c r="BQ77" i="15"/>
  <c r="OV78" i="15"/>
  <c r="PX78" i="15"/>
  <c r="UB78" i="15"/>
  <c r="AS76" i="15"/>
  <c r="AT75" i="15"/>
  <c r="RU76" i="15"/>
  <c r="RV75" i="15"/>
  <c r="NI76" i="15"/>
  <c r="NJ75" i="15"/>
  <c r="DY76" i="15"/>
  <c r="DZ75" i="15"/>
  <c r="EW76" i="15"/>
  <c r="EX75" i="15"/>
  <c r="SW77" i="15"/>
  <c r="ON78" i="15"/>
  <c r="NY76" i="15"/>
  <c r="NZ75" i="15"/>
  <c r="GN78" i="15"/>
  <c r="BT77" i="15"/>
  <c r="FD78" i="15"/>
  <c r="EV78" i="15"/>
  <c r="HA76" i="15"/>
  <c r="HB75" i="15"/>
  <c r="GO77" i="15"/>
  <c r="GP77" i="15" s="1"/>
  <c r="OJ78" i="15"/>
  <c r="GZ78" i="15"/>
  <c r="SZ78" i="15"/>
  <c r="OZ78" i="15"/>
  <c r="PP78" i="15"/>
  <c r="TA76" i="15"/>
  <c r="TB75" i="15"/>
  <c r="PH78" i="15"/>
  <c r="TI76" i="15"/>
  <c r="TJ75" i="15"/>
  <c r="RA76" i="15"/>
  <c r="RB75" i="15"/>
  <c r="MZ77" i="15"/>
  <c r="E77" i="15"/>
  <c r="LH78" i="15"/>
  <c r="UN78" i="15"/>
  <c r="RD78" i="15"/>
  <c r="RF77" i="15"/>
  <c r="KB78" i="15"/>
  <c r="SS76" i="15"/>
  <c r="ST75" i="15"/>
  <c r="SB78" i="15"/>
  <c r="JA77" i="15"/>
  <c r="JB77" i="15" s="1"/>
  <c r="GR78" i="15"/>
  <c r="GS77" i="15"/>
  <c r="UK76" i="15"/>
  <c r="UL75" i="15"/>
  <c r="AF78" i="15"/>
  <c r="SR78" i="15"/>
  <c r="GG76" i="15"/>
  <c r="GH75" i="15"/>
  <c r="RP78" i="15"/>
  <c r="H77" i="15"/>
  <c r="MC77" i="15"/>
  <c r="Y76" i="15"/>
  <c r="Z75" i="15"/>
  <c r="NT78" i="15"/>
  <c r="TL78" i="15"/>
  <c r="SF78" i="15"/>
  <c r="SG78" i="15" s="1"/>
  <c r="JU76" i="15"/>
  <c r="JV75" i="15"/>
  <c r="JH78" i="15"/>
  <c r="OS76" i="15"/>
  <c r="OT75" i="15"/>
  <c r="NX78" i="15"/>
  <c r="GX77" i="15"/>
  <c r="GV78" i="15"/>
  <c r="GW78" i="15" s="1"/>
  <c r="Q76" i="15"/>
  <c r="R75" i="15"/>
  <c r="BH78" i="15"/>
  <c r="RM76" i="15"/>
  <c r="RN75" i="15"/>
  <c r="UG76" i="15"/>
  <c r="UH75" i="15"/>
  <c r="KC76" i="15"/>
  <c r="KD75" i="15"/>
  <c r="TQ76" i="15"/>
  <c r="TR75" i="15"/>
  <c r="AB78" i="15"/>
  <c r="AC78" i="15" s="1"/>
  <c r="AD77" i="15"/>
  <c r="UR78" i="15"/>
  <c r="RL78" i="15"/>
  <c r="DA77" i="15"/>
  <c r="QT76" i="15"/>
  <c r="LN76" i="15"/>
  <c r="TP78" i="15"/>
  <c r="MV78" i="15"/>
  <c r="KN78" i="15"/>
  <c r="IG77" i="15"/>
  <c r="IH77" i="15" s="1"/>
  <c r="FQ76" i="15"/>
  <c r="FR75" i="15"/>
  <c r="LT78" i="15"/>
  <c r="KK77" i="15"/>
  <c r="KL77" i="15" s="1"/>
  <c r="AR78" i="15"/>
  <c r="QX76" i="15"/>
  <c r="SJ78" i="15"/>
  <c r="TT78" i="15"/>
  <c r="OW76" i="15"/>
  <c r="OX75" i="15"/>
  <c r="NL78" i="15"/>
  <c r="QO77" i="15"/>
  <c r="LR77" i="15"/>
  <c r="LP78" i="15"/>
  <c r="LQ78" i="15" s="1"/>
  <c r="HT78" i="15"/>
  <c r="GC76" i="15"/>
  <c r="GD75" i="15"/>
  <c r="AN78" i="15"/>
  <c r="QR78" i="15"/>
  <c r="LL78" i="15"/>
  <c r="DQ77" i="15"/>
  <c r="BL78" i="15"/>
  <c r="MJ78" i="15"/>
  <c r="PA76" i="15"/>
  <c r="PB75" i="15"/>
  <c r="KF78" i="15"/>
  <c r="NH78" i="15"/>
  <c r="HU76" i="15"/>
  <c r="HV75" i="15"/>
  <c r="BX78" i="15"/>
  <c r="SN78" i="15"/>
  <c r="EZ78" i="15"/>
  <c r="LU76" i="15"/>
  <c r="LV75" i="15"/>
  <c r="IN78" i="15"/>
  <c r="HQ77" i="15"/>
  <c r="HR77" i="15" s="1"/>
  <c r="QJ78" i="15"/>
  <c r="QV78" i="15"/>
  <c r="HE77" i="15"/>
  <c r="RY76" i="15"/>
  <c r="RZ75" i="15"/>
  <c r="KS77" i="15"/>
  <c r="CG76" i="15"/>
  <c r="CH75" i="15"/>
  <c r="FV76" i="15"/>
  <c r="JY77" i="15"/>
  <c r="CF78" i="15"/>
  <c r="GB78" i="15"/>
  <c r="AP76" i="15"/>
  <c r="FM77" i="15"/>
  <c r="FA76" i="15"/>
  <c r="FB75" i="15"/>
  <c r="KW76" i="15"/>
  <c r="KX75" i="15"/>
  <c r="TX78" i="15"/>
  <c r="PD78" i="15"/>
  <c r="OF77" i="15"/>
  <c r="OG77" i="15" s="1"/>
  <c r="OH76" i="15"/>
  <c r="T78" i="15"/>
  <c r="IR78" i="15"/>
  <c r="LI77" i="15"/>
  <c r="HI76" i="15"/>
  <c r="HJ75" i="15"/>
  <c r="DU76" i="15"/>
  <c r="DV75" i="15"/>
  <c r="BU76" i="15"/>
  <c r="BV76" i="15" s="1"/>
  <c r="QK76" i="15"/>
  <c r="QL75" i="15"/>
  <c r="HD78" i="15"/>
  <c r="OR78" i="15"/>
  <c r="RT78" i="15"/>
  <c r="EN78" i="15"/>
  <c r="EO78" i="15" s="1"/>
  <c r="EP77" i="15"/>
  <c r="OK77" i="15"/>
  <c r="CS76" i="15"/>
  <c r="FY77" i="15"/>
  <c r="FZ77" i="15" s="1"/>
  <c r="EB78" i="15"/>
  <c r="UJ78" i="15"/>
  <c r="FT78" i="15"/>
  <c r="NM76" i="15"/>
  <c r="NN75" i="15"/>
  <c r="LE76" i="15"/>
  <c r="LF75" i="15"/>
  <c r="GJ78" i="15"/>
  <c r="PE77" i="15"/>
  <c r="PF77" i="15" s="1"/>
  <c r="DI76" i="15"/>
  <c r="DJ75" i="15"/>
  <c r="LY77" i="15"/>
  <c r="F80" i="11"/>
  <c r="G80" i="11" s="1"/>
  <c r="F81" i="2"/>
  <c r="G81" i="2" s="1"/>
  <c r="G79" i="11"/>
  <c r="E81" i="11"/>
  <c r="E81" i="9"/>
  <c r="F80" i="9"/>
  <c r="E81" i="8"/>
  <c r="F80" i="8"/>
  <c r="G80" i="2"/>
  <c r="E82" i="2"/>
  <c r="CO78" i="15" l="1"/>
  <c r="BI78" i="15"/>
  <c r="TY78" i="15"/>
  <c r="KO78" i="15"/>
  <c r="TU78" i="15"/>
  <c r="TV78" i="15" s="1"/>
  <c r="MO78" i="15"/>
  <c r="MP78" i="15" s="1"/>
  <c r="IS78" i="15"/>
  <c r="IT78" i="15" s="1"/>
  <c r="AG78" i="15"/>
  <c r="AH78" i="15" s="1"/>
  <c r="EK78" i="15"/>
  <c r="EL78" i="15" s="1"/>
  <c r="SO78" i="15"/>
  <c r="SP78" i="15" s="1"/>
  <c r="FU78" i="15"/>
  <c r="FV78" i="15" s="1"/>
  <c r="BQ78" i="15"/>
  <c r="BR78" i="15" s="1"/>
  <c r="AO78" i="15"/>
  <c r="AP78" i="15" s="1"/>
  <c r="QW78" i="15"/>
  <c r="QX78" i="15" s="1"/>
  <c r="HY78" i="15"/>
  <c r="HZ78" i="15" s="1"/>
  <c r="NA77" i="15"/>
  <c r="NB77" i="15" s="1"/>
  <c r="PM77" i="15"/>
  <c r="PN77" i="15" s="1"/>
  <c r="OK78" i="15"/>
  <c r="OL78" i="15" s="1"/>
  <c r="BA78" i="15"/>
  <c r="BB78" i="15" s="1"/>
  <c r="JM78" i="15"/>
  <c r="JN78" i="15" s="1"/>
  <c r="QO78" i="15"/>
  <c r="QP78" i="15" s="1"/>
  <c r="SW78" i="15"/>
  <c r="SX78" i="15" s="1"/>
  <c r="LI78" i="15"/>
  <c r="LJ78" i="15" s="1"/>
  <c r="QS78" i="15"/>
  <c r="QT78" i="15" s="1"/>
  <c r="DA78" i="15"/>
  <c r="DB78" i="15" s="1"/>
  <c r="HE78" i="15"/>
  <c r="HF78" i="15" s="1"/>
  <c r="JY78" i="15"/>
  <c r="JZ78" i="15" s="1"/>
  <c r="DQ78" i="15"/>
  <c r="DR78" i="15" s="1"/>
  <c r="CC77" i="15"/>
  <c r="CD77" i="15" s="1"/>
  <c r="GS78" i="15"/>
  <c r="GT78" i="15" s="1"/>
  <c r="CS77" i="15"/>
  <c r="CT77" i="15" s="1"/>
  <c r="FM78" i="15"/>
  <c r="FN78" i="15" s="1"/>
  <c r="LY78" i="15"/>
  <c r="LZ78" i="15" s="1"/>
  <c r="E78" i="15"/>
  <c r="F78" i="15" s="1"/>
  <c r="RH79" i="15"/>
  <c r="Y77" i="15"/>
  <c r="Z76" i="15"/>
  <c r="Q77" i="15"/>
  <c r="R76" i="15"/>
  <c r="MC78" i="15"/>
  <c r="MD78" i="15" s="1"/>
  <c r="AS77" i="15"/>
  <c r="AT76" i="15"/>
  <c r="QB79" i="15"/>
  <c r="DL79" i="15"/>
  <c r="IW77" i="15"/>
  <c r="IX76" i="15"/>
  <c r="QZ79" i="15"/>
  <c r="HP79" i="15"/>
  <c r="DU77" i="15"/>
  <c r="DV76" i="15"/>
  <c r="FX79" i="15"/>
  <c r="SS77" i="15"/>
  <c r="ST76" i="15"/>
  <c r="PH79" i="15"/>
  <c r="RX79" i="15"/>
  <c r="IF79" i="15"/>
  <c r="UC77" i="15"/>
  <c r="UD76" i="15"/>
  <c r="QF79" i="15"/>
  <c r="RU77" i="15"/>
  <c r="RV76" i="15"/>
  <c r="NQ77" i="15"/>
  <c r="NR76" i="15"/>
  <c r="H78" i="15"/>
  <c r="KB79" i="15"/>
  <c r="BT78" i="15"/>
  <c r="UB79" i="15"/>
  <c r="BM77" i="15"/>
  <c r="BN76" i="15"/>
  <c r="BY77" i="15"/>
  <c r="BZ76" i="15"/>
  <c r="KG77" i="15"/>
  <c r="KH76" i="15"/>
  <c r="JI77" i="15"/>
  <c r="JJ76" i="15"/>
  <c r="OW77" i="15"/>
  <c r="OX76" i="15"/>
  <c r="RL79" i="15"/>
  <c r="TA77" i="15"/>
  <c r="TB76" i="15"/>
  <c r="GN79" i="15"/>
  <c r="IJ79" i="15"/>
  <c r="AV79" i="15"/>
  <c r="OO77" i="15"/>
  <c r="OP76" i="15"/>
  <c r="KZ79" i="15"/>
  <c r="TM77" i="15"/>
  <c r="TN76" i="15"/>
  <c r="FP79" i="15"/>
  <c r="NX79" i="15"/>
  <c r="PP79" i="15"/>
  <c r="ND79" i="15"/>
  <c r="X79" i="15"/>
  <c r="MS77" i="15"/>
  <c r="MT76" i="15"/>
  <c r="DX79" i="15"/>
  <c r="AJ79" i="15"/>
  <c r="DE77" i="15"/>
  <c r="DF76" i="15"/>
  <c r="HH79" i="15"/>
  <c r="US77" i="15"/>
  <c r="UT76" i="15"/>
  <c r="DM78" i="15"/>
  <c r="NE77" i="15"/>
  <c r="NF76" i="15"/>
  <c r="LU77" i="15"/>
  <c r="LV76" i="15"/>
  <c r="UR79" i="15"/>
  <c r="RP79" i="15"/>
  <c r="RD79" i="15"/>
  <c r="PX79" i="15"/>
  <c r="PI78" i="15"/>
  <c r="HX79" i="15"/>
  <c r="M77" i="15"/>
  <c r="N76" i="15"/>
  <c r="BP79" i="15"/>
  <c r="IB79" i="15"/>
  <c r="IZ79" i="15"/>
  <c r="IN79" i="15"/>
  <c r="SN79" i="15"/>
  <c r="AN79" i="15"/>
  <c r="KK78" i="15"/>
  <c r="KL78" i="15" s="1"/>
  <c r="OS77" i="15"/>
  <c r="OT76" i="15"/>
  <c r="OZ79" i="15"/>
  <c r="NY77" i="15"/>
  <c r="NZ76" i="15"/>
  <c r="NP79" i="15"/>
  <c r="JD79" i="15"/>
  <c r="BR77" i="15"/>
  <c r="LX79" i="15"/>
  <c r="ER79" i="15"/>
  <c r="KV79" i="15"/>
  <c r="FD79" i="15"/>
  <c r="JH79" i="15"/>
  <c r="GG77" i="15"/>
  <c r="GH76" i="15"/>
  <c r="UN79" i="15"/>
  <c r="ON79" i="15"/>
  <c r="OV79" i="15"/>
  <c r="EF79" i="15"/>
  <c r="DD79" i="15"/>
  <c r="HL79" i="15"/>
  <c r="GK77" i="15"/>
  <c r="GL76" i="15"/>
  <c r="LZ77" i="15"/>
  <c r="IC78" i="15"/>
  <c r="ID78" i="15" s="1"/>
  <c r="BL79" i="15"/>
  <c r="AD78" i="15"/>
  <c r="AB79" i="15"/>
  <c r="SZ79" i="15"/>
  <c r="OC77" i="15"/>
  <c r="OD76" i="15"/>
  <c r="MN79" i="15"/>
  <c r="LD79" i="15"/>
  <c r="FH79" i="15"/>
  <c r="D79" i="15"/>
  <c r="QC77" i="15"/>
  <c r="QD76" i="15"/>
  <c r="UF79" i="15"/>
  <c r="TI77" i="15"/>
  <c r="TJ76" i="15"/>
  <c r="EZ79" i="15"/>
  <c r="JQ77" i="15"/>
  <c r="JR76" i="15"/>
  <c r="CJ79" i="15"/>
  <c r="IK77" i="15"/>
  <c r="IL76" i="15"/>
  <c r="F77" i="15"/>
  <c r="FI78" i="15"/>
  <c r="KJ79" i="15"/>
  <c r="TT79" i="15"/>
  <c r="GX78" i="15"/>
  <c r="GV79" i="15"/>
  <c r="BX79" i="15"/>
  <c r="HU77" i="15"/>
  <c r="HV76" i="15"/>
  <c r="TQ77" i="15"/>
  <c r="TR76" i="15"/>
  <c r="JU77" i="15"/>
  <c r="JV76" i="15"/>
  <c r="AF79" i="15"/>
  <c r="LJ77" i="15"/>
  <c r="GZ79" i="15"/>
  <c r="BD79" i="15"/>
  <c r="TH79" i="15"/>
  <c r="AZ79" i="15"/>
  <c r="JZ77" i="15"/>
  <c r="SV79" i="15"/>
  <c r="FY78" i="15"/>
  <c r="LT79" i="15"/>
  <c r="FE78" i="15"/>
  <c r="FF78" i="15" s="1"/>
  <c r="RI78" i="15"/>
  <c r="RJ78" i="15" s="1"/>
  <c r="EW77" i="15"/>
  <c r="EX76" i="15"/>
  <c r="L79" i="15"/>
  <c r="RQ77" i="15"/>
  <c r="RR76" i="15"/>
  <c r="MF79" i="15"/>
  <c r="P79" i="15"/>
  <c r="CV79" i="15"/>
  <c r="AW77" i="15"/>
  <c r="AX76" i="15"/>
  <c r="JX79" i="15"/>
  <c r="SX77" i="15"/>
  <c r="MK77" i="15"/>
  <c r="ML76" i="15"/>
  <c r="IO77" i="15"/>
  <c r="IP76" i="15"/>
  <c r="GB79" i="15"/>
  <c r="LL79" i="15"/>
  <c r="T79" i="15"/>
  <c r="PD79" i="15"/>
  <c r="RY77" i="15"/>
  <c r="RZ76" i="15"/>
  <c r="HD79" i="15"/>
  <c r="KC77" i="15"/>
  <c r="KD76" i="15"/>
  <c r="SF79" i="15"/>
  <c r="SH78" i="15"/>
  <c r="U78" i="15"/>
  <c r="V78" i="15" s="1"/>
  <c r="OJ79" i="15"/>
  <c r="DB77" i="15"/>
  <c r="TD79" i="15"/>
  <c r="JN77" i="15"/>
  <c r="PQ77" i="15"/>
  <c r="PR76" i="15"/>
  <c r="FN77" i="15"/>
  <c r="CP78" i="15"/>
  <c r="CN79" i="15"/>
  <c r="CT76" i="15"/>
  <c r="CK78" i="15"/>
  <c r="HM78" i="15"/>
  <c r="QR79" i="15"/>
  <c r="CG77" i="15"/>
  <c r="CH76" i="15"/>
  <c r="RT79" i="15"/>
  <c r="GC77" i="15"/>
  <c r="GD76" i="15"/>
  <c r="HT79" i="15"/>
  <c r="OL77" i="15"/>
  <c r="CW77" i="15"/>
  <c r="CX76" i="15"/>
  <c r="JL79" i="15"/>
  <c r="JP79" i="15"/>
  <c r="FL79" i="15"/>
  <c r="CR78" i="15"/>
  <c r="I77" i="15"/>
  <c r="QG77" i="15"/>
  <c r="QH76" i="15"/>
  <c r="IV79" i="15"/>
  <c r="SJ79" i="15"/>
  <c r="OF78" i="15"/>
  <c r="OH77" i="15"/>
  <c r="DI77" i="15"/>
  <c r="DJ76" i="15"/>
  <c r="SR79" i="15"/>
  <c r="OR79" i="15"/>
  <c r="TZ78" i="15"/>
  <c r="TX79" i="15"/>
  <c r="IG78" i="15"/>
  <c r="SK78" i="15"/>
  <c r="ES77" i="15"/>
  <c r="ET76" i="15"/>
  <c r="PY78" i="15"/>
  <c r="PL78" i="15"/>
  <c r="MR79" i="15"/>
  <c r="UO78" i="15"/>
  <c r="UP78" i="15" s="1"/>
  <c r="KR79" i="15"/>
  <c r="CF79" i="15"/>
  <c r="LH79" i="15"/>
  <c r="FQ77" i="15"/>
  <c r="FR76" i="15"/>
  <c r="RE78" i="15"/>
  <c r="HF77" i="15"/>
  <c r="QV79" i="15"/>
  <c r="KN79" i="15"/>
  <c r="KP78" i="15"/>
  <c r="UK77" i="15"/>
  <c r="UL76" i="15"/>
  <c r="DY77" i="15"/>
  <c r="DZ76" i="15"/>
  <c r="UG77" i="15"/>
  <c r="UH76" i="15"/>
  <c r="QN79" i="15"/>
  <c r="MG78" i="15"/>
  <c r="MH78" i="15" s="1"/>
  <c r="TL79" i="15"/>
  <c r="GR79" i="15"/>
  <c r="MZ78" i="15"/>
  <c r="NU77" i="15"/>
  <c r="NV76" i="15"/>
  <c r="QP77" i="15"/>
  <c r="JT79" i="15"/>
  <c r="MW77" i="15"/>
  <c r="MX76" i="15"/>
  <c r="AK78" i="15"/>
  <c r="AL78" i="15" s="1"/>
  <c r="DT79" i="15"/>
  <c r="SC77" i="15"/>
  <c r="SD76" i="15"/>
  <c r="EG78" i="15"/>
  <c r="MB79" i="15"/>
  <c r="CB78" i="15"/>
  <c r="HI77" i="15"/>
  <c r="HJ76" i="15"/>
  <c r="EB79" i="15"/>
  <c r="AR79" i="15"/>
  <c r="KS78" i="15"/>
  <c r="KT78" i="15" s="1"/>
  <c r="LM78" i="15"/>
  <c r="LN78" i="15" s="1"/>
  <c r="PE78" i="15"/>
  <c r="PF78" i="15" s="1"/>
  <c r="NH79" i="15"/>
  <c r="CZ79" i="15"/>
  <c r="LE77" i="15"/>
  <c r="LF76" i="15"/>
  <c r="KW77" i="15"/>
  <c r="KX76" i="15"/>
  <c r="EJ79" i="15"/>
  <c r="BU77" i="15"/>
  <c r="HQ78" i="15"/>
  <c r="PA77" i="15"/>
  <c r="PB76" i="15"/>
  <c r="NL79" i="15"/>
  <c r="MV79" i="15"/>
  <c r="RM77" i="15"/>
  <c r="RN76" i="15"/>
  <c r="NT79" i="15"/>
  <c r="GT77" i="15"/>
  <c r="HA77" i="15"/>
  <c r="HB76" i="15"/>
  <c r="NI77" i="15"/>
  <c r="NJ76" i="15"/>
  <c r="DP79" i="15"/>
  <c r="PU77" i="15"/>
  <c r="PV76" i="15"/>
  <c r="DH79" i="15"/>
  <c r="SB79" i="15"/>
  <c r="UJ79" i="15"/>
  <c r="EC77" i="15"/>
  <c r="ED76" i="15"/>
  <c r="IR79" i="15"/>
  <c r="EN79" i="15"/>
  <c r="EO79" i="15" s="1"/>
  <c r="EP78" i="15"/>
  <c r="GJ79" i="15"/>
  <c r="LP79" i="15"/>
  <c r="LQ79" i="15" s="1"/>
  <c r="LR78" i="15"/>
  <c r="KF79" i="15"/>
  <c r="GO78" i="15"/>
  <c r="GP78" i="15" s="1"/>
  <c r="PT79" i="15"/>
  <c r="QK77" i="15"/>
  <c r="QL76" i="15"/>
  <c r="QJ79" i="15"/>
  <c r="NM77" i="15"/>
  <c r="NN76" i="15"/>
  <c r="FT79" i="15"/>
  <c r="FA77" i="15"/>
  <c r="FB76" i="15"/>
  <c r="MJ79" i="15"/>
  <c r="TP79" i="15"/>
  <c r="BH79" i="15"/>
  <c r="BJ78" i="15"/>
  <c r="JA78" i="15"/>
  <c r="RA77" i="15"/>
  <c r="RB76" i="15"/>
  <c r="EV79" i="15"/>
  <c r="MD77" i="15"/>
  <c r="TE77" i="15"/>
  <c r="TF76" i="15"/>
  <c r="KT77" i="15"/>
  <c r="GF79" i="15"/>
  <c r="JE77" i="15"/>
  <c r="JF76" i="15"/>
  <c r="DR77" i="15"/>
  <c r="LA77" i="15"/>
  <c r="LB76" i="15"/>
  <c r="OB79" i="15"/>
  <c r="BE78" i="15"/>
  <c r="F81" i="9"/>
  <c r="G81" i="9" s="1"/>
  <c r="F81" i="8"/>
  <c r="G81" i="8" s="1"/>
  <c r="E82" i="11"/>
  <c r="F81" i="11"/>
  <c r="G81" i="10"/>
  <c r="G80" i="10"/>
  <c r="E82" i="9"/>
  <c r="G80" i="9"/>
  <c r="E82" i="8"/>
  <c r="G80" i="8"/>
  <c r="E83" i="2"/>
  <c r="F82" i="2"/>
  <c r="IS79" i="15" l="1"/>
  <c r="TU79" i="15"/>
  <c r="AG79" i="15"/>
  <c r="AH79" i="15" s="1"/>
  <c r="MO79" i="15"/>
  <c r="MP79" i="15" s="1"/>
  <c r="EK79" i="15"/>
  <c r="EL79" i="15" s="1"/>
  <c r="AO79" i="15"/>
  <c r="AP79" i="15" s="1"/>
  <c r="BQ79" i="15"/>
  <c r="FU79" i="15"/>
  <c r="FV79" i="15" s="1"/>
  <c r="QW79" i="15"/>
  <c r="QX79" i="15" s="1"/>
  <c r="SO79" i="15"/>
  <c r="SP79" i="15" s="1"/>
  <c r="DA79" i="15"/>
  <c r="DB79" i="15" s="1"/>
  <c r="PM78" i="15"/>
  <c r="PN78" i="15" s="1"/>
  <c r="HY79" i="15"/>
  <c r="HZ79" i="15" s="1"/>
  <c r="JY79" i="15"/>
  <c r="JZ79" i="15" s="1"/>
  <c r="OK79" i="15"/>
  <c r="OL79" i="15" s="1"/>
  <c r="QO79" i="15"/>
  <c r="QP79" i="15" s="1"/>
  <c r="PY79" i="15"/>
  <c r="PZ79" i="15" s="1"/>
  <c r="JM79" i="15"/>
  <c r="JN79" i="15" s="1"/>
  <c r="SW79" i="15"/>
  <c r="SX79" i="15" s="1"/>
  <c r="E79" i="15"/>
  <c r="F79" i="15" s="1"/>
  <c r="IG79" i="15"/>
  <c r="IH79" i="15" s="1"/>
  <c r="DQ79" i="15"/>
  <c r="DR79" i="15" s="1"/>
  <c r="DM79" i="15"/>
  <c r="DN79" i="15" s="1"/>
  <c r="PI79" i="15"/>
  <c r="PJ79" i="15" s="1"/>
  <c r="GS79" i="15"/>
  <c r="GT79" i="15" s="1"/>
  <c r="CS78" i="15"/>
  <c r="CT78" i="15" s="1"/>
  <c r="HM79" i="15"/>
  <c r="HN79" i="15" s="1"/>
  <c r="EG79" i="15"/>
  <c r="EH79" i="15" s="1"/>
  <c r="LY79" i="15"/>
  <c r="LZ79" i="15" s="1"/>
  <c r="RE79" i="15"/>
  <c r="RF79" i="15" s="1"/>
  <c r="BE79" i="15"/>
  <c r="BF79" i="15" s="1"/>
  <c r="HQ79" i="15"/>
  <c r="BU78" i="15"/>
  <c r="BV78" i="15" s="1"/>
  <c r="I78" i="15"/>
  <c r="J78" i="15" s="1"/>
  <c r="CK79" i="15"/>
  <c r="CL79" i="15" s="1"/>
  <c r="FI79" i="15"/>
  <c r="FJ79" i="15" s="1"/>
  <c r="J77" i="15"/>
  <c r="GO79" i="15"/>
  <c r="GP79" i="15" s="1"/>
  <c r="SK79" i="15"/>
  <c r="SL79" i="15" s="1"/>
  <c r="FY79" i="15"/>
  <c r="OV80" i="15"/>
  <c r="IB80" i="15"/>
  <c r="KC78" i="15"/>
  <c r="KD77" i="15"/>
  <c r="BX80" i="15"/>
  <c r="OC78" i="15"/>
  <c r="OD77" i="15"/>
  <c r="JD80" i="15"/>
  <c r="NX80" i="15"/>
  <c r="TA78" i="15"/>
  <c r="TB77" i="15"/>
  <c r="H79" i="15"/>
  <c r="SS78" i="15"/>
  <c r="ST77" i="15"/>
  <c r="KN80" i="15"/>
  <c r="ON80" i="15"/>
  <c r="BP80" i="15"/>
  <c r="RL80" i="15"/>
  <c r="FZ78" i="15"/>
  <c r="Y78" i="15"/>
  <c r="Z77" i="15"/>
  <c r="EZ80" i="15"/>
  <c r="SZ80" i="15"/>
  <c r="UN80" i="15"/>
  <c r="NP80" i="15"/>
  <c r="US78" i="15"/>
  <c r="UT77" i="15"/>
  <c r="FX80" i="15"/>
  <c r="TE78" i="15"/>
  <c r="TF77" i="15"/>
  <c r="SF80" i="15"/>
  <c r="EV80" i="15"/>
  <c r="FL80" i="15"/>
  <c r="CV80" i="15"/>
  <c r="AZ80" i="15"/>
  <c r="GV80" i="15"/>
  <c r="AB80" i="15"/>
  <c r="HH80" i="15"/>
  <c r="FP80" i="15"/>
  <c r="NQ78" i="15"/>
  <c r="NR77" i="15"/>
  <c r="RH80" i="15"/>
  <c r="NL80" i="15"/>
  <c r="CB79" i="15"/>
  <c r="TX80" i="15"/>
  <c r="RY78" i="15"/>
  <c r="RZ77" i="15"/>
  <c r="P80" i="15"/>
  <c r="M78" i="15"/>
  <c r="N77" i="15"/>
  <c r="OW78" i="15"/>
  <c r="OX77" i="15"/>
  <c r="DU78" i="15"/>
  <c r="DV77" i="15"/>
  <c r="UJ80" i="15"/>
  <c r="QG78" i="15"/>
  <c r="QH77" i="15"/>
  <c r="SV80" i="15"/>
  <c r="FQ78" i="15"/>
  <c r="FR77" i="15"/>
  <c r="JP80" i="15"/>
  <c r="CN80" i="15"/>
  <c r="PD80" i="15"/>
  <c r="TH80" i="15"/>
  <c r="GG78" i="15"/>
  <c r="GH77" i="15"/>
  <c r="NY78" i="15"/>
  <c r="NZ77" i="15"/>
  <c r="HX80" i="15"/>
  <c r="RU78" i="15"/>
  <c r="RV77" i="15"/>
  <c r="HR78" i="15"/>
  <c r="QR80" i="15"/>
  <c r="BH80" i="15"/>
  <c r="LH80" i="15"/>
  <c r="TT80" i="15"/>
  <c r="TV79" i="15"/>
  <c r="TI78" i="15"/>
  <c r="TJ77" i="15"/>
  <c r="JH80" i="15"/>
  <c r="OZ80" i="15"/>
  <c r="DE78" i="15"/>
  <c r="DF77" i="15"/>
  <c r="TM78" i="15"/>
  <c r="TN77" i="15"/>
  <c r="JI78" i="15"/>
  <c r="JJ77" i="15"/>
  <c r="HP80" i="15"/>
  <c r="MV80" i="15"/>
  <c r="MN80" i="15"/>
  <c r="AW78" i="15"/>
  <c r="AX77" i="15"/>
  <c r="OR80" i="15"/>
  <c r="MF80" i="15"/>
  <c r="BD80" i="15"/>
  <c r="KJ80" i="15"/>
  <c r="BL80" i="15"/>
  <c r="KZ80" i="15"/>
  <c r="QF80" i="15"/>
  <c r="QZ80" i="15"/>
  <c r="QJ80" i="15"/>
  <c r="EB80" i="15"/>
  <c r="PT80" i="15"/>
  <c r="PU78" i="15"/>
  <c r="PV77" i="15"/>
  <c r="KF80" i="15"/>
  <c r="KW78" i="15"/>
  <c r="KX77" i="15"/>
  <c r="JL80" i="15"/>
  <c r="T80" i="15"/>
  <c r="BF78" i="15"/>
  <c r="UF80" i="15"/>
  <c r="IC79" i="15"/>
  <c r="PZ78" i="15"/>
  <c r="AJ80" i="15"/>
  <c r="KG78" i="15"/>
  <c r="KH77" i="15"/>
  <c r="GW79" i="15"/>
  <c r="GX79" i="15" s="1"/>
  <c r="CG78" i="15"/>
  <c r="CH77" i="15"/>
  <c r="MZ79" i="15"/>
  <c r="PQ78" i="15"/>
  <c r="PR77" i="15"/>
  <c r="RQ78" i="15"/>
  <c r="RR77" i="15"/>
  <c r="GZ80" i="15"/>
  <c r="LI79" i="15"/>
  <c r="OS78" i="15"/>
  <c r="OT77" i="15"/>
  <c r="PX80" i="15"/>
  <c r="NU78" i="15"/>
  <c r="NV77" i="15"/>
  <c r="PA78" i="15"/>
  <c r="PB77" i="15"/>
  <c r="CW78" i="15"/>
  <c r="CX77" i="15"/>
  <c r="LL80" i="15"/>
  <c r="NA78" i="15"/>
  <c r="QC78" i="15"/>
  <c r="QD77" i="15"/>
  <c r="KK79" i="15"/>
  <c r="RF78" i="15"/>
  <c r="DX80" i="15"/>
  <c r="OO78" i="15"/>
  <c r="OP77" i="15"/>
  <c r="BY78" i="15"/>
  <c r="BZ77" i="15"/>
  <c r="UC78" i="15"/>
  <c r="UD77" i="15"/>
  <c r="IW78" i="15"/>
  <c r="IX77" i="15"/>
  <c r="KO79" i="15"/>
  <c r="JA79" i="15"/>
  <c r="DI78" i="15"/>
  <c r="DJ77" i="15"/>
  <c r="GB80" i="15"/>
  <c r="L80" i="15"/>
  <c r="GK78" i="15"/>
  <c r="GL77" i="15"/>
  <c r="FD80" i="15"/>
  <c r="RD80" i="15"/>
  <c r="AV80" i="15"/>
  <c r="IF80" i="15"/>
  <c r="DL80" i="15"/>
  <c r="QS79" i="15"/>
  <c r="Q78" i="15"/>
  <c r="R77" i="15"/>
  <c r="DH80" i="15"/>
  <c r="HI78" i="15"/>
  <c r="HJ77" i="15"/>
  <c r="EJ80" i="15"/>
  <c r="MB80" i="15"/>
  <c r="NI78" i="15"/>
  <c r="NJ77" i="15"/>
  <c r="LE78" i="15"/>
  <c r="LF77" i="15"/>
  <c r="TD80" i="15"/>
  <c r="AF80" i="15"/>
  <c r="D80" i="15"/>
  <c r="HL80" i="15"/>
  <c r="KV80" i="15"/>
  <c r="AN80" i="15"/>
  <c r="RP80" i="15"/>
  <c r="MS78" i="15"/>
  <c r="MT77" i="15"/>
  <c r="BM78" i="15"/>
  <c r="BN77" i="15"/>
  <c r="IH78" i="15"/>
  <c r="DN78" i="15"/>
  <c r="CC78" i="15"/>
  <c r="CD78" i="15" s="1"/>
  <c r="JT80" i="15"/>
  <c r="IZ80" i="15"/>
  <c r="HU78" i="15"/>
  <c r="HV77" i="15"/>
  <c r="QV80" i="15"/>
  <c r="CF80" i="15"/>
  <c r="NT80" i="15"/>
  <c r="FJ78" i="15"/>
  <c r="HN78" i="15"/>
  <c r="SN80" i="15"/>
  <c r="X80" i="15"/>
  <c r="UB80" i="15"/>
  <c r="TY79" i="15"/>
  <c r="TZ79" i="15" s="1"/>
  <c r="SB80" i="15"/>
  <c r="TL80" i="15"/>
  <c r="OB80" i="15"/>
  <c r="FM79" i="15"/>
  <c r="HA78" i="15"/>
  <c r="HB77" i="15"/>
  <c r="CZ80" i="15"/>
  <c r="CO79" i="15"/>
  <c r="IJ80" i="15"/>
  <c r="RX80" i="15"/>
  <c r="QB80" i="15"/>
  <c r="SG79" i="15"/>
  <c r="JX80" i="15"/>
  <c r="ES78" i="15"/>
  <c r="ET77" i="15"/>
  <c r="RA78" i="15"/>
  <c r="RB77" i="15"/>
  <c r="TP80" i="15"/>
  <c r="MJ80" i="15"/>
  <c r="KR80" i="15"/>
  <c r="FT80" i="15"/>
  <c r="UG78" i="15"/>
  <c r="UH77" i="15"/>
  <c r="HT80" i="15"/>
  <c r="NH80" i="15"/>
  <c r="RI79" i="15"/>
  <c r="DD80" i="15"/>
  <c r="IT79" i="15"/>
  <c r="IR80" i="15"/>
  <c r="IS80" i="15" s="1"/>
  <c r="PE79" i="15"/>
  <c r="DY78" i="15"/>
  <c r="DZ77" i="15"/>
  <c r="SJ80" i="15"/>
  <c r="GC78" i="15"/>
  <c r="GD77" i="15"/>
  <c r="FE79" i="15"/>
  <c r="JU78" i="15"/>
  <c r="JV77" i="15"/>
  <c r="CJ80" i="15"/>
  <c r="LD80" i="15"/>
  <c r="ER80" i="15"/>
  <c r="UR80" i="15"/>
  <c r="BT79" i="15"/>
  <c r="PJ78" i="15"/>
  <c r="PP80" i="15"/>
  <c r="HD80" i="15"/>
  <c r="GR80" i="15"/>
  <c r="SR80" i="15"/>
  <c r="LA78" i="15"/>
  <c r="LB77" i="15"/>
  <c r="GJ80" i="15"/>
  <c r="FA78" i="15"/>
  <c r="FB77" i="15"/>
  <c r="JE78" i="15"/>
  <c r="JF77" i="15"/>
  <c r="DT80" i="15"/>
  <c r="OF79" i="15"/>
  <c r="IK78" i="15"/>
  <c r="IL77" i="15"/>
  <c r="GF80" i="15"/>
  <c r="MR80" i="15"/>
  <c r="SL78" i="15"/>
  <c r="OJ80" i="15"/>
  <c r="IO78" i="15"/>
  <c r="IP77" i="15"/>
  <c r="FH80" i="15"/>
  <c r="LM79" i="15"/>
  <c r="MW78" i="15"/>
  <c r="MX77" i="15"/>
  <c r="IV80" i="15"/>
  <c r="RT80" i="15"/>
  <c r="U79" i="15"/>
  <c r="MK78" i="15"/>
  <c r="ML77" i="15"/>
  <c r="HE79" i="15"/>
  <c r="HF79" i="15" s="1"/>
  <c r="CL78" i="15"/>
  <c r="EF80" i="15"/>
  <c r="LX80" i="15"/>
  <c r="IN80" i="15"/>
  <c r="ND80" i="15"/>
  <c r="BA79" i="15"/>
  <c r="BV77" i="15"/>
  <c r="PH80" i="15"/>
  <c r="AS78" i="15"/>
  <c r="AT77" i="15"/>
  <c r="OG78" i="15"/>
  <c r="AR80" i="15"/>
  <c r="JQ78" i="15"/>
  <c r="JR77" i="15"/>
  <c r="NE78" i="15"/>
  <c r="NF77" i="15"/>
  <c r="QK78" i="15"/>
  <c r="QL77" i="15"/>
  <c r="CR79" i="15"/>
  <c r="DP80" i="15"/>
  <c r="MG79" i="15"/>
  <c r="LP80" i="15"/>
  <c r="LQ80" i="15" s="1"/>
  <c r="LR79" i="15"/>
  <c r="QN80" i="15"/>
  <c r="SC78" i="15"/>
  <c r="SD77" i="15"/>
  <c r="EP79" i="15"/>
  <c r="EN80" i="15"/>
  <c r="UO79" i="15"/>
  <c r="UP79" i="15" s="1"/>
  <c r="EW78" i="15"/>
  <c r="EX77" i="15"/>
  <c r="AK79" i="15"/>
  <c r="NM78" i="15"/>
  <c r="NN77" i="15"/>
  <c r="RM78" i="15"/>
  <c r="RN77" i="15"/>
  <c r="EC78" i="15"/>
  <c r="ED77" i="15"/>
  <c r="KS79" i="15"/>
  <c r="UK78" i="15"/>
  <c r="UL77" i="15"/>
  <c r="PL79" i="15"/>
  <c r="LT80" i="15"/>
  <c r="TQ78" i="15"/>
  <c r="TR77" i="15"/>
  <c r="EH78" i="15"/>
  <c r="JB78" i="15"/>
  <c r="LU78" i="15"/>
  <c r="LV77" i="15"/>
  <c r="BI79" i="15"/>
  <c r="BJ79" i="15" s="1"/>
  <c r="GN80" i="15"/>
  <c r="KB80" i="15"/>
  <c r="MC79" i="15"/>
  <c r="MD79" i="15" s="1"/>
  <c r="AC79" i="15"/>
  <c r="F82" i="11"/>
  <c r="G82" i="11" s="1"/>
  <c r="F83" i="2"/>
  <c r="G83" i="2" s="1"/>
  <c r="G81" i="11"/>
  <c r="E83" i="11"/>
  <c r="E83" i="9"/>
  <c r="F82" i="9"/>
  <c r="E83" i="8"/>
  <c r="F82" i="8"/>
  <c r="G82" i="2"/>
  <c r="E84" i="2"/>
  <c r="MO80" i="15" l="1"/>
  <c r="OK80" i="15"/>
  <c r="OL80" i="15" s="1"/>
  <c r="PM79" i="15"/>
  <c r="PN79" i="15" s="1"/>
  <c r="SO80" i="15"/>
  <c r="SP80" i="15" s="1"/>
  <c r="FU80" i="15"/>
  <c r="FV80" i="15" s="1"/>
  <c r="QO80" i="15"/>
  <c r="QP80" i="15" s="1"/>
  <c r="BQ80" i="15"/>
  <c r="BR80" i="15" s="1"/>
  <c r="DA80" i="15"/>
  <c r="DB80" i="15" s="1"/>
  <c r="BR79" i="15"/>
  <c r="E80" i="15"/>
  <c r="F80" i="15" s="1"/>
  <c r="HY80" i="15"/>
  <c r="HZ80" i="15" s="1"/>
  <c r="AC80" i="15"/>
  <c r="AD80" i="15" s="1"/>
  <c r="JM80" i="15"/>
  <c r="JN80" i="15" s="1"/>
  <c r="IG80" i="15"/>
  <c r="IH80" i="15" s="1"/>
  <c r="GS80" i="15"/>
  <c r="GT80" i="15" s="1"/>
  <c r="PY80" i="15"/>
  <c r="PZ80" i="15" s="1"/>
  <c r="DQ80" i="15"/>
  <c r="LY80" i="15"/>
  <c r="LZ80" i="15" s="1"/>
  <c r="CS79" i="15"/>
  <c r="CT79" i="15" s="1"/>
  <c r="QS80" i="15"/>
  <c r="QT80" i="15" s="1"/>
  <c r="CK80" i="15"/>
  <c r="CL80" i="15" s="1"/>
  <c r="EG80" i="15"/>
  <c r="EH80" i="15" s="1"/>
  <c r="HQ80" i="15"/>
  <c r="HR80" i="15" s="1"/>
  <c r="BE80" i="15"/>
  <c r="BF80" i="15" s="1"/>
  <c r="HM80" i="15"/>
  <c r="HN80" i="15" s="1"/>
  <c r="BA80" i="15"/>
  <c r="BB80" i="15" s="1"/>
  <c r="HR79" i="15"/>
  <c r="FY80" i="15"/>
  <c r="FZ80" i="15" s="1"/>
  <c r="FI80" i="15"/>
  <c r="FJ80" i="15" s="1"/>
  <c r="MG80" i="15"/>
  <c r="MH80" i="15" s="1"/>
  <c r="RE80" i="15"/>
  <c r="RF80" i="15" s="1"/>
  <c r="I79" i="15"/>
  <c r="J79" i="15" s="1"/>
  <c r="OG79" i="15"/>
  <c r="OH79" i="15" s="1"/>
  <c r="JA80" i="15"/>
  <c r="JB80" i="15" s="1"/>
  <c r="FZ79" i="15"/>
  <c r="GO80" i="15"/>
  <c r="GP80" i="15" s="1"/>
  <c r="SK80" i="15"/>
  <c r="SL80" i="15" s="1"/>
  <c r="RI80" i="15"/>
  <c r="KO80" i="15"/>
  <c r="KP80" i="15" s="1"/>
  <c r="LI80" i="15"/>
  <c r="LJ80" i="15" s="1"/>
  <c r="SG80" i="15"/>
  <c r="SH80" i="15" s="1"/>
  <c r="NA79" i="15"/>
  <c r="NB79" i="15" s="1"/>
  <c r="IC80" i="15"/>
  <c r="ID80" i="15" s="1"/>
  <c r="LM80" i="15"/>
  <c r="LN80" i="15" s="1"/>
  <c r="LJ79" i="15"/>
  <c r="AK80" i="15"/>
  <c r="AL80" i="15" s="1"/>
  <c r="CO80" i="15"/>
  <c r="CP80" i="15" s="1"/>
  <c r="U80" i="15"/>
  <c r="V80" i="15" s="1"/>
  <c r="KK80" i="15"/>
  <c r="KL80" i="15" s="1"/>
  <c r="FM80" i="15"/>
  <c r="FN80" i="15" s="1"/>
  <c r="CC79" i="15"/>
  <c r="CD79" i="15" s="1"/>
  <c r="MB81" i="15"/>
  <c r="CN81" i="15"/>
  <c r="GV81" i="15"/>
  <c r="NP81" i="15"/>
  <c r="MJ81" i="15"/>
  <c r="RP81" i="15"/>
  <c r="GK79" i="15"/>
  <c r="GL78" i="15"/>
  <c r="DX81" i="15"/>
  <c r="LH81" i="15"/>
  <c r="CP79" i="15"/>
  <c r="RY79" i="15"/>
  <c r="RZ78" i="15"/>
  <c r="AZ81" i="15"/>
  <c r="ON81" i="15"/>
  <c r="KC79" i="15"/>
  <c r="KD78" i="15"/>
  <c r="PP81" i="15"/>
  <c r="NT81" i="15"/>
  <c r="EJ81" i="15"/>
  <c r="L81" i="15"/>
  <c r="QZ81" i="15"/>
  <c r="JP81" i="15"/>
  <c r="TX81" i="15"/>
  <c r="BB79" i="15"/>
  <c r="UN81" i="15"/>
  <c r="ID79" i="15"/>
  <c r="EN81" i="15"/>
  <c r="RT81" i="15"/>
  <c r="DY79" i="15"/>
  <c r="DZ78" i="15"/>
  <c r="HA79" i="15"/>
  <c r="HB78" i="15"/>
  <c r="V79" i="15"/>
  <c r="MV81" i="15"/>
  <c r="BH81" i="15"/>
  <c r="KP79" i="15"/>
  <c r="IB81" i="15"/>
  <c r="GF81" i="15"/>
  <c r="FD81" i="15"/>
  <c r="IK79" i="15"/>
  <c r="IL78" i="15"/>
  <c r="PE80" i="15"/>
  <c r="PF80" i="15" s="1"/>
  <c r="TP81" i="15"/>
  <c r="CF81" i="15"/>
  <c r="AN81" i="15"/>
  <c r="HI79" i="15"/>
  <c r="HJ78" i="15"/>
  <c r="GZ81" i="15"/>
  <c r="T81" i="15"/>
  <c r="QF81" i="15"/>
  <c r="HP81" i="15"/>
  <c r="CV81" i="15"/>
  <c r="SZ81" i="15"/>
  <c r="KN81" i="15"/>
  <c r="OV81" i="15"/>
  <c r="JQ79" i="15"/>
  <c r="JR78" i="15"/>
  <c r="AW79" i="15"/>
  <c r="AX78" i="15"/>
  <c r="MS79" i="15"/>
  <c r="MT78" i="15"/>
  <c r="LT81" i="15"/>
  <c r="AS79" i="15"/>
  <c r="AT78" i="15"/>
  <c r="PH81" i="15"/>
  <c r="IV81" i="15"/>
  <c r="DT81" i="15"/>
  <c r="BT80" i="15"/>
  <c r="IR81" i="15"/>
  <c r="IS81" i="15" s="1"/>
  <c r="IT80" i="15"/>
  <c r="OB81" i="15"/>
  <c r="BU79" i="15"/>
  <c r="DH81" i="15"/>
  <c r="GB81" i="15"/>
  <c r="QC79" i="15"/>
  <c r="QD78" i="15"/>
  <c r="JL81" i="15"/>
  <c r="KZ81" i="15"/>
  <c r="QT79" i="15"/>
  <c r="FQ79" i="15"/>
  <c r="FR78" i="15"/>
  <c r="CB80" i="15"/>
  <c r="TQ79" i="15"/>
  <c r="TR78" i="15"/>
  <c r="RA79" i="15"/>
  <c r="RB78" i="15"/>
  <c r="QV81" i="15"/>
  <c r="KV81" i="15"/>
  <c r="RQ79" i="15"/>
  <c r="RR78" i="15"/>
  <c r="QR81" i="15"/>
  <c r="SV81" i="15"/>
  <c r="FN79" i="15"/>
  <c r="EZ81" i="15"/>
  <c r="SS79" i="15"/>
  <c r="ST78" i="15"/>
  <c r="MW79" i="15"/>
  <c r="MX78" i="15"/>
  <c r="JE79" i="15"/>
  <c r="JF78" i="15"/>
  <c r="TL81" i="15"/>
  <c r="DI79" i="15"/>
  <c r="DJ78" i="15"/>
  <c r="LL81" i="15"/>
  <c r="PI80" i="15"/>
  <c r="JI79" i="15"/>
  <c r="JJ78" i="15"/>
  <c r="NL81" i="15"/>
  <c r="FL81" i="15"/>
  <c r="H80" i="15"/>
  <c r="UF81" i="15"/>
  <c r="Q79" i="15"/>
  <c r="R78" i="15"/>
  <c r="LN79" i="15"/>
  <c r="PQ79" i="15"/>
  <c r="PR78" i="15"/>
  <c r="KW79" i="15"/>
  <c r="KX78" i="15"/>
  <c r="BL81" i="15"/>
  <c r="QW80" i="15"/>
  <c r="QX80" i="15" s="1"/>
  <c r="MK79" i="15"/>
  <c r="ML78" i="15"/>
  <c r="UK79" i="15"/>
  <c r="UL78" i="15"/>
  <c r="ES79" i="15"/>
  <c r="ET78" i="15"/>
  <c r="D81" i="15"/>
  <c r="MZ80" i="15"/>
  <c r="KF81" i="15"/>
  <c r="TM79" i="15"/>
  <c r="TN78" i="15"/>
  <c r="RU79" i="15"/>
  <c r="RV78" i="15"/>
  <c r="QG79" i="15"/>
  <c r="QH78" i="15"/>
  <c r="RH81" i="15"/>
  <c r="EV81" i="15"/>
  <c r="AR81" i="15"/>
  <c r="SJ81" i="15"/>
  <c r="HL81" i="15"/>
  <c r="FH81" i="15"/>
  <c r="SB81" i="15"/>
  <c r="JB79" i="15"/>
  <c r="DL81" i="15"/>
  <c r="CW79" i="15"/>
  <c r="CX78" i="15"/>
  <c r="NB78" i="15"/>
  <c r="KL79" i="15"/>
  <c r="HX81" i="15"/>
  <c r="RJ79" i="15"/>
  <c r="TA79" i="15"/>
  <c r="TB78" i="15"/>
  <c r="EK80" i="15"/>
  <c r="OF80" i="15"/>
  <c r="IZ81" i="15"/>
  <c r="AF81" i="15"/>
  <c r="AO80" i="15"/>
  <c r="KJ81" i="15"/>
  <c r="DE79" i="15"/>
  <c r="DF78" i="15"/>
  <c r="UJ81" i="15"/>
  <c r="SH79" i="15"/>
  <c r="KR81" i="15"/>
  <c r="OS79" i="15"/>
  <c r="OT78" i="15"/>
  <c r="OH78" i="15"/>
  <c r="FA79" i="15"/>
  <c r="FB78" i="15"/>
  <c r="NH81" i="15"/>
  <c r="LD81" i="15"/>
  <c r="TY80" i="15"/>
  <c r="CG79" i="15"/>
  <c r="CH78" i="15"/>
  <c r="PU79" i="15"/>
  <c r="PV78" i="15"/>
  <c r="BD81" i="15"/>
  <c r="OZ81" i="15"/>
  <c r="NQ79" i="15"/>
  <c r="NR78" i="15"/>
  <c r="SF81" i="15"/>
  <c r="Y79" i="15"/>
  <c r="Z78" i="15"/>
  <c r="NX81" i="15"/>
  <c r="AG80" i="15"/>
  <c r="ND81" i="15"/>
  <c r="JX81" i="15"/>
  <c r="QB81" i="15"/>
  <c r="JT81" i="15"/>
  <c r="TD81" i="15"/>
  <c r="IF81" i="15"/>
  <c r="IW79" i="15"/>
  <c r="IX78" i="15"/>
  <c r="GW80" i="15"/>
  <c r="GX80" i="15" s="1"/>
  <c r="PT81" i="15"/>
  <c r="NY79" i="15"/>
  <c r="NZ78" i="15"/>
  <c r="DU79" i="15"/>
  <c r="DV78" i="15"/>
  <c r="FP81" i="15"/>
  <c r="DM80" i="15"/>
  <c r="JY80" i="15"/>
  <c r="LP81" i="15"/>
  <c r="LR80" i="15"/>
  <c r="DD81" i="15"/>
  <c r="DP81" i="15"/>
  <c r="DR80" i="15"/>
  <c r="UB81" i="15"/>
  <c r="PA79" i="15"/>
  <c r="PB78" i="15"/>
  <c r="MH79" i="15"/>
  <c r="TE79" i="15"/>
  <c r="TF78" i="15"/>
  <c r="PD81" i="15"/>
  <c r="HD81" i="15"/>
  <c r="QN81" i="15"/>
  <c r="KS80" i="15"/>
  <c r="UR81" i="15"/>
  <c r="KB81" i="15"/>
  <c r="IO79" i="15"/>
  <c r="IP78" i="15"/>
  <c r="HT81" i="15"/>
  <c r="X81" i="15"/>
  <c r="KG79" i="15"/>
  <c r="KH78" i="15"/>
  <c r="JH81" i="15"/>
  <c r="OW79" i="15"/>
  <c r="OX78" i="15"/>
  <c r="JD81" i="15"/>
  <c r="MN81" i="15"/>
  <c r="MP80" i="15"/>
  <c r="SC79" i="15"/>
  <c r="SD78" i="15"/>
  <c r="PL80" i="15"/>
  <c r="EC79" i="15"/>
  <c r="ED78" i="15"/>
  <c r="ER81" i="15"/>
  <c r="GJ81" i="15"/>
  <c r="RM79" i="15"/>
  <c r="RN78" i="15"/>
  <c r="IN81" i="15"/>
  <c r="LX81" i="15"/>
  <c r="LA79" i="15"/>
  <c r="LB78" i="15"/>
  <c r="UG79" i="15"/>
  <c r="UH78" i="15"/>
  <c r="AV81" i="15"/>
  <c r="MF81" i="15"/>
  <c r="EF81" i="15"/>
  <c r="JU79" i="15"/>
  <c r="JV78" i="15"/>
  <c r="FT81" i="15"/>
  <c r="LE79" i="15"/>
  <c r="LF78" i="15"/>
  <c r="RD81" i="15"/>
  <c r="NU79" i="15"/>
  <c r="NV78" i="15"/>
  <c r="AL79" i="15"/>
  <c r="HH81" i="15"/>
  <c r="FX81" i="15"/>
  <c r="RL81" i="15"/>
  <c r="EO80" i="15"/>
  <c r="TT81" i="15"/>
  <c r="CZ81" i="15"/>
  <c r="MC80" i="15"/>
  <c r="GN81" i="15"/>
  <c r="NM79" i="15"/>
  <c r="NN78" i="15"/>
  <c r="BI80" i="15"/>
  <c r="SR81" i="15"/>
  <c r="RX81" i="15"/>
  <c r="UC79" i="15"/>
  <c r="UD78" i="15"/>
  <c r="EB81" i="15"/>
  <c r="NE79" i="15"/>
  <c r="NF78" i="15"/>
  <c r="MR81" i="15"/>
  <c r="FE80" i="15"/>
  <c r="IJ81" i="15"/>
  <c r="BY79" i="15"/>
  <c r="BZ78" i="15"/>
  <c r="AJ81" i="15"/>
  <c r="OR81" i="15"/>
  <c r="TI79" i="15"/>
  <c r="TJ78" i="15"/>
  <c r="TH81" i="15"/>
  <c r="M79" i="15"/>
  <c r="N78" i="15"/>
  <c r="AD79" i="15"/>
  <c r="OC79" i="15"/>
  <c r="OD78" i="15"/>
  <c r="SW80" i="15"/>
  <c r="GC79" i="15"/>
  <c r="GD78" i="15"/>
  <c r="OO79" i="15"/>
  <c r="OP78" i="15"/>
  <c r="HU79" i="15"/>
  <c r="HV78" i="15"/>
  <c r="CR80" i="15"/>
  <c r="OJ81" i="15"/>
  <c r="CJ81" i="15"/>
  <c r="QK79" i="15"/>
  <c r="QL78" i="15"/>
  <c r="GG79" i="15"/>
  <c r="GH78" i="15"/>
  <c r="LU79" i="15"/>
  <c r="LV78" i="15"/>
  <c r="EW79" i="15"/>
  <c r="EX78" i="15"/>
  <c r="UO80" i="15"/>
  <c r="HE80" i="15"/>
  <c r="GR81" i="15"/>
  <c r="KT79" i="15"/>
  <c r="SN81" i="15"/>
  <c r="BM79" i="15"/>
  <c r="BN78" i="15"/>
  <c r="NI79" i="15"/>
  <c r="NJ78" i="15"/>
  <c r="FF79" i="15"/>
  <c r="PX81" i="15"/>
  <c r="QJ81" i="15"/>
  <c r="PF79" i="15"/>
  <c r="P81" i="15"/>
  <c r="AB81" i="15"/>
  <c r="US79" i="15"/>
  <c r="UT78" i="15"/>
  <c r="BP81" i="15"/>
  <c r="BX81" i="15"/>
  <c r="TU80" i="15"/>
  <c r="F83" i="8"/>
  <c r="G83" i="8" s="1"/>
  <c r="F83" i="9"/>
  <c r="G83" i="9" s="1"/>
  <c r="E84" i="11"/>
  <c r="F83" i="11"/>
  <c r="G82" i="10"/>
  <c r="G83" i="10"/>
  <c r="G82" i="9"/>
  <c r="E84" i="9"/>
  <c r="G82" i="8"/>
  <c r="E84" i="8"/>
  <c r="E85" i="2"/>
  <c r="F84" i="2"/>
  <c r="FU81" i="15" l="1"/>
  <c r="SO81" i="15"/>
  <c r="QS81" i="15"/>
  <c r="QT81" i="15" s="1"/>
  <c r="GS81" i="15"/>
  <c r="GT81" i="15" s="1"/>
  <c r="DA81" i="15"/>
  <c r="DB81" i="15" s="1"/>
  <c r="BQ81" i="15"/>
  <c r="BR81" i="15" s="1"/>
  <c r="KO81" i="15"/>
  <c r="KP81" i="15" s="1"/>
  <c r="FY81" i="15"/>
  <c r="FZ81" i="15" s="1"/>
  <c r="I80" i="15"/>
  <c r="RE81" i="15"/>
  <c r="HQ81" i="15"/>
  <c r="HR81" i="15" s="1"/>
  <c r="BA81" i="15"/>
  <c r="BB81" i="15" s="1"/>
  <c r="EG81" i="15"/>
  <c r="EH81" i="15" s="1"/>
  <c r="FI81" i="15"/>
  <c r="FJ81" i="15" s="1"/>
  <c r="MG81" i="15"/>
  <c r="MH81" i="15" s="1"/>
  <c r="OG80" i="15"/>
  <c r="OH80" i="15" s="1"/>
  <c r="RI81" i="15"/>
  <c r="RJ81" i="15" s="1"/>
  <c r="AK81" i="15"/>
  <c r="AL81" i="15" s="1"/>
  <c r="JA81" i="15"/>
  <c r="JB81" i="15" s="1"/>
  <c r="KS81" i="15"/>
  <c r="KT81" i="15" s="1"/>
  <c r="MC81" i="15"/>
  <c r="MD81" i="15" s="1"/>
  <c r="NA80" i="15"/>
  <c r="NB80" i="15" s="1"/>
  <c r="BU80" i="15"/>
  <c r="BV80" i="15" s="1"/>
  <c r="LI81" i="15"/>
  <c r="LJ81" i="15" s="1"/>
  <c r="RJ80" i="15"/>
  <c r="GO81" i="15"/>
  <c r="GP81" i="15" s="1"/>
  <c r="CO81" i="15"/>
  <c r="CP81" i="15" s="1"/>
  <c r="CC80" i="15"/>
  <c r="CD80" i="15" s="1"/>
  <c r="KK81" i="15"/>
  <c r="KL81" i="15" s="1"/>
  <c r="FE81" i="15"/>
  <c r="FF81" i="15" s="1"/>
  <c r="HE81" i="15"/>
  <c r="HF81" i="15" s="1"/>
  <c r="TY81" i="15"/>
  <c r="TZ81" i="15" s="1"/>
  <c r="TU81" i="15"/>
  <c r="UO81" i="15"/>
  <c r="UP81" i="15" s="1"/>
  <c r="EO81" i="15"/>
  <c r="EP81" i="15" s="1"/>
  <c r="SW81" i="15"/>
  <c r="SX81" i="15" s="1"/>
  <c r="EK81" i="15"/>
  <c r="EL81" i="15" s="1"/>
  <c r="BI81" i="15"/>
  <c r="BJ81" i="15" s="1"/>
  <c r="PI81" i="15"/>
  <c r="PJ81" i="15" s="1"/>
  <c r="UP80" i="15"/>
  <c r="AO81" i="15"/>
  <c r="AP81" i="15" s="1"/>
  <c r="JY81" i="15"/>
  <c r="JZ81" i="15" s="1"/>
  <c r="DM81" i="15"/>
  <c r="DN81" i="15" s="1"/>
  <c r="HF80" i="15"/>
  <c r="PX82" i="15"/>
  <c r="RL82" i="15"/>
  <c r="PL81" i="15"/>
  <c r="OS80" i="15"/>
  <c r="OT79" i="15"/>
  <c r="HL82" i="15"/>
  <c r="MZ81" i="15"/>
  <c r="GB82" i="15"/>
  <c r="T82" i="15"/>
  <c r="UN82" i="15"/>
  <c r="ON82" i="15"/>
  <c r="GV82" i="15"/>
  <c r="SC80" i="15"/>
  <c r="SD79" i="15"/>
  <c r="DD82" i="15"/>
  <c r="NQ80" i="15"/>
  <c r="NR79" i="15"/>
  <c r="KR82" i="15"/>
  <c r="SJ82" i="15"/>
  <c r="KV82" i="15"/>
  <c r="DH82" i="15"/>
  <c r="MS80" i="15"/>
  <c r="MT79" i="15"/>
  <c r="SF82" i="15"/>
  <c r="OJ82" i="15"/>
  <c r="UR82" i="15"/>
  <c r="TD82" i="15"/>
  <c r="KT80" i="15"/>
  <c r="TA80" i="15"/>
  <c r="TB79" i="15"/>
  <c r="QV82" i="15"/>
  <c r="GZ82" i="15"/>
  <c r="BH82" i="15"/>
  <c r="TZ80" i="15"/>
  <c r="CN82" i="15"/>
  <c r="CJ82" i="15"/>
  <c r="MN82" i="15"/>
  <c r="JT82" i="15"/>
  <c r="OZ82" i="15"/>
  <c r="PY81" i="15"/>
  <c r="D82" i="15"/>
  <c r="Q80" i="15"/>
  <c r="R79" i="15"/>
  <c r="JE80" i="15"/>
  <c r="JF79" i="15"/>
  <c r="AW80" i="15"/>
  <c r="AX79" i="15"/>
  <c r="BJ80" i="15"/>
  <c r="TX82" i="15"/>
  <c r="AZ82" i="15"/>
  <c r="KC80" i="15"/>
  <c r="KD79" i="15"/>
  <c r="SR82" i="15"/>
  <c r="LP82" i="15"/>
  <c r="BD82" i="15"/>
  <c r="UJ82" i="15"/>
  <c r="AR82" i="15"/>
  <c r="UF82" i="15"/>
  <c r="OB82" i="15"/>
  <c r="HI80" i="15"/>
  <c r="HJ79" i="15"/>
  <c r="JP82" i="15"/>
  <c r="MB82" i="15"/>
  <c r="LA80" i="15"/>
  <c r="LB79" i="15"/>
  <c r="JD82" i="15"/>
  <c r="QN82" i="15"/>
  <c r="QB82" i="15"/>
  <c r="HX82" i="15"/>
  <c r="ES80" i="15"/>
  <c r="ET79" i="15"/>
  <c r="MW80" i="15"/>
  <c r="MX79" i="15"/>
  <c r="RA80" i="15"/>
  <c r="RB79" i="15"/>
  <c r="JQ80" i="15"/>
  <c r="JR79" i="15"/>
  <c r="AP80" i="15"/>
  <c r="MV82" i="15"/>
  <c r="RY80" i="15"/>
  <c r="RZ79" i="15"/>
  <c r="MD80" i="15"/>
  <c r="IB82" i="15"/>
  <c r="AN82" i="15"/>
  <c r="DP82" i="15"/>
  <c r="HD82" i="15"/>
  <c r="JX82" i="15"/>
  <c r="PU80" i="15"/>
  <c r="PV79" i="15"/>
  <c r="DE80" i="15"/>
  <c r="DF79" i="15"/>
  <c r="EV82" i="15"/>
  <c r="UK80" i="15"/>
  <c r="UL79" i="15"/>
  <c r="J80" i="15"/>
  <c r="H81" i="15"/>
  <c r="U81" i="15"/>
  <c r="TQ80" i="15"/>
  <c r="TR79" i="15"/>
  <c r="IR82" i="15"/>
  <c r="IT81" i="15"/>
  <c r="OV82" i="15"/>
  <c r="QZ82" i="15"/>
  <c r="LH82" i="15"/>
  <c r="BM80" i="15"/>
  <c r="BN79" i="15"/>
  <c r="NM80" i="15"/>
  <c r="NN79" i="15"/>
  <c r="JZ80" i="15"/>
  <c r="BT81" i="15"/>
  <c r="CF82" i="15"/>
  <c r="OK81" i="15"/>
  <c r="QK80" i="15"/>
  <c r="QL79" i="15"/>
  <c r="IF82" i="15"/>
  <c r="AV82" i="15"/>
  <c r="RX82" i="15"/>
  <c r="FP82" i="15"/>
  <c r="CG80" i="15"/>
  <c r="CH79" i="15"/>
  <c r="KJ82" i="15"/>
  <c r="FL82" i="15"/>
  <c r="SS80" i="15"/>
  <c r="ST79" i="15"/>
  <c r="CB81" i="15"/>
  <c r="BV79" i="15"/>
  <c r="KN82" i="15"/>
  <c r="FM81" i="15"/>
  <c r="HA80" i="15"/>
  <c r="HB79" i="15"/>
  <c r="L82" i="15"/>
  <c r="HY81" i="15"/>
  <c r="HZ81" i="15" s="1"/>
  <c r="UC80" i="15"/>
  <c r="UD79" i="15"/>
  <c r="PD82" i="15"/>
  <c r="ND82" i="15"/>
  <c r="CW80" i="15"/>
  <c r="CX79" i="15"/>
  <c r="RH82" i="15"/>
  <c r="MK80" i="15"/>
  <c r="ML79" i="15"/>
  <c r="CK81" i="15"/>
  <c r="TL82" i="15"/>
  <c r="UG80" i="15"/>
  <c r="UH79" i="15"/>
  <c r="AB82" i="15"/>
  <c r="DU80" i="15"/>
  <c r="DV79" i="15"/>
  <c r="LD82" i="15"/>
  <c r="NL82" i="15"/>
  <c r="EZ82" i="15"/>
  <c r="FQ80" i="15"/>
  <c r="FR79" i="15"/>
  <c r="DT82" i="15"/>
  <c r="SZ82" i="15"/>
  <c r="TP82" i="15"/>
  <c r="DY80" i="15"/>
  <c r="DZ79" i="15"/>
  <c r="EJ82" i="15"/>
  <c r="DX82" i="15"/>
  <c r="MO81" i="15"/>
  <c r="LT82" i="15"/>
  <c r="FX82" i="15"/>
  <c r="NU80" i="15"/>
  <c r="NV79" i="15"/>
  <c r="GR82" i="15"/>
  <c r="FT82" i="15"/>
  <c r="FV81" i="15"/>
  <c r="AF82" i="15"/>
  <c r="DL82" i="15"/>
  <c r="QG80" i="15"/>
  <c r="QH79" i="15"/>
  <c r="IG81" i="15"/>
  <c r="IH81" i="15" s="1"/>
  <c r="IV82" i="15"/>
  <c r="PE81" i="15"/>
  <c r="EL80" i="15"/>
  <c r="PM80" i="15"/>
  <c r="PQ80" i="15"/>
  <c r="PR79" i="15"/>
  <c r="OR82" i="15"/>
  <c r="LX82" i="15"/>
  <c r="BP82" i="15"/>
  <c r="IN82" i="15"/>
  <c r="GN82" i="15"/>
  <c r="NY80" i="15"/>
  <c r="NZ79" i="15"/>
  <c r="AG81" i="15"/>
  <c r="NH82" i="15"/>
  <c r="AH80" i="15"/>
  <c r="DN80" i="15"/>
  <c r="QW81" i="15"/>
  <c r="JI80" i="15"/>
  <c r="JJ79" i="15"/>
  <c r="SX80" i="15"/>
  <c r="CV82" i="15"/>
  <c r="RT82" i="15"/>
  <c r="NT82" i="15"/>
  <c r="GK80" i="15"/>
  <c r="GL79" i="15"/>
  <c r="HM81" i="15"/>
  <c r="HN81" i="15" s="1"/>
  <c r="NI80" i="15"/>
  <c r="NJ79" i="15"/>
  <c r="CR81" i="15"/>
  <c r="BX82" i="15"/>
  <c r="OW80" i="15"/>
  <c r="OX79" i="15"/>
  <c r="JH82" i="15"/>
  <c r="SV82" i="15"/>
  <c r="KZ82" i="15"/>
  <c r="PH82" i="15"/>
  <c r="IK80" i="15"/>
  <c r="IL79" i="15"/>
  <c r="IC81" i="15"/>
  <c r="RP82" i="15"/>
  <c r="SK81" i="15"/>
  <c r="TH82" i="15"/>
  <c r="TI80" i="15"/>
  <c r="TJ79" i="15"/>
  <c r="IJ82" i="15"/>
  <c r="SG81" i="15"/>
  <c r="GJ82" i="15"/>
  <c r="P82" i="15"/>
  <c r="ER82" i="15"/>
  <c r="PJ80" i="15"/>
  <c r="HP82" i="15"/>
  <c r="FF80" i="15"/>
  <c r="EP80" i="15"/>
  <c r="CS80" i="15"/>
  <c r="NP82" i="15"/>
  <c r="BY80" i="15"/>
  <c r="BZ79" i="15"/>
  <c r="US80" i="15"/>
  <c r="UT79" i="15"/>
  <c r="OO80" i="15"/>
  <c r="OP79" i="15"/>
  <c r="RM80" i="15"/>
  <c r="RN79" i="15"/>
  <c r="MR82" i="15"/>
  <c r="RU80" i="15"/>
  <c r="RV79" i="15"/>
  <c r="OC80" i="15"/>
  <c r="OD79" i="15"/>
  <c r="PA80" i="15"/>
  <c r="PB79" i="15"/>
  <c r="LL82" i="15"/>
  <c r="NE80" i="15"/>
  <c r="NF79" i="15"/>
  <c r="TV81" i="15"/>
  <c r="TT82" i="15"/>
  <c r="EF82" i="15"/>
  <c r="HT82" i="15"/>
  <c r="UB82" i="15"/>
  <c r="GW81" i="15"/>
  <c r="GX81" i="15" s="1"/>
  <c r="FA80" i="15"/>
  <c r="FB79" i="15"/>
  <c r="E81" i="15"/>
  <c r="SB82" i="15"/>
  <c r="TM80" i="15"/>
  <c r="TN79" i="15"/>
  <c r="QR82" i="15"/>
  <c r="JL82" i="15"/>
  <c r="FD82" i="15"/>
  <c r="EN82" i="15"/>
  <c r="PP82" i="15"/>
  <c r="MJ82" i="15"/>
  <c r="DQ81" i="15"/>
  <c r="DR81" i="15" s="1"/>
  <c r="KB82" i="15"/>
  <c r="HH82" i="15"/>
  <c r="AJ82" i="15"/>
  <c r="RF81" i="15"/>
  <c r="RD82" i="15"/>
  <c r="KG80" i="15"/>
  <c r="KH79" i="15"/>
  <c r="EW80" i="15"/>
  <c r="EX79" i="15"/>
  <c r="JU80" i="15"/>
  <c r="JV79" i="15"/>
  <c r="LU80" i="15"/>
  <c r="LV79" i="15"/>
  <c r="TV80" i="15"/>
  <c r="NX82" i="15"/>
  <c r="BL82" i="15"/>
  <c r="QJ82" i="15"/>
  <c r="MF82" i="15"/>
  <c r="EC80" i="15"/>
  <c r="ED79" i="15"/>
  <c r="Y80" i="15"/>
  <c r="Z79" i="15"/>
  <c r="AC81" i="15"/>
  <c r="LM81" i="15"/>
  <c r="KW80" i="15"/>
  <c r="KX79" i="15"/>
  <c r="AS80" i="15"/>
  <c r="AT79" i="15"/>
  <c r="JM81" i="15"/>
  <c r="JN81" i="15" s="1"/>
  <c r="QO81" i="15"/>
  <c r="SN82" i="15"/>
  <c r="SP81" i="15"/>
  <c r="HU80" i="15"/>
  <c r="HV79" i="15"/>
  <c r="LE80" i="15"/>
  <c r="LF79" i="15"/>
  <c r="GC80" i="15"/>
  <c r="GD79" i="15"/>
  <c r="TE80" i="15"/>
  <c r="TF79" i="15"/>
  <c r="CZ82" i="15"/>
  <c r="X82" i="15"/>
  <c r="IZ82" i="15"/>
  <c r="PT82" i="15"/>
  <c r="GG80" i="15"/>
  <c r="GH79" i="15"/>
  <c r="M80" i="15"/>
  <c r="N79" i="15"/>
  <c r="EB82" i="15"/>
  <c r="IO80" i="15"/>
  <c r="IP79" i="15"/>
  <c r="BE81" i="15"/>
  <c r="IW80" i="15"/>
  <c r="IX79" i="15"/>
  <c r="OF81" i="15"/>
  <c r="FH82" i="15"/>
  <c r="KF82" i="15"/>
  <c r="DI80" i="15"/>
  <c r="DJ79" i="15"/>
  <c r="RQ80" i="15"/>
  <c r="RR79" i="15"/>
  <c r="QC80" i="15"/>
  <c r="QD79" i="15"/>
  <c r="QF82" i="15"/>
  <c r="GF82" i="15"/>
  <c r="LY81" i="15"/>
  <c r="LZ81" i="15" s="1"/>
  <c r="LQ81" i="15"/>
  <c r="F84" i="11"/>
  <c r="G84" i="11" s="1"/>
  <c r="F85" i="2"/>
  <c r="G85" i="2" s="1"/>
  <c r="G83" i="11"/>
  <c r="E85" i="11"/>
  <c r="E85" i="9"/>
  <c r="F84" i="9"/>
  <c r="E85" i="8"/>
  <c r="F84" i="8"/>
  <c r="E86" i="2"/>
  <c r="G84" i="2"/>
  <c r="EG82" i="15" l="1"/>
  <c r="BQ82" i="15"/>
  <c r="KO82" i="15"/>
  <c r="KP82" i="15" s="1"/>
  <c r="FI82" i="15"/>
  <c r="FJ82" i="15" s="1"/>
  <c r="AG82" i="15"/>
  <c r="AH82" i="15" s="1"/>
  <c r="OG81" i="15"/>
  <c r="OH81" i="15" s="1"/>
  <c r="BU81" i="15"/>
  <c r="BV81" i="15" s="1"/>
  <c r="DM82" i="15"/>
  <c r="DN82" i="15" s="1"/>
  <c r="NA81" i="15"/>
  <c r="NB81" i="15" s="1"/>
  <c r="MC82" i="15"/>
  <c r="GO82" i="15"/>
  <c r="GP82" i="15" s="1"/>
  <c r="CC81" i="15"/>
  <c r="CD81" i="15" s="1"/>
  <c r="TY82" i="15"/>
  <c r="TZ82" i="15" s="1"/>
  <c r="TU82" i="15"/>
  <c r="TV82" i="15" s="1"/>
  <c r="UO82" i="15"/>
  <c r="UP82" i="15" s="1"/>
  <c r="AC82" i="15"/>
  <c r="AD82" i="15" s="1"/>
  <c r="CO82" i="15"/>
  <c r="CP82" i="15" s="1"/>
  <c r="QO82" i="15"/>
  <c r="QP82" i="15" s="1"/>
  <c r="QW82" i="15"/>
  <c r="QX82" i="15" s="1"/>
  <c r="BI82" i="15"/>
  <c r="BJ82" i="15" s="1"/>
  <c r="AO82" i="15"/>
  <c r="AP82" i="15" s="1"/>
  <c r="EK82" i="15"/>
  <c r="EL82" i="15" s="1"/>
  <c r="PE82" i="15"/>
  <c r="PF82" i="15" s="1"/>
  <c r="CS81" i="15"/>
  <c r="CT81" i="15" s="1"/>
  <c r="PI82" i="15"/>
  <c r="PJ82" i="15" s="1"/>
  <c r="PY82" i="15"/>
  <c r="QP81" i="15"/>
  <c r="U82" i="15"/>
  <c r="V82" i="15" s="1"/>
  <c r="LM82" i="15"/>
  <c r="LN82" i="15" s="1"/>
  <c r="SG82" i="15"/>
  <c r="SH82" i="15" s="1"/>
  <c r="IC82" i="15"/>
  <c r="ID82" i="15" s="1"/>
  <c r="FM82" i="15"/>
  <c r="FN82" i="15" s="1"/>
  <c r="OK82" i="15"/>
  <c r="OL82" i="15" s="1"/>
  <c r="MO82" i="15"/>
  <c r="MP82" i="15" s="1"/>
  <c r="E82" i="15"/>
  <c r="F82" i="15" s="1"/>
  <c r="BE82" i="15"/>
  <c r="BF82" i="15" s="1"/>
  <c r="PM81" i="15"/>
  <c r="PN81" i="15" s="1"/>
  <c r="CK82" i="15"/>
  <c r="CL82" i="15" s="1"/>
  <c r="SV83" i="15"/>
  <c r="GJ83" i="15"/>
  <c r="CV83" i="15"/>
  <c r="FT83" i="15"/>
  <c r="TL83" i="15"/>
  <c r="RX83" i="15"/>
  <c r="PU81" i="15"/>
  <c r="PV80" i="15"/>
  <c r="LA81" i="15"/>
  <c r="LB80" i="15"/>
  <c r="OZ83" i="15"/>
  <c r="TA81" i="15"/>
  <c r="TB80" i="15"/>
  <c r="LX83" i="15"/>
  <c r="DT83" i="15"/>
  <c r="LH83" i="15"/>
  <c r="JX83" i="15"/>
  <c r="KR83" i="15"/>
  <c r="HL83" i="15"/>
  <c r="RM81" i="15"/>
  <c r="RN80" i="15"/>
  <c r="JU81" i="15"/>
  <c r="JV80" i="15"/>
  <c r="GR83" i="15"/>
  <c r="HA81" i="15"/>
  <c r="HB80" i="15"/>
  <c r="AV83" i="15"/>
  <c r="SR83" i="15"/>
  <c r="RT83" i="15"/>
  <c r="US81" i="15"/>
  <c r="UT80" i="15"/>
  <c r="IJ83" i="15"/>
  <c r="JH83" i="15"/>
  <c r="OR83" i="15"/>
  <c r="FQ81" i="15"/>
  <c r="FR80" i="15"/>
  <c r="MK81" i="15"/>
  <c r="ML80" i="15"/>
  <c r="QZ83" i="15"/>
  <c r="JQ81" i="15"/>
  <c r="JR80" i="15"/>
  <c r="MD82" i="15"/>
  <c r="MB83" i="15"/>
  <c r="JT83" i="15"/>
  <c r="TD83" i="15"/>
  <c r="NQ81" i="15"/>
  <c r="NR80" i="15"/>
  <c r="LP83" i="15"/>
  <c r="KW81" i="15"/>
  <c r="KX80" i="15"/>
  <c r="EW81" i="15"/>
  <c r="EX80" i="15"/>
  <c r="FD83" i="15"/>
  <c r="JI81" i="15"/>
  <c r="JJ80" i="15"/>
  <c r="NU81" i="15"/>
  <c r="NV80" i="15"/>
  <c r="EZ83" i="15"/>
  <c r="RH83" i="15"/>
  <c r="OV83" i="15"/>
  <c r="HD83" i="15"/>
  <c r="KC81" i="15"/>
  <c r="KD80" i="15"/>
  <c r="KS82" i="15"/>
  <c r="KT82" i="15" s="1"/>
  <c r="OS81" i="15"/>
  <c r="OT80" i="15"/>
  <c r="IZ83" i="15"/>
  <c r="BY81" i="15"/>
  <c r="BZ80" i="15"/>
  <c r="PQ81" i="15"/>
  <c r="PR80" i="15"/>
  <c r="KN83" i="15"/>
  <c r="IF83" i="15"/>
  <c r="RA81" i="15"/>
  <c r="RB80" i="15"/>
  <c r="JP83" i="15"/>
  <c r="MP81" i="15"/>
  <c r="UR83" i="15"/>
  <c r="DD83" i="15"/>
  <c r="PL82" i="15"/>
  <c r="PP83" i="15"/>
  <c r="NE81" i="15"/>
  <c r="NF80" i="15"/>
  <c r="TI81" i="15"/>
  <c r="TJ80" i="15"/>
  <c r="OW81" i="15"/>
  <c r="OX80" i="15"/>
  <c r="FX83" i="15"/>
  <c r="AZ83" i="15"/>
  <c r="MN83" i="15"/>
  <c r="OL81" i="15"/>
  <c r="PN80" i="15"/>
  <c r="TT83" i="15"/>
  <c r="QR83" i="15"/>
  <c r="LN81" i="15"/>
  <c r="NP83" i="15"/>
  <c r="LT83" i="15"/>
  <c r="NL83" i="15"/>
  <c r="CW81" i="15"/>
  <c r="CX80" i="15"/>
  <c r="CB82" i="15"/>
  <c r="QK81" i="15"/>
  <c r="QL80" i="15"/>
  <c r="IR83" i="15"/>
  <c r="DP83" i="15"/>
  <c r="MW81" i="15"/>
  <c r="MX80" i="15"/>
  <c r="HI81" i="15"/>
  <c r="HJ80" i="15"/>
  <c r="CL81" i="15"/>
  <c r="OJ83" i="15"/>
  <c r="SC81" i="15"/>
  <c r="SD80" i="15"/>
  <c r="RL83" i="15"/>
  <c r="HT83" i="15"/>
  <c r="X83" i="15"/>
  <c r="RD83" i="15"/>
  <c r="OB83" i="15"/>
  <c r="TX83" i="15"/>
  <c r="CJ83" i="15"/>
  <c r="SF83" i="15"/>
  <c r="GV83" i="15"/>
  <c r="MV83" i="15"/>
  <c r="DI81" i="15"/>
  <c r="DJ80" i="15"/>
  <c r="KG81" i="15"/>
  <c r="KH80" i="15"/>
  <c r="LD83" i="15"/>
  <c r="TQ81" i="15"/>
  <c r="TR80" i="15"/>
  <c r="AN83" i="15"/>
  <c r="ES81" i="15"/>
  <c r="ET80" i="15"/>
  <c r="SH81" i="15"/>
  <c r="PZ81" i="15"/>
  <c r="FH83" i="15"/>
  <c r="BX83" i="15"/>
  <c r="MF83" i="15"/>
  <c r="IV83" i="15"/>
  <c r="SS81" i="15"/>
  <c r="ST80" i="15"/>
  <c r="HX83" i="15"/>
  <c r="UF83" i="15"/>
  <c r="CN83" i="15"/>
  <c r="PX83" i="15"/>
  <c r="KF83" i="15"/>
  <c r="EN83" i="15"/>
  <c r="JL83" i="15"/>
  <c r="EC81" i="15"/>
  <c r="ED80" i="15"/>
  <c r="SB83" i="15"/>
  <c r="RP83" i="15"/>
  <c r="IG82" i="15"/>
  <c r="IH82" i="15" s="1"/>
  <c r="DX83" i="15"/>
  <c r="RI82" i="15"/>
  <c r="RJ82" i="15" s="1"/>
  <c r="ND83" i="15"/>
  <c r="FN81" i="15"/>
  <c r="CF83" i="15"/>
  <c r="H82" i="15"/>
  <c r="MG82" i="15"/>
  <c r="AW81" i="15"/>
  <c r="AX80" i="15"/>
  <c r="MS81" i="15"/>
  <c r="MT80" i="15"/>
  <c r="ON83" i="15"/>
  <c r="OO81" i="15"/>
  <c r="OP80" i="15"/>
  <c r="LQ82" i="15"/>
  <c r="NI81" i="15"/>
  <c r="NJ80" i="15"/>
  <c r="NY81" i="15"/>
  <c r="NZ80" i="15"/>
  <c r="EJ83" i="15"/>
  <c r="PD83" i="15"/>
  <c r="FL83" i="15"/>
  <c r="I81" i="15"/>
  <c r="RE82" i="15"/>
  <c r="L83" i="15"/>
  <c r="LL83" i="15"/>
  <c r="SK82" i="15"/>
  <c r="TM81" i="15"/>
  <c r="TN80" i="15"/>
  <c r="EO82" i="15"/>
  <c r="HH83" i="15"/>
  <c r="HM82" i="15"/>
  <c r="FE82" i="15"/>
  <c r="FF82" i="15" s="1"/>
  <c r="QG81" i="15"/>
  <c r="QH80" i="15"/>
  <c r="DU81" i="15"/>
  <c r="DV80" i="15"/>
  <c r="PF81" i="15"/>
  <c r="BT82" i="15"/>
  <c r="JY82" i="15"/>
  <c r="QB83" i="15"/>
  <c r="AR83" i="15"/>
  <c r="BH83" i="15"/>
  <c r="DH83" i="15"/>
  <c r="UN83" i="15"/>
  <c r="FU82" i="15"/>
  <c r="FV82" i="15" s="1"/>
  <c r="IW81" i="15"/>
  <c r="IX80" i="15"/>
  <c r="PA81" i="15"/>
  <c r="PB80" i="15"/>
  <c r="IK81" i="15"/>
  <c r="IL80" i="15"/>
  <c r="AD81" i="15"/>
  <c r="HE82" i="15"/>
  <c r="KJ83" i="15"/>
  <c r="UK81" i="15"/>
  <c r="UL80" i="15"/>
  <c r="IB83" i="15"/>
  <c r="IS82" i="15"/>
  <c r="JE81" i="15"/>
  <c r="JF80" i="15"/>
  <c r="KV83" i="15"/>
  <c r="V81" i="15"/>
  <c r="FY82" i="15"/>
  <c r="TH83" i="15"/>
  <c r="LY82" i="15"/>
  <c r="AJ83" i="15"/>
  <c r="EB83" i="15"/>
  <c r="HP83" i="15"/>
  <c r="GK81" i="15"/>
  <c r="GL80" i="15"/>
  <c r="ID81" i="15"/>
  <c r="UJ83" i="15"/>
  <c r="GZ83" i="15"/>
  <c r="T83" i="15"/>
  <c r="KK82" i="15"/>
  <c r="KL82" i="15" s="1"/>
  <c r="LU81" i="15"/>
  <c r="LV80" i="15"/>
  <c r="EH82" i="15"/>
  <c r="EF83" i="15"/>
  <c r="CZ83" i="15"/>
  <c r="NH83" i="15"/>
  <c r="CR82" i="15"/>
  <c r="GF83" i="15"/>
  <c r="OC81" i="15"/>
  <c r="OD80" i="15"/>
  <c r="QJ83" i="15"/>
  <c r="QF83" i="15"/>
  <c r="KB83" i="15"/>
  <c r="M81" i="15"/>
  <c r="N80" i="15"/>
  <c r="BL83" i="15"/>
  <c r="MR83" i="15"/>
  <c r="GN83" i="15"/>
  <c r="DY81" i="15"/>
  <c r="DZ80" i="15"/>
  <c r="AB83" i="15"/>
  <c r="QC81" i="15"/>
  <c r="QD80" i="15"/>
  <c r="AK82" i="15"/>
  <c r="DQ82" i="15"/>
  <c r="GW82" i="15"/>
  <c r="GX82" i="15" s="1"/>
  <c r="ER83" i="15"/>
  <c r="PH83" i="15"/>
  <c r="NT83" i="15"/>
  <c r="IN83" i="15"/>
  <c r="AH81" i="15"/>
  <c r="HQ82" i="15"/>
  <c r="UC81" i="15"/>
  <c r="UD80" i="15"/>
  <c r="CG81" i="15"/>
  <c r="CH80" i="15"/>
  <c r="EV83" i="15"/>
  <c r="QN83" i="15"/>
  <c r="BF81" i="15"/>
  <c r="Q81" i="15"/>
  <c r="R80" i="15"/>
  <c r="JA82" i="15"/>
  <c r="JB82" i="15" s="1"/>
  <c r="GB83" i="15"/>
  <c r="DA82" i="15"/>
  <c r="DB82" i="15" s="1"/>
  <c r="BM81" i="15"/>
  <c r="BN80" i="15"/>
  <c r="AS81" i="15"/>
  <c r="AT80" i="15"/>
  <c r="Y81" i="15"/>
  <c r="Z80" i="15"/>
  <c r="TE81" i="15"/>
  <c r="TF80" i="15"/>
  <c r="LE81" i="15"/>
  <c r="LF80" i="15"/>
  <c r="SN83" i="15"/>
  <c r="FA81" i="15"/>
  <c r="FB80" i="15"/>
  <c r="DL83" i="15"/>
  <c r="GG81" i="15"/>
  <c r="GH80" i="15"/>
  <c r="NX83" i="15"/>
  <c r="SW82" i="15"/>
  <c r="KZ83" i="15"/>
  <c r="AF83" i="15"/>
  <c r="TP83" i="15"/>
  <c r="HY82" i="15"/>
  <c r="NM81" i="15"/>
  <c r="NN80" i="15"/>
  <c r="BD83" i="15"/>
  <c r="F81" i="15"/>
  <c r="QV83" i="15"/>
  <c r="QS82" i="15"/>
  <c r="QT82" i="15" s="1"/>
  <c r="GS82" i="15"/>
  <c r="SJ83" i="15"/>
  <c r="OF82" i="15"/>
  <c r="GC81" i="15"/>
  <c r="GD80" i="15"/>
  <c r="CT80" i="15"/>
  <c r="IO81" i="15"/>
  <c r="IP80" i="15"/>
  <c r="HU81" i="15"/>
  <c r="HV80" i="15"/>
  <c r="RU81" i="15"/>
  <c r="RV80" i="15"/>
  <c r="RQ81" i="15"/>
  <c r="RR80" i="15"/>
  <c r="PT83" i="15"/>
  <c r="JM82" i="15"/>
  <c r="JN82" i="15" s="1"/>
  <c r="MJ83" i="15"/>
  <c r="UB83" i="15"/>
  <c r="P83" i="15"/>
  <c r="BP83" i="15"/>
  <c r="BQ83" i="15" s="1"/>
  <c r="BR82" i="15"/>
  <c r="BA82" i="15"/>
  <c r="SZ83" i="15"/>
  <c r="UG81" i="15"/>
  <c r="UH80" i="15"/>
  <c r="LI82" i="15"/>
  <c r="FP83" i="15"/>
  <c r="DE81" i="15"/>
  <c r="DF80" i="15"/>
  <c r="RY81" i="15"/>
  <c r="RZ80" i="15"/>
  <c r="JD83" i="15"/>
  <c r="LR81" i="15"/>
  <c r="D83" i="15"/>
  <c r="QX81" i="15"/>
  <c r="SL81" i="15"/>
  <c r="MZ82" i="15"/>
  <c r="SO82" i="15"/>
  <c r="SP82" i="15" s="1"/>
  <c r="F85" i="9"/>
  <c r="G85" i="9" s="1"/>
  <c r="F85" i="8"/>
  <c r="G85" i="8" s="1"/>
  <c r="F86" i="2"/>
  <c r="G86" i="2" s="1"/>
  <c r="E86" i="11"/>
  <c r="F85" i="11"/>
  <c r="G84" i="10"/>
  <c r="G85" i="10"/>
  <c r="E86" i="9"/>
  <c r="G84" i="9"/>
  <c r="G84" i="8"/>
  <c r="E86" i="8"/>
  <c r="E87" i="2"/>
  <c r="CC82" i="15" l="1"/>
  <c r="PM82" i="15"/>
  <c r="DM83" i="15"/>
  <c r="DN83" i="15" s="1"/>
  <c r="NA82" i="15"/>
  <c r="NB82" i="15" s="1"/>
  <c r="QO83" i="15"/>
  <c r="QP83" i="15" s="1"/>
  <c r="QW83" i="15"/>
  <c r="QX83" i="15" s="1"/>
  <c r="AC83" i="15"/>
  <c r="AD83" i="15" s="1"/>
  <c r="E83" i="15"/>
  <c r="F83" i="15" s="1"/>
  <c r="EK83" i="15"/>
  <c r="EL83" i="15" s="1"/>
  <c r="BI83" i="15"/>
  <c r="BJ83" i="15" s="1"/>
  <c r="HM83" i="15"/>
  <c r="HN83" i="15" s="1"/>
  <c r="PY83" i="15"/>
  <c r="PZ83" i="15" s="1"/>
  <c r="SW83" i="15"/>
  <c r="SX83" i="15" s="1"/>
  <c r="PZ82" i="15"/>
  <c r="FM83" i="15"/>
  <c r="FN83" i="15" s="1"/>
  <c r="U83" i="15"/>
  <c r="V83" i="15" s="1"/>
  <c r="PE83" i="15"/>
  <c r="PF83" i="15" s="1"/>
  <c r="IC83" i="15"/>
  <c r="ID83" i="15" s="1"/>
  <c r="HY83" i="15"/>
  <c r="HZ83" i="15" s="1"/>
  <c r="LQ83" i="15"/>
  <c r="LR83" i="15" s="1"/>
  <c r="LY83" i="15"/>
  <c r="LZ83" i="15" s="1"/>
  <c r="GW83" i="15"/>
  <c r="GX83" i="15" s="1"/>
  <c r="LI83" i="15"/>
  <c r="LJ83" i="15" s="1"/>
  <c r="AK83" i="15"/>
  <c r="AL83" i="15" s="1"/>
  <c r="MO83" i="15"/>
  <c r="MP83" i="15" s="1"/>
  <c r="GS83" i="15"/>
  <c r="GT83" i="15" s="1"/>
  <c r="EO83" i="15"/>
  <c r="EP83" i="15" s="1"/>
  <c r="SK83" i="15"/>
  <c r="SL83" i="15" s="1"/>
  <c r="DQ83" i="15"/>
  <c r="DR83" i="15" s="1"/>
  <c r="IS83" i="15"/>
  <c r="FY83" i="15"/>
  <c r="FZ83" i="15" s="1"/>
  <c r="MG83" i="15"/>
  <c r="MH83" i="15" s="1"/>
  <c r="JY83" i="15"/>
  <c r="JZ83" i="15" s="1"/>
  <c r="I82" i="15"/>
  <c r="J82" i="15" s="1"/>
  <c r="HQ83" i="15"/>
  <c r="HR83" i="15" s="1"/>
  <c r="HN82" i="15"/>
  <c r="BA83" i="15"/>
  <c r="BB83" i="15" s="1"/>
  <c r="RE83" i="15"/>
  <c r="RF83" i="15" s="1"/>
  <c r="HE83" i="15"/>
  <c r="HF83" i="15" s="1"/>
  <c r="FP84" i="15"/>
  <c r="QF84" i="15"/>
  <c r="QJ84" i="15"/>
  <c r="UN84" i="15"/>
  <c r="ND84" i="15"/>
  <c r="SF84" i="15"/>
  <c r="KR84" i="15"/>
  <c r="PU82" i="15"/>
  <c r="PV81" i="15"/>
  <c r="Q82" i="15"/>
  <c r="R81" i="15"/>
  <c r="NY82" i="15"/>
  <c r="NZ81" i="15"/>
  <c r="NI82" i="15"/>
  <c r="NJ81" i="15"/>
  <c r="RI83" i="15"/>
  <c r="CN84" i="15"/>
  <c r="SC82" i="15"/>
  <c r="SD81" i="15"/>
  <c r="OW82" i="15"/>
  <c r="OX81" i="15"/>
  <c r="KN84" i="15"/>
  <c r="EZ84" i="15"/>
  <c r="JT84" i="15"/>
  <c r="US82" i="15"/>
  <c r="UT81" i="15"/>
  <c r="DH84" i="15"/>
  <c r="OJ84" i="15"/>
  <c r="LT84" i="15"/>
  <c r="MB84" i="15"/>
  <c r="SG83" i="15"/>
  <c r="RX84" i="15"/>
  <c r="OC82" i="15"/>
  <c r="OD81" i="15"/>
  <c r="IB84" i="15"/>
  <c r="BH84" i="15"/>
  <c r="TM82" i="15"/>
  <c r="TN81" i="15"/>
  <c r="DX84" i="15"/>
  <c r="UF84" i="15"/>
  <c r="ES82" i="15"/>
  <c r="ET81" i="15"/>
  <c r="CJ84" i="15"/>
  <c r="TI82" i="15"/>
  <c r="TJ81" i="15"/>
  <c r="JX84" i="15"/>
  <c r="TL84" i="15"/>
  <c r="SN84" i="15"/>
  <c r="HH84" i="15"/>
  <c r="RU82" i="15"/>
  <c r="RV81" i="15"/>
  <c r="GF84" i="15"/>
  <c r="IG83" i="15"/>
  <c r="IH83" i="15" s="1"/>
  <c r="HZ82" i="15"/>
  <c r="AN84" i="15"/>
  <c r="NP84" i="15"/>
  <c r="PQ82" i="15"/>
  <c r="PR81" i="15"/>
  <c r="NU82" i="15"/>
  <c r="NV81" i="15"/>
  <c r="RT84" i="15"/>
  <c r="JZ82" i="15"/>
  <c r="LL84" i="15"/>
  <c r="RP84" i="15"/>
  <c r="HX84" i="15"/>
  <c r="TX84" i="15"/>
  <c r="NE82" i="15"/>
  <c r="NF81" i="15"/>
  <c r="JQ82" i="15"/>
  <c r="JR81" i="15"/>
  <c r="LJ82" i="15"/>
  <c r="FT84" i="15"/>
  <c r="BD84" i="15"/>
  <c r="QN84" i="15"/>
  <c r="IO82" i="15"/>
  <c r="IP81" i="15"/>
  <c r="AF84" i="15"/>
  <c r="TE82" i="15"/>
  <c r="TF81" i="15"/>
  <c r="CG82" i="15"/>
  <c r="CH81" i="15"/>
  <c r="CR83" i="15"/>
  <c r="GK82" i="15"/>
  <c r="GL81" i="15"/>
  <c r="UK82" i="15"/>
  <c r="UL81" i="15"/>
  <c r="OO82" i="15"/>
  <c r="OP81" i="15"/>
  <c r="OB84" i="15"/>
  <c r="HI82" i="15"/>
  <c r="HJ81" i="15"/>
  <c r="JI82" i="15"/>
  <c r="JJ81" i="15"/>
  <c r="LH84" i="15"/>
  <c r="TP84" i="15"/>
  <c r="MZ83" i="15"/>
  <c r="DY82" i="15"/>
  <c r="DZ81" i="15"/>
  <c r="HP84" i="15"/>
  <c r="KJ84" i="15"/>
  <c r="QB84" i="15"/>
  <c r="MC83" i="15"/>
  <c r="MD83" i="15" s="1"/>
  <c r="ON84" i="15"/>
  <c r="SB84" i="15"/>
  <c r="TQ82" i="15"/>
  <c r="TR81" i="15"/>
  <c r="QR84" i="15"/>
  <c r="PP84" i="15"/>
  <c r="BY82" i="15"/>
  <c r="BZ81" i="15"/>
  <c r="QZ84" i="15"/>
  <c r="SR84" i="15"/>
  <c r="CK83" i="15"/>
  <c r="CL83" i="15" s="1"/>
  <c r="NH84" i="15"/>
  <c r="HR82" i="15"/>
  <c r="SS82" i="15"/>
  <c r="ST81" i="15"/>
  <c r="TY83" i="15"/>
  <c r="TZ83" i="15" s="1"/>
  <c r="OK83" i="15"/>
  <c r="MW82" i="15"/>
  <c r="MX81" i="15"/>
  <c r="UO83" i="15"/>
  <c r="FD84" i="15"/>
  <c r="DT84" i="15"/>
  <c r="CV84" i="15"/>
  <c r="BE83" i="15"/>
  <c r="BF83" i="15" s="1"/>
  <c r="L84" i="15"/>
  <c r="IV84" i="15"/>
  <c r="LD84" i="15"/>
  <c r="AO83" i="15"/>
  <c r="AP83" i="15" s="1"/>
  <c r="DP84" i="15"/>
  <c r="PN82" i="15"/>
  <c r="PL83" i="15"/>
  <c r="PM83" i="15" s="1"/>
  <c r="IZ84" i="15"/>
  <c r="AV84" i="15"/>
  <c r="GJ84" i="15"/>
  <c r="QC82" i="15"/>
  <c r="QD81" i="15"/>
  <c r="MS82" i="15"/>
  <c r="MT81" i="15"/>
  <c r="EC82" i="15"/>
  <c r="ED81" i="15"/>
  <c r="KO83" i="15"/>
  <c r="DR82" i="15"/>
  <c r="TT84" i="15"/>
  <c r="DD84" i="15"/>
  <c r="EW82" i="15"/>
  <c r="EX81" i="15"/>
  <c r="LX84" i="15"/>
  <c r="RH84" i="15"/>
  <c r="UJ84" i="15"/>
  <c r="LM83" i="15"/>
  <c r="D84" i="15"/>
  <c r="IN84" i="15"/>
  <c r="AL82" i="15"/>
  <c r="BT83" i="15"/>
  <c r="JL84" i="15"/>
  <c r="AG83" i="15"/>
  <c r="IR84" i="15"/>
  <c r="IT83" i="15"/>
  <c r="OS82" i="15"/>
  <c r="OT81" i="15"/>
  <c r="MK82" i="15"/>
  <c r="ML81" i="15"/>
  <c r="HA82" i="15"/>
  <c r="HB81" i="15"/>
  <c r="LZ82" i="15"/>
  <c r="SV84" i="15"/>
  <c r="JE82" i="15"/>
  <c r="JF81" i="15"/>
  <c r="LE82" i="15"/>
  <c r="LF81" i="15"/>
  <c r="SO83" i="15"/>
  <c r="BL84" i="15"/>
  <c r="EF84" i="15"/>
  <c r="AJ84" i="15"/>
  <c r="IK82" i="15"/>
  <c r="IL81" i="15"/>
  <c r="FL84" i="15"/>
  <c r="AW82" i="15"/>
  <c r="AX81" i="15"/>
  <c r="MF84" i="15"/>
  <c r="RF82" i="15"/>
  <c r="IT82" i="15"/>
  <c r="KS83" i="15"/>
  <c r="GT82" i="15"/>
  <c r="SX82" i="15"/>
  <c r="EV84" i="15"/>
  <c r="SZ84" i="15"/>
  <c r="GN84" i="15"/>
  <c r="KZ84" i="15"/>
  <c r="CZ84" i="15"/>
  <c r="BM82" i="15"/>
  <c r="BN81" i="15"/>
  <c r="EN84" i="15"/>
  <c r="MH82" i="15"/>
  <c r="KG82" i="15"/>
  <c r="KH81" i="15"/>
  <c r="RD84" i="15"/>
  <c r="MN84" i="15"/>
  <c r="UR84" i="15"/>
  <c r="KW82" i="15"/>
  <c r="KX81" i="15"/>
  <c r="FQ82" i="15"/>
  <c r="FR81" i="15"/>
  <c r="GR84" i="15"/>
  <c r="TA82" i="15"/>
  <c r="TB81" i="15"/>
  <c r="TU83" i="15"/>
  <c r="TV83" i="15" s="1"/>
  <c r="AB84" i="15"/>
  <c r="BR83" i="15"/>
  <c r="BP84" i="15"/>
  <c r="AS82" i="15"/>
  <c r="AT81" i="15"/>
  <c r="UB84" i="15"/>
  <c r="DU82" i="15"/>
  <c r="DV81" i="15"/>
  <c r="EP82" i="15"/>
  <c r="X84" i="15"/>
  <c r="QK82" i="15"/>
  <c r="QL81" i="15"/>
  <c r="KC82" i="15"/>
  <c r="KD81" i="15"/>
  <c r="LR82" i="15"/>
  <c r="OZ84" i="15"/>
  <c r="GO83" i="15"/>
  <c r="GP83" i="15" s="1"/>
  <c r="IF84" i="15"/>
  <c r="OF83" i="15"/>
  <c r="LU82" i="15"/>
  <c r="LV81" i="15"/>
  <c r="BX84" i="15"/>
  <c r="BB82" i="15"/>
  <c r="JP84" i="15"/>
  <c r="HF82" i="15"/>
  <c r="LP84" i="15"/>
  <c r="OR84" i="15"/>
  <c r="JU82" i="15"/>
  <c r="JV81" i="15"/>
  <c r="OG82" i="15"/>
  <c r="OH82" i="15" s="1"/>
  <c r="NL84" i="15"/>
  <c r="GZ84" i="15"/>
  <c r="UG82" i="15"/>
  <c r="UH81" i="15"/>
  <c r="HU82" i="15"/>
  <c r="HV81" i="15"/>
  <c r="Y82" i="15"/>
  <c r="Z81" i="15"/>
  <c r="GC82" i="15"/>
  <c r="GD81" i="15"/>
  <c r="MR84" i="15"/>
  <c r="NX84" i="15"/>
  <c r="JD84" i="15"/>
  <c r="SL82" i="15"/>
  <c r="J81" i="15"/>
  <c r="DL84" i="15"/>
  <c r="M82" i="15"/>
  <c r="N81" i="15"/>
  <c r="H83" i="15"/>
  <c r="PT84" i="15"/>
  <c r="QV84" i="15"/>
  <c r="QG82" i="15"/>
  <c r="QH81" i="15"/>
  <c r="CF84" i="15"/>
  <c r="KF84" i="15"/>
  <c r="FH84" i="15"/>
  <c r="AZ84" i="15"/>
  <c r="HD84" i="15"/>
  <c r="JH84" i="15"/>
  <c r="CO83" i="15"/>
  <c r="EG83" i="15"/>
  <c r="EH83" i="15" s="1"/>
  <c r="UC82" i="15"/>
  <c r="UD81" i="15"/>
  <c r="EB84" i="15"/>
  <c r="SJ84" i="15"/>
  <c r="MJ84" i="15"/>
  <c r="NT84" i="15"/>
  <c r="GG82" i="15"/>
  <c r="GH81" i="15"/>
  <c r="PD84" i="15"/>
  <c r="QS83" i="15"/>
  <c r="PH84" i="15"/>
  <c r="TH84" i="15"/>
  <c r="DI82" i="15"/>
  <c r="DJ81" i="15"/>
  <c r="JA83" i="15"/>
  <c r="ER84" i="15"/>
  <c r="KB84" i="15"/>
  <c r="KK83" i="15"/>
  <c r="IW82" i="15"/>
  <c r="IX81" i="15"/>
  <c r="FE83" i="15"/>
  <c r="FF83" i="15" s="1"/>
  <c r="EJ84" i="15"/>
  <c r="MV84" i="15"/>
  <c r="HT84" i="15"/>
  <c r="FZ82" i="15"/>
  <c r="NQ82" i="15"/>
  <c r="NR81" i="15"/>
  <c r="RM82" i="15"/>
  <c r="RN81" i="15"/>
  <c r="BU82" i="15"/>
  <c r="RQ82" i="15"/>
  <c r="RR81" i="15"/>
  <c r="NM82" i="15"/>
  <c r="NN81" i="15"/>
  <c r="AR84" i="15"/>
  <c r="P84" i="15"/>
  <c r="DA83" i="15"/>
  <c r="PA82" i="15"/>
  <c r="PB81" i="15"/>
  <c r="JM83" i="15"/>
  <c r="GB84" i="15"/>
  <c r="CS82" i="15"/>
  <c r="CT82" i="15" s="1"/>
  <c r="CD82" i="15"/>
  <c r="CB83" i="15"/>
  <c r="RY82" i="15"/>
  <c r="RZ81" i="15"/>
  <c r="DE82" i="15"/>
  <c r="DF81" i="15"/>
  <c r="FA82" i="15"/>
  <c r="FB81" i="15"/>
  <c r="T84" i="15"/>
  <c r="KV84" i="15"/>
  <c r="FU83" i="15"/>
  <c r="PX84" i="15"/>
  <c r="PI83" i="15"/>
  <c r="PJ83" i="15" s="1"/>
  <c r="GV84" i="15"/>
  <c r="RL84" i="15"/>
  <c r="CW82" i="15"/>
  <c r="CX81" i="15"/>
  <c r="FX84" i="15"/>
  <c r="RA82" i="15"/>
  <c r="RB81" i="15"/>
  <c r="OV84" i="15"/>
  <c r="TD84" i="15"/>
  <c r="IJ84" i="15"/>
  <c r="HL84" i="15"/>
  <c r="LA82" i="15"/>
  <c r="LB81" i="15"/>
  <c r="FI83" i="15"/>
  <c r="F86" i="11"/>
  <c r="G86" i="11" s="1"/>
  <c r="F87" i="2"/>
  <c r="G87" i="2" s="1"/>
  <c r="E87" i="11"/>
  <c r="G85" i="11"/>
  <c r="E87" i="9"/>
  <c r="F86" i="9"/>
  <c r="E87" i="8"/>
  <c r="F86" i="8"/>
  <c r="E88" i="2"/>
  <c r="FM84" i="15" l="1"/>
  <c r="FY84" i="15"/>
  <c r="BI84" i="15"/>
  <c r="BJ84" i="15" s="1"/>
  <c r="PY84" i="15"/>
  <c r="PZ84" i="15" s="1"/>
  <c r="QO84" i="15"/>
  <c r="QP84" i="15" s="1"/>
  <c r="QW84" i="15"/>
  <c r="QX84" i="15" s="1"/>
  <c r="JA84" i="15"/>
  <c r="JB84" i="15" s="1"/>
  <c r="AG84" i="15"/>
  <c r="AH84" i="15" s="1"/>
  <c r="LQ84" i="15"/>
  <c r="LR84" i="15" s="1"/>
  <c r="U84" i="15"/>
  <c r="V84" i="15" s="1"/>
  <c r="PE84" i="15"/>
  <c r="PF84" i="15" s="1"/>
  <c r="KO84" i="15"/>
  <c r="KP84" i="15" s="1"/>
  <c r="UO84" i="15"/>
  <c r="UP84" i="15" s="1"/>
  <c r="MO84" i="15"/>
  <c r="MP84" i="15" s="1"/>
  <c r="BU83" i="15"/>
  <c r="BV83" i="15" s="1"/>
  <c r="GS84" i="15"/>
  <c r="GT84" i="15" s="1"/>
  <c r="EO84" i="15"/>
  <c r="EP84" i="15" s="1"/>
  <c r="RI84" i="15"/>
  <c r="RJ84" i="15" s="1"/>
  <c r="AK84" i="15"/>
  <c r="AL84" i="15" s="1"/>
  <c r="JY84" i="15"/>
  <c r="JZ84" i="15" s="1"/>
  <c r="QS84" i="15"/>
  <c r="QT84" i="15" s="1"/>
  <c r="HQ84" i="15"/>
  <c r="HR84" i="15" s="1"/>
  <c r="SO84" i="15"/>
  <c r="SP84" i="15" s="1"/>
  <c r="SK84" i="15"/>
  <c r="SL84" i="15" s="1"/>
  <c r="JM84" i="15"/>
  <c r="JN84" i="15" s="1"/>
  <c r="LM84" i="15"/>
  <c r="LN84" i="15" s="1"/>
  <c r="KK84" i="15"/>
  <c r="KL84" i="15" s="1"/>
  <c r="CO84" i="15"/>
  <c r="CP84" i="15" s="1"/>
  <c r="KS84" i="15"/>
  <c r="KT84" i="15" s="1"/>
  <c r="TY84" i="15"/>
  <c r="OK84" i="15"/>
  <c r="OL84" i="15" s="1"/>
  <c r="SG84" i="15"/>
  <c r="SH84" i="15" s="1"/>
  <c r="FU84" i="15"/>
  <c r="FV84" i="15" s="1"/>
  <c r="FI84" i="15"/>
  <c r="FJ84" i="15" s="1"/>
  <c r="DA84" i="15"/>
  <c r="DB84" i="15" s="1"/>
  <c r="EW83" i="15"/>
  <c r="EX82" i="15"/>
  <c r="IZ85" i="15"/>
  <c r="DT85" i="15"/>
  <c r="BY83" i="15"/>
  <c r="BZ82" i="15"/>
  <c r="MZ84" i="15"/>
  <c r="AN85" i="15"/>
  <c r="CJ85" i="15"/>
  <c r="UP83" i="15"/>
  <c r="GN85" i="15"/>
  <c r="Y83" i="15"/>
  <c r="Z82" i="15"/>
  <c r="BX85" i="15"/>
  <c r="UR85" i="15"/>
  <c r="BL85" i="15"/>
  <c r="JB83" i="15"/>
  <c r="FD85" i="15"/>
  <c r="PP85" i="15"/>
  <c r="MB85" i="15"/>
  <c r="SC83" i="15"/>
  <c r="SD82" i="15"/>
  <c r="UN85" i="15"/>
  <c r="RX85" i="15"/>
  <c r="EG84" i="15"/>
  <c r="EH84" i="15" s="1"/>
  <c r="DU83" i="15"/>
  <c r="DV82" i="15"/>
  <c r="EV85" i="15"/>
  <c r="JN83" i="15"/>
  <c r="DD85" i="15"/>
  <c r="PN83" i="15"/>
  <c r="PL84" i="15"/>
  <c r="PM84" i="15" s="1"/>
  <c r="TP85" i="15"/>
  <c r="CG83" i="15"/>
  <c r="CH82" i="15"/>
  <c r="NE83" i="15"/>
  <c r="NF82" i="15"/>
  <c r="CN85" i="15"/>
  <c r="LX85" i="15"/>
  <c r="HU83" i="15"/>
  <c r="HV82" i="15"/>
  <c r="MN85" i="15"/>
  <c r="JL85" i="15"/>
  <c r="TT85" i="15"/>
  <c r="QR85" i="15"/>
  <c r="TX85" i="15"/>
  <c r="IG84" i="15"/>
  <c r="IH84" i="15" s="1"/>
  <c r="ES83" i="15"/>
  <c r="ET82" i="15"/>
  <c r="CP83" i="15"/>
  <c r="QJ85" i="15"/>
  <c r="GK83" i="15"/>
  <c r="GL82" i="15"/>
  <c r="CR84" i="15"/>
  <c r="RM83" i="15"/>
  <c r="RN82" i="15"/>
  <c r="H84" i="15"/>
  <c r="UB85" i="15"/>
  <c r="I83" i="15"/>
  <c r="J83" i="15" s="1"/>
  <c r="DP85" i="15"/>
  <c r="QT83" i="15"/>
  <c r="LH85" i="15"/>
  <c r="TE83" i="15"/>
  <c r="TF82" i="15"/>
  <c r="LT85" i="15"/>
  <c r="DQ84" i="15"/>
  <c r="CB84" i="15"/>
  <c r="JH85" i="15"/>
  <c r="UG83" i="15"/>
  <c r="UH82" i="15"/>
  <c r="LY84" i="15"/>
  <c r="LZ84" i="15" s="1"/>
  <c r="RD85" i="15"/>
  <c r="BV82" i="15"/>
  <c r="MW83" i="15"/>
  <c r="MX82" i="15"/>
  <c r="AF85" i="15"/>
  <c r="UF85" i="15"/>
  <c r="OL83" i="15"/>
  <c r="QF85" i="15"/>
  <c r="ND85" i="15"/>
  <c r="DI83" i="15"/>
  <c r="DJ82" i="15"/>
  <c r="AO84" i="15"/>
  <c r="TQ83" i="15"/>
  <c r="TR82" i="15"/>
  <c r="AH83" i="15"/>
  <c r="HX85" i="15"/>
  <c r="GF85" i="15"/>
  <c r="DX85" i="15"/>
  <c r="OJ85" i="15"/>
  <c r="NI83" i="15"/>
  <c r="NJ82" i="15"/>
  <c r="TI83" i="15"/>
  <c r="TJ82" i="15"/>
  <c r="PT85" i="15"/>
  <c r="PA83" i="15"/>
  <c r="PB82" i="15"/>
  <c r="KG83" i="15"/>
  <c r="KH82" i="15"/>
  <c r="SB85" i="15"/>
  <c r="JI83" i="15"/>
  <c r="JJ82" i="15"/>
  <c r="DH85" i="15"/>
  <c r="FP85" i="15"/>
  <c r="RY83" i="15"/>
  <c r="RZ82" i="15"/>
  <c r="EF85" i="15"/>
  <c r="JE83" i="15"/>
  <c r="JF82" i="15"/>
  <c r="EC83" i="15"/>
  <c r="ED82" i="15"/>
  <c r="LD85" i="15"/>
  <c r="IO83" i="15"/>
  <c r="IP82" i="15"/>
  <c r="RP85" i="15"/>
  <c r="RU83" i="15"/>
  <c r="RV82" i="15"/>
  <c r="IR85" i="15"/>
  <c r="PI84" i="15"/>
  <c r="OF84" i="15"/>
  <c r="AZ85" i="15"/>
  <c r="EN85" i="15"/>
  <c r="MF85" i="15"/>
  <c r="SV85" i="15"/>
  <c r="IN85" i="15"/>
  <c r="IV85" i="15"/>
  <c r="SS83" i="15"/>
  <c r="ST82" i="15"/>
  <c r="HI83" i="15"/>
  <c r="HJ82" i="15"/>
  <c r="BA84" i="15"/>
  <c r="BB84" i="15" s="1"/>
  <c r="LN83" i="15"/>
  <c r="IS84" i="15"/>
  <c r="NY83" i="15"/>
  <c r="NZ82" i="15"/>
  <c r="JQ83" i="15"/>
  <c r="JR82" i="15"/>
  <c r="CW83" i="15"/>
  <c r="CX82" i="15"/>
  <c r="GZ85" i="15"/>
  <c r="P85" i="15"/>
  <c r="GO84" i="15"/>
  <c r="AB85" i="15"/>
  <c r="MS83" i="15"/>
  <c r="MT82" i="15"/>
  <c r="ON85" i="15"/>
  <c r="QN85" i="15"/>
  <c r="LL85" i="15"/>
  <c r="HH85" i="15"/>
  <c r="TM83" i="15"/>
  <c r="TN82" i="15"/>
  <c r="OW83" i="15"/>
  <c r="OX82" i="15"/>
  <c r="CS83" i="15"/>
  <c r="CT83" i="15" s="1"/>
  <c r="PH85" i="15"/>
  <c r="HT85" i="15"/>
  <c r="M83" i="15"/>
  <c r="N82" i="15"/>
  <c r="DL85" i="15"/>
  <c r="FH85" i="15"/>
  <c r="MG84" i="15"/>
  <c r="D85" i="15"/>
  <c r="RE84" i="15"/>
  <c r="MC84" i="15"/>
  <c r="OB85" i="15"/>
  <c r="BH85" i="15"/>
  <c r="US83" i="15"/>
  <c r="UT82" i="15"/>
  <c r="Q83" i="15"/>
  <c r="R82" i="15"/>
  <c r="AC84" i="15"/>
  <c r="AD84" i="15" s="1"/>
  <c r="QZ85" i="15"/>
  <c r="PX85" i="15"/>
  <c r="MV85" i="15"/>
  <c r="BP85" i="15"/>
  <c r="AW83" i="15"/>
  <c r="AX82" i="15"/>
  <c r="NH85" i="15"/>
  <c r="BD85" i="15"/>
  <c r="RT85" i="15"/>
  <c r="SP83" i="15"/>
  <c r="JT85" i="15"/>
  <c r="NP85" i="15"/>
  <c r="GC83" i="15"/>
  <c r="GD82" i="15"/>
  <c r="LU83" i="15"/>
  <c r="LV82" i="15"/>
  <c r="HD85" i="15"/>
  <c r="EJ85" i="15"/>
  <c r="OG83" i="15"/>
  <c r="OH83" i="15" s="1"/>
  <c r="IW83" i="15"/>
  <c r="IX82" i="15"/>
  <c r="QB85" i="15"/>
  <c r="SN85" i="15"/>
  <c r="IB85" i="15"/>
  <c r="PU83" i="15"/>
  <c r="PV82" i="15"/>
  <c r="CC83" i="15"/>
  <c r="EB85" i="15"/>
  <c r="QV85" i="15"/>
  <c r="KW83" i="15"/>
  <c r="KX82" i="15"/>
  <c r="GB85" i="15"/>
  <c r="AS83" i="15"/>
  <c r="AT82" i="15"/>
  <c r="TU84" i="15"/>
  <c r="TV84" i="15" s="1"/>
  <c r="OZ85" i="15"/>
  <c r="SW84" i="15"/>
  <c r="TA83" i="15"/>
  <c r="TB82" i="15"/>
  <c r="OR85" i="15"/>
  <c r="GR85" i="15"/>
  <c r="DB83" i="15"/>
  <c r="FN84" i="15"/>
  <c r="FL85" i="15"/>
  <c r="QC83" i="15"/>
  <c r="QD82" i="15"/>
  <c r="HE84" i="15"/>
  <c r="HF84" i="15" s="1"/>
  <c r="CK84" i="15"/>
  <c r="KJ85" i="15"/>
  <c r="OO83" i="15"/>
  <c r="OP82" i="15"/>
  <c r="FT85" i="15"/>
  <c r="TL85" i="15"/>
  <c r="EZ85" i="15"/>
  <c r="KR85" i="15"/>
  <c r="IC84" i="15"/>
  <c r="X85" i="15"/>
  <c r="SZ85" i="15"/>
  <c r="GV85" i="15"/>
  <c r="LE83" i="15"/>
  <c r="LF82" i="15"/>
  <c r="HL85" i="15"/>
  <c r="HM84" i="15"/>
  <c r="PD85" i="15"/>
  <c r="NL85" i="15"/>
  <c r="KV85" i="15"/>
  <c r="FJ83" i="15"/>
  <c r="KF85" i="15"/>
  <c r="BM83" i="15"/>
  <c r="BN82" i="15"/>
  <c r="NM83" i="15"/>
  <c r="NN82" i="15"/>
  <c r="LI84" i="15"/>
  <c r="LJ84" i="15" s="1"/>
  <c r="CF85" i="15"/>
  <c r="NX85" i="15"/>
  <c r="KC83" i="15"/>
  <c r="KD82" i="15"/>
  <c r="CZ85" i="15"/>
  <c r="MK83" i="15"/>
  <c r="ML82" i="15"/>
  <c r="RH85" i="15"/>
  <c r="E84" i="15"/>
  <c r="BE84" i="15"/>
  <c r="KL83" i="15"/>
  <c r="FV83" i="15"/>
  <c r="NU83" i="15"/>
  <c r="NV82" i="15"/>
  <c r="KT83" i="15"/>
  <c r="NA83" i="15"/>
  <c r="NB83" i="15" s="1"/>
  <c r="ER85" i="15"/>
  <c r="AV85" i="15"/>
  <c r="UC83" i="15"/>
  <c r="UD82" i="15"/>
  <c r="RL85" i="15"/>
  <c r="TH85" i="15"/>
  <c r="LA83" i="15"/>
  <c r="LB82" i="15"/>
  <c r="BT84" i="15"/>
  <c r="IJ85" i="15"/>
  <c r="GG83" i="15"/>
  <c r="GH82" i="15"/>
  <c r="FE84" i="15"/>
  <c r="FF84" i="15" s="1"/>
  <c r="TD85" i="15"/>
  <c r="JD85" i="15"/>
  <c r="UJ85" i="15"/>
  <c r="RA83" i="15"/>
  <c r="RB82" i="15"/>
  <c r="KB85" i="15"/>
  <c r="SJ85" i="15"/>
  <c r="LP85" i="15"/>
  <c r="LQ85" i="15" s="1"/>
  <c r="IK83" i="15"/>
  <c r="IL82" i="15"/>
  <c r="RJ83" i="15"/>
  <c r="SR85" i="15"/>
  <c r="UK83" i="15"/>
  <c r="UL82" i="15"/>
  <c r="OC83" i="15"/>
  <c r="OD82" i="15"/>
  <c r="KN85" i="15"/>
  <c r="SF85" i="15"/>
  <c r="DM84" i="15"/>
  <c r="DN84" i="15" s="1"/>
  <c r="JP85" i="15"/>
  <c r="DY83" i="15"/>
  <c r="DZ82" i="15"/>
  <c r="NQ83" i="15"/>
  <c r="NR82" i="15"/>
  <c r="IF85" i="15"/>
  <c r="NT85" i="15"/>
  <c r="AR85" i="15"/>
  <c r="JU83" i="15"/>
  <c r="JV82" i="15"/>
  <c r="L85" i="15"/>
  <c r="T85" i="15"/>
  <c r="MJ85" i="15"/>
  <c r="HA83" i="15"/>
  <c r="HB82" i="15"/>
  <c r="GW84" i="15"/>
  <c r="OV85" i="15"/>
  <c r="FA83" i="15"/>
  <c r="FB82" i="15"/>
  <c r="FX85" i="15"/>
  <c r="FZ84" i="15"/>
  <c r="DE83" i="15"/>
  <c r="DF82" i="15"/>
  <c r="RQ83" i="15"/>
  <c r="RR82" i="15"/>
  <c r="QG83" i="15"/>
  <c r="QH82" i="15"/>
  <c r="MR85" i="15"/>
  <c r="QK83" i="15"/>
  <c r="QL82" i="15"/>
  <c r="FQ83" i="15"/>
  <c r="FR82" i="15"/>
  <c r="KZ85" i="15"/>
  <c r="AJ85" i="15"/>
  <c r="OS83" i="15"/>
  <c r="OT82" i="15"/>
  <c r="GJ85" i="15"/>
  <c r="CV85" i="15"/>
  <c r="HP85" i="15"/>
  <c r="EK84" i="15"/>
  <c r="PQ83" i="15"/>
  <c r="PR82" i="15"/>
  <c r="JX85" i="15"/>
  <c r="HY84" i="15"/>
  <c r="KP83" i="15"/>
  <c r="SH83" i="15"/>
  <c r="BQ84" i="15"/>
  <c r="BR84" i="15" s="1"/>
  <c r="F87" i="9"/>
  <c r="G87" i="9" s="1"/>
  <c r="F87" i="8"/>
  <c r="G87" i="8" s="1"/>
  <c r="E88" i="11"/>
  <c r="F87" i="11"/>
  <c r="G86" i="10"/>
  <c r="G87" i="10"/>
  <c r="G86" i="9"/>
  <c r="E88" i="9"/>
  <c r="G86" i="8"/>
  <c r="E88" i="8"/>
  <c r="E89" i="2"/>
  <c r="F88" i="2"/>
  <c r="JA85" i="15" l="1"/>
  <c r="AG85" i="15"/>
  <c r="AH85" i="15" s="1"/>
  <c r="UO85" i="15"/>
  <c r="JY85" i="15"/>
  <c r="JZ85" i="15" s="1"/>
  <c r="RI85" i="15"/>
  <c r="RJ85" i="15" s="1"/>
  <c r="HQ85" i="15"/>
  <c r="HR85" i="15" s="1"/>
  <c r="KO85" i="15"/>
  <c r="KP85" i="15" s="1"/>
  <c r="PE85" i="15"/>
  <c r="PF85" i="15" s="1"/>
  <c r="SK85" i="15"/>
  <c r="LM85" i="15"/>
  <c r="LN85" i="15" s="1"/>
  <c r="QS85" i="15"/>
  <c r="QT85" i="15" s="1"/>
  <c r="AK85" i="15"/>
  <c r="AL85" i="15" s="1"/>
  <c r="GS85" i="15"/>
  <c r="GT85" i="15" s="1"/>
  <c r="KS85" i="15"/>
  <c r="KT85" i="15" s="1"/>
  <c r="RE85" i="15"/>
  <c r="RF85" i="15" s="1"/>
  <c r="TY85" i="15"/>
  <c r="TZ85" i="15" s="1"/>
  <c r="KK85" i="15"/>
  <c r="KL85" i="15" s="1"/>
  <c r="MC85" i="15"/>
  <c r="MD85" i="15" s="1"/>
  <c r="CO85" i="15"/>
  <c r="CP85" i="15" s="1"/>
  <c r="HM85" i="15"/>
  <c r="HN85" i="15" s="1"/>
  <c r="JM85" i="15"/>
  <c r="JN85" i="15" s="1"/>
  <c r="MG85" i="15"/>
  <c r="MH85" i="15" s="1"/>
  <c r="DQ85" i="15"/>
  <c r="DR85" i="15" s="1"/>
  <c r="TZ84" i="15"/>
  <c r="FI85" i="15"/>
  <c r="FJ85" i="15" s="1"/>
  <c r="SG85" i="15"/>
  <c r="SH85" i="15" s="1"/>
  <c r="AO85" i="15"/>
  <c r="AP85" i="15" s="1"/>
  <c r="FU85" i="15"/>
  <c r="SW85" i="15"/>
  <c r="SX85" i="15" s="1"/>
  <c r="GO85" i="15"/>
  <c r="GP85" i="15" s="1"/>
  <c r="AP84" i="15"/>
  <c r="PI85" i="15"/>
  <c r="PJ85" i="15" s="1"/>
  <c r="BE85" i="15"/>
  <c r="BF85" i="15" s="1"/>
  <c r="IS85" i="15"/>
  <c r="IT85" i="15" s="1"/>
  <c r="IC85" i="15"/>
  <c r="ID85" i="15" s="1"/>
  <c r="E85" i="15"/>
  <c r="F85" i="15" s="1"/>
  <c r="CK85" i="15"/>
  <c r="CL85" i="15" s="1"/>
  <c r="GW85" i="15"/>
  <c r="GX85" i="15" s="1"/>
  <c r="AC85" i="15"/>
  <c r="AD85" i="15" s="1"/>
  <c r="HY85" i="15"/>
  <c r="CC84" i="15"/>
  <c r="CD84" i="15" s="1"/>
  <c r="GJ86" i="15"/>
  <c r="GG84" i="15"/>
  <c r="GH83" i="15"/>
  <c r="FL86" i="15"/>
  <c r="KW84" i="15"/>
  <c r="KX83" i="15"/>
  <c r="AZ86" i="15"/>
  <c r="JE84" i="15"/>
  <c r="JF83" i="15"/>
  <c r="DI84" i="15"/>
  <c r="DJ83" i="15"/>
  <c r="CB85" i="15"/>
  <c r="H85" i="15"/>
  <c r="TT86" i="15"/>
  <c r="FD86" i="15"/>
  <c r="MZ85" i="15"/>
  <c r="NT86" i="15"/>
  <c r="FA84" i="15"/>
  <c r="FB83" i="15"/>
  <c r="F84" i="15"/>
  <c r="NY84" i="15"/>
  <c r="NZ83" i="15"/>
  <c r="CD83" i="15"/>
  <c r="JL86" i="15"/>
  <c r="QC84" i="15"/>
  <c r="QD83" i="15"/>
  <c r="PA84" i="15"/>
  <c r="PB83" i="15"/>
  <c r="FX86" i="15"/>
  <c r="QV86" i="15"/>
  <c r="LU84" i="15"/>
  <c r="LV83" i="15"/>
  <c r="MV86" i="15"/>
  <c r="D86" i="15"/>
  <c r="LL86" i="15"/>
  <c r="LM86" i="15" s="1"/>
  <c r="TI84" i="15"/>
  <c r="TJ83" i="15"/>
  <c r="ND86" i="15"/>
  <c r="FY85" i="15"/>
  <c r="FZ85" i="15" s="1"/>
  <c r="DD86" i="15"/>
  <c r="BY84" i="15"/>
  <c r="BZ83" i="15"/>
  <c r="GB86" i="15"/>
  <c r="UB86" i="15"/>
  <c r="GR86" i="15"/>
  <c r="EB86" i="15"/>
  <c r="PX86" i="15"/>
  <c r="QN86" i="15"/>
  <c r="QO85" i="15"/>
  <c r="OF85" i="15"/>
  <c r="EF86" i="15"/>
  <c r="RM84" i="15"/>
  <c r="RN83" i="15"/>
  <c r="DT86" i="15"/>
  <c r="KR86" i="15"/>
  <c r="OR86" i="15"/>
  <c r="GC84" i="15"/>
  <c r="GD83" i="15"/>
  <c r="NI84" i="15"/>
  <c r="NJ83" i="15"/>
  <c r="QF86" i="15"/>
  <c r="CR85" i="15"/>
  <c r="MN86" i="15"/>
  <c r="EV86" i="15"/>
  <c r="BL86" i="15"/>
  <c r="BM84" i="15"/>
  <c r="BN83" i="15"/>
  <c r="NP86" i="15"/>
  <c r="FH86" i="15"/>
  <c r="ON86" i="15"/>
  <c r="BA85" i="15"/>
  <c r="BB85" i="15" s="1"/>
  <c r="IR86" i="15"/>
  <c r="RY84" i="15"/>
  <c r="RZ83" i="15"/>
  <c r="OJ86" i="15"/>
  <c r="LT86" i="15"/>
  <c r="KF86" i="15"/>
  <c r="BT85" i="15"/>
  <c r="IT84" i="15"/>
  <c r="FP86" i="15"/>
  <c r="UF86" i="15"/>
  <c r="UR86" i="15"/>
  <c r="IZ86" i="15"/>
  <c r="JB85" i="15"/>
  <c r="HH86" i="15"/>
  <c r="X86" i="15"/>
  <c r="JT86" i="15"/>
  <c r="DL86" i="15"/>
  <c r="HI84" i="15"/>
  <c r="HJ83" i="15"/>
  <c r="GK84" i="15"/>
  <c r="GL83" i="15"/>
  <c r="HU84" i="15"/>
  <c r="HV83" i="15"/>
  <c r="DU84" i="15"/>
  <c r="DV83" i="15"/>
  <c r="EN86" i="15"/>
  <c r="BP86" i="15"/>
  <c r="RH86" i="15"/>
  <c r="QZ86" i="15"/>
  <c r="MS84" i="15"/>
  <c r="MT83" i="15"/>
  <c r="DH86" i="15"/>
  <c r="DX86" i="15"/>
  <c r="AF86" i="15"/>
  <c r="QJ86" i="15"/>
  <c r="EG85" i="15"/>
  <c r="BX86" i="15"/>
  <c r="EW84" i="15"/>
  <c r="EX83" i="15"/>
  <c r="SR86" i="15"/>
  <c r="PT86" i="15"/>
  <c r="FQ84" i="15"/>
  <c r="FR83" i="15"/>
  <c r="PU84" i="15"/>
  <c r="PV83" i="15"/>
  <c r="BU84" i="15"/>
  <c r="BV84" i="15" s="1"/>
  <c r="M84" i="15"/>
  <c r="N83" i="15"/>
  <c r="SS84" i="15"/>
  <c r="ST83" i="15"/>
  <c r="TE84" i="15"/>
  <c r="TF83" i="15"/>
  <c r="RX86" i="15"/>
  <c r="MO85" i="15"/>
  <c r="BQ85" i="15"/>
  <c r="EZ86" i="15"/>
  <c r="MJ86" i="15"/>
  <c r="ID84" i="15"/>
  <c r="HT86" i="15"/>
  <c r="AB86" i="15"/>
  <c r="RU84" i="15"/>
  <c r="RV83" i="15"/>
  <c r="GF86" i="15"/>
  <c r="LX86" i="15"/>
  <c r="Y84" i="15"/>
  <c r="Z83" i="15"/>
  <c r="QW85" i="15"/>
  <c r="JQ84" i="15"/>
  <c r="JR83" i="15"/>
  <c r="IF86" i="15"/>
  <c r="DY84" i="15"/>
  <c r="DZ83" i="15"/>
  <c r="KB86" i="15"/>
  <c r="RL86" i="15"/>
  <c r="QK84" i="15"/>
  <c r="QL83" i="15"/>
  <c r="IV86" i="15"/>
  <c r="JI84" i="15"/>
  <c r="JJ83" i="15"/>
  <c r="HX86" i="15"/>
  <c r="MW84" i="15"/>
  <c r="MX83" i="15"/>
  <c r="LH86" i="15"/>
  <c r="CN86" i="15"/>
  <c r="GP84" i="15"/>
  <c r="PN84" i="15"/>
  <c r="PL85" i="15"/>
  <c r="OS84" i="15"/>
  <c r="OT83" i="15"/>
  <c r="IK84" i="15"/>
  <c r="IL83" i="15"/>
  <c r="KZ86" i="15"/>
  <c r="TH86" i="15"/>
  <c r="CZ86" i="15"/>
  <c r="IB86" i="15"/>
  <c r="Q84" i="15"/>
  <c r="R83" i="15"/>
  <c r="RP86" i="15"/>
  <c r="SB86" i="15"/>
  <c r="HZ84" i="15"/>
  <c r="ES84" i="15"/>
  <c r="ET83" i="15"/>
  <c r="UN86" i="15"/>
  <c r="UO86" i="15" s="1"/>
  <c r="UP85" i="15"/>
  <c r="GN86" i="15"/>
  <c r="FM85" i="15"/>
  <c r="NM84" i="15"/>
  <c r="NN83" i="15"/>
  <c r="LA84" i="15"/>
  <c r="LB83" i="15"/>
  <c r="NL86" i="15"/>
  <c r="DM85" i="15"/>
  <c r="DN85" i="15" s="1"/>
  <c r="FT86" i="15"/>
  <c r="L86" i="15"/>
  <c r="NX86" i="15"/>
  <c r="RD86" i="15"/>
  <c r="DR84" i="15"/>
  <c r="IG85" i="15"/>
  <c r="IH85" i="15" s="1"/>
  <c r="NU84" i="15"/>
  <c r="NV83" i="15"/>
  <c r="HD86" i="15"/>
  <c r="IJ86" i="15"/>
  <c r="T86" i="15"/>
  <c r="PD86" i="15"/>
  <c r="UC84" i="15"/>
  <c r="UD83" i="15"/>
  <c r="OZ86" i="15"/>
  <c r="HN84" i="15"/>
  <c r="IN86" i="15"/>
  <c r="EK85" i="15"/>
  <c r="EL85" i="15" s="1"/>
  <c r="QB86" i="15"/>
  <c r="HP86" i="15"/>
  <c r="JD86" i="15"/>
  <c r="ER86" i="15"/>
  <c r="KJ86" i="15"/>
  <c r="DA85" i="15"/>
  <c r="NH86" i="15"/>
  <c r="US84" i="15"/>
  <c r="UT83" i="15"/>
  <c r="CS84" i="15"/>
  <c r="CT84" i="15" s="1"/>
  <c r="GZ86" i="15"/>
  <c r="SX84" i="15"/>
  <c r="IO84" i="15"/>
  <c r="IP83" i="15"/>
  <c r="RF84" i="15"/>
  <c r="DP86" i="15"/>
  <c r="TX86" i="15"/>
  <c r="NE84" i="15"/>
  <c r="NF83" i="15"/>
  <c r="SC84" i="15"/>
  <c r="SD83" i="15"/>
  <c r="U85" i="15"/>
  <c r="SZ86" i="15"/>
  <c r="TM84" i="15"/>
  <c r="TN83" i="15"/>
  <c r="AJ86" i="15"/>
  <c r="NQ84" i="15"/>
  <c r="NR83" i="15"/>
  <c r="SJ86" i="15"/>
  <c r="SL85" i="15"/>
  <c r="MK84" i="15"/>
  <c r="ML83" i="15"/>
  <c r="TA84" i="15"/>
  <c r="TB83" i="15"/>
  <c r="MR86" i="15"/>
  <c r="RA84" i="15"/>
  <c r="RB83" i="15"/>
  <c r="RT86" i="15"/>
  <c r="BD86" i="15"/>
  <c r="TU85" i="15"/>
  <c r="TV85" i="15" s="1"/>
  <c r="RQ84" i="15"/>
  <c r="RR83" i="15"/>
  <c r="OC84" i="15"/>
  <c r="OD83" i="15"/>
  <c r="TD86" i="15"/>
  <c r="CF86" i="15"/>
  <c r="LE84" i="15"/>
  <c r="LF83" i="15"/>
  <c r="IW84" i="15"/>
  <c r="IX83" i="15"/>
  <c r="BH86" i="15"/>
  <c r="SV86" i="15"/>
  <c r="TQ84" i="15"/>
  <c r="TR83" i="15"/>
  <c r="LY85" i="15"/>
  <c r="LZ85" i="15" s="1"/>
  <c r="I84" i="15"/>
  <c r="MD84" i="15"/>
  <c r="CL84" i="15"/>
  <c r="EO85" i="15"/>
  <c r="OV86" i="15"/>
  <c r="LP86" i="15"/>
  <c r="LQ86" i="15" s="1"/>
  <c r="LR85" i="15"/>
  <c r="JX86" i="15"/>
  <c r="KC84" i="15"/>
  <c r="KD83" i="15"/>
  <c r="SN86" i="15"/>
  <c r="UJ86" i="15"/>
  <c r="OO84" i="15"/>
  <c r="OP83" i="15"/>
  <c r="PJ84" i="15"/>
  <c r="QG84" i="15"/>
  <c r="QH83" i="15"/>
  <c r="AV86" i="15"/>
  <c r="PH86" i="15"/>
  <c r="JU84" i="15"/>
  <c r="JV83" i="15"/>
  <c r="NA84" i="15"/>
  <c r="LI85" i="15"/>
  <c r="LJ85" i="15" s="1"/>
  <c r="GX84" i="15"/>
  <c r="HE85" i="15"/>
  <c r="AS84" i="15"/>
  <c r="AT83" i="15"/>
  <c r="OG84" i="15"/>
  <c r="OW84" i="15"/>
  <c r="OX83" i="15"/>
  <c r="MH84" i="15"/>
  <c r="LD86" i="15"/>
  <c r="KG84" i="15"/>
  <c r="KH83" i="15"/>
  <c r="OK85" i="15"/>
  <c r="SO85" i="15"/>
  <c r="SP85" i="15" s="1"/>
  <c r="QR86" i="15"/>
  <c r="CG84" i="15"/>
  <c r="CH83" i="15"/>
  <c r="MB86" i="15"/>
  <c r="CJ86" i="15"/>
  <c r="PY85" i="15"/>
  <c r="EJ86" i="15"/>
  <c r="EC84" i="15"/>
  <c r="ED83" i="15"/>
  <c r="JH86" i="15"/>
  <c r="KV86" i="15"/>
  <c r="HA84" i="15"/>
  <c r="HB83" i="15"/>
  <c r="TL86" i="15"/>
  <c r="JP86" i="15"/>
  <c r="SF86" i="15"/>
  <c r="PQ84" i="15"/>
  <c r="PR83" i="15"/>
  <c r="P86" i="15"/>
  <c r="KN86" i="15"/>
  <c r="HL86" i="15"/>
  <c r="BF84" i="15"/>
  <c r="AR86" i="15"/>
  <c r="CV86" i="15"/>
  <c r="DE84" i="15"/>
  <c r="DF83" i="15"/>
  <c r="UK84" i="15"/>
  <c r="UL83" i="15"/>
  <c r="FE85" i="15"/>
  <c r="GV86" i="15"/>
  <c r="EL84" i="15"/>
  <c r="AW84" i="15"/>
  <c r="AX83" i="15"/>
  <c r="OB86" i="15"/>
  <c r="CW84" i="15"/>
  <c r="CX83" i="15"/>
  <c r="MF86" i="15"/>
  <c r="UG84" i="15"/>
  <c r="UH83" i="15"/>
  <c r="TP86" i="15"/>
  <c r="PP86" i="15"/>
  <c r="AN86" i="15"/>
  <c r="BI85" i="15"/>
  <c r="BJ85" i="15" s="1"/>
  <c r="F88" i="11"/>
  <c r="G88" i="11" s="1"/>
  <c r="F89" i="2"/>
  <c r="G89" i="2" s="1"/>
  <c r="G87" i="11"/>
  <c r="E89" i="11"/>
  <c r="E89" i="9"/>
  <c r="F88" i="9"/>
  <c r="E89" i="8"/>
  <c r="F88" i="8"/>
  <c r="E90" i="2"/>
  <c r="G88" i="2"/>
  <c r="AG86" i="15" l="1"/>
  <c r="CO86" i="15"/>
  <c r="QW86" i="15"/>
  <c r="QX86" i="15" s="1"/>
  <c r="HQ86" i="15"/>
  <c r="JY86" i="15"/>
  <c r="JZ86" i="15" s="1"/>
  <c r="RE86" i="15"/>
  <c r="RF86" i="15" s="1"/>
  <c r="KO86" i="15"/>
  <c r="KP86" i="15" s="1"/>
  <c r="JM86" i="15"/>
  <c r="JN86" i="15" s="1"/>
  <c r="GS86" i="15"/>
  <c r="GT86" i="15" s="1"/>
  <c r="MC86" i="15"/>
  <c r="MD86" i="15" s="1"/>
  <c r="MG86" i="15"/>
  <c r="MH86" i="15" s="1"/>
  <c r="FU86" i="15"/>
  <c r="FV86" i="15" s="1"/>
  <c r="AO86" i="15"/>
  <c r="AP86" i="15" s="1"/>
  <c r="CC85" i="15"/>
  <c r="CD85" i="15" s="1"/>
  <c r="U86" i="15"/>
  <c r="V86" i="15" s="1"/>
  <c r="CK86" i="15"/>
  <c r="CL86" i="15" s="1"/>
  <c r="BE86" i="15"/>
  <c r="BF86" i="15" s="1"/>
  <c r="PI86" i="15"/>
  <c r="PJ86" i="15" s="1"/>
  <c r="EO86" i="15"/>
  <c r="EP86" i="15" s="1"/>
  <c r="SG86" i="15"/>
  <c r="SH86" i="15" s="1"/>
  <c r="SW86" i="15"/>
  <c r="SX86" i="15" s="1"/>
  <c r="FV85" i="15"/>
  <c r="E86" i="15"/>
  <c r="F86" i="15" s="1"/>
  <c r="HY86" i="15"/>
  <c r="HZ86" i="15" s="1"/>
  <c r="DQ86" i="15"/>
  <c r="DR86" i="15" s="1"/>
  <c r="I85" i="15"/>
  <c r="J85" i="15" s="1"/>
  <c r="HZ85" i="15"/>
  <c r="HE86" i="15"/>
  <c r="HF86" i="15" s="1"/>
  <c r="OK86" i="15"/>
  <c r="OL86" i="15" s="1"/>
  <c r="GW86" i="15"/>
  <c r="GX86" i="15" s="1"/>
  <c r="FE86" i="15"/>
  <c r="FF86" i="15" s="1"/>
  <c r="OG85" i="15"/>
  <c r="OH85" i="15" s="1"/>
  <c r="QO86" i="15"/>
  <c r="QP86" i="15" s="1"/>
  <c r="PY86" i="15"/>
  <c r="PZ86" i="15" s="1"/>
  <c r="FM86" i="15"/>
  <c r="FN86" i="15" s="1"/>
  <c r="BQ86" i="15"/>
  <c r="BR86" i="15" s="1"/>
  <c r="EG86" i="15"/>
  <c r="EH86" i="15" s="1"/>
  <c r="LI86" i="15"/>
  <c r="LJ86" i="15" s="1"/>
  <c r="NA85" i="15"/>
  <c r="NB85" i="15" s="1"/>
  <c r="DA86" i="15"/>
  <c r="DB86" i="15" s="1"/>
  <c r="UJ87" i="15"/>
  <c r="PD87" i="15"/>
  <c r="LH87" i="15"/>
  <c r="MS85" i="15"/>
  <c r="MT84" i="15"/>
  <c r="KR87" i="15"/>
  <c r="D87" i="15"/>
  <c r="AZ87" i="15"/>
  <c r="OW85" i="15"/>
  <c r="OX84" i="15"/>
  <c r="EJ87" i="15"/>
  <c r="NL87" i="15"/>
  <c r="Q85" i="15"/>
  <c r="R84" i="15"/>
  <c r="IF87" i="15"/>
  <c r="MJ87" i="15"/>
  <c r="PT87" i="15"/>
  <c r="QZ87" i="15"/>
  <c r="BM85" i="15"/>
  <c r="BN84" i="15"/>
  <c r="GR87" i="15"/>
  <c r="T87" i="15"/>
  <c r="IB87" i="15"/>
  <c r="MW85" i="15"/>
  <c r="MX84" i="15"/>
  <c r="JT87" i="15"/>
  <c r="KF87" i="15"/>
  <c r="MV87" i="15"/>
  <c r="FA85" i="15"/>
  <c r="FB84" i="15"/>
  <c r="HL87" i="15"/>
  <c r="KC85" i="15"/>
  <c r="KD84" i="15"/>
  <c r="IW85" i="15"/>
  <c r="IX84" i="15"/>
  <c r="NE85" i="15"/>
  <c r="NF84" i="15"/>
  <c r="LA85" i="15"/>
  <c r="LB84" i="15"/>
  <c r="JQ85" i="15"/>
  <c r="JR84" i="15"/>
  <c r="EZ87" i="15"/>
  <c r="BL87" i="15"/>
  <c r="DT87" i="15"/>
  <c r="UB87" i="15"/>
  <c r="SC85" i="15"/>
  <c r="SD84" i="15"/>
  <c r="ER87" i="15"/>
  <c r="IJ87" i="15"/>
  <c r="DB85" i="15"/>
  <c r="HX87" i="15"/>
  <c r="SR87" i="15"/>
  <c r="RH87" i="15"/>
  <c r="LT87" i="15"/>
  <c r="LU85" i="15"/>
  <c r="LV84" i="15"/>
  <c r="KW85" i="15"/>
  <c r="KX84" i="15"/>
  <c r="TA85" i="15"/>
  <c r="TB84" i="15"/>
  <c r="TX87" i="15"/>
  <c r="HF85" i="15"/>
  <c r="CZ87" i="15"/>
  <c r="BP87" i="15"/>
  <c r="OL85" i="15"/>
  <c r="EV87" i="15"/>
  <c r="GB87" i="15"/>
  <c r="QX85" i="15"/>
  <c r="NT87" i="15"/>
  <c r="FN85" i="15"/>
  <c r="FQ85" i="15"/>
  <c r="FR84" i="15"/>
  <c r="KN87" i="15"/>
  <c r="MB87" i="15"/>
  <c r="JD87" i="15"/>
  <c r="HD87" i="15"/>
  <c r="JI85" i="15"/>
  <c r="JJ84" i="15"/>
  <c r="MO86" i="15"/>
  <c r="MP86" i="15" s="1"/>
  <c r="EW85" i="15"/>
  <c r="EX84" i="15"/>
  <c r="BR85" i="15"/>
  <c r="X87" i="15"/>
  <c r="OJ87" i="15"/>
  <c r="MP85" i="15"/>
  <c r="RM85" i="15"/>
  <c r="RN84" i="15"/>
  <c r="QV87" i="15"/>
  <c r="NB84" i="15"/>
  <c r="FL87" i="15"/>
  <c r="NY85" i="15"/>
  <c r="NZ84" i="15"/>
  <c r="SN87" i="15"/>
  <c r="MN87" i="15"/>
  <c r="BY85" i="15"/>
  <c r="BZ84" i="15"/>
  <c r="IC86" i="15"/>
  <c r="ID86" i="15" s="1"/>
  <c r="MZ86" i="15"/>
  <c r="IV87" i="15"/>
  <c r="LX87" i="15"/>
  <c r="EP85" i="15"/>
  <c r="HH87" i="15"/>
  <c r="RY85" i="15"/>
  <c r="RZ84" i="15"/>
  <c r="EH85" i="15"/>
  <c r="FF85" i="15"/>
  <c r="GG85" i="15"/>
  <c r="GH84" i="15"/>
  <c r="LE85" i="15"/>
  <c r="LF84" i="15"/>
  <c r="DP87" i="15"/>
  <c r="IG86" i="15"/>
  <c r="IH86" i="15" s="1"/>
  <c r="GN87" i="15"/>
  <c r="KZ87" i="15"/>
  <c r="GO86" i="15"/>
  <c r="EN87" i="15"/>
  <c r="IR87" i="15"/>
  <c r="CR86" i="15"/>
  <c r="EF87" i="15"/>
  <c r="FX87" i="15"/>
  <c r="FD87" i="15"/>
  <c r="DM86" i="15"/>
  <c r="DN86" i="15" s="1"/>
  <c r="P87" i="15"/>
  <c r="NU85" i="15"/>
  <c r="NV84" i="15"/>
  <c r="HM86" i="15"/>
  <c r="TE85" i="15"/>
  <c r="TF84" i="15"/>
  <c r="IZ87" i="15"/>
  <c r="OH84" i="15"/>
  <c r="DD87" i="15"/>
  <c r="TT87" i="15"/>
  <c r="GJ87" i="15"/>
  <c r="JE85" i="15"/>
  <c r="JF84" i="15"/>
  <c r="KJ87" i="15"/>
  <c r="Y85" i="15"/>
  <c r="Z84" i="15"/>
  <c r="CG85" i="15"/>
  <c r="CH84" i="15"/>
  <c r="TY86" i="15"/>
  <c r="IO85" i="15"/>
  <c r="IP84" i="15"/>
  <c r="IK85" i="15"/>
  <c r="IL84" i="15"/>
  <c r="GF87" i="15"/>
  <c r="DU85" i="15"/>
  <c r="DV84" i="15"/>
  <c r="BA86" i="15"/>
  <c r="QF87" i="15"/>
  <c r="OF86" i="15"/>
  <c r="FY86" i="15"/>
  <c r="PA85" i="15"/>
  <c r="PB84" i="15"/>
  <c r="V85" i="15"/>
  <c r="RX87" i="15"/>
  <c r="CF87" i="15"/>
  <c r="QR87" i="15"/>
  <c r="IN87" i="15"/>
  <c r="QK85" i="15"/>
  <c r="QL84" i="15"/>
  <c r="SS85" i="15"/>
  <c r="ST84" i="15"/>
  <c r="QJ87" i="15"/>
  <c r="UR87" i="15"/>
  <c r="ND87" i="15"/>
  <c r="J84" i="15"/>
  <c r="PE86" i="15"/>
  <c r="AS85" i="15"/>
  <c r="AT84" i="15"/>
  <c r="AW85" i="15"/>
  <c r="AX84" i="15"/>
  <c r="PQ85" i="15"/>
  <c r="PR84" i="15"/>
  <c r="HP87" i="15"/>
  <c r="HR86" i="15"/>
  <c r="GZ87" i="15"/>
  <c r="ON87" i="15"/>
  <c r="NI85" i="15"/>
  <c r="NJ84" i="15"/>
  <c r="QP85" i="15"/>
  <c r="QC85" i="15"/>
  <c r="QD84" i="15"/>
  <c r="H86" i="15"/>
  <c r="RI86" i="15"/>
  <c r="BT86" i="15"/>
  <c r="RA85" i="15"/>
  <c r="RB84" i="15"/>
  <c r="BI86" i="15"/>
  <c r="BJ86" i="15" s="1"/>
  <c r="MK85" i="15"/>
  <c r="ML84" i="15"/>
  <c r="LP87" i="15"/>
  <c r="LQ87" i="15" s="1"/>
  <c r="LR86" i="15"/>
  <c r="SJ87" i="15"/>
  <c r="UK85" i="15"/>
  <c r="UL84" i="15"/>
  <c r="PP87" i="15"/>
  <c r="EK86" i="15"/>
  <c r="DE85" i="15"/>
  <c r="DF84" i="15"/>
  <c r="KS86" i="15"/>
  <c r="AH86" i="15"/>
  <c r="AF87" i="15"/>
  <c r="QN87" i="15"/>
  <c r="CB86" i="15"/>
  <c r="EB87" i="15"/>
  <c r="BH87" i="15"/>
  <c r="CJ87" i="15"/>
  <c r="TD87" i="15"/>
  <c r="AV87" i="15"/>
  <c r="OC85" i="15"/>
  <c r="OD84" i="15"/>
  <c r="TP87" i="15"/>
  <c r="CV87" i="15"/>
  <c r="KG85" i="15"/>
  <c r="KH84" i="15"/>
  <c r="RQ85" i="15"/>
  <c r="RR84" i="15"/>
  <c r="NX87" i="15"/>
  <c r="RL87" i="15"/>
  <c r="AB87" i="15"/>
  <c r="M85" i="15"/>
  <c r="N84" i="15"/>
  <c r="LY86" i="15"/>
  <c r="TU86" i="15"/>
  <c r="CS85" i="15"/>
  <c r="OZ87" i="15"/>
  <c r="BU85" i="15"/>
  <c r="GK85" i="15"/>
  <c r="GL84" i="15"/>
  <c r="FP87" i="15"/>
  <c r="FH87" i="15"/>
  <c r="TI85" i="15"/>
  <c r="TJ84" i="15"/>
  <c r="JL87" i="15"/>
  <c r="SK86" i="15"/>
  <c r="DL87" i="15"/>
  <c r="GV87" i="15"/>
  <c r="NM85" i="15"/>
  <c r="NN84" i="15"/>
  <c r="JP87" i="15"/>
  <c r="JU85" i="15"/>
  <c r="JV84" i="15"/>
  <c r="OV87" i="15"/>
  <c r="PH87" i="15"/>
  <c r="AJ87" i="15"/>
  <c r="RU85" i="15"/>
  <c r="RV84" i="15"/>
  <c r="LD87" i="15"/>
  <c r="TM85" i="15"/>
  <c r="TN84" i="15"/>
  <c r="L87" i="15"/>
  <c r="KB87" i="15"/>
  <c r="HT87" i="15"/>
  <c r="DX87" i="15"/>
  <c r="JA86" i="15"/>
  <c r="GC85" i="15"/>
  <c r="GD84" i="15"/>
  <c r="PZ85" i="15"/>
  <c r="IS86" i="15"/>
  <c r="AK86" i="15"/>
  <c r="EC85" i="15"/>
  <c r="ED84" i="15"/>
  <c r="RP87" i="15"/>
  <c r="CW85" i="15"/>
  <c r="CX84" i="15"/>
  <c r="OB87" i="15"/>
  <c r="BX87" i="15"/>
  <c r="SO86" i="15"/>
  <c r="UP86" i="15"/>
  <c r="UN87" i="15"/>
  <c r="UO87" i="15" s="1"/>
  <c r="HA85" i="15"/>
  <c r="HB84" i="15"/>
  <c r="OS85" i="15"/>
  <c r="OT84" i="15"/>
  <c r="HU85" i="15"/>
  <c r="HV84" i="15"/>
  <c r="KV87" i="15"/>
  <c r="QG85" i="15"/>
  <c r="QH84" i="15"/>
  <c r="PL86" i="15"/>
  <c r="JH87" i="15"/>
  <c r="OO85" i="15"/>
  <c r="OP84" i="15"/>
  <c r="TQ85" i="15"/>
  <c r="TR84" i="15"/>
  <c r="BD87" i="15"/>
  <c r="US85" i="15"/>
  <c r="UT84" i="15"/>
  <c r="FT87" i="15"/>
  <c r="SB87" i="15"/>
  <c r="CP86" i="15"/>
  <c r="CN87" i="15"/>
  <c r="CO87" i="15" s="1"/>
  <c r="PU85" i="15"/>
  <c r="PV84" i="15"/>
  <c r="OR87" i="15"/>
  <c r="PX87" i="15"/>
  <c r="QS86" i="15"/>
  <c r="QT86" i="15" s="1"/>
  <c r="DI85" i="15"/>
  <c r="DJ84" i="15"/>
  <c r="FI86" i="15"/>
  <c r="MR87" i="15"/>
  <c r="JX87" i="15"/>
  <c r="SF87" i="15"/>
  <c r="TH87" i="15"/>
  <c r="AN87" i="15"/>
  <c r="QB87" i="15"/>
  <c r="TL87" i="15"/>
  <c r="NQ85" i="15"/>
  <c r="NR84" i="15"/>
  <c r="RD87" i="15"/>
  <c r="ES85" i="15"/>
  <c r="ET84" i="15"/>
  <c r="UF87" i="15"/>
  <c r="UG85" i="15"/>
  <c r="UH84" i="15"/>
  <c r="AR87" i="15"/>
  <c r="MF87" i="15"/>
  <c r="SV87" i="15"/>
  <c r="RT87" i="15"/>
  <c r="SZ87" i="15"/>
  <c r="NH87" i="15"/>
  <c r="UC85" i="15"/>
  <c r="UD84" i="15"/>
  <c r="DY85" i="15"/>
  <c r="DZ84" i="15"/>
  <c r="AC86" i="15"/>
  <c r="AD86" i="15" s="1"/>
  <c r="DH87" i="15"/>
  <c r="HI85" i="15"/>
  <c r="HJ84" i="15"/>
  <c r="KK86" i="15"/>
  <c r="KL86" i="15" s="1"/>
  <c r="NP87" i="15"/>
  <c r="LN86" i="15"/>
  <c r="LL87" i="15"/>
  <c r="LM87" i="15" s="1"/>
  <c r="PM85" i="15"/>
  <c r="PN85" i="15" s="1"/>
  <c r="F89" i="9"/>
  <c r="G89" i="9" s="1"/>
  <c r="F89" i="8"/>
  <c r="G89" i="8" s="1"/>
  <c r="E90" i="11"/>
  <c r="F89" i="11"/>
  <c r="G88" i="10"/>
  <c r="G89" i="10"/>
  <c r="G88" i="9"/>
  <c r="E90" i="9"/>
  <c r="G88" i="8"/>
  <c r="E90" i="8"/>
  <c r="E91" i="2"/>
  <c r="F90" i="2"/>
  <c r="JY87" i="15" l="1"/>
  <c r="FU87" i="15"/>
  <c r="FV87" i="15" s="1"/>
  <c r="NA86" i="15"/>
  <c r="NB86" i="15" s="1"/>
  <c r="HQ87" i="15"/>
  <c r="HR87" i="15" s="1"/>
  <c r="AO87" i="15"/>
  <c r="AP87" i="15" s="1"/>
  <c r="QW87" i="15"/>
  <c r="QX87" i="15" s="1"/>
  <c r="BU86" i="15"/>
  <c r="BV86" i="15" s="1"/>
  <c r="PI87" i="15"/>
  <c r="PJ87" i="15" s="1"/>
  <c r="CC86" i="15"/>
  <c r="CD86" i="15" s="1"/>
  <c r="SW87" i="15"/>
  <c r="SX87" i="15" s="1"/>
  <c r="EG87" i="15"/>
  <c r="EH87" i="15" s="1"/>
  <c r="KS87" i="15"/>
  <c r="KT87" i="15" s="1"/>
  <c r="E87" i="15"/>
  <c r="F87" i="15" s="1"/>
  <c r="SG87" i="15"/>
  <c r="SH87" i="15" s="1"/>
  <c r="QO87" i="15"/>
  <c r="QP87" i="15" s="1"/>
  <c r="TU87" i="15"/>
  <c r="TV87" i="15" s="1"/>
  <c r="I86" i="15"/>
  <c r="J86" i="15" s="1"/>
  <c r="HM87" i="15"/>
  <c r="HN87" i="15" s="1"/>
  <c r="JA87" i="15"/>
  <c r="JB87" i="15" s="1"/>
  <c r="CS86" i="15"/>
  <c r="CT86" i="15" s="1"/>
  <c r="SK87" i="15"/>
  <c r="SL87" i="15" s="1"/>
  <c r="FY87" i="15"/>
  <c r="FZ87" i="15" s="1"/>
  <c r="IS87" i="15"/>
  <c r="IT87" i="15" s="1"/>
  <c r="QS87" i="15"/>
  <c r="BQ87" i="15"/>
  <c r="BR87" i="15" s="1"/>
  <c r="LY87" i="15"/>
  <c r="LZ87" i="15" s="1"/>
  <c r="AK87" i="15"/>
  <c r="AL87" i="15" s="1"/>
  <c r="EK87" i="15"/>
  <c r="EL87" i="15" s="1"/>
  <c r="TY87" i="15"/>
  <c r="TZ87" i="15" s="1"/>
  <c r="PE87" i="15"/>
  <c r="PF87" i="15" s="1"/>
  <c r="RI87" i="15"/>
  <c r="RJ87" i="15" s="1"/>
  <c r="BA87" i="15"/>
  <c r="BB87" i="15" s="1"/>
  <c r="GO87" i="15"/>
  <c r="GP87" i="15" s="1"/>
  <c r="FI87" i="15"/>
  <c r="FJ87" i="15" s="1"/>
  <c r="JU86" i="15"/>
  <c r="JV85" i="15"/>
  <c r="BT87" i="15"/>
  <c r="IO86" i="15"/>
  <c r="IP85" i="15"/>
  <c r="EN88" i="15"/>
  <c r="HH88" i="15"/>
  <c r="HD88" i="15"/>
  <c r="KF88" i="15"/>
  <c r="IF88" i="15"/>
  <c r="TE86" i="15"/>
  <c r="TF85" i="15"/>
  <c r="NY86" i="15"/>
  <c r="NZ85" i="15"/>
  <c r="HX88" i="15"/>
  <c r="JQ86" i="15"/>
  <c r="JR85" i="15"/>
  <c r="JT88" i="15"/>
  <c r="PD88" i="15"/>
  <c r="SN88" i="15"/>
  <c r="ES86" i="15"/>
  <c r="ET85" i="15"/>
  <c r="JD88" i="15"/>
  <c r="PF86" i="15"/>
  <c r="JI86" i="15"/>
  <c r="JJ85" i="15"/>
  <c r="AS86" i="15"/>
  <c r="AT85" i="15"/>
  <c r="OB88" i="15"/>
  <c r="OZ88" i="15"/>
  <c r="DE86" i="15"/>
  <c r="DF85" i="15"/>
  <c r="H87" i="15"/>
  <c r="RX88" i="15"/>
  <c r="CG86" i="15"/>
  <c r="CH85" i="15"/>
  <c r="LZ86" i="15"/>
  <c r="FL88" i="15"/>
  <c r="CZ88" i="15"/>
  <c r="LA86" i="15"/>
  <c r="LB85" i="15"/>
  <c r="Q86" i="15"/>
  <c r="R85" i="15"/>
  <c r="DA87" i="15"/>
  <c r="DX88" i="15"/>
  <c r="CF88" i="15"/>
  <c r="NM86" i="15"/>
  <c r="NN85" i="15"/>
  <c r="OC86" i="15"/>
  <c r="OD85" i="15"/>
  <c r="NU86" i="15"/>
  <c r="NV85" i="15"/>
  <c r="KZ88" i="15"/>
  <c r="LX88" i="15"/>
  <c r="MW86" i="15"/>
  <c r="MX85" i="15"/>
  <c r="NL88" i="15"/>
  <c r="RY86" i="15"/>
  <c r="RZ85" i="15"/>
  <c r="PP88" i="15"/>
  <c r="ND88" i="15"/>
  <c r="Y86" i="15"/>
  <c r="Z85" i="15"/>
  <c r="GP86" i="15"/>
  <c r="MB88" i="15"/>
  <c r="NE86" i="15"/>
  <c r="NF85" i="15"/>
  <c r="UJ88" i="15"/>
  <c r="SR88" i="15"/>
  <c r="QC86" i="15"/>
  <c r="QD85" i="15"/>
  <c r="PA86" i="15"/>
  <c r="PB85" i="15"/>
  <c r="KJ88" i="15"/>
  <c r="GN88" i="15"/>
  <c r="IV88" i="15"/>
  <c r="QV88" i="15"/>
  <c r="KN88" i="15"/>
  <c r="TZ86" i="15"/>
  <c r="IJ88" i="15"/>
  <c r="IB88" i="15"/>
  <c r="EJ88" i="15"/>
  <c r="AW86" i="15"/>
  <c r="AX85" i="15"/>
  <c r="PX88" i="15"/>
  <c r="TM86" i="15"/>
  <c r="TN85" i="15"/>
  <c r="PY87" i="15"/>
  <c r="P88" i="15"/>
  <c r="IG87" i="15"/>
  <c r="FM87" i="15"/>
  <c r="TX88" i="15"/>
  <c r="IW86" i="15"/>
  <c r="IX85" i="15"/>
  <c r="EL86" i="15"/>
  <c r="KO87" i="15"/>
  <c r="MJ88" i="15"/>
  <c r="TD88" i="15"/>
  <c r="UK86" i="15"/>
  <c r="UL85" i="15"/>
  <c r="UR88" i="15"/>
  <c r="DM87" i="15"/>
  <c r="DN87" i="15" s="1"/>
  <c r="DP88" i="15"/>
  <c r="HY87" i="15"/>
  <c r="RM86" i="15"/>
  <c r="RN85" i="15"/>
  <c r="ER88" i="15"/>
  <c r="T88" i="15"/>
  <c r="MR88" i="15"/>
  <c r="AF88" i="15"/>
  <c r="RD88" i="15"/>
  <c r="SL86" i="15"/>
  <c r="NI86" i="15"/>
  <c r="NJ85" i="15"/>
  <c r="QJ88" i="15"/>
  <c r="OF87" i="15"/>
  <c r="JE86" i="15"/>
  <c r="JF85" i="15"/>
  <c r="FD88" i="15"/>
  <c r="FQ86" i="15"/>
  <c r="FR85" i="15"/>
  <c r="TA86" i="15"/>
  <c r="TB85" i="15"/>
  <c r="KC86" i="15"/>
  <c r="KD85" i="15"/>
  <c r="OW86" i="15"/>
  <c r="OX85" i="15"/>
  <c r="TQ86" i="15"/>
  <c r="TR85" i="15"/>
  <c r="TP88" i="15"/>
  <c r="GV88" i="15"/>
  <c r="OR88" i="15"/>
  <c r="AB88" i="15"/>
  <c r="CJ88" i="15"/>
  <c r="SJ88" i="15"/>
  <c r="ON88" i="15"/>
  <c r="GJ88" i="15"/>
  <c r="OJ88" i="15"/>
  <c r="U87" i="15"/>
  <c r="V87" i="15" s="1"/>
  <c r="SC86" i="15"/>
  <c r="SD85" i="15"/>
  <c r="HE87" i="15"/>
  <c r="GR88" i="15"/>
  <c r="AZ88" i="15"/>
  <c r="RA86" i="15"/>
  <c r="RB85" i="15"/>
  <c r="GK86" i="15"/>
  <c r="GL85" i="15"/>
  <c r="L88" i="15"/>
  <c r="RP88" i="15"/>
  <c r="RU86" i="15"/>
  <c r="RV85" i="15"/>
  <c r="RL88" i="15"/>
  <c r="BH88" i="15"/>
  <c r="QF88" i="15"/>
  <c r="FX88" i="15"/>
  <c r="LE86" i="15"/>
  <c r="LF85" i="15"/>
  <c r="MZ87" i="15"/>
  <c r="OG86" i="15"/>
  <c r="BB86" i="15"/>
  <c r="GW87" i="15"/>
  <c r="EZ88" i="15"/>
  <c r="UC86" i="15"/>
  <c r="UD85" i="15"/>
  <c r="KB88" i="15"/>
  <c r="PU86" i="15"/>
  <c r="PV85" i="15"/>
  <c r="JL88" i="15"/>
  <c r="SS86" i="15"/>
  <c r="ST85" i="15"/>
  <c r="TV86" i="15"/>
  <c r="FZ86" i="15"/>
  <c r="IC87" i="15"/>
  <c r="NT88" i="15"/>
  <c r="KW86" i="15"/>
  <c r="KX85" i="15"/>
  <c r="HL88" i="15"/>
  <c r="BX88" i="15"/>
  <c r="DI86" i="15"/>
  <c r="DJ85" i="15"/>
  <c r="OO86" i="15"/>
  <c r="OP85" i="15"/>
  <c r="SZ88" i="15"/>
  <c r="TL88" i="15"/>
  <c r="KK87" i="15"/>
  <c r="EB88" i="15"/>
  <c r="FE87" i="15"/>
  <c r="GZ88" i="15"/>
  <c r="TT88" i="15"/>
  <c r="EF88" i="15"/>
  <c r="X88" i="15"/>
  <c r="UB88" i="15"/>
  <c r="HN86" i="15"/>
  <c r="BM86" i="15"/>
  <c r="BN85" i="15"/>
  <c r="D88" i="15"/>
  <c r="MC87" i="15"/>
  <c r="CV88" i="15"/>
  <c r="SO87" i="15"/>
  <c r="HT88" i="15"/>
  <c r="JP88" i="15"/>
  <c r="AV88" i="15"/>
  <c r="RT88" i="15"/>
  <c r="DL88" i="15"/>
  <c r="CN88" i="15"/>
  <c r="CP87" i="15"/>
  <c r="KV88" i="15"/>
  <c r="SB88" i="15"/>
  <c r="TI86" i="15"/>
  <c r="TJ85" i="15"/>
  <c r="QK86" i="15"/>
  <c r="QL85" i="15"/>
  <c r="GG86" i="15"/>
  <c r="GH85" i="15"/>
  <c r="BY86" i="15"/>
  <c r="BZ85" i="15"/>
  <c r="LU86" i="15"/>
  <c r="LV85" i="15"/>
  <c r="DT88" i="15"/>
  <c r="RE87" i="15"/>
  <c r="KT86" i="15"/>
  <c r="CK87" i="15"/>
  <c r="CL87" i="15" s="1"/>
  <c r="PL87" i="15"/>
  <c r="LD88" i="15"/>
  <c r="SV88" i="15"/>
  <c r="MF88" i="15"/>
  <c r="HU86" i="15"/>
  <c r="HV85" i="15"/>
  <c r="FT88" i="15"/>
  <c r="CR87" i="15"/>
  <c r="GB88" i="15"/>
  <c r="LT88" i="15"/>
  <c r="QZ88" i="15"/>
  <c r="KR88" i="15"/>
  <c r="NQ86" i="15"/>
  <c r="NR85" i="15"/>
  <c r="PM86" i="15"/>
  <c r="QG86" i="15"/>
  <c r="QH85" i="15"/>
  <c r="AN88" i="15"/>
  <c r="NP88" i="15"/>
  <c r="TH88" i="15"/>
  <c r="AL86" i="15"/>
  <c r="EO87" i="15"/>
  <c r="EP87" i="15" s="1"/>
  <c r="PH88" i="15"/>
  <c r="MK86" i="15"/>
  <c r="ML85" i="15"/>
  <c r="DH88" i="15"/>
  <c r="UG86" i="15"/>
  <c r="UH85" i="15"/>
  <c r="JM87" i="15"/>
  <c r="FH88" i="15"/>
  <c r="RQ86" i="15"/>
  <c r="RR85" i="15"/>
  <c r="CB87" i="15"/>
  <c r="BI87" i="15"/>
  <c r="BJ87" i="15" s="1"/>
  <c r="IN88" i="15"/>
  <c r="GF88" i="15"/>
  <c r="CT85" i="15"/>
  <c r="AG87" i="15"/>
  <c r="AH87" i="15" s="1"/>
  <c r="EW86" i="15"/>
  <c r="EX85" i="15"/>
  <c r="FA86" i="15"/>
  <c r="FB85" i="15"/>
  <c r="MG87" i="15"/>
  <c r="MH87" i="15" s="1"/>
  <c r="LH88" i="15"/>
  <c r="QB88" i="15"/>
  <c r="EC86" i="15"/>
  <c r="ED85" i="15"/>
  <c r="AJ88" i="15"/>
  <c r="AR88" i="15"/>
  <c r="SF88" i="15"/>
  <c r="NX88" i="15"/>
  <c r="GC86" i="15"/>
  <c r="GD85" i="15"/>
  <c r="HP88" i="15"/>
  <c r="DD88" i="15"/>
  <c r="UF88" i="15"/>
  <c r="US86" i="15"/>
  <c r="UT85" i="15"/>
  <c r="HA86" i="15"/>
  <c r="HB85" i="15"/>
  <c r="FP88" i="15"/>
  <c r="QN88" i="15"/>
  <c r="LI87" i="15"/>
  <c r="LJ87" i="15" s="1"/>
  <c r="PQ86" i="15"/>
  <c r="PR85" i="15"/>
  <c r="OK87" i="15"/>
  <c r="IZ88" i="15"/>
  <c r="IR88" i="15"/>
  <c r="GS87" i="15"/>
  <c r="MO87" i="15"/>
  <c r="EV88" i="15"/>
  <c r="RH88" i="15"/>
  <c r="BL88" i="15"/>
  <c r="MV88" i="15"/>
  <c r="PT88" i="15"/>
  <c r="MS86" i="15"/>
  <c r="MT85" i="15"/>
  <c r="BP88" i="15"/>
  <c r="DY86" i="15"/>
  <c r="DZ85" i="15"/>
  <c r="BV85" i="15"/>
  <c r="NH88" i="15"/>
  <c r="JH88" i="15"/>
  <c r="CW86" i="15"/>
  <c r="CX85" i="15"/>
  <c r="M86" i="15"/>
  <c r="N85" i="15"/>
  <c r="LL88" i="15"/>
  <c r="LN87" i="15"/>
  <c r="LR87" i="15"/>
  <c r="LP88" i="15"/>
  <c r="LQ88" i="15" s="1"/>
  <c r="DU86" i="15"/>
  <c r="DV85" i="15"/>
  <c r="HI86" i="15"/>
  <c r="HJ85" i="15"/>
  <c r="OS86" i="15"/>
  <c r="OT85" i="15"/>
  <c r="FJ86" i="15"/>
  <c r="MN88" i="15"/>
  <c r="JX88" i="15"/>
  <c r="JY88" i="15" s="1"/>
  <c r="JZ87" i="15"/>
  <c r="AC87" i="15"/>
  <c r="BD88" i="15"/>
  <c r="UP87" i="15"/>
  <c r="UN88" i="15"/>
  <c r="OV88" i="15"/>
  <c r="KG86" i="15"/>
  <c r="KH85" i="15"/>
  <c r="QR88" i="15"/>
  <c r="IK86" i="15"/>
  <c r="IL85" i="15"/>
  <c r="JB86" i="15"/>
  <c r="IT86" i="15"/>
  <c r="SP86" i="15"/>
  <c r="RJ86" i="15"/>
  <c r="BE87" i="15"/>
  <c r="BF87" i="15" s="1"/>
  <c r="DQ87" i="15"/>
  <c r="F90" i="11"/>
  <c r="G90" i="11" s="1"/>
  <c r="F91" i="2"/>
  <c r="G91" i="2" s="1"/>
  <c r="G89" i="11"/>
  <c r="E91" i="11"/>
  <c r="E91" i="9"/>
  <c r="F90" i="9"/>
  <c r="E91" i="8"/>
  <c r="F90" i="8"/>
  <c r="G90" i="2"/>
  <c r="E92" i="2"/>
  <c r="AO88" i="15" l="1"/>
  <c r="QO88" i="15"/>
  <c r="QP88" i="15" s="1"/>
  <c r="PI88" i="15"/>
  <c r="PJ88" i="15" s="1"/>
  <c r="HQ88" i="15"/>
  <c r="HR88" i="15" s="1"/>
  <c r="CC87" i="15"/>
  <c r="CD87" i="15" s="1"/>
  <c r="DA88" i="15"/>
  <c r="DB88" i="15" s="1"/>
  <c r="OG87" i="15"/>
  <c r="OH87" i="15" s="1"/>
  <c r="JA88" i="15"/>
  <c r="JB88" i="15" s="1"/>
  <c r="E88" i="15"/>
  <c r="F88" i="15" s="1"/>
  <c r="MC88" i="15"/>
  <c r="EG88" i="15"/>
  <c r="EH88" i="15" s="1"/>
  <c r="AK88" i="15"/>
  <c r="AL88" i="15" s="1"/>
  <c r="HM88" i="15"/>
  <c r="HN88" i="15" s="1"/>
  <c r="TU88" i="15"/>
  <c r="TV88" i="15" s="1"/>
  <c r="I87" i="15"/>
  <c r="J87" i="15" s="1"/>
  <c r="BQ88" i="15"/>
  <c r="BR88" i="15" s="1"/>
  <c r="IS88" i="15"/>
  <c r="IT88" i="15" s="1"/>
  <c r="QS88" i="15"/>
  <c r="QT88" i="15" s="1"/>
  <c r="PY88" i="15"/>
  <c r="PZ88" i="15" s="1"/>
  <c r="HE88" i="15"/>
  <c r="HF88" i="15" s="1"/>
  <c r="QT87" i="15"/>
  <c r="IC88" i="15"/>
  <c r="ID88" i="15" s="1"/>
  <c r="KO88" i="15"/>
  <c r="KP88" i="15" s="1"/>
  <c r="BA88" i="15"/>
  <c r="RI88" i="15"/>
  <c r="RJ88" i="15" s="1"/>
  <c r="PM87" i="15"/>
  <c r="PN87" i="15" s="1"/>
  <c r="LY88" i="15"/>
  <c r="LZ88" i="15" s="1"/>
  <c r="AC88" i="15"/>
  <c r="AD88" i="15" s="1"/>
  <c r="RE88" i="15"/>
  <c r="RF88" i="15" s="1"/>
  <c r="IG88" i="15"/>
  <c r="IH88" i="15" s="1"/>
  <c r="JM88" i="15"/>
  <c r="JN88" i="15" s="1"/>
  <c r="HY88" i="15"/>
  <c r="HZ88" i="15" s="1"/>
  <c r="MO88" i="15"/>
  <c r="MP88" i="15" s="1"/>
  <c r="KK88" i="15"/>
  <c r="KL88" i="15" s="1"/>
  <c r="GS88" i="15"/>
  <c r="GT88" i="15" s="1"/>
  <c r="OK88" i="15"/>
  <c r="OL88" i="15" s="1"/>
  <c r="FE88" i="15"/>
  <c r="FF88" i="15" s="1"/>
  <c r="DQ88" i="15"/>
  <c r="DR88" i="15" s="1"/>
  <c r="SO88" i="15"/>
  <c r="SP88" i="15" s="1"/>
  <c r="HF87" i="15"/>
  <c r="GW88" i="15"/>
  <c r="GX88" i="15" s="1"/>
  <c r="FM88" i="15"/>
  <c r="FN88" i="15" s="1"/>
  <c r="NP89" i="15"/>
  <c r="HH89" i="15"/>
  <c r="UN89" i="15"/>
  <c r="GZ89" i="15"/>
  <c r="SJ89" i="15"/>
  <c r="MR89" i="15"/>
  <c r="EJ89" i="15"/>
  <c r="QC87" i="15"/>
  <c r="QD86" i="15"/>
  <c r="DX89" i="15"/>
  <c r="GK87" i="15"/>
  <c r="GL86" i="15"/>
  <c r="TA87" i="15"/>
  <c r="TB86" i="15"/>
  <c r="ID87" i="15"/>
  <c r="RY87" i="15"/>
  <c r="RZ86" i="15"/>
  <c r="OZ89" i="15"/>
  <c r="JT89" i="15"/>
  <c r="UF89" i="15"/>
  <c r="EB89" i="15"/>
  <c r="CJ89" i="15"/>
  <c r="T89" i="15"/>
  <c r="IB89" i="15"/>
  <c r="EN89" i="15"/>
  <c r="BY87" i="15"/>
  <c r="BZ86" i="15"/>
  <c r="AF89" i="15"/>
  <c r="HU87" i="15"/>
  <c r="HV86" i="15"/>
  <c r="BD89" i="15"/>
  <c r="CV89" i="15"/>
  <c r="MZ88" i="15"/>
  <c r="RA87" i="15"/>
  <c r="RB86" i="15"/>
  <c r="AB89" i="15"/>
  <c r="FQ87" i="15"/>
  <c r="FR86" i="15"/>
  <c r="IW87" i="15"/>
  <c r="IX86" i="15"/>
  <c r="SR89" i="15"/>
  <c r="NL89" i="15"/>
  <c r="OB89" i="15"/>
  <c r="JQ87" i="15"/>
  <c r="JR86" i="15"/>
  <c r="JP89" i="15"/>
  <c r="SV89" i="15"/>
  <c r="TI87" i="15"/>
  <c r="TJ86" i="15"/>
  <c r="AD87" i="15"/>
  <c r="FD89" i="15"/>
  <c r="IJ89" i="15"/>
  <c r="Q87" i="15"/>
  <c r="R86" i="15"/>
  <c r="HZ87" i="15"/>
  <c r="IO87" i="15"/>
  <c r="IP86" i="15"/>
  <c r="MJ89" i="15"/>
  <c r="LD89" i="15"/>
  <c r="LE87" i="15"/>
  <c r="LF86" i="15"/>
  <c r="BB88" i="15"/>
  <c r="AZ89" i="15"/>
  <c r="SK88" i="15"/>
  <c r="SL88" i="15" s="1"/>
  <c r="FF87" i="15"/>
  <c r="ER89" i="15"/>
  <c r="TX89" i="15"/>
  <c r="UJ89" i="15"/>
  <c r="MW87" i="15"/>
  <c r="MX86" i="15"/>
  <c r="AS87" i="15"/>
  <c r="AT86" i="15"/>
  <c r="HX89" i="15"/>
  <c r="BT88" i="15"/>
  <c r="PP89" i="15"/>
  <c r="FH89" i="15"/>
  <c r="MG88" i="15"/>
  <c r="UG87" i="15"/>
  <c r="UH86" i="15"/>
  <c r="SB89" i="15"/>
  <c r="D89" i="15"/>
  <c r="TL89" i="15"/>
  <c r="KP87" i="15"/>
  <c r="LX89" i="15"/>
  <c r="LA87" i="15"/>
  <c r="LB86" i="15"/>
  <c r="QK87" i="15"/>
  <c r="QL86" i="15"/>
  <c r="DD89" i="15"/>
  <c r="PN86" i="15"/>
  <c r="SS87" i="15"/>
  <c r="ST86" i="15"/>
  <c r="FX89" i="15"/>
  <c r="GT87" i="15"/>
  <c r="OR89" i="15"/>
  <c r="JE87" i="15"/>
  <c r="JF86" i="15"/>
  <c r="RM87" i="15"/>
  <c r="RN86" i="15"/>
  <c r="KN89" i="15"/>
  <c r="DB87" i="15"/>
  <c r="JI87" i="15"/>
  <c r="JJ86" i="15"/>
  <c r="NY87" i="15"/>
  <c r="NZ86" i="15"/>
  <c r="LL89" i="15"/>
  <c r="ON89" i="15"/>
  <c r="L89" i="15"/>
  <c r="QB89" i="15"/>
  <c r="SZ89" i="15"/>
  <c r="JN87" i="15"/>
  <c r="QF89" i="15"/>
  <c r="GR89" i="15"/>
  <c r="GX87" i="15"/>
  <c r="OF88" i="15"/>
  <c r="P89" i="15"/>
  <c r="NE87" i="15"/>
  <c r="NF86" i="15"/>
  <c r="KZ89" i="15"/>
  <c r="CZ89" i="15"/>
  <c r="JU87" i="15"/>
  <c r="JV86" i="15"/>
  <c r="AW87" i="15"/>
  <c r="AX86" i="15"/>
  <c r="HA87" i="15"/>
  <c r="HB86" i="15"/>
  <c r="DY87" i="15"/>
  <c r="DZ86" i="15"/>
  <c r="JL89" i="15"/>
  <c r="GV89" i="15"/>
  <c r="OH86" i="15"/>
  <c r="DR87" i="15"/>
  <c r="QV89" i="15"/>
  <c r="MD87" i="15"/>
  <c r="FL89" i="15"/>
  <c r="QW88" i="15"/>
  <c r="PD89" i="15"/>
  <c r="MN89" i="15"/>
  <c r="MP87" i="15"/>
  <c r="BM87" i="15"/>
  <c r="BN86" i="15"/>
  <c r="EW87" i="15"/>
  <c r="EX86" i="15"/>
  <c r="QZ89" i="15"/>
  <c r="CK88" i="15"/>
  <c r="CL88" i="15" s="1"/>
  <c r="CN89" i="15"/>
  <c r="OO87" i="15"/>
  <c r="OP86" i="15"/>
  <c r="BH89" i="15"/>
  <c r="TP89" i="15"/>
  <c r="DP89" i="15"/>
  <c r="FY88" i="15"/>
  <c r="MD88" i="15"/>
  <c r="MB89" i="15"/>
  <c r="FN87" i="15"/>
  <c r="TE87" i="15"/>
  <c r="TF86" i="15"/>
  <c r="KC87" i="15"/>
  <c r="KD86" i="15"/>
  <c r="GG87" i="15"/>
  <c r="GH86" i="15"/>
  <c r="MF89" i="15"/>
  <c r="JX89" i="15"/>
  <c r="JZ88" i="15"/>
  <c r="DH89" i="15"/>
  <c r="PE88" i="15"/>
  <c r="PF88" i="15" s="1"/>
  <c r="PU87" i="15"/>
  <c r="PV86" i="15"/>
  <c r="SC87" i="15"/>
  <c r="SD86" i="15"/>
  <c r="QJ89" i="15"/>
  <c r="DM88" i="15"/>
  <c r="DN88" i="15" s="1"/>
  <c r="IV89" i="15"/>
  <c r="NU87" i="15"/>
  <c r="NV86" i="15"/>
  <c r="JD89" i="15"/>
  <c r="TY88" i="15"/>
  <c r="TZ88" i="15" s="1"/>
  <c r="FT89" i="15"/>
  <c r="JH89" i="15"/>
  <c r="BE88" i="15"/>
  <c r="KR89" i="15"/>
  <c r="IZ89" i="15"/>
  <c r="MK87" i="15"/>
  <c r="ML86" i="15"/>
  <c r="HI87" i="15"/>
  <c r="HJ86" i="15"/>
  <c r="DI87" i="15"/>
  <c r="DJ86" i="15"/>
  <c r="RL89" i="15"/>
  <c r="U88" i="15"/>
  <c r="V88" i="15" s="1"/>
  <c r="GN89" i="15"/>
  <c r="NA87" i="15"/>
  <c r="EK88" i="15"/>
  <c r="GO88" i="15"/>
  <c r="CO88" i="15"/>
  <c r="CB88" i="15"/>
  <c r="M87" i="15"/>
  <c r="N86" i="15"/>
  <c r="RH89" i="15"/>
  <c r="NH89" i="15"/>
  <c r="KV89" i="15"/>
  <c r="LI88" i="15"/>
  <c r="BX89" i="15"/>
  <c r="TQ87" i="15"/>
  <c r="TR86" i="15"/>
  <c r="NI87" i="15"/>
  <c r="NJ86" i="15"/>
  <c r="UR89" i="15"/>
  <c r="TM87" i="15"/>
  <c r="TN86" i="15"/>
  <c r="CG87" i="15"/>
  <c r="CH86" i="15"/>
  <c r="IF89" i="15"/>
  <c r="DE87" i="15"/>
  <c r="DF86" i="15"/>
  <c r="NQ87" i="15"/>
  <c r="NR86" i="15"/>
  <c r="HP89" i="15"/>
  <c r="BP89" i="15"/>
  <c r="PH89" i="15"/>
  <c r="PI89" i="15" s="1"/>
  <c r="FI88" i="15"/>
  <c r="KJ89" i="15"/>
  <c r="Y87" i="15"/>
  <c r="Z86" i="15"/>
  <c r="OC87" i="15"/>
  <c r="OD86" i="15"/>
  <c r="IH87" i="15"/>
  <c r="LM88" i="15"/>
  <c r="BL89" i="15"/>
  <c r="AP88" i="15"/>
  <c r="AN89" i="15"/>
  <c r="AO89" i="15" s="1"/>
  <c r="HT89" i="15"/>
  <c r="NT89" i="15"/>
  <c r="QG87" i="15"/>
  <c r="QH86" i="15"/>
  <c r="IR89" i="15"/>
  <c r="PL88" i="15"/>
  <c r="GC87" i="15"/>
  <c r="GD86" i="15"/>
  <c r="NX89" i="15"/>
  <c r="UB89" i="15"/>
  <c r="DL89" i="15"/>
  <c r="MS87" i="15"/>
  <c r="MT86" i="15"/>
  <c r="SF89" i="15"/>
  <c r="X89" i="15"/>
  <c r="OL87" i="15"/>
  <c r="DT89" i="15"/>
  <c r="OJ89" i="15"/>
  <c r="PT89" i="15"/>
  <c r="QN89" i="15"/>
  <c r="AR89" i="15"/>
  <c r="TH89" i="15"/>
  <c r="CR88" i="15"/>
  <c r="EF89" i="15"/>
  <c r="HL89" i="15"/>
  <c r="UC87" i="15"/>
  <c r="UD86" i="15"/>
  <c r="RU87" i="15"/>
  <c r="RV86" i="15"/>
  <c r="GJ89" i="15"/>
  <c r="UO88" i="15"/>
  <c r="RF87" i="15"/>
  <c r="UK87" i="15"/>
  <c r="UL86" i="15"/>
  <c r="PZ87" i="15"/>
  <c r="KL87" i="15"/>
  <c r="CS87" i="15"/>
  <c r="CT87" i="15" s="1"/>
  <c r="RX89" i="15"/>
  <c r="ES87" i="15"/>
  <c r="ET86" i="15"/>
  <c r="SW88" i="15"/>
  <c r="SX88" i="15" s="1"/>
  <c r="KW87" i="15"/>
  <c r="KX86" i="15"/>
  <c r="EC87" i="15"/>
  <c r="ED86" i="15"/>
  <c r="US87" i="15"/>
  <c r="UT86" i="15"/>
  <c r="EV89" i="15"/>
  <c r="FA87" i="15"/>
  <c r="FB86" i="15"/>
  <c r="IK87" i="15"/>
  <c r="IL86" i="15"/>
  <c r="LT89" i="15"/>
  <c r="QR89" i="15"/>
  <c r="PQ87" i="15"/>
  <c r="PR86" i="15"/>
  <c r="EO88" i="15"/>
  <c r="EP88" i="15" s="1"/>
  <c r="RT89" i="15"/>
  <c r="DU87" i="15"/>
  <c r="DV86" i="15"/>
  <c r="OV89" i="15"/>
  <c r="MV89" i="15"/>
  <c r="FP89" i="15"/>
  <c r="IN89" i="15"/>
  <c r="LU87" i="15"/>
  <c r="LV86" i="15"/>
  <c r="AV89" i="15"/>
  <c r="TT89" i="15"/>
  <c r="RD89" i="15"/>
  <c r="BU87" i="15"/>
  <c r="BV87" i="15" s="1"/>
  <c r="ND89" i="15"/>
  <c r="H88" i="15"/>
  <c r="SP87" i="15"/>
  <c r="KF89" i="15"/>
  <c r="SG88" i="15"/>
  <c r="CF89" i="15"/>
  <c r="RQ87" i="15"/>
  <c r="RR86" i="15"/>
  <c r="CW87" i="15"/>
  <c r="CX86" i="15"/>
  <c r="LH89" i="15"/>
  <c r="OS87" i="15"/>
  <c r="OT86" i="15"/>
  <c r="AG88" i="15"/>
  <c r="AH88" i="15" s="1"/>
  <c r="GF89" i="15"/>
  <c r="KB89" i="15"/>
  <c r="GB89" i="15"/>
  <c r="PX89" i="15"/>
  <c r="KG87" i="15"/>
  <c r="KH86" i="15"/>
  <c r="LP89" i="15"/>
  <c r="LR88" i="15"/>
  <c r="AJ89" i="15"/>
  <c r="BI88" i="15"/>
  <c r="EZ89" i="15"/>
  <c r="RP89" i="15"/>
  <c r="OW87" i="15"/>
  <c r="OX86" i="15"/>
  <c r="KS88" i="15"/>
  <c r="KT88" i="15" s="1"/>
  <c r="TD89" i="15"/>
  <c r="PA87" i="15"/>
  <c r="PB86" i="15"/>
  <c r="NM87" i="15"/>
  <c r="NN86" i="15"/>
  <c r="SN89" i="15"/>
  <c r="HD89" i="15"/>
  <c r="FU88" i="15"/>
  <c r="F91" i="8"/>
  <c r="G91" i="8" s="1"/>
  <c r="F91" i="9"/>
  <c r="G91" i="9" s="1"/>
  <c r="E92" i="11"/>
  <c r="F91" i="11"/>
  <c r="G91" i="10"/>
  <c r="G90" i="10"/>
  <c r="E92" i="9"/>
  <c r="G90" i="9"/>
  <c r="E92" i="8"/>
  <c r="G90" i="8"/>
  <c r="E93" i="2"/>
  <c r="F92" i="2"/>
  <c r="OG88" i="15" l="1"/>
  <c r="QO89" i="15"/>
  <c r="OK89" i="15"/>
  <c r="JA89" i="15"/>
  <c r="JB89" i="15" s="1"/>
  <c r="HQ89" i="15"/>
  <c r="HR89" i="15" s="1"/>
  <c r="E89" i="15"/>
  <c r="F89" i="15" s="1"/>
  <c r="DA89" i="15"/>
  <c r="DB89" i="15" s="1"/>
  <c r="QS89" i="15"/>
  <c r="QT89" i="15" s="1"/>
  <c r="AK89" i="15"/>
  <c r="AL89" i="15" s="1"/>
  <c r="PY89" i="15"/>
  <c r="PZ89" i="15" s="1"/>
  <c r="EG89" i="15"/>
  <c r="EH89" i="15" s="1"/>
  <c r="SO89" i="15"/>
  <c r="HM89" i="15"/>
  <c r="HN89" i="15" s="1"/>
  <c r="IS89" i="15"/>
  <c r="IT89" i="15" s="1"/>
  <c r="LY89" i="15"/>
  <c r="LZ89" i="15" s="1"/>
  <c r="IC89" i="15"/>
  <c r="ID89" i="15" s="1"/>
  <c r="I88" i="15"/>
  <c r="J88" i="15" s="1"/>
  <c r="HE89" i="15"/>
  <c r="HF89" i="15" s="1"/>
  <c r="UO89" i="15"/>
  <c r="UP89" i="15" s="1"/>
  <c r="AC89" i="15"/>
  <c r="AD89" i="15" s="1"/>
  <c r="GO89" i="15"/>
  <c r="GP89" i="15" s="1"/>
  <c r="HY89" i="15"/>
  <c r="HZ89" i="15" s="1"/>
  <c r="BE89" i="15"/>
  <c r="BF89" i="15" s="1"/>
  <c r="RE89" i="15"/>
  <c r="RF89" i="15" s="1"/>
  <c r="LM89" i="15"/>
  <c r="LN89" i="15" s="1"/>
  <c r="GS89" i="15"/>
  <c r="GT89" i="15" s="1"/>
  <c r="BI89" i="15"/>
  <c r="DQ89" i="15"/>
  <c r="DR89" i="15" s="1"/>
  <c r="GW89" i="15"/>
  <c r="GX89" i="15" s="1"/>
  <c r="NA88" i="15"/>
  <c r="NB88" i="15" s="1"/>
  <c r="QW89" i="15"/>
  <c r="QX89" i="15" s="1"/>
  <c r="FM89" i="15"/>
  <c r="FN89" i="15" s="1"/>
  <c r="MG89" i="15"/>
  <c r="MH89" i="15" s="1"/>
  <c r="EK89" i="15"/>
  <c r="EL89" i="15" s="1"/>
  <c r="SG89" i="15"/>
  <c r="SH89" i="15" s="1"/>
  <c r="LN88" i="15"/>
  <c r="FI89" i="15"/>
  <c r="FJ89" i="15" s="1"/>
  <c r="FY89" i="15"/>
  <c r="FZ89" i="15" s="1"/>
  <c r="CO89" i="15"/>
  <c r="CP89" i="15" s="1"/>
  <c r="LI89" i="15"/>
  <c r="LJ89" i="15" s="1"/>
  <c r="FU89" i="15"/>
  <c r="FV89" i="15" s="1"/>
  <c r="GG88" i="15"/>
  <c r="GH87" i="15"/>
  <c r="SS88" i="15"/>
  <c r="ST87" i="15"/>
  <c r="AF90" i="15"/>
  <c r="JT90" i="15"/>
  <c r="MR90" i="15"/>
  <c r="KV90" i="15"/>
  <c r="DI88" i="15"/>
  <c r="DJ87" i="15"/>
  <c r="KC88" i="15"/>
  <c r="KD87" i="15"/>
  <c r="P90" i="15"/>
  <c r="LL90" i="15"/>
  <c r="UG88" i="15"/>
  <c r="UH87" i="15"/>
  <c r="ER90" i="15"/>
  <c r="FD90" i="15"/>
  <c r="SR90" i="15"/>
  <c r="OZ90" i="15"/>
  <c r="ES88" i="15"/>
  <c r="ET87" i="15"/>
  <c r="EW88" i="15"/>
  <c r="EX87" i="15"/>
  <c r="SJ90" i="15"/>
  <c r="ON90" i="15"/>
  <c r="QZ90" i="15"/>
  <c r="BL90" i="15"/>
  <c r="DE88" i="15"/>
  <c r="DF87" i="15"/>
  <c r="NH90" i="15"/>
  <c r="HI88" i="15"/>
  <c r="HJ87" i="15"/>
  <c r="TE88" i="15"/>
  <c r="TF87" i="15"/>
  <c r="NY88" i="15"/>
  <c r="NZ87" i="15"/>
  <c r="DD90" i="15"/>
  <c r="FJ88" i="15"/>
  <c r="IW88" i="15"/>
  <c r="IX87" i="15"/>
  <c r="BY88" i="15"/>
  <c r="BZ87" i="15"/>
  <c r="PQ88" i="15"/>
  <c r="PR87" i="15"/>
  <c r="CS88" i="15"/>
  <c r="DM89" i="15"/>
  <c r="DN89" i="15" s="1"/>
  <c r="BM88" i="15"/>
  <c r="BN87" i="15"/>
  <c r="JL90" i="15"/>
  <c r="FH90" i="15"/>
  <c r="SK89" i="15"/>
  <c r="SL89" i="15" s="1"/>
  <c r="EN90" i="15"/>
  <c r="RY88" i="15"/>
  <c r="RZ87" i="15"/>
  <c r="NQ88" i="15"/>
  <c r="NR87" i="15"/>
  <c r="RQ88" i="15"/>
  <c r="RR87" i="15"/>
  <c r="QN90" i="15"/>
  <c r="QP89" i="15"/>
  <c r="NX90" i="15"/>
  <c r="IF90" i="15"/>
  <c r="RH90" i="15"/>
  <c r="MK88" i="15"/>
  <c r="ML87" i="15"/>
  <c r="QJ90" i="15"/>
  <c r="MB90" i="15"/>
  <c r="OH88" i="15"/>
  <c r="OF89" i="15"/>
  <c r="JI88" i="15"/>
  <c r="JJ87" i="15"/>
  <c r="QK88" i="15"/>
  <c r="QL87" i="15"/>
  <c r="AZ90" i="15"/>
  <c r="MC89" i="15"/>
  <c r="FQ88" i="15"/>
  <c r="FR87" i="15"/>
  <c r="GZ90" i="15"/>
  <c r="CR89" i="15"/>
  <c r="MN90" i="15"/>
  <c r="DY88" i="15"/>
  <c r="DZ87" i="15"/>
  <c r="FE89" i="15"/>
  <c r="FF89" i="15" s="1"/>
  <c r="PP90" i="15"/>
  <c r="UN90" i="15"/>
  <c r="TT90" i="15"/>
  <c r="CW88" i="15"/>
  <c r="CX87" i="15"/>
  <c r="FA88" i="15"/>
  <c r="FB87" i="15"/>
  <c r="GC88" i="15"/>
  <c r="GD87" i="15"/>
  <c r="OC88" i="15"/>
  <c r="OD87" i="15"/>
  <c r="IZ90" i="15"/>
  <c r="GR90" i="15"/>
  <c r="KN90" i="15"/>
  <c r="TI88" i="15"/>
  <c r="TJ87" i="15"/>
  <c r="AB90" i="15"/>
  <c r="UP88" i="15"/>
  <c r="EZ90" i="15"/>
  <c r="RX90" i="15"/>
  <c r="PL89" i="15"/>
  <c r="CG88" i="15"/>
  <c r="CH87" i="15"/>
  <c r="M88" i="15"/>
  <c r="N87" i="15"/>
  <c r="SC88" i="15"/>
  <c r="SD87" i="15"/>
  <c r="DP90" i="15"/>
  <c r="JM89" i="15"/>
  <c r="LA88" i="15"/>
  <c r="LB87" i="15"/>
  <c r="LE88" i="15"/>
  <c r="LF87" i="15"/>
  <c r="IB90" i="15"/>
  <c r="TA88" i="15"/>
  <c r="TB87" i="15"/>
  <c r="HH90" i="15"/>
  <c r="HU88" i="15"/>
  <c r="HV87" i="15"/>
  <c r="QR90" i="15"/>
  <c r="AJ90" i="15"/>
  <c r="LP90" i="15"/>
  <c r="KG88" i="15"/>
  <c r="KH87" i="15"/>
  <c r="EV90" i="15"/>
  <c r="OL89" i="15"/>
  <c r="OJ90" i="15"/>
  <c r="OK90" i="15" s="1"/>
  <c r="Y88" i="15"/>
  <c r="Z87" i="15"/>
  <c r="KR90" i="15"/>
  <c r="PD90" i="15"/>
  <c r="HA88" i="15"/>
  <c r="HB87" i="15"/>
  <c r="IG89" i="15"/>
  <c r="LX90" i="15"/>
  <c r="BT89" i="15"/>
  <c r="BA89" i="15"/>
  <c r="SV90" i="15"/>
  <c r="RA88" i="15"/>
  <c r="RB87" i="15"/>
  <c r="NU88" i="15"/>
  <c r="NV87" i="15"/>
  <c r="TH90" i="15"/>
  <c r="IR90" i="15"/>
  <c r="KJ90" i="15"/>
  <c r="TM88" i="15"/>
  <c r="TN87" i="15"/>
  <c r="CB89" i="15"/>
  <c r="PU88" i="15"/>
  <c r="PV87" i="15"/>
  <c r="QF90" i="15"/>
  <c r="LD90" i="15"/>
  <c r="MO89" i="15"/>
  <c r="NB87" i="15"/>
  <c r="T90" i="15"/>
  <c r="GK88" i="15"/>
  <c r="GL87" i="15"/>
  <c r="NP90" i="15"/>
  <c r="IN90" i="15"/>
  <c r="GB90" i="15"/>
  <c r="PE89" i="15"/>
  <c r="TP90" i="15"/>
  <c r="LQ89" i="15"/>
  <c r="AW88" i="15"/>
  <c r="AX87" i="15"/>
  <c r="RM88" i="15"/>
  <c r="RN87" i="15"/>
  <c r="HX90" i="15"/>
  <c r="TU89" i="15"/>
  <c r="TV89" i="15" s="1"/>
  <c r="MZ89" i="15"/>
  <c r="IJ90" i="15"/>
  <c r="IK88" i="15"/>
  <c r="IL87" i="15"/>
  <c r="RU88" i="15"/>
  <c r="RV87" i="15"/>
  <c r="UR90" i="15"/>
  <c r="JH90" i="15"/>
  <c r="DH90" i="15"/>
  <c r="BH90" i="15"/>
  <c r="SZ90" i="15"/>
  <c r="MJ90" i="15"/>
  <c r="KK89" i="15"/>
  <c r="CJ90" i="15"/>
  <c r="TX90" i="15"/>
  <c r="UB90" i="15"/>
  <c r="CF90" i="15"/>
  <c r="MV90" i="15"/>
  <c r="TD90" i="15"/>
  <c r="BJ88" i="15"/>
  <c r="FL90" i="15"/>
  <c r="JU88" i="15"/>
  <c r="JV87" i="15"/>
  <c r="JE88" i="15"/>
  <c r="JF87" i="15"/>
  <c r="TL90" i="15"/>
  <c r="JP90" i="15"/>
  <c r="CV90" i="15"/>
  <c r="DX90" i="15"/>
  <c r="GV90" i="15"/>
  <c r="AV90" i="15"/>
  <c r="LT90" i="15"/>
  <c r="KF90" i="15"/>
  <c r="EC88" i="15"/>
  <c r="ED87" i="15"/>
  <c r="NI88" i="15"/>
  <c r="NJ87" i="15"/>
  <c r="AS88" i="15"/>
  <c r="AT87" i="15"/>
  <c r="RI89" i="15"/>
  <c r="OS88" i="15"/>
  <c r="OT87" i="15"/>
  <c r="HD90" i="15"/>
  <c r="OV90" i="15"/>
  <c r="US88" i="15"/>
  <c r="UT87" i="15"/>
  <c r="JX90" i="15"/>
  <c r="D90" i="15"/>
  <c r="IO88" i="15"/>
  <c r="IP87" i="15"/>
  <c r="JQ88" i="15"/>
  <c r="JR87" i="15"/>
  <c r="PM88" i="15"/>
  <c r="EB90" i="15"/>
  <c r="QC88" i="15"/>
  <c r="QD87" i="15"/>
  <c r="AN90" i="15"/>
  <c r="AP89" i="15"/>
  <c r="LU88" i="15"/>
  <c r="LV87" i="15"/>
  <c r="UK88" i="15"/>
  <c r="UL87" i="15"/>
  <c r="SN90" i="15"/>
  <c r="SP89" i="15"/>
  <c r="KB90" i="15"/>
  <c r="DT90" i="15"/>
  <c r="H89" i="15"/>
  <c r="PJ89" i="15"/>
  <c r="PH90" i="15"/>
  <c r="PI90" i="15" s="1"/>
  <c r="HL90" i="15"/>
  <c r="GN90" i="15"/>
  <c r="FV88" i="15"/>
  <c r="OO88" i="15"/>
  <c r="OP87" i="15"/>
  <c r="OW88" i="15"/>
  <c r="OX87" i="15"/>
  <c r="BU88" i="15"/>
  <c r="BV88" i="15" s="1"/>
  <c r="RT90" i="15"/>
  <c r="KW88" i="15"/>
  <c r="KX87" i="15"/>
  <c r="SF90" i="15"/>
  <c r="NT90" i="15"/>
  <c r="BP90" i="15"/>
  <c r="TQ88" i="15"/>
  <c r="TR87" i="15"/>
  <c r="GP88" i="15"/>
  <c r="TY89" i="15"/>
  <c r="MH88" i="15"/>
  <c r="CN90" i="15"/>
  <c r="QV90" i="15"/>
  <c r="CZ90" i="15"/>
  <c r="L90" i="15"/>
  <c r="MW88" i="15"/>
  <c r="MX87" i="15"/>
  <c r="OB90" i="15"/>
  <c r="BD90" i="15"/>
  <c r="EJ90" i="15"/>
  <c r="BQ89" i="15"/>
  <c r="LH90" i="15"/>
  <c r="DL90" i="15"/>
  <c r="IV90" i="15"/>
  <c r="PT90" i="15"/>
  <c r="GJ90" i="15"/>
  <c r="KS89" i="15"/>
  <c r="UC88" i="15"/>
  <c r="UD87" i="15"/>
  <c r="ND90" i="15"/>
  <c r="X90" i="15"/>
  <c r="QB90" i="15"/>
  <c r="EO89" i="15"/>
  <c r="EF90" i="15"/>
  <c r="SH88" i="15"/>
  <c r="HT90" i="15"/>
  <c r="BX90" i="15"/>
  <c r="U89" i="15"/>
  <c r="JD90" i="15"/>
  <c r="MF90" i="15"/>
  <c r="CP88" i="15"/>
  <c r="QX88" i="15"/>
  <c r="KZ90" i="15"/>
  <c r="FX90" i="15"/>
  <c r="SB90" i="15"/>
  <c r="UJ90" i="15"/>
  <c r="BF88" i="15"/>
  <c r="UF90" i="15"/>
  <c r="EL88" i="15"/>
  <c r="JY89" i="15"/>
  <c r="JZ89" i="15" s="1"/>
  <c r="MS88" i="15"/>
  <c r="MT87" i="15"/>
  <c r="NE88" i="15"/>
  <c r="NF87" i="15"/>
  <c r="LJ88" i="15"/>
  <c r="AR90" i="15"/>
  <c r="FP90" i="15"/>
  <c r="PX90" i="15"/>
  <c r="NM88" i="15"/>
  <c r="NN87" i="15"/>
  <c r="PA88" i="15"/>
  <c r="PB87" i="15"/>
  <c r="GF90" i="15"/>
  <c r="DU88" i="15"/>
  <c r="DV87" i="15"/>
  <c r="QG88" i="15"/>
  <c r="QH87" i="15"/>
  <c r="FT90" i="15"/>
  <c r="OR90" i="15"/>
  <c r="RP90" i="15"/>
  <c r="AG89" i="15"/>
  <c r="SW89" i="15"/>
  <c r="RD90" i="15"/>
  <c r="HP90" i="15"/>
  <c r="RL90" i="15"/>
  <c r="CK89" i="15"/>
  <c r="CL89" i="15" s="1"/>
  <c r="FZ88" i="15"/>
  <c r="Q88" i="15"/>
  <c r="R87" i="15"/>
  <c r="NL90" i="15"/>
  <c r="KO89" i="15"/>
  <c r="CC88" i="15"/>
  <c r="CD88" i="15" s="1"/>
  <c r="F93" i="2"/>
  <c r="G93" i="2" s="1"/>
  <c r="F92" i="11"/>
  <c r="G92" i="11" s="1"/>
  <c r="G91" i="11"/>
  <c r="E93" i="11"/>
  <c r="E93" i="9"/>
  <c r="F92" i="9"/>
  <c r="E93" i="8"/>
  <c r="F92" i="8"/>
  <c r="G92" i="2"/>
  <c r="E94" i="2"/>
  <c r="IC90" i="15" l="1"/>
  <c r="DA90" i="15"/>
  <c r="HQ90" i="15"/>
  <c r="IS90" i="15"/>
  <c r="IT90" i="15" s="1"/>
  <c r="QS90" i="15"/>
  <c r="QT90" i="15" s="1"/>
  <c r="GS90" i="15"/>
  <c r="GT90" i="15" s="1"/>
  <c r="EG90" i="15"/>
  <c r="EH90" i="15" s="1"/>
  <c r="BE90" i="15"/>
  <c r="BF90" i="15" s="1"/>
  <c r="CO90" i="15"/>
  <c r="CP90" i="15" s="1"/>
  <c r="GO90" i="15"/>
  <c r="GP90" i="15" s="1"/>
  <c r="I89" i="15"/>
  <c r="J89" i="15" s="1"/>
  <c r="GW90" i="15"/>
  <c r="GX90" i="15" s="1"/>
  <c r="EO90" i="15"/>
  <c r="EP90" i="15" s="1"/>
  <c r="BQ90" i="15"/>
  <c r="BR90" i="15" s="1"/>
  <c r="RI90" i="15"/>
  <c r="RJ90" i="15" s="1"/>
  <c r="FM90" i="15"/>
  <c r="FN90" i="15" s="1"/>
  <c r="MO90" i="15"/>
  <c r="MP90" i="15" s="1"/>
  <c r="NA89" i="15"/>
  <c r="NB89" i="15" s="1"/>
  <c r="HY90" i="15"/>
  <c r="HZ90" i="15" s="1"/>
  <c r="BI90" i="15"/>
  <c r="BJ90" i="15" s="1"/>
  <c r="KK90" i="15"/>
  <c r="KL90" i="15" s="1"/>
  <c r="IG90" i="15"/>
  <c r="IH90" i="15" s="1"/>
  <c r="QW90" i="15"/>
  <c r="QX90" i="15" s="1"/>
  <c r="BJ89" i="15"/>
  <c r="LM90" i="15"/>
  <c r="LN90" i="15" s="1"/>
  <c r="KS90" i="15"/>
  <c r="KT90" i="15" s="1"/>
  <c r="FI90" i="15"/>
  <c r="FJ90" i="15" s="1"/>
  <c r="CS89" i="15"/>
  <c r="CT89" i="15" s="1"/>
  <c r="FY90" i="15"/>
  <c r="FZ90" i="15" s="1"/>
  <c r="TY90" i="15"/>
  <c r="TZ90" i="15" s="1"/>
  <c r="SG90" i="15"/>
  <c r="SH90" i="15" s="1"/>
  <c r="DQ90" i="15"/>
  <c r="DR90" i="15" s="1"/>
  <c r="MC90" i="15"/>
  <c r="MD90" i="15" s="1"/>
  <c r="PM89" i="15"/>
  <c r="PN89" i="15" s="1"/>
  <c r="BA90" i="15"/>
  <c r="BB90" i="15" s="1"/>
  <c r="FU90" i="15"/>
  <c r="FV90" i="15" s="1"/>
  <c r="U90" i="15"/>
  <c r="V90" i="15" s="1"/>
  <c r="SW90" i="15"/>
  <c r="SX90" i="15" s="1"/>
  <c r="AG90" i="15"/>
  <c r="AH90" i="15" s="1"/>
  <c r="LQ90" i="15"/>
  <c r="LR90" i="15" s="1"/>
  <c r="PE90" i="15"/>
  <c r="PF90" i="15" s="1"/>
  <c r="JM90" i="15"/>
  <c r="JN90" i="15" s="1"/>
  <c r="KO90" i="15"/>
  <c r="KP90" i="15" s="1"/>
  <c r="LU89" i="15"/>
  <c r="LV88" i="15"/>
  <c r="OO89" i="15"/>
  <c r="OP88" i="15"/>
  <c r="MV91" i="15"/>
  <c r="JH91" i="15"/>
  <c r="AW89" i="15"/>
  <c r="AX88" i="15"/>
  <c r="LD91" i="15"/>
  <c r="RA89" i="15"/>
  <c r="RB88" i="15"/>
  <c r="AB91" i="15"/>
  <c r="NX91" i="15"/>
  <c r="DX91" i="15"/>
  <c r="SX89" i="15"/>
  <c r="LA89" i="15"/>
  <c r="LB88" i="15"/>
  <c r="TT91" i="15"/>
  <c r="AZ91" i="15"/>
  <c r="DE89" i="15"/>
  <c r="DF88" i="15"/>
  <c r="FD91" i="15"/>
  <c r="AF91" i="15"/>
  <c r="QF91" i="15"/>
  <c r="SV91" i="15"/>
  <c r="KG89" i="15"/>
  <c r="KH88" i="15"/>
  <c r="BB89" i="15"/>
  <c r="QN91" i="15"/>
  <c r="PQ89" i="15"/>
  <c r="PR88" i="15"/>
  <c r="AH89" i="15"/>
  <c r="DH91" i="15"/>
  <c r="HR90" i="15"/>
  <c r="HP91" i="15"/>
  <c r="HQ91" i="15" s="1"/>
  <c r="OS89" i="15"/>
  <c r="OT88" i="15"/>
  <c r="CV91" i="15"/>
  <c r="CF91" i="15"/>
  <c r="UR91" i="15"/>
  <c r="LR89" i="15"/>
  <c r="DP91" i="15"/>
  <c r="TI89" i="15"/>
  <c r="TJ88" i="15"/>
  <c r="UN91" i="15"/>
  <c r="BL91" i="15"/>
  <c r="ER91" i="15"/>
  <c r="IV91" i="15"/>
  <c r="UB91" i="15"/>
  <c r="BT90" i="15"/>
  <c r="LP91" i="15"/>
  <c r="KN91" i="15"/>
  <c r="QK89" i="15"/>
  <c r="QL88" i="15"/>
  <c r="RQ89" i="15"/>
  <c r="RR88" i="15"/>
  <c r="BY89" i="15"/>
  <c r="BZ88" i="15"/>
  <c r="QZ91" i="15"/>
  <c r="SS89" i="15"/>
  <c r="ST88" i="15"/>
  <c r="UJ91" i="15"/>
  <c r="LH91" i="15"/>
  <c r="PX91" i="15"/>
  <c r="TQ89" i="15"/>
  <c r="TR88" i="15"/>
  <c r="HL91" i="15"/>
  <c r="PU89" i="15"/>
  <c r="PV88" i="15"/>
  <c r="AJ91" i="15"/>
  <c r="KP89" i="15"/>
  <c r="UG89" i="15"/>
  <c r="UH88" i="15"/>
  <c r="HD91" i="15"/>
  <c r="CN91" i="15"/>
  <c r="JP91" i="15"/>
  <c r="TX91" i="15"/>
  <c r="RU89" i="15"/>
  <c r="RV88" i="15"/>
  <c r="SC89" i="15"/>
  <c r="SD88" i="15"/>
  <c r="JI89" i="15"/>
  <c r="JJ88" i="15"/>
  <c r="NQ89" i="15"/>
  <c r="NR88" i="15"/>
  <c r="IW89" i="15"/>
  <c r="IX88" i="15"/>
  <c r="ON91" i="15"/>
  <c r="LL91" i="15"/>
  <c r="GG89" i="15"/>
  <c r="GH88" i="15"/>
  <c r="EV91" i="15"/>
  <c r="AN91" i="15"/>
  <c r="QB91" i="15"/>
  <c r="GB91" i="15"/>
  <c r="CB90" i="15"/>
  <c r="LX91" i="15"/>
  <c r="GR91" i="15"/>
  <c r="PP91" i="15"/>
  <c r="OF90" i="15"/>
  <c r="LY90" i="15"/>
  <c r="DL91" i="15"/>
  <c r="RD91" i="15"/>
  <c r="SB91" i="15"/>
  <c r="KZ91" i="15"/>
  <c r="M89" i="15"/>
  <c r="N88" i="15"/>
  <c r="FE90" i="15"/>
  <c r="RY89" i="15"/>
  <c r="RZ88" i="15"/>
  <c r="LI90" i="15"/>
  <c r="P91" i="15"/>
  <c r="TZ89" i="15"/>
  <c r="OB91" i="15"/>
  <c r="CJ91" i="15"/>
  <c r="IK89" i="15"/>
  <c r="IL88" i="15"/>
  <c r="QR91" i="15"/>
  <c r="MB91" i="15"/>
  <c r="EP89" i="15"/>
  <c r="DD91" i="15"/>
  <c r="SJ91" i="15"/>
  <c r="HE90" i="15"/>
  <c r="CW89" i="15"/>
  <c r="CX88" i="15"/>
  <c r="FP91" i="15"/>
  <c r="MF91" i="15"/>
  <c r="IJ91" i="15"/>
  <c r="IN91" i="15"/>
  <c r="TM89" i="15"/>
  <c r="TN88" i="15"/>
  <c r="HA89" i="15"/>
  <c r="HB88" i="15"/>
  <c r="CG89" i="15"/>
  <c r="CH88" i="15"/>
  <c r="IZ91" i="15"/>
  <c r="DY89" i="15"/>
  <c r="DZ88" i="15"/>
  <c r="MD89" i="15"/>
  <c r="EN91" i="15"/>
  <c r="AO90" i="15"/>
  <c r="AP90" i="15" s="1"/>
  <c r="EF91" i="15"/>
  <c r="GN91" i="15"/>
  <c r="EB91" i="15"/>
  <c r="RP91" i="15"/>
  <c r="TL91" i="15"/>
  <c r="NT91" i="15"/>
  <c r="AR91" i="15"/>
  <c r="MJ91" i="15"/>
  <c r="QO90" i="15"/>
  <c r="KJ91" i="15"/>
  <c r="PF89" i="15"/>
  <c r="HU89" i="15"/>
  <c r="HV88" i="15"/>
  <c r="PN88" i="15"/>
  <c r="MP89" i="15"/>
  <c r="SK90" i="15"/>
  <c r="SL90" i="15" s="1"/>
  <c r="NY89" i="15"/>
  <c r="NZ88" i="15"/>
  <c r="MG90" i="15"/>
  <c r="MH90" i="15" s="1"/>
  <c r="KC89" i="15"/>
  <c r="KD88" i="15"/>
  <c r="SR91" i="15"/>
  <c r="PA89" i="15"/>
  <c r="PB88" i="15"/>
  <c r="FX91" i="15"/>
  <c r="OR91" i="15"/>
  <c r="SF91" i="15"/>
  <c r="UC89" i="15"/>
  <c r="UD88" i="15"/>
  <c r="KL89" i="15"/>
  <c r="PD91" i="15"/>
  <c r="HH91" i="15"/>
  <c r="PL90" i="15"/>
  <c r="MN91" i="15"/>
  <c r="QJ91" i="15"/>
  <c r="OG89" i="15"/>
  <c r="BR89" i="15"/>
  <c r="BD91" i="15"/>
  <c r="NL91" i="15"/>
  <c r="MZ90" i="15"/>
  <c r="UO90" i="15"/>
  <c r="UP90" i="15" s="1"/>
  <c r="OC89" i="15"/>
  <c r="OD88" i="15"/>
  <c r="HM90" i="15"/>
  <c r="FH91" i="15"/>
  <c r="EW89" i="15"/>
  <c r="EX88" i="15"/>
  <c r="DI89" i="15"/>
  <c r="DJ88" i="15"/>
  <c r="NH91" i="15"/>
  <c r="QC89" i="15"/>
  <c r="QD88" i="15"/>
  <c r="AS89" i="15"/>
  <c r="AT88" i="15"/>
  <c r="CC89" i="15"/>
  <c r="IO89" i="15"/>
  <c r="IP88" i="15"/>
  <c r="SZ91" i="15"/>
  <c r="MK89" i="15"/>
  <c r="ML88" i="15"/>
  <c r="JN89" i="15"/>
  <c r="TE89" i="15"/>
  <c r="TF88" i="15"/>
  <c r="LE89" i="15"/>
  <c r="LF88" i="15"/>
  <c r="PH91" i="15"/>
  <c r="PJ90" i="15"/>
  <c r="ND91" i="15"/>
  <c r="JQ89" i="15"/>
  <c r="JR88" i="15"/>
  <c r="DT91" i="15"/>
  <c r="D91" i="15"/>
  <c r="MW89" i="15"/>
  <c r="MX88" i="15"/>
  <c r="KB91" i="15"/>
  <c r="GJ91" i="15"/>
  <c r="IR91" i="15"/>
  <c r="KT89" i="15"/>
  <c r="BX91" i="15"/>
  <c r="RT91" i="15"/>
  <c r="SN91" i="15"/>
  <c r="GK89" i="15"/>
  <c r="GL88" i="15"/>
  <c r="TH91" i="15"/>
  <c r="TA89" i="15"/>
  <c r="TB88" i="15"/>
  <c r="GC89" i="15"/>
  <c r="GD88" i="15"/>
  <c r="CT88" i="15"/>
  <c r="RJ89" i="15"/>
  <c r="JL91" i="15"/>
  <c r="PY90" i="15"/>
  <c r="PZ90" i="15" s="1"/>
  <c r="ES89" i="15"/>
  <c r="ET88" i="15"/>
  <c r="KV91" i="15"/>
  <c r="AK90" i="15"/>
  <c r="EJ91" i="15"/>
  <c r="JE89" i="15"/>
  <c r="JF88" i="15"/>
  <c r="FT91" i="15"/>
  <c r="L91" i="15"/>
  <c r="JX91" i="15"/>
  <c r="NP91" i="15"/>
  <c r="MS89" i="15"/>
  <c r="MT88" i="15"/>
  <c r="LT91" i="15"/>
  <c r="CR90" i="15"/>
  <c r="CZ91" i="15"/>
  <c r="DB90" i="15"/>
  <c r="BU89" i="15"/>
  <c r="US89" i="15"/>
  <c r="UT88" i="15"/>
  <c r="AC90" i="15"/>
  <c r="AD90" i="15" s="1"/>
  <c r="HX91" i="15"/>
  <c r="V89" i="15"/>
  <c r="Y89" i="15"/>
  <c r="Z88" i="15"/>
  <c r="IB91" i="15"/>
  <c r="IC91" i="15" s="1"/>
  <c r="ID90" i="15"/>
  <c r="RH91" i="15"/>
  <c r="JA90" i="15"/>
  <c r="FQ89" i="15"/>
  <c r="FR88" i="15"/>
  <c r="NM89" i="15"/>
  <c r="NN88" i="15"/>
  <c r="X91" i="15"/>
  <c r="BP91" i="15"/>
  <c r="H90" i="15"/>
  <c r="EC89" i="15"/>
  <c r="ED88" i="15"/>
  <c r="JD91" i="15"/>
  <c r="JU89" i="15"/>
  <c r="JV88" i="15"/>
  <c r="KW89" i="15"/>
  <c r="KX88" i="15"/>
  <c r="FL91" i="15"/>
  <c r="QG89" i="15"/>
  <c r="QH88" i="15"/>
  <c r="TU90" i="15"/>
  <c r="RX91" i="15"/>
  <c r="CK90" i="15"/>
  <c r="QV91" i="15"/>
  <c r="UK89" i="15"/>
  <c r="UL88" i="15"/>
  <c r="AV91" i="15"/>
  <c r="EK90" i="15"/>
  <c r="EL90" i="15" s="1"/>
  <c r="BH91" i="15"/>
  <c r="T91" i="15"/>
  <c r="OL90" i="15"/>
  <c r="OJ91" i="15"/>
  <c r="EZ91" i="15"/>
  <c r="FA89" i="15"/>
  <c r="FB88" i="15"/>
  <c r="GZ91" i="15"/>
  <c r="IH89" i="15"/>
  <c r="BM89" i="15"/>
  <c r="BN88" i="15"/>
  <c r="HI89" i="15"/>
  <c r="HJ88" i="15"/>
  <c r="OZ91" i="15"/>
  <c r="MR91" i="15"/>
  <c r="SO90" i="15"/>
  <c r="SP90" i="15" s="1"/>
  <c r="JT91" i="15"/>
  <c r="TP91" i="15"/>
  <c r="RE90" i="15"/>
  <c r="RF90" i="15" s="1"/>
  <c r="NI89" i="15"/>
  <c r="NJ88" i="15"/>
  <c r="NE89" i="15"/>
  <c r="NF88" i="15"/>
  <c r="KF91" i="15"/>
  <c r="KR91" i="15"/>
  <c r="Q89" i="15"/>
  <c r="R88" i="15"/>
  <c r="JY90" i="15"/>
  <c r="JZ90" i="15" s="1"/>
  <c r="DU89" i="15"/>
  <c r="DV88" i="15"/>
  <c r="UF91" i="15"/>
  <c r="PT91" i="15"/>
  <c r="RL91" i="15"/>
  <c r="GF91" i="15"/>
  <c r="HT91" i="15"/>
  <c r="OW89" i="15"/>
  <c r="OX88" i="15"/>
  <c r="OV91" i="15"/>
  <c r="GV91" i="15"/>
  <c r="TD91" i="15"/>
  <c r="RM89" i="15"/>
  <c r="RN88" i="15"/>
  <c r="NU89" i="15"/>
  <c r="NV88" i="15"/>
  <c r="IF91" i="15"/>
  <c r="DM90" i="15"/>
  <c r="E90" i="15"/>
  <c r="F93" i="9"/>
  <c r="G93" i="9" s="1"/>
  <c r="F93" i="8"/>
  <c r="G93" i="8" s="1"/>
  <c r="E94" i="11"/>
  <c r="F93" i="11"/>
  <c r="G92" i="10"/>
  <c r="G93" i="10"/>
  <c r="G92" i="9"/>
  <c r="E94" i="9"/>
  <c r="G92" i="8"/>
  <c r="E94" i="8"/>
  <c r="E95" i="2"/>
  <c r="F94" i="2"/>
  <c r="PM90" i="15" l="1"/>
  <c r="GW91" i="15"/>
  <c r="GX91" i="15" s="1"/>
  <c r="GS91" i="15"/>
  <c r="MO91" i="15"/>
  <c r="MP91" i="15" s="1"/>
  <c r="BQ91" i="15"/>
  <c r="BR91" i="15" s="1"/>
  <c r="QS91" i="15"/>
  <c r="QT91" i="15" s="1"/>
  <c r="GO91" i="15"/>
  <c r="GP91" i="15" s="1"/>
  <c r="I90" i="15"/>
  <c r="CS90" i="15"/>
  <c r="CT90" i="15" s="1"/>
  <c r="NA90" i="15"/>
  <c r="NB90" i="15" s="1"/>
  <c r="IG91" i="15"/>
  <c r="IH91" i="15" s="1"/>
  <c r="KK91" i="15"/>
  <c r="KL91" i="15" s="1"/>
  <c r="RI91" i="15"/>
  <c r="RJ91" i="15" s="1"/>
  <c r="FI91" i="15"/>
  <c r="FJ91" i="15" s="1"/>
  <c r="KS91" i="15"/>
  <c r="KT91" i="15" s="1"/>
  <c r="KO91" i="15"/>
  <c r="KP91" i="15" s="1"/>
  <c r="HY91" i="15"/>
  <c r="HZ91" i="15" s="1"/>
  <c r="LM91" i="15"/>
  <c r="LN91" i="15" s="1"/>
  <c r="MC91" i="15"/>
  <c r="MD91" i="15" s="1"/>
  <c r="BI91" i="15"/>
  <c r="BJ91" i="15" s="1"/>
  <c r="DM91" i="15"/>
  <c r="DN91" i="15" s="1"/>
  <c r="FU91" i="15"/>
  <c r="FV91" i="15" s="1"/>
  <c r="BA91" i="15"/>
  <c r="BB91" i="15" s="1"/>
  <c r="AK91" i="15"/>
  <c r="AL91" i="15" s="1"/>
  <c r="DQ91" i="15"/>
  <c r="DR91" i="15" s="1"/>
  <c r="AG91" i="15"/>
  <c r="AH91" i="15" s="1"/>
  <c r="TU91" i="15"/>
  <c r="TV91" i="15" s="1"/>
  <c r="PE91" i="15"/>
  <c r="PF91" i="15" s="1"/>
  <c r="SW91" i="15"/>
  <c r="SX91" i="15" s="1"/>
  <c r="HM91" i="15"/>
  <c r="HN91" i="15" s="1"/>
  <c r="CC90" i="15"/>
  <c r="CD90" i="15" s="1"/>
  <c r="FE91" i="15"/>
  <c r="FF91" i="15" s="1"/>
  <c r="JA91" i="15"/>
  <c r="JB91" i="15" s="1"/>
  <c r="HE91" i="15"/>
  <c r="HF91" i="15" s="1"/>
  <c r="JM91" i="15"/>
  <c r="JN91" i="15" s="1"/>
  <c r="CK91" i="15"/>
  <c r="CL91" i="15" s="1"/>
  <c r="LY91" i="15"/>
  <c r="LZ91" i="15" s="1"/>
  <c r="BU90" i="15"/>
  <c r="BV90" i="15" s="1"/>
  <c r="DN90" i="15"/>
  <c r="HN90" i="15"/>
  <c r="OG90" i="15"/>
  <c r="OH90" i="15" s="1"/>
  <c r="LI91" i="15"/>
  <c r="LJ91" i="15" s="1"/>
  <c r="DT92" i="15"/>
  <c r="IO90" i="15"/>
  <c r="IP89" i="15"/>
  <c r="GN92" i="15"/>
  <c r="IJ92" i="15"/>
  <c r="CJ92" i="15"/>
  <c r="QB92" i="15"/>
  <c r="RU90" i="15"/>
  <c r="RV89" i="15"/>
  <c r="LP92" i="15"/>
  <c r="LA90" i="15"/>
  <c r="LB89" i="15"/>
  <c r="MV92" i="15"/>
  <c r="BM90" i="15"/>
  <c r="BN89" i="15"/>
  <c r="NL92" i="15"/>
  <c r="CL90" i="15"/>
  <c r="RD92" i="15"/>
  <c r="AN92" i="15"/>
  <c r="TQ90" i="15"/>
  <c r="TR89" i="15"/>
  <c r="QV92" i="15"/>
  <c r="EF92" i="15"/>
  <c r="TX92" i="15"/>
  <c r="PX92" i="15"/>
  <c r="BT91" i="15"/>
  <c r="LQ91" i="15"/>
  <c r="D92" i="15"/>
  <c r="JQ90" i="15"/>
  <c r="JR89" i="15"/>
  <c r="AS90" i="15"/>
  <c r="AT89" i="15"/>
  <c r="BD92" i="15"/>
  <c r="AO91" i="15"/>
  <c r="MF92" i="15"/>
  <c r="OB92" i="15"/>
  <c r="DL92" i="15"/>
  <c r="BV89" i="15"/>
  <c r="DX92" i="15"/>
  <c r="OO90" i="15"/>
  <c r="OP89" i="15"/>
  <c r="US90" i="15"/>
  <c r="UT89" i="15"/>
  <c r="GK90" i="15"/>
  <c r="GL89" i="15"/>
  <c r="SN92" i="15"/>
  <c r="ND92" i="15"/>
  <c r="OR92" i="15"/>
  <c r="EV92" i="15"/>
  <c r="JP92" i="15"/>
  <c r="LH92" i="15"/>
  <c r="UR92" i="15"/>
  <c r="KG90" i="15"/>
  <c r="KH89" i="15"/>
  <c r="HU90" i="15"/>
  <c r="HV89" i="15"/>
  <c r="RT92" i="15"/>
  <c r="QC90" i="15"/>
  <c r="QD89" i="15"/>
  <c r="KJ92" i="15"/>
  <c r="EN92" i="15"/>
  <c r="FP92" i="15"/>
  <c r="OH89" i="15"/>
  <c r="LJ90" i="15"/>
  <c r="LU90" i="15"/>
  <c r="LV89" i="15"/>
  <c r="QN92" i="15"/>
  <c r="LT92" i="15"/>
  <c r="QO91" i="15"/>
  <c r="OF91" i="15"/>
  <c r="GG90" i="15"/>
  <c r="GH89" i="15"/>
  <c r="UB92" i="15"/>
  <c r="CF92" i="15"/>
  <c r="SV92" i="15"/>
  <c r="DP92" i="15"/>
  <c r="SF92" i="15"/>
  <c r="KV92" i="15"/>
  <c r="PH92" i="15"/>
  <c r="NH92" i="15"/>
  <c r="FX92" i="15"/>
  <c r="CW90" i="15"/>
  <c r="CX89" i="15"/>
  <c r="P92" i="15"/>
  <c r="CN92" i="15"/>
  <c r="UJ92" i="15"/>
  <c r="CV92" i="15"/>
  <c r="QF92" i="15"/>
  <c r="JH92" i="15"/>
  <c r="DY90" i="15"/>
  <c r="DZ89" i="15"/>
  <c r="PP92" i="15"/>
  <c r="LL92" i="15"/>
  <c r="HF90" i="15"/>
  <c r="TY91" i="15"/>
  <c r="NX92" i="15"/>
  <c r="NI90" i="15"/>
  <c r="NJ89" i="15"/>
  <c r="EZ92" i="15"/>
  <c r="PT92" i="15"/>
  <c r="ES90" i="15"/>
  <c r="ET89" i="15"/>
  <c r="EO91" i="15"/>
  <c r="DI90" i="15"/>
  <c r="DJ89" i="15"/>
  <c r="AR92" i="15"/>
  <c r="IZ92" i="15"/>
  <c r="GR92" i="15"/>
  <c r="GT91" i="15"/>
  <c r="HD92" i="15"/>
  <c r="SS90" i="15"/>
  <c r="ST89" i="15"/>
  <c r="PI91" i="15"/>
  <c r="PJ91" i="15" s="1"/>
  <c r="GZ92" i="15"/>
  <c r="CZ92" i="15"/>
  <c r="FA90" i="15"/>
  <c r="FB89" i="15"/>
  <c r="QG90" i="15"/>
  <c r="QH89" i="15"/>
  <c r="FL92" i="15"/>
  <c r="UF92" i="15"/>
  <c r="QJ92" i="15"/>
  <c r="PA90" i="15"/>
  <c r="PB89" i="15"/>
  <c r="JB90" i="15"/>
  <c r="SJ92" i="15"/>
  <c r="RY90" i="15"/>
  <c r="RZ89" i="15"/>
  <c r="ON92" i="15"/>
  <c r="IV92" i="15"/>
  <c r="OS90" i="15"/>
  <c r="OT89" i="15"/>
  <c r="AF92" i="15"/>
  <c r="CO91" i="15"/>
  <c r="CP91" i="15" s="1"/>
  <c r="BP92" i="15"/>
  <c r="RX92" i="15"/>
  <c r="MJ92" i="15"/>
  <c r="SO91" i="15"/>
  <c r="LE90" i="15"/>
  <c r="LF89" i="15"/>
  <c r="EW90" i="15"/>
  <c r="EX89" i="15"/>
  <c r="NT92" i="15"/>
  <c r="UG90" i="15"/>
  <c r="UH89" i="15"/>
  <c r="QZ92" i="15"/>
  <c r="ER92" i="15"/>
  <c r="HP92" i="15"/>
  <c r="HR91" i="15"/>
  <c r="FD92" i="15"/>
  <c r="AB92" i="15"/>
  <c r="FY91" i="15"/>
  <c r="TH92" i="15"/>
  <c r="UC90" i="15"/>
  <c r="UD89" i="15"/>
  <c r="MS90" i="15"/>
  <c r="MT89" i="15"/>
  <c r="RH92" i="15"/>
  <c r="DU90" i="15"/>
  <c r="DV89" i="15"/>
  <c r="JL92" i="15"/>
  <c r="MN92" i="15"/>
  <c r="SR92" i="15"/>
  <c r="CG90" i="15"/>
  <c r="CH89" i="15"/>
  <c r="DD92" i="15"/>
  <c r="LZ90" i="15"/>
  <c r="IW90" i="15"/>
  <c r="IX89" i="15"/>
  <c r="DA91" i="15"/>
  <c r="FF90" i="15"/>
  <c r="QW91" i="15"/>
  <c r="HT92" i="15"/>
  <c r="X92" i="15"/>
  <c r="NM90" i="15"/>
  <c r="NN89" i="15"/>
  <c r="RE91" i="15"/>
  <c r="TP92" i="15"/>
  <c r="NP92" i="15"/>
  <c r="IR92" i="15"/>
  <c r="TE90" i="15"/>
  <c r="TF89" i="15"/>
  <c r="FH92" i="15"/>
  <c r="PL91" i="15"/>
  <c r="PM91" i="15" s="1"/>
  <c r="PN90" i="15"/>
  <c r="LX92" i="15"/>
  <c r="BY90" i="15"/>
  <c r="BZ89" i="15"/>
  <c r="BL92" i="15"/>
  <c r="RA90" i="15"/>
  <c r="RB89" i="15"/>
  <c r="BE91" i="15"/>
  <c r="JE90" i="15"/>
  <c r="JF89" i="15"/>
  <c r="KW90" i="15"/>
  <c r="KX89" i="15"/>
  <c r="L92" i="15"/>
  <c r="TL92" i="15"/>
  <c r="CD89" i="15"/>
  <c r="NQ90" i="15"/>
  <c r="NR89" i="15"/>
  <c r="AL90" i="15"/>
  <c r="DH92" i="15"/>
  <c r="DE90" i="15"/>
  <c r="DF89" i="15"/>
  <c r="OW90" i="15"/>
  <c r="OX89" i="15"/>
  <c r="OJ92" i="15"/>
  <c r="JT92" i="15"/>
  <c r="BH92" i="15"/>
  <c r="RM90" i="15"/>
  <c r="RN89" i="15"/>
  <c r="JU90" i="15"/>
  <c r="JV89" i="15"/>
  <c r="EK91" i="15"/>
  <c r="RQ90" i="15"/>
  <c r="RR89" i="15"/>
  <c r="UN92" i="15"/>
  <c r="LD92" i="15"/>
  <c r="FM91" i="15"/>
  <c r="CR91" i="15"/>
  <c r="RL92" i="15"/>
  <c r="FQ90" i="15"/>
  <c r="FR89" i="15"/>
  <c r="T92" i="15"/>
  <c r="NU90" i="15"/>
  <c r="NV89" i="15"/>
  <c r="M90" i="15"/>
  <c r="N89" i="15"/>
  <c r="GV92" i="15"/>
  <c r="GW92" i="15" s="1"/>
  <c r="OZ92" i="15"/>
  <c r="KB92" i="15"/>
  <c r="MG91" i="15"/>
  <c r="CB91" i="15"/>
  <c r="U91" i="15"/>
  <c r="EC90" i="15"/>
  <c r="ED89" i="15"/>
  <c r="HX92" i="15"/>
  <c r="GC90" i="15"/>
  <c r="GD89" i="15"/>
  <c r="MK90" i="15"/>
  <c r="ML89" i="15"/>
  <c r="OC90" i="15"/>
  <c r="OD89" i="15"/>
  <c r="HH92" i="15"/>
  <c r="RP92" i="15"/>
  <c r="TM90" i="15"/>
  <c r="TN89" i="15"/>
  <c r="QR92" i="15"/>
  <c r="GB92" i="15"/>
  <c r="JI90" i="15"/>
  <c r="JJ89" i="15"/>
  <c r="AZ92" i="15"/>
  <c r="IS91" i="15"/>
  <c r="IT91" i="15" s="1"/>
  <c r="IK90" i="15"/>
  <c r="IL89" i="15"/>
  <c r="KF92" i="15"/>
  <c r="GF92" i="15"/>
  <c r="PY91" i="15"/>
  <c r="ID91" i="15"/>
  <c r="IB92" i="15"/>
  <c r="JX92" i="15"/>
  <c r="MR92" i="15"/>
  <c r="TD92" i="15"/>
  <c r="AV92" i="15"/>
  <c r="MB92" i="15"/>
  <c r="KR92" i="15"/>
  <c r="HI90" i="15"/>
  <c r="HJ89" i="15"/>
  <c r="UK90" i="15"/>
  <c r="UL89" i="15"/>
  <c r="J90" i="15"/>
  <c r="H91" i="15"/>
  <c r="I91" i="15" s="1"/>
  <c r="AC91" i="15"/>
  <c r="AD91" i="15" s="1"/>
  <c r="FT92" i="15"/>
  <c r="MW90" i="15"/>
  <c r="MX89" i="15"/>
  <c r="SZ92" i="15"/>
  <c r="UO91" i="15"/>
  <c r="PD92" i="15"/>
  <c r="NY90" i="15"/>
  <c r="NZ89" i="15"/>
  <c r="KZ92" i="15"/>
  <c r="PU90" i="15"/>
  <c r="PV89" i="15"/>
  <c r="QK90" i="15"/>
  <c r="QL89" i="15"/>
  <c r="PQ90" i="15"/>
  <c r="PR89" i="15"/>
  <c r="TT92" i="15"/>
  <c r="AW90" i="15"/>
  <c r="AX89" i="15"/>
  <c r="OK91" i="15"/>
  <c r="SB92" i="15"/>
  <c r="EJ92" i="15"/>
  <c r="NE90" i="15"/>
  <c r="NF89" i="15"/>
  <c r="E91" i="15"/>
  <c r="F91" i="15" s="1"/>
  <c r="IF92" i="15"/>
  <c r="BX92" i="15"/>
  <c r="JY91" i="15"/>
  <c r="JZ91" i="15" s="1"/>
  <c r="Y90" i="15"/>
  <c r="Z89" i="15"/>
  <c r="GJ92" i="15"/>
  <c r="JD92" i="15"/>
  <c r="KC90" i="15"/>
  <c r="KD89" i="15"/>
  <c r="HA90" i="15"/>
  <c r="HB89" i="15"/>
  <c r="Q90" i="15"/>
  <c r="R89" i="15"/>
  <c r="AJ92" i="15"/>
  <c r="OV92" i="15"/>
  <c r="TA90" i="15"/>
  <c r="TB89" i="15"/>
  <c r="F90" i="15"/>
  <c r="MZ91" i="15"/>
  <c r="SK91" i="15"/>
  <c r="SL91" i="15" s="1"/>
  <c r="EB92" i="15"/>
  <c r="IN92" i="15"/>
  <c r="SG91" i="15"/>
  <c r="SC90" i="15"/>
  <c r="SD89" i="15"/>
  <c r="HL92" i="15"/>
  <c r="KN92" i="15"/>
  <c r="TI90" i="15"/>
  <c r="TJ89" i="15"/>
  <c r="QP90" i="15"/>
  <c r="TV90" i="15"/>
  <c r="EG91" i="15"/>
  <c r="F94" i="11"/>
  <c r="G94" i="11" s="1"/>
  <c r="F95" i="2"/>
  <c r="G95" i="2" s="1"/>
  <c r="G93" i="11"/>
  <c r="E95" i="11"/>
  <c r="E95" i="9"/>
  <c r="F94" i="9"/>
  <c r="E95" i="8"/>
  <c r="F94" i="8"/>
  <c r="E96" i="2"/>
  <c r="G94" i="2"/>
  <c r="GO92" i="15" l="1"/>
  <c r="KK92" i="15"/>
  <c r="KO92" i="15"/>
  <c r="BA92" i="15"/>
  <c r="BB92" i="15" s="1"/>
  <c r="KS92" i="15"/>
  <c r="KT92" i="15" s="1"/>
  <c r="BI92" i="15"/>
  <c r="BJ92" i="15" s="1"/>
  <c r="MC92" i="15"/>
  <c r="MD92" i="15" s="1"/>
  <c r="DM92" i="15"/>
  <c r="DN92" i="15" s="1"/>
  <c r="DA92" i="15"/>
  <c r="DB92" i="15" s="1"/>
  <c r="FU92" i="15"/>
  <c r="FV92" i="15" s="1"/>
  <c r="PE92" i="15"/>
  <c r="PF92" i="15" s="1"/>
  <c r="AG92" i="15"/>
  <c r="AH92" i="15" s="1"/>
  <c r="HY92" i="15"/>
  <c r="HZ92" i="15" s="1"/>
  <c r="SO92" i="15"/>
  <c r="SP92" i="15" s="1"/>
  <c r="TU92" i="15"/>
  <c r="TV92" i="15" s="1"/>
  <c r="JM92" i="15"/>
  <c r="JN92" i="15" s="1"/>
  <c r="LY92" i="15"/>
  <c r="LZ92" i="15" s="1"/>
  <c r="OG91" i="15"/>
  <c r="OH91" i="15" s="1"/>
  <c r="RE92" i="15"/>
  <c r="RF92" i="15" s="1"/>
  <c r="EK92" i="15"/>
  <c r="EL92" i="15" s="1"/>
  <c r="UO92" i="15"/>
  <c r="UP92" i="15" s="1"/>
  <c r="BE92" i="15"/>
  <c r="BF92" i="15" s="1"/>
  <c r="LQ92" i="15"/>
  <c r="LR92" i="15" s="1"/>
  <c r="EG92" i="15"/>
  <c r="EH92" i="15" s="1"/>
  <c r="FY92" i="15"/>
  <c r="FZ92" i="15" s="1"/>
  <c r="PY92" i="15"/>
  <c r="PZ92" i="15" s="1"/>
  <c r="QW92" i="15"/>
  <c r="QX92" i="15" s="1"/>
  <c r="BU91" i="15"/>
  <c r="BV91" i="15" s="1"/>
  <c r="EL91" i="15"/>
  <c r="EO92" i="15"/>
  <c r="EP92" i="15" s="1"/>
  <c r="QO92" i="15"/>
  <c r="QP92" i="15" s="1"/>
  <c r="FM92" i="15"/>
  <c r="FN92" i="15" s="1"/>
  <c r="U92" i="15"/>
  <c r="V92" i="15" s="1"/>
  <c r="SK92" i="15"/>
  <c r="SL92" i="15" s="1"/>
  <c r="TY92" i="15"/>
  <c r="TZ92" i="15" s="1"/>
  <c r="MG92" i="15"/>
  <c r="MH92" i="15" s="1"/>
  <c r="TD93" i="15"/>
  <c r="IR93" i="15"/>
  <c r="UJ93" i="15"/>
  <c r="US91" i="15"/>
  <c r="UT90" i="15"/>
  <c r="D93" i="15"/>
  <c r="RD93" i="15"/>
  <c r="CV93" i="15"/>
  <c r="CG91" i="15"/>
  <c r="CH90" i="15"/>
  <c r="AB93" i="15"/>
  <c r="MJ93" i="15"/>
  <c r="HD93" i="15"/>
  <c r="NX93" i="15"/>
  <c r="DP93" i="15"/>
  <c r="UR93" i="15"/>
  <c r="RF91" i="15"/>
  <c r="IJ93" i="15"/>
  <c r="SV93" i="15"/>
  <c r="OO91" i="15"/>
  <c r="OP90" i="15"/>
  <c r="GN93" i="15"/>
  <c r="GO93" i="15" s="1"/>
  <c r="GP92" i="15"/>
  <c r="SS91" i="15"/>
  <c r="ST90" i="15"/>
  <c r="SB93" i="15"/>
  <c r="CB92" i="15"/>
  <c r="JE91" i="15"/>
  <c r="JF90" i="15"/>
  <c r="TP93" i="15"/>
  <c r="SR93" i="15"/>
  <c r="FD93" i="15"/>
  <c r="RX93" i="15"/>
  <c r="QJ93" i="15"/>
  <c r="GR93" i="15"/>
  <c r="CN93" i="15"/>
  <c r="CJ93" i="15"/>
  <c r="SZ93" i="15"/>
  <c r="CC91" i="15"/>
  <c r="P93" i="15"/>
  <c r="CF93" i="15"/>
  <c r="LH93" i="15"/>
  <c r="DX93" i="15"/>
  <c r="NL93" i="15"/>
  <c r="JT93" i="15"/>
  <c r="OK92" i="15"/>
  <c r="OL92" i="15" s="1"/>
  <c r="IN93" i="15"/>
  <c r="KB93" i="15"/>
  <c r="OW91" i="15"/>
  <c r="OX90" i="15"/>
  <c r="MN93" i="15"/>
  <c r="HP93" i="15"/>
  <c r="UF93" i="15"/>
  <c r="IZ93" i="15"/>
  <c r="JP93" i="15"/>
  <c r="IO91" i="15"/>
  <c r="IP90" i="15"/>
  <c r="NP93" i="15"/>
  <c r="RA91" i="15"/>
  <c r="RB90" i="15"/>
  <c r="BP93" i="15"/>
  <c r="LL93" i="15"/>
  <c r="FP93" i="15"/>
  <c r="DL93" i="15"/>
  <c r="BT92" i="15"/>
  <c r="HL93" i="15"/>
  <c r="EC91" i="15"/>
  <c r="ED90" i="15"/>
  <c r="KW91" i="15"/>
  <c r="KX90" i="15"/>
  <c r="RL93" i="15"/>
  <c r="SC91" i="15"/>
  <c r="SD90" i="15"/>
  <c r="RP93" i="15"/>
  <c r="UN93" i="15"/>
  <c r="DE91" i="15"/>
  <c r="DF90" i="15"/>
  <c r="NM91" i="15"/>
  <c r="NN90" i="15"/>
  <c r="JL93" i="15"/>
  <c r="ER93" i="15"/>
  <c r="CO92" i="15"/>
  <c r="FN91" i="15"/>
  <c r="AR93" i="15"/>
  <c r="CW91" i="15"/>
  <c r="CX90" i="15"/>
  <c r="UB93" i="15"/>
  <c r="EP91" i="15"/>
  <c r="PZ91" i="15"/>
  <c r="BM91" i="15"/>
  <c r="BN90" i="15"/>
  <c r="DT93" i="15"/>
  <c r="AN93" i="15"/>
  <c r="CR92" i="15"/>
  <c r="QR93" i="15"/>
  <c r="TM91" i="15"/>
  <c r="TN90" i="15"/>
  <c r="BL93" i="15"/>
  <c r="FL93" i="15"/>
  <c r="PP93" i="15"/>
  <c r="FZ91" i="15"/>
  <c r="EN93" i="15"/>
  <c r="EV93" i="15"/>
  <c r="PX93" i="15"/>
  <c r="CS91" i="15"/>
  <c r="CT91" i="15" s="1"/>
  <c r="LU91" i="15"/>
  <c r="LV90" i="15"/>
  <c r="CK92" i="15"/>
  <c r="CL92" i="15" s="1"/>
  <c r="IB93" i="15"/>
  <c r="JY92" i="15"/>
  <c r="JZ92" i="15" s="1"/>
  <c r="RQ91" i="15"/>
  <c r="RR90" i="15"/>
  <c r="DH93" i="15"/>
  <c r="X93" i="15"/>
  <c r="DU91" i="15"/>
  <c r="DV90" i="15"/>
  <c r="QZ93" i="15"/>
  <c r="AF93" i="15"/>
  <c r="DI91" i="15"/>
  <c r="DJ90" i="15"/>
  <c r="LI92" i="15"/>
  <c r="FX93" i="15"/>
  <c r="GG91" i="15"/>
  <c r="GH90" i="15"/>
  <c r="KJ93" i="15"/>
  <c r="KL92" i="15"/>
  <c r="OB93" i="15"/>
  <c r="TZ91" i="15"/>
  <c r="MV93" i="15"/>
  <c r="KG91" i="15"/>
  <c r="KH90" i="15"/>
  <c r="JX93" i="15"/>
  <c r="TT93" i="15"/>
  <c r="H92" i="15"/>
  <c r="I92" i="15" s="1"/>
  <c r="J91" i="15"/>
  <c r="BY91" i="15"/>
  <c r="BZ90" i="15"/>
  <c r="RH93" i="15"/>
  <c r="QG91" i="15"/>
  <c r="QH90" i="15"/>
  <c r="HE92" i="15"/>
  <c r="MH91" i="15"/>
  <c r="TX93" i="15"/>
  <c r="HQ92" i="15"/>
  <c r="JI91" i="15"/>
  <c r="JJ90" i="15"/>
  <c r="FT93" i="15"/>
  <c r="EB93" i="15"/>
  <c r="LX93" i="15"/>
  <c r="HT93" i="15"/>
  <c r="UG91" i="15"/>
  <c r="UH90" i="15"/>
  <c r="OS91" i="15"/>
  <c r="OT90" i="15"/>
  <c r="OF92" i="15"/>
  <c r="OR93" i="15"/>
  <c r="MF93" i="15"/>
  <c r="EF93" i="15"/>
  <c r="LA91" i="15"/>
  <c r="LB90" i="15"/>
  <c r="KC91" i="15"/>
  <c r="KD90" i="15"/>
  <c r="GV93" i="15"/>
  <c r="GX92" i="15"/>
  <c r="QK91" i="15"/>
  <c r="QL90" i="15"/>
  <c r="HI91" i="15"/>
  <c r="HJ90" i="15"/>
  <c r="FE92" i="15"/>
  <c r="IV93" i="15"/>
  <c r="FA91" i="15"/>
  <c r="FB90" i="15"/>
  <c r="ES91" i="15"/>
  <c r="ET90" i="15"/>
  <c r="DY91" i="15"/>
  <c r="DZ90" i="15"/>
  <c r="NH93" i="15"/>
  <c r="QC91" i="15"/>
  <c r="QD90" i="15"/>
  <c r="ND93" i="15"/>
  <c r="AO92" i="15"/>
  <c r="EH91" i="15"/>
  <c r="LR91" i="15"/>
  <c r="BQ92" i="15"/>
  <c r="DD93" i="15"/>
  <c r="PQ91" i="15"/>
  <c r="PR90" i="15"/>
  <c r="GF93" i="15"/>
  <c r="OC91" i="15"/>
  <c r="OD90" i="15"/>
  <c r="IF93" i="15"/>
  <c r="MS91" i="15"/>
  <c r="MT90" i="15"/>
  <c r="DB91" i="15"/>
  <c r="PT93" i="15"/>
  <c r="SW92" i="15"/>
  <c r="SX92" i="15" s="1"/>
  <c r="PH93" i="15"/>
  <c r="LM92" i="15"/>
  <c r="BD93" i="15"/>
  <c r="QX91" i="15"/>
  <c r="LP93" i="15"/>
  <c r="GB93" i="15"/>
  <c r="MR93" i="15"/>
  <c r="MW91" i="15"/>
  <c r="MX90" i="15"/>
  <c r="JD93" i="15"/>
  <c r="MZ92" i="15"/>
  <c r="BX93" i="15"/>
  <c r="UK91" i="15"/>
  <c r="UL90" i="15"/>
  <c r="M91" i="15"/>
  <c r="N90" i="15"/>
  <c r="CZ93" i="15"/>
  <c r="RT93" i="15"/>
  <c r="SN93" i="15"/>
  <c r="BF91" i="15"/>
  <c r="QV93" i="15"/>
  <c r="GS92" i="15"/>
  <c r="SF93" i="15"/>
  <c r="OJ93" i="15"/>
  <c r="UP91" i="15"/>
  <c r="Y91" i="15"/>
  <c r="Z90" i="15"/>
  <c r="MK91" i="15"/>
  <c r="ML90" i="15"/>
  <c r="AJ93" i="15"/>
  <c r="JH93" i="15"/>
  <c r="AK92" i="15"/>
  <c r="AL92" i="15" s="1"/>
  <c r="SP91" i="15"/>
  <c r="QS92" i="15"/>
  <c r="RU91" i="15"/>
  <c r="RV90" i="15"/>
  <c r="IC92" i="15"/>
  <c r="HA91" i="15"/>
  <c r="HB90" i="15"/>
  <c r="SG92" i="15"/>
  <c r="AC92" i="15"/>
  <c r="HH93" i="15"/>
  <c r="PU91" i="15"/>
  <c r="PV90" i="15"/>
  <c r="NQ91" i="15"/>
  <c r="NR90" i="15"/>
  <c r="JU91" i="15"/>
  <c r="JV90" i="15"/>
  <c r="E92" i="15"/>
  <c r="F92" i="15" s="1"/>
  <c r="IK91" i="15"/>
  <c r="IL90" i="15"/>
  <c r="TL93" i="15"/>
  <c r="NT93" i="15"/>
  <c r="TI91" i="15"/>
  <c r="TJ90" i="15"/>
  <c r="IS92" i="15"/>
  <c r="V91" i="15"/>
  <c r="ON93" i="15"/>
  <c r="EZ93" i="15"/>
  <c r="NY91" i="15"/>
  <c r="NZ90" i="15"/>
  <c r="T93" i="15"/>
  <c r="BH93" i="15"/>
  <c r="FH93" i="15"/>
  <c r="IW91" i="15"/>
  <c r="IX90" i="15"/>
  <c r="UC91" i="15"/>
  <c r="UD90" i="15"/>
  <c r="EW91" i="15"/>
  <c r="EX90" i="15"/>
  <c r="GZ93" i="15"/>
  <c r="QF93" i="15"/>
  <c r="KV93" i="15"/>
  <c r="QN93" i="15"/>
  <c r="AS91" i="15"/>
  <c r="AT90" i="15"/>
  <c r="QB93" i="15"/>
  <c r="IG92" i="15"/>
  <c r="IH92" i="15" s="1"/>
  <c r="PA91" i="15"/>
  <c r="PB90" i="15"/>
  <c r="LD93" i="15"/>
  <c r="OZ93" i="15"/>
  <c r="KF93" i="15"/>
  <c r="HM92" i="15"/>
  <c r="KZ93" i="15"/>
  <c r="NU91" i="15"/>
  <c r="NV90" i="15"/>
  <c r="MO92" i="15"/>
  <c r="MB93" i="15"/>
  <c r="LT93" i="15"/>
  <c r="NE91" i="15"/>
  <c r="NF90" i="15"/>
  <c r="PD93" i="15"/>
  <c r="AZ93" i="15"/>
  <c r="HX93" i="15"/>
  <c r="L93" i="15"/>
  <c r="RY91" i="15"/>
  <c r="RZ90" i="15"/>
  <c r="PI92" i="15"/>
  <c r="JA92" i="15"/>
  <c r="QP91" i="15"/>
  <c r="HU91" i="15"/>
  <c r="HV90" i="15"/>
  <c r="GK91" i="15"/>
  <c r="GL90" i="15"/>
  <c r="TQ91" i="15"/>
  <c r="TR90" i="15"/>
  <c r="RI92" i="15"/>
  <c r="RJ92" i="15" s="1"/>
  <c r="OL91" i="15"/>
  <c r="AW91" i="15"/>
  <c r="AX90" i="15"/>
  <c r="GJ93" i="15"/>
  <c r="TA91" i="15"/>
  <c r="TB90" i="15"/>
  <c r="OV93" i="15"/>
  <c r="KR93" i="15"/>
  <c r="PN91" i="15"/>
  <c r="PL92" i="15"/>
  <c r="GC91" i="15"/>
  <c r="GD90" i="15"/>
  <c r="RM91" i="15"/>
  <c r="RN90" i="15"/>
  <c r="KN93" i="15"/>
  <c r="KO93" i="15" s="1"/>
  <c r="KP92" i="15"/>
  <c r="Q91" i="15"/>
  <c r="R90" i="15"/>
  <c r="EJ93" i="15"/>
  <c r="AV93" i="15"/>
  <c r="FQ91" i="15"/>
  <c r="FR90" i="15"/>
  <c r="FI92" i="15"/>
  <c r="TE91" i="15"/>
  <c r="TF90" i="15"/>
  <c r="TH93" i="15"/>
  <c r="LE91" i="15"/>
  <c r="LF90" i="15"/>
  <c r="SJ93" i="15"/>
  <c r="NI91" i="15"/>
  <c r="NJ90" i="15"/>
  <c r="SH91" i="15"/>
  <c r="NA91" i="15"/>
  <c r="JQ91" i="15"/>
  <c r="JR90" i="15"/>
  <c r="AP91" i="15"/>
  <c r="DQ92" i="15"/>
  <c r="F95" i="8"/>
  <c r="G95" i="8" s="1"/>
  <c r="F95" i="9"/>
  <c r="G95" i="9" s="1"/>
  <c r="E96" i="11"/>
  <c r="F95" i="11"/>
  <c r="G94" i="10"/>
  <c r="G95" i="10"/>
  <c r="E96" i="9"/>
  <c r="G94" i="9"/>
  <c r="G94" i="8"/>
  <c r="E96" i="8"/>
  <c r="E97" i="2"/>
  <c r="F96" i="2"/>
  <c r="BA93" i="15" l="1"/>
  <c r="RE93" i="15"/>
  <c r="SO93" i="15"/>
  <c r="SP93" i="15" s="1"/>
  <c r="DM93" i="15"/>
  <c r="DN93" i="15" s="1"/>
  <c r="MC93" i="15"/>
  <c r="MD93" i="15" s="1"/>
  <c r="DA93" i="15"/>
  <c r="DB93" i="15" s="1"/>
  <c r="NA92" i="15"/>
  <c r="NB92" i="15" s="1"/>
  <c r="FU93" i="15"/>
  <c r="FV93" i="15" s="1"/>
  <c r="PY93" i="15"/>
  <c r="PZ93" i="15" s="1"/>
  <c r="EK93" i="15"/>
  <c r="EL93" i="15" s="1"/>
  <c r="QW93" i="15"/>
  <c r="TU93" i="15"/>
  <c r="AC93" i="15"/>
  <c r="AD93" i="15" s="1"/>
  <c r="JM93" i="15"/>
  <c r="JN93" i="15" s="1"/>
  <c r="HM93" i="15"/>
  <c r="HN93" i="15" s="1"/>
  <c r="BU92" i="15"/>
  <c r="BV92" i="15" s="1"/>
  <c r="LQ93" i="15"/>
  <c r="LR93" i="15" s="1"/>
  <c r="HQ93" i="15"/>
  <c r="HR93" i="15" s="1"/>
  <c r="FY93" i="15"/>
  <c r="FZ93" i="15" s="1"/>
  <c r="HE93" i="15"/>
  <c r="HF93" i="15" s="1"/>
  <c r="AO93" i="15"/>
  <c r="AP93" i="15" s="1"/>
  <c r="DQ93" i="15"/>
  <c r="DR93" i="15" s="1"/>
  <c r="SG93" i="15"/>
  <c r="SH93" i="15" s="1"/>
  <c r="MO93" i="15"/>
  <c r="MP93" i="15" s="1"/>
  <c r="LM93" i="15"/>
  <c r="LN93" i="15" s="1"/>
  <c r="QS93" i="15"/>
  <c r="QT93" i="15" s="1"/>
  <c r="JA93" i="15"/>
  <c r="JB93" i="15" s="1"/>
  <c r="SK93" i="15"/>
  <c r="SL93" i="15" s="1"/>
  <c r="FM93" i="15"/>
  <c r="FN93" i="15" s="1"/>
  <c r="QT92" i="15"/>
  <c r="JY93" i="15"/>
  <c r="JZ93" i="15" s="1"/>
  <c r="CC92" i="15"/>
  <c r="CD92" i="15" s="1"/>
  <c r="PI93" i="15"/>
  <c r="PJ93" i="15" s="1"/>
  <c r="MP92" i="15"/>
  <c r="GS93" i="15"/>
  <c r="GT93" i="15" s="1"/>
  <c r="FI93" i="15"/>
  <c r="FJ93" i="15" s="1"/>
  <c r="LI93" i="15"/>
  <c r="LJ93" i="15" s="1"/>
  <c r="IS93" i="15"/>
  <c r="IT93" i="15" s="1"/>
  <c r="IC93" i="15"/>
  <c r="ID93" i="15" s="1"/>
  <c r="BQ93" i="15"/>
  <c r="BR93" i="15" s="1"/>
  <c r="CO93" i="15"/>
  <c r="CP93" i="15" s="1"/>
  <c r="AJ94" i="15"/>
  <c r="CZ94" i="15"/>
  <c r="PQ92" i="15"/>
  <c r="PR91" i="15"/>
  <c r="MF94" i="15"/>
  <c r="JI92" i="15"/>
  <c r="JJ91" i="15"/>
  <c r="BM92" i="15"/>
  <c r="BN91" i="15"/>
  <c r="UN94" i="15"/>
  <c r="LL94" i="15"/>
  <c r="CF94" i="15"/>
  <c r="SR94" i="15"/>
  <c r="CV94" i="15"/>
  <c r="FA92" i="15"/>
  <c r="FB91" i="15"/>
  <c r="KG92" i="15"/>
  <c r="KH91" i="15"/>
  <c r="DU92" i="15"/>
  <c r="DV91" i="15"/>
  <c r="EN94" i="15"/>
  <c r="LN92" i="15"/>
  <c r="OR94" i="15"/>
  <c r="RP94" i="15"/>
  <c r="BR92" i="15"/>
  <c r="OW92" i="15"/>
  <c r="OX91" i="15"/>
  <c r="P94" i="15"/>
  <c r="TP94" i="15"/>
  <c r="RD94" i="15"/>
  <c r="RF93" i="15"/>
  <c r="KV94" i="15"/>
  <c r="M92" i="15"/>
  <c r="N91" i="15"/>
  <c r="BD94" i="15"/>
  <c r="IV94" i="15"/>
  <c r="TX94" i="15"/>
  <c r="MV94" i="15"/>
  <c r="X94" i="15"/>
  <c r="PP94" i="15"/>
  <c r="UB94" i="15"/>
  <c r="BE93" i="15"/>
  <c r="BP94" i="15"/>
  <c r="KB94" i="15"/>
  <c r="IJ94" i="15"/>
  <c r="D94" i="15"/>
  <c r="FQ92" i="15"/>
  <c r="FR91" i="15"/>
  <c r="TA92" i="15"/>
  <c r="TB91" i="15"/>
  <c r="Y92" i="15"/>
  <c r="Z91" i="15"/>
  <c r="DD94" i="15"/>
  <c r="FE93" i="15"/>
  <c r="OF93" i="15"/>
  <c r="SZ94" i="15"/>
  <c r="T94" i="15"/>
  <c r="QF94" i="15"/>
  <c r="ON94" i="15"/>
  <c r="HH94" i="15"/>
  <c r="UK92" i="15"/>
  <c r="UL91" i="15"/>
  <c r="PH94" i="15"/>
  <c r="OG92" i="15"/>
  <c r="OH92" i="15" s="1"/>
  <c r="DH94" i="15"/>
  <c r="SC92" i="15"/>
  <c r="SD91" i="15"/>
  <c r="RA92" i="15"/>
  <c r="RB91" i="15"/>
  <c r="JE92" i="15"/>
  <c r="JF91" i="15"/>
  <c r="UR94" i="15"/>
  <c r="OB94" i="15"/>
  <c r="FL94" i="15"/>
  <c r="CW92" i="15"/>
  <c r="CX91" i="15"/>
  <c r="RL94" i="15"/>
  <c r="IN94" i="15"/>
  <c r="CJ94" i="15"/>
  <c r="CD91" i="15"/>
  <c r="US92" i="15"/>
  <c r="UT91" i="15"/>
  <c r="ES92" i="15"/>
  <c r="ET91" i="15"/>
  <c r="HU92" i="15"/>
  <c r="HV91" i="15"/>
  <c r="SW93" i="15"/>
  <c r="SX93" i="15" s="1"/>
  <c r="HI92" i="15"/>
  <c r="HJ91" i="15"/>
  <c r="OS92" i="15"/>
  <c r="OT91" i="15"/>
  <c r="EO93" i="15"/>
  <c r="RQ92" i="15"/>
  <c r="RR91" i="15"/>
  <c r="AR94" i="15"/>
  <c r="NP94" i="15"/>
  <c r="OK93" i="15"/>
  <c r="CB93" i="15"/>
  <c r="DR92" i="15"/>
  <c r="UJ94" i="15"/>
  <c r="GZ94" i="15"/>
  <c r="PT94" i="15"/>
  <c r="KJ94" i="15"/>
  <c r="BL94" i="15"/>
  <c r="KK93" i="15"/>
  <c r="SB94" i="15"/>
  <c r="DP94" i="15"/>
  <c r="MK92" i="15"/>
  <c r="ML91" i="15"/>
  <c r="AV94" i="15"/>
  <c r="NB91" i="15"/>
  <c r="ND94" i="15"/>
  <c r="QK92" i="15"/>
  <c r="QL91" i="15"/>
  <c r="UG92" i="15"/>
  <c r="UH91" i="15"/>
  <c r="QG92" i="15"/>
  <c r="QH91" i="15"/>
  <c r="IB94" i="15"/>
  <c r="KW92" i="15"/>
  <c r="KX91" i="15"/>
  <c r="IO92" i="15"/>
  <c r="IP91" i="15"/>
  <c r="JT94" i="15"/>
  <c r="CP92" i="15"/>
  <c r="NX94" i="15"/>
  <c r="EF94" i="15"/>
  <c r="TE92" i="15"/>
  <c r="TF91" i="15"/>
  <c r="PJ92" i="15"/>
  <c r="KF94" i="15"/>
  <c r="SH92" i="15"/>
  <c r="GG92" i="15"/>
  <c r="GH91" i="15"/>
  <c r="ID92" i="15"/>
  <c r="TM92" i="15"/>
  <c r="TN91" i="15"/>
  <c r="CN94" i="15"/>
  <c r="IT92" i="15"/>
  <c r="EV94" i="15"/>
  <c r="MZ93" i="15"/>
  <c r="JD94" i="15"/>
  <c r="GV94" i="15"/>
  <c r="HT94" i="15"/>
  <c r="RH94" i="15"/>
  <c r="MG93" i="15"/>
  <c r="EC92" i="15"/>
  <c r="ED91" i="15"/>
  <c r="JP94" i="15"/>
  <c r="TY93" i="15"/>
  <c r="SS92" i="15"/>
  <c r="ST91" i="15"/>
  <c r="HF92" i="15"/>
  <c r="IR94" i="15"/>
  <c r="L94" i="15"/>
  <c r="OJ94" i="15"/>
  <c r="HX94" i="15"/>
  <c r="TI92" i="15"/>
  <c r="TJ91" i="15"/>
  <c r="QC92" i="15"/>
  <c r="QD91" i="15"/>
  <c r="FX94" i="15"/>
  <c r="CK93" i="15"/>
  <c r="CL93" i="15" s="1"/>
  <c r="QR94" i="15"/>
  <c r="ER94" i="15"/>
  <c r="HN92" i="15"/>
  <c r="IZ94" i="15"/>
  <c r="NL94" i="15"/>
  <c r="GR94" i="15"/>
  <c r="HD94" i="15"/>
  <c r="SV94" i="15"/>
  <c r="NY92" i="15"/>
  <c r="NZ91" i="15"/>
  <c r="OZ94" i="15"/>
  <c r="QX93" i="15"/>
  <c r="QV94" i="15"/>
  <c r="CR93" i="15"/>
  <c r="HL94" i="15"/>
  <c r="JB92" i="15"/>
  <c r="GT92" i="15"/>
  <c r="GN94" i="15"/>
  <c r="GP93" i="15"/>
  <c r="MJ94" i="15"/>
  <c r="TD94" i="15"/>
  <c r="QN94" i="15"/>
  <c r="PU92" i="15"/>
  <c r="PV91" i="15"/>
  <c r="JQ92" i="15"/>
  <c r="JR91" i="15"/>
  <c r="AW92" i="15"/>
  <c r="AX91" i="15"/>
  <c r="NI92" i="15"/>
  <c r="NJ91" i="15"/>
  <c r="NH94" i="15"/>
  <c r="QJ94" i="15"/>
  <c r="KR94" i="15"/>
  <c r="NU92" i="15"/>
  <c r="NV91" i="15"/>
  <c r="EG93" i="15"/>
  <c r="EH93" i="15" s="1"/>
  <c r="HA92" i="15"/>
  <c r="HB91" i="15"/>
  <c r="EW92" i="15"/>
  <c r="EX91" i="15"/>
  <c r="LD94" i="15"/>
  <c r="NT94" i="15"/>
  <c r="RM92" i="15"/>
  <c r="RN91" i="15"/>
  <c r="MW92" i="15"/>
  <c r="MX91" i="15"/>
  <c r="LX94" i="15"/>
  <c r="KC92" i="15"/>
  <c r="KD91" i="15"/>
  <c r="LU92" i="15"/>
  <c r="LV91" i="15"/>
  <c r="NE92" i="15"/>
  <c r="NF91" i="15"/>
  <c r="FJ92" i="15"/>
  <c r="SN94" i="15"/>
  <c r="MR94" i="15"/>
  <c r="U93" i="15"/>
  <c r="EB94" i="15"/>
  <c r="J92" i="15"/>
  <c r="H93" i="15"/>
  <c r="DI92" i="15"/>
  <c r="DJ91" i="15"/>
  <c r="CS92" i="15"/>
  <c r="AP92" i="15"/>
  <c r="BT93" i="15"/>
  <c r="UF94" i="15"/>
  <c r="DX94" i="15"/>
  <c r="AD92" i="15"/>
  <c r="FD94" i="15"/>
  <c r="OV94" i="15"/>
  <c r="EZ94" i="15"/>
  <c r="Q92" i="15"/>
  <c r="R91" i="15"/>
  <c r="UC92" i="15"/>
  <c r="UD91" i="15"/>
  <c r="IF94" i="15"/>
  <c r="BY92" i="15"/>
  <c r="BZ91" i="15"/>
  <c r="PA92" i="15"/>
  <c r="PB91" i="15"/>
  <c r="LE92" i="15"/>
  <c r="LF91" i="15"/>
  <c r="TQ92" i="15"/>
  <c r="TR91" i="15"/>
  <c r="LT94" i="15"/>
  <c r="IG93" i="15"/>
  <c r="IH93" i="15" s="1"/>
  <c r="FH94" i="15"/>
  <c r="IK92" i="15"/>
  <c r="IL91" i="15"/>
  <c r="AK93" i="15"/>
  <c r="OC92" i="15"/>
  <c r="OD91" i="15"/>
  <c r="AF94" i="15"/>
  <c r="AN94" i="15"/>
  <c r="NM92" i="15"/>
  <c r="NN91" i="15"/>
  <c r="DL94" i="15"/>
  <c r="HR92" i="15"/>
  <c r="LJ92" i="15"/>
  <c r="OO92" i="15"/>
  <c r="OP91" i="15"/>
  <c r="AB94" i="15"/>
  <c r="LY93" i="15"/>
  <c r="LZ93" i="15" s="1"/>
  <c r="JU92" i="15"/>
  <c r="JV91" i="15"/>
  <c r="LP94" i="15"/>
  <c r="AS92" i="15"/>
  <c r="AT91" i="15"/>
  <c r="RY92" i="15"/>
  <c r="RZ91" i="15"/>
  <c r="BX94" i="15"/>
  <c r="AZ94" i="15"/>
  <c r="BA94" i="15" s="1"/>
  <c r="BB93" i="15"/>
  <c r="MS92" i="15"/>
  <c r="MT91" i="15"/>
  <c r="PD94" i="15"/>
  <c r="RU92" i="15"/>
  <c r="RV91" i="15"/>
  <c r="RI93" i="15"/>
  <c r="RJ93" i="15" s="1"/>
  <c r="IW92" i="15"/>
  <c r="IX91" i="15"/>
  <c r="JL94" i="15"/>
  <c r="PL93" i="15"/>
  <c r="E93" i="15"/>
  <c r="RT94" i="15"/>
  <c r="GB94" i="15"/>
  <c r="DY92" i="15"/>
  <c r="DZ91" i="15"/>
  <c r="LA92" i="15"/>
  <c r="LB91" i="15"/>
  <c r="TT94" i="15"/>
  <c r="TV93" i="15"/>
  <c r="PX94" i="15"/>
  <c r="HP94" i="15"/>
  <c r="LH94" i="15"/>
  <c r="RX94" i="15"/>
  <c r="PE93" i="15"/>
  <c r="NQ92" i="15"/>
  <c r="NR91" i="15"/>
  <c r="KZ94" i="15"/>
  <c r="KS93" i="15"/>
  <c r="KT93" i="15" s="1"/>
  <c r="EJ94" i="15"/>
  <c r="GJ94" i="15"/>
  <c r="SF94" i="15"/>
  <c r="KN94" i="15"/>
  <c r="KP93" i="15"/>
  <c r="HY93" i="15"/>
  <c r="HZ93" i="15" s="1"/>
  <c r="UO93" i="15"/>
  <c r="QO93" i="15"/>
  <c r="SJ94" i="15"/>
  <c r="TL94" i="15"/>
  <c r="GC92" i="15"/>
  <c r="GD91" i="15"/>
  <c r="TH94" i="15"/>
  <c r="GK92" i="15"/>
  <c r="GL91" i="15"/>
  <c r="MB94" i="15"/>
  <c r="QB94" i="15"/>
  <c r="BH94" i="15"/>
  <c r="JH94" i="15"/>
  <c r="BI93" i="15"/>
  <c r="GF94" i="15"/>
  <c r="FT94" i="15"/>
  <c r="JX94" i="15"/>
  <c r="QZ94" i="15"/>
  <c r="DT94" i="15"/>
  <c r="DE92" i="15"/>
  <c r="DF91" i="15"/>
  <c r="FP94" i="15"/>
  <c r="MN94" i="15"/>
  <c r="AG93" i="15"/>
  <c r="AH93" i="15" s="1"/>
  <c r="FF92" i="15"/>
  <c r="PM92" i="15"/>
  <c r="PN92" i="15" s="1"/>
  <c r="CG92" i="15"/>
  <c r="CH91" i="15"/>
  <c r="GW93" i="15"/>
  <c r="F96" i="11"/>
  <c r="G96" i="11" s="1"/>
  <c r="F97" i="2"/>
  <c r="G97" i="2" s="1"/>
  <c r="E97" i="11"/>
  <c r="G95" i="11"/>
  <c r="E97" i="9"/>
  <c r="F96" i="9"/>
  <c r="E97" i="8"/>
  <c r="F96" i="8"/>
  <c r="G96" i="2"/>
  <c r="E98" i="2"/>
  <c r="QW94" i="15" l="1"/>
  <c r="TU94" i="15"/>
  <c r="DM94" i="15"/>
  <c r="FU94" i="15"/>
  <c r="QS94" i="15"/>
  <c r="LQ94" i="15"/>
  <c r="LR94" i="15" s="1"/>
  <c r="MC94" i="15"/>
  <c r="MD94" i="15" s="1"/>
  <c r="DA94" i="15"/>
  <c r="DB94" i="15" s="1"/>
  <c r="SG94" i="15"/>
  <c r="SH94" i="15" s="1"/>
  <c r="DQ94" i="15"/>
  <c r="DR94" i="15" s="1"/>
  <c r="FY94" i="15"/>
  <c r="FZ94" i="15" s="1"/>
  <c r="LM94" i="15"/>
  <c r="LN94" i="15" s="1"/>
  <c r="HQ94" i="15"/>
  <c r="HR94" i="15" s="1"/>
  <c r="E94" i="15"/>
  <c r="F94" i="15" s="1"/>
  <c r="MO94" i="15"/>
  <c r="MP94" i="15" s="1"/>
  <c r="JA94" i="15"/>
  <c r="JB94" i="15" s="1"/>
  <c r="JY94" i="15"/>
  <c r="JZ94" i="15" s="1"/>
  <c r="BI94" i="15"/>
  <c r="BJ94" i="15" s="1"/>
  <c r="TY94" i="15"/>
  <c r="TZ94" i="15" s="1"/>
  <c r="BE94" i="15"/>
  <c r="BF94" i="15" s="1"/>
  <c r="QO94" i="15"/>
  <c r="QP94" i="15" s="1"/>
  <c r="OK94" i="15"/>
  <c r="OL94" i="15" s="1"/>
  <c r="FI94" i="15"/>
  <c r="FJ94" i="15" s="1"/>
  <c r="IC94" i="15"/>
  <c r="ID94" i="15" s="1"/>
  <c r="MG94" i="15"/>
  <c r="MH94" i="15" s="1"/>
  <c r="KK94" i="15"/>
  <c r="KL94" i="15" s="1"/>
  <c r="PE94" i="15"/>
  <c r="PF94" i="15" s="1"/>
  <c r="EO94" i="15"/>
  <c r="EP94" i="15" s="1"/>
  <c r="AK94" i="15"/>
  <c r="AL94" i="15" s="1"/>
  <c r="PI94" i="15"/>
  <c r="PJ94" i="15" s="1"/>
  <c r="EP93" i="15"/>
  <c r="FE94" i="15"/>
  <c r="FF94" i="15" s="1"/>
  <c r="CS93" i="15"/>
  <c r="CT93" i="15" s="1"/>
  <c r="GW94" i="15"/>
  <c r="GX94" i="15" s="1"/>
  <c r="KB95" i="15"/>
  <c r="NQ93" i="15"/>
  <c r="NR92" i="15"/>
  <c r="PL94" i="15"/>
  <c r="MJ95" i="15"/>
  <c r="TI93" i="15"/>
  <c r="TJ92" i="15"/>
  <c r="RH95" i="15"/>
  <c r="KW93" i="15"/>
  <c r="KX92" i="15"/>
  <c r="SB95" i="15"/>
  <c r="CJ95" i="15"/>
  <c r="SC93" i="15"/>
  <c r="SD92" i="15"/>
  <c r="SZ95" i="15"/>
  <c r="DU93" i="15"/>
  <c r="DV92" i="15"/>
  <c r="BM93" i="15"/>
  <c r="BN92" i="15"/>
  <c r="RY93" i="15"/>
  <c r="RZ92" i="15"/>
  <c r="UN95" i="15"/>
  <c r="HX95" i="15"/>
  <c r="HT95" i="15"/>
  <c r="GG93" i="15"/>
  <c r="GH92" i="15"/>
  <c r="IB95" i="15"/>
  <c r="NP95" i="15"/>
  <c r="OF94" i="15"/>
  <c r="BP95" i="15"/>
  <c r="BT94" i="15"/>
  <c r="TM93" i="15"/>
  <c r="TN92" i="15"/>
  <c r="IF95" i="15"/>
  <c r="LX95" i="15"/>
  <c r="GN95" i="15"/>
  <c r="IN95" i="15"/>
  <c r="DH95" i="15"/>
  <c r="RD95" i="15"/>
  <c r="KG93" i="15"/>
  <c r="KH92" i="15"/>
  <c r="JI93" i="15"/>
  <c r="JJ92" i="15"/>
  <c r="KC93" i="15"/>
  <c r="KD92" i="15"/>
  <c r="GR95" i="15"/>
  <c r="OL93" i="15"/>
  <c r="GV95" i="15"/>
  <c r="BL95" i="15"/>
  <c r="AR95" i="15"/>
  <c r="OG93" i="15"/>
  <c r="OH93" i="15" s="1"/>
  <c r="UB95" i="15"/>
  <c r="MH93" i="15"/>
  <c r="LU93" i="15"/>
  <c r="LV92" i="15"/>
  <c r="M93" i="15"/>
  <c r="N92" i="15"/>
  <c r="H94" i="15"/>
  <c r="QJ95" i="15"/>
  <c r="OJ95" i="15"/>
  <c r="GX93" i="15"/>
  <c r="KF95" i="15"/>
  <c r="QG93" i="15"/>
  <c r="QH92" i="15"/>
  <c r="RL95" i="15"/>
  <c r="DD95" i="15"/>
  <c r="TP95" i="15"/>
  <c r="MF95" i="15"/>
  <c r="RA93" i="15"/>
  <c r="RB92" i="15"/>
  <c r="JX95" i="15"/>
  <c r="HD95" i="15"/>
  <c r="IK93" i="15"/>
  <c r="IL92" i="15"/>
  <c r="MW93" i="15"/>
  <c r="MX92" i="15"/>
  <c r="NL95" i="15"/>
  <c r="L95" i="15"/>
  <c r="JD95" i="15"/>
  <c r="KL93" i="15"/>
  <c r="RQ93" i="15"/>
  <c r="RR92" i="15"/>
  <c r="BQ94" i="15"/>
  <c r="BR94" i="15" s="1"/>
  <c r="PP95" i="15"/>
  <c r="FA93" i="15"/>
  <c r="FB92" i="15"/>
  <c r="AN95" i="15"/>
  <c r="IO93" i="15"/>
  <c r="IP92" i="15"/>
  <c r="FV94" i="15"/>
  <c r="FT95" i="15"/>
  <c r="SJ95" i="15"/>
  <c r="NH95" i="15"/>
  <c r="HL95" i="15"/>
  <c r="UG93" i="15"/>
  <c r="UH92" i="15"/>
  <c r="KJ95" i="15"/>
  <c r="CW93" i="15"/>
  <c r="CX92" i="15"/>
  <c r="P95" i="15"/>
  <c r="SK94" i="15"/>
  <c r="SL94" i="15" s="1"/>
  <c r="PQ93" i="15"/>
  <c r="PR92" i="15"/>
  <c r="LH95" i="15"/>
  <c r="GS94" i="15"/>
  <c r="AO94" i="15"/>
  <c r="FL95" i="15"/>
  <c r="PH95" i="15"/>
  <c r="CZ95" i="15"/>
  <c r="BY93" i="15"/>
  <c r="BZ92" i="15"/>
  <c r="CB94" i="15"/>
  <c r="IW93" i="15"/>
  <c r="IX92" i="15"/>
  <c r="HP95" i="15"/>
  <c r="KN95" i="15"/>
  <c r="NI93" i="15"/>
  <c r="NJ92" i="15"/>
  <c r="CR94" i="15"/>
  <c r="IR95" i="15"/>
  <c r="TE93" i="15"/>
  <c r="TF92" i="15"/>
  <c r="QK93" i="15"/>
  <c r="QL92" i="15"/>
  <c r="PT95" i="15"/>
  <c r="OS93" i="15"/>
  <c r="OT92" i="15"/>
  <c r="Y93" i="15"/>
  <c r="Z92" i="15"/>
  <c r="X95" i="15"/>
  <c r="OW93" i="15"/>
  <c r="OX92" i="15"/>
  <c r="KV95" i="15"/>
  <c r="AS93" i="15"/>
  <c r="AT92" i="15"/>
  <c r="UC93" i="15"/>
  <c r="UD92" i="15"/>
  <c r="CG93" i="15"/>
  <c r="CH92" i="15"/>
  <c r="Q93" i="15"/>
  <c r="R92" i="15"/>
  <c r="RM93" i="15"/>
  <c r="RN92" i="15"/>
  <c r="PX95" i="15"/>
  <c r="LT95" i="15"/>
  <c r="MR95" i="15"/>
  <c r="NT95" i="15"/>
  <c r="LI94" i="15"/>
  <c r="MZ94" i="15"/>
  <c r="EF95" i="15"/>
  <c r="UK93" i="15"/>
  <c r="UL92" i="15"/>
  <c r="CV95" i="15"/>
  <c r="AJ95" i="15"/>
  <c r="RU93" i="15"/>
  <c r="RV92" i="15"/>
  <c r="OV95" i="15"/>
  <c r="AW93" i="15"/>
  <c r="AX92" i="15"/>
  <c r="QV95" i="15"/>
  <c r="QX94" i="15"/>
  <c r="ER95" i="15"/>
  <c r="EV95" i="15"/>
  <c r="ND95" i="15"/>
  <c r="GZ95" i="15"/>
  <c r="HI93" i="15"/>
  <c r="HJ92" i="15"/>
  <c r="OB95" i="15"/>
  <c r="TA93" i="15"/>
  <c r="TB92" i="15"/>
  <c r="MV95" i="15"/>
  <c r="AL93" i="15"/>
  <c r="TL95" i="15"/>
  <c r="RI94" i="15"/>
  <c r="AG94" i="15"/>
  <c r="AH94" i="15" s="1"/>
  <c r="BH95" i="15"/>
  <c r="LD95" i="15"/>
  <c r="I93" i="15"/>
  <c r="J93" i="15" s="1"/>
  <c r="SW94" i="15"/>
  <c r="HE94" i="15"/>
  <c r="HF94" i="15" s="1"/>
  <c r="HH95" i="15"/>
  <c r="TX95" i="15"/>
  <c r="RP95" i="15"/>
  <c r="SR95" i="15"/>
  <c r="KR95" i="15"/>
  <c r="DI93" i="15"/>
  <c r="DJ92" i="15"/>
  <c r="CT92" i="15"/>
  <c r="BJ93" i="15"/>
  <c r="TQ93" i="15"/>
  <c r="TR92" i="15"/>
  <c r="FQ93" i="15"/>
  <c r="FR92" i="15"/>
  <c r="TZ93" i="15"/>
  <c r="CF95" i="15"/>
  <c r="DP95" i="15"/>
  <c r="RX95" i="15"/>
  <c r="PM93" i="15"/>
  <c r="FH95" i="15"/>
  <c r="U94" i="15"/>
  <c r="ON95" i="15"/>
  <c r="F93" i="15"/>
  <c r="OR95" i="15"/>
  <c r="SV95" i="15"/>
  <c r="OC93" i="15"/>
  <c r="OD92" i="15"/>
  <c r="LY94" i="15"/>
  <c r="SF95" i="15"/>
  <c r="OO93" i="15"/>
  <c r="OP92" i="15"/>
  <c r="LA93" i="15"/>
  <c r="LB92" i="15"/>
  <c r="SN95" i="15"/>
  <c r="SS93" i="15"/>
  <c r="ST92" i="15"/>
  <c r="NX95" i="15"/>
  <c r="EJ95" i="15"/>
  <c r="DY93" i="15"/>
  <c r="DZ92" i="15"/>
  <c r="AZ95" i="15"/>
  <c r="BA95" i="15" s="1"/>
  <c r="BB94" i="15"/>
  <c r="DN94" i="15"/>
  <c r="DL95" i="15"/>
  <c r="LE93" i="15"/>
  <c r="LF92" i="15"/>
  <c r="GO94" i="15"/>
  <c r="PU93" i="15"/>
  <c r="PV92" i="15"/>
  <c r="IS94" i="15"/>
  <c r="JP95" i="15"/>
  <c r="CN95" i="15"/>
  <c r="AV95" i="15"/>
  <c r="UR95" i="15"/>
  <c r="D95" i="15"/>
  <c r="IV95" i="15"/>
  <c r="RE94" i="15"/>
  <c r="RF94" i="15" s="1"/>
  <c r="T95" i="15"/>
  <c r="GC93" i="15"/>
  <c r="GD92" i="15"/>
  <c r="NU93" i="15"/>
  <c r="NV92" i="15"/>
  <c r="JL95" i="15"/>
  <c r="GF95" i="15"/>
  <c r="IZ95" i="15"/>
  <c r="AB95" i="15"/>
  <c r="MN95" i="15"/>
  <c r="PD95" i="15"/>
  <c r="GJ95" i="15"/>
  <c r="FD95" i="15"/>
  <c r="JQ93" i="15"/>
  <c r="JR92" i="15"/>
  <c r="QR95" i="15"/>
  <c r="QT94" i="15"/>
  <c r="CK94" i="15"/>
  <c r="KS94" i="15"/>
  <c r="GB95" i="15"/>
  <c r="BX95" i="15"/>
  <c r="DX95" i="15"/>
  <c r="HA93" i="15"/>
  <c r="HB92" i="15"/>
  <c r="QP93" i="15"/>
  <c r="FM94" i="15"/>
  <c r="FN94" i="15" s="1"/>
  <c r="FX95" i="15"/>
  <c r="SO94" i="15"/>
  <c r="SP94" i="15" s="1"/>
  <c r="UJ95" i="15"/>
  <c r="ES93" i="15"/>
  <c r="ET92" i="15"/>
  <c r="QF95" i="15"/>
  <c r="BD95" i="15"/>
  <c r="BU93" i="15"/>
  <c r="BV93" i="15" s="1"/>
  <c r="KO94" i="15"/>
  <c r="AF95" i="15"/>
  <c r="JU93" i="15"/>
  <c r="JV92" i="15"/>
  <c r="JH95" i="15"/>
  <c r="EB95" i="15"/>
  <c r="EZ95" i="15"/>
  <c r="FP95" i="15"/>
  <c r="MS93" i="15"/>
  <c r="MT92" i="15"/>
  <c r="NA93" i="15"/>
  <c r="NB93" i="15" s="1"/>
  <c r="MB95" i="15"/>
  <c r="TH95" i="15"/>
  <c r="NM93" i="15"/>
  <c r="NN92" i="15"/>
  <c r="PA93" i="15"/>
  <c r="PB92" i="15"/>
  <c r="NE93" i="15"/>
  <c r="NF92" i="15"/>
  <c r="EG94" i="15"/>
  <c r="EH94" i="15" s="1"/>
  <c r="QN95" i="15"/>
  <c r="PY94" i="15"/>
  <c r="CO94" i="15"/>
  <c r="CP94" i="15" s="1"/>
  <c r="JT95" i="15"/>
  <c r="MK93" i="15"/>
  <c r="ML92" i="15"/>
  <c r="JE93" i="15"/>
  <c r="JF92" i="15"/>
  <c r="HM94" i="15"/>
  <c r="IJ95" i="15"/>
  <c r="BF93" i="15"/>
  <c r="LL95" i="15"/>
  <c r="JM94" i="15"/>
  <c r="JN94" i="15" s="1"/>
  <c r="QC93" i="15"/>
  <c r="QD92" i="15"/>
  <c r="LP95" i="15"/>
  <c r="UO94" i="15"/>
  <c r="HY94" i="15"/>
  <c r="IG94" i="15"/>
  <c r="PF93" i="15"/>
  <c r="TT95" i="15"/>
  <c r="TV94" i="15"/>
  <c r="QB95" i="15"/>
  <c r="FF93" i="15"/>
  <c r="OZ95" i="15"/>
  <c r="EW93" i="15"/>
  <c r="EX92" i="15"/>
  <c r="HU93" i="15"/>
  <c r="HV92" i="15"/>
  <c r="DE93" i="15"/>
  <c r="DF92" i="15"/>
  <c r="GK93" i="15"/>
  <c r="GL92" i="15"/>
  <c r="DT95" i="15"/>
  <c r="KZ95" i="15"/>
  <c r="QZ95" i="15"/>
  <c r="RT95" i="15"/>
  <c r="UF95" i="15"/>
  <c r="AC94" i="15"/>
  <c r="TD95" i="15"/>
  <c r="NY93" i="15"/>
  <c r="NZ92" i="15"/>
  <c r="EC93" i="15"/>
  <c r="ED92" i="15"/>
  <c r="US93" i="15"/>
  <c r="UT92" i="15"/>
  <c r="V93" i="15"/>
  <c r="CC93" i="15"/>
  <c r="EN95" i="15"/>
  <c r="UP93" i="15"/>
  <c r="EK94" i="15"/>
  <c r="F97" i="8"/>
  <c r="G97" i="8" s="1"/>
  <c r="F97" i="9"/>
  <c r="G97" i="9" s="1"/>
  <c r="E98" i="11"/>
  <c r="F97" i="11"/>
  <c r="G96" i="10"/>
  <c r="G97" i="10"/>
  <c r="G96" i="9"/>
  <c r="E98" i="9"/>
  <c r="G96" i="8"/>
  <c r="E98" i="8"/>
  <c r="E99" i="2"/>
  <c r="F98" i="2"/>
  <c r="FY95" i="15" l="1"/>
  <c r="MC95" i="15"/>
  <c r="LQ95" i="15"/>
  <c r="LR95" i="15" s="1"/>
  <c r="TY95" i="15"/>
  <c r="TZ95" i="15" s="1"/>
  <c r="LM95" i="15"/>
  <c r="LN95" i="15" s="1"/>
  <c r="JY95" i="15"/>
  <c r="JZ95" i="15" s="1"/>
  <c r="SG95" i="15"/>
  <c r="SH95" i="15" s="1"/>
  <c r="E95" i="15"/>
  <c r="F95" i="15" s="1"/>
  <c r="AO95" i="15"/>
  <c r="MG95" i="15"/>
  <c r="MH95" i="15" s="1"/>
  <c r="OK95" i="15"/>
  <c r="OL95" i="15" s="1"/>
  <c r="MO95" i="15"/>
  <c r="MP95" i="15" s="1"/>
  <c r="BE95" i="15"/>
  <c r="BF95" i="15" s="1"/>
  <c r="PE95" i="15"/>
  <c r="PF95" i="15" s="1"/>
  <c r="KK95" i="15"/>
  <c r="KL95" i="15" s="1"/>
  <c r="HM95" i="15"/>
  <c r="HN95" i="15" s="1"/>
  <c r="JA95" i="15"/>
  <c r="JB95" i="15" s="1"/>
  <c r="KS95" i="15"/>
  <c r="KT95" i="15" s="1"/>
  <c r="GW95" i="15"/>
  <c r="GX95" i="15" s="1"/>
  <c r="FE95" i="15"/>
  <c r="FF95" i="15" s="1"/>
  <c r="GS95" i="15"/>
  <c r="GT95" i="15" s="1"/>
  <c r="RI95" i="15"/>
  <c r="RJ95" i="15" s="1"/>
  <c r="UO95" i="15"/>
  <c r="UP95" i="15" s="1"/>
  <c r="PI95" i="15"/>
  <c r="PJ95" i="15" s="1"/>
  <c r="CK95" i="15"/>
  <c r="CL95" i="15" s="1"/>
  <c r="IG95" i="15"/>
  <c r="IH95" i="15" s="1"/>
  <c r="GO95" i="15"/>
  <c r="GP95" i="15" s="1"/>
  <c r="LY95" i="15"/>
  <c r="LZ95" i="15" s="1"/>
  <c r="KO95" i="15"/>
  <c r="KP95" i="15" s="1"/>
  <c r="LI95" i="15"/>
  <c r="LJ95" i="15" s="1"/>
  <c r="PM94" i="15"/>
  <c r="PN94" i="15" s="1"/>
  <c r="PY95" i="15"/>
  <c r="PZ95" i="15" s="1"/>
  <c r="HY95" i="15"/>
  <c r="HZ95" i="15" s="1"/>
  <c r="U95" i="15"/>
  <c r="V95" i="15" s="1"/>
  <c r="CC94" i="15"/>
  <c r="CD94" i="15" s="1"/>
  <c r="HN94" i="15"/>
  <c r="MJ96" i="15"/>
  <c r="BH96" i="15"/>
  <c r="AS94" i="15"/>
  <c r="AT93" i="15"/>
  <c r="CR95" i="15"/>
  <c r="JD96" i="15"/>
  <c r="DD96" i="15"/>
  <c r="JI94" i="15"/>
  <c r="JJ93" i="15"/>
  <c r="PN93" i="15"/>
  <c r="DX96" i="15"/>
  <c r="UC94" i="15"/>
  <c r="UD93" i="15"/>
  <c r="MZ95" i="15"/>
  <c r="BP96" i="15"/>
  <c r="BM94" i="15"/>
  <c r="BN93" i="15"/>
  <c r="PL95" i="15"/>
  <c r="EJ96" i="15"/>
  <c r="ON96" i="15"/>
  <c r="AG95" i="15"/>
  <c r="AH95" i="15" s="1"/>
  <c r="KV96" i="15"/>
  <c r="NI94" i="15"/>
  <c r="NJ93" i="15"/>
  <c r="LH96" i="15"/>
  <c r="SJ96" i="15"/>
  <c r="L96" i="15"/>
  <c r="RL96" i="15"/>
  <c r="UB96" i="15"/>
  <c r="KG94" i="15"/>
  <c r="KH93" i="15"/>
  <c r="OF95" i="15"/>
  <c r="AV96" i="15"/>
  <c r="DI94" i="15"/>
  <c r="DJ93" i="15"/>
  <c r="ER96" i="15"/>
  <c r="NT96" i="15"/>
  <c r="KN96" i="15"/>
  <c r="LJ94" i="15"/>
  <c r="NL96" i="15"/>
  <c r="RD96" i="15"/>
  <c r="DU94" i="15"/>
  <c r="DV93" i="15"/>
  <c r="NQ94" i="15"/>
  <c r="NR93" i="15"/>
  <c r="HU94" i="15"/>
  <c r="HV93" i="15"/>
  <c r="FL96" i="15"/>
  <c r="JE94" i="15"/>
  <c r="JF93" i="15"/>
  <c r="KT94" i="15"/>
  <c r="OW94" i="15"/>
  <c r="OX93" i="15"/>
  <c r="KP94" i="15"/>
  <c r="FT96" i="15"/>
  <c r="QG94" i="15"/>
  <c r="QH93" i="15"/>
  <c r="OG94" i="15"/>
  <c r="OH94" i="15" s="1"/>
  <c r="SZ96" i="15"/>
  <c r="CN96" i="15"/>
  <c r="SN96" i="15"/>
  <c r="FH96" i="15"/>
  <c r="KR96" i="15"/>
  <c r="QV96" i="15"/>
  <c r="MR96" i="15"/>
  <c r="HP96" i="15"/>
  <c r="PQ94" i="15"/>
  <c r="PR93" i="15"/>
  <c r="KF96" i="15"/>
  <c r="AR96" i="15"/>
  <c r="NP96" i="15"/>
  <c r="KB96" i="15"/>
  <c r="ND96" i="15"/>
  <c r="NM94" i="15"/>
  <c r="NN93" i="15"/>
  <c r="EW94" i="15"/>
  <c r="EX93" i="15"/>
  <c r="TL96" i="15"/>
  <c r="X96" i="15"/>
  <c r="SK95" i="15"/>
  <c r="SL95" i="15" s="1"/>
  <c r="MW94" i="15"/>
  <c r="MX93" i="15"/>
  <c r="AF96" i="15"/>
  <c r="OR96" i="15"/>
  <c r="QF96" i="15"/>
  <c r="LA94" i="15"/>
  <c r="LB93" i="15"/>
  <c r="RX96" i="15"/>
  <c r="SR96" i="15"/>
  <c r="AW94" i="15"/>
  <c r="AX93" i="15"/>
  <c r="P96" i="15"/>
  <c r="BL96" i="15"/>
  <c r="DH96" i="15"/>
  <c r="IB96" i="15"/>
  <c r="SC94" i="15"/>
  <c r="SD93" i="15"/>
  <c r="AB96" i="15"/>
  <c r="LD96" i="15"/>
  <c r="IJ96" i="15"/>
  <c r="GB96" i="15"/>
  <c r="MV96" i="15"/>
  <c r="OV96" i="15"/>
  <c r="LT96" i="15"/>
  <c r="Y94" i="15"/>
  <c r="Z93" i="15"/>
  <c r="IW94" i="15"/>
  <c r="IX93" i="15"/>
  <c r="IO94" i="15"/>
  <c r="IP93" i="15"/>
  <c r="IK94" i="15"/>
  <c r="IL93" i="15"/>
  <c r="CL94" i="15"/>
  <c r="QW95" i="15"/>
  <c r="NH96" i="15"/>
  <c r="QR96" i="15"/>
  <c r="OO94" i="15"/>
  <c r="OP93" i="15"/>
  <c r="PZ94" i="15"/>
  <c r="CD93" i="15"/>
  <c r="AP94" i="15"/>
  <c r="OJ96" i="15"/>
  <c r="OK96" i="15" s="1"/>
  <c r="IN96" i="15"/>
  <c r="CJ96" i="15"/>
  <c r="HQ95" i="15"/>
  <c r="HR95" i="15" s="1"/>
  <c r="RY94" i="15"/>
  <c r="RZ93" i="15"/>
  <c r="OZ96" i="15"/>
  <c r="GF96" i="15"/>
  <c r="NA94" i="15"/>
  <c r="NB94" i="15" s="1"/>
  <c r="EK95" i="15"/>
  <c r="FD96" i="15"/>
  <c r="LE94" i="15"/>
  <c r="LF93" i="15"/>
  <c r="DP96" i="15"/>
  <c r="RP96" i="15"/>
  <c r="PX96" i="15"/>
  <c r="OS94" i="15"/>
  <c r="OT93" i="15"/>
  <c r="CB95" i="15"/>
  <c r="AN96" i="15"/>
  <c r="AO96" i="15" s="1"/>
  <c r="AP95" i="15"/>
  <c r="HD96" i="15"/>
  <c r="QJ96" i="15"/>
  <c r="GN96" i="15"/>
  <c r="GG94" i="15"/>
  <c r="GH93" i="15"/>
  <c r="SB96" i="15"/>
  <c r="FI95" i="15"/>
  <c r="LU94" i="15"/>
  <c r="LV93" i="15"/>
  <c r="TH96" i="15"/>
  <c r="SS94" i="15"/>
  <c r="ST93" i="15"/>
  <c r="RT96" i="15"/>
  <c r="MS94" i="15"/>
  <c r="MT93" i="15"/>
  <c r="QZ96" i="15"/>
  <c r="JQ94" i="15"/>
  <c r="JR93" i="15"/>
  <c r="GC94" i="15"/>
  <c r="GD93" i="15"/>
  <c r="EN96" i="15"/>
  <c r="QN96" i="15"/>
  <c r="GJ96" i="15"/>
  <c r="T96" i="15"/>
  <c r="DL96" i="15"/>
  <c r="SF96" i="15"/>
  <c r="TA94" i="15"/>
  <c r="TB93" i="15"/>
  <c r="RU94" i="15"/>
  <c r="RV93" i="15"/>
  <c r="PT96" i="15"/>
  <c r="CW94" i="15"/>
  <c r="CX93" i="15"/>
  <c r="GV96" i="15"/>
  <c r="GP94" i="15"/>
  <c r="NY94" i="15"/>
  <c r="NZ93" i="15"/>
  <c r="BX96" i="15"/>
  <c r="NX96" i="15"/>
  <c r="IS95" i="15"/>
  <c r="PU94" i="15"/>
  <c r="PV93" i="15"/>
  <c r="OB96" i="15"/>
  <c r="BY94" i="15"/>
  <c r="BZ93" i="15"/>
  <c r="FA94" i="15"/>
  <c r="FB93" i="15"/>
  <c r="JX96" i="15"/>
  <c r="LZ94" i="15"/>
  <c r="HT96" i="15"/>
  <c r="JP96" i="15"/>
  <c r="MK94" i="15"/>
  <c r="ML93" i="15"/>
  <c r="FP96" i="15"/>
  <c r="V94" i="15"/>
  <c r="HH96" i="15"/>
  <c r="H95" i="15"/>
  <c r="GR96" i="15"/>
  <c r="LX96" i="15"/>
  <c r="HX96" i="15"/>
  <c r="KW94" i="15"/>
  <c r="KX93" i="15"/>
  <c r="EV96" i="15"/>
  <c r="JL96" i="15"/>
  <c r="QB96" i="15"/>
  <c r="FX96" i="15"/>
  <c r="FZ95" i="15"/>
  <c r="CF96" i="15"/>
  <c r="JH96" i="15"/>
  <c r="PD96" i="15"/>
  <c r="BB95" i="15"/>
  <c r="AZ96" i="15"/>
  <c r="BA96" i="15" s="1"/>
  <c r="CV96" i="15"/>
  <c r="Q94" i="15"/>
  <c r="R93" i="15"/>
  <c r="QK94" i="15"/>
  <c r="QL93" i="15"/>
  <c r="CZ96" i="15"/>
  <c r="KJ96" i="15"/>
  <c r="RA94" i="15"/>
  <c r="RB93" i="15"/>
  <c r="QO95" i="15"/>
  <c r="QP95" i="15" s="1"/>
  <c r="GT94" i="15"/>
  <c r="IH94" i="15"/>
  <c r="HZ94" i="15"/>
  <c r="RH96" i="15"/>
  <c r="EF96" i="15"/>
  <c r="IR96" i="15"/>
  <c r="TD96" i="15"/>
  <c r="AC95" i="15"/>
  <c r="TT96" i="15"/>
  <c r="EZ96" i="15"/>
  <c r="SO95" i="15"/>
  <c r="DT96" i="15"/>
  <c r="AJ96" i="15"/>
  <c r="EG95" i="15"/>
  <c r="EH95" i="15" s="1"/>
  <c r="BI95" i="15"/>
  <c r="GK94" i="15"/>
  <c r="GL93" i="15"/>
  <c r="QC94" i="15"/>
  <c r="QD93" i="15"/>
  <c r="NE94" i="15"/>
  <c r="NF93" i="15"/>
  <c r="D96" i="15"/>
  <c r="OC94" i="15"/>
  <c r="OD93" i="15"/>
  <c r="HE95" i="15"/>
  <c r="HI94" i="15"/>
  <c r="HJ93" i="15"/>
  <c r="DA95" i="15"/>
  <c r="DB95" i="15" s="1"/>
  <c r="BQ95" i="15"/>
  <c r="BR95" i="15" s="1"/>
  <c r="CS94" i="15"/>
  <c r="CT94" i="15" s="1"/>
  <c r="IC95" i="15"/>
  <c r="ID95" i="15" s="1"/>
  <c r="IF96" i="15"/>
  <c r="QS95" i="15"/>
  <c r="RJ94" i="15"/>
  <c r="TU95" i="15"/>
  <c r="TV95" i="15" s="1"/>
  <c r="IZ96" i="15"/>
  <c r="TQ94" i="15"/>
  <c r="TR93" i="15"/>
  <c r="NU94" i="15"/>
  <c r="NV93" i="15"/>
  <c r="JT96" i="15"/>
  <c r="LP96" i="15"/>
  <c r="EO95" i="15"/>
  <c r="EP95" i="15" s="1"/>
  <c r="IV96" i="15"/>
  <c r="JM95" i="15"/>
  <c r="JN95" i="15" s="1"/>
  <c r="JU94" i="15"/>
  <c r="JV93" i="15"/>
  <c r="HA94" i="15"/>
  <c r="HB93" i="15"/>
  <c r="MN96" i="15"/>
  <c r="DY94" i="15"/>
  <c r="DZ93" i="15"/>
  <c r="SV96" i="15"/>
  <c r="FQ94" i="15"/>
  <c r="FR93" i="15"/>
  <c r="SW95" i="15"/>
  <c r="CG94" i="15"/>
  <c r="CH93" i="15"/>
  <c r="TE94" i="15"/>
  <c r="TF93" i="15"/>
  <c r="PH96" i="15"/>
  <c r="UG94" i="15"/>
  <c r="UH93" i="15"/>
  <c r="MF96" i="15"/>
  <c r="UN96" i="15"/>
  <c r="DQ95" i="15"/>
  <c r="BT95" i="15"/>
  <c r="BU94" i="15"/>
  <c r="BD96" i="15"/>
  <c r="MB96" i="15"/>
  <c r="MC96" i="15" s="1"/>
  <c r="MD95" i="15"/>
  <c r="UF96" i="15"/>
  <c r="ES94" i="15"/>
  <c r="ET93" i="15"/>
  <c r="UJ96" i="15"/>
  <c r="CO95" i="15"/>
  <c r="CP95" i="15" s="1"/>
  <c r="KZ96" i="15"/>
  <c r="EB96" i="15"/>
  <c r="RE95" i="15"/>
  <c r="TX96" i="15"/>
  <c r="TY96" i="15" s="1"/>
  <c r="RM94" i="15"/>
  <c r="RN93" i="15"/>
  <c r="FM95" i="15"/>
  <c r="PP96" i="15"/>
  <c r="US94" i="15"/>
  <c r="UT93" i="15"/>
  <c r="DE94" i="15"/>
  <c r="DF93" i="15"/>
  <c r="EC94" i="15"/>
  <c r="ED93" i="15"/>
  <c r="LL96" i="15"/>
  <c r="PA94" i="15"/>
  <c r="PB93" i="15"/>
  <c r="AK95" i="15"/>
  <c r="AD94" i="15"/>
  <c r="UR96" i="15"/>
  <c r="EL94" i="15"/>
  <c r="SX94" i="15"/>
  <c r="DM95" i="15"/>
  <c r="DN95" i="15" s="1"/>
  <c r="I94" i="15"/>
  <c r="GZ96" i="15"/>
  <c r="UK94" i="15"/>
  <c r="UL93" i="15"/>
  <c r="IT94" i="15"/>
  <c r="HL96" i="15"/>
  <c r="RQ94" i="15"/>
  <c r="RR93" i="15"/>
  <c r="TP96" i="15"/>
  <c r="M94" i="15"/>
  <c r="N93" i="15"/>
  <c r="KC94" i="15"/>
  <c r="KD93" i="15"/>
  <c r="TM94" i="15"/>
  <c r="TN93" i="15"/>
  <c r="UP94" i="15"/>
  <c r="TI94" i="15"/>
  <c r="TJ93" i="15"/>
  <c r="FU95" i="15"/>
  <c r="F98" i="11"/>
  <c r="G98" i="11" s="1"/>
  <c r="F99" i="2"/>
  <c r="G99" i="2" s="1"/>
  <c r="G97" i="11"/>
  <c r="E99" i="11"/>
  <c r="E99" i="9"/>
  <c r="F98" i="9"/>
  <c r="E99" i="8"/>
  <c r="F98" i="8"/>
  <c r="E100" i="2"/>
  <c r="G98" i="2"/>
  <c r="CC95" i="15" l="1"/>
  <c r="BU95" i="15"/>
  <c r="BV95" i="15" s="1"/>
  <c r="LM96" i="15"/>
  <c r="HM96" i="15"/>
  <c r="HN96" i="15" s="1"/>
  <c r="PE96" i="15"/>
  <c r="PF96" i="15" s="1"/>
  <c r="GS96" i="15"/>
  <c r="GT96" i="15" s="1"/>
  <c r="JA96" i="15"/>
  <c r="JB96" i="15" s="1"/>
  <c r="MG96" i="15"/>
  <c r="MH96" i="15" s="1"/>
  <c r="GO96" i="15"/>
  <c r="GP96" i="15" s="1"/>
  <c r="UO96" i="15"/>
  <c r="UP96" i="15" s="1"/>
  <c r="IG96" i="15"/>
  <c r="IH96" i="15" s="1"/>
  <c r="RI96" i="15"/>
  <c r="RJ96" i="15" s="1"/>
  <c r="EK96" i="15"/>
  <c r="EL96" i="15" s="1"/>
  <c r="PI96" i="15"/>
  <c r="PJ96" i="15" s="1"/>
  <c r="GW96" i="15"/>
  <c r="GX96" i="15" s="1"/>
  <c r="PY96" i="15"/>
  <c r="PZ96" i="15" s="1"/>
  <c r="LY96" i="15"/>
  <c r="LZ96" i="15" s="1"/>
  <c r="CK96" i="15"/>
  <c r="CL96" i="15" s="1"/>
  <c r="BI96" i="15"/>
  <c r="BJ96" i="15" s="1"/>
  <c r="FU96" i="15"/>
  <c r="FV96" i="15" s="1"/>
  <c r="RE96" i="15"/>
  <c r="RF96" i="15" s="1"/>
  <c r="AC96" i="15"/>
  <c r="AD96" i="15" s="1"/>
  <c r="FI96" i="15"/>
  <c r="FJ96" i="15" s="1"/>
  <c r="HE96" i="15"/>
  <c r="HF96" i="15" s="1"/>
  <c r="QW96" i="15"/>
  <c r="QX96" i="15" s="1"/>
  <c r="SW96" i="15"/>
  <c r="SX96" i="15" s="1"/>
  <c r="AK96" i="15"/>
  <c r="AL96" i="15" s="1"/>
  <c r="IS96" i="15"/>
  <c r="IT96" i="15" s="1"/>
  <c r="DQ96" i="15"/>
  <c r="DR96" i="15" s="1"/>
  <c r="HQ96" i="15"/>
  <c r="HR96" i="15" s="1"/>
  <c r="FV95" i="15"/>
  <c r="FM96" i="15"/>
  <c r="FN96" i="15" s="1"/>
  <c r="I95" i="15"/>
  <c r="J95" i="15" s="1"/>
  <c r="SO96" i="15"/>
  <c r="SP96" i="15" s="1"/>
  <c r="KJ97" i="15"/>
  <c r="PU95" i="15"/>
  <c r="PV94" i="15"/>
  <c r="SF97" i="15"/>
  <c r="OZ97" i="15"/>
  <c r="SR97" i="15"/>
  <c r="FT97" i="15"/>
  <c r="CR96" i="15"/>
  <c r="PL96" i="15"/>
  <c r="UF97" i="15"/>
  <c r="HI95" i="15"/>
  <c r="HJ94" i="15"/>
  <c r="QB97" i="15"/>
  <c r="CB96" i="15"/>
  <c r="CC96" i="15" s="1"/>
  <c r="CD95" i="15"/>
  <c r="NH97" i="15"/>
  <c r="GB97" i="15"/>
  <c r="TL97" i="15"/>
  <c r="HP97" i="15"/>
  <c r="RL97" i="15"/>
  <c r="BM95" i="15"/>
  <c r="BN94" i="15"/>
  <c r="FX97" i="15"/>
  <c r="JD97" i="15"/>
  <c r="LP97" i="15"/>
  <c r="JL97" i="15"/>
  <c r="DL97" i="15"/>
  <c r="SS95" i="15"/>
  <c r="ST94" i="15"/>
  <c r="RY95" i="15"/>
  <c r="RZ94" i="15"/>
  <c r="MR97" i="15"/>
  <c r="KN97" i="15"/>
  <c r="L97" i="15"/>
  <c r="BP97" i="15"/>
  <c r="UB97" i="15"/>
  <c r="NX97" i="15"/>
  <c r="OS95" i="15"/>
  <c r="OT94" i="15"/>
  <c r="IJ97" i="15"/>
  <c r="RX97" i="15"/>
  <c r="PM95" i="15"/>
  <c r="OW95" i="15"/>
  <c r="OX94" i="15"/>
  <c r="AS95" i="15"/>
  <c r="AT94" i="15"/>
  <c r="D97" i="15"/>
  <c r="QK95" i="15"/>
  <c r="QL94" i="15"/>
  <c r="EV97" i="15"/>
  <c r="MK95" i="15"/>
  <c r="ML94" i="15"/>
  <c r="T97" i="15"/>
  <c r="TH97" i="15"/>
  <c r="CJ97" i="15"/>
  <c r="QX95" i="15"/>
  <c r="NT97" i="15"/>
  <c r="SG96" i="15"/>
  <c r="BJ95" i="15"/>
  <c r="TE95" i="15"/>
  <c r="TF94" i="15"/>
  <c r="GF97" i="15"/>
  <c r="AW95" i="15"/>
  <c r="AX94" i="15"/>
  <c r="BX97" i="15"/>
  <c r="GJ97" i="15"/>
  <c r="PX97" i="15"/>
  <c r="IK95" i="15"/>
  <c r="IL94" i="15"/>
  <c r="LD97" i="15"/>
  <c r="LA95" i="15"/>
  <c r="LB94" i="15"/>
  <c r="EW95" i="15"/>
  <c r="EX94" i="15"/>
  <c r="QV97" i="15"/>
  <c r="ER97" i="15"/>
  <c r="SJ97" i="15"/>
  <c r="BH97" i="15"/>
  <c r="PQ95" i="15"/>
  <c r="PR94" i="15"/>
  <c r="FP97" i="15"/>
  <c r="FQ95" i="15"/>
  <c r="FR94" i="15"/>
  <c r="DM96" i="15"/>
  <c r="DN96" i="15" s="1"/>
  <c r="BT96" i="15"/>
  <c r="BU96" i="15" s="1"/>
  <c r="TQ95" i="15"/>
  <c r="TR94" i="15"/>
  <c r="NE95" i="15"/>
  <c r="NF94" i="15"/>
  <c r="TD97" i="15"/>
  <c r="Q95" i="15"/>
  <c r="R94" i="15"/>
  <c r="JP97" i="15"/>
  <c r="LU95" i="15"/>
  <c r="LV94" i="15"/>
  <c r="IN97" i="15"/>
  <c r="AD95" i="15"/>
  <c r="MZ96" i="15"/>
  <c r="KO96" i="15"/>
  <c r="QR97" i="15"/>
  <c r="TT97" i="15"/>
  <c r="BV94" i="15"/>
  <c r="HT97" i="15"/>
  <c r="QN97" i="15"/>
  <c r="RP97" i="15"/>
  <c r="IO95" i="15"/>
  <c r="IP94" i="15"/>
  <c r="AB97" i="15"/>
  <c r="QF97" i="15"/>
  <c r="NM95" i="15"/>
  <c r="NN94" i="15"/>
  <c r="KR97" i="15"/>
  <c r="JE95" i="15"/>
  <c r="JF94" i="15"/>
  <c r="LH97" i="15"/>
  <c r="US95" i="15"/>
  <c r="UT94" i="15"/>
  <c r="GZ97" i="15"/>
  <c r="SX95" i="15"/>
  <c r="RM95" i="15"/>
  <c r="RN94" i="15"/>
  <c r="IT95" i="15"/>
  <c r="CV97" i="15"/>
  <c r="KW95" i="15"/>
  <c r="KX94" i="15"/>
  <c r="DR95" i="15"/>
  <c r="FJ95" i="15"/>
  <c r="FL97" i="15"/>
  <c r="MJ97" i="15"/>
  <c r="DE95" i="15"/>
  <c r="DF94" i="15"/>
  <c r="AN97" i="15"/>
  <c r="AP96" i="15"/>
  <c r="CG95" i="15"/>
  <c r="CH94" i="15"/>
  <c r="JT97" i="15"/>
  <c r="BD97" i="15"/>
  <c r="MN97" i="15"/>
  <c r="HX97" i="15"/>
  <c r="SB97" i="15"/>
  <c r="DP97" i="15"/>
  <c r="OJ97" i="15"/>
  <c r="OL96" i="15"/>
  <c r="IW95" i="15"/>
  <c r="IX94" i="15"/>
  <c r="SC95" i="15"/>
  <c r="SD94" i="15"/>
  <c r="OR97" i="15"/>
  <c r="ND97" i="15"/>
  <c r="FH97" i="15"/>
  <c r="FN95" i="15"/>
  <c r="DI95" i="15"/>
  <c r="DJ94" i="15"/>
  <c r="NI95" i="15"/>
  <c r="NJ94" i="15"/>
  <c r="UC95" i="15"/>
  <c r="UD94" i="15"/>
  <c r="QC95" i="15"/>
  <c r="QD94" i="15"/>
  <c r="UN97" i="15"/>
  <c r="EF97" i="15"/>
  <c r="GV97" i="15"/>
  <c r="EN97" i="15"/>
  <c r="IB97" i="15"/>
  <c r="KB97" i="15"/>
  <c r="SN97" i="15"/>
  <c r="U96" i="15"/>
  <c r="KV97" i="15"/>
  <c r="DX97" i="15"/>
  <c r="MO96" i="15"/>
  <c r="QG95" i="15"/>
  <c r="QH94" i="15"/>
  <c r="IR97" i="15"/>
  <c r="IZ97" i="15"/>
  <c r="KC95" i="15"/>
  <c r="KD94" i="15"/>
  <c r="JX97" i="15"/>
  <c r="GG95" i="15"/>
  <c r="GH94" i="15"/>
  <c r="LE95" i="15"/>
  <c r="LF94" i="15"/>
  <c r="Y95" i="15"/>
  <c r="Z94" i="15"/>
  <c r="SP95" i="15"/>
  <c r="HU95" i="15"/>
  <c r="HV94" i="15"/>
  <c r="KS96" i="15"/>
  <c r="HL97" i="15"/>
  <c r="UK95" i="15"/>
  <c r="UL94" i="15"/>
  <c r="OC95" i="15"/>
  <c r="OD94" i="15"/>
  <c r="NU95" i="15"/>
  <c r="NV94" i="15"/>
  <c r="UR97" i="15"/>
  <c r="GC95" i="15"/>
  <c r="GD94" i="15"/>
  <c r="LT97" i="15"/>
  <c r="DH97" i="15"/>
  <c r="AF97" i="15"/>
  <c r="CN97" i="15"/>
  <c r="AV97" i="15"/>
  <c r="LI96" i="15"/>
  <c r="LJ96" i="15" s="1"/>
  <c r="FY96" i="15"/>
  <c r="FZ96" i="15" s="1"/>
  <c r="ES95" i="15"/>
  <c r="ET94" i="15"/>
  <c r="X97" i="15"/>
  <c r="SV97" i="15"/>
  <c r="QS96" i="15"/>
  <c r="JH97" i="15"/>
  <c r="NP97" i="15"/>
  <c r="NQ95" i="15"/>
  <c r="NR94" i="15"/>
  <c r="AG96" i="15"/>
  <c r="BE96" i="15"/>
  <c r="HH97" i="15"/>
  <c r="RT97" i="15"/>
  <c r="EZ97" i="15"/>
  <c r="MB97" i="15"/>
  <c r="MC97" i="15" s="1"/>
  <c r="MD96" i="15"/>
  <c r="TI95" i="15"/>
  <c r="TJ94" i="15"/>
  <c r="NY95" i="15"/>
  <c r="NZ94" i="15"/>
  <c r="KZ97" i="15"/>
  <c r="AL95" i="15"/>
  <c r="FA95" i="15"/>
  <c r="FB94" i="15"/>
  <c r="FD97" i="15"/>
  <c r="UG95" i="15"/>
  <c r="UH94" i="15"/>
  <c r="JM96" i="15"/>
  <c r="JN96" i="15" s="1"/>
  <c r="IC96" i="15"/>
  <c r="ID96" i="15" s="1"/>
  <c r="AJ97" i="15"/>
  <c r="GR97" i="15"/>
  <c r="JQ95" i="15"/>
  <c r="JR94" i="15"/>
  <c r="HY96" i="15"/>
  <c r="OF96" i="15"/>
  <c r="JI95" i="15"/>
  <c r="JJ94" i="15"/>
  <c r="FE96" i="15"/>
  <c r="FF96" i="15" s="1"/>
  <c r="TA95" i="15"/>
  <c r="TB94" i="15"/>
  <c r="NL97" i="15"/>
  <c r="PP97" i="15"/>
  <c r="EB97" i="15"/>
  <c r="GK95" i="15"/>
  <c r="GL94" i="15"/>
  <c r="HA95" i="15"/>
  <c r="HB94" i="15"/>
  <c r="EG96" i="15"/>
  <c r="EH96" i="15" s="1"/>
  <c r="GN97" i="15"/>
  <c r="IF97" i="15"/>
  <c r="CS95" i="15"/>
  <c r="J94" i="15"/>
  <c r="BY95" i="15"/>
  <c r="BZ94" i="15"/>
  <c r="QJ97" i="15"/>
  <c r="OV97" i="15"/>
  <c r="BL97" i="15"/>
  <c r="MW95" i="15"/>
  <c r="MX94" i="15"/>
  <c r="AR97" i="15"/>
  <c r="SZ97" i="15"/>
  <c r="DU95" i="15"/>
  <c r="DV94" i="15"/>
  <c r="ON97" i="15"/>
  <c r="DD97" i="15"/>
  <c r="CZ97" i="15"/>
  <c r="DY95" i="15"/>
  <c r="DZ94" i="15"/>
  <c r="TX97" i="15"/>
  <c r="TY97" i="15" s="1"/>
  <c r="TZ96" i="15"/>
  <c r="BB96" i="15"/>
  <c r="AZ97" i="15"/>
  <c r="BA97" i="15" s="1"/>
  <c r="M95" i="15"/>
  <c r="N94" i="15"/>
  <c r="MF97" i="15"/>
  <c r="RH97" i="15"/>
  <c r="CW95" i="15"/>
  <c r="CX94" i="15"/>
  <c r="TP97" i="15"/>
  <c r="JU95" i="15"/>
  <c r="JV94" i="15"/>
  <c r="PT97" i="15"/>
  <c r="CO96" i="15"/>
  <c r="CP96" i="15" s="1"/>
  <c r="RQ95" i="15"/>
  <c r="RR94" i="15"/>
  <c r="UJ97" i="15"/>
  <c r="IV97" i="15"/>
  <c r="BQ96" i="15"/>
  <c r="QO96" i="15"/>
  <c r="QP96" i="15" s="1"/>
  <c r="CF97" i="15"/>
  <c r="H96" i="15"/>
  <c r="OB97" i="15"/>
  <c r="RU95" i="15"/>
  <c r="RV94" i="15"/>
  <c r="QZ97" i="15"/>
  <c r="HF95" i="15"/>
  <c r="NA95" i="15"/>
  <c r="NB95" i="15" s="1"/>
  <c r="OO95" i="15"/>
  <c r="OP94" i="15"/>
  <c r="E96" i="15"/>
  <c r="F96" i="15" s="1"/>
  <c r="KF97" i="15"/>
  <c r="OG95" i="15"/>
  <c r="OH95" i="15" s="1"/>
  <c r="RF95" i="15"/>
  <c r="EL95" i="15"/>
  <c r="JY96" i="15"/>
  <c r="RA95" i="15"/>
  <c r="RB94" i="15"/>
  <c r="MS95" i="15"/>
  <c r="MT94" i="15"/>
  <c r="TM95" i="15"/>
  <c r="TN94" i="15"/>
  <c r="TU96" i="15"/>
  <c r="LX97" i="15"/>
  <c r="PD97" i="15"/>
  <c r="PA95" i="15"/>
  <c r="PB94" i="15"/>
  <c r="KK96" i="15"/>
  <c r="LN96" i="15"/>
  <c r="LL97" i="15"/>
  <c r="LM97" i="15" s="1"/>
  <c r="PH97" i="15"/>
  <c r="EC95" i="15"/>
  <c r="ED94" i="15"/>
  <c r="EO96" i="15"/>
  <c r="DA96" i="15"/>
  <c r="DB96" i="15" s="1"/>
  <c r="DT97" i="15"/>
  <c r="HD97" i="15"/>
  <c r="QT95" i="15"/>
  <c r="MV97" i="15"/>
  <c r="P97" i="15"/>
  <c r="SK96" i="15"/>
  <c r="SL96" i="15" s="1"/>
  <c r="RD97" i="15"/>
  <c r="KG95" i="15"/>
  <c r="KH94" i="15"/>
  <c r="EJ97" i="15"/>
  <c r="LQ96" i="15"/>
  <c r="F99" i="8"/>
  <c r="G99" i="8" s="1"/>
  <c r="F99" i="9"/>
  <c r="G99" i="9" s="1"/>
  <c r="E100" i="11"/>
  <c r="F99" i="11"/>
  <c r="G98" i="10"/>
  <c r="G99" i="10"/>
  <c r="G98" i="9"/>
  <c r="E100" i="9"/>
  <c r="G98" i="8"/>
  <c r="E100" i="8"/>
  <c r="E101" i="2"/>
  <c r="F100" i="2"/>
  <c r="EK97" i="15" l="1"/>
  <c r="PE97" i="15"/>
  <c r="GW97" i="15"/>
  <c r="MG97" i="15"/>
  <c r="GS97" i="15"/>
  <c r="GT97" i="15" s="1"/>
  <c r="JA97" i="15"/>
  <c r="JB97" i="15" s="1"/>
  <c r="FI97" i="15"/>
  <c r="FJ97" i="15" s="1"/>
  <c r="AC97" i="15"/>
  <c r="AD97" i="15" s="1"/>
  <c r="IG97" i="15"/>
  <c r="IH97" i="15" s="1"/>
  <c r="UO97" i="15"/>
  <c r="UP97" i="15" s="1"/>
  <c r="GO97" i="15"/>
  <c r="GP97" i="15" s="1"/>
  <c r="CS96" i="15"/>
  <c r="CT96" i="15" s="1"/>
  <c r="PI97" i="15"/>
  <c r="PJ97" i="15" s="1"/>
  <c r="HE97" i="15"/>
  <c r="HF97" i="15" s="1"/>
  <c r="RE97" i="15"/>
  <c r="RF97" i="15" s="1"/>
  <c r="U97" i="15"/>
  <c r="V97" i="15" s="1"/>
  <c r="CK97" i="15"/>
  <c r="CL97" i="15" s="1"/>
  <c r="PY97" i="15"/>
  <c r="PZ97" i="15" s="1"/>
  <c r="DQ97" i="15"/>
  <c r="DR97" i="15" s="1"/>
  <c r="I96" i="15"/>
  <c r="J96" i="15" s="1"/>
  <c r="AK97" i="15"/>
  <c r="AL97" i="15" s="1"/>
  <c r="FU97" i="15"/>
  <c r="FV97" i="15" s="1"/>
  <c r="JY97" i="15"/>
  <c r="JZ97" i="15" s="1"/>
  <c r="LQ97" i="15"/>
  <c r="LR97" i="15" s="1"/>
  <c r="SW97" i="15"/>
  <c r="SX97" i="15" s="1"/>
  <c r="HQ97" i="15"/>
  <c r="HR97" i="15" s="1"/>
  <c r="FM97" i="15"/>
  <c r="FN97" i="15" s="1"/>
  <c r="PM96" i="15"/>
  <c r="PN96" i="15" s="1"/>
  <c r="IS97" i="15"/>
  <c r="IT97" i="15" s="1"/>
  <c r="KS97" i="15"/>
  <c r="KT97" i="15" s="1"/>
  <c r="KK97" i="15"/>
  <c r="KL97" i="15" s="1"/>
  <c r="MO97" i="15"/>
  <c r="MP97" i="15" s="1"/>
  <c r="KO97" i="15"/>
  <c r="KP97" i="15" s="1"/>
  <c r="BQ97" i="15"/>
  <c r="BR97" i="15" s="1"/>
  <c r="EO97" i="15"/>
  <c r="EP97" i="15" s="1"/>
  <c r="HY97" i="15"/>
  <c r="HZ97" i="15" s="1"/>
  <c r="TU97" i="15"/>
  <c r="TV97" i="15" s="1"/>
  <c r="BE97" i="15"/>
  <c r="BF97" i="15" s="1"/>
  <c r="AG97" i="15"/>
  <c r="AH97" i="15" s="1"/>
  <c r="QS97" i="15"/>
  <c r="QT97" i="15" s="1"/>
  <c r="SG97" i="15"/>
  <c r="SH97" i="15" s="1"/>
  <c r="SR98" i="15"/>
  <c r="QJ98" i="15"/>
  <c r="AH96" i="15"/>
  <c r="Q96" i="15"/>
  <c r="R95" i="15"/>
  <c r="EV98" i="15"/>
  <c r="TM96" i="15"/>
  <c r="TN95" i="15"/>
  <c r="HU96" i="15"/>
  <c r="HV95" i="15"/>
  <c r="SC96" i="15"/>
  <c r="SD95" i="15"/>
  <c r="AN98" i="15"/>
  <c r="US96" i="15"/>
  <c r="UT95" i="15"/>
  <c r="TD98" i="15"/>
  <c r="SJ98" i="15"/>
  <c r="AW96" i="15"/>
  <c r="AX95" i="15"/>
  <c r="NX98" i="15"/>
  <c r="DL98" i="15"/>
  <c r="NH98" i="15"/>
  <c r="OZ98" i="15"/>
  <c r="GB98" i="15"/>
  <c r="FA96" i="15"/>
  <c r="FB95" i="15"/>
  <c r="NQ96" i="15"/>
  <c r="NR95" i="15"/>
  <c r="QG96" i="15"/>
  <c r="QH95" i="15"/>
  <c r="UN98" i="15"/>
  <c r="LH98" i="15"/>
  <c r="HT98" i="15"/>
  <c r="QK96" i="15"/>
  <c r="QL95" i="15"/>
  <c r="JL98" i="15"/>
  <c r="SH96" i="15"/>
  <c r="LX98" i="15"/>
  <c r="HL98" i="15"/>
  <c r="DH98" i="15"/>
  <c r="IW96" i="15"/>
  <c r="IX95" i="15"/>
  <c r="DE96" i="15"/>
  <c r="DF95" i="15"/>
  <c r="ER98" i="15"/>
  <c r="GF98" i="15"/>
  <c r="SF98" i="15"/>
  <c r="CZ98" i="15"/>
  <c r="FD98" i="15"/>
  <c r="TA96" i="15"/>
  <c r="TB95" i="15"/>
  <c r="NP98" i="15"/>
  <c r="Y96" i="15"/>
  <c r="Z95" i="15"/>
  <c r="QC96" i="15"/>
  <c r="QD95" i="15"/>
  <c r="MJ98" i="15"/>
  <c r="TT98" i="15"/>
  <c r="NE96" i="15"/>
  <c r="NF95" i="15"/>
  <c r="D98" i="15"/>
  <c r="UB98" i="15"/>
  <c r="CB97" i="15"/>
  <c r="CC97" i="15" s="1"/>
  <c r="CD96" i="15"/>
  <c r="QZ98" i="15"/>
  <c r="GZ98" i="15"/>
  <c r="OR98" i="15"/>
  <c r="LT98" i="15"/>
  <c r="DX98" i="15"/>
  <c r="OJ98" i="15"/>
  <c r="JE96" i="15"/>
  <c r="JF95" i="15"/>
  <c r="TV96" i="15"/>
  <c r="QV98" i="15"/>
  <c r="TE96" i="15"/>
  <c r="TF95" i="15"/>
  <c r="LP98" i="15"/>
  <c r="PU96" i="15"/>
  <c r="PV95" i="15"/>
  <c r="CN98" i="15"/>
  <c r="FE97" i="15"/>
  <c r="FF97" i="15" s="1"/>
  <c r="RH98" i="15"/>
  <c r="IF98" i="15"/>
  <c r="OF97" i="15"/>
  <c r="JH98" i="15"/>
  <c r="DP98" i="15"/>
  <c r="KR98" i="15"/>
  <c r="QR98" i="15"/>
  <c r="TQ96" i="15"/>
  <c r="TR95" i="15"/>
  <c r="BR96" i="15"/>
  <c r="LR96" i="15"/>
  <c r="KL96" i="15"/>
  <c r="MK96" i="15"/>
  <c r="ML95" i="15"/>
  <c r="AF98" i="15"/>
  <c r="MS96" i="15"/>
  <c r="MT95" i="15"/>
  <c r="GC96" i="15"/>
  <c r="GD95" i="15"/>
  <c r="LE96" i="15"/>
  <c r="LF95" i="15"/>
  <c r="KV98" i="15"/>
  <c r="FL98" i="15"/>
  <c r="KT96" i="15"/>
  <c r="QT96" i="15"/>
  <c r="BV96" i="15"/>
  <c r="BT97" i="15"/>
  <c r="BU97" i="15" s="1"/>
  <c r="EW96" i="15"/>
  <c r="EX95" i="15"/>
  <c r="AO97" i="15"/>
  <c r="BP98" i="15"/>
  <c r="QB98" i="15"/>
  <c r="KJ98" i="15"/>
  <c r="BX98" i="15"/>
  <c r="DT98" i="15"/>
  <c r="UR98" i="15"/>
  <c r="UC96" i="15"/>
  <c r="UD95" i="15"/>
  <c r="SB98" i="15"/>
  <c r="NT98" i="15"/>
  <c r="JD98" i="15"/>
  <c r="DD98" i="15"/>
  <c r="GG96" i="15"/>
  <c r="GH95" i="15"/>
  <c r="NM96" i="15"/>
  <c r="NN95" i="15"/>
  <c r="DM97" i="15"/>
  <c r="LA96" i="15"/>
  <c r="LB95" i="15"/>
  <c r="AS96" i="15"/>
  <c r="AT95" i="15"/>
  <c r="L98" i="15"/>
  <c r="FX98" i="15"/>
  <c r="HI96" i="15"/>
  <c r="HJ95" i="15"/>
  <c r="TL98" i="15"/>
  <c r="EL97" i="15"/>
  <c r="EJ98" i="15"/>
  <c r="NY96" i="15"/>
  <c r="NZ95" i="15"/>
  <c r="X98" i="15"/>
  <c r="JZ96" i="15"/>
  <c r="SN98" i="15"/>
  <c r="NI96" i="15"/>
  <c r="NJ95" i="15"/>
  <c r="HZ96" i="15"/>
  <c r="QF98" i="15"/>
  <c r="MZ97" i="15"/>
  <c r="KN98" i="15"/>
  <c r="UF98" i="15"/>
  <c r="SS96" i="15"/>
  <c r="ST95" i="15"/>
  <c r="RU96" i="15"/>
  <c r="RV95" i="15"/>
  <c r="DA97" i="15"/>
  <c r="QO97" i="15"/>
  <c r="KG96" i="15"/>
  <c r="KH95" i="15"/>
  <c r="AR98" i="15"/>
  <c r="JX98" i="15"/>
  <c r="KB98" i="15"/>
  <c r="HX98" i="15"/>
  <c r="KW96" i="15"/>
  <c r="KX95" i="15"/>
  <c r="FQ96" i="15"/>
  <c r="FR95" i="15"/>
  <c r="LD98" i="15"/>
  <c r="OW96" i="15"/>
  <c r="OX95" i="15"/>
  <c r="KP96" i="15"/>
  <c r="HD98" i="15"/>
  <c r="JI96" i="15"/>
  <c r="JJ95" i="15"/>
  <c r="CF98" i="15"/>
  <c r="SV98" i="15"/>
  <c r="TI96" i="15"/>
  <c r="TJ95" i="15"/>
  <c r="GR98" i="15"/>
  <c r="NU96" i="15"/>
  <c r="NV95" i="15"/>
  <c r="DI96" i="15"/>
  <c r="DJ95" i="15"/>
  <c r="MN98" i="15"/>
  <c r="CV98" i="15"/>
  <c r="AB98" i="15"/>
  <c r="CJ98" i="15"/>
  <c r="BM96" i="15"/>
  <c r="BN95" i="15"/>
  <c r="PN95" i="15"/>
  <c r="OB98" i="15"/>
  <c r="DU96" i="15"/>
  <c r="DV95" i="15"/>
  <c r="MF98" i="15"/>
  <c r="MH97" i="15"/>
  <c r="EG97" i="15"/>
  <c r="JQ96" i="15"/>
  <c r="JR95" i="15"/>
  <c r="MW96" i="15"/>
  <c r="MX95" i="15"/>
  <c r="IN98" i="15"/>
  <c r="FP98" i="15"/>
  <c r="IK96" i="15"/>
  <c r="IL95" i="15"/>
  <c r="RX98" i="15"/>
  <c r="MR98" i="15"/>
  <c r="PL97" i="15"/>
  <c r="HM97" i="15"/>
  <c r="EF98" i="15"/>
  <c r="JU96" i="15"/>
  <c r="JV95" i="15"/>
  <c r="BY96" i="15"/>
  <c r="BZ95" i="15"/>
  <c r="CW96" i="15"/>
  <c r="CX95" i="15"/>
  <c r="RA96" i="15"/>
  <c r="RB95" i="15"/>
  <c r="SZ98" i="15"/>
  <c r="IV98" i="15"/>
  <c r="AZ98" i="15"/>
  <c r="BB97" i="15"/>
  <c r="PA96" i="15"/>
  <c r="PB95" i="15"/>
  <c r="IB98" i="15"/>
  <c r="TH98" i="15"/>
  <c r="OK97" i="15"/>
  <c r="RL98" i="15"/>
  <c r="CT95" i="15"/>
  <c r="UG96" i="15"/>
  <c r="UH95" i="15"/>
  <c r="BH98" i="15"/>
  <c r="CG96" i="15"/>
  <c r="CH95" i="15"/>
  <c r="NL98" i="15"/>
  <c r="TP98" i="15"/>
  <c r="KZ98" i="15"/>
  <c r="LN97" i="15"/>
  <c r="LL98" i="15"/>
  <c r="M96" i="15"/>
  <c r="N95" i="15"/>
  <c r="KF98" i="15"/>
  <c r="HA96" i="15"/>
  <c r="HB95" i="15"/>
  <c r="E97" i="15"/>
  <c r="F97" i="15" s="1"/>
  <c r="GK96" i="15"/>
  <c r="GL95" i="15"/>
  <c r="KC96" i="15"/>
  <c r="KD95" i="15"/>
  <c r="SK97" i="15"/>
  <c r="AJ98" i="15"/>
  <c r="FY97" i="15"/>
  <c r="BF96" i="15"/>
  <c r="P98" i="15"/>
  <c r="OO96" i="15"/>
  <c r="OP95" i="15"/>
  <c r="RQ96" i="15"/>
  <c r="RR95" i="15"/>
  <c r="TX98" i="15"/>
  <c r="TY98" i="15" s="1"/>
  <c r="TZ97" i="15"/>
  <c r="BL98" i="15"/>
  <c r="IC97" i="15"/>
  <c r="ID97" i="15" s="1"/>
  <c r="RT98" i="15"/>
  <c r="LI97" i="15"/>
  <c r="LJ97" i="15" s="1"/>
  <c r="IZ98" i="15"/>
  <c r="EP96" i="15"/>
  <c r="FH98" i="15"/>
  <c r="BD98" i="15"/>
  <c r="IO96" i="15"/>
  <c r="IP95" i="15"/>
  <c r="LU96" i="15"/>
  <c r="LV95" i="15"/>
  <c r="PQ96" i="15"/>
  <c r="PR95" i="15"/>
  <c r="V96" i="15"/>
  <c r="QW97" i="15"/>
  <c r="QX97" i="15" s="1"/>
  <c r="CR97" i="15"/>
  <c r="CS97" i="15" s="1"/>
  <c r="QN98" i="15"/>
  <c r="H97" i="15"/>
  <c r="EC96" i="15"/>
  <c r="ED95" i="15"/>
  <c r="GN98" i="15"/>
  <c r="OG96" i="15"/>
  <c r="ES96" i="15"/>
  <c r="ET95" i="15"/>
  <c r="MP96" i="15"/>
  <c r="EB98" i="15"/>
  <c r="OC96" i="15"/>
  <c r="OD95" i="15"/>
  <c r="PF97" i="15"/>
  <c r="PD98" i="15"/>
  <c r="PE98" i="15" s="1"/>
  <c r="CO97" i="15"/>
  <c r="JM97" i="15"/>
  <c r="AV98" i="15"/>
  <c r="UK96" i="15"/>
  <c r="UL95" i="15"/>
  <c r="EN98" i="15"/>
  <c r="JT98" i="15"/>
  <c r="RM96" i="15"/>
  <c r="RN95" i="15"/>
  <c r="JP98" i="15"/>
  <c r="SO97" i="15"/>
  <c r="T98" i="15"/>
  <c r="IJ98" i="15"/>
  <c r="HP98" i="15"/>
  <c r="RI97" i="15"/>
  <c r="OS96" i="15"/>
  <c r="OT95" i="15"/>
  <c r="ON98" i="15"/>
  <c r="PH98" i="15"/>
  <c r="BI97" i="15"/>
  <c r="RD98" i="15"/>
  <c r="MD97" i="15"/>
  <c r="MB98" i="15"/>
  <c r="UJ98" i="15"/>
  <c r="EZ98" i="15"/>
  <c r="PX98" i="15"/>
  <c r="NA96" i="15"/>
  <c r="NB96" i="15" s="1"/>
  <c r="MV98" i="15"/>
  <c r="PT98" i="15"/>
  <c r="DY96" i="15"/>
  <c r="DZ95" i="15"/>
  <c r="OV98" i="15"/>
  <c r="PP98" i="15"/>
  <c r="HH98" i="15"/>
  <c r="IR98" i="15"/>
  <c r="GX97" i="15"/>
  <c r="GV98" i="15"/>
  <c r="GW98" i="15" s="1"/>
  <c r="ND98" i="15"/>
  <c r="RP98" i="15"/>
  <c r="GJ98" i="15"/>
  <c r="RY96" i="15"/>
  <c r="RZ95" i="15"/>
  <c r="FT98" i="15"/>
  <c r="LY97" i="15"/>
  <c r="F100" i="11"/>
  <c r="G100" i="11" s="1"/>
  <c r="F101" i="2"/>
  <c r="G101" i="2" s="1"/>
  <c r="G99" i="11"/>
  <c r="E101" i="11"/>
  <c r="E101" i="9"/>
  <c r="F100" i="9"/>
  <c r="E101" i="8"/>
  <c r="F100" i="8"/>
  <c r="G100" i="2"/>
  <c r="E102" i="2"/>
  <c r="MG98" i="15" l="1"/>
  <c r="JA98" i="15"/>
  <c r="JB98" i="15" s="1"/>
  <c r="AC98" i="15"/>
  <c r="IG98" i="15"/>
  <c r="IH98" i="15" s="1"/>
  <c r="PI98" i="15"/>
  <c r="PJ98" i="15" s="1"/>
  <c r="GO98" i="15"/>
  <c r="GP98" i="15" s="1"/>
  <c r="DQ98" i="15"/>
  <c r="DR98" i="15" s="1"/>
  <c r="HE98" i="15"/>
  <c r="HF98" i="15" s="1"/>
  <c r="U98" i="15"/>
  <c r="V98" i="15" s="1"/>
  <c r="HQ98" i="15"/>
  <c r="HR98" i="15" s="1"/>
  <c r="CO98" i="15"/>
  <c r="CP98" i="15" s="1"/>
  <c r="JY98" i="15"/>
  <c r="JZ98" i="15" s="1"/>
  <c r="RI98" i="15"/>
  <c r="RJ98" i="15" s="1"/>
  <c r="PY98" i="15"/>
  <c r="PZ98" i="15" s="1"/>
  <c r="CK98" i="15"/>
  <c r="CL98" i="15" s="1"/>
  <c r="AK98" i="15"/>
  <c r="AL98" i="15" s="1"/>
  <c r="KK98" i="15"/>
  <c r="KL98" i="15" s="1"/>
  <c r="LQ98" i="15"/>
  <c r="LR98" i="15" s="1"/>
  <c r="HY98" i="15"/>
  <c r="HZ98" i="15" s="1"/>
  <c r="EO98" i="15"/>
  <c r="EP98" i="15" s="1"/>
  <c r="MO98" i="15"/>
  <c r="MP98" i="15" s="1"/>
  <c r="IS98" i="15"/>
  <c r="IT98" i="15" s="1"/>
  <c r="AO98" i="15"/>
  <c r="AP98" i="15" s="1"/>
  <c r="TU98" i="15"/>
  <c r="TV98" i="15" s="1"/>
  <c r="SG98" i="15"/>
  <c r="SH98" i="15" s="1"/>
  <c r="DA98" i="15"/>
  <c r="DB98" i="15" s="1"/>
  <c r="OK98" i="15"/>
  <c r="OL98" i="15" s="1"/>
  <c r="BQ98" i="15"/>
  <c r="BR98" i="15" s="1"/>
  <c r="HM98" i="15"/>
  <c r="HN98" i="15" s="1"/>
  <c r="QO98" i="15"/>
  <c r="QP98" i="15" s="1"/>
  <c r="AG98" i="15"/>
  <c r="AH98" i="15" s="1"/>
  <c r="JM98" i="15"/>
  <c r="JN98" i="15" s="1"/>
  <c r="BI98" i="15"/>
  <c r="BJ98" i="15" s="1"/>
  <c r="LY98" i="15"/>
  <c r="LZ98" i="15" s="1"/>
  <c r="FY98" i="15"/>
  <c r="FZ98" i="15" s="1"/>
  <c r="EG98" i="15"/>
  <c r="EH98" i="15" s="1"/>
  <c r="OG97" i="15"/>
  <c r="OH97" i="15" s="1"/>
  <c r="SK98" i="15"/>
  <c r="SL98" i="15" s="1"/>
  <c r="DM98" i="15"/>
  <c r="DN98" i="15" s="1"/>
  <c r="BY97" i="15"/>
  <c r="BZ96" i="15"/>
  <c r="AS97" i="15"/>
  <c r="AT96" i="15"/>
  <c r="TQ97" i="15"/>
  <c r="TR96" i="15"/>
  <c r="DE97" i="15"/>
  <c r="DF96" i="15"/>
  <c r="NX99" i="15"/>
  <c r="Q97" i="15"/>
  <c r="R96" i="15"/>
  <c r="SN99" i="15"/>
  <c r="UR99" i="15"/>
  <c r="FL99" i="15"/>
  <c r="QR99" i="15"/>
  <c r="PU97" i="15"/>
  <c r="PV96" i="15"/>
  <c r="OR99" i="15"/>
  <c r="Y97" i="15"/>
  <c r="Z96" i="15"/>
  <c r="UN99" i="15"/>
  <c r="RL99" i="15"/>
  <c r="MB99" i="15"/>
  <c r="OW97" i="15"/>
  <c r="OX96" i="15"/>
  <c r="LA97" i="15"/>
  <c r="LB96" i="15"/>
  <c r="GZ99" i="15"/>
  <c r="NP99" i="15"/>
  <c r="IW97" i="15"/>
  <c r="IX96" i="15"/>
  <c r="AW97" i="15"/>
  <c r="AX96" i="15"/>
  <c r="EH97" i="15"/>
  <c r="RU97" i="15"/>
  <c r="RV96" i="15"/>
  <c r="X99" i="15"/>
  <c r="DT99" i="15"/>
  <c r="SJ99" i="15"/>
  <c r="QJ99" i="15"/>
  <c r="OO97" i="15"/>
  <c r="OP96" i="15"/>
  <c r="MF99" i="15"/>
  <c r="MH98" i="15"/>
  <c r="NU97" i="15"/>
  <c r="NV96" i="15"/>
  <c r="LD99" i="15"/>
  <c r="KV99" i="15"/>
  <c r="KR99" i="15"/>
  <c r="LP99" i="15"/>
  <c r="QZ99" i="15"/>
  <c r="QG97" i="15"/>
  <c r="QH96" i="15"/>
  <c r="SL97" i="15"/>
  <c r="QC97" i="15"/>
  <c r="QD96" i="15"/>
  <c r="IO97" i="15"/>
  <c r="IP96" i="15"/>
  <c r="IB99" i="15"/>
  <c r="GR99" i="15"/>
  <c r="SS97" i="15"/>
  <c r="ST96" i="15"/>
  <c r="NY97" i="15"/>
  <c r="NZ96" i="15"/>
  <c r="NM97" i="15"/>
  <c r="NN96" i="15"/>
  <c r="DP99" i="15"/>
  <c r="DH99" i="15"/>
  <c r="TD99" i="15"/>
  <c r="KS98" i="15"/>
  <c r="SO98" i="15"/>
  <c r="DU97" i="15"/>
  <c r="DV96" i="15"/>
  <c r="FQ97" i="15"/>
  <c r="FR96" i="15"/>
  <c r="EJ99" i="15"/>
  <c r="BX99" i="15"/>
  <c r="LE97" i="15"/>
  <c r="LF96" i="15"/>
  <c r="TE97" i="15"/>
  <c r="TF96" i="15"/>
  <c r="TA97" i="15"/>
  <c r="TB96" i="15"/>
  <c r="NQ97" i="15"/>
  <c r="NR96" i="15"/>
  <c r="SR99" i="15"/>
  <c r="M97" i="15"/>
  <c r="N96" i="15"/>
  <c r="JP99" i="15"/>
  <c r="BD99" i="15"/>
  <c r="KZ99" i="15"/>
  <c r="PA97" i="15"/>
  <c r="PB96" i="15"/>
  <c r="PL98" i="15"/>
  <c r="OB99" i="15"/>
  <c r="GG97" i="15"/>
  <c r="GH96" i="15"/>
  <c r="JH99" i="15"/>
  <c r="CD97" i="15"/>
  <c r="CB98" i="15"/>
  <c r="HL99" i="15"/>
  <c r="IR99" i="15"/>
  <c r="EB99" i="15"/>
  <c r="ES97" i="15"/>
  <c r="ET96" i="15"/>
  <c r="TI97" i="15"/>
  <c r="TJ96" i="15"/>
  <c r="KW97" i="15"/>
  <c r="KX96" i="15"/>
  <c r="UF99" i="15"/>
  <c r="QS98" i="15"/>
  <c r="KJ99" i="15"/>
  <c r="GC97" i="15"/>
  <c r="GD96" i="15"/>
  <c r="QV99" i="15"/>
  <c r="FD99" i="15"/>
  <c r="HN97" i="15"/>
  <c r="FA97" i="15"/>
  <c r="FB96" i="15"/>
  <c r="US97" i="15"/>
  <c r="UT96" i="15"/>
  <c r="GS98" i="15"/>
  <c r="GT98" i="15" s="1"/>
  <c r="GX98" i="15"/>
  <c r="GV99" i="15"/>
  <c r="UJ99" i="15"/>
  <c r="RQ97" i="15"/>
  <c r="RR96" i="15"/>
  <c r="P99" i="15"/>
  <c r="HX99" i="15"/>
  <c r="KN99" i="15"/>
  <c r="UB99" i="15"/>
  <c r="LZ97" i="15"/>
  <c r="AN99" i="15"/>
  <c r="IJ99" i="15"/>
  <c r="MW97" i="15"/>
  <c r="MX96" i="15"/>
  <c r="HH99" i="15"/>
  <c r="PP99" i="15"/>
  <c r="SV99" i="15"/>
  <c r="TL99" i="15"/>
  <c r="DD99" i="15"/>
  <c r="QB99" i="15"/>
  <c r="MS97" i="15"/>
  <c r="MT96" i="15"/>
  <c r="OH96" i="15"/>
  <c r="CZ99" i="15"/>
  <c r="LX99" i="15"/>
  <c r="GB99" i="15"/>
  <c r="AP97" i="15"/>
  <c r="SW98" i="15"/>
  <c r="SX98" i="15" s="1"/>
  <c r="JQ97" i="15"/>
  <c r="JR96" i="15"/>
  <c r="LU97" i="15"/>
  <c r="LV96" i="15"/>
  <c r="EN99" i="15"/>
  <c r="NL99" i="15"/>
  <c r="IV99" i="15"/>
  <c r="RX99" i="15"/>
  <c r="BM97" i="15"/>
  <c r="BN96" i="15"/>
  <c r="CF99" i="15"/>
  <c r="KB99" i="15"/>
  <c r="OF98" i="15"/>
  <c r="JE97" i="15"/>
  <c r="JF96" i="15"/>
  <c r="D99" i="15"/>
  <c r="DB97" i="15"/>
  <c r="T99" i="15"/>
  <c r="DI97" i="15"/>
  <c r="DJ96" i="15"/>
  <c r="MR99" i="15"/>
  <c r="UK97" i="15"/>
  <c r="UL96" i="15"/>
  <c r="SZ99" i="15"/>
  <c r="PM97" i="15"/>
  <c r="MZ98" i="15"/>
  <c r="JD99" i="15"/>
  <c r="BP99" i="15"/>
  <c r="AF99" i="15"/>
  <c r="IF99" i="15"/>
  <c r="OJ99" i="15"/>
  <c r="SF99" i="15"/>
  <c r="JN97" i="15"/>
  <c r="EK98" i="15"/>
  <c r="SC97" i="15"/>
  <c r="SD96" i="15"/>
  <c r="EZ99" i="15"/>
  <c r="MN99" i="15"/>
  <c r="FH99" i="15"/>
  <c r="MV99" i="15"/>
  <c r="CG97" i="15"/>
  <c r="CH96" i="15"/>
  <c r="IK97" i="15"/>
  <c r="IL96" i="15"/>
  <c r="JX99" i="15"/>
  <c r="BE98" i="15"/>
  <c r="BE99" i="15" s="1"/>
  <c r="OL97" i="15"/>
  <c r="NE97" i="15"/>
  <c r="NF96" i="15"/>
  <c r="JL99" i="15"/>
  <c r="MC98" i="15"/>
  <c r="RM97" i="15"/>
  <c r="RN96" i="15"/>
  <c r="JT99" i="15"/>
  <c r="AZ99" i="15"/>
  <c r="DY97" i="15"/>
  <c r="DZ96" i="15"/>
  <c r="RY97" i="15"/>
  <c r="RZ96" i="15"/>
  <c r="ON99" i="15"/>
  <c r="AV99" i="15"/>
  <c r="CJ99" i="15"/>
  <c r="HI97" i="15"/>
  <c r="HJ96" i="15"/>
  <c r="NT99" i="15"/>
  <c r="RJ97" i="15"/>
  <c r="TT99" i="15"/>
  <c r="OZ99" i="15"/>
  <c r="HU97" i="15"/>
  <c r="HV96" i="15"/>
  <c r="LL99" i="15"/>
  <c r="PH99" i="15"/>
  <c r="AJ99" i="15"/>
  <c r="IZ99" i="15"/>
  <c r="PT99" i="15"/>
  <c r="GJ99" i="15"/>
  <c r="GK97" i="15"/>
  <c r="GL96" i="15"/>
  <c r="KO98" i="15"/>
  <c r="KP98" i="15" s="1"/>
  <c r="RH99" i="15"/>
  <c r="DX99" i="15"/>
  <c r="GF99" i="15"/>
  <c r="NH99" i="15"/>
  <c r="BA98" i="15"/>
  <c r="UC97" i="15"/>
  <c r="UD96" i="15"/>
  <c r="TZ98" i="15"/>
  <c r="TX99" i="15"/>
  <c r="PQ97" i="15"/>
  <c r="PR96" i="15"/>
  <c r="EC97" i="15"/>
  <c r="ED96" i="15"/>
  <c r="H98" i="15"/>
  <c r="LI98" i="15"/>
  <c r="LJ98" i="15" s="1"/>
  <c r="BH99" i="15"/>
  <c r="JI97" i="15"/>
  <c r="JJ96" i="15"/>
  <c r="QN99" i="15"/>
  <c r="RA97" i="15"/>
  <c r="RB96" i="15"/>
  <c r="FX99" i="15"/>
  <c r="IC98" i="15"/>
  <c r="E98" i="15"/>
  <c r="F98" i="15" s="1"/>
  <c r="AD98" i="15"/>
  <c r="AB99" i="15"/>
  <c r="HD99" i="15"/>
  <c r="HE99" i="15" s="1"/>
  <c r="AR99" i="15"/>
  <c r="FZ97" i="15"/>
  <c r="EW97" i="15"/>
  <c r="EX96" i="15"/>
  <c r="FE98" i="15"/>
  <c r="LM98" i="15"/>
  <c r="LN98" i="15" s="1"/>
  <c r="QK97" i="15"/>
  <c r="QL96" i="15"/>
  <c r="TM97" i="15"/>
  <c r="TN96" i="15"/>
  <c r="I97" i="15"/>
  <c r="LH99" i="15"/>
  <c r="OC97" i="15"/>
  <c r="OD96" i="15"/>
  <c r="JU97" i="15"/>
  <c r="JV96" i="15"/>
  <c r="TH99" i="15"/>
  <c r="FT99" i="15"/>
  <c r="GN99" i="15"/>
  <c r="KC97" i="15"/>
  <c r="KD96" i="15"/>
  <c r="QP97" i="15"/>
  <c r="QF99" i="15"/>
  <c r="NA97" i="15"/>
  <c r="RT99" i="15"/>
  <c r="MK97" i="15"/>
  <c r="ML96" i="15"/>
  <c r="PX99" i="15"/>
  <c r="HP99" i="15"/>
  <c r="PF98" i="15"/>
  <c r="PD99" i="15"/>
  <c r="PE99" i="15" s="1"/>
  <c r="UG97" i="15"/>
  <c r="UH96" i="15"/>
  <c r="CW97" i="15"/>
  <c r="CX96" i="15"/>
  <c r="IN99" i="15"/>
  <c r="CV99" i="15"/>
  <c r="UO98" i="15"/>
  <c r="NI97" i="15"/>
  <c r="NJ96" i="15"/>
  <c r="L99" i="15"/>
  <c r="SB99" i="15"/>
  <c r="BV97" i="15"/>
  <c r="BT98" i="15"/>
  <c r="CP97" i="15"/>
  <c r="MJ99" i="15"/>
  <c r="HT99" i="15"/>
  <c r="DL99" i="15"/>
  <c r="FM98" i="15"/>
  <c r="KF99" i="15"/>
  <c r="EF99" i="15"/>
  <c r="RD99" i="15"/>
  <c r="OV99" i="15"/>
  <c r="TP99" i="15"/>
  <c r="OS97" i="15"/>
  <c r="OT96" i="15"/>
  <c r="FU98" i="15"/>
  <c r="FV98" i="15" s="1"/>
  <c r="FP99" i="15"/>
  <c r="RP99" i="15"/>
  <c r="BJ97" i="15"/>
  <c r="CR98" i="15"/>
  <c r="CS98" i="15" s="1"/>
  <c r="CT97" i="15"/>
  <c r="ND99" i="15"/>
  <c r="QW98" i="15"/>
  <c r="BL99" i="15"/>
  <c r="HA97" i="15"/>
  <c r="HB96" i="15"/>
  <c r="FI98" i="15"/>
  <c r="FJ98" i="15" s="1"/>
  <c r="KG97" i="15"/>
  <c r="KH96" i="15"/>
  <c r="SP97" i="15"/>
  <c r="CN99" i="15"/>
  <c r="LT99" i="15"/>
  <c r="ER99" i="15"/>
  <c r="DN97" i="15"/>
  <c r="EV99" i="15"/>
  <c r="RE98" i="15"/>
  <c r="RF98" i="15" s="1"/>
  <c r="F101" i="9"/>
  <c r="G101" i="9" s="1"/>
  <c r="F101" i="8"/>
  <c r="G101" i="8" s="1"/>
  <c r="E102" i="11"/>
  <c r="F101" i="11"/>
  <c r="G101" i="10"/>
  <c r="G100" i="10"/>
  <c r="E102" i="9"/>
  <c r="G100" i="9"/>
  <c r="E102" i="8"/>
  <c r="G100" i="8"/>
  <c r="E103" i="2"/>
  <c r="F102" i="2"/>
  <c r="SO99" i="15" l="1"/>
  <c r="IG99" i="15"/>
  <c r="U99" i="15"/>
  <c r="JY99" i="15"/>
  <c r="JZ99" i="15" s="1"/>
  <c r="CO99" i="15"/>
  <c r="CP99" i="15" s="1"/>
  <c r="RI99" i="15"/>
  <c r="RJ99" i="15" s="1"/>
  <c r="LQ99" i="15"/>
  <c r="LR99" i="15" s="1"/>
  <c r="BQ99" i="15"/>
  <c r="BR99" i="15" s="1"/>
  <c r="LY99" i="15"/>
  <c r="LZ99" i="15" s="1"/>
  <c r="AO99" i="15"/>
  <c r="AP99" i="15" s="1"/>
  <c r="OK99" i="15"/>
  <c r="OL99" i="15" s="1"/>
  <c r="QS99" i="15"/>
  <c r="QO99" i="15"/>
  <c r="QP99" i="15" s="1"/>
  <c r="TU99" i="15"/>
  <c r="TV99" i="15" s="1"/>
  <c r="BI99" i="15"/>
  <c r="BJ99" i="15" s="1"/>
  <c r="IS99" i="15"/>
  <c r="IT99" i="15" s="1"/>
  <c r="SG99" i="15"/>
  <c r="SH99" i="15" s="1"/>
  <c r="KK99" i="15"/>
  <c r="KL99" i="15" s="1"/>
  <c r="HM99" i="15"/>
  <c r="HN99" i="15" s="1"/>
  <c r="EG99" i="15"/>
  <c r="EH99" i="15" s="1"/>
  <c r="FY99" i="15"/>
  <c r="FZ99" i="15" s="1"/>
  <c r="FM99" i="15"/>
  <c r="FN99" i="15" s="1"/>
  <c r="IC99" i="15"/>
  <c r="PM98" i="15"/>
  <c r="PN98" i="15" s="1"/>
  <c r="QW99" i="15"/>
  <c r="QX99" i="15" s="1"/>
  <c r="I98" i="15"/>
  <c r="J98" i="15" s="1"/>
  <c r="MC99" i="15"/>
  <c r="QX98" i="15"/>
  <c r="BA99" i="15"/>
  <c r="BB99" i="15" s="1"/>
  <c r="NA98" i="15"/>
  <c r="NB98" i="15" s="1"/>
  <c r="KS99" i="15"/>
  <c r="KT99" i="15" s="1"/>
  <c r="GS99" i="15"/>
  <c r="GT99" i="15" s="1"/>
  <c r="EK99" i="15"/>
  <c r="EL99" i="15" s="1"/>
  <c r="PT100" i="15"/>
  <c r="FQ98" i="15"/>
  <c r="FR97" i="15"/>
  <c r="LD100" i="15"/>
  <c r="TL100" i="15"/>
  <c r="QV100" i="15"/>
  <c r="HL100" i="15"/>
  <c r="IB100" i="15"/>
  <c r="Y98" i="15"/>
  <c r="Z97" i="15"/>
  <c r="DE98" i="15"/>
  <c r="DF97" i="15"/>
  <c r="UN100" i="15"/>
  <c r="NT100" i="15"/>
  <c r="JD100" i="15"/>
  <c r="JE98" i="15"/>
  <c r="JF97" i="15"/>
  <c r="LU98" i="15"/>
  <c r="LV97" i="15"/>
  <c r="SV100" i="15"/>
  <c r="HX100" i="15"/>
  <c r="CB99" i="15"/>
  <c r="DU98" i="15"/>
  <c r="DV97" i="15"/>
  <c r="ID98" i="15"/>
  <c r="AW98" i="15"/>
  <c r="AX97" i="15"/>
  <c r="OR100" i="15"/>
  <c r="FD100" i="15"/>
  <c r="BP100" i="15"/>
  <c r="GC98" i="15"/>
  <c r="GD97" i="15"/>
  <c r="M98" i="15"/>
  <c r="N97" i="15"/>
  <c r="HY99" i="15"/>
  <c r="NU98" i="15"/>
  <c r="NV97" i="15"/>
  <c r="TQ98" i="15"/>
  <c r="TR97" i="15"/>
  <c r="JP100" i="15"/>
  <c r="PX100" i="15"/>
  <c r="MK98" i="15"/>
  <c r="ML97" i="15"/>
  <c r="LH100" i="15"/>
  <c r="HI98" i="15"/>
  <c r="HJ97" i="15"/>
  <c r="MN100" i="15"/>
  <c r="NB97" i="15"/>
  <c r="OF99" i="15"/>
  <c r="JQ98" i="15"/>
  <c r="JR97" i="15"/>
  <c r="P100" i="15"/>
  <c r="KJ100" i="15"/>
  <c r="JH100" i="15"/>
  <c r="IW98" i="15"/>
  <c r="IX97" i="15"/>
  <c r="EN100" i="15"/>
  <c r="D100" i="15"/>
  <c r="TX100" i="15"/>
  <c r="L100" i="15"/>
  <c r="UC98" i="15"/>
  <c r="UD97" i="15"/>
  <c r="AJ100" i="15"/>
  <c r="CJ100" i="15"/>
  <c r="JL100" i="15"/>
  <c r="EZ100" i="15"/>
  <c r="MZ99" i="15"/>
  <c r="KB100" i="15"/>
  <c r="SW99" i="15"/>
  <c r="SX99" i="15" s="1"/>
  <c r="PP100" i="15"/>
  <c r="IO98" i="15"/>
  <c r="IP97" i="15"/>
  <c r="MF100" i="15"/>
  <c r="PU98" i="15"/>
  <c r="PV97" i="15"/>
  <c r="AS98" i="15"/>
  <c r="AT97" i="15"/>
  <c r="HH100" i="15"/>
  <c r="RQ98" i="15"/>
  <c r="RR97" i="15"/>
  <c r="SR100" i="15"/>
  <c r="TD100" i="15"/>
  <c r="MG99" i="15"/>
  <c r="NP100" i="15"/>
  <c r="QR100" i="15"/>
  <c r="QT99" i="15"/>
  <c r="KG98" i="15"/>
  <c r="KH97" i="15"/>
  <c r="JU98" i="15"/>
  <c r="JV97" i="15"/>
  <c r="IZ100" i="15"/>
  <c r="TM98" i="15"/>
  <c r="TN97" i="15"/>
  <c r="QN100" i="15"/>
  <c r="PH100" i="15"/>
  <c r="NE98" i="15"/>
  <c r="NF97" i="15"/>
  <c r="UJ100" i="15"/>
  <c r="GG98" i="15"/>
  <c r="GH97" i="15"/>
  <c r="QC98" i="15"/>
  <c r="QD97" i="15"/>
  <c r="QT98" i="15"/>
  <c r="BY98" i="15"/>
  <c r="BZ97" i="15"/>
  <c r="HP100" i="15"/>
  <c r="OS98" i="15"/>
  <c r="OT97" i="15"/>
  <c r="PQ98" i="15"/>
  <c r="PR97" i="15"/>
  <c r="AV100" i="15"/>
  <c r="SZ100" i="15"/>
  <c r="CF100" i="15"/>
  <c r="GB100" i="15"/>
  <c r="NQ98" i="15"/>
  <c r="NR97" i="15"/>
  <c r="OO98" i="15"/>
  <c r="OP97" i="15"/>
  <c r="GZ100" i="15"/>
  <c r="FN98" i="15"/>
  <c r="CK99" i="15"/>
  <c r="RU98" i="15"/>
  <c r="RV97" i="15"/>
  <c r="BT99" i="15"/>
  <c r="SC98" i="15"/>
  <c r="SD97" i="15"/>
  <c r="LX100" i="15"/>
  <c r="LY100" i="15" s="1"/>
  <c r="MW98" i="15"/>
  <c r="MX97" i="15"/>
  <c r="JA99" i="15"/>
  <c r="JB99" i="15" s="1"/>
  <c r="UF100" i="15"/>
  <c r="OB100" i="15"/>
  <c r="DH100" i="15"/>
  <c r="FL100" i="15"/>
  <c r="RM98" i="15"/>
  <c r="RN97" i="15"/>
  <c r="RD100" i="15"/>
  <c r="NH100" i="15"/>
  <c r="ON100" i="15"/>
  <c r="UK98" i="15"/>
  <c r="UL97" i="15"/>
  <c r="BM98" i="15"/>
  <c r="BN97" i="15"/>
  <c r="GV100" i="15"/>
  <c r="PN97" i="15"/>
  <c r="TA98" i="15"/>
  <c r="TB97" i="15"/>
  <c r="QG98" i="15"/>
  <c r="QH97" i="15"/>
  <c r="QJ100" i="15"/>
  <c r="LA98" i="15"/>
  <c r="LB97" i="15"/>
  <c r="MO99" i="15"/>
  <c r="KN100" i="15"/>
  <c r="SB100" i="15"/>
  <c r="BL100" i="15"/>
  <c r="NI98" i="15"/>
  <c r="NJ97" i="15"/>
  <c r="JI98" i="15"/>
  <c r="JJ97" i="15"/>
  <c r="MR100" i="15"/>
  <c r="IJ100" i="15"/>
  <c r="KW98" i="15"/>
  <c r="KX97" i="15"/>
  <c r="PL99" i="15"/>
  <c r="DP100" i="15"/>
  <c r="UR100" i="15"/>
  <c r="AB100" i="15"/>
  <c r="OC98" i="15"/>
  <c r="OD97" i="15"/>
  <c r="RT100" i="15"/>
  <c r="UO99" i="15"/>
  <c r="QF100" i="15"/>
  <c r="LM99" i="15"/>
  <c r="LN99" i="15" s="1"/>
  <c r="JX100" i="15"/>
  <c r="SF100" i="15"/>
  <c r="RX100" i="15"/>
  <c r="CZ100" i="15"/>
  <c r="AN100" i="15"/>
  <c r="TE98" i="15"/>
  <c r="TF97" i="15"/>
  <c r="QZ100" i="15"/>
  <c r="SJ100" i="15"/>
  <c r="OW98" i="15"/>
  <c r="OX97" i="15"/>
  <c r="DQ99" i="15"/>
  <c r="DR99" i="15" s="1"/>
  <c r="TY99" i="15"/>
  <c r="FX100" i="15"/>
  <c r="OV100" i="15"/>
  <c r="EF100" i="15"/>
  <c r="KC98" i="15"/>
  <c r="KD97" i="15"/>
  <c r="GN100" i="15"/>
  <c r="OZ100" i="15"/>
  <c r="IV100" i="15"/>
  <c r="TI98" i="15"/>
  <c r="TJ97" i="15"/>
  <c r="PA98" i="15"/>
  <c r="PB97" i="15"/>
  <c r="NM98" i="15"/>
  <c r="NN97" i="15"/>
  <c r="MB100" i="15"/>
  <c r="MD99" i="15"/>
  <c r="DA99" i="15"/>
  <c r="DB99" i="15" s="1"/>
  <c r="PI99" i="15"/>
  <c r="KV100" i="15"/>
  <c r="FI99" i="15"/>
  <c r="FJ99" i="15" s="1"/>
  <c r="QK98" i="15"/>
  <c r="QL97" i="15"/>
  <c r="GF100" i="15"/>
  <c r="IK98" i="15"/>
  <c r="IL97" i="15"/>
  <c r="BU98" i="15"/>
  <c r="US98" i="15"/>
  <c r="UT97" i="15"/>
  <c r="LE98" i="15"/>
  <c r="LF97" i="15"/>
  <c r="LP100" i="15"/>
  <c r="DT100" i="15"/>
  <c r="MD98" i="15"/>
  <c r="SP98" i="15"/>
  <c r="GW99" i="15"/>
  <c r="GJ100" i="15"/>
  <c r="TP100" i="15"/>
  <c r="ND100" i="15"/>
  <c r="CV100" i="15"/>
  <c r="RY98" i="15"/>
  <c r="RZ97" i="15"/>
  <c r="DL100" i="15"/>
  <c r="KO99" i="15"/>
  <c r="BX100" i="15"/>
  <c r="NY98" i="15"/>
  <c r="NZ97" i="15"/>
  <c r="DM99" i="15"/>
  <c r="SN100" i="15"/>
  <c r="SO100" i="15" s="1"/>
  <c r="SP99" i="15"/>
  <c r="GO99" i="15"/>
  <c r="GP99" i="15" s="1"/>
  <c r="IR100" i="15"/>
  <c r="HQ99" i="15"/>
  <c r="HA98" i="15"/>
  <c r="HB97" i="15"/>
  <c r="LL100" i="15"/>
  <c r="CT98" i="15"/>
  <c r="CR99" i="15"/>
  <c r="FE99" i="15"/>
  <c r="IN100" i="15"/>
  <c r="ER100" i="15"/>
  <c r="EW98" i="15"/>
  <c r="EX97" i="15"/>
  <c r="LI99" i="15"/>
  <c r="LJ99" i="15" s="1"/>
  <c r="DY98" i="15"/>
  <c r="DZ97" i="15"/>
  <c r="HT100" i="15"/>
  <c r="OJ100" i="15"/>
  <c r="NL100" i="15"/>
  <c r="MS98" i="15"/>
  <c r="MT97" i="15"/>
  <c r="UG98" i="15"/>
  <c r="UH97" i="15"/>
  <c r="J97" i="15"/>
  <c r="AC99" i="15"/>
  <c r="AZ100" i="15"/>
  <c r="CG98" i="15"/>
  <c r="CH97" i="15"/>
  <c r="T100" i="15"/>
  <c r="V99" i="15"/>
  <c r="UB100" i="15"/>
  <c r="FA98" i="15"/>
  <c r="FB97" i="15"/>
  <c r="BF99" i="15"/>
  <c r="BD100" i="15"/>
  <c r="BE100" i="15" s="1"/>
  <c r="KT98" i="15"/>
  <c r="X100" i="15"/>
  <c r="RL100" i="15"/>
  <c r="AF100" i="15"/>
  <c r="DD100" i="15"/>
  <c r="RA98" i="15"/>
  <c r="RB97" i="15"/>
  <c r="EV100" i="15"/>
  <c r="DX100" i="15"/>
  <c r="JM99" i="15"/>
  <c r="BH100" i="15"/>
  <c r="CW98" i="15"/>
  <c r="CX97" i="15"/>
  <c r="DI98" i="15"/>
  <c r="DJ97" i="15"/>
  <c r="LT100" i="15"/>
  <c r="AR100" i="15"/>
  <c r="H99" i="15"/>
  <c r="ES98" i="15"/>
  <c r="ET97" i="15"/>
  <c r="FP100" i="15"/>
  <c r="PD100" i="15"/>
  <c r="PE100" i="15" s="1"/>
  <c r="PF99" i="15"/>
  <c r="GK98" i="15"/>
  <c r="GL97" i="15"/>
  <c r="JT100" i="15"/>
  <c r="MV100" i="15"/>
  <c r="IF100" i="15"/>
  <c r="IH99" i="15"/>
  <c r="EO99" i="15"/>
  <c r="SK99" i="15"/>
  <c r="QB100" i="15"/>
  <c r="EB100" i="15"/>
  <c r="BF98" i="15"/>
  <c r="EJ100" i="15"/>
  <c r="SS98" i="15"/>
  <c r="ST97" i="15"/>
  <c r="KR100" i="15"/>
  <c r="CC98" i="15"/>
  <c r="Q98" i="15"/>
  <c r="R97" i="15"/>
  <c r="AK99" i="15"/>
  <c r="FH100" i="15"/>
  <c r="E99" i="15"/>
  <c r="RE99" i="15"/>
  <c r="KF100" i="15"/>
  <c r="HU98" i="15"/>
  <c r="HV97" i="15"/>
  <c r="RH100" i="15"/>
  <c r="RP100" i="15"/>
  <c r="FT100" i="15"/>
  <c r="BB98" i="15"/>
  <c r="KZ100" i="15"/>
  <c r="CN100" i="15"/>
  <c r="FU99" i="15"/>
  <c r="MJ100" i="15"/>
  <c r="TH100" i="15"/>
  <c r="HD100" i="15"/>
  <c r="HE100" i="15" s="1"/>
  <c r="HF99" i="15"/>
  <c r="EC98" i="15"/>
  <c r="ED97" i="15"/>
  <c r="TT100" i="15"/>
  <c r="AG99" i="15"/>
  <c r="FF98" i="15"/>
  <c r="OG98" i="15"/>
  <c r="OH98" i="15" s="1"/>
  <c r="EL98" i="15"/>
  <c r="GR100" i="15"/>
  <c r="UP98" i="15"/>
  <c r="NX100" i="15"/>
  <c r="PY99" i="15"/>
  <c r="F102" i="11"/>
  <c r="G102" i="11" s="1"/>
  <c r="F103" i="2"/>
  <c r="G103" i="2" s="1"/>
  <c r="G101" i="11"/>
  <c r="E103" i="11"/>
  <c r="E103" i="9"/>
  <c r="F102" i="9"/>
  <c r="E103" i="8"/>
  <c r="F102" i="8"/>
  <c r="G102" i="2"/>
  <c r="E104" i="2"/>
  <c r="U100" i="15" l="1"/>
  <c r="E100" i="15"/>
  <c r="F100" i="15" s="1"/>
  <c r="LQ100" i="15"/>
  <c r="LR100" i="15" s="1"/>
  <c r="OK100" i="15"/>
  <c r="OL100" i="15" s="1"/>
  <c r="CO100" i="15"/>
  <c r="CP100" i="15" s="1"/>
  <c r="IC100" i="15"/>
  <c r="ID100" i="15" s="1"/>
  <c r="ID99" i="15"/>
  <c r="AO100" i="15"/>
  <c r="AP100" i="15" s="1"/>
  <c r="CC99" i="15"/>
  <c r="CD99" i="15" s="1"/>
  <c r="SG100" i="15"/>
  <c r="SH100" i="15" s="1"/>
  <c r="CK100" i="15"/>
  <c r="KK100" i="15"/>
  <c r="KL100" i="15" s="1"/>
  <c r="EO100" i="15"/>
  <c r="EP100" i="15" s="1"/>
  <c r="PI100" i="15"/>
  <c r="PJ100" i="15" s="1"/>
  <c r="KS100" i="15"/>
  <c r="KT100" i="15" s="1"/>
  <c r="I99" i="15"/>
  <c r="J99" i="15" s="1"/>
  <c r="QW100" i="15"/>
  <c r="QX100" i="15" s="1"/>
  <c r="TY100" i="15"/>
  <c r="TZ100" i="15" s="1"/>
  <c r="BU99" i="15"/>
  <c r="BV99" i="15" s="1"/>
  <c r="AC100" i="15"/>
  <c r="AD100" i="15" s="1"/>
  <c r="JM100" i="15"/>
  <c r="JN100" i="15" s="1"/>
  <c r="AG100" i="15"/>
  <c r="AH100" i="15" s="1"/>
  <c r="SK100" i="15"/>
  <c r="SL100" i="15" s="1"/>
  <c r="FE100" i="15"/>
  <c r="FF100" i="15" s="1"/>
  <c r="AK100" i="15"/>
  <c r="AL100" i="15" s="1"/>
  <c r="RE100" i="15"/>
  <c r="RF100" i="15" s="1"/>
  <c r="FU100" i="15"/>
  <c r="FV100" i="15" s="1"/>
  <c r="MO100" i="15"/>
  <c r="MP100" i="15" s="1"/>
  <c r="UO100" i="15"/>
  <c r="UP100" i="15" s="1"/>
  <c r="PY100" i="15"/>
  <c r="PZ100" i="15" s="1"/>
  <c r="GO100" i="15"/>
  <c r="GP100" i="15" s="1"/>
  <c r="JA100" i="15"/>
  <c r="JB100" i="15" s="1"/>
  <c r="HQ100" i="15"/>
  <c r="HR100" i="15" s="1"/>
  <c r="DM100" i="15"/>
  <c r="DN100" i="15" s="1"/>
  <c r="GW100" i="15"/>
  <c r="GX100" i="15" s="1"/>
  <c r="EW99" i="15"/>
  <c r="EX98" i="15"/>
  <c r="DP101" i="15"/>
  <c r="QR101" i="15"/>
  <c r="HL101" i="15"/>
  <c r="FP101" i="15"/>
  <c r="CZ101" i="15"/>
  <c r="ER101" i="15"/>
  <c r="EF101" i="15"/>
  <c r="RF99" i="15"/>
  <c r="SC99" i="15"/>
  <c r="SD98" i="15"/>
  <c r="SZ101" i="15"/>
  <c r="UJ101" i="15"/>
  <c r="IO99" i="15"/>
  <c r="IP98" i="15"/>
  <c r="L101" i="15"/>
  <c r="M99" i="15"/>
  <c r="N98" i="15"/>
  <c r="SV101" i="15"/>
  <c r="DT101" i="15"/>
  <c r="DA100" i="15"/>
  <c r="DB100" i="15" s="1"/>
  <c r="RX101" i="15"/>
  <c r="LA99" i="15"/>
  <c r="LB98" i="15"/>
  <c r="RD101" i="15"/>
  <c r="NP101" i="15"/>
  <c r="TZ99" i="15"/>
  <c r="MP99" i="15"/>
  <c r="TT101" i="15"/>
  <c r="OV101" i="15"/>
  <c r="PL100" i="15"/>
  <c r="QJ101" i="15"/>
  <c r="AV101" i="15"/>
  <c r="MG100" i="15"/>
  <c r="MH100" i="15" s="1"/>
  <c r="TX101" i="15"/>
  <c r="MN101" i="15"/>
  <c r="GC99" i="15"/>
  <c r="GD98" i="15"/>
  <c r="LU99" i="15"/>
  <c r="LV98" i="15"/>
  <c r="QV101" i="15"/>
  <c r="ES99" i="15"/>
  <c r="ET98" i="15"/>
  <c r="AR101" i="15"/>
  <c r="AH99" i="15"/>
  <c r="IN101" i="15"/>
  <c r="KO100" i="15"/>
  <c r="KP100" i="15" s="1"/>
  <c r="LP101" i="15"/>
  <c r="MB101" i="15"/>
  <c r="SF101" i="15"/>
  <c r="BV98" i="15"/>
  <c r="NE99" i="15"/>
  <c r="NF98" i="15"/>
  <c r="PP101" i="15"/>
  <c r="D101" i="15"/>
  <c r="E101" i="15" s="1"/>
  <c r="MC100" i="15"/>
  <c r="UC99" i="15"/>
  <c r="UD98" i="15"/>
  <c r="NY99" i="15"/>
  <c r="NZ98" i="15"/>
  <c r="DN99" i="15"/>
  <c r="FX101" i="15"/>
  <c r="JX101" i="15"/>
  <c r="KW99" i="15"/>
  <c r="KX98" i="15"/>
  <c r="RM99" i="15"/>
  <c r="RN98" i="15"/>
  <c r="BT100" i="15"/>
  <c r="PH101" i="15"/>
  <c r="TD101" i="15"/>
  <c r="SW100" i="15"/>
  <c r="SX100" i="15" s="1"/>
  <c r="F99" i="15"/>
  <c r="HI99" i="15"/>
  <c r="HJ98" i="15"/>
  <c r="JE99" i="15"/>
  <c r="JF98" i="15"/>
  <c r="TL101" i="15"/>
  <c r="QG99" i="15"/>
  <c r="QH98" i="15"/>
  <c r="PJ99" i="15"/>
  <c r="EP99" i="15"/>
  <c r="LH101" i="15"/>
  <c r="BP101" i="15"/>
  <c r="RP101" i="15"/>
  <c r="NH101" i="15"/>
  <c r="RA99" i="15"/>
  <c r="RB98" i="15"/>
  <c r="LT101" i="15"/>
  <c r="LE99" i="15"/>
  <c r="LF98" i="15"/>
  <c r="DQ100" i="15"/>
  <c r="LM100" i="15"/>
  <c r="LN100" i="15" s="1"/>
  <c r="IJ101" i="15"/>
  <c r="FL101" i="15"/>
  <c r="RU99" i="15"/>
  <c r="RV98" i="15"/>
  <c r="PQ99" i="15"/>
  <c r="PR98" i="15"/>
  <c r="QN101" i="15"/>
  <c r="SR101" i="15"/>
  <c r="KB101" i="15"/>
  <c r="EN101" i="15"/>
  <c r="FD101" i="15"/>
  <c r="JD101" i="15"/>
  <c r="EG100" i="15"/>
  <c r="RY99" i="15"/>
  <c r="RZ98" i="15"/>
  <c r="PA99" i="15"/>
  <c r="PB98" i="15"/>
  <c r="TA99" i="15"/>
  <c r="TB98" i="15"/>
  <c r="QS100" i="15"/>
  <c r="QT100" i="15" s="1"/>
  <c r="MZ100" i="15"/>
  <c r="FF99" i="15"/>
  <c r="KV101" i="15"/>
  <c r="DD101" i="15"/>
  <c r="MJ101" i="15"/>
  <c r="US99" i="15"/>
  <c r="UT98" i="15"/>
  <c r="OW99" i="15"/>
  <c r="OX98" i="15"/>
  <c r="QF101" i="15"/>
  <c r="MR101" i="15"/>
  <c r="OS99" i="15"/>
  <c r="OT98" i="15"/>
  <c r="IW99" i="15"/>
  <c r="IX98" i="15"/>
  <c r="MK99" i="15"/>
  <c r="ML98" i="15"/>
  <c r="QO100" i="15"/>
  <c r="LD101" i="15"/>
  <c r="LX101" i="15"/>
  <c r="LZ100" i="15"/>
  <c r="H100" i="15"/>
  <c r="HD101" i="15"/>
  <c r="HF100" i="15"/>
  <c r="UG99" i="15"/>
  <c r="UH98" i="15"/>
  <c r="TI99" i="15"/>
  <c r="TJ98" i="15"/>
  <c r="GX99" i="15"/>
  <c r="DH101" i="15"/>
  <c r="GZ101" i="15"/>
  <c r="HR99" i="15"/>
  <c r="TM99" i="15"/>
  <c r="TN98" i="15"/>
  <c r="RQ99" i="15"/>
  <c r="RR98" i="15"/>
  <c r="TU100" i="15"/>
  <c r="PZ99" i="15"/>
  <c r="OR101" i="15"/>
  <c r="HM100" i="15"/>
  <c r="KN101" i="15"/>
  <c r="EJ101" i="15"/>
  <c r="RH101" i="15"/>
  <c r="EB101" i="15"/>
  <c r="DL101" i="15"/>
  <c r="IF101" i="15"/>
  <c r="HA99" i="15"/>
  <c r="HB98" i="15"/>
  <c r="CV101" i="15"/>
  <c r="SJ101" i="15"/>
  <c r="JI99" i="15"/>
  <c r="JJ98" i="15"/>
  <c r="GV101" i="15"/>
  <c r="HP101" i="15"/>
  <c r="NA99" i="15"/>
  <c r="NB99" i="15" s="1"/>
  <c r="EZ101" i="15"/>
  <c r="PX101" i="15"/>
  <c r="NT101" i="15"/>
  <c r="TH101" i="15"/>
  <c r="LL101" i="15"/>
  <c r="IK99" i="15"/>
  <c r="IL98" i="15"/>
  <c r="IV101" i="15"/>
  <c r="RT101" i="15"/>
  <c r="OB101" i="15"/>
  <c r="HH101" i="15"/>
  <c r="JN99" i="15"/>
  <c r="JH101" i="15"/>
  <c r="AW99" i="15"/>
  <c r="AX98" i="15"/>
  <c r="UP99" i="15"/>
  <c r="FQ99" i="15"/>
  <c r="FR98" i="15"/>
  <c r="AZ101" i="15"/>
  <c r="HU99" i="15"/>
  <c r="HV98" i="15"/>
  <c r="QB101" i="15"/>
  <c r="RI100" i="15"/>
  <c r="RJ100" i="15" s="1"/>
  <c r="MS99" i="15"/>
  <c r="MT98" i="15"/>
  <c r="NL101" i="15"/>
  <c r="BD101" i="15"/>
  <c r="BE101" i="15" s="1"/>
  <c r="BF100" i="15"/>
  <c r="ND101" i="15"/>
  <c r="FM100" i="15"/>
  <c r="OZ101" i="15"/>
  <c r="QZ101" i="15"/>
  <c r="NI99" i="15"/>
  <c r="NJ98" i="15"/>
  <c r="BM99" i="15"/>
  <c r="BN98" i="15"/>
  <c r="OO99" i="15"/>
  <c r="OP98" i="15"/>
  <c r="BY99" i="15"/>
  <c r="BZ98" i="15"/>
  <c r="IZ101" i="15"/>
  <c r="PM99" i="15"/>
  <c r="PN99" i="15" s="1"/>
  <c r="JL101" i="15"/>
  <c r="KJ101" i="15"/>
  <c r="JP101" i="15"/>
  <c r="UN101" i="15"/>
  <c r="CF101" i="15"/>
  <c r="CG99" i="15"/>
  <c r="CH98" i="15"/>
  <c r="AF101" i="15"/>
  <c r="CW99" i="15"/>
  <c r="CX98" i="15"/>
  <c r="KZ101" i="15"/>
  <c r="IR101" i="15"/>
  <c r="OC99" i="15"/>
  <c r="OD98" i="15"/>
  <c r="UF101" i="15"/>
  <c r="CL99" i="15"/>
  <c r="PT101" i="15"/>
  <c r="HX101" i="15"/>
  <c r="BX101" i="15"/>
  <c r="RL101" i="15"/>
  <c r="SL99" i="15"/>
  <c r="NX101" i="15"/>
  <c r="BH101" i="15"/>
  <c r="DX101" i="15"/>
  <c r="TE99" i="15"/>
  <c r="TF98" i="15"/>
  <c r="UK99" i="15"/>
  <c r="UL98" i="15"/>
  <c r="JU99" i="15"/>
  <c r="JV98" i="15"/>
  <c r="AS99" i="15"/>
  <c r="AT98" i="15"/>
  <c r="CL100" i="15"/>
  <c r="CJ101" i="15"/>
  <c r="TQ99" i="15"/>
  <c r="TR98" i="15"/>
  <c r="DU99" i="15"/>
  <c r="DV98" i="15"/>
  <c r="DE99" i="15"/>
  <c r="DF98" i="15"/>
  <c r="IG100" i="15"/>
  <c r="IH100" i="15" s="1"/>
  <c r="KF101" i="15"/>
  <c r="CR100" i="15"/>
  <c r="X101" i="15"/>
  <c r="MV101" i="15"/>
  <c r="GR101" i="15"/>
  <c r="HT101" i="15"/>
  <c r="GF101" i="15"/>
  <c r="KR101" i="15"/>
  <c r="GN101" i="15"/>
  <c r="GS100" i="15"/>
  <c r="GT100" i="15" s="1"/>
  <c r="AD99" i="15"/>
  <c r="SB101" i="15"/>
  <c r="EK100" i="15"/>
  <c r="QC99" i="15"/>
  <c r="QD98" i="15"/>
  <c r="AL99" i="15"/>
  <c r="P101" i="15"/>
  <c r="CD98" i="15"/>
  <c r="JY100" i="15"/>
  <c r="MF101" i="15"/>
  <c r="EC99" i="15"/>
  <c r="ED98" i="15"/>
  <c r="FH101" i="15"/>
  <c r="DI99" i="15"/>
  <c r="DJ98" i="15"/>
  <c r="OJ101" i="15"/>
  <c r="JT101" i="15"/>
  <c r="BA100" i="15"/>
  <c r="GK99" i="15"/>
  <c r="GL98" i="15"/>
  <c r="FY100" i="15"/>
  <c r="BL101" i="15"/>
  <c r="NQ99" i="15"/>
  <c r="NR98" i="15"/>
  <c r="OG99" i="15"/>
  <c r="OH99" i="15" s="1"/>
  <c r="FT101" i="15"/>
  <c r="PD101" i="15"/>
  <c r="PE101" i="15" s="1"/>
  <c r="PF100" i="15"/>
  <c r="DY99" i="15"/>
  <c r="DZ98" i="15"/>
  <c r="GJ101" i="15"/>
  <c r="QK99" i="15"/>
  <c r="QL98" i="15"/>
  <c r="AN101" i="15"/>
  <c r="AB101" i="15"/>
  <c r="ON101" i="15"/>
  <c r="MW99" i="15"/>
  <c r="MX98" i="15"/>
  <c r="GB101" i="15"/>
  <c r="KG99" i="15"/>
  <c r="KH98" i="15"/>
  <c r="PU99" i="15"/>
  <c r="PV98" i="15"/>
  <c r="AJ101" i="15"/>
  <c r="NU99" i="15"/>
  <c r="NV98" i="15"/>
  <c r="CB100" i="15"/>
  <c r="Y99" i="15"/>
  <c r="Z98" i="15"/>
  <c r="IS100" i="15"/>
  <c r="OF100" i="15"/>
  <c r="NM99" i="15"/>
  <c r="NN98" i="15"/>
  <c r="CN101" i="15"/>
  <c r="Q99" i="15"/>
  <c r="R98" i="15"/>
  <c r="FA99" i="15"/>
  <c r="FB98" i="15"/>
  <c r="UB101" i="15"/>
  <c r="TP101" i="15"/>
  <c r="BI100" i="15"/>
  <c r="FV99" i="15"/>
  <c r="SS99" i="15"/>
  <c r="ST98" i="15"/>
  <c r="EV101" i="15"/>
  <c r="V100" i="15"/>
  <c r="T101" i="15"/>
  <c r="U101" i="15" s="1"/>
  <c r="LI100" i="15"/>
  <c r="SP100" i="15"/>
  <c r="SN101" i="15"/>
  <c r="SO101" i="15" s="1"/>
  <c r="FI100" i="15"/>
  <c r="FJ100" i="15" s="1"/>
  <c r="KC99" i="15"/>
  <c r="KD98" i="15"/>
  <c r="UR101" i="15"/>
  <c r="KP99" i="15"/>
  <c r="GG99" i="15"/>
  <c r="GH98" i="15"/>
  <c r="BQ100" i="15"/>
  <c r="BR100" i="15" s="1"/>
  <c r="MH99" i="15"/>
  <c r="JQ99" i="15"/>
  <c r="JR98" i="15"/>
  <c r="HY100" i="15"/>
  <c r="HZ99" i="15"/>
  <c r="IB101" i="15"/>
  <c r="CS99" i="15"/>
  <c r="F103" i="8"/>
  <c r="G103" i="8" s="1"/>
  <c r="F103" i="9"/>
  <c r="G103" i="9" s="1"/>
  <c r="E104" i="11"/>
  <c r="F103" i="11"/>
  <c r="G102" i="10"/>
  <c r="G103" i="10"/>
  <c r="G102" i="9"/>
  <c r="E104" i="9"/>
  <c r="G102" i="8"/>
  <c r="E104" i="8"/>
  <c r="E105" i="2"/>
  <c r="F104" i="2"/>
  <c r="CO101" i="15" l="1"/>
  <c r="LQ101" i="15"/>
  <c r="LR101" i="15" s="1"/>
  <c r="KK101" i="15"/>
  <c r="KL101" i="15" s="1"/>
  <c r="AO101" i="15"/>
  <c r="AP101" i="15" s="1"/>
  <c r="AC101" i="15"/>
  <c r="AD101" i="15" s="1"/>
  <c r="KS101" i="15"/>
  <c r="KT101" i="15" s="1"/>
  <c r="TY101" i="15"/>
  <c r="TZ101" i="15" s="1"/>
  <c r="AG101" i="15"/>
  <c r="AH101" i="15" s="1"/>
  <c r="BU100" i="15"/>
  <c r="BV100" i="15" s="1"/>
  <c r="SG101" i="15"/>
  <c r="SH101" i="15" s="1"/>
  <c r="PI101" i="15"/>
  <c r="PJ101" i="15" s="1"/>
  <c r="JY101" i="15"/>
  <c r="JZ101" i="15" s="1"/>
  <c r="AK101" i="15"/>
  <c r="AL101" i="15" s="1"/>
  <c r="JM101" i="15"/>
  <c r="JN101" i="15" s="1"/>
  <c r="EK101" i="15"/>
  <c r="EL101" i="15" s="1"/>
  <c r="TU101" i="15"/>
  <c r="TV101" i="15" s="1"/>
  <c r="CS100" i="15"/>
  <c r="CT100" i="15" s="1"/>
  <c r="MC101" i="15"/>
  <c r="MD101" i="15" s="1"/>
  <c r="BA101" i="15"/>
  <c r="BB101" i="15" s="1"/>
  <c r="HQ101" i="15"/>
  <c r="HR101" i="15" s="1"/>
  <c r="FY101" i="15"/>
  <c r="FZ101" i="15" s="1"/>
  <c r="IS101" i="15"/>
  <c r="IT101" i="15" s="1"/>
  <c r="BI101" i="15"/>
  <c r="BJ101" i="15" s="1"/>
  <c r="DQ101" i="15"/>
  <c r="DR101" i="15" s="1"/>
  <c r="LI101" i="15"/>
  <c r="LJ101" i="15" s="1"/>
  <c r="EG101" i="15"/>
  <c r="EH101" i="15" s="1"/>
  <c r="HM101" i="15"/>
  <c r="HN101" i="15" s="1"/>
  <c r="HY101" i="15"/>
  <c r="HZ101" i="15" s="1"/>
  <c r="FM101" i="15"/>
  <c r="FN101" i="15" s="1"/>
  <c r="QO101" i="15"/>
  <c r="QP101" i="15" s="1"/>
  <c r="FN100" i="15"/>
  <c r="PL101" i="15"/>
  <c r="NQ100" i="15"/>
  <c r="NR99" i="15"/>
  <c r="CJ102" i="15"/>
  <c r="BX102" i="15"/>
  <c r="CG100" i="15"/>
  <c r="CH99" i="15"/>
  <c r="PA100" i="15"/>
  <c r="PB99" i="15"/>
  <c r="RU100" i="15"/>
  <c r="RV99" i="15"/>
  <c r="PH102" i="15"/>
  <c r="ER102" i="15"/>
  <c r="HX102" i="15"/>
  <c r="CF102" i="15"/>
  <c r="NI100" i="15"/>
  <c r="NJ99" i="15"/>
  <c r="HU100" i="15"/>
  <c r="HV99" i="15"/>
  <c r="JI100" i="15"/>
  <c r="JJ99" i="15"/>
  <c r="HD102" i="15"/>
  <c r="OW100" i="15"/>
  <c r="OX99" i="15"/>
  <c r="LH102" i="15"/>
  <c r="PP102" i="15"/>
  <c r="OV102" i="15"/>
  <c r="ES100" i="15"/>
  <c r="ET99" i="15"/>
  <c r="HZ100" i="15"/>
  <c r="QZ102" i="15"/>
  <c r="BB100" i="15"/>
  <c r="IK100" i="15"/>
  <c r="IL99" i="15"/>
  <c r="OR102" i="15"/>
  <c r="RY100" i="15"/>
  <c r="RZ99" i="15"/>
  <c r="FL102" i="15"/>
  <c r="LJ100" i="15"/>
  <c r="QV102" i="15"/>
  <c r="TT102" i="15"/>
  <c r="SV102" i="15"/>
  <c r="CZ102" i="15"/>
  <c r="MF102" i="15"/>
  <c r="GV102" i="15"/>
  <c r="PQ100" i="15"/>
  <c r="PR99" i="15"/>
  <c r="HT102" i="15"/>
  <c r="P102" i="15"/>
  <c r="GR102" i="15"/>
  <c r="AS100" i="15"/>
  <c r="AT99" i="15"/>
  <c r="AZ102" i="15"/>
  <c r="SJ102" i="15"/>
  <c r="H101" i="15"/>
  <c r="US100" i="15"/>
  <c r="UT99" i="15"/>
  <c r="BT101" i="15"/>
  <c r="TV100" i="15"/>
  <c r="FP102" i="15"/>
  <c r="TD102" i="15"/>
  <c r="OZ102" i="15"/>
  <c r="IJ102" i="15"/>
  <c r="NE100" i="15"/>
  <c r="NF99" i="15"/>
  <c r="LU100" i="15"/>
  <c r="LV99" i="15"/>
  <c r="M100" i="15"/>
  <c r="N99" i="15"/>
  <c r="IV102" i="15"/>
  <c r="NM100" i="15"/>
  <c r="NN99" i="15"/>
  <c r="LL102" i="15"/>
  <c r="CV102" i="15"/>
  <c r="MJ102" i="15"/>
  <c r="JD102" i="15"/>
  <c r="LM101" i="15"/>
  <c r="RM100" i="15"/>
  <c r="RN99" i="15"/>
  <c r="L102" i="15"/>
  <c r="HL102" i="15"/>
  <c r="KN102" i="15"/>
  <c r="QF102" i="15"/>
  <c r="QB102" i="15"/>
  <c r="ON102" i="15"/>
  <c r="AN102" i="15"/>
  <c r="UF102" i="15"/>
  <c r="JP102" i="15"/>
  <c r="FQ100" i="15"/>
  <c r="FR99" i="15"/>
  <c r="RQ100" i="15"/>
  <c r="RR99" i="15"/>
  <c r="LX102" i="15"/>
  <c r="GC100" i="15"/>
  <c r="GD99" i="15"/>
  <c r="HN100" i="15"/>
  <c r="BP102" i="15"/>
  <c r="EV102" i="15"/>
  <c r="PT102" i="15"/>
  <c r="TP102" i="15"/>
  <c r="UK100" i="15"/>
  <c r="UL99" i="15"/>
  <c r="KJ102" i="15"/>
  <c r="TH102" i="15"/>
  <c r="HA100" i="15"/>
  <c r="HB99" i="15"/>
  <c r="DD102" i="15"/>
  <c r="FD102" i="15"/>
  <c r="QG100" i="15"/>
  <c r="QH99" i="15"/>
  <c r="KW100" i="15"/>
  <c r="KX99" i="15"/>
  <c r="SF102" i="15"/>
  <c r="QR102" i="15"/>
  <c r="MW100" i="15"/>
  <c r="MX99" i="15"/>
  <c r="ND102" i="15"/>
  <c r="SK101" i="15"/>
  <c r="IF102" i="15"/>
  <c r="TM100" i="15"/>
  <c r="TN99" i="15"/>
  <c r="LD102" i="15"/>
  <c r="LE100" i="15"/>
  <c r="LF99" i="15"/>
  <c r="JZ100" i="15"/>
  <c r="MB102" i="15"/>
  <c r="MN102" i="15"/>
  <c r="NP102" i="15"/>
  <c r="IO100" i="15"/>
  <c r="IP99" i="15"/>
  <c r="TA100" i="15"/>
  <c r="TB99" i="15"/>
  <c r="T102" i="15"/>
  <c r="V101" i="15"/>
  <c r="JU100" i="15"/>
  <c r="JV99" i="15"/>
  <c r="UB102" i="15"/>
  <c r="AW100" i="15"/>
  <c r="AX99" i="15"/>
  <c r="NT102" i="15"/>
  <c r="GW101" i="15"/>
  <c r="JX102" i="15"/>
  <c r="MD100" i="15"/>
  <c r="TX102" i="15"/>
  <c r="MO101" i="15"/>
  <c r="UG100" i="15"/>
  <c r="UH99" i="15"/>
  <c r="OF101" i="15"/>
  <c r="SB102" i="15"/>
  <c r="NU100" i="15"/>
  <c r="NV99" i="15"/>
  <c r="CT99" i="15"/>
  <c r="IT100" i="15"/>
  <c r="JH102" i="15"/>
  <c r="GZ102" i="15"/>
  <c r="KV102" i="15"/>
  <c r="EN102" i="15"/>
  <c r="LT102" i="15"/>
  <c r="TL102" i="15"/>
  <c r="FZ100" i="15"/>
  <c r="RD102" i="15"/>
  <c r="UJ102" i="15"/>
  <c r="DR100" i="15"/>
  <c r="F101" i="15"/>
  <c r="D102" i="15"/>
  <c r="AB102" i="15"/>
  <c r="BQ101" i="15"/>
  <c r="IR102" i="15"/>
  <c r="PM100" i="15"/>
  <c r="BD102" i="15"/>
  <c r="BF101" i="15"/>
  <c r="DL102" i="15"/>
  <c r="MK100" i="15"/>
  <c r="ML99" i="15"/>
  <c r="DM101" i="15"/>
  <c r="DN101" i="15" s="1"/>
  <c r="EO101" i="15"/>
  <c r="EP101" i="15" s="1"/>
  <c r="FX102" i="15"/>
  <c r="LP102" i="15"/>
  <c r="MG101" i="15"/>
  <c r="DP102" i="15"/>
  <c r="RL102" i="15"/>
  <c r="UN102" i="15"/>
  <c r="QC100" i="15"/>
  <c r="QD99" i="15"/>
  <c r="OJ102" i="15"/>
  <c r="KF102" i="15"/>
  <c r="KZ102" i="15"/>
  <c r="IZ102" i="15"/>
  <c r="PX102" i="15"/>
  <c r="EB102" i="15"/>
  <c r="DH102" i="15"/>
  <c r="KB102" i="15"/>
  <c r="KO101" i="15"/>
  <c r="AV102" i="15"/>
  <c r="SZ102" i="15"/>
  <c r="IB102" i="15"/>
  <c r="JQ100" i="15"/>
  <c r="JR99" i="15"/>
  <c r="Y100" i="15"/>
  <c r="Z99" i="15"/>
  <c r="QK100" i="15"/>
  <c r="QL99" i="15"/>
  <c r="CR101" i="15"/>
  <c r="GJ102" i="15"/>
  <c r="FH102" i="15"/>
  <c r="NL102" i="15"/>
  <c r="IW100" i="15"/>
  <c r="IX99" i="15"/>
  <c r="SR102" i="15"/>
  <c r="RA100" i="15"/>
  <c r="RB99" i="15"/>
  <c r="JE100" i="15"/>
  <c r="JF99" i="15"/>
  <c r="FE101" i="15"/>
  <c r="LA100" i="15"/>
  <c r="LB99" i="15"/>
  <c r="EW100" i="15"/>
  <c r="EX99" i="15"/>
  <c r="SS100" i="15"/>
  <c r="ST99" i="15"/>
  <c r="MV102" i="15"/>
  <c r="X102" i="15"/>
  <c r="GG100" i="15"/>
  <c r="GH99" i="15"/>
  <c r="AJ102" i="15"/>
  <c r="BH102" i="15"/>
  <c r="MZ101" i="15"/>
  <c r="IN102" i="15"/>
  <c r="IC101" i="15"/>
  <c r="ID101" i="15" s="1"/>
  <c r="SC100" i="15"/>
  <c r="SD99" i="15"/>
  <c r="LY101" i="15"/>
  <c r="LZ101" i="15" s="1"/>
  <c r="RT102" i="15"/>
  <c r="GF102" i="15"/>
  <c r="TQ100" i="15"/>
  <c r="TR99" i="15"/>
  <c r="CB101" i="15"/>
  <c r="TE100" i="15"/>
  <c r="TF99" i="15"/>
  <c r="FA100" i="15"/>
  <c r="FB99" i="15"/>
  <c r="DI100" i="15"/>
  <c r="DJ99" i="15"/>
  <c r="BJ100" i="15"/>
  <c r="PU100" i="15"/>
  <c r="PV99" i="15"/>
  <c r="PF101" i="15"/>
  <c r="PD102" i="15"/>
  <c r="PE102" i="15" s="1"/>
  <c r="PY101" i="15"/>
  <c r="EZ102" i="15"/>
  <c r="FI101" i="15"/>
  <c r="RE101" i="15"/>
  <c r="KR102" i="15"/>
  <c r="DE100" i="15"/>
  <c r="DF99" i="15"/>
  <c r="NX102" i="15"/>
  <c r="CW100" i="15"/>
  <c r="CX99" i="15"/>
  <c r="BY100" i="15"/>
  <c r="BZ99" i="15"/>
  <c r="NA100" i="15"/>
  <c r="RH102" i="15"/>
  <c r="UO101" i="15"/>
  <c r="UP101" i="15" s="1"/>
  <c r="OS100" i="15"/>
  <c r="OT99" i="15"/>
  <c r="QS101" i="15"/>
  <c r="QN102" i="15"/>
  <c r="HI100" i="15"/>
  <c r="HJ99" i="15"/>
  <c r="NY100" i="15"/>
  <c r="NZ99" i="15"/>
  <c r="QW101" i="15"/>
  <c r="RX102" i="15"/>
  <c r="I100" i="15"/>
  <c r="BM100" i="15"/>
  <c r="BN99" i="15"/>
  <c r="JT102" i="15"/>
  <c r="JL102" i="15"/>
  <c r="UR102" i="15"/>
  <c r="DX102" i="15"/>
  <c r="DY100" i="15"/>
  <c r="DZ99" i="15"/>
  <c r="IG101" i="15"/>
  <c r="IH101" i="15" s="1"/>
  <c r="HH102" i="15"/>
  <c r="SP101" i="15"/>
  <c r="SN102" i="15"/>
  <c r="KG100" i="15"/>
  <c r="KH99" i="15"/>
  <c r="FT102" i="15"/>
  <c r="FU101" i="15"/>
  <c r="MS100" i="15"/>
  <c r="MT99" i="15"/>
  <c r="OB102" i="15"/>
  <c r="EL100" i="15"/>
  <c r="CK101" i="15"/>
  <c r="QP100" i="15"/>
  <c r="QJ102" i="15"/>
  <c r="DA101" i="15"/>
  <c r="EH100" i="15"/>
  <c r="HE101" i="15"/>
  <c r="HF101" i="15" s="1"/>
  <c r="AF102" i="15"/>
  <c r="BL102" i="15"/>
  <c r="GK100" i="15"/>
  <c r="GL99" i="15"/>
  <c r="OC100" i="15"/>
  <c r="OD99" i="15"/>
  <c r="GS101" i="15"/>
  <c r="CC100" i="15"/>
  <c r="CD100" i="15" s="1"/>
  <c r="GN102" i="15"/>
  <c r="KC100" i="15"/>
  <c r="KD99" i="15"/>
  <c r="GO101" i="15"/>
  <c r="NH102" i="15"/>
  <c r="Q100" i="15"/>
  <c r="R99" i="15"/>
  <c r="CP101" i="15"/>
  <c r="CN102" i="15"/>
  <c r="GB102" i="15"/>
  <c r="OG100" i="15"/>
  <c r="OH100" i="15" s="1"/>
  <c r="EC100" i="15"/>
  <c r="ED99" i="15"/>
  <c r="JA101" i="15"/>
  <c r="DU100" i="15"/>
  <c r="DV99" i="15"/>
  <c r="OO100" i="15"/>
  <c r="OP99" i="15"/>
  <c r="RI101" i="15"/>
  <c r="HP102" i="15"/>
  <c r="EJ102" i="15"/>
  <c r="TI100" i="15"/>
  <c r="TJ99" i="15"/>
  <c r="MR102" i="15"/>
  <c r="RP102" i="15"/>
  <c r="SW101" i="15"/>
  <c r="SX101" i="15" s="1"/>
  <c r="UC100" i="15"/>
  <c r="UD99" i="15"/>
  <c r="AR102" i="15"/>
  <c r="DT102" i="15"/>
  <c r="EF102" i="15"/>
  <c r="OK101" i="15"/>
  <c r="OL101" i="15" s="1"/>
  <c r="F104" i="11"/>
  <c r="G104" i="11" s="1"/>
  <c r="F105" i="2"/>
  <c r="G105" i="2" s="1"/>
  <c r="G103" i="11"/>
  <c r="E105" i="11"/>
  <c r="E105" i="9"/>
  <c r="F104" i="9"/>
  <c r="E105" i="8"/>
  <c r="F104" i="8"/>
  <c r="E106" i="2"/>
  <c r="G104" i="2"/>
  <c r="AO102" i="15" l="1"/>
  <c r="KK102" i="15"/>
  <c r="FU102" i="15"/>
  <c r="PI102" i="15"/>
  <c r="PJ102" i="15" s="1"/>
  <c r="FM102" i="15"/>
  <c r="FN102" i="15" s="1"/>
  <c r="BA102" i="15"/>
  <c r="BB102" i="15" s="1"/>
  <c r="JY102" i="15"/>
  <c r="JZ102" i="15" s="1"/>
  <c r="DQ102" i="15"/>
  <c r="DR102" i="15" s="1"/>
  <c r="AK102" i="15"/>
  <c r="HY102" i="15"/>
  <c r="HQ102" i="15"/>
  <c r="HR102" i="15" s="1"/>
  <c r="RE102" i="15"/>
  <c r="RF102" i="15" s="1"/>
  <c r="FY102" i="15"/>
  <c r="FZ102" i="15" s="1"/>
  <c r="LI102" i="15"/>
  <c r="LJ102" i="15" s="1"/>
  <c r="BI102" i="15"/>
  <c r="BJ102" i="15" s="1"/>
  <c r="GS102" i="15"/>
  <c r="GT102" i="15" s="1"/>
  <c r="TU102" i="15"/>
  <c r="TV102" i="15" s="1"/>
  <c r="EG102" i="15"/>
  <c r="EH102" i="15" s="1"/>
  <c r="DA102" i="15"/>
  <c r="DB102" i="15" s="1"/>
  <c r="LM102" i="15"/>
  <c r="LN102" i="15" s="1"/>
  <c r="FE102" i="15"/>
  <c r="FF102" i="15" s="1"/>
  <c r="HM102" i="15"/>
  <c r="HN102" i="15" s="1"/>
  <c r="BQ102" i="15"/>
  <c r="BR102" i="15" s="1"/>
  <c r="PY102" i="15"/>
  <c r="PZ102" i="15" s="1"/>
  <c r="JA102" i="15"/>
  <c r="JB102" i="15" s="1"/>
  <c r="RI102" i="15"/>
  <c r="RJ102" i="15" s="1"/>
  <c r="MG102" i="15"/>
  <c r="MH102" i="15" s="1"/>
  <c r="MO102" i="15"/>
  <c r="MP102" i="15" s="1"/>
  <c r="GW102" i="15"/>
  <c r="GX102" i="15" s="1"/>
  <c r="CK102" i="15"/>
  <c r="CL102" i="15" s="1"/>
  <c r="QS102" i="15"/>
  <c r="QT102" i="15" s="1"/>
  <c r="OG101" i="15"/>
  <c r="OH101" i="15" s="1"/>
  <c r="GO102" i="15"/>
  <c r="GP102" i="15" s="1"/>
  <c r="I101" i="15"/>
  <c r="J101" i="15" s="1"/>
  <c r="PM101" i="15"/>
  <c r="PN101" i="15" s="1"/>
  <c r="SK102" i="15"/>
  <c r="SL102" i="15" s="1"/>
  <c r="KO102" i="15"/>
  <c r="KP102" i="15" s="1"/>
  <c r="NA101" i="15"/>
  <c r="QW102" i="15"/>
  <c r="QX102" i="15" s="1"/>
  <c r="DD103" i="15"/>
  <c r="FP103" i="15"/>
  <c r="RY101" i="15"/>
  <c r="RZ100" i="15"/>
  <c r="PA101" i="15"/>
  <c r="PB100" i="15"/>
  <c r="SR103" i="15"/>
  <c r="IB103" i="15"/>
  <c r="OJ103" i="15"/>
  <c r="LT103" i="15"/>
  <c r="UG101" i="15"/>
  <c r="UH100" i="15"/>
  <c r="T103" i="15"/>
  <c r="KP101" i="15"/>
  <c r="IV103" i="15"/>
  <c r="HT103" i="15"/>
  <c r="HD103" i="15"/>
  <c r="HA101" i="15"/>
  <c r="HB100" i="15"/>
  <c r="LX103" i="15"/>
  <c r="KN103" i="15"/>
  <c r="OR103" i="15"/>
  <c r="JI101" i="15"/>
  <c r="JJ100" i="15"/>
  <c r="NM101" i="15"/>
  <c r="NN100" i="15"/>
  <c r="RA101" i="15"/>
  <c r="RB100" i="15"/>
  <c r="HH103" i="15"/>
  <c r="IG102" i="15"/>
  <c r="IH102" i="15" s="1"/>
  <c r="DE101" i="15"/>
  <c r="DF100" i="15"/>
  <c r="CB102" i="15"/>
  <c r="SZ103" i="15"/>
  <c r="BD103" i="15"/>
  <c r="TX103" i="15"/>
  <c r="TA101" i="15"/>
  <c r="TB100" i="15"/>
  <c r="HL103" i="15"/>
  <c r="PQ101" i="15"/>
  <c r="PR100" i="15"/>
  <c r="CG101" i="15"/>
  <c r="CH100" i="15"/>
  <c r="CW101" i="15"/>
  <c r="CX100" i="15"/>
  <c r="TL103" i="15"/>
  <c r="GG101" i="15"/>
  <c r="GH100" i="15"/>
  <c r="IW101" i="15"/>
  <c r="IX100" i="15"/>
  <c r="QC101" i="15"/>
  <c r="QD100" i="15"/>
  <c r="EN103" i="15"/>
  <c r="ND103" i="15"/>
  <c r="TH103" i="15"/>
  <c r="M101" i="15"/>
  <c r="N100" i="15"/>
  <c r="BT102" i="15"/>
  <c r="GX101" i="15"/>
  <c r="IK101" i="15"/>
  <c r="IL100" i="15"/>
  <c r="HU101" i="15"/>
  <c r="HV100" i="15"/>
  <c r="AF103" i="15"/>
  <c r="TI101" i="15"/>
  <c r="TJ100" i="15"/>
  <c r="QJ103" i="15"/>
  <c r="DY101" i="15"/>
  <c r="DZ100" i="15"/>
  <c r="NL103" i="15"/>
  <c r="AV103" i="15"/>
  <c r="IR103" i="15"/>
  <c r="KV103" i="15"/>
  <c r="IO101" i="15"/>
  <c r="IP100" i="15"/>
  <c r="KL102" i="15"/>
  <c r="KJ103" i="15"/>
  <c r="KK103" i="15" s="1"/>
  <c r="RQ101" i="15"/>
  <c r="RR100" i="15"/>
  <c r="L103" i="15"/>
  <c r="GV103" i="15"/>
  <c r="BX103" i="15"/>
  <c r="CN103" i="15"/>
  <c r="X103" i="15"/>
  <c r="UN103" i="15"/>
  <c r="NP103" i="15"/>
  <c r="LU101" i="15"/>
  <c r="LV100" i="15"/>
  <c r="US101" i="15"/>
  <c r="UT100" i="15"/>
  <c r="MH101" i="15"/>
  <c r="NI101" i="15"/>
  <c r="NJ100" i="15"/>
  <c r="CJ103" i="15"/>
  <c r="SN103" i="15"/>
  <c r="TD103" i="15"/>
  <c r="TE101" i="15"/>
  <c r="TF100" i="15"/>
  <c r="Q101" i="15"/>
  <c r="R100" i="15"/>
  <c r="DX103" i="15"/>
  <c r="QN103" i="15"/>
  <c r="FI102" i="15"/>
  <c r="FJ102" i="15" s="1"/>
  <c r="FJ101" i="15"/>
  <c r="JX103" i="15"/>
  <c r="MW101" i="15"/>
  <c r="MX100" i="15"/>
  <c r="FQ101" i="15"/>
  <c r="FR100" i="15"/>
  <c r="H102" i="15"/>
  <c r="MF103" i="15"/>
  <c r="QZ103" i="15"/>
  <c r="CF103" i="15"/>
  <c r="CL101" i="15"/>
  <c r="DL103" i="15"/>
  <c r="KB103" i="15"/>
  <c r="RL103" i="15"/>
  <c r="AB103" i="15"/>
  <c r="GZ103" i="15"/>
  <c r="MN103" i="15"/>
  <c r="UK101" i="15"/>
  <c r="UL100" i="15"/>
  <c r="RM101" i="15"/>
  <c r="RN100" i="15"/>
  <c r="NE101" i="15"/>
  <c r="NF100" i="15"/>
  <c r="J100" i="15"/>
  <c r="DB101" i="15"/>
  <c r="HE102" i="15"/>
  <c r="HF102" i="15" s="1"/>
  <c r="UR103" i="15"/>
  <c r="GJ103" i="15"/>
  <c r="DH103" i="15"/>
  <c r="JH103" i="15"/>
  <c r="QO102" i="15"/>
  <c r="MP101" i="15"/>
  <c r="QT101" i="15"/>
  <c r="JP103" i="15"/>
  <c r="SJ103" i="15"/>
  <c r="CZ103" i="15"/>
  <c r="HZ102" i="15"/>
  <c r="HX103" i="15"/>
  <c r="NQ101" i="15"/>
  <c r="NR100" i="15"/>
  <c r="P103" i="15"/>
  <c r="NX103" i="15"/>
  <c r="NY101" i="15"/>
  <c r="NZ100" i="15"/>
  <c r="FH103" i="15"/>
  <c r="SS101" i="15"/>
  <c r="ST100" i="15"/>
  <c r="DP103" i="15"/>
  <c r="NT103" i="15"/>
  <c r="MB103" i="15"/>
  <c r="QR103" i="15"/>
  <c r="TP103" i="15"/>
  <c r="JD103" i="15"/>
  <c r="IJ103" i="15"/>
  <c r="SL101" i="15"/>
  <c r="ES101" i="15"/>
  <c r="ET100" i="15"/>
  <c r="RX103" i="15"/>
  <c r="HI101" i="15"/>
  <c r="HJ100" i="15"/>
  <c r="OK102" i="15"/>
  <c r="LY102" i="15"/>
  <c r="EB103" i="15"/>
  <c r="D103" i="15"/>
  <c r="SF103" i="15"/>
  <c r="UF103" i="15"/>
  <c r="SV103" i="15"/>
  <c r="OV103" i="15"/>
  <c r="PN100" i="15"/>
  <c r="TM101" i="15"/>
  <c r="TN100" i="15"/>
  <c r="BH103" i="15"/>
  <c r="AJ103" i="15"/>
  <c r="AL102" i="15"/>
  <c r="GF103" i="15"/>
  <c r="GN103" i="15"/>
  <c r="UO102" i="15"/>
  <c r="UP102" i="15" s="1"/>
  <c r="CR102" i="15"/>
  <c r="LP103" i="15"/>
  <c r="PT103" i="15"/>
  <c r="CO102" i="15"/>
  <c r="AZ103" i="15"/>
  <c r="ER103" i="15"/>
  <c r="PL102" i="15"/>
  <c r="KF103" i="15"/>
  <c r="NH103" i="15"/>
  <c r="EZ103" i="15"/>
  <c r="RT103" i="15"/>
  <c r="SC101" i="15"/>
  <c r="SD100" i="15"/>
  <c r="EW101" i="15"/>
  <c r="EX100" i="15"/>
  <c r="PZ101" i="15"/>
  <c r="AW101" i="15"/>
  <c r="AX100" i="15"/>
  <c r="TY102" i="15"/>
  <c r="EV103" i="15"/>
  <c r="AN103" i="15"/>
  <c r="AP102" i="15"/>
  <c r="MJ103" i="15"/>
  <c r="SG102" i="15"/>
  <c r="SH102" i="15" s="1"/>
  <c r="TT103" i="15"/>
  <c r="PP103" i="15"/>
  <c r="CS101" i="15"/>
  <c r="GC101" i="15"/>
  <c r="GD100" i="15"/>
  <c r="MR103" i="15"/>
  <c r="KR103" i="15"/>
  <c r="HP103" i="15"/>
  <c r="JL103" i="15"/>
  <c r="NU101" i="15"/>
  <c r="NV100" i="15"/>
  <c r="KW101" i="15"/>
  <c r="KX100" i="15"/>
  <c r="QX101" i="15"/>
  <c r="LQ102" i="15"/>
  <c r="LR102" i="15" s="1"/>
  <c r="BU101" i="15"/>
  <c r="CC101" i="15"/>
  <c r="CD101" i="15" s="1"/>
  <c r="DT103" i="15"/>
  <c r="MS101" i="15"/>
  <c r="MT100" i="15"/>
  <c r="IN103" i="15"/>
  <c r="UB103" i="15"/>
  <c r="BP103" i="15"/>
  <c r="CV103" i="15"/>
  <c r="SO102" i="15"/>
  <c r="AS101" i="15"/>
  <c r="AT100" i="15"/>
  <c r="QV103" i="15"/>
  <c r="U102" i="15"/>
  <c r="RP103" i="15"/>
  <c r="QF103" i="15"/>
  <c r="TQ101" i="15"/>
  <c r="TR100" i="15"/>
  <c r="GP101" i="15"/>
  <c r="DU101" i="15"/>
  <c r="DV100" i="15"/>
  <c r="RH103" i="15"/>
  <c r="OC101" i="15"/>
  <c r="OD100" i="15"/>
  <c r="IS102" i="15"/>
  <c r="IT102" i="15" s="1"/>
  <c r="PU101" i="15"/>
  <c r="PV100" i="15"/>
  <c r="QK101" i="15"/>
  <c r="QL100" i="15"/>
  <c r="LA101" i="15"/>
  <c r="LB100" i="15"/>
  <c r="JB101" i="15"/>
  <c r="SB103" i="15"/>
  <c r="LE101" i="15"/>
  <c r="LF100" i="15"/>
  <c r="Y101" i="15"/>
  <c r="Z100" i="15"/>
  <c r="IZ103" i="15"/>
  <c r="EO102" i="15"/>
  <c r="EP102" i="15" s="1"/>
  <c r="RD103" i="15"/>
  <c r="QG101" i="15"/>
  <c r="QH100" i="15"/>
  <c r="BR101" i="15"/>
  <c r="ON103" i="15"/>
  <c r="LN101" i="15"/>
  <c r="GT101" i="15"/>
  <c r="LH103" i="15"/>
  <c r="PH103" i="15"/>
  <c r="BE102" i="15"/>
  <c r="FA101" i="15"/>
  <c r="FB100" i="15"/>
  <c r="IF103" i="15"/>
  <c r="EJ103" i="15"/>
  <c r="MV103" i="15"/>
  <c r="OS101" i="15"/>
  <c r="OT100" i="15"/>
  <c r="IC102" i="15"/>
  <c r="ID102" i="15" s="1"/>
  <c r="PX103" i="15"/>
  <c r="AC102" i="15"/>
  <c r="UC101" i="15"/>
  <c r="UD100" i="15"/>
  <c r="GK101" i="15"/>
  <c r="GL100" i="15"/>
  <c r="BM101" i="15"/>
  <c r="BN100" i="15"/>
  <c r="BY101" i="15"/>
  <c r="BZ100" i="15"/>
  <c r="DI101" i="15"/>
  <c r="DJ100" i="15"/>
  <c r="MZ102" i="15"/>
  <c r="KZ103" i="15"/>
  <c r="DM102" i="15"/>
  <c r="RF101" i="15"/>
  <c r="JM102" i="15"/>
  <c r="JN102" i="15" s="1"/>
  <c r="LD103" i="15"/>
  <c r="FD103" i="15"/>
  <c r="QB103" i="15"/>
  <c r="LL103" i="15"/>
  <c r="OZ103" i="15"/>
  <c r="GR103" i="15"/>
  <c r="AG102" i="15"/>
  <c r="GB103" i="15"/>
  <c r="MK101" i="15"/>
  <c r="ML100" i="15"/>
  <c r="KC101" i="15"/>
  <c r="KD100" i="15"/>
  <c r="EF103" i="15"/>
  <c r="OB103" i="15"/>
  <c r="OO101" i="15"/>
  <c r="OP100" i="15"/>
  <c r="PD103" i="15"/>
  <c r="PE103" i="15" s="1"/>
  <c r="PF102" i="15"/>
  <c r="JT103" i="15"/>
  <c r="AR103" i="15"/>
  <c r="RJ101" i="15"/>
  <c r="UJ103" i="15"/>
  <c r="EK102" i="15"/>
  <c r="FT103" i="15"/>
  <c r="FU103" i="15" s="1"/>
  <c r="FV102" i="15"/>
  <c r="FX103" i="15"/>
  <c r="EC101" i="15"/>
  <c r="ED100" i="15"/>
  <c r="FV101" i="15"/>
  <c r="SW102" i="15"/>
  <c r="BL103" i="15"/>
  <c r="KG101" i="15"/>
  <c r="KH100" i="15"/>
  <c r="MC102" i="15"/>
  <c r="NB100" i="15"/>
  <c r="JE101" i="15"/>
  <c r="JF100" i="15"/>
  <c r="JQ101" i="15"/>
  <c r="JR100" i="15"/>
  <c r="OF102" i="15"/>
  <c r="JU101" i="15"/>
  <c r="JV100" i="15"/>
  <c r="FF101" i="15"/>
  <c r="KS102" i="15"/>
  <c r="FL103" i="15"/>
  <c r="OW101" i="15"/>
  <c r="OX100" i="15"/>
  <c r="RU101" i="15"/>
  <c r="RV100" i="15"/>
  <c r="E102" i="15"/>
  <c r="F105" i="9"/>
  <c r="G105" i="9" s="1"/>
  <c r="F105" i="8"/>
  <c r="G105" i="8" s="1"/>
  <c r="E106" i="11"/>
  <c r="F105" i="11"/>
  <c r="G104" i="10"/>
  <c r="G105" i="10"/>
  <c r="G104" i="9"/>
  <c r="E106" i="9"/>
  <c r="G104" i="8"/>
  <c r="E106" i="8"/>
  <c r="E107" i="2"/>
  <c r="F106" i="2"/>
  <c r="HY103" i="15" l="1"/>
  <c r="FM103" i="15"/>
  <c r="FN103" i="15" s="1"/>
  <c r="BA103" i="15"/>
  <c r="DQ103" i="15"/>
  <c r="DR103" i="15" s="1"/>
  <c r="JY103" i="15"/>
  <c r="JZ103" i="15" s="1"/>
  <c r="TU103" i="15"/>
  <c r="TV103" i="15" s="1"/>
  <c r="BQ103" i="15"/>
  <c r="BR103" i="15" s="1"/>
  <c r="FY103" i="15"/>
  <c r="FZ103" i="15" s="1"/>
  <c r="RE103" i="15"/>
  <c r="FE103" i="15"/>
  <c r="FF103" i="15" s="1"/>
  <c r="DA103" i="15"/>
  <c r="DB103" i="15" s="1"/>
  <c r="GW103" i="15"/>
  <c r="QS103" i="15"/>
  <c r="QT103" i="15" s="1"/>
  <c r="LM103" i="15"/>
  <c r="LN103" i="15" s="1"/>
  <c r="CK103" i="15"/>
  <c r="CL103" i="15" s="1"/>
  <c r="OG102" i="15"/>
  <c r="OH102" i="15" s="1"/>
  <c r="I102" i="15"/>
  <c r="J102" i="15" s="1"/>
  <c r="SK103" i="15"/>
  <c r="SL103" i="15" s="1"/>
  <c r="BU102" i="15"/>
  <c r="BV102" i="15" s="1"/>
  <c r="U103" i="15"/>
  <c r="V103" i="15" s="1"/>
  <c r="DM103" i="15"/>
  <c r="DN103" i="15" s="1"/>
  <c r="MO103" i="15"/>
  <c r="MP103" i="15" s="1"/>
  <c r="AC103" i="15"/>
  <c r="AD103" i="15" s="1"/>
  <c r="BE103" i="15"/>
  <c r="BF103" i="15" s="1"/>
  <c r="GO103" i="15"/>
  <c r="GP103" i="15" s="1"/>
  <c r="E103" i="15"/>
  <c r="F103" i="15" s="1"/>
  <c r="NA102" i="15"/>
  <c r="NB102" i="15" s="1"/>
  <c r="MC103" i="15"/>
  <c r="MD103" i="15" s="1"/>
  <c r="KO103" i="15"/>
  <c r="KP103" i="15" s="1"/>
  <c r="NB101" i="15"/>
  <c r="SW103" i="15"/>
  <c r="SX103" i="15" s="1"/>
  <c r="SO103" i="15"/>
  <c r="SP103" i="15" s="1"/>
  <c r="QO103" i="15"/>
  <c r="QP103" i="15" s="1"/>
  <c r="SP102" i="15"/>
  <c r="AG103" i="15"/>
  <c r="AH103" i="15" s="1"/>
  <c r="CS102" i="15"/>
  <c r="CT102" i="15" s="1"/>
  <c r="CO103" i="15"/>
  <c r="CP103" i="15" s="1"/>
  <c r="KS103" i="15"/>
  <c r="KT103" i="15" s="1"/>
  <c r="EK103" i="15"/>
  <c r="EL103" i="15" s="1"/>
  <c r="TY103" i="15"/>
  <c r="TZ103" i="15" s="1"/>
  <c r="QP102" i="15"/>
  <c r="LY103" i="15"/>
  <c r="IZ104" i="15"/>
  <c r="OJ104" i="15"/>
  <c r="AJ104" i="15"/>
  <c r="BY102" i="15"/>
  <c r="BZ101" i="15"/>
  <c r="EV104" i="15"/>
  <c r="ER104" i="15"/>
  <c r="HI102" i="15"/>
  <c r="HJ101" i="15"/>
  <c r="JP104" i="15"/>
  <c r="CF104" i="15"/>
  <c r="KV104" i="15"/>
  <c r="NT104" i="15"/>
  <c r="JL104" i="15"/>
  <c r="NP104" i="15"/>
  <c r="DU102" i="15"/>
  <c r="DV101" i="15"/>
  <c r="HP104" i="15"/>
  <c r="TM102" i="15"/>
  <c r="TN101" i="15"/>
  <c r="QZ104" i="15"/>
  <c r="Q102" i="15"/>
  <c r="R101" i="15"/>
  <c r="IK102" i="15"/>
  <c r="IL101" i="15"/>
  <c r="TL104" i="15"/>
  <c r="DE102" i="15"/>
  <c r="DF101" i="15"/>
  <c r="SR104" i="15"/>
  <c r="UB104" i="15"/>
  <c r="DX104" i="15"/>
  <c r="RM102" i="15"/>
  <c r="RN101" i="15"/>
  <c r="PH104" i="15"/>
  <c r="LE102" i="15"/>
  <c r="LF101" i="15"/>
  <c r="TQ102" i="15"/>
  <c r="TR101" i="15"/>
  <c r="MS102" i="15"/>
  <c r="MT101" i="15"/>
  <c r="RX104" i="15"/>
  <c r="SS102" i="15"/>
  <c r="ST101" i="15"/>
  <c r="UK102" i="15"/>
  <c r="UL101" i="15"/>
  <c r="X104" i="15"/>
  <c r="IR104" i="15"/>
  <c r="IG103" i="15"/>
  <c r="HD104" i="15"/>
  <c r="GR104" i="15"/>
  <c r="SZ104" i="15"/>
  <c r="BH104" i="15"/>
  <c r="UN104" i="15"/>
  <c r="KT102" i="15"/>
  <c r="AW102" i="15"/>
  <c r="AX101" i="15"/>
  <c r="BB103" i="15"/>
  <c r="AZ104" i="15"/>
  <c r="BA104" i="15" s="1"/>
  <c r="PI103" i="15"/>
  <c r="FH104" i="15"/>
  <c r="TE102" i="15"/>
  <c r="TF101" i="15"/>
  <c r="BT103" i="15"/>
  <c r="CW102" i="15"/>
  <c r="CX101" i="15"/>
  <c r="PA102" i="15"/>
  <c r="PB101" i="15"/>
  <c r="SB104" i="15"/>
  <c r="QF104" i="15"/>
  <c r="DT104" i="15"/>
  <c r="KR104" i="15"/>
  <c r="ES102" i="15"/>
  <c r="ET101" i="15"/>
  <c r="MF104" i="15"/>
  <c r="BV101" i="15"/>
  <c r="HH104" i="15"/>
  <c r="HT104" i="15"/>
  <c r="RH104" i="15"/>
  <c r="PL103" i="15"/>
  <c r="FD104" i="15"/>
  <c r="RP104" i="15"/>
  <c r="GS103" i="15"/>
  <c r="PT104" i="15"/>
  <c r="OV104" i="15"/>
  <c r="JH104" i="15"/>
  <c r="MN104" i="15"/>
  <c r="H103" i="15"/>
  <c r="TD104" i="15"/>
  <c r="CP102" i="15"/>
  <c r="AV104" i="15"/>
  <c r="CG102" i="15"/>
  <c r="CH101" i="15"/>
  <c r="RY102" i="15"/>
  <c r="RZ101" i="15"/>
  <c r="BL104" i="15"/>
  <c r="LL104" i="15"/>
  <c r="QB104" i="15"/>
  <c r="CC102" i="15"/>
  <c r="CD102" i="15" s="1"/>
  <c r="MR104" i="15"/>
  <c r="EW102" i="15"/>
  <c r="EX101" i="15"/>
  <c r="SX102" i="15"/>
  <c r="NY102" i="15"/>
  <c r="NZ101" i="15"/>
  <c r="SN104" i="15"/>
  <c r="CN104" i="15"/>
  <c r="NL104" i="15"/>
  <c r="M102" i="15"/>
  <c r="N101" i="15"/>
  <c r="RA102" i="15"/>
  <c r="RB101" i="15"/>
  <c r="IV104" i="15"/>
  <c r="JT104" i="15"/>
  <c r="IN104" i="15"/>
  <c r="BM102" i="15"/>
  <c r="BN101" i="15"/>
  <c r="OO102" i="15"/>
  <c r="OP101" i="15"/>
  <c r="LP104" i="15"/>
  <c r="SV104" i="15"/>
  <c r="IJ104" i="15"/>
  <c r="NX104" i="15"/>
  <c r="GZ104" i="15"/>
  <c r="BX104" i="15"/>
  <c r="TH104" i="15"/>
  <c r="PQ102" i="15"/>
  <c r="PR101" i="15"/>
  <c r="FP104" i="15"/>
  <c r="LX104" i="15"/>
  <c r="GG102" i="15"/>
  <c r="GH101" i="15"/>
  <c r="GC102" i="15"/>
  <c r="GD101" i="15"/>
  <c r="SC102" i="15"/>
  <c r="SD101" i="15"/>
  <c r="DH104" i="15"/>
  <c r="FQ102" i="15"/>
  <c r="FR101" i="15"/>
  <c r="CJ104" i="15"/>
  <c r="NM102" i="15"/>
  <c r="NN101" i="15"/>
  <c r="DD104" i="15"/>
  <c r="HA102" i="15"/>
  <c r="HB101" i="15"/>
  <c r="RU102" i="15"/>
  <c r="RV101" i="15"/>
  <c r="UC102" i="15"/>
  <c r="UD101" i="15"/>
  <c r="KC102" i="15"/>
  <c r="KD101" i="15"/>
  <c r="CT101" i="15"/>
  <c r="UF104" i="15"/>
  <c r="JD104" i="15"/>
  <c r="P104" i="15"/>
  <c r="AD102" i="15"/>
  <c r="GX103" i="15"/>
  <c r="GV104" i="15"/>
  <c r="DY102" i="15"/>
  <c r="DZ101" i="15"/>
  <c r="ND104" i="15"/>
  <c r="HL104" i="15"/>
  <c r="IW102" i="15"/>
  <c r="IX101" i="15"/>
  <c r="IF104" i="15"/>
  <c r="IO102" i="15"/>
  <c r="IP101" i="15"/>
  <c r="LH104" i="15"/>
  <c r="LA102" i="15"/>
  <c r="LB101" i="15"/>
  <c r="QK102" i="15"/>
  <c r="QL101" i="15"/>
  <c r="LQ103" i="15"/>
  <c r="RT104" i="15"/>
  <c r="CR103" i="15"/>
  <c r="TP104" i="15"/>
  <c r="GJ104" i="15"/>
  <c r="AB104" i="15"/>
  <c r="MW102" i="15"/>
  <c r="MX101" i="15"/>
  <c r="QJ104" i="15"/>
  <c r="JI102" i="15"/>
  <c r="JJ101" i="15"/>
  <c r="T104" i="15"/>
  <c r="AK103" i="15"/>
  <c r="IB104" i="15"/>
  <c r="RI103" i="15"/>
  <c r="ON104" i="15"/>
  <c r="AS102" i="15"/>
  <c r="AT101" i="15"/>
  <c r="PP104" i="15"/>
  <c r="UO103" i="15"/>
  <c r="SF104" i="15"/>
  <c r="UR104" i="15"/>
  <c r="RL104" i="15"/>
  <c r="NI102" i="15"/>
  <c r="NJ101" i="15"/>
  <c r="L104" i="15"/>
  <c r="EN104" i="15"/>
  <c r="TA102" i="15"/>
  <c r="TB101" i="15"/>
  <c r="OR104" i="15"/>
  <c r="V102" i="15"/>
  <c r="CB103" i="15"/>
  <c r="PX104" i="15"/>
  <c r="FX104" i="15"/>
  <c r="PY103" i="15"/>
  <c r="QG102" i="15"/>
  <c r="QH101" i="15"/>
  <c r="PU102" i="15"/>
  <c r="PV101" i="15"/>
  <c r="F102" i="15"/>
  <c r="QR104" i="15"/>
  <c r="NQ102" i="15"/>
  <c r="NR101" i="15"/>
  <c r="JX104" i="15"/>
  <c r="TZ102" i="15"/>
  <c r="HM103" i="15"/>
  <c r="Y102" i="15"/>
  <c r="Z101" i="15"/>
  <c r="OW102" i="15"/>
  <c r="OX101" i="15"/>
  <c r="GN104" i="15"/>
  <c r="D104" i="15"/>
  <c r="HZ103" i="15"/>
  <c r="HX104" i="15"/>
  <c r="HY104" i="15" s="1"/>
  <c r="HE103" i="15"/>
  <c r="KB104" i="15"/>
  <c r="TI102" i="15"/>
  <c r="TJ101" i="15"/>
  <c r="PM102" i="15"/>
  <c r="PN102" i="15" s="1"/>
  <c r="TX104" i="15"/>
  <c r="LI103" i="15"/>
  <c r="LJ103" i="15" s="1"/>
  <c r="UG102" i="15"/>
  <c r="UH101" i="15"/>
  <c r="BI103" i="15"/>
  <c r="NE102" i="15"/>
  <c r="NF101" i="15"/>
  <c r="KG102" i="15"/>
  <c r="KH101" i="15"/>
  <c r="DP104" i="15"/>
  <c r="PF103" i="15"/>
  <c r="PD104" i="15"/>
  <c r="PE104" i="15" s="1"/>
  <c r="FL104" i="15"/>
  <c r="EF104" i="15"/>
  <c r="LD104" i="15"/>
  <c r="QV104" i="15"/>
  <c r="FV103" i="15"/>
  <c r="FT104" i="15"/>
  <c r="FU104" i="15" s="1"/>
  <c r="JQ102" i="15"/>
  <c r="JR101" i="15"/>
  <c r="MD102" i="15"/>
  <c r="US102" i="15"/>
  <c r="UT101" i="15"/>
  <c r="RQ102" i="15"/>
  <c r="RR101" i="15"/>
  <c r="QW103" i="15"/>
  <c r="BD104" i="15"/>
  <c r="LT104" i="15"/>
  <c r="EG103" i="15"/>
  <c r="EH103" i="15" s="1"/>
  <c r="OZ104" i="15"/>
  <c r="AN104" i="15"/>
  <c r="SJ104" i="15"/>
  <c r="HU102" i="15"/>
  <c r="HV101" i="15"/>
  <c r="OB104" i="15"/>
  <c r="JM103" i="15"/>
  <c r="OF103" i="15"/>
  <c r="KZ104" i="15"/>
  <c r="MK102" i="15"/>
  <c r="ML101" i="15"/>
  <c r="RF103" i="15"/>
  <c r="RD104" i="15"/>
  <c r="RE104" i="15" s="1"/>
  <c r="CV104" i="15"/>
  <c r="TT104" i="15"/>
  <c r="GB104" i="15"/>
  <c r="MV104" i="15"/>
  <c r="SG103" i="15"/>
  <c r="MG103" i="15"/>
  <c r="JE102" i="15"/>
  <c r="JF101" i="15"/>
  <c r="EL102" i="15"/>
  <c r="EO103" i="15"/>
  <c r="OC102" i="15"/>
  <c r="OD101" i="15"/>
  <c r="BP104" i="15"/>
  <c r="MJ104" i="15"/>
  <c r="NH104" i="15"/>
  <c r="MB104" i="15"/>
  <c r="DL104" i="15"/>
  <c r="FI103" i="15"/>
  <c r="FJ103" i="15" s="1"/>
  <c r="KJ104" i="15"/>
  <c r="KK104" i="15" s="1"/>
  <c r="KL103" i="15"/>
  <c r="AF104" i="15"/>
  <c r="QC102" i="15"/>
  <c r="QD101" i="15"/>
  <c r="BF102" i="15"/>
  <c r="KN104" i="15"/>
  <c r="HQ103" i="15"/>
  <c r="HR103" i="15" s="1"/>
  <c r="JA103" i="15"/>
  <c r="OK103" i="15"/>
  <c r="OL103" i="15" s="1"/>
  <c r="FA102" i="15"/>
  <c r="FB101" i="15"/>
  <c r="GK102" i="15"/>
  <c r="GL101" i="15"/>
  <c r="EC102" i="15"/>
  <c r="ED101" i="15"/>
  <c r="IC103" i="15"/>
  <c r="ID103" i="15" s="1"/>
  <c r="JU102" i="15"/>
  <c r="JV101" i="15"/>
  <c r="OS102" i="15"/>
  <c r="OT101" i="15"/>
  <c r="UJ104" i="15"/>
  <c r="IS103" i="15"/>
  <c r="EZ104" i="15"/>
  <c r="MZ103" i="15"/>
  <c r="KW102" i="15"/>
  <c r="KX101" i="15"/>
  <c r="GF104" i="15"/>
  <c r="AR104" i="15"/>
  <c r="DI102" i="15"/>
  <c r="DJ101" i="15"/>
  <c r="EJ104" i="15"/>
  <c r="NU102" i="15"/>
  <c r="NV101" i="15"/>
  <c r="KF104" i="15"/>
  <c r="EB104" i="15"/>
  <c r="CZ104" i="15"/>
  <c r="DN102" i="15"/>
  <c r="QN104" i="15"/>
  <c r="LU102" i="15"/>
  <c r="LV101" i="15"/>
  <c r="AH102" i="15"/>
  <c r="LZ102" i="15"/>
  <c r="OL102" i="15"/>
  <c r="AO103" i="15"/>
  <c r="F106" i="11"/>
  <c r="G106" i="11" s="1"/>
  <c r="F107" i="2"/>
  <c r="G107" i="2" s="1"/>
  <c r="E107" i="11"/>
  <c r="G105" i="11"/>
  <c r="E107" i="9"/>
  <c r="F106" i="9"/>
  <c r="E107" i="8"/>
  <c r="F106" i="8"/>
  <c r="G106" i="2"/>
  <c r="E108" i="2"/>
  <c r="JY104" i="15" l="1"/>
  <c r="LM104" i="15"/>
  <c r="DA104" i="15"/>
  <c r="FM104" i="15"/>
  <c r="FN104" i="15" s="1"/>
  <c r="BQ104" i="15"/>
  <c r="BR104" i="15" s="1"/>
  <c r="OG103" i="15"/>
  <c r="OH103" i="15" s="1"/>
  <c r="QS104" i="15"/>
  <c r="QT104" i="15" s="1"/>
  <c r="TU104" i="15"/>
  <c r="TV104" i="15" s="1"/>
  <c r="AC104" i="15"/>
  <c r="FY104" i="15"/>
  <c r="FZ104" i="15" s="1"/>
  <c r="BU103" i="15"/>
  <c r="BV103" i="15" s="1"/>
  <c r="CK104" i="15"/>
  <c r="CL104" i="15" s="1"/>
  <c r="SK104" i="15"/>
  <c r="SL104" i="15" s="1"/>
  <c r="SG104" i="15"/>
  <c r="SH104" i="15" s="1"/>
  <c r="DM104" i="15"/>
  <c r="DN104" i="15" s="1"/>
  <c r="BE104" i="15"/>
  <c r="BF104" i="15" s="1"/>
  <c r="I103" i="15"/>
  <c r="J103" i="15" s="1"/>
  <c r="MC104" i="15"/>
  <c r="MD104" i="15" s="1"/>
  <c r="U104" i="15"/>
  <c r="V104" i="15" s="1"/>
  <c r="PI104" i="15"/>
  <c r="PJ104" i="15" s="1"/>
  <c r="PY104" i="15"/>
  <c r="PZ104" i="15" s="1"/>
  <c r="AG104" i="15"/>
  <c r="AH104" i="15" s="1"/>
  <c r="QO104" i="15"/>
  <c r="QP104" i="15" s="1"/>
  <c r="SO104" i="15"/>
  <c r="SP104" i="15" s="1"/>
  <c r="KO104" i="15"/>
  <c r="KP104" i="15" s="1"/>
  <c r="MG104" i="15"/>
  <c r="MH104" i="15" s="1"/>
  <c r="EK104" i="15"/>
  <c r="EL104" i="15" s="1"/>
  <c r="LY104" i="15"/>
  <c r="LZ104" i="15" s="1"/>
  <c r="LQ104" i="15"/>
  <c r="LR104" i="15" s="1"/>
  <c r="KS104" i="15"/>
  <c r="KT104" i="15" s="1"/>
  <c r="TY104" i="15"/>
  <c r="TZ104" i="15" s="1"/>
  <c r="LZ103" i="15"/>
  <c r="IS104" i="15"/>
  <c r="IT104" i="15" s="1"/>
  <c r="CO104" i="15"/>
  <c r="CP104" i="15" s="1"/>
  <c r="UO104" i="15"/>
  <c r="UP104" i="15" s="1"/>
  <c r="CS103" i="15"/>
  <c r="CT103" i="15" s="1"/>
  <c r="GS104" i="15"/>
  <c r="GT104" i="15" s="1"/>
  <c r="IG104" i="15"/>
  <c r="IH104" i="15" s="1"/>
  <c r="HE104" i="15"/>
  <c r="HF104" i="15" s="1"/>
  <c r="EG104" i="15"/>
  <c r="EH104" i="15" s="1"/>
  <c r="AO104" i="15"/>
  <c r="AP104" i="15" s="1"/>
  <c r="RI104" i="15"/>
  <c r="RJ104" i="15" s="1"/>
  <c r="BI104" i="15"/>
  <c r="BJ104" i="15" s="1"/>
  <c r="LR103" i="15"/>
  <c r="OK104" i="15"/>
  <c r="OL104" i="15" s="1"/>
  <c r="JA104" i="15"/>
  <c r="JB104" i="15" s="1"/>
  <c r="JM104" i="15"/>
  <c r="JN104" i="15" s="1"/>
  <c r="QW104" i="15"/>
  <c r="QX104" i="15" s="1"/>
  <c r="EO104" i="15"/>
  <c r="EP104" i="15" s="1"/>
  <c r="AK104" i="15"/>
  <c r="AL104" i="15" s="1"/>
  <c r="HM104" i="15"/>
  <c r="HN104" i="15" s="1"/>
  <c r="RU103" i="15"/>
  <c r="RV102" i="15"/>
  <c r="RM103" i="15"/>
  <c r="RN102" i="15"/>
  <c r="HX105" i="15"/>
  <c r="HY105" i="15" s="1"/>
  <c r="HZ104" i="15"/>
  <c r="FH105" i="15"/>
  <c r="IR105" i="15"/>
  <c r="DX105" i="15"/>
  <c r="ER105" i="15"/>
  <c r="GV105" i="15"/>
  <c r="GG103" i="15"/>
  <c r="GH102" i="15"/>
  <c r="LP105" i="15"/>
  <c r="IT103" i="15"/>
  <c r="HP105" i="15"/>
  <c r="EV105" i="15"/>
  <c r="SN105" i="15"/>
  <c r="RY103" i="15"/>
  <c r="RZ102" i="15"/>
  <c r="RP105" i="15"/>
  <c r="KR105" i="15"/>
  <c r="X105" i="15"/>
  <c r="ES103" i="15"/>
  <c r="ET102" i="15"/>
  <c r="FD105" i="15"/>
  <c r="DT105" i="15"/>
  <c r="BB104" i="15"/>
  <c r="AZ105" i="15"/>
  <c r="UB105" i="15"/>
  <c r="DU103" i="15"/>
  <c r="DV102" i="15"/>
  <c r="EN105" i="15"/>
  <c r="JE103" i="15"/>
  <c r="JF102" i="15"/>
  <c r="NI103" i="15"/>
  <c r="NJ102" i="15"/>
  <c r="FP105" i="15"/>
  <c r="QG103" i="15"/>
  <c r="QH102" i="15"/>
  <c r="FE104" i="15"/>
  <c r="UK103" i="15"/>
  <c r="UL102" i="15"/>
  <c r="BY103" i="15"/>
  <c r="BZ102" i="15"/>
  <c r="RT105" i="15"/>
  <c r="DD105" i="15"/>
  <c r="OB105" i="15"/>
  <c r="JU103" i="15"/>
  <c r="JV102" i="15"/>
  <c r="FI104" i="15"/>
  <c r="MV105" i="15"/>
  <c r="JI103" i="15"/>
  <c r="JJ102" i="15"/>
  <c r="LA103" i="15"/>
  <c r="LB102" i="15"/>
  <c r="JD105" i="15"/>
  <c r="NM103" i="15"/>
  <c r="NN102" i="15"/>
  <c r="NY103" i="15"/>
  <c r="NZ102" i="15"/>
  <c r="AV105" i="15"/>
  <c r="AW103" i="15"/>
  <c r="AX102" i="15"/>
  <c r="NP105" i="15"/>
  <c r="AL103" i="15"/>
  <c r="EB105" i="15"/>
  <c r="AJ105" i="15"/>
  <c r="FV104" i="15"/>
  <c r="FT105" i="15"/>
  <c r="TH105" i="15"/>
  <c r="PX105" i="15"/>
  <c r="IN105" i="15"/>
  <c r="EW103" i="15"/>
  <c r="EX102" i="15"/>
  <c r="RH105" i="15"/>
  <c r="UN105" i="15"/>
  <c r="NT105" i="15"/>
  <c r="OJ105" i="15"/>
  <c r="PT105" i="15"/>
  <c r="UJ105" i="15"/>
  <c r="HA103" i="15"/>
  <c r="HB102" i="15"/>
  <c r="KJ105" i="15"/>
  <c r="KK105" i="15" s="1"/>
  <c r="KL104" i="15"/>
  <c r="RL105" i="15"/>
  <c r="CJ105" i="15"/>
  <c r="SS103" i="15"/>
  <c r="ST102" i="15"/>
  <c r="OW103" i="15"/>
  <c r="OX102" i="15"/>
  <c r="RX105" i="15"/>
  <c r="UG103" i="15"/>
  <c r="UH102" i="15"/>
  <c r="LI104" i="15"/>
  <c r="LJ104" i="15" s="1"/>
  <c r="PZ103" i="15"/>
  <c r="SF105" i="15"/>
  <c r="MW103" i="15"/>
  <c r="MX102" i="15"/>
  <c r="IO103" i="15"/>
  <c r="IP102" i="15"/>
  <c r="FQ103" i="15"/>
  <c r="FR102" i="15"/>
  <c r="JT105" i="15"/>
  <c r="H104" i="15"/>
  <c r="UP103" i="15"/>
  <c r="IZ105" i="15"/>
  <c r="SV105" i="15"/>
  <c r="QC103" i="15"/>
  <c r="QD102" i="15"/>
  <c r="RQ103" i="15"/>
  <c r="RR102" i="15"/>
  <c r="GB105" i="15"/>
  <c r="JN103" i="15"/>
  <c r="MB105" i="15"/>
  <c r="SW104" i="15"/>
  <c r="IF105" i="15"/>
  <c r="DH105" i="15"/>
  <c r="BX105" i="15"/>
  <c r="MR105" i="15"/>
  <c r="HT105" i="15"/>
  <c r="BH105" i="15"/>
  <c r="MS103" i="15"/>
  <c r="MT102" i="15"/>
  <c r="IK103" i="15"/>
  <c r="IL102" i="15"/>
  <c r="KV105" i="15"/>
  <c r="JB103" i="15"/>
  <c r="DP105" i="15"/>
  <c r="D105" i="15"/>
  <c r="KG103" i="15"/>
  <c r="KH102" i="15"/>
  <c r="T105" i="15"/>
  <c r="GW104" i="15"/>
  <c r="GX104" i="15" s="1"/>
  <c r="NE103" i="15"/>
  <c r="NF102" i="15"/>
  <c r="OO103" i="15"/>
  <c r="OP102" i="15"/>
  <c r="QJ105" i="15"/>
  <c r="PL104" i="15"/>
  <c r="DI103" i="15"/>
  <c r="DJ102" i="15"/>
  <c r="TL105" i="15"/>
  <c r="QV105" i="15"/>
  <c r="CB104" i="15"/>
  <c r="PP105" i="15"/>
  <c r="AD104" i="15"/>
  <c r="AB105" i="15"/>
  <c r="AC105" i="15" s="1"/>
  <c r="IH103" i="15"/>
  <c r="GZ105" i="15"/>
  <c r="IV105" i="15"/>
  <c r="CC103" i="15"/>
  <c r="MN105" i="15"/>
  <c r="HH105" i="15"/>
  <c r="PA103" i="15"/>
  <c r="PB102" i="15"/>
  <c r="BJ103" i="15"/>
  <c r="EP103" i="15"/>
  <c r="OS103" i="15"/>
  <c r="OT102" i="15"/>
  <c r="E104" i="15"/>
  <c r="F104" i="15" s="1"/>
  <c r="JQ103" i="15"/>
  <c r="JR102" i="15"/>
  <c r="PQ103" i="15"/>
  <c r="PR102" i="15"/>
  <c r="DL105" i="15"/>
  <c r="AP103" i="15"/>
  <c r="QX103" i="15"/>
  <c r="FA103" i="15"/>
  <c r="FB102" i="15"/>
  <c r="CV105" i="15"/>
  <c r="LD105" i="15"/>
  <c r="PM103" i="15"/>
  <c r="PN103" i="15" s="1"/>
  <c r="GJ105" i="15"/>
  <c r="TQ103" i="15"/>
  <c r="TR102" i="15"/>
  <c r="CF105" i="15"/>
  <c r="OF104" i="15"/>
  <c r="SR105" i="15"/>
  <c r="UR105" i="15"/>
  <c r="JL105" i="15"/>
  <c r="TD105" i="15"/>
  <c r="TT105" i="15"/>
  <c r="NH105" i="15"/>
  <c r="IW103" i="15"/>
  <c r="IX102" i="15"/>
  <c r="SC103" i="15"/>
  <c r="SD102" i="15"/>
  <c r="NX105" i="15"/>
  <c r="QB105" i="15"/>
  <c r="CW103" i="15"/>
  <c r="CX102" i="15"/>
  <c r="SZ105" i="15"/>
  <c r="Q103" i="15"/>
  <c r="R102" i="15"/>
  <c r="NL105" i="15"/>
  <c r="IB105" i="15"/>
  <c r="KF105" i="15"/>
  <c r="PU103" i="15"/>
  <c r="PV102" i="15"/>
  <c r="US103" i="15"/>
  <c r="UT102" i="15"/>
  <c r="LH105" i="15"/>
  <c r="EC103" i="15"/>
  <c r="ED102" i="15"/>
  <c r="LU103" i="15"/>
  <c r="LV102" i="15"/>
  <c r="MJ105" i="15"/>
  <c r="EF105" i="15"/>
  <c r="AS103" i="15"/>
  <c r="AT102" i="15"/>
  <c r="HN103" i="15"/>
  <c r="KC103" i="15"/>
  <c r="KD102" i="15"/>
  <c r="RA103" i="15"/>
  <c r="RB102" i="15"/>
  <c r="LL105" i="15"/>
  <c r="LM105" i="15" s="1"/>
  <c r="LN104" i="15"/>
  <c r="JH105" i="15"/>
  <c r="MH103" i="15"/>
  <c r="GT103" i="15"/>
  <c r="LE103" i="15"/>
  <c r="LF102" i="15"/>
  <c r="QZ105" i="15"/>
  <c r="JP105" i="15"/>
  <c r="CN105" i="15"/>
  <c r="NU103" i="15"/>
  <c r="NV102" i="15"/>
  <c r="GN105" i="15"/>
  <c r="IC104" i="15"/>
  <c r="DE103" i="15"/>
  <c r="DF102" i="15"/>
  <c r="SJ105" i="15"/>
  <c r="RJ103" i="15"/>
  <c r="Y103" i="15"/>
  <c r="Z102" i="15"/>
  <c r="KW103" i="15"/>
  <c r="KX102" i="15"/>
  <c r="TI103" i="15"/>
  <c r="TJ102" i="15"/>
  <c r="HQ104" i="15"/>
  <c r="LT105" i="15"/>
  <c r="OR105" i="15"/>
  <c r="TP105" i="15"/>
  <c r="HL105" i="15"/>
  <c r="GC103" i="15"/>
  <c r="GD102" i="15"/>
  <c r="OV105" i="15"/>
  <c r="MF105" i="15"/>
  <c r="BT104" i="15"/>
  <c r="GR105" i="15"/>
  <c r="PJ103" i="15"/>
  <c r="GO104" i="15"/>
  <c r="QR105" i="15"/>
  <c r="QK103" i="15"/>
  <c r="QL102" i="15"/>
  <c r="CG103" i="15"/>
  <c r="CH102" i="15"/>
  <c r="EJ105" i="15"/>
  <c r="P105" i="15"/>
  <c r="BM103" i="15"/>
  <c r="BN102" i="15"/>
  <c r="SB105" i="15"/>
  <c r="GF105" i="15"/>
  <c r="AN105" i="15"/>
  <c r="KN105" i="15"/>
  <c r="MK103" i="15"/>
  <c r="ML102" i="15"/>
  <c r="FL105" i="15"/>
  <c r="KB105" i="15"/>
  <c r="NQ103" i="15"/>
  <c r="NR102" i="15"/>
  <c r="ON105" i="15"/>
  <c r="ND105" i="15"/>
  <c r="UC103" i="15"/>
  <c r="UD102" i="15"/>
  <c r="IJ105" i="15"/>
  <c r="M103" i="15"/>
  <c r="N102" i="15"/>
  <c r="HD105" i="15"/>
  <c r="PH105" i="15"/>
  <c r="DQ104" i="15"/>
  <c r="DR104" i="15" s="1"/>
  <c r="DY103" i="15"/>
  <c r="DZ102" i="15"/>
  <c r="L105" i="15"/>
  <c r="AF105" i="15"/>
  <c r="LX105" i="15"/>
  <c r="QF105" i="15"/>
  <c r="HU103" i="15"/>
  <c r="HV102" i="15"/>
  <c r="FX105" i="15"/>
  <c r="UF105" i="15"/>
  <c r="AR105" i="15"/>
  <c r="SH103" i="15"/>
  <c r="GK103" i="15"/>
  <c r="GL102" i="15"/>
  <c r="TX105" i="15"/>
  <c r="OZ105" i="15"/>
  <c r="RD105" i="15"/>
  <c r="RF104" i="15"/>
  <c r="QN105" i="15"/>
  <c r="BP105" i="15"/>
  <c r="JX105" i="15"/>
  <c r="JY105" i="15" s="1"/>
  <c r="JZ104" i="15"/>
  <c r="MZ104" i="15"/>
  <c r="CZ105" i="15"/>
  <c r="DA105" i="15" s="1"/>
  <c r="DB104" i="15"/>
  <c r="EZ105" i="15"/>
  <c r="OC103" i="15"/>
  <c r="OD102" i="15"/>
  <c r="KZ105" i="15"/>
  <c r="BD105" i="15"/>
  <c r="PF104" i="15"/>
  <c r="PD105" i="15"/>
  <c r="TA103" i="15"/>
  <c r="TB102" i="15"/>
  <c r="CR104" i="15"/>
  <c r="NA103" i="15"/>
  <c r="NB103" i="15" s="1"/>
  <c r="BL105" i="15"/>
  <c r="TE103" i="15"/>
  <c r="TF102" i="15"/>
  <c r="HF103" i="15"/>
  <c r="TM103" i="15"/>
  <c r="TN102" i="15"/>
  <c r="HI103" i="15"/>
  <c r="HJ102" i="15"/>
  <c r="MO104" i="15"/>
  <c r="MP104" i="15" s="1"/>
  <c r="F107" i="9"/>
  <c r="G107" i="9" s="1"/>
  <c r="F107" i="8"/>
  <c r="G107" i="8" s="1"/>
  <c r="E108" i="11"/>
  <c r="F107" i="11"/>
  <c r="G106" i="10"/>
  <c r="G107" i="10"/>
  <c r="G106" i="9"/>
  <c r="E108" i="9"/>
  <c r="G106" i="8"/>
  <c r="E108" i="8"/>
  <c r="E109" i="2"/>
  <c r="F108" i="2"/>
  <c r="BQ105" i="15" l="1"/>
  <c r="DM105" i="15"/>
  <c r="CO105" i="15"/>
  <c r="CP105" i="15" s="1"/>
  <c r="QS105" i="15"/>
  <c r="QT105" i="15" s="1"/>
  <c r="FM105" i="15"/>
  <c r="U105" i="15"/>
  <c r="V105" i="15" s="1"/>
  <c r="PI105" i="15"/>
  <c r="PJ105" i="15" s="1"/>
  <c r="TU105" i="15"/>
  <c r="SO105" i="15"/>
  <c r="BE105" i="15"/>
  <c r="BF105" i="15" s="1"/>
  <c r="EK105" i="15"/>
  <c r="EL105" i="15" s="1"/>
  <c r="LY105" i="15"/>
  <c r="LZ105" i="15" s="1"/>
  <c r="BI105" i="15"/>
  <c r="BJ105" i="15" s="1"/>
  <c r="KO105" i="15"/>
  <c r="KP105" i="15" s="1"/>
  <c r="MG105" i="15"/>
  <c r="MH105" i="15" s="1"/>
  <c r="MC105" i="15"/>
  <c r="MD105" i="15" s="1"/>
  <c r="CS104" i="15"/>
  <c r="CT104" i="15" s="1"/>
  <c r="HQ105" i="15"/>
  <c r="HR105" i="15" s="1"/>
  <c r="HE105" i="15"/>
  <c r="HF105" i="15" s="1"/>
  <c r="IS105" i="15"/>
  <c r="IT105" i="15" s="1"/>
  <c r="IG105" i="15"/>
  <c r="IH105" i="15" s="1"/>
  <c r="TY105" i="15"/>
  <c r="TZ105" i="15" s="1"/>
  <c r="KS105" i="15"/>
  <c r="KT105" i="15" s="1"/>
  <c r="JA105" i="15"/>
  <c r="JB105" i="15" s="1"/>
  <c r="AK105" i="15"/>
  <c r="AL105" i="15" s="1"/>
  <c r="QW105" i="15"/>
  <c r="QX105" i="15" s="1"/>
  <c r="IC105" i="15"/>
  <c r="ID105" i="15" s="1"/>
  <c r="OK105" i="15"/>
  <c r="OL105" i="15" s="1"/>
  <c r="CC104" i="15"/>
  <c r="CD104" i="15" s="1"/>
  <c r="FI105" i="15"/>
  <c r="FJ105" i="15" s="1"/>
  <c r="JM105" i="15"/>
  <c r="JN105" i="15" s="1"/>
  <c r="GO105" i="15"/>
  <c r="SW105" i="15"/>
  <c r="SX105" i="15" s="1"/>
  <c r="AN106" i="15"/>
  <c r="UN106" i="15"/>
  <c r="EB106" i="15"/>
  <c r="FP106" i="15"/>
  <c r="FD106" i="15"/>
  <c r="HP106" i="15"/>
  <c r="QN106" i="15"/>
  <c r="TD106" i="15"/>
  <c r="TL106" i="15"/>
  <c r="JT106" i="15"/>
  <c r="CJ106" i="15"/>
  <c r="MV106" i="15"/>
  <c r="LP106" i="15"/>
  <c r="RM104" i="15"/>
  <c r="RN103" i="15"/>
  <c r="ND106" i="15"/>
  <c r="RH106" i="15"/>
  <c r="NP106" i="15"/>
  <c r="NI104" i="15"/>
  <c r="NJ103" i="15"/>
  <c r="ES104" i="15"/>
  <c r="ET103" i="15"/>
  <c r="SB106" i="15"/>
  <c r="IF106" i="15"/>
  <c r="RL106" i="15"/>
  <c r="DH106" i="15"/>
  <c r="LD106" i="15"/>
  <c r="QZ106" i="15"/>
  <c r="DI104" i="15"/>
  <c r="DJ103" i="15"/>
  <c r="RU104" i="15"/>
  <c r="RV103" i="15"/>
  <c r="GF106" i="15"/>
  <c r="EW104" i="15"/>
  <c r="EX103" i="15"/>
  <c r="UR106" i="15"/>
  <c r="JH106" i="15"/>
  <c r="QJ106" i="15"/>
  <c r="IK104" i="15"/>
  <c r="IL103" i="15"/>
  <c r="MW104" i="15"/>
  <c r="MX103" i="15"/>
  <c r="PX106" i="15"/>
  <c r="NY104" i="15"/>
  <c r="NZ103" i="15"/>
  <c r="DD106" i="15"/>
  <c r="EN106" i="15"/>
  <c r="EF106" i="15"/>
  <c r="FA104" i="15"/>
  <c r="FB103" i="15"/>
  <c r="FQ104" i="15"/>
  <c r="FR103" i="15"/>
  <c r="BM104" i="15"/>
  <c r="BN103" i="15"/>
  <c r="MB106" i="15"/>
  <c r="MO105" i="15"/>
  <c r="MP105" i="15" s="1"/>
  <c r="SJ106" i="15"/>
  <c r="GB106" i="15"/>
  <c r="HA104" i="15"/>
  <c r="HB103" i="15"/>
  <c r="RT106" i="15"/>
  <c r="RP106" i="15"/>
  <c r="ER106" i="15"/>
  <c r="PA104" i="15"/>
  <c r="PB103" i="15"/>
  <c r="UO105" i="15"/>
  <c r="UP105" i="15" s="1"/>
  <c r="KV106" i="15"/>
  <c r="EC104" i="15"/>
  <c r="ED103" i="15"/>
  <c r="OF105" i="15"/>
  <c r="EJ106" i="15"/>
  <c r="GC104" i="15"/>
  <c r="GD103" i="15"/>
  <c r="PQ104" i="15"/>
  <c r="PR103" i="15"/>
  <c r="OO104" i="15"/>
  <c r="OP103" i="15"/>
  <c r="MS104" i="15"/>
  <c r="MT103" i="15"/>
  <c r="SF106" i="15"/>
  <c r="UJ106" i="15"/>
  <c r="TH106" i="15"/>
  <c r="NM104" i="15"/>
  <c r="NN103" i="15"/>
  <c r="TA104" i="15"/>
  <c r="TB103" i="15"/>
  <c r="JP106" i="15"/>
  <c r="PD106" i="15"/>
  <c r="GR106" i="15"/>
  <c r="CV106" i="15"/>
  <c r="BD106" i="15"/>
  <c r="BT105" i="15"/>
  <c r="X106" i="15"/>
  <c r="AF106" i="15"/>
  <c r="PL105" i="15"/>
  <c r="OB106" i="15"/>
  <c r="QB106" i="15"/>
  <c r="IV106" i="15"/>
  <c r="DN105" i="15"/>
  <c r="DL106" i="15"/>
  <c r="DY104" i="15"/>
  <c r="DZ103" i="15"/>
  <c r="HL106" i="15"/>
  <c r="US104" i="15"/>
  <c r="UT103" i="15"/>
  <c r="SC104" i="15"/>
  <c r="SD103" i="15"/>
  <c r="RQ104" i="15"/>
  <c r="RR103" i="15"/>
  <c r="FT106" i="15"/>
  <c r="EO105" i="15"/>
  <c r="DU104" i="15"/>
  <c r="DV103" i="15"/>
  <c r="RY104" i="15"/>
  <c r="RZ103" i="15"/>
  <c r="DX106" i="15"/>
  <c r="D106" i="15"/>
  <c r="UC104" i="15"/>
  <c r="UD103" i="15"/>
  <c r="HH106" i="15"/>
  <c r="SZ106" i="15"/>
  <c r="LU104" i="15"/>
  <c r="LV103" i="15"/>
  <c r="AW104" i="15"/>
  <c r="AX103" i="15"/>
  <c r="KZ106" i="15"/>
  <c r="NX106" i="15"/>
  <c r="EZ106" i="15"/>
  <c r="CF106" i="15"/>
  <c r="JQ104" i="15"/>
  <c r="JR103" i="15"/>
  <c r="AD105" i="15"/>
  <c r="AB106" i="15"/>
  <c r="AC106" i="15" s="1"/>
  <c r="NE104" i="15"/>
  <c r="NF103" i="15"/>
  <c r="BH106" i="15"/>
  <c r="LI105" i="15"/>
  <c r="LJ105" i="15" s="1"/>
  <c r="JD106" i="15"/>
  <c r="PE105" i="15"/>
  <c r="PF105" i="15" s="1"/>
  <c r="MN106" i="15"/>
  <c r="JE104" i="15"/>
  <c r="JF103" i="15"/>
  <c r="Y104" i="15"/>
  <c r="Z103" i="15"/>
  <c r="IO104" i="15"/>
  <c r="IP103" i="15"/>
  <c r="AG105" i="15"/>
  <c r="AH105" i="15" s="1"/>
  <c r="GZ106" i="15"/>
  <c r="LL106" i="15"/>
  <c r="LN105" i="15"/>
  <c r="GN106" i="15"/>
  <c r="RA104" i="15"/>
  <c r="RB103" i="15"/>
  <c r="PU104" i="15"/>
  <c r="PV103" i="15"/>
  <c r="IW104" i="15"/>
  <c r="IX103" i="15"/>
  <c r="E105" i="15"/>
  <c r="GW105" i="15"/>
  <c r="HT106" i="15"/>
  <c r="QC104" i="15"/>
  <c r="QD103" i="15"/>
  <c r="PT106" i="15"/>
  <c r="BY104" i="15"/>
  <c r="BZ103" i="15"/>
  <c r="UB106" i="15"/>
  <c r="SN106" i="15"/>
  <c r="SO106" i="15" s="1"/>
  <c r="SP105" i="15"/>
  <c r="IR106" i="15"/>
  <c r="RD106" i="15"/>
  <c r="OZ106" i="15"/>
  <c r="GG104" i="15"/>
  <c r="GH103" i="15"/>
  <c r="LE104" i="15"/>
  <c r="LF103" i="15"/>
  <c r="TX106" i="15"/>
  <c r="KL105" i="15"/>
  <c r="KJ106" i="15"/>
  <c r="KR106" i="15"/>
  <c r="OV106" i="15"/>
  <c r="TM104" i="15"/>
  <c r="TN103" i="15"/>
  <c r="TP106" i="15"/>
  <c r="GP104" i="15"/>
  <c r="KF106" i="15"/>
  <c r="TQ104" i="15"/>
  <c r="TR103" i="15"/>
  <c r="T106" i="15"/>
  <c r="SV106" i="15"/>
  <c r="UG104" i="15"/>
  <c r="UH103" i="15"/>
  <c r="OJ106" i="15"/>
  <c r="AJ106" i="15"/>
  <c r="LA104" i="15"/>
  <c r="LB103" i="15"/>
  <c r="AZ106" i="15"/>
  <c r="FJ104" i="15"/>
  <c r="SK105" i="15"/>
  <c r="QF106" i="15"/>
  <c r="Q104" i="15"/>
  <c r="R103" i="15"/>
  <c r="MJ106" i="15"/>
  <c r="ON106" i="15"/>
  <c r="SR106" i="15"/>
  <c r="IN106" i="15"/>
  <c r="KB106" i="15"/>
  <c r="TE104" i="15"/>
  <c r="TF103" i="15"/>
  <c r="KC104" i="15"/>
  <c r="KD103" i="15"/>
  <c r="BU104" i="15"/>
  <c r="OS104" i="15"/>
  <c r="OT103" i="15"/>
  <c r="PP106" i="15"/>
  <c r="MR106" i="15"/>
  <c r="SX104" i="15"/>
  <c r="SG105" i="15"/>
  <c r="UK104" i="15"/>
  <c r="UL103" i="15"/>
  <c r="RI105" i="15"/>
  <c r="FH106" i="15"/>
  <c r="H105" i="15"/>
  <c r="TI104" i="15"/>
  <c r="TJ103" i="15"/>
  <c r="DP106" i="15"/>
  <c r="KW104" i="15"/>
  <c r="KX103" i="15"/>
  <c r="L106" i="15"/>
  <c r="OC104" i="15"/>
  <c r="OD103" i="15"/>
  <c r="P106" i="15"/>
  <c r="DQ105" i="15"/>
  <c r="DR105" i="15" s="1"/>
  <c r="CZ106" i="15"/>
  <c r="DA106" i="15" s="1"/>
  <c r="DB105" i="15"/>
  <c r="MK104" i="15"/>
  <c r="ML103" i="15"/>
  <c r="QK104" i="15"/>
  <c r="QL103" i="15"/>
  <c r="HD106" i="15"/>
  <c r="AO105" i="15"/>
  <c r="EG105" i="15"/>
  <c r="NU104" i="15"/>
  <c r="NV103" i="15"/>
  <c r="IB106" i="15"/>
  <c r="NH106" i="15"/>
  <c r="CB105" i="15"/>
  <c r="RE105" i="15"/>
  <c r="RF105" i="15" s="1"/>
  <c r="IZ106" i="15"/>
  <c r="RX106" i="15"/>
  <c r="JI104" i="15"/>
  <c r="JJ103" i="15"/>
  <c r="FE105" i="15"/>
  <c r="FF105" i="15" s="1"/>
  <c r="EV106" i="15"/>
  <c r="GS105" i="15"/>
  <c r="GT105" i="15" s="1"/>
  <c r="QO105" i="15"/>
  <c r="IJ106" i="15"/>
  <c r="SS104" i="15"/>
  <c r="ST103" i="15"/>
  <c r="MF106" i="15"/>
  <c r="NQ104" i="15"/>
  <c r="NR103" i="15"/>
  <c r="HI104" i="15"/>
  <c r="HJ103" i="15"/>
  <c r="DE104" i="15"/>
  <c r="DF103" i="15"/>
  <c r="CG104" i="15"/>
  <c r="CH103" i="15"/>
  <c r="PH106" i="15"/>
  <c r="BL106" i="15"/>
  <c r="KN106" i="15"/>
  <c r="NA104" i="15"/>
  <c r="BR105" i="15"/>
  <c r="BP106" i="15"/>
  <c r="BQ106" i="15" s="1"/>
  <c r="M104" i="15"/>
  <c r="N103" i="15"/>
  <c r="I104" i="15"/>
  <c r="J104" i="15" s="1"/>
  <c r="LT106" i="15"/>
  <c r="CK105" i="15"/>
  <c r="CL105" i="15" s="1"/>
  <c r="ID104" i="15"/>
  <c r="GJ106" i="15"/>
  <c r="CD103" i="15"/>
  <c r="NT106" i="15"/>
  <c r="BA105" i="15"/>
  <c r="PY105" i="15"/>
  <c r="DT106" i="15"/>
  <c r="OG104" i="15"/>
  <c r="QV106" i="15"/>
  <c r="LX106" i="15"/>
  <c r="JL106" i="15"/>
  <c r="JU104" i="15"/>
  <c r="JV103" i="15"/>
  <c r="CW104" i="15"/>
  <c r="CX103" i="15"/>
  <c r="AV106" i="15"/>
  <c r="GV106" i="15"/>
  <c r="GK104" i="15"/>
  <c r="GL103" i="15"/>
  <c r="LH106" i="15"/>
  <c r="FL106" i="15"/>
  <c r="FN105" i="15"/>
  <c r="AR106" i="15"/>
  <c r="UF106" i="15"/>
  <c r="MZ105" i="15"/>
  <c r="FX106" i="15"/>
  <c r="LQ105" i="15"/>
  <c r="LR105" i="15" s="1"/>
  <c r="JX106" i="15"/>
  <c r="JY106" i="15" s="1"/>
  <c r="JZ105" i="15"/>
  <c r="OR106" i="15"/>
  <c r="CR105" i="15"/>
  <c r="HU104" i="15"/>
  <c r="HV103" i="15"/>
  <c r="QR106" i="15"/>
  <c r="CN106" i="15"/>
  <c r="CO106" i="15" s="1"/>
  <c r="AS104" i="15"/>
  <c r="AT103" i="15"/>
  <c r="NL106" i="15"/>
  <c r="TV105" i="15"/>
  <c r="TT106" i="15"/>
  <c r="TU106" i="15" s="1"/>
  <c r="PM104" i="15"/>
  <c r="HM105" i="15"/>
  <c r="KG104" i="15"/>
  <c r="KH103" i="15"/>
  <c r="BX106" i="15"/>
  <c r="OW104" i="15"/>
  <c r="OX103" i="15"/>
  <c r="FU105" i="15"/>
  <c r="QG104" i="15"/>
  <c r="QH103" i="15"/>
  <c r="FF104" i="15"/>
  <c r="HR104" i="15"/>
  <c r="HX106" i="15"/>
  <c r="HZ105" i="15"/>
  <c r="FY105" i="15"/>
  <c r="FZ105" i="15" s="1"/>
  <c r="F109" i="2"/>
  <c r="G109" i="2" s="1"/>
  <c r="F108" i="11"/>
  <c r="G108" i="11" s="1"/>
  <c r="G107" i="11"/>
  <c r="E109" i="11"/>
  <c r="E109" i="9"/>
  <c r="F108" i="9"/>
  <c r="E109" i="8"/>
  <c r="F108" i="8"/>
  <c r="E110" i="2"/>
  <c r="G108" i="2"/>
  <c r="U106" i="15" l="1"/>
  <c r="QS106" i="15"/>
  <c r="E106" i="15"/>
  <c r="BE106" i="15"/>
  <c r="IS106" i="15"/>
  <c r="IT106" i="15" s="1"/>
  <c r="MC106" i="15"/>
  <c r="MD106" i="15" s="1"/>
  <c r="MG106" i="15"/>
  <c r="MH106" i="15" s="1"/>
  <c r="CS105" i="15"/>
  <c r="CT105" i="15" s="1"/>
  <c r="KS106" i="15"/>
  <c r="KT106" i="15" s="1"/>
  <c r="LY106" i="15"/>
  <c r="LZ106" i="15" s="1"/>
  <c r="HQ106" i="15"/>
  <c r="HR106" i="15" s="1"/>
  <c r="QW106" i="15"/>
  <c r="QX106" i="15" s="1"/>
  <c r="TY106" i="15"/>
  <c r="TZ106" i="15" s="1"/>
  <c r="CC105" i="15"/>
  <c r="CD105" i="15" s="1"/>
  <c r="GO106" i="15"/>
  <c r="GP106" i="15" s="1"/>
  <c r="PY106" i="15"/>
  <c r="PZ106" i="15" s="1"/>
  <c r="OK106" i="15"/>
  <c r="OL106" i="15" s="1"/>
  <c r="IC106" i="15"/>
  <c r="ID106" i="15" s="1"/>
  <c r="GP105" i="15"/>
  <c r="QO106" i="15"/>
  <c r="QP106" i="15" s="1"/>
  <c r="SW106" i="15"/>
  <c r="SX106" i="15" s="1"/>
  <c r="JM106" i="15"/>
  <c r="JN106" i="15" s="1"/>
  <c r="NA105" i="15"/>
  <c r="NB105" i="15" s="1"/>
  <c r="SK106" i="15"/>
  <c r="SL106" i="15" s="1"/>
  <c r="BU105" i="15"/>
  <c r="BV105" i="15" s="1"/>
  <c r="BA106" i="15"/>
  <c r="BB106" i="15" s="1"/>
  <c r="AO106" i="15"/>
  <c r="AP106" i="15" s="1"/>
  <c r="FU106" i="15"/>
  <c r="FV106" i="15" s="1"/>
  <c r="RI106" i="15"/>
  <c r="RJ106" i="15" s="1"/>
  <c r="SG106" i="15"/>
  <c r="SH106" i="15" s="1"/>
  <c r="PM105" i="15"/>
  <c r="PN105" i="15" s="1"/>
  <c r="OG105" i="15"/>
  <c r="OH105" i="15" s="1"/>
  <c r="F105" i="15"/>
  <c r="PN104" i="15"/>
  <c r="EO106" i="15"/>
  <c r="EP106" i="15" s="1"/>
  <c r="HM106" i="15"/>
  <c r="HN106" i="15" s="1"/>
  <c r="EG106" i="15"/>
  <c r="EH106" i="15" s="1"/>
  <c r="GW106" i="15"/>
  <c r="GX106" i="15" s="1"/>
  <c r="SS105" i="15"/>
  <c r="ST104" i="15"/>
  <c r="CF107" i="15"/>
  <c r="DY105" i="15"/>
  <c r="DZ104" i="15"/>
  <c r="PA105" i="15"/>
  <c r="PB104" i="15"/>
  <c r="BM105" i="15"/>
  <c r="BN104" i="15"/>
  <c r="QJ107" i="15"/>
  <c r="LP107" i="15"/>
  <c r="FD107" i="15"/>
  <c r="DL107" i="15"/>
  <c r="GR107" i="15"/>
  <c r="OO105" i="15"/>
  <c r="OP104" i="15"/>
  <c r="TQ105" i="15"/>
  <c r="TR104" i="15"/>
  <c r="FQ105" i="15"/>
  <c r="FR104" i="15"/>
  <c r="JH107" i="15"/>
  <c r="RL107" i="15"/>
  <c r="MV107" i="15"/>
  <c r="KW105" i="15"/>
  <c r="KX104" i="15"/>
  <c r="JE105" i="15"/>
  <c r="JF104" i="15"/>
  <c r="EZ107" i="15"/>
  <c r="PD107" i="15"/>
  <c r="ER107" i="15"/>
  <c r="IF107" i="15"/>
  <c r="FP107" i="15"/>
  <c r="CN107" i="15"/>
  <c r="CP106" i="15"/>
  <c r="IV107" i="15"/>
  <c r="PQ105" i="15"/>
  <c r="PR104" i="15"/>
  <c r="FA105" i="15"/>
  <c r="FB104" i="15"/>
  <c r="CJ107" i="15"/>
  <c r="QG105" i="15"/>
  <c r="QH104" i="15"/>
  <c r="MN107" i="15"/>
  <c r="GK105" i="15"/>
  <c r="GL104" i="15"/>
  <c r="EB107" i="15"/>
  <c r="OW105" i="15"/>
  <c r="OX104" i="15"/>
  <c r="GX105" i="15"/>
  <c r="NT107" i="15"/>
  <c r="FE106" i="15"/>
  <c r="FF106" i="15" s="1"/>
  <c r="HD107" i="15"/>
  <c r="TI105" i="15"/>
  <c r="TJ104" i="15"/>
  <c r="AZ107" i="15"/>
  <c r="PE106" i="15"/>
  <c r="KZ107" i="15"/>
  <c r="DU105" i="15"/>
  <c r="DV104" i="15"/>
  <c r="GC105" i="15"/>
  <c r="GD104" i="15"/>
  <c r="RT107" i="15"/>
  <c r="EN107" i="15"/>
  <c r="EW105" i="15"/>
  <c r="EX104" i="15"/>
  <c r="JT107" i="15"/>
  <c r="KN107" i="15"/>
  <c r="NX107" i="15"/>
  <c r="BB105" i="15"/>
  <c r="HX107" i="15"/>
  <c r="PP107" i="15"/>
  <c r="FL107" i="15"/>
  <c r="QB107" i="15"/>
  <c r="UN107" i="15"/>
  <c r="HE106" i="15"/>
  <c r="LA105" i="15"/>
  <c r="LB104" i="15"/>
  <c r="TM105" i="15"/>
  <c r="TN104" i="15"/>
  <c r="RA105" i="15"/>
  <c r="RB104" i="15"/>
  <c r="LI106" i="15"/>
  <c r="LJ106" i="15" s="1"/>
  <c r="AW105" i="15"/>
  <c r="AX104" i="15"/>
  <c r="FT107" i="15"/>
  <c r="PL106" i="15"/>
  <c r="OF106" i="15"/>
  <c r="HA105" i="15"/>
  <c r="HB104" i="15"/>
  <c r="DD107" i="15"/>
  <c r="NI105" i="15"/>
  <c r="NJ104" i="15"/>
  <c r="AN107" i="15"/>
  <c r="NU105" i="15"/>
  <c r="NV104" i="15"/>
  <c r="BL107" i="15"/>
  <c r="OZ107" i="15"/>
  <c r="HU105" i="15"/>
  <c r="HV104" i="15"/>
  <c r="KF107" i="15"/>
  <c r="JP107" i="15"/>
  <c r="EH105" i="15"/>
  <c r="AV107" i="15"/>
  <c r="IR107" i="15"/>
  <c r="RX107" i="15"/>
  <c r="JZ106" i="15"/>
  <c r="JX107" i="15"/>
  <c r="JY107" i="15" s="1"/>
  <c r="MK105" i="15"/>
  <c r="ML104" i="15"/>
  <c r="FH107" i="15"/>
  <c r="KB107" i="15"/>
  <c r="BH107" i="15"/>
  <c r="NM105" i="15"/>
  <c r="NN104" i="15"/>
  <c r="OH104" i="15"/>
  <c r="GB107" i="15"/>
  <c r="RU105" i="15"/>
  <c r="RV104" i="15"/>
  <c r="FI106" i="15"/>
  <c r="FJ106" i="15" s="1"/>
  <c r="QC105" i="15"/>
  <c r="QD104" i="15"/>
  <c r="IJ107" i="15"/>
  <c r="GS106" i="15"/>
  <c r="RY105" i="15"/>
  <c r="RZ104" i="15"/>
  <c r="IW105" i="15"/>
  <c r="IX104" i="15"/>
  <c r="GV107" i="15"/>
  <c r="JD107" i="15"/>
  <c r="EP105" i="15"/>
  <c r="FV105" i="15"/>
  <c r="AJ107" i="15"/>
  <c r="LU105" i="15"/>
  <c r="LV104" i="15"/>
  <c r="RQ105" i="15"/>
  <c r="RR104" i="15"/>
  <c r="AF107" i="15"/>
  <c r="TH107" i="15"/>
  <c r="NY105" i="15"/>
  <c r="NZ104" i="15"/>
  <c r="NP107" i="15"/>
  <c r="TD107" i="15"/>
  <c r="DP107" i="15"/>
  <c r="RD107" i="15"/>
  <c r="OR107" i="15"/>
  <c r="TE105" i="15"/>
  <c r="TF104" i="15"/>
  <c r="OB107" i="15"/>
  <c r="AP105" i="15"/>
  <c r="KG105" i="15"/>
  <c r="KH104" i="15"/>
  <c r="FX107" i="15"/>
  <c r="OJ107" i="15"/>
  <c r="UB107" i="15"/>
  <c r="SZ107" i="15"/>
  <c r="EC105" i="15"/>
  <c r="ED104" i="15"/>
  <c r="SJ107" i="15"/>
  <c r="PX107" i="15"/>
  <c r="DI105" i="15"/>
  <c r="DJ104" i="15"/>
  <c r="QP105" i="15"/>
  <c r="IG106" i="15"/>
  <c r="IH106" i="15" s="1"/>
  <c r="LE105" i="15"/>
  <c r="LF104" i="15"/>
  <c r="QF107" i="15"/>
  <c r="RP107" i="15"/>
  <c r="PH107" i="15"/>
  <c r="CG105" i="15"/>
  <c r="CH104" i="15"/>
  <c r="TP107" i="15"/>
  <c r="EJ107" i="15"/>
  <c r="CK106" i="15"/>
  <c r="IN107" i="15"/>
  <c r="RE106" i="15"/>
  <c r="DQ106" i="15"/>
  <c r="LL107" i="15"/>
  <c r="NE105" i="15"/>
  <c r="NF104" i="15"/>
  <c r="SC105" i="15"/>
  <c r="SD104" i="15"/>
  <c r="X107" i="15"/>
  <c r="BI106" i="15"/>
  <c r="BJ106" i="15" s="1"/>
  <c r="SL105" i="15"/>
  <c r="PZ105" i="15"/>
  <c r="RJ105" i="15"/>
  <c r="QN107" i="15"/>
  <c r="IB107" i="15"/>
  <c r="QR107" i="15"/>
  <c r="QT106" i="15"/>
  <c r="Q105" i="15"/>
  <c r="R104" i="15"/>
  <c r="UR107" i="15"/>
  <c r="CR106" i="15"/>
  <c r="PU105" i="15"/>
  <c r="PV104" i="15"/>
  <c r="ES105" i="15"/>
  <c r="ET104" i="15"/>
  <c r="IZ107" i="15"/>
  <c r="GN107" i="15"/>
  <c r="KR107" i="15"/>
  <c r="I105" i="15"/>
  <c r="P107" i="15"/>
  <c r="UK105" i="15"/>
  <c r="UL104" i="15"/>
  <c r="SR107" i="15"/>
  <c r="KJ107" i="15"/>
  <c r="AD106" i="15"/>
  <c r="AB107" i="15"/>
  <c r="AC107" i="15" s="1"/>
  <c r="HH107" i="15"/>
  <c r="BT106" i="15"/>
  <c r="UJ107" i="15"/>
  <c r="KV107" i="15"/>
  <c r="FM106" i="15"/>
  <c r="FN106" i="15" s="1"/>
  <c r="QZ107" i="15"/>
  <c r="RH107" i="15"/>
  <c r="MJ107" i="15"/>
  <c r="GG105" i="15"/>
  <c r="GH104" i="15"/>
  <c r="EV107" i="15"/>
  <c r="H106" i="15"/>
  <c r="GF107" i="15"/>
  <c r="HI105" i="15"/>
  <c r="HJ104" i="15"/>
  <c r="OV107" i="15"/>
  <c r="MF107" i="15"/>
  <c r="ON107" i="15"/>
  <c r="UG105" i="15"/>
  <c r="UH104" i="15"/>
  <c r="BY105" i="15"/>
  <c r="BZ104" i="15"/>
  <c r="GZ107" i="15"/>
  <c r="US105" i="15"/>
  <c r="UT104" i="15"/>
  <c r="BV104" i="15"/>
  <c r="SH105" i="15"/>
  <c r="MO106" i="15"/>
  <c r="MP106" i="15" s="1"/>
  <c r="MW105" i="15"/>
  <c r="MX104" i="15"/>
  <c r="LD107" i="15"/>
  <c r="LM106" i="15"/>
  <c r="LN106" i="15" s="1"/>
  <c r="KO106" i="15"/>
  <c r="DX107" i="15"/>
  <c r="LH107" i="15"/>
  <c r="EF107" i="15"/>
  <c r="JI105" i="15"/>
  <c r="JJ104" i="15"/>
  <c r="TL107" i="15"/>
  <c r="NB104" i="15"/>
  <c r="JL107" i="15"/>
  <c r="M105" i="15"/>
  <c r="N104" i="15"/>
  <c r="AG106" i="15"/>
  <c r="HL107" i="15"/>
  <c r="SF107" i="15"/>
  <c r="UO106" i="15"/>
  <c r="MB107" i="15"/>
  <c r="ND107" i="15"/>
  <c r="KK106" i="15"/>
  <c r="KL106" i="15" s="1"/>
  <c r="T107" i="15"/>
  <c r="U107" i="15" s="1"/>
  <c r="V106" i="15"/>
  <c r="HT107" i="15"/>
  <c r="OS105" i="15"/>
  <c r="OT104" i="15"/>
  <c r="HY106" i="15"/>
  <c r="HZ106" i="15" s="1"/>
  <c r="TA105" i="15"/>
  <c r="TB104" i="15"/>
  <c r="BX107" i="15"/>
  <c r="GJ107" i="15"/>
  <c r="CW105" i="15"/>
  <c r="CX104" i="15"/>
  <c r="LT107" i="15"/>
  <c r="TT107" i="15"/>
  <c r="TU107" i="15" s="1"/>
  <c r="TV106" i="15"/>
  <c r="JU105" i="15"/>
  <c r="JV104" i="15"/>
  <c r="MZ106" i="15"/>
  <c r="AK106" i="15"/>
  <c r="UF107" i="15"/>
  <c r="BR106" i="15"/>
  <c r="BP107" i="15"/>
  <c r="JA106" i="15"/>
  <c r="OC105" i="15"/>
  <c r="OD104" i="15"/>
  <c r="MR107" i="15"/>
  <c r="SV107" i="15"/>
  <c r="TX107" i="15"/>
  <c r="PT107" i="15"/>
  <c r="JQ105" i="15"/>
  <c r="JR104" i="15"/>
  <c r="UC105" i="15"/>
  <c r="UD104" i="15"/>
  <c r="HN105" i="15"/>
  <c r="BD107" i="15"/>
  <c r="BF106" i="15"/>
  <c r="DM106" i="15"/>
  <c r="IK105" i="15"/>
  <c r="IL104" i="15"/>
  <c r="DH107" i="15"/>
  <c r="HP107" i="15"/>
  <c r="Y105" i="15"/>
  <c r="Z104" i="15"/>
  <c r="DT107" i="15"/>
  <c r="SB107" i="15"/>
  <c r="KC105" i="15"/>
  <c r="KD104" i="15"/>
  <c r="QK105" i="15"/>
  <c r="QL104" i="15"/>
  <c r="DE105" i="15"/>
  <c r="DF104" i="15"/>
  <c r="LQ106" i="15"/>
  <c r="SP106" i="15"/>
  <c r="SN107" i="15"/>
  <c r="DB106" i="15"/>
  <c r="CZ107" i="15"/>
  <c r="NQ105" i="15"/>
  <c r="NR104" i="15"/>
  <c r="NL107" i="15"/>
  <c r="CB106" i="15"/>
  <c r="PI106" i="15"/>
  <c r="FY106" i="15"/>
  <c r="FZ106" i="15" s="1"/>
  <c r="LX107" i="15"/>
  <c r="AS105" i="15"/>
  <c r="AT104" i="15"/>
  <c r="AR107" i="15"/>
  <c r="QV107" i="15"/>
  <c r="NH107" i="15"/>
  <c r="L107" i="15"/>
  <c r="IO105" i="15"/>
  <c r="IP104" i="15"/>
  <c r="D107" i="15"/>
  <c r="F106" i="15"/>
  <c r="CV107" i="15"/>
  <c r="MS105" i="15"/>
  <c r="MT104" i="15"/>
  <c r="RM105" i="15"/>
  <c r="RN104" i="15"/>
  <c r="EK106" i="15"/>
  <c r="F109" i="8"/>
  <c r="G109" i="8" s="1"/>
  <c r="F109" i="9"/>
  <c r="G109" i="9" s="1"/>
  <c r="E110" i="11"/>
  <c r="F109" i="11"/>
  <c r="G108" i="10"/>
  <c r="G109" i="10"/>
  <c r="G108" i="9"/>
  <c r="E110" i="9"/>
  <c r="G108" i="8"/>
  <c r="E110" i="8"/>
  <c r="E111" i="2"/>
  <c r="F110" i="2"/>
  <c r="E107" i="15" l="1"/>
  <c r="IS107" i="15"/>
  <c r="AK107" i="15"/>
  <c r="GO107" i="15"/>
  <c r="GP107" i="15" s="1"/>
  <c r="PY107" i="15"/>
  <c r="PZ107" i="15" s="1"/>
  <c r="QW107" i="15"/>
  <c r="QX107" i="15" s="1"/>
  <c r="SW107" i="15"/>
  <c r="SX107" i="15" s="1"/>
  <c r="LY107" i="15"/>
  <c r="LZ107" i="15" s="1"/>
  <c r="IC107" i="15"/>
  <c r="ID107" i="15" s="1"/>
  <c r="TY107" i="15"/>
  <c r="TZ107" i="15" s="1"/>
  <c r="SK107" i="15"/>
  <c r="SL107" i="15" s="1"/>
  <c r="BU106" i="15"/>
  <c r="BV106" i="15" s="1"/>
  <c r="NA106" i="15"/>
  <c r="NB106" i="15" s="1"/>
  <c r="FU107" i="15"/>
  <c r="FV107" i="15" s="1"/>
  <c r="DM107" i="15"/>
  <c r="DN107" i="15" s="1"/>
  <c r="EG107" i="15"/>
  <c r="EH107" i="15" s="1"/>
  <c r="EO107" i="15"/>
  <c r="EP107" i="15" s="1"/>
  <c r="GS107" i="15"/>
  <c r="GT107" i="15" s="1"/>
  <c r="AO107" i="15"/>
  <c r="AP107" i="15" s="1"/>
  <c r="HE107" i="15"/>
  <c r="HF107" i="15" s="1"/>
  <c r="BA107" i="15"/>
  <c r="BB107" i="15" s="1"/>
  <c r="PI107" i="15"/>
  <c r="PJ107" i="15" s="1"/>
  <c r="LQ107" i="15"/>
  <c r="LR107" i="15" s="1"/>
  <c r="KO107" i="15"/>
  <c r="KP107" i="15" s="1"/>
  <c r="UO107" i="15"/>
  <c r="UP107" i="15" s="1"/>
  <c r="CK107" i="15"/>
  <c r="CL107" i="15" s="1"/>
  <c r="AG107" i="15"/>
  <c r="AH107" i="15" s="1"/>
  <c r="EK107" i="15"/>
  <c r="EL107" i="15" s="1"/>
  <c r="DQ107" i="15"/>
  <c r="DR107" i="15" s="1"/>
  <c r="RE107" i="15"/>
  <c r="RF107" i="15" s="1"/>
  <c r="JA107" i="15"/>
  <c r="JB107" i="15" s="1"/>
  <c r="PJ106" i="15"/>
  <c r="NM106" i="15"/>
  <c r="NN105" i="15"/>
  <c r="CW106" i="15"/>
  <c r="CX105" i="15"/>
  <c r="RP108" i="15"/>
  <c r="TD108" i="15"/>
  <c r="GV108" i="15"/>
  <c r="OF107" i="15"/>
  <c r="RL108" i="15"/>
  <c r="QJ108" i="15"/>
  <c r="SC106" i="15"/>
  <c r="SD105" i="15"/>
  <c r="BH108" i="15"/>
  <c r="KF108" i="15"/>
  <c r="PL107" i="15"/>
  <c r="FL108" i="15"/>
  <c r="RT108" i="15"/>
  <c r="OW106" i="15"/>
  <c r="OX105" i="15"/>
  <c r="CN108" i="15"/>
  <c r="OJ108" i="15"/>
  <c r="FP108" i="15"/>
  <c r="JH108" i="15"/>
  <c r="BM106" i="15"/>
  <c r="BN105" i="15"/>
  <c r="BY106" i="15"/>
  <c r="BZ105" i="15"/>
  <c r="UR108" i="15"/>
  <c r="NE106" i="15"/>
  <c r="NF105" i="15"/>
  <c r="QF108" i="15"/>
  <c r="NP108" i="15"/>
  <c r="IW106" i="15"/>
  <c r="IX105" i="15"/>
  <c r="KB108" i="15"/>
  <c r="HU106" i="15"/>
  <c r="HV105" i="15"/>
  <c r="FT108" i="15"/>
  <c r="PP108" i="15"/>
  <c r="GC106" i="15"/>
  <c r="GD105" i="15"/>
  <c r="EB108" i="15"/>
  <c r="GZ108" i="15"/>
  <c r="GJ108" i="15"/>
  <c r="SF108" i="15"/>
  <c r="OC106" i="15"/>
  <c r="OD105" i="15"/>
  <c r="OZ108" i="15"/>
  <c r="HL108" i="15"/>
  <c r="ON108" i="15"/>
  <c r="KG106" i="15"/>
  <c r="KH105" i="15"/>
  <c r="IG107" i="15"/>
  <c r="IH107" i="15" s="1"/>
  <c r="TH108" i="15"/>
  <c r="IJ108" i="15"/>
  <c r="MK106" i="15"/>
  <c r="ML105" i="15"/>
  <c r="LI107" i="15"/>
  <c r="LJ107" i="15" s="1"/>
  <c r="TQ106" i="15"/>
  <c r="TR105" i="15"/>
  <c r="HH108" i="15"/>
  <c r="GG106" i="15"/>
  <c r="GH105" i="15"/>
  <c r="FQ106" i="15"/>
  <c r="FR105" i="15"/>
  <c r="LH108" i="15"/>
  <c r="LE106" i="15"/>
  <c r="LF105" i="15"/>
  <c r="UK106" i="15"/>
  <c r="UL105" i="15"/>
  <c r="QK106" i="15"/>
  <c r="QL105" i="15"/>
  <c r="BD108" i="15"/>
  <c r="UF108" i="15"/>
  <c r="HY107" i="15"/>
  <c r="HZ107" i="15" s="1"/>
  <c r="M106" i="15"/>
  <c r="N105" i="15"/>
  <c r="OG106" i="15"/>
  <c r="OH106" i="15" s="1"/>
  <c r="SG107" i="15"/>
  <c r="PM106" i="15"/>
  <c r="AF108" i="15"/>
  <c r="JX108" i="15"/>
  <c r="JY108" i="15" s="1"/>
  <c r="JZ107" i="15"/>
  <c r="NX108" i="15"/>
  <c r="PE107" i="15"/>
  <c r="PF107" i="15" s="1"/>
  <c r="ER108" i="15"/>
  <c r="CF108" i="15"/>
  <c r="NQ106" i="15"/>
  <c r="NR105" i="15"/>
  <c r="X108" i="15"/>
  <c r="CR107" i="15"/>
  <c r="SN108" i="15"/>
  <c r="BX108" i="15"/>
  <c r="RY106" i="15"/>
  <c r="RZ105" i="15"/>
  <c r="MN108" i="15"/>
  <c r="AS106" i="15"/>
  <c r="AT105" i="15"/>
  <c r="MF108" i="15"/>
  <c r="QZ108" i="15"/>
  <c r="P108" i="15"/>
  <c r="QR108" i="15"/>
  <c r="OB108" i="15"/>
  <c r="AH106" i="15"/>
  <c r="NU106" i="15"/>
  <c r="NV105" i="15"/>
  <c r="RA106" i="15"/>
  <c r="RB105" i="15"/>
  <c r="BE107" i="15"/>
  <c r="QG106" i="15"/>
  <c r="QH105" i="15"/>
  <c r="PF106" i="15"/>
  <c r="OO106" i="15"/>
  <c r="OP105" i="15"/>
  <c r="MB108" i="15"/>
  <c r="NH108" i="15"/>
  <c r="UG106" i="15"/>
  <c r="UH105" i="15"/>
  <c r="GK106" i="15"/>
  <c r="GL105" i="15"/>
  <c r="MJ108" i="15"/>
  <c r="KZ108" i="15"/>
  <c r="JL108" i="15"/>
  <c r="PU106" i="15"/>
  <c r="PV105" i="15"/>
  <c r="LL108" i="15"/>
  <c r="DE106" i="15"/>
  <c r="DF105" i="15"/>
  <c r="Q106" i="15"/>
  <c r="R105" i="15"/>
  <c r="QC106" i="15"/>
  <c r="QD105" i="15"/>
  <c r="UC106" i="15"/>
  <c r="UD105" i="15"/>
  <c r="LD108" i="15"/>
  <c r="OV108" i="15"/>
  <c r="FM107" i="15"/>
  <c r="KR108" i="15"/>
  <c r="IB108" i="15"/>
  <c r="TE106" i="15"/>
  <c r="TF105" i="15"/>
  <c r="RQ106" i="15"/>
  <c r="RR105" i="15"/>
  <c r="RX108" i="15"/>
  <c r="TM106" i="15"/>
  <c r="TN105" i="15"/>
  <c r="GW107" i="15"/>
  <c r="GX107" i="15" s="1"/>
  <c r="CL106" i="15"/>
  <c r="EZ108" i="15"/>
  <c r="GR108" i="15"/>
  <c r="EV108" i="15"/>
  <c r="L108" i="15"/>
  <c r="HX108" i="15"/>
  <c r="BP108" i="15"/>
  <c r="BQ107" i="15"/>
  <c r="KV108" i="15"/>
  <c r="QN108" i="15"/>
  <c r="EL106" i="15"/>
  <c r="PX108" i="15"/>
  <c r="FI107" i="15"/>
  <c r="AN108" i="15"/>
  <c r="KP106" i="15"/>
  <c r="CJ108" i="15"/>
  <c r="DL108" i="15"/>
  <c r="CZ108" i="15"/>
  <c r="DU106" i="15"/>
  <c r="DV105" i="15"/>
  <c r="BL108" i="15"/>
  <c r="RH108" i="15"/>
  <c r="DI106" i="15"/>
  <c r="DJ105" i="15"/>
  <c r="SO107" i="15"/>
  <c r="SP107" i="15" s="1"/>
  <c r="RM106" i="15"/>
  <c r="RN105" i="15"/>
  <c r="SB108" i="15"/>
  <c r="JQ106" i="15"/>
  <c r="JR105" i="15"/>
  <c r="HT108" i="15"/>
  <c r="HM107" i="15"/>
  <c r="EJ108" i="15"/>
  <c r="SJ108" i="15"/>
  <c r="OR108" i="15"/>
  <c r="LU106" i="15"/>
  <c r="LV105" i="15"/>
  <c r="IR108" i="15"/>
  <c r="IT107" i="15"/>
  <c r="LA106" i="15"/>
  <c r="LB105" i="15"/>
  <c r="KN108" i="15"/>
  <c r="TI106" i="15"/>
  <c r="TJ105" i="15"/>
  <c r="DN106" i="15"/>
  <c r="JM107" i="15"/>
  <c r="HP108" i="15"/>
  <c r="EF108" i="15"/>
  <c r="FH108" i="15"/>
  <c r="IF108" i="15"/>
  <c r="DX108" i="15"/>
  <c r="AW106" i="15"/>
  <c r="AX105" i="15"/>
  <c r="AR108" i="15"/>
  <c r="IN108" i="15"/>
  <c r="MC107" i="15"/>
  <c r="MZ107" i="15"/>
  <c r="PT108" i="15"/>
  <c r="JU106" i="15"/>
  <c r="JV105" i="15"/>
  <c r="MW106" i="15"/>
  <c r="MX105" i="15"/>
  <c r="HI106" i="15"/>
  <c r="HJ105" i="15"/>
  <c r="GN108" i="15"/>
  <c r="RF106" i="15"/>
  <c r="AJ108" i="15"/>
  <c r="AL107" i="15"/>
  <c r="RU106" i="15"/>
  <c r="RV105" i="15"/>
  <c r="NI106" i="15"/>
  <c r="NJ105" i="15"/>
  <c r="HQ107" i="15"/>
  <c r="HR107" i="15" s="1"/>
  <c r="HD108" i="15"/>
  <c r="FA106" i="15"/>
  <c r="FB105" i="15"/>
  <c r="JE106" i="15"/>
  <c r="JF105" i="15"/>
  <c r="CO107" i="15"/>
  <c r="H107" i="15"/>
  <c r="DH108" i="15"/>
  <c r="QV108" i="15"/>
  <c r="OK107" i="15"/>
  <c r="IK106" i="15"/>
  <c r="IL105" i="15"/>
  <c r="NY106" i="15"/>
  <c r="NZ105" i="15"/>
  <c r="DY106" i="15"/>
  <c r="DZ105" i="15"/>
  <c r="AZ108" i="15"/>
  <c r="LX108" i="15"/>
  <c r="FY107" i="15"/>
  <c r="FZ107" i="15" s="1"/>
  <c r="DT108" i="15"/>
  <c r="MO107" i="15"/>
  <c r="MP107" i="15" s="1"/>
  <c r="UJ108" i="15"/>
  <c r="JB106" i="15"/>
  <c r="TP108" i="15"/>
  <c r="RD108" i="15"/>
  <c r="AL106" i="15"/>
  <c r="GB108" i="15"/>
  <c r="AV108" i="15"/>
  <c r="JT108" i="15"/>
  <c r="HF106" i="15"/>
  <c r="FD108" i="15"/>
  <c r="KS107" i="15"/>
  <c r="KT107" i="15" s="1"/>
  <c r="IO106" i="15"/>
  <c r="IP105" i="15"/>
  <c r="MR108" i="15"/>
  <c r="PA106" i="15"/>
  <c r="PB105" i="15"/>
  <c r="TA106" i="15"/>
  <c r="TB105" i="15"/>
  <c r="SS106" i="15"/>
  <c r="ST105" i="15"/>
  <c r="RI107" i="15"/>
  <c r="CB107" i="15"/>
  <c r="CV108" i="15"/>
  <c r="TV107" i="15"/>
  <c r="TT108" i="15"/>
  <c r="TU108" i="15" s="1"/>
  <c r="KK107" i="15"/>
  <c r="KL107" i="15" s="1"/>
  <c r="GF108" i="15"/>
  <c r="IZ108" i="15"/>
  <c r="EC106" i="15"/>
  <c r="ED105" i="15"/>
  <c r="DR106" i="15"/>
  <c r="CC106" i="15"/>
  <c r="CD106" i="15" s="1"/>
  <c r="DD108" i="15"/>
  <c r="UP106" i="15"/>
  <c r="FE107" i="15"/>
  <c r="PQ106" i="15"/>
  <c r="PR105" i="15"/>
  <c r="KW106" i="15"/>
  <c r="KX105" i="15"/>
  <c r="LR106" i="15"/>
  <c r="US106" i="15"/>
  <c r="UT105" i="15"/>
  <c r="AD107" i="15"/>
  <c r="AB108" i="15"/>
  <c r="KJ108" i="15"/>
  <c r="SR108" i="15"/>
  <c r="FX108" i="15"/>
  <c r="CS106" i="15"/>
  <c r="LM107" i="15"/>
  <c r="GT106" i="15"/>
  <c r="KC106" i="15"/>
  <c r="KD105" i="15"/>
  <c r="MS106" i="15"/>
  <c r="MT105" i="15"/>
  <c r="TL108" i="15"/>
  <c r="NL108" i="15"/>
  <c r="ND108" i="15"/>
  <c r="JI106" i="15"/>
  <c r="JJ105" i="15"/>
  <c r="BT107" i="15"/>
  <c r="BI107" i="15"/>
  <c r="CG106" i="15"/>
  <c r="CH105" i="15"/>
  <c r="DP108" i="15"/>
  <c r="UN108" i="15"/>
  <c r="EW106" i="15"/>
  <c r="EX105" i="15"/>
  <c r="NT108" i="15"/>
  <c r="IV108" i="15"/>
  <c r="LP108" i="15"/>
  <c r="DA107" i="15"/>
  <c r="DB107" i="15" s="1"/>
  <c r="UB108" i="15"/>
  <c r="I106" i="15"/>
  <c r="PD108" i="15"/>
  <c r="OS106" i="15"/>
  <c r="OT105" i="15"/>
  <c r="V107" i="15"/>
  <c r="T108" i="15"/>
  <c r="TX108" i="15"/>
  <c r="F107" i="15"/>
  <c r="D108" i="15"/>
  <c r="E108" i="15" s="1"/>
  <c r="Y106" i="15"/>
  <c r="Z105" i="15"/>
  <c r="SV108" i="15"/>
  <c r="LT108" i="15"/>
  <c r="J105" i="15"/>
  <c r="ES106" i="15"/>
  <c r="ET105" i="15"/>
  <c r="PH108" i="15"/>
  <c r="SZ108" i="15"/>
  <c r="QO107" i="15"/>
  <c r="JD108" i="15"/>
  <c r="JP108" i="15"/>
  <c r="HA106" i="15"/>
  <c r="HB105" i="15"/>
  <c r="QB108" i="15"/>
  <c r="EN108" i="15"/>
  <c r="MV108" i="15"/>
  <c r="MG107" i="15"/>
  <c r="QS107" i="15"/>
  <c r="F110" i="11"/>
  <c r="G110" i="11" s="1"/>
  <c r="F111" i="2"/>
  <c r="G111" i="2" s="1"/>
  <c r="G109" i="11"/>
  <c r="E111" i="11"/>
  <c r="E111" i="9"/>
  <c r="F110" i="9"/>
  <c r="E111" i="8"/>
  <c r="F110" i="8"/>
  <c r="G110" i="2"/>
  <c r="E112" i="2"/>
  <c r="IS108" i="15" l="1"/>
  <c r="AK108" i="15"/>
  <c r="PY108" i="15"/>
  <c r="SW108" i="15"/>
  <c r="HE108" i="15"/>
  <c r="HF108" i="15" s="1"/>
  <c r="GS108" i="15"/>
  <c r="GT108" i="15" s="1"/>
  <c r="EG108" i="15"/>
  <c r="EH108" i="15" s="1"/>
  <c r="LQ108" i="15"/>
  <c r="LR108" i="15" s="1"/>
  <c r="BU107" i="15"/>
  <c r="BV107" i="15" s="1"/>
  <c r="KO108" i="15"/>
  <c r="KP108" i="15" s="1"/>
  <c r="SK108" i="15"/>
  <c r="SL108" i="15" s="1"/>
  <c r="EO108" i="15"/>
  <c r="EP108" i="15" s="1"/>
  <c r="FM108" i="15"/>
  <c r="FN108" i="15" s="1"/>
  <c r="AG108" i="15"/>
  <c r="AH108" i="15" s="1"/>
  <c r="CK108" i="15"/>
  <c r="CL108" i="15" s="1"/>
  <c r="PM107" i="15"/>
  <c r="PN107" i="15" s="1"/>
  <c r="MC108" i="15"/>
  <c r="MD108" i="15" s="1"/>
  <c r="EK108" i="15"/>
  <c r="EL108" i="15" s="1"/>
  <c r="I107" i="15"/>
  <c r="J107" i="15" s="1"/>
  <c r="CS107" i="15"/>
  <c r="CT107" i="15" s="1"/>
  <c r="DQ108" i="15"/>
  <c r="DR108" i="15" s="1"/>
  <c r="RE108" i="15"/>
  <c r="RF108" i="15" s="1"/>
  <c r="JA108" i="15"/>
  <c r="JB108" i="15" s="1"/>
  <c r="BQ108" i="15"/>
  <c r="BR108" i="15" s="1"/>
  <c r="BI108" i="15"/>
  <c r="BJ108" i="15" s="1"/>
  <c r="OK108" i="15"/>
  <c r="OL108" i="15" s="1"/>
  <c r="BR107" i="15"/>
  <c r="QO108" i="15"/>
  <c r="QP108" i="15" s="1"/>
  <c r="SG108" i="15"/>
  <c r="SH108" i="15" s="1"/>
  <c r="RI108" i="15"/>
  <c r="RJ108" i="15" s="1"/>
  <c r="JM108" i="15"/>
  <c r="JN108" i="15" s="1"/>
  <c r="QS108" i="15"/>
  <c r="QT108" i="15" s="1"/>
  <c r="CO108" i="15"/>
  <c r="CP108" i="15" s="1"/>
  <c r="MG108" i="15"/>
  <c r="MH108" i="15" s="1"/>
  <c r="HM108" i="15"/>
  <c r="HN108" i="15" s="1"/>
  <c r="FE108" i="15"/>
  <c r="FF108" i="15" s="1"/>
  <c r="HX109" i="15"/>
  <c r="CF109" i="15"/>
  <c r="QF109" i="15"/>
  <c r="OW107" i="15"/>
  <c r="OX106" i="15"/>
  <c r="OF108" i="15"/>
  <c r="TL109" i="15"/>
  <c r="JU107" i="15"/>
  <c r="JV106" i="15"/>
  <c r="HT109" i="15"/>
  <c r="CZ109" i="15"/>
  <c r="PU107" i="15"/>
  <c r="PV106" i="15"/>
  <c r="QK107" i="15"/>
  <c r="QL106" i="15"/>
  <c r="IJ109" i="15"/>
  <c r="GZ109" i="15"/>
  <c r="RT109" i="15"/>
  <c r="BD109" i="15"/>
  <c r="JP109" i="15"/>
  <c r="T109" i="15"/>
  <c r="AZ109" i="15"/>
  <c r="MZ108" i="15"/>
  <c r="L109" i="15"/>
  <c r="IB109" i="15"/>
  <c r="QG107" i="15"/>
  <c r="QH106" i="15"/>
  <c r="AS107" i="15"/>
  <c r="AT106" i="15"/>
  <c r="ER109" i="15"/>
  <c r="GV109" i="15"/>
  <c r="LL109" i="15"/>
  <c r="MS107" i="15"/>
  <c r="MT106" i="15"/>
  <c r="PQ107" i="15"/>
  <c r="PR106" i="15"/>
  <c r="HD109" i="15"/>
  <c r="JQ107" i="15"/>
  <c r="JR106" i="15"/>
  <c r="DL109" i="15"/>
  <c r="JL109" i="15"/>
  <c r="BE108" i="15"/>
  <c r="BF108" i="15" s="1"/>
  <c r="MN109" i="15"/>
  <c r="PE108" i="15"/>
  <c r="UK107" i="15"/>
  <c r="UL106" i="15"/>
  <c r="TH109" i="15"/>
  <c r="NA107" i="15"/>
  <c r="NB107" i="15" s="1"/>
  <c r="NE107" i="15"/>
  <c r="NF106" i="15"/>
  <c r="FN107" i="15"/>
  <c r="LX109" i="15"/>
  <c r="AV109" i="15"/>
  <c r="HQ108" i="15"/>
  <c r="HR108" i="15" s="1"/>
  <c r="TI107" i="15"/>
  <c r="TJ106" i="15"/>
  <c r="CJ109" i="15"/>
  <c r="EV109" i="15"/>
  <c r="KR109" i="15"/>
  <c r="JN107" i="15"/>
  <c r="IG108" i="15"/>
  <c r="FL109" i="15"/>
  <c r="TD109" i="15"/>
  <c r="JD109" i="15"/>
  <c r="EW107" i="15"/>
  <c r="EX106" i="15"/>
  <c r="SZ109" i="15"/>
  <c r="LM108" i="15"/>
  <c r="SS107" i="15"/>
  <c r="ST106" i="15"/>
  <c r="GB109" i="15"/>
  <c r="DY107" i="15"/>
  <c r="DZ106" i="15"/>
  <c r="KN109" i="15"/>
  <c r="SB109" i="15"/>
  <c r="KZ109" i="15"/>
  <c r="RA107" i="15"/>
  <c r="RB106" i="15"/>
  <c r="NX109" i="15"/>
  <c r="LE107" i="15"/>
  <c r="LF106" i="15"/>
  <c r="EB109" i="15"/>
  <c r="UR109" i="15"/>
  <c r="PL108" i="15"/>
  <c r="TX109" i="15"/>
  <c r="PH109" i="15"/>
  <c r="OS107" i="15"/>
  <c r="OT106" i="15"/>
  <c r="DP109" i="15"/>
  <c r="DD109" i="15"/>
  <c r="NI107" i="15"/>
  <c r="NJ106" i="15"/>
  <c r="IN109" i="15"/>
  <c r="PI108" i="15"/>
  <c r="GR109" i="15"/>
  <c r="DM108" i="15"/>
  <c r="DN108" i="15" s="1"/>
  <c r="PN106" i="15"/>
  <c r="RP109" i="15"/>
  <c r="JT109" i="15"/>
  <c r="PD109" i="15"/>
  <c r="NY107" i="15"/>
  <c r="NZ106" i="15"/>
  <c r="AR109" i="15"/>
  <c r="OV109" i="15"/>
  <c r="NU107" i="15"/>
  <c r="NV106" i="15"/>
  <c r="RY107" i="15"/>
  <c r="RZ106" i="15"/>
  <c r="JZ108" i="15"/>
  <c r="JX109" i="15"/>
  <c r="JY109" i="15" s="1"/>
  <c r="KG107" i="15"/>
  <c r="KH106" i="15"/>
  <c r="GC107" i="15"/>
  <c r="GD106" i="15"/>
  <c r="BY107" i="15"/>
  <c r="BZ106" i="15"/>
  <c r="JE107" i="15"/>
  <c r="JF106" i="15"/>
  <c r="CC107" i="15"/>
  <c r="CD107" i="15" s="1"/>
  <c r="RU107" i="15"/>
  <c r="RV106" i="15"/>
  <c r="LA107" i="15"/>
  <c r="LB106" i="15"/>
  <c r="RM107" i="15"/>
  <c r="RN106" i="15"/>
  <c r="AN109" i="15"/>
  <c r="MJ109" i="15"/>
  <c r="AF109" i="15"/>
  <c r="LH109" i="15"/>
  <c r="PP109" i="15"/>
  <c r="KF109" i="15"/>
  <c r="CW107" i="15"/>
  <c r="CX106" i="15"/>
  <c r="PT109" i="15"/>
  <c r="ES107" i="15"/>
  <c r="ET106" i="15"/>
  <c r="FX109" i="15"/>
  <c r="IK107" i="15"/>
  <c r="IL106" i="15"/>
  <c r="SO108" i="15"/>
  <c r="SP108" i="15" s="1"/>
  <c r="FI108" i="15"/>
  <c r="EZ109" i="15"/>
  <c r="LD109" i="15"/>
  <c r="ON109" i="15"/>
  <c r="BM107" i="15"/>
  <c r="BN106" i="15"/>
  <c r="BJ107" i="15"/>
  <c r="MK107" i="15"/>
  <c r="ML106" i="15"/>
  <c r="UN109" i="15"/>
  <c r="PA107" i="15"/>
  <c r="PB106" i="15"/>
  <c r="AL108" i="15"/>
  <c r="AJ109" i="15"/>
  <c r="AK109" i="15" s="1"/>
  <c r="AW107" i="15"/>
  <c r="AX106" i="15"/>
  <c r="IT108" i="15"/>
  <c r="IR109" i="15"/>
  <c r="IS109" i="15" s="1"/>
  <c r="GK107" i="15"/>
  <c r="GL106" i="15"/>
  <c r="OB109" i="15"/>
  <c r="BX109" i="15"/>
  <c r="FQ107" i="15"/>
  <c r="FR106" i="15"/>
  <c r="HN107" i="15"/>
  <c r="JH109" i="15"/>
  <c r="BH109" i="15"/>
  <c r="GJ109" i="15"/>
  <c r="KW107" i="15"/>
  <c r="KX106" i="15"/>
  <c r="KC107" i="15"/>
  <c r="KD106" i="15"/>
  <c r="SR109" i="15"/>
  <c r="EC107" i="15"/>
  <c r="ED106" i="15"/>
  <c r="QV109" i="15"/>
  <c r="DI107" i="15"/>
  <c r="DJ106" i="15"/>
  <c r="PZ108" i="15"/>
  <c r="PX109" i="15"/>
  <c r="PY109" i="15" s="1"/>
  <c r="GW108" i="15"/>
  <c r="UC107" i="15"/>
  <c r="UD106" i="15"/>
  <c r="QT107" i="15"/>
  <c r="SN109" i="15"/>
  <c r="HL109" i="15"/>
  <c r="FT109" i="15"/>
  <c r="NM107" i="15"/>
  <c r="NN106" i="15"/>
  <c r="TE107" i="15"/>
  <c r="TF106" i="15"/>
  <c r="NT109" i="15"/>
  <c r="RD109" i="15"/>
  <c r="DX109" i="15"/>
  <c r="LU107" i="15"/>
  <c r="LV106" i="15"/>
  <c r="RJ107" i="15"/>
  <c r="UG107" i="15"/>
  <c r="UH106" i="15"/>
  <c r="QR109" i="15"/>
  <c r="OG107" i="15"/>
  <c r="GG107" i="15"/>
  <c r="GH106" i="15"/>
  <c r="SC107" i="15"/>
  <c r="SD106" i="15"/>
  <c r="IC108" i="15"/>
  <c r="CG107" i="15"/>
  <c r="CH106" i="15"/>
  <c r="GN109" i="15"/>
  <c r="RH109" i="15"/>
  <c r="QP107" i="15"/>
  <c r="TM107" i="15"/>
  <c r="TN106" i="15"/>
  <c r="QC107" i="15"/>
  <c r="QD106" i="15"/>
  <c r="CT106" i="15"/>
  <c r="OZ109" i="15"/>
  <c r="HU107" i="15"/>
  <c r="HV106" i="15"/>
  <c r="FP109" i="15"/>
  <c r="UO108" i="15"/>
  <c r="U108" i="15"/>
  <c r="DA108" i="15"/>
  <c r="QN109" i="15"/>
  <c r="NH109" i="15"/>
  <c r="P109" i="15"/>
  <c r="CR108" i="15"/>
  <c r="M107" i="15"/>
  <c r="N106" i="15"/>
  <c r="HH109" i="15"/>
  <c r="OL107" i="15"/>
  <c r="QW108" i="15"/>
  <c r="UB109" i="15"/>
  <c r="OR109" i="15"/>
  <c r="GF109" i="15"/>
  <c r="SX108" i="15"/>
  <c r="SV109" i="15"/>
  <c r="AB109" i="15"/>
  <c r="KS108" i="15"/>
  <c r="HI107" i="15"/>
  <c r="HJ106" i="15"/>
  <c r="KV109" i="15"/>
  <c r="QZ109" i="15"/>
  <c r="HY108" i="15"/>
  <c r="OC107" i="15"/>
  <c r="OD106" i="15"/>
  <c r="KB109" i="15"/>
  <c r="OJ109" i="15"/>
  <c r="QJ109" i="15"/>
  <c r="BA108" i="15"/>
  <c r="OO107" i="15"/>
  <c r="OP106" i="15"/>
  <c r="CV109" i="15"/>
  <c r="TP109" i="15"/>
  <c r="IZ109" i="15"/>
  <c r="DH109" i="15"/>
  <c r="EN109" i="15"/>
  <c r="KJ109" i="15"/>
  <c r="GO108" i="15"/>
  <c r="GP108" i="15" s="1"/>
  <c r="ND109" i="15"/>
  <c r="MO108" i="15"/>
  <c r="J106" i="15"/>
  <c r="FH109" i="15"/>
  <c r="BL109" i="15"/>
  <c r="Q107" i="15"/>
  <c r="R106" i="15"/>
  <c r="X109" i="15"/>
  <c r="QB109" i="15"/>
  <c r="LP109" i="15"/>
  <c r="KK108" i="15"/>
  <c r="KL108" i="15" s="1"/>
  <c r="FD109" i="15"/>
  <c r="DT109" i="15"/>
  <c r="H108" i="15"/>
  <c r="FJ107" i="15"/>
  <c r="SJ109" i="15"/>
  <c r="SK109" i="15" s="1"/>
  <c r="MD107" i="15"/>
  <c r="UF109" i="15"/>
  <c r="TQ107" i="15"/>
  <c r="TR106" i="15"/>
  <c r="SH107" i="15"/>
  <c r="AC108" i="15"/>
  <c r="FA107" i="15"/>
  <c r="FB106" i="15"/>
  <c r="MR109" i="15"/>
  <c r="LT109" i="15"/>
  <c r="UJ109" i="15"/>
  <c r="IO107" i="15"/>
  <c r="IP106" i="15"/>
  <c r="IF109" i="15"/>
  <c r="Y107" i="15"/>
  <c r="Z106" i="15"/>
  <c r="FF107" i="15"/>
  <c r="DE107" i="15"/>
  <c r="DF106" i="15"/>
  <c r="LI108" i="15"/>
  <c r="SF109" i="15"/>
  <c r="CP107" i="15"/>
  <c r="RL109" i="15"/>
  <c r="LY108" i="15"/>
  <c r="HP109" i="15"/>
  <c r="CB108" i="15"/>
  <c r="TA107" i="15"/>
  <c r="TB106" i="15"/>
  <c r="BT108" i="15"/>
  <c r="MV109" i="15"/>
  <c r="JI107" i="15"/>
  <c r="JJ106" i="15"/>
  <c r="RX109" i="15"/>
  <c r="NL109" i="15"/>
  <c r="TV108" i="15"/>
  <c r="TT109" i="15"/>
  <c r="TU109" i="15" s="1"/>
  <c r="MW107" i="15"/>
  <c r="MX106" i="15"/>
  <c r="EJ109" i="15"/>
  <c r="DU107" i="15"/>
  <c r="DV106" i="15"/>
  <c r="RQ107" i="15"/>
  <c r="RR106" i="15"/>
  <c r="MB109" i="15"/>
  <c r="MF109" i="15"/>
  <c r="IW107" i="15"/>
  <c r="IX106" i="15"/>
  <c r="HA107" i="15"/>
  <c r="HB106" i="15"/>
  <c r="F108" i="15"/>
  <c r="D109" i="15"/>
  <c r="E109" i="15" s="1"/>
  <c r="IV109" i="15"/>
  <c r="US107" i="15"/>
  <c r="UT106" i="15"/>
  <c r="FY108" i="15"/>
  <c r="EF109" i="15"/>
  <c r="AO108" i="15"/>
  <c r="AP108" i="15" s="1"/>
  <c r="BP109" i="15"/>
  <c r="LN107" i="15"/>
  <c r="MH107" i="15"/>
  <c r="NQ107" i="15"/>
  <c r="NR106" i="15"/>
  <c r="BF107" i="15"/>
  <c r="NP109" i="15"/>
  <c r="CN109" i="15"/>
  <c r="FU108" i="15"/>
  <c r="TY108" i="15"/>
  <c r="F111" i="9"/>
  <c r="G111" i="9" s="1"/>
  <c r="F111" i="8"/>
  <c r="G111" i="8" s="1"/>
  <c r="E112" i="11"/>
  <c r="F111" i="11"/>
  <c r="G111" i="10"/>
  <c r="G110" i="10"/>
  <c r="E112" i="9"/>
  <c r="G110" i="9"/>
  <c r="E112" i="8"/>
  <c r="G110" i="8"/>
  <c r="E113" i="2"/>
  <c r="F112" i="2"/>
  <c r="SW109" i="15" l="1"/>
  <c r="EO109" i="15"/>
  <c r="EP109" i="15" s="1"/>
  <c r="FM109" i="15"/>
  <c r="HE109" i="15"/>
  <c r="PM108" i="15"/>
  <c r="PN108" i="15" s="1"/>
  <c r="LQ109" i="15"/>
  <c r="LR109" i="15" s="1"/>
  <c r="EK109" i="15"/>
  <c r="EL109" i="15" s="1"/>
  <c r="I108" i="15"/>
  <c r="J108" i="15" s="1"/>
  <c r="DA109" i="15"/>
  <c r="DB109" i="15" s="1"/>
  <c r="BU108" i="15"/>
  <c r="BV108" i="15" s="1"/>
  <c r="DQ109" i="15"/>
  <c r="DR109" i="15" s="1"/>
  <c r="CS108" i="15"/>
  <c r="CT108" i="15" s="1"/>
  <c r="TY109" i="15"/>
  <c r="TZ109" i="15" s="1"/>
  <c r="GW109" i="15"/>
  <c r="GX109" i="15" s="1"/>
  <c r="BI109" i="15"/>
  <c r="BJ109" i="15" s="1"/>
  <c r="MC109" i="15"/>
  <c r="MD109" i="15" s="1"/>
  <c r="HY109" i="15"/>
  <c r="HZ109" i="15" s="1"/>
  <c r="HM109" i="15"/>
  <c r="HN109" i="15" s="1"/>
  <c r="LM109" i="15"/>
  <c r="LN109" i="15" s="1"/>
  <c r="CO109" i="15"/>
  <c r="CP109" i="15" s="1"/>
  <c r="PI109" i="15"/>
  <c r="PJ109" i="15" s="1"/>
  <c r="FU109" i="15"/>
  <c r="FV109" i="15" s="1"/>
  <c r="LI109" i="15"/>
  <c r="LJ109" i="15" s="1"/>
  <c r="MG109" i="15"/>
  <c r="MH109" i="15" s="1"/>
  <c r="RI109" i="15"/>
  <c r="RJ109" i="15" s="1"/>
  <c r="QS109" i="15"/>
  <c r="QT109" i="15" s="1"/>
  <c r="IG109" i="15"/>
  <c r="IH109" i="15" s="1"/>
  <c r="FY109" i="15"/>
  <c r="FZ109" i="15" s="1"/>
  <c r="QW109" i="15"/>
  <c r="QX109" i="15" s="1"/>
  <c r="LY109" i="15"/>
  <c r="LZ109" i="15" s="1"/>
  <c r="AC109" i="15"/>
  <c r="AD109" i="15" s="1"/>
  <c r="OG108" i="15"/>
  <c r="OH108" i="15" s="1"/>
  <c r="BA109" i="15"/>
  <c r="BB109" i="15" s="1"/>
  <c r="OH107" i="15"/>
  <c r="FI109" i="15"/>
  <c r="FJ109" i="15" s="1"/>
  <c r="FZ108" i="15"/>
  <c r="GX108" i="15"/>
  <c r="KS109" i="15"/>
  <c r="KT109" i="15" s="1"/>
  <c r="U109" i="15"/>
  <c r="V109" i="15" s="1"/>
  <c r="IC109" i="15"/>
  <c r="ID109" i="15" s="1"/>
  <c r="MO109" i="15"/>
  <c r="MP109" i="15" s="1"/>
  <c r="UO109" i="15"/>
  <c r="UP109" i="15" s="1"/>
  <c r="UP108" i="15"/>
  <c r="PE109" i="15"/>
  <c r="PF109" i="15" s="1"/>
  <c r="PA108" i="15"/>
  <c r="PB107" i="15"/>
  <c r="FX110" i="15"/>
  <c r="RY108" i="15"/>
  <c r="RZ107" i="15"/>
  <c r="EV110" i="15"/>
  <c r="GV110" i="15"/>
  <c r="JP110" i="15"/>
  <c r="AN110" i="15"/>
  <c r="GB110" i="15"/>
  <c r="MP108" i="15"/>
  <c r="TL110" i="15"/>
  <c r="EF110" i="15"/>
  <c r="RD110" i="15"/>
  <c r="UN110" i="15"/>
  <c r="NU108" i="15"/>
  <c r="NV107" i="15"/>
  <c r="IN110" i="15"/>
  <c r="UR110" i="15"/>
  <c r="CJ110" i="15"/>
  <c r="MN110" i="15"/>
  <c r="ER110" i="15"/>
  <c r="BD110" i="15"/>
  <c r="CB109" i="15"/>
  <c r="ND110" i="15"/>
  <c r="HP110" i="15"/>
  <c r="RM108" i="15"/>
  <c r="RN107" i="15"/>
  <c r="OV110" i="15"/>
  <c r="SS108" i="15"/>
  <c r="ST107" i="15"/>
  <c r="BE109" i="15"/>
  <c r="BF109" i="15" s="1"/>
  <c r="RT110" i="15"/>
  <c r="OF109" i="15"/>
  <c r="GR110" i="15"/>
  <c r="MW108" i="15"/>
  <c r="MX107" i="15"/>
  <c r="CG108" i="15"/>
  <c r="CH107" i="15"/>
  <c r="DI108" i="15"/>
  <c r="DJ107" i="15"/>
  <c r="FQ108" i="15"/>
  <c r="FR107" i="15"/>
  <c r="MK108" i="15"/>
  <c r="ML107" i="15"/>
  <c r="ES108" i="15"/>
  <c r="ET107" i="15"/>
  <c r="EB110" i="15"/>
  <c r="TI108" i="15"/>
  <c r="TJ107" i="15"/>
  <c r="DU108" i="15"/>
  <c r="DV107" i="15"/>
  <c r="QN110" i="15"/>
  <c r="NT110" i="15"/>
  <c r="QX108" i="15"/>
  <c r="LA108" i="15"/>
  <c r="LB107" i="15"/>
  <c r="NI108" i="15"/>
  <c r="NJ107" i="15"/>
  <c r="JL110" i="15"/>
  <c r="AS108" i="15"/>
  <c r="AT107" i="15"/>
  <c r="GZ110" i="15"/>
  <c r="OW108" i="15"/>
  <c r="OX107" i="15"/>
  <c r="H109" i="15"/>
  <c r="FD110" i="15"/>
  <c r="KK109" i="15"/>
  <c r="KL109" i="15" s="1"/>
  <c r="EN110" i="15"/>
  <c r="FP110" i="15"/>
  <c r="QV110" i="15"/>
  <c r="PT110" i="15"/>
  <c r="AR110" i="15"/>
  <c r="DD110" i="15"/>
  <c r="LE108" i="15"/>
  <c r="LF107" i="15"/>
  <c r="SZ110" i="15"/>
  <c r="HQ109" i="15"/>
  <c r="DL110" i="15"/>
  <c r="QF110" i="15"/>
  <c r="GN110" i="15"/>
  <c r="TE108" i="15"/>
  <c r="TF107" i="15"/>
  <c r="BX110" i="15"/>
  <c r="RU108" i="15"/>
  <c r="RV107" i="15"/>
  <c r="NX110" i="15"/>
  <c r="QG108" i="15"/>
  <c r="QH107" i="15"/>
  <c r="IO108" i="15"/>
  <c r="IP107" i="15"/>
  <c r="EC108" i="15"/>
  <c r="ED107" i="15"/>
  <c r="OB110" i="15"/>
  <c r="BM108" i="15"/>
  <c r="BN107" i="15"/>
  <c r="CC108" i="15"/>
  <c r="CD108" i="15" s="1"/>
  <c r="NY108" i="15"/>
  <c r="NZ107" i="15"/>
  <c r="EW108" i="15"/>
  <c r="EX107" i="15"/>
  <c r="AV110" i="15"/>
  <c r="IJ110" i="15"/>
  <c r="TA108" i="15"/>
  <c r="TB107" i="15"/>
  <c r="NH110" i="15"/>
  <c r="PZ109" i="15"/>
  <c r="PX110" i="15"/>
  <c r="PY110" i="15" s="1"/>
  <c r="MR110" i="15"/>
  <c r="F109" i="15"/>
  <c r="D110" i="15"/>
  <c r="DH110" i="15"/>
  <c r="QZ110" i="15"/>
  <c r="HU108" i="15"/>
  <c r="HV107" i="15"/>
  <c r="SC108" i="15"/>
  <c r="SD107" i="15"/>
  <c r="NM108" i="15"/>
  <c r="NN107" i="15"/>
  <c r="SR110" i="15"/>
  <c r="CW108" i="15"/>
  <c r="CX107" i="15"/>
  <c r="GS109" i="15"/>
  <c r="GT109" i="15" s="1"/>
  <c r="LX110" i="15"/>
  <c r="JQ108" i="15"/>
  <c r="JR107" i="15"/>
  <c r="IB110" i="15"/>
  <c r="CF110" i="15"/>
  <c r="DY108" i="15"/>
  <c r="DZ107" i="15"/>
  <c r="DX110" i="15"/>
  <c r="OJ110" i="15"/>
  <c r="UB110" i="15"/>
  <c r="FT110" i="15"/>
  <c r="ON110" i="15"/>
  <c r="KF110" i="15"/>
  <c r="JE108" i="15"/>
  <c r="JF107" i="15"/>
  <c r="PF108" i="15"/>
  <c r="DP110" i="15"/>
  <c r="RA108" i="15"/>
  <c r="RB107" i="15"/>
  <c r="JD110" i="15"/>
  <c r="LZ108" i="15"/>
  <c r="HF109" i="15"/>
  <c r="HD110" i="15"/>
  <c r="ID108" i="15"/>
  <c r="QK108" i="15"/>
  <c r="QL107" i="15"/>
  <c r="UJ110" i="15"/>
  <c r="DT110" i="15"/>
  <c r="TT110" i="15"/>
  <c r="TU110" i="15" s="1"/>
  <c r="TV109" i="15"/>
  <c r="SF110" i="15"/>
  <c r="HA108" i="15"/>
  <c r="HB107" i="15"/>
  <c r="GG108" i="15"/>
  <c r="GH107" i="15"/>
  <c r="FV108" i="15"/>
  <c r="GK108" i="15"/>
  <c r="GL107" i="15"/>
  <c r="PD110" i="15"/>
  <c r="TD110" i="15"/>
  <c r="L110" i="15"/>
  <c r="CK109" i="15"/>
  <c r="PL109" i="15"/>
  <c r="QJ110" i="15"/>
  <c r="US108" i="15"/>
  <c r="UT107" i="15"/>
  <c r="OZ110" i="15"/>
  <c r="TP110" i="15"/>
  <c r="HL110" i="15"/>
  <c r="IT109" i="15"/>
  <c r="IR110" i="15"/>
  <c r="LD110" i="15"/>
  <c r="BY108" i="15"/>
  <c r="BZ107" i="15"/>
  <c r="FE109" i="15"/>
  <c r="OS108" i="15"/>
  <c r="OT107" i="15"/>
  <c r="KZ110" i="15"/>
  <c r="PU108" i="15"/>
  <c r="PV107" i="15"/>
  <c r="HZ108" i="15"/>
  <c r="UK108" i="15"/>
  <c r="UL107" i="15"/>
  <c r="EJ110" i="15"/>
  <c r="GO109" i="15"/>
  <c r="CN110" i="15"/>
  <c r="FA108" i="15"/>
  <c r="FB107" i="15"/>
  <c r="M108" i="15"/>
  <c r="N107" i="15"/>
  <c r="QR110" i="15"/>
  <c r="KC108" i="15"/>
  <c r="KD107" i="15"/>
  <c r="PP110" i="15"/>
  <c r="PJ108" i="15"/>
  <c r="FN109" i="15"/>
  <c r="FL110" i="15"/>
  <c r="CZ110" i="15"/>
  <c r="HX110" i="15"/>
  <c r="LU108" i="15"/>
  <c r="LV107" i="15"/>
  <c r="IV110" i="15"/>
  <c r="OC108" i="15"/>
  <c r="OD107" i="15"/>
  <c r="QC108" i="15"/>
  <c r="QD107" i="15"/>
  <c r="EZ110" i="15"/>
  <c r="LH110" i="15"/>
  <c r="GC108" i="15"/>
  <c r="GD107" i="15"/>
  <c r="JT110" i="15"/>
  <c r="PH110" i="15"/>
  <c r="NE108" i="15"/>
  <c r="NF107" i="15"/>
  <c r="PQ108" i="15"/>
  <c r="PR107" i="15"/>
  <c r="MZ109" i="15"/>
  <c r="DB108" i="15"/>
  <c r="EG109" i="15"/>
  <c r="SV110" i="15"/>
  <c r="SX109" i="15"/>
  <c r="JH110" i="15"/>
  <c r="LT110" i="15"/>
  <c r="KJ110" i="15"/>
  <c r="IW108" i="15"/>
  <c r="IX107" i="15"/>
  <c r="NA108" i="15"/>
  <c r="NB108" i="15" s="1"/>
  <c r="BB108" i="15"/>
  <c r="GF110" i="15"/>
  <c r="KB110" i="15"/>
  <c r="RL110" i="15"/>
  <c r="NL110" i="15"/>
  <c r="IZ110" i="15"/>
  <c r="JI108" i="15"/>
  <c r="JJ107" i="15"/>
  <c r="SG109" i="15"/>
  <c r="Y108" i="15"/>
  <c r="Z107" i="15"/>
  <c r="HI108" i="15"/>
  <c r="HJ107" i="15"/>
  <c r="SN110" i="15"/>
  <c r="LJ108" i="15"/>
  <c r="IF110" i="15"/>
  <c r="CV110" i="15"/>
  <c r="P110" i="15"/>
  <c r="TM108" i="15"/>
  <c r="TN107" i="15"/>
  <c r="UG108" i="15"/>
  <c r="UH107" i="15"/>
  <c r="GJ110" i="15"/>
  <c r="AJ110" i="15"/>
  <c r="AL109" i="15"/>
  <c r="SO109" i="15"/>
  <c r="KG108" i="15"/>
  <c r="KH107" i="15"/>
  <c r="RP110" i="15"/>
  <c r="TZ108" i="15"/>
  <c r="MS108" i="15"/>
  <c r="MT107" i="15"/>
  <c r="AZ110" i="15"/>
  <c r="HT110" i="15"/>
  <c r="RE109" i="15"/>
  <c r="JU108" i="15"/>
  <c r="JV107" i="15"/>
  <c r="LP110" i="15"/>
  <c r="HH110" i="15"/>
  <c r="X110" i="15"/>
  <c r="NQ108" i="15"/>
  <c r="NR107" i="15"/>
  <c r="TQ108" i="15"/>
  <c r="TR107" i="15"/>
  <c r="Q108" i="15"/>
  <c r="R107" i="15"/>
  <c r="MV110" i="15"/>
  <c r="UF110" i="15"/>
  <c r="AW108" i="15"/>
  <c r="AX107" i="15"/>
  <c r="SB110" i="15"/>
  <c r="BP110" i="15"/>
  <c r="BT109" i="15"/>
  <c r="IH108" i="15"/>
  <c r="SJ110" i="15"/>
  <c r="SK110" i="15" s="1"/>
  <c r="SL109" i="15"/>
  <c r="FH110" i="15"/>
  <c r="AD108" i="15"/>
  <c r="AF110" i="15"/>
  <c r="JX110" i="15"/>
  <c r="JZ109" i="15"/>
  <c r="TX110" i="15"/>
  <c r="KN110" i="15"/>
  <c r="KR110" i="15"/>
  <c r="TH110" i="15"/>
  <c r="LL110" i="15"/>
  <c r="V108" i="15"/>
  <c r="JM109" i="15"/>
  <c r="JN109" i="15" s="1"/>
  <c r="JA109" i="15"/>
  <c r="JB109" i="15" s="1"/>
  <c r="UC108" i="15"/>
  <c r="UD107" i="15"/>
  <c r="OR110" i="15"/>
  <c r="QB110" i="15"/>
  <c r="NP110" i="15"/>
  <c r="RX110" i="15"/>
  <c r="DE108" i="15"/>
  <c r="DF107" i="15"/>
  <c r="MF110" i="15"/>
  <c r="KV110" i="15"/>
  <c r="MB110" i="15"/>
  <c r="BL110" i="15"/>
  <c r="CR109" i="15"/>
  <c r="KW108" i="15"/>
  <c r="KX107" i="15"/>
  <c r="QO109" i="15"/>
  <c r="RQ108" i="15"/>
  <c r="RR107" i="15"/>
  <c r="AO109" i="15"/>
  <c r="BQ109" i="15"/>
  <c r="BR109" i="15" s="1"/>
  <c r="FJ108" i="15"/>
  <c r="OO108" i="15"/>
  <c r="OP107" i="15"/>
  <c r="AB110" i="15"/>
  <c r="RH110" i="15"/>
  <c r="BH110" i="15"/>
  <c r="OK109" i="15"/>
  <c r="OL109" i="15" s="1"/>
  <c r="IK108" i="15"/>
  <c r="IL107" i="15"/>
  <c r="MJ110" i="15"/>
  <c r="DM109" i="15"/>
  <c r="KO109" i="15"/>
  <c r="KP109" i="15" s="1"/>
  <c r="KT108" i="15"/>
  <c r="LN108" i="15"/>
  <c r="T110" i="15"/>
  <c r="AG109" i="15"/>
  <c r="F112" i="11"/>
  <c r="G112" i="11" s="1"/>
  <c r="F113" i="2"/>
  <c r="G113" i="2" s="1"/>
  <c r="G111" i="11"/>
  <c r="E113" i="11"/>
  <c r="E113" i="9"/>
  <c r="F112" i="9"/>
  <c r="E113" i="8"/>
  <c r="F112" i="8"/>
  <c r="G112" i="2"/>
  <c r="E114" i="2"/>
  <c r="LQ110" i="15" l="1"/>
  <c r="HE110" i="15"/>
  <c r="HF110" i="15" s="1"/>
  <c r="PM109" i="15"/>
  <c r="PN109" i="15" s="1"/>
  <c r="BU109" i="15"/>
  <c r="LI110" i="15"/>
  <c r="LJ110" i="15" s="1"/>
  <c r="BA110" i="15"/>
  <c r="BB110" i="15" s="1"/>
  <c r="TY110" i="15"/>
  <c r="TZ110" i="15" s="1"/>
  <c r="GW110" i="15"/>
  <c r="GX110" i="15" s="1"/>
  <c r="DQ110" i="15"/>
  <c r="DR110" i="15" s="1"/>
  <c r="FU110" i="15"/>
  <c r="FV110" i="15" s="1"/>
  <c r="LM110" i="15"/>
  <c r="LN110" i="15" s="1"/>
  <c r="CS109" i="15"/>
  <c r="CT109" i="15" s="1"/>
  <c r="HY110" i="15"/>
  <c r="HZ110" i="15" s="1"/>
  <c r="FY110" i="15"/>
  <c r="FZ110" i="15" s="1"/>
  <c r="RI110" i="15"/>
  <c r="RJ110" i="15" s="1"/>
  <c r="PI110" i="15"/>
  <c r="PJ110" i="15" s="1"/>
  <c r="AC110" i="15"/>
  <c r="AD110" i="15" s="1"/>
  <c r="LY110" i="15"/>
  <c r="LZ110" i="15" s="1"/>
  <c r="AO110" i="15"/>
  <c r="AP110" i="15" s="1"/>
  <c r="QW110" i="15"/>
  <c r="QX110" i="15" s="1"/>
  <c r="UO110" i="15"/>
  <c r="UP110" i="15" s="1"/>
  <c r="OG109" i="15"/>
  <c r="OH109" i="15" s="1"/>
  <c r="PE110" i="15"/>
  <c r="PF110" i="15" s="1"/>
  <c r="HQ110" i="15"/>
  <c r="HR110" i="15" s="1"/>
  <c r="EG110" i="15"/>
  <c r="EH110" i="15" s="1"/>
  <c r="SG110" i="15"/>
  <c r="SH110" i="15" s="1"/>
  <c r="GO110" i="15"/>
  <c r="GP110" i="15" s="1"/>
  <c r="MO110" i="15"/>
  <c r="MP110" i="15" s="1"/>
  <c r="SO110" i="15"/>
  <c r="SP110" i="15" s="1"/>
  <c r="QO110" i="15"/>
  <c r="QP110" i="15" s="1"/>
  <c r="CK110" i="15"/>
  <c r="CL110" i="15" s="1"/>
  <c r="AG110" i="15"/>
  <c r="AH110" i="15" s="1"/>
  <c r="DM110" i="15"/>
  <c r="DN110" i="15" s="1"/>
  <c r="JT111" i="15"/>
  <c r="CZ111" i="15"/>
  <c r="EJ111" i="15"/>
  <c r="UB111" i="15"/>
  <c r="SR111" i="15"/>
  <c r="IO109" i="15"/>
  <c r="IP108" i="15"/>
  <c r="BH111" i="15"/>
  <c r="FL111" i="15"/>
  <c r="GK109" i="15"/>
  <c r="GL108" i="15"/>
  <c r="HD111" i="15"/>
  <c r="TA109" i="15"/>
  <c r="TB108" i="15"/>
  <c r="SZ111" i="15"/>
  <c r="H110" i="15"/>
  <c r="QP109" i="15"/>
  <c r="MW109" i="15"/>
  <c r="MX108" i="15"/>
  <c r="CB110" i="15"/>
  <c r="DA110" i="15"/>
  <c r="DB110" i="15" s="1"/>
  <c r="RY109" i="15"/>
  <c r="RZ108" i="15"/>
  <c r="GC109" i="15"/>
  <c r="GD108" i="15"/>
  <c r="TP111" i="15"/>
  <c r="OJ111" i="15"/>
  <c r="NM109" i="15"/>
  <c r="NN108" i="15"/>
  <c r="QG109" i="15"/>
  <c r="QH108" i="15"/>
  <c r="QN111" i="15"/>
  <c r="GR111" i="15"/>
  <c r="EH109" i="15"/>
  <c r="IW109" i="15"/>
  <c r="IX108" i="15"/>
  <c r="FM110" i="15"/>
  <c r="UK109" i="15"/>
  <c r="UL108" i="15"/>
  <c r="IJ111" i="15"/>
  <c r="NX111" i="15"/>
  <c r="LE109" i="15"/>
  <c r="LF108" i="15"/>
  <c r="OW109" i="15"/>
  <c r="OX108" i="15"/>
  <c r="BD111" i="15"/>
  <c r="EF111" i="15"/>
  <c r="FX111" i="15"/>
  <c r="FD111" i="15"/>
  <c r="KR111" i="15"/>
  <c r="SB111" i="15"/>
  <c r="LT111" i="15"/>
  <c r="LH111" i="15"/>
  <c r="OZ111" i="15"/>
  <c r="DX111" i="15"/>
  <c r="SC109" i="15"/>
  <c r="SD108" i="15"/>
  <c r="DD111" i="15"/>
  <c r="GZ111" i="15"/>
  <c r="DU109" i="15"/>
  <c r="DV108" i="15"/>
  <c r="OF110" i="15"/>
  <c r="ER111" i="15"/>
  <c r="GG109" i="15"/>
  <c r="GH108" i="15"/>
  <c r="JD111" i="15"/>
  <c r="AV111" i="15"/>
  <c r="TL111" i="15"/>
  <c r="PA109" i="15"/>
  <c r="PB108" i="15"/>
  <c r="RD111" i="15"/>
  <c r="AW109" i="15"/>
  <c r="AX108" i="15"/>
  <c r="EZ111" i="15"/>
  <c r="PP111" i="15"/>
  <c r="PU109" i="15"/>
  <c r="PV108" i="15"/>
  <c r="HU109" i="15"/>
  <c r="HV108" i="15"/>
  <c r="RU109" i="15"/>
  <c r="RV108" i="15"/>
  <c r="TI109" i="15"/>
  <c r="TJ108" i="15"/>
  <c r="RT111" i="15"/>
  <c r="MN111" i="15"/>
  <c r="TH111" i="15"/>
  <c r="MF111" i="15"/>
  <c r="OO109" i="15"/>
  <c r="OP108" i="15"/>
  <c r="UF111" i="15"/>
  <c r="RE110" i="15"/>
  <c r="TM109" i="15"/>
  <c r="TN108" i="15"/>
  <c r="IZ111" i="15"/>
  <c r="KZ111" i="15"/>
  <c r="RA109" i="15"/>
  <c r="RB108" i="15"/>
  <c r="DY109" i="15"/>
  <c r="DZ108" i="15"/>
  <c r="QZ111" i="15"/>
  <c r="EW109" i="15"/>
  <c r="EX108" i="15"/>
  <c r="AR111" i="15"/>
  <c r="AS109" i="15"/>
  <c r="AT108" i="15"/>
  <c r="NH111" i="15"/>
  <c r="DE109" i="15"/>
  <c r="DF108" i="15"/>
  <c r="SV111" i="15"/>
  <c r="QC109" i="15"/>
  <c r="QD108" i="15"/>
  <c r="KC109" i="15"/>
  <c r="KD108" i="15"/>
  <c r="US109" i="15"/>
  <c r="UT108" i="15"/>
  <c r="HA109" i="15"/>
  <c r="HB108" i="15"/>
  <c r="BX111" i="15"/>
  <c r="BE110" i="15"/>
  <c r="CJ111" i="15"/>
  <c r="GB111" i="15"/>
  <c r="MB111" i="15"/>
  <c r="HL111" i="15"/>
  <c r="HH111" i="15"/>
  <c r="QJ111" i="15"/>
  <c r="SF111" i="15"/>
  <c r="DP111" i="15"/>
  <c r="CF111" i="15"/>
  <c r="NY109" i="15"/>
  <c r="NZ108" i="15"/>
  <c r="PT111" i="15"/>
  <c r="JL111" i="15"/>
  <c r="EB111" i="15"/>
  <c r="CL109" i="15"/>
  <c r="EK110" i="15"/>
  <c r="CG109" i="15"/>
  <c r="CH108" i="15"/>
  <c r="BP111" i="15"/>
  <c r="AB111" i="15"/>
  <c r="QR111" i="15"/>
  <c r="OS109" i="15"/>
  <c r="OT108" i="15"/>
  <c r="SH109" i="15"/>
  <c r="DH111" i="15"/>
  <c r="CC109" i="15"/>
  <c r="TE109" i="15"/>
  <c r="TF108" i="15"/>
  <c r="QV111" i="15"/>
  <c r="MC110" i="15"/>
  <c r="SS109" i="15"/>
  <c r="ST108" i="15"/>
  <c r="AP109" i="15"/>
  <c r="MG110" i="15"/>
  <c r="MH110" i="15" s="1"/>
  <c r="QK109" i="15"/>
  <c r="QL108" i="15"/>
  <c r="KV111" i="15"/>
  <c r="GJ111" i="15"/>
  <c r="RL111" i="15"/>
  <c r="MZ110" i="15"/>
  <c r="OC109" i="15"/>
  <c r="OD108" i="15"/>
  <c r="FE110" i="15"/>
  <c r="IB111" i="15"/>
  <c r="D111" i="15"/>
  <c r="IC110" i="15"/>
  <c r="ID110" i="15" s="1"/>
  <c r="ES109" i="15"/>
  <c r="ET108" i="15"/>
  <c r="OV111" i="15"/>
  <c r="UR111" i="15"/>
  <c r="AN111" i="15"/>
  <c r="KJ111" i="15"/>
  <c r="AZ111" i="15"/>
  <c r="KB111" i="15"/>
  <c r="M109" i="15"/>
  <c r="N108" i="15"/>
  <c r="PL110" i="15"/>
  <c r="TT111" i="15"/>
  <c r="TV110" i="15"/>
  <c r="JE109" i="15"/>
  <c r="JF108" i="15"/>
  <c r="BM109" i="15"/>
  <c r="BN108" i="15"/>
  <c r="FP111" i="15"/>
  <c r="NI109" i="15"/>
  <c r="NJ108" i="15"/>
  <c r="BI110" i="15"/>
  <c r="AJ111" i="15"/>
  <c r="JI109" i="15"/>
  <c r="JJ108" i="15"/>
  <c r="TX111" i="15"/>
  <c r="JX111" i="15"/>
  <c r="IV111" i="15"/>
  <c r="BY109" i="15"/>
  <c r="BZ108" i="15"/>
  <c r="JQ109" i="15"/>
  <c r="JR108" i="15"/>
  <c r="GP109" i="15"/>
  <c r="MK109" i="15"/>
  <c r="ML108" i="15"/>
  <c r="IN111" i="15"/>
  <c r="HM110" i="15"/>
  <c r="HN110" i="15" s="1"/>
  <c r="BT110" i="15"/>
  <c r="BV109" i="15"/>
  <c r="Y109" i="15"/>
  <c r="Z108" i="15"/>
  <c r="KN111" i="15"/>
  <c r="BQ110" i="15"/>
  <c r="NP111" i="15"/>
  <c r="KS110" i="15"/>
  <c r="Q109" i="15"/>
  <c r="R108" i="15"/>
  <c r="FA109" i="15"/>
  <c r="FB108" i="15"/>
  <c r="DT111" i="15"/>
  <c r="KF111" i="15"/>
  <c r="MR111" i="15"/>
  <c r="OB111" i="15"/>
  <c r="GN111" i="15"/>
  <c r="EN111" i="15"/>
  <c r="LA109" i="15"/>
  <c r="LB108" i="15"/>
  <c r="RM109" i="15"/>
  <c r="RN108" i="15"/>
  <c r="JP111" i="15"/>
  <c r="E110" i="15"/>
  <c r="HI109" i="15"/>
  <c r="HJ108" i="15"/>
  <c r="JH111" i="15"/>
  <c r="RX111" i="15"/>
  <c r="T111" i="15"/>
  <c r="NL111" i="15"/>
  <c r="KO110" i="15"/>
  <c r="KP110" i="15" s="1"/>
  <c r="AH109" i="15"/>
  <c r="MJ111" i="15"/>
  <c r="IF111" i="15"/>
  <c r="QF111" i="15"/>
  <c r="QS110" i="15"/>
  <c r="FQ109" i="15"/>
  <c r="FR108" i="15"/>
  <c r="NU109" i="15"/>
  <c r="NV108" i="15"/>
  <c r="AK110" i="15"/>
  <c r="EV111" i="15"/>
  <c r="LR110" i="15"/>
  <c r="LP111" i="15"/>
  <c r="LQ111" i="15" s="1"/>
  <c r="JU109" i="15"/>
  <c r="JV108" i="15"/>
  <c r="QB111" i="15"/>
  <c r="OR111" i="15"/>
  <c r="CV111" i="15"/>
  <c r="PQ109" i="15"/>
  <c r="PR108" i="15"/>
  <c r="FH111" i="15"/>
  <c r="LD111" i="15"/>
  <c r="IK109" i="15"/>
  <c r="IL108" i="15"/>
  <c r="JA110" i="15"/>
  <c r="JB110" i="15" s="1"/>
  <c r="NQ109" i="15"/>
  <c r="NR108" i="15"/>
  <c r="RP111" i="15"/>
  <c r="FI110" i="15"/>
  <c r="FJ110" i="15" s="1"/>
  <c r="NE109" i="15"/>
  <c r="NF108" i="15"/>
  <c r="LU109" i="15"/>
  <c r="LV108" i="15"/>
  <c r="CN111" i="15"/>
  <c r="IR111" i="15"/>
  <c r="TD111" i="15"/>
  <c r="UJ111" i="15"/>
  <c r="ON111" i="15"/>
  <c r="GS110" i="15"/>
  <c r="PZ110" i="15"/>
  <c r="PX111" i="15"/>
  <c r="EC109" i="15"/>
  <c r="ED108" i="15"/>
  <c r="KK110" i="15"/>
  <c r="KL110" i="15" s="1"/>
  <c r="HR109" i="15"/>
  <c r="GV111" i="15"/>
  <c r="SW110" i="15"/>
  <c r="SX110" i="15" s="1"/>
  <c r="LL111" i="15"/>
  <c r="RH111" i="15"/>
  <c r="UG109" i="15"/>
  <c r="UH108" i="15"/>
  <c r="P111" i="15"/>
  <c r="KW109" i="15"/>
  <c r="KX108" i="15"/>
  <c r="GF111" i="15"/>
  <c r="UC109" i="15"/>
  <c r="UD108" i="15"/>
  <c r="L111" i="15"/>
  <c r="LX111" i="15"/>
  <c r="BL111" i="15"/>
  <c r="JM110" i="15"/>
  <c r="JN110" i="15" s="1"/>
  <c r="SL110" i="15"/>
  <c r="SJ111" i="15"/>
  <c r="SK111" i="15" s="1"/>
  <c r="SN111" i="15"/>
  <c r="NA109" i="15"/>
  <c r="PH111" i="15"/>
  <c r="JY110" i="15"/>
  <c r="DN109" i="15"/>
  <c r="EO110" i="15"/>
  <c r="NT111" i="15"/>
  <c r="DI109" i="15"/>
  <c r="DJ108" i="15"/>
  <c r="HP111" i="15"/>
  <c r="UN111" i="15"/>
  <c r="I109" i="15"/>
  <c r="HT111" i="15"/>
  <c r="RQ109" i="15"/>
  <c r="RR108" i="15"/>
  <c r="MV111" i="15"/>
  <c r="AF111" i="15"/>
  <c r="MS109" i="15"/>
  <c r="MT108" i="15"/>
  <c r="TQ109" i="15"/>
  <c r="TR108" i="15"/>
  <c r="CR110" i="15"/>
  <c r="OK110" i="15"/>
  <c r="OL110" i="15" s="1"/>
  <c r="X111" i="15"/>
  <c r="KG109" i="15"/>
  <c r="KH108" i="15"/>
  <c r="SP109" i="15"/>
  <c r="IG110" i="15"/>
  <c r="HX111" i="15"/>
  <c r="CO110" i="15"/>
  <c r="PD111" i="15"/>
  <c r="FT111" i="15"/>
  <c r="CW109" i="15"/>
  <c r="CX108" i="15"/>
  <c r="U110" i="15"/>
  <c r="DL111" i="15"/>
  <c r="FF109" i="15"/>
  <c r="ND111" i="15"/>
  <c r="RF109" i="15"/>
  <c r="IS110" i="15"/>
  <c r="IT110" i="15" s="1"/>
  <c r="F113" i="8"/>
  <c r="G113" i="8" s="1"/>
  <c r="F113" i="9"/>
  <c r="G113" i="9" s="1"/>
  <c r="G112" i="9"/>
  <c r="E114" i="11"/>
  <c r="F113" i="11"/>
  <c r="G112" i="10"/>
  <c r="G113" i="10"/>
  <c r="E114" i="9"/>
  <c r="G112" i="8"/>
  <c r="E114" i="8"/>
  <c r="E115" i="2"/>
  <c r="F114" i="2"/>
  <c r="HE111" i="15" l="1"/>
  <c r="PM110" i="15"/>
  <c r="PN110" i="15" s="1"/>
  <c r="CS110" i="15"/>
  <c r="CT110" i="15" s="1"/>
  <c r="DQ111" i="15"/>
  <c r="DR111" i="15" s="1"/>
  <c r="FY111" i="15"/>
  <c r="FZ111" i="15" s="1"/>
  <c r="RI111" i="15"/>
  <c r="RJ111" i="15" s="1"/>
  <c r="GW111" i="15"/>
  <c r="GX111" i="15" s="1"/>
  <c r="TY111" i="15"/>
  <c r="TZ111" i="15" s="1"/>
  <c r="NA110" i="15"/>
  <c r="NB110" i="15" s="1"/>
  <c r="QS111" i="15"/>
  <c r="QT111" i="15" s="1"/>
  <c r="LY111" i="15"/>
  <c r="LZ111" i="15" s="1"/>
  <c r="FU111" i="15"/>
  <c r="FV111" i="15" s="1"/>
  <c r="PE111" i="15"/>
  <c r="PF111" i="15" s="1"/>
  <c r="FE111" i="15"/>
  <c r="FF111" i="15" s="1"/>
  <c r="RE111" i="15"/>
  <c r="RF111" i="15" s="1"/>
  <c r="MC111" i="15"/>
  <c r="MD111" i="15" s="1"/>
  <c r="PI111" i="15"/>
  <c r="PJ111" i="15" s="1"/>
  <c r="AO111" i="15"/>
  <c r="AP111" i="15" s="1"/>
  <c r="UO111" i="15"/>
  <c r="UP111" i="15" s="1"/>
  <c r="AC111" i="15"/>
  <c r="AD111" i="15" s="1"/>
  <c r="SO111" i="15"/>
  <c r="SP111" i="15" s="1"/>
  <c r="HQ111" i="15"/>
  <c r="HR111" i="15" s="1"/>
  <c r="SG111" i="15"/>
  <c r="SH111" i="15" s="1"/>
  <c r="AG111" i="15"/>
  <c r="AH111" i="15" s="1"/>
  <c r="CC110" i="15"/>
  <c r="CD110" i="15" s="1"/>
  <c r="DM111" i="15"/>
  <c r="DN111" i="15" s="1"/>
  <c r="GS111" i="15"/>
  <c r="GT111" i="15" s="1"/>
  <c r="QO111" i="15"/>
  <c r="QP111" i="15" s="1"/>
  <c r="EG111" i="15"/>
  <c r="EH111" i="15" s="1"/>
  <c r="CK111" i="15"/>
  <c r="CL111" i="15" s="1"/>
  <c r="I110" i="15"/>
  <c r="J110" i="15" s="1"/>
  <c r="KS111" i="15"/>
  <c r="KT111" i="15" s="1"/>
  <c r="JY111" i="15"/>
  <c r="JZ111" i="15" s="1"/>
  <c r="BQ111" i="15"/>
  <c r="BR111" i="15" s="1"/>
  <c r="AK111" i="15"/>
  <c r="AL111" i="15" s="1"/>
  <c r="EO111" i="15"/>
  <c r="EP111" i="15" s="1"/>
  <c r="FM111" i="15"/>
  <c r="FN111" i="15" s="1"/>
  <c r="E111" i="15"/>
  <c r="F111" i="15" s="1"/>
  <c r="CO111" i="15"/>
  <c r="CP111" i="15" s="1"/>
  <c r="BI111" i="15"/>
  <c r="BJ111" i="15" s="1"/>
  <c r="EK111" i="15"/>
  <c r="EL111" i="15" s="1"/>
  <c r="BE111" i="15"/>
  <c r="BF111" i="15" s="1"/>
  <c r="U111" i="15"/>
  <c r="V111" i="15" s="1"/>
  <c r="IG111" i="15"/>
  <c r="IH111" i="15" s="1"/>
  <c r="JA111" i="15"/>
  <c r="JB111" i="15" s="1"/>
  <c r="JU110" i="15"/>
  <c r="JV109" i="15"/>
  <c r="SV112" i="15"/>
  <c r="IZ112" i="15"/>
  <c r="RU110" i="15"/>
  <c r="RV109" i="15"/>
  <c r="OW110" i="15"/>
  <c r="OX109" i="15"/>
  <c r="EJ112" i="15"/>
  <c r="GN112" i="15"/>
  <c r="QV112" i="15"/>
  <c r="HL112" i="15"/>
  <c r="JD112" i="15"/>
  <c r="OZ112" i="15"/>
  <c r="NM110" i="15"/>
  <c r="NN109" i="15"/>
  <c r="HH112" i="15"/>
  <c r="RP112" i="15"/>
  <c r="CW110" i="15"/>
  <c r="CX109" i="15"/>
  <c r="GO111" i="15"/>
  <c r="GP111" i="15" s="1"/>
  <c r="AL110" i="15"/>
  <c r="KB112" i="15"/>
  <c r="EB112" i="15"/>
  <c r="MB112" i="15"/>
  <c r="DE110" i="15"/>
  <c r="DF109" i="15"/>
  <c r="TM110" i="15"/>
  <c r="TN109" i="15"/>
  <c r="HU110" i="15"/>
  <c r="HV109" i="15"/>
  <c r="LH112" i="15"/>
  <c r="LE110" i="15"/>
  <c r="LF109" i="15"/>
  <c r="OJ112" i="15"/>
  <c r="TA110" i="15"/>
  <c r="TB109" i="15"/>
  <c r="CZ112" i="15"/>
  <c r="EC110" i="15"/>
  <c r="ED109" i="15"/>
  <c r="PX112" i="15"/>
  <c r="KW110" i="15"/>
  <c r="KX109" i="15"/>
  <c r="MR112" i="15"/>
  <c r="HM111" i="15"/>
  <c r="AJ112" i="15"/>
  <c r="AZ112" i="15"/>
  <c r="OC110" i="15"/>
  <c r="OD109" i="15"/>
  <c r="MD110" i="15"/>
  <c r="NH112" i="15"/>
  <c r="GG110" i="15"/>
  <c r="GH109" i="15"/>
  <c r="HF111" i="15"/>
  <c r="HD112" i="15"/>
  <c r="HE112" i="15" s="1"/>
  <c r="JT112" i="15"/>
  <c r="TQ110" i="15"/>
  <c r="TR109" i="15"/>
  <c r="V110" i="15"/>
  <c r="KF112" i="15"/>
  <c r="NB109" i="15"/>
  <c r="TE110" i="15"/>
  <c r="TF109" i="15"/>
  <c r="JL112" i="15"/>
  <c r="UF112" i="15"/>
  <c r="QW111" i="15"/>
  <c r="LT112" i="15"/>
  <c r="NX112" i="15"/>
  <c r="IK110" i="15"/>
  <c r="IL109" i="15"/>
  <c r="IN112" i="15"/>
  <c r="PY111" i="15"/>
  <c r="MZ111" i="15"/>
  <c r="GB112" i="15"/>
  <c r="PU110" i="15"/>
  <c r="PV109" i="15"/>
  <c r="LI111" i="15"/>
  <c r="LJ111" i="15" s="1"/>
  <c r="TP112" i="15"/>
  <c r="AV112" i="15"/>
  <c r="BT111" i="15"/>
  <c r="EV112" i="15"/>
  <c r="PT112" i="15"/>
  <c r="CJ112" i="15"/>
  <c r="AS110" i="15"/>
  <c r="AT109" i="15"/>
  <c r="PP112" i="15"/>
  <c r="IJ112" i="15"/>
  <c r="GK110" i="15"/>
  <c r="GL109" i="15"/>
  <c r="T112" i="15"/>
  <c r="LD112" i="15"/>
  <c r="NU110" i="15"/>
  <c r="NV109" i="15"/>
  <c r="DT112" i="15"/>
  <c r="MK110" i="15"/>
  <c r="ML109" i="15"/>
  <c r="KJ112" i="15"/>
  <c r="RL112" i="15"/>
  <c r="DH112" i="15"/>
  <c r="OO110" i="15"/>
  <c r="OP109" i="15"/>
  <c r="ER112" i="15"/>
  <c r="SB112" i="15"/>
  <c r="FN110" i="15"/>
  <c r="SN112" i="15"/>
  <c r="NI110" i="15"/>
  <c r="NJ109" i="15"/>
  <c r="AN112" i="15"/>
  <c r="AR112" i="15"/>
  <c r="UK110" i="15"/>
  <c r="UL109" i="15"/>
  <c r="GC110" i="15"/>
  <c r="GD109" i="15"/>
  <c r="FL112" i="15"/>
  <c r="OB112" i="15"/>
  <c r="RX112" i="15"/>
  <c r="HX112" i="15"/>
  <c r="FH112" i="15"/>
  <c r="FA110" i="15"/>
  <c r="FB109" i="15"/>
  <c r="FP112" i="15"/>
  <c r="NY110" i="15"/>
  <c r="NZ109" i="15"/>
  <c r="MF112" i="15"/>
  <c r="EZ112" i="15"/>
  <c r="OF111" i="15"/>
  <c r="KT110" i="15"/>
  <c r="BJ110" i="15"/>
  <c r="NT112" i="15"/>
  <c r="M110" i="15"/>
  <c r="N109" i="15"/>
  <c r="NQ110" i="15"/>
  <c r="NR109" i="15"/>
  <c r="FT112" i="15"/>
  <c r="PH112" i="15"/>
  <c r="UJ112" i="15"/>
  <c r="JQ110" i="15"/>
  <c r="JR109" i="15"/>
  <c r="GJ112" i="15"/>
  <c r="OS110" i="15"/>
  <c r="OT109" i="15"/>
  <c r="CF112" i="15"/>
  <c r="BX112" i="15"/>
  <c r="EW110" i="15"/>
  <c r="EX109" i="15"/>
  <c r="TH112" i="15"/>
  <c r="KR112" i="15"/>
  <c r="RY110" i="15"/>
  <c r="RZ109" i="15"/>
  <c r="BH112" i="15"/>
  <c r="SS110" i="15"/>
  <c r="ST109" i="15"/>
  <c r="NL112" i="15"/>
  <c r="QF112" i="15"/>
  <c r="Q110" i="15"/>
  <c r="R109" i="15"/>
  <c r="UR112" i="15"/>
  <c r="QR112" i="15"/>
  <c r="QZ112" i="15"/>
  <c r="AW110" i="15"/>
  <c r="AX109" i="15"/>
  <c r="DU110" i="15"/>
  <c r="DV109" i="15"/>
  <c r="FF110" i="15"/>
  <c r="DA111" i="15"/>
  <c r="Y110" i="15"/>
  <c r="Z109" i="15"/>
  <c r="AF112" i="15"/>
  <c r="JM111" i="15"/>
  <c r="BM110" i="15"/>
  <c r="BN109" i="15"/>
  <c r="OV112" i="15"/>
  <c r="QT110" i="15"/>
  <c r="DP112" i="15"/>
  <c r="HA110" i="15"/>
  <c r="HB109" i="15"/>
  <c r="RF110" i="15"/>
  <c r="GZ112" i="15"/>
  <c r="FD112" i="15"/>
  <c r="IW110" i="15"/>
  <c r="IX109" i="15"/>
  <c r="CD109" i="15"/>
  <c r="BA111" i="15"/>
  <c r="TX112" i="15"/>
  <c r="JH112" i="15"/>
  <c r="RQ110" i="15"/>
  <c r="RR109" i="15"/>
  <c r="FQ110" i="15"/>
  <c r="FR109" i="15"/>
  <c r="JP112" i="15"/>
  <c r="LL112" i="15"/>
  <c r="NP112" i="15"/>
  <c r="BY110" i="15"/>
  <c r="BZ109" i="15"/>
  <c r="KV112" i="15"/>
  <c r="MN112" i="15"/>
  <c r="RD112" i="15"/>
  <c r="FX112" i="15"/>
  <c r="CB111" i="15"/>
  <c r="IO110" i="15"/>
  <c r="IP109" i="15"/>
  <c r="LM111" i="15"/>
  <c r="LN111" i="15" s="1"/>
  <c r="UC110" i="15"/>
  <c r="UD109" i="15"/>
  <c r="SJ112" i="15"/>
  <c r="SK112" i="15" s="1"/>
  <c r="SL111" i="15"/>
  <c r="PQ110" i="15"/>
  <c r="PR109" i="15"/>
  <c r="US110" i="15"/>
  <c r="UT109" i="15"/>
  <c r="DY110" i="15"/>
  <c r="DZ109" i="15"/>
  <c r="GT110" i="15"/>
  <c r="SR112" i="15"/>
  <c r="IB112" i="15"/>
  <c r="JI110" i="15"/>
  <c r="JJ109" i="15"/>
  <c r="PD112" i="15"/>
  <c r="MV112" i="15"/>
  <c r="UG110" i="15"/>
  <c r="UH109" i="15"/>
  <c r="KG110" i="15"/>
  <c r="KH109" i="15"/>
  <c r="CN112" i="15"/>
  <c r="BP112" i="15"/>
  <c r="PA110" i="15"/>
  <c r="PB109" i="15"/>
  <c r="DD112" i="15"/>
  <c r="EF112" i="15"/>
  <c r="GR112" i="15"/>
  <c r="MW110" i="15"/>
  <c r="MX109" i="15"/>
  <c r="QG110" i="15"/>
  <c r="QH109" i="15"/>
  <c r="GF112" i="15"/>
  <c r="HI110" i="15"/>
  <c r="HJ109" i="15"/>
  <c r="HT112" i="15"/>
  <c r="BL112" i="15"/>
  <c r="RM110" i="15"/>
  <c r="RN109" i="15"/>
  <c r="LX112" i="15"/>
  <c r="JE110" i="15"/>
  <c r="JF109" i="15"/>
  <c r="OK111" i="15"/>
  <c r="LU110" i="15"/>
  <c r="LV109" i="15"/>
  <c r="LA110" i="15"/>
  <c r="LB109" i="15"/>
  <c r="IV112" i="15"/>
  <c r="ES110" i="15"/>
  <c r="ET109" i="15"/>
  <c r="QK110" i="15"/>
  <c r="QL109" i="15"/>
  <c r="SF112" i="15"/>
  <c r="HP112" i="15"/>
  <c r="L112" i="15"/>
  <c r="QB112" i="15"/>
  <c r="MJ112" i="15"/>
  <c r="EN112" i="15"/>
  <c r="KN112" i="15"/>
  <c r="JX112" i="15"/>
  <c r="TT112" i="15"/>
  <c r="IC111" i="15"/>
  <c r="MG111" i="15"/>
  <c r="BR110" i="15"/>
  <c r="QJ112" i="15"/>
  <c r="KC110" i="15"/>
  <c r="KD109" i="15"/>
  <c r="RA110" i="15"/>
  <c r="RB109" i="15"/>
  <c r="RT112" i="15"/>
  <c r="TL112" i="15"/>
  <c r="QN112" i="15"/>
  <c r="UB112" i="15"/>
  <c r="BU110" i="15"/>
  <c r="EL110" i="15"/>
  <c r="LP112" i="15"/>
  <c r="LR111" i="15"/>
  <c r="ON112" i="15"/>
  <c r="P112" i="15"/>
  <c r="TD112" i="15"/>
  <c r="IR112" i="15"/>
  <c r="RH112" i="15"/>
  <c r="IS111" i="15"/>
  <c r="CP110" i="15"/>
  <c r="IH110" i="15"/>
  <c r="ND112" i="15"/>
  <c r="X112" i="15"/>
  <c r="UN112" i="15"/>
  <c r="IF112" i="15"/>
  <c r="AB112" i="15"/>
  <c r="GV112" i="15"/>
  <c r="OR112" i="15"/>
  <c r="CR111" i="15"/>
  <c r="NE110" i="15"/>
  <c r="NF109" i="15"/>
  <c r="EP110" i="15"/>
  <c r="JZ110" i="15"/>
  <c r="PL111" i="15"/>
  <c r="D112" i="15"/>
  <c r="KZ112" i="15"/>
  <c r="SC110" i="15"/>
  <c r="SD109" i="15"/>
  <c r="BD112" i="15"/>
  <c r="H111" i="15"/>
  <c r="TU111" i="15"/>
  <c r="TV111" i="15" s="1"/>
  <c r="SZ112" i="15"/>
  <c r="MS110" i="15"/>
  <c r="MT109" i="15"/>
  <c r="CV112" i="15"/>
  <c r="SW111" i="15"/>
  <c r="DL112" i="15"/>
  <c r="MO111" i="15"/>
  <c r="DI110" i="15"/>
  <c r="DJ109" i="15"/>
  <c r="KK111" i="15"/>
  <c r="KL111" i="15" s="1"/>
  <c r="FI111" i="15"/>
  <c r="FJ111" i="15" s="1"/>
  <c r="KO111" i="15"/>
  <c r="KP111" i="15" s="1"/>
  <c r="F110" i="15"/>
  <c r="CG110" i="15"/>
  <c r="CH109" i="15"/>
  <c r="QC110" i="15"/>
  <c r="QD109" i="15"/>
  <c r="TI110" i="15"/>
  <c r="TJ109" i="15"/>
  <c r="DX112" i="15"/>
  <c r="BF110" i="15"/>
  <c r="J109" i="15"/>
  <c r="OG110" i="15"/>
  <c r="HY111" i="15"/>
  <c r="F114" i="11"/>
  <c r="G114" i="11" s="1"/>
  <c r="F115" i="2"/>
  <c r="G115" i="2" s="1"/>
  <c r="G113" i="11"/>
  <c r="E115" i="11"/>
  <c r="E115" i="9"/>
  <c r="F114" i="9"/>
  <c r="E115" i="8"/>
  <c r="F114" i="8"/>
  <c r="E116" i="2"/>
  <c r="G114" i="2"/>
  <c r="DQ112" i="15" l="1"/>
  <c r="RI112" i="15"/>
  <c r="PI112" i="15"/>
  <c r="PJ112" i="15" s="1"/>
  <c r="QS112" i="15"/>
  <c r="QT112" i="15" s="1"/>
  <c r="CS111" i="15"/>
  <c r="CT111" i="15" s="1"/>
  <c r="GW112" i="15"/>
  <c r="GX112" i="15" s="1"/>
  <c r="MC112" i="15"/>
  <c r="MD112" i="15" s="1"/>
  <c r="GS112" i="15"/>
  <c r="GT112" i="15" s="1"/>
  <c r="FU112" i="15"/>
  <c r="FV112" i="15" s="1"/>
  <c r="EG112" i="15"/>
  <c r="EH112" i="15" s="1"/>
  <c r="AC112" i="15"/>
  <c r="AD112" i="15" s="1"/>
  <c r="CK112" i="15"/>
  <c r="CL112" i="15" s="1"/>
  <c r="DM112" i="15"/>
  <c r="DN112" i="15" s="1"/>
  <c r="RE112" i="15"/>
  <c r="RF112" i="15" s="1"/>
  <c r="HQ112" i="15"/>
  <c r="HR112" i="15" s="1"/>
  <c r="I111" i="15"/>
  <c r="J111" i="15" s="1"/>
  <c r="QO112" i="15"/>
  <c r="QP112" i="15" s="1"/>
  <c r="AK112" i="15"/>
  <c r="AL112" i="15" s="1"/>
  <c r="CC111" i="15"/>
  <c r="CD111" i="15" s="1"/>
  <c r="BQ112" i="15"/>
  <c r="BR112" i="15" s="1"/>
  <c r="DA112" i="15"/>
  <c r="DB112" i="15" s="1"/>
  <c r="KS112" i="15"/>
  <c r="KT112" i="15" s="1"/>
  <c r="EO112" i="15"/>
  <c r="EP112" i="15" s="1"/>
  <c r="IC112" i="15"/>
  <c r="ID112" i="15" s="1"/>
  <c r="BE112" i="15"/>
  <c r="BF112" i="15" s="1"/>
  <c r="JM112" i="15"/>
  <c r="JN112" i="15" s="1"/>
  <c r="EK112" i="15"/>
  <c r="EL112" i="15" s="1"/>
  <c r="E112" i="15"/>
  <c r="F112" i="15" s="1"/>
  <c r="BI112" i="15"/>
  <c r="BJ112" i="15" s="1"/>
  <c r="FM112" i="15"/>
  <c r="FN112" i="15" s="1"/>
  <c r="CO112" i="15"/>
  <c r="CP112" i="15" s="1"/>
  <c r="HY112" i="15"/>
  <c r="HZ112" i="15" s="1"/>
  <c r="JA112" i="15"/>
  <c r="JB112" i="15" s="1"/>
  <c r="U112" i="15"/>
  <c r="V112" i="15" s="1"/>
  <c r="BU111" i="15"/>
  <c r="BV111" i="15" s="1"/>
  <c r="MO112" i="15"/>
  <c r="MP112" i="15" s="1"/>
  <c r="QW112" i="15"/>
  <c r="QX112" i="15" s="1"/>
  <c r="SW112" i="15"/>
  <c r="SX112" i="15" s="1"/>
  <c r="IS112" i="15"/>
  <c r="IT112" i="15" s="1"/>
  <c r="PY112" i="15"/>
  <c r="PZ112" i="15" s="1"/>
  <c r="OG111" i="15"/>
  <c r="OH111" i="15" s="1"/>
  <c r="MG112" i="15"/>
  <c r="MH112" i="15" s="1"/>
  <c r="OK112" i="15"/>
  <c r="OL112" i="15" s="1"/>
  <c r="HM112" i="15"/>
  <c r="HN112" i="15" s="1"/>
  <c r="MN113" i="15"/>
  <c r="BA112" i="15"/>
  <c r="TH113" i="15"/>
  <c r="AS111" i="15"/>
  <c r="AT110" i="15"/>
  <c r="BB111" i="15"/>
  <c r="LH113" i="15"/>
  <c r="HH113" i="15"/>
  <c r="RU111" i="15"/>
  <c r="RV110" i="15"/>
  <c r="UN113" i="15"/>
  <c r="DY111" i="15"/>
  <c r="DZ110" i="15"/>
  <c r="MP111" i="15"/>
  <c r="FA111" i="15"/>
  <c r="FB110" i="15"/>
  <c r="CJ113" i="15"/>
  <c r="MZ112" i="15"/>
  <c r="IZ113" i="15"/>
  <c r="LE111" i="15"/>
  <c r="LF110" i="15"/>
  <c r="LP113" i="15"/>
  <c r="CN113" i="15"/>
  <c r="Q111" i="15"/>
  <c r="R110" i="15"/>
  <c r="NQ111" i="15"/>
  <c r="NR110" i="15"/>
  <c r="FH113" i="15"/>
  <c r="AN113" i="15"/>
  <c r="MK111" i="15"/>
  <c r="ML110" i="15"/>
  <c r="AJ113" i="15"/>
  <c r="SC111" i="15"/>
  <c r="SD110" i="15"/>
  <c r="IW111" i="15"/>
  <c r="IX110" i="15"/>
  <c r="AF113" i="15"/>
  <c r="QF113" i="15"/>
  <c r="EW111" i="15"/>
  <c r="EX110" i="15"/>
  <c r="PT113" i="15"/>
  <c r="KF113" i="15"/>
  <c r="HU111" i="15"/>
  <c r="HV110" i="15"/>
  <c r="NM111" i="15"/>
  <c r="NN110" i="15"/>
  <c r="SV113" i="15"/>
  <c r="KJ113" i="15"/>
  <c r="DI111" i="15"/>
  <c r="DJ110" i="15"/>
  <c r="TT113" i="15"/>
  <c r="JX113" i="15"/>
  <c r="IV113" i="15"/>
  <c r="JY112" i="15"/>
  <c r="KG111" i="15"/>
  <c r="KH110" i="15"/>
  <c r="FD113" i="15"/>
  <c r="BX113" i="15"/>
  <c r="M111" i="15"/>
  <c r="N110" i="15"/>
  <c r="HZ111" i="15"/>
  <c r="NI111" i="15"/>
  <c r="NJ110" i="15"/>
  <c r="DT113" i="15"/>
  <c r="MR113" i="15"/>
  <c r="OZ113" i="15"/>
  <c r="SX111" i="15"/>
  <c r="HT113" i="15"/>
  <c r="BY111" i="15"/>
  <c r="BZ110" i="15"/>
  <c r="HX113" i="15"/>
  <c r="SN113" i="15"/>
  <c r="IN113" i="15"/>
  <c r="TM111" i="15"/>
  <c r="TN110" i="15"/>
  <c r="KZ113" i="15"/>
  <c r="PQ111" i="15"/>
  <c r="PR110" i="15"/>
  <c r="CV113" i="15"/>
  <c r="PL112" i="15"/>
  <c r="UB113" i="15"/>
  <c r="KN113" i="15"/>
  <c r="UG111" i="15"/>
  <c r="UH110" i="15"/>
  <c r="GZ113" i="15"/>
  <c r="Y111" i="15"/>
  <c r="Z110" i="15"/>
  <c r="NA111" i="15"/>
  <c r="NB111" i="15" s="1"/>
  <c r="NT113" i="15"/>
  <c r="RX113" i="15"/>
  <c r="NU111" i="15"/>
  <c r="NV110" i="15"/>
  <c r="TQ111" i="15"/>
  <c r="TR110" i="15"/>
  <c r="FP113" i="15"/>
  <c r="IF113" i="15"/>
  <c r="NP113" i="15"/>
  <c r="CF113" i="15"/>
  <c r="LD113" i="15"/>
  <c r="EV113" i="15"/>
  <c r="IK111" i="15"/>
  <c r="IL110" i="15"/>
  <c r="JT113" i="15"/>
  <c r="KW111" i="15"/>
  <c r="KX110" i="15"/>
  <c r="DE111" i="15"/>
  <c r="DF110" i="15"/>
  <c r="JD113" i="15"/>
  <c r="QK111" i="15"/>
  <c r="QL110" i="15"/>
  <c r="HI111" i="15"/>
  <c r="HJ110" i="15"/>
  <c r="NL113" i="15"/>
  <c r="BV110" i="15"/>
  <c r="PX113" i="15"/>
  <c r="HN111" i="15"/>
  <c r="JU111" i="15"/>
  <c r="JV110" i="15"/>
  <c r="RP113" i="15"/>
  <c r="US111" i="15"/>
  <c r="UT110" i="15"/>
  <c r="TL113" i="15"/>
  <c r="OS111" i="15"/>
  <c r="OT110" i="15"/>
  <c r="OB113" i="15"/>
  <c r="SB113" i="15"/>
  <c r="AO112" i="15"/>
  <c r="BT112" i="15"/>
  <c r="NX113" i="15"/>
  <c r="HF112" i="15"/>
  <c r="HD113" i="15"/>
  <c r="PZ111" i="15"/>
  <c r="MB113" i="15"/>
  <c r="HL113" i="15"/>
  <c r="TX113" i="15"/>
  <c r="X113" i="15"/>
  <c r="ND113" i="15"/>
  <c r="QN113" i="15"/>
  <c r="UC111" i="15"/>
  <c r="UD110" i="15"/>
  <c r="JP113" i="15"/>
  <c r="OH110" i="15"/>
  <c r="AV113" i="15"/>
  <c r="EB113" i="15"/>
  <c r="QV113" i="15"/>
  <c r="AG112" i="15"/>
  <c r="TE111" i="15"/>
  <c r="TF110" i="15"/>
  <c r="ES111" i="15"/>
  <c r="ET110" i="15"/>
  <c r="DX113" i="15"/>
  <c r="LM112" i="15"/>
  <c r="LN112" i="15" s="1"/>
  <c r="HA111" i="15"/>
  <c r="HB110" i="15"/>
  <c r="DU111" i="15"/>
  <c r="DV110" i="15"/>
  <c r="SS111" i="15"/>
  <c r="ST110" i="15"/>
  <c r="GJ113" i="15"/>
  <c r="OF112" i="15"/>
  <c r="FL113" i="15"/>
  <c r="T113" i="15"/>
  <c r="EC111" i="15"/>
  <c r="ED110" i="15"/>
  <c r="QX111" i="15"/>
  <c r="KR113" i="15"/>
  <c r="ON113" i="15"/>
  <c r="MV113" i="15"/>
  <c r="SZ113" i="15"/>
  <c r="EZ113" i="15"/>
  <c r="ER113" i="15"/>
  <c r="TP113" i="15"/>
  <c r="LT113" i="15"/>
  <c r="GG111" i="15"/>
  <c r="GH110" i="15"/>
  <c r="CZ113" i="15"/>
  <c r="KB113" i="15"/>
  <c r="FE112" i="15"/>
  <c r="LQ112" i="15"/>
  <c r="LL113" i="15"/>
  <c r="GK111" i="15"/>
  <c r="GL110" i="15"/>
  <c r="DB111" i="15"/>
  <c r="GN113" i="15"/>
  <c r="SO112" i="15"/>
  <c r="SF113" i="15"/>
  <c r="D113" i="15"/>
  <c r="LA111" i="15"/>
  <c r="LB110" i="15"/>
  <c r="PD113" i="15"/>
  <c r="NE111" i="15"/>
  <c r="NF110" i="15"/>
  <c r="MJ113" i="15"/>
  <c r="JE111" i="15"/>
  <c r="JF110" i="15"/>
  <c r="TD113" i="15"/>
  <c r="BH113" i="15"/>
  <c r="OO111" i="15"/>
  <c r="OP110" i="15"/>
  <c r="UF113" i="15"/>
  <c r="NH113" i="15"/>
  <c r="TY112" i="15"/>
  <c r="QG111" i="15"/>
  <c r="QH110" i="15"/>
  <c r="QB113" i="15"/>
  <c r="LX113" i="15"/>
  <c r="JI111" i="15"/>
  <c r="JJ110" i="15"/>
  <c r="AW111" i="15"/>
  <c r="AX110" i="15"/>
  <c r="TU112" i="15"/>
  <c r="CB112" i="15"/>
  <c r="MF113" i="15"/>
  <c r="L113" i="15"/>
  <c r="ID111" i="15"/>
  <c r="RQ111" i="15"/>
  <c r="RR110" i="15"/>
  <c r="QZ113" i="15"/>
  <c r="UJ113" i="15"/>
  <c r="MH111" i="15"/>
  <c r="DH113" i="15"/>
  <c r="IJ113" i="15"/>
  <c r="TA111" i="15"/>
  <c r="TB110" i="15"/>
  <c r="GO112" i="15"/>
  <c r="GF113" i="15"/>
  <c r="LU111" i="15"/>
  <c r="LV110" i="15"/>
  <c r="MW111" i="15"/>
  <c r="MX110" i="15"/>
  <c r="QC111" i="15"/>
  <c r="QD110" i="15"/>
  <c r="RT113" i="15"/>
  <c r="IR113" i="15"/>
  <c r="FQ111" i="15"/>
  <c r="FR110" i="15"/>
  <c r="OR113" i="15"/>
  <c r="H112" i="15"/>
  <c r="IG112" i="15"/>
  <c r="KC111" i="15"/>
  <c r="KD110" i="15"/>
  <c r="RM111" i="15"/>
  <c r="RN110" i="15"/>
  <c r="DD113" i="15"/>
  <c r="PM111" i="15"/>
  <c r="PN111" i="15" s="1"/>
  <c r="FX113" i="15"/>
  <c r="OV113" i="15"/>
  <c r="RY111" i="15"/>
  <c r="RZ110" i="15"/>
  <c r="UK111" i="15"/>
  <c r="UL110" i="15"/>
  <c r="FY112" i="15"/>
  <c r="FZ112" i="15" s="1"/>
  <c r="PU111" i="15"/>
  <c r="PV110" i="15"/>
  <c r="JN111" i="15"/>
  <c r="OL111" i="15"/>
  <c r="EJ113" i="15"/>
  <c r="UO112" i="15"/>
  <c r="BP113" i="15"/>
  <c r="FT113" i="15"/>
  <c r="KV113" i="15"/>
  <c r="EN113" i="15"/>
  <c r="TI111" i="15"/>
  <c r="TJ110" i="15"/>
  <c r="RH113" i="15"/>
  <c r="RI113" i="15" s="1"/>
  <c r="RJ112" i="15"/>
  <c r="IT111" i="15"/>
  <c r="IO111" i="15"/>
  <c r="IP110" i="15"/>
  <c r="JQ111" i="15"/>
  <c r="JR110" i="15"/>
  <c r="CG111" i="15"/>
  <c r="CH110" i="15"/>
  <c r="LI112" i="15"/>
  <c r="GV113" i="15"/>
  <c r="KO112" i="15"/>
  <c r="BD113" i="15"/>
  <c r="AB113" i="15"/>
  <c r="P113" i="15"/>
  <c r="HP113" i="15"/>
  <c r="JH113" i="15"/>
  <c r="QR113" i="15"/>
  <c r="SG112" i="15"/>
  <c r="SH112" i="15" s="1"/>
  <c r="PH113" i="15"/>
  <c r="PI113" i="15" s="1"/>
  <c r="NY111" i="15"/>
  <c r="NZ110" i="15"/>
  <c r="JL113" i="15"/>
  <c r="OJ113" i="15"/>
  <c r="CW111" i="15"/>
  <c r="CX110" i="15"/>
  <c r="LY112" i="15"/>
  <c r="LZ112" i="15" s="1"/>
  <c r="AZ113" i="15"/>
  <c r="DL113" i="15"/>
  <c r="SJ113" i="15"/>
  <c r="SK113" i="15" s="1"/>
  <c r="SL112" i="15"/>
  <c r="MS111" i="15"/>
  <c r="MT110" i="15"/>
  <c r="GR113" i="15"/>
  <c r="CR112" i="15"/>
  <c r="EF113" i="15"/>
  <c r="DP113" i="15"/>
  <c r="DR112" i="15"/>
  <c r="RA111" i="15"/>
  <c r="RB110" i="15"/>
  <c r="IB113" i="15"/>
  <c r="GC111" i="15"/>
  <c r="GD110" i="15"/>
  <c r="FI112" i="15"/>
  <c r="FJ112" i="15" s="1"/>
  <c r="KK112" i="15"/>
  <c r="QJ113" i="15"/>
  <c r="BL113" i="15"/>
  <c r="PA111" i="15"/>
  <c r="PB110" i="15"/>
  <c r="SR113" i="15"/>
  <c r="RD113" i="15"/>
  <c r="BM111" i="15"/>
  <c r="BN110" i="15"/>
  <c r="UR113" i="15"/>
  <c r="AR113" i="15"/>
  <c r="RL113" i="15"/>
  <c r="PP113" i="15"/>
  <c r="GB113" i="15"/>
  <c r="OC111" i="15"/>
  <c r="OD110" i="15"/>
  <c r="OW111" i="15"/>
  <c r="OX110" i="15"/>
  <c r="PE112" i="15"/>
  <c r="PF112" i="15" s="1"/>
  <c r="F115" i="9"/>
  <c r="G115" i="9" s="1"/>
  <c r="F115" i="8"/>
  <c r="G115" i="8" s="1"/>
  <c r="F116" i="2"/>
  <c r="G116" i="2" s="1"/>
  <c r="E116" i="11"/>
  <c r="F115" i="11"/>
  <c r="G114" i="10"/>
  <c r="G115" i="10"/>
  <c r="G114" i="9"/>
  <c r="E116" i="9"/>
  <c r="G114" i="8"/>
  <c r="E116" i="8"/>
  <c r="E117" i="2"/>
  <c r="MC113" i="15" l="1"/>
  <c r="GS113" i="15"/>
  <c r="QS113" i="15"/>
  <c r="QT113" i="15" s="1"/>
  <c r="I112" i="15"/>
  <c r="J112" i="15" s="1"/>
  <c r="EG113" i="15"/>
  <c r="EH113" i="15" s="1"/>
  <c r="QW113" i="15"/>
  <c r="IC113" i="15"/>
  <c r="ID113" i="15" s="1"/>
  <c r="CK113" i="15"/>
  <c r="CL113" i="15" s="1"/>
  <c r="FM113" i="15"/>
  <c r="HQ113" i="15"/>
  <c r="HR113" i="15" s="1"/>
  <c r="DM113" i="15"/>
  <c r="DN113" i="15" s="1"/>
  <c r="IS113" i="15"/>
  <c r="IT113" i="15" s="1"/>
  <c r="AK113" i="15"/>
  <c r="AL113" i="15" s="1"/>
  <c r="U113" i="15"/>
  <c r="V113" i="15" s="1"/>
  <c r="E113" i="15"/>
  <c r="F113" i="15" s="1"/>
  <c r="EK113" i="15"/>
  <c r="EL113" i="15" s="1"/>
  <c r="KS113" i="15"/>
  <c r="KT113" i="15" s="1"/>
  <c r="MG113" i="15"/>
  <c r="MH113" i="15" s="1"/>
  <c r="HY113" i="15"/>
  <c r="HZ113" i="15" s="1"/>
  <c r="OG112" i="15"/>
  <c r="OH112" i="15" s="1"/>
  <c r="OK113" i="15"/>
  <c r="OL113" i="15" s="1"/>
  <c r="SW113" i="15"/>
  <c r="SX113" i="15" s="1"/>
  <c r="AO113" i="15"/>
  <c r="AP113" i="15" s="1"/>
  <c r="CO113" i="15"/>
  <c r="CP113" i="15" s="1"/>
  <c r="PY113" i="15"/>
  <c r="PZ113" i="15" s="1"/>
  <c r="BA113" i="15"/>
  <c r="BB113" i="15" s="1"/>
  <c r="KK113" i="15"/>
  <c r="KL113" i="15" s="1"/>
  <c r="MO113" i="15"/>
  <c r="MP113" i="15" s="1"/>
  <c r="JA113" i="15"/>
  <c r="JB113" i="15" s="1"/>
  <c r="JY113" i="15"/>
  <c r="JZ113" i="15" s="1"/>
  <c r="SG113" i="15"/>
  <c r="SH113" i="15" s="1"/>
  <c r="TY113" i="15"/>
  <c r="TZ113" i="15" s="1"/>
  <c r="HM113" i="15"/>
  <c r="HN113" i="15" s="1"/>
  <c r="GO113" i="15"/>
  <c r="GP113" i="15" s="1"/>
  <c r="UO113" i="15"/>
  <c r="UP113" i="15" s="1"/>
  <c r="IG113" i="15"/>
  <c r="IH113" i="15" s="1"/>
  <c r="KL112" i="15"/>
  <c r="SO113" i="15"/>
  <c r="SP113" i="15" s="1"/>
  <c r="BB112" i="15"/>
  <c r="LI113" i="15"/>
  <c r="LJ113" i="15" s="1"/>
  <c r="LY113" i="15"/>
  <c r="LZ113" i="15" s="1"/>
  <c r="TU113" i="15"/>
  <c r="TV113" i="15" s="1"/>
  <c r="KO113" i="15"/>
  <c r="KP113" i="15" s="1"/>
  <c r="LQ113" i="15"/>
  <c r="LR113" i="15" s="1"/>
  <c r="AG113" i="15"/>
  <c r="AH113" i="15" s="1"/>
  <c r="GC112" i="15"/>
  <c r="GD111" i="15"/>
  <c r="LX114" i="15"/>
  <c r="LL114" i="15"/>
  <c r="SZ114" i="15"/>
  <c r="RP114" i="15"/>
  <c r="AB114" i="15"/>
  <c r="AV114" i="15"/>
  <c r="HD114" i="15"/>
  <c r="KW112" i="15"/>
  <c r="KX111" i="15"/>
  <c r="TQ112" i="15"/>
  <c r="TR111" i="15"/>
  <c r="BY112" i="15"/>
  <c r="BZ111" i="15"/>
  <c r="KG112" i="15"/>
  <c r="KH111" i="15"/>
  <c r="KF114" i="15"/>
  <c r="MK112" i="15"/>
  <c r="ML111" i="15"/>
  <c r="HU112" i="15"/>
  <c r="HV111" i="15"/>
  <c r="KV114" i="15"/>
  <c r="MV114" i="15"/>
  <c r="SS112" i="15"/>
  <c r="ST111" i="15"/>
  <c r="JU112" i="15"/>
  <c r="JV111" i="15"/>
  <c r="CV114" i="15"/>
  <c r="AN114" i="15"/>
  <c r="CJ114" i="15"/>
  <c r="PL113" i="15"/>
  <c r="RT114" i="15"/>
  <c r="FX114" i="15"/>
  <c r="QC112" i="15"/>
  <c r="QD111" i="15"/>
  <c r="QZ114" i="15"/>
  <c r="JT114" i="15"/>
  <c r="NU112" i="15"/>
  <c r="NV111" i="15"/>
  <c r="HT114" i="15"/>
  <c r="AP112" i="15"/>
  <c r="MN114" i="15"/>
  <c r="DE112" i="15"/>
  <c r="DF111" i="15"/>
  <c r="PM112" i="15"/>
  <c r="QG112" i="15"/>
  <c r="QH111" i="15"/>
  <c r="PD114" i="15"/>
  <c r="FE113" i="15"/>
  <c r="FF113" i="15" s="1"/>
  <c r="DU112" i="15"/>
  <c r="DV111" i="15"/>
  <c r="NX114" i="15"/>
  <c r="PX114" i="15"/>
  <c r="RX114" i="15"/>
  <c r="PQ112" i="15"/>
  <c r="PR111" i="15"/>
  <c r="IV114" i="15"/>
  <c r="PT114" i="15"/>
  <c r="FA112" i="15"/>
  <c r="FB111" i="15"/>
  <c r="OV114" i="15"/>
  <c r="JL114" i="15"/>
  <c r="MW112" i="15"/>
  <c r="MX111" i="15"/>
  <c r="RQ112" i="15"/>
  <c r="RR111" i="15"/>
  <c r="KB114" i="15"/>
  <c r="JP114" i="15"/>
  <c r="BT113" i="15"/>
  <c r="IK112" i="15"/>
  <c r="IL111" i="15"/>
  <c r="KZ114" i="15"/>
  <c r="JX114" i="15"/>
  <c r="FH114" i="15"/>
  <c r="MZ113" i="15"/>
  <c r="RD114" i="15"/>
  <c r="GV114" i="15"/>
  <c r="DD114" i="15"/>
  <c r="LA112" i="15"/>
  <c r="LB111" i="15"/>
  <c r="ON114" i="15"/>
  <c r="HA112" i="15"/>
  <c r="HB111" i="15"/>
  <c r="EV114" i="15"/>
  <c r="NT114" i="15"/>
  <c r="OZ114" i="15"/>
  <c r="JZ112" i="15"/>
  <c r="MJ114" i="15"/>
  <c r="EN114" i="15"/>
  <c r="EF114" i="15"/>
  <c r="NH114" i="15"/>
  <c r="LM113" i="15"/>
  <c r="UC112" i="15"/>
  <c r="UD111" i="15"/>
  <c r="MR114" i="15"/>
  <c r="BU112" i="15"/>
  <c r="BV112" i="15" s="1"/>
  <c r="EW112" i="15"/>
  <c r="EX111" i="15"/>
  <c r="NQ112" i="15"/>
  <c r="NR111" i="15"/>
  <c r="DY112" i="15"/>
  <c r="DZ111" i="15"/>
  <c r="CR113" i="15"/>
  <c r="CZ114" i="15"/>
  <c r="KR114" i="15"/>
  <c r="NA112" i="15"/>
  <c r="NB112" i="15" s="1"/>
  <c r="JM113" i="15"/>
  <c r="JN113" i="15" s="1"/>
  <c r="TV112" i="15"/>
  <c r="QF114" i="15"/>
  <c r="UN114" i="15"/>
  <c r="DP114" i="15"/>
  <c r="UF114" i="15"/>
  <c r="AC113" i="15"/>
  <c r="DX114" i="15"/>
  <c r="QN114" i="15"/>
  <c r="SB114" i="15"/>
  <c r="NL114" i="15"/>
  <c r="LD114" i="15"/>
  <c r="TT114" i="15"/>
  <c r="Q112" i="15"/>
  <c r="R111" i="15"/>
  <c r="UP112" i="15"/>
  <c r="FD114" i="15"/>
  <c r="SF114" i="15"/>
  <c r="GG112" i="15"/>
  <c r="GH111" i="15"/>
  <c r="ND114" i="15"/>
  <c r="OB114" i="15"/>
  <c r="DA113" i="15"/>
  <c r="DB113" i="15" s="1"/>
  <c r="CF114" i="15"/>
  <c r="Y112" i="15"/>
  <c r="Z111" i="15"/>
  <c r="DT114" i="15"/>
  <c r="AF114" i="15"/>
  <c r="GJ114" i="15"/>
  <c r="UJ114" i="15"/>
  <c r="OJ114" i="15"/>
  <c r="LU112" i="15"/>
  <c r="LV111" i="15"/>
  <c r="CG112" i="15"/>
  <c r="CH111" i="15"/>
  <c r="GF114" i="15"/>
  <c r="LT114" i="15"/>
  <c r="TM112" i="15"/>
  <c r="TN111" i="15"/>
  <c r="DI112" i="15"/>
  <c r="DJ111" i="15"/>
  <c r="AH112" i="15"/>
  <c r="CN114" i="15"/>
  <c r="RU112" i="15"/>
  <c r="RV111" i="15"/>
  <c r="DQ113" i="15"/>
  <c r="BP114" i="15"/>
  <c r="RM112" i="15"/>
  <c r="RN111" i="15"/>
  <c r="PH114" i="15"/>
  <c r="PI114" i="15" s="1"/>
  <c r="PJ113" i="15"/>
  <c r="OO112" i="15"/>
  <c r="OP111" i="15"/>
  <c r="GP112" i="15"/>
  <c r="EC112" i="15"/>
  <c r="ED111" i="15"/>
  <c r="ES112" i="15"/>
  <c r="ET111" i="15"/>
  <c r="HI112" i="15"/>
  <c r="HJ111" i="15"/>
  <c r="GZ114" i="15"/>
  <c r="NI112" i="15"/>
  <c r="NJ111" i="15"/>
  <c r="LR112" i="15"/>
  <c r="BQ113" i="15"/>
  <c r="BR113" i="15" s="1"/>
  <c r="IB114" i="15"/>
  <c r="OW112" i="15"/>
  <c r="OX111" i="15"/>
  <c r="MS112" i="15"/>
  <c r="MT111" i="15"/>
  <c r="CB113" i="15"/>
  <c r="BH114" i="15"/>
  <c r="GN114" i="15"/>
  <c r="X114" i="15"/>
  <c r="OS112" i="15"/>
  <c r="OT111" i="15"/>
  <c r="IN114" i="15"/>
  <c r="KJ114" i="15"/>
  <c r="IW112" i="15"/>
  <c r="IX111" i="15"/>
  <c r="LP114" i="15"/>
  <c r="HH114" i="15"/>
  <c r="RY112" i="15"/>
  <c r="RZ111" i="15"/>
  <c r="QB114" i="15"/>
  <c r="BD114" i="15"/>
  <c r="BM112" i="15"/>
  <c r="BN111" i="15"/>
  <c r="NY112" i="15"/>
  <c r="NZ111" i="15"/>
  <c r="T114" i="15"/>
  <c r="TE112" i="15"/>
  <c r="TF111" i="15"/>
  <c r="TZ112" i="15"/>
  <c r="GW113" i="15"/>
  <c r="QK112" i="15"/>
  <c r="QL111" i="15"/>
  <c r="UG112" i="15"/>
  <c r="UH111" i="15"/>
  <c r="BI113" i="15"/>
  <c r="SV114" i="15"/>
  <c r="LH114" i="15"/>
  <c r="CS112" i="15"/>
  <c r="AR114" i="15"/>
  <c r="CW112" i="15"/>
  <c r="CX111" i="15"/>
  <c r="UR114" i="15"/>
  <c r="D114" i="15"/>
  <c r="PE113" i="15"/>
  <c r="MF114" i="15"/>
  <c r="H113" i="15"/>
  <c r="IO112" i="15"/>
  <c r="IP111" i="15"/>
  <c r="SJ114" i="15"/>
  <c r="SL113" i="15"/>
  <c r="RE113" i="15"/>
  <c r="TX114" i="15"/>
  <c r="CC112" i="15"/>
  <c r="SN114" i="15"/>
  <c r="M112" i="15"/>
  <c r="N111" i="15"/>
  <c r="SC112" i="15"/>
  <c r="SD111" i="15"/>
  <c r="LE112" i="15"/>
  <c r="LF111" i="15"/>
  <c r="LJ112" i="15"/>
  <c r="TH114" i="15"/>
  <c r="RA112" i="15"/>
  <c r="RB111" i="15"/>
  <c r="L114" i="15"/>
  <c r="SR114" i="15"/>
  <c r="OC112" i="15"/>
  <c r="OD111" i="15"/>
  <c r="PU112" i="15"/>
  <c r="PV111" i="15"/>
  <c r="FY113" i="15"/>
  <c r="FZ113" i="15" s="1"/>
  <c r="OR114" i="15"/>
  <c r="TD114" i="15"/>
  <c r="TL114" i="15"/>
  <c r="RJ113" i="15"/>
  <c r="RH114" i="15"/>
  <c r="RI114" i="15" s="1"/>
  <c r="IJ114" i="15"/>
  <c r="AW112" i="15"/>
  <c r="AX111" i="15"/>
  <c r="FN113" i="15"/>
  <c r="FL114" i="15"/>
  <c r="HL114" i="15"/>
  <c r="JD114" i="15"/>
  <c r="IH112" i="15"/>
  <c r="KN114" i="15"/>
  <c r="SP112" i="15"/>
  <c r="BE113" i="15"/>
  <c r="BF113" i="15" s="1"/>
  <c r="QO113" i="15"/>
  <c r="QP113" i="15" s="1"/>
  <c r="NE112" i="15"/>
  <c r="NF111" i="15"/>
  <c r="FT114" i="15"/>
  <c r="EJ114" i="15"/>
  <c r="GR114" i="15"/>
  <c r="GS114" i="15" s="1"/>
  <c r="GT113" i="15"/>
  <c r="QJ114" i="15"/>
  <c r="TA112" i="15"/>
  <c r="TB111" i="15"/>
  <c r="GB114" i="15"/>
  <c r="KP112" i="15"/>
  <c r="FI113" i="15"/>
  <c r="HP114" i="15"/>
  <c r="HQ114" i="15" s="1"/>
  <c r="FQ112" i="15"/>
  <c r="FR111" i="15"/>
  <c r="OF113" i="15"/>
  <c r="QV114" i="15"/>
  <c r="QX113" i="15"/>
  <c r="IF114" i="15"/>
  <c r="UB114" i="15"/>
  <c r="HX114" i="15"/>
  <c r="BX114" i="15"/>
  <c r="NM112" i="15"/>
  <c r="NN111" i="15"/>
  <c r="AJ114" i="15"/>
  <c r="IZ114" i="15"/>
  <c r="FU113" i="15"/>
  <c r="FV113" i="15" s="1"/>
  <c r="RL114" i="15"/>
  <c r="KC112" i="15"/>
  <c r="KD111" i="15"/>
  <c r="PA112" i="15"/>
  <c r="PB111" i="15"/>
  <c r="JQ112" i="15"/>
  <c r="JR111" i="15"/>
  <c r="BL114" i="15"/>
  <c r="QR114" i="15"/>
  <c r="QS114" i="15" s="1"/>
  <c r="TP114" i="15"/>
  <c r="JH114" i="15"/>
  <c r="ER114" i="15"/>
  <c r="NP114" i="15"/>
  <c r="PP114" i="15"/>
  <c r="DL114" i="15"/>
  <c r="UK112" i="15"/>
  <c r="UL111" i="15"/>
  <c r="AZ114" i="15"/>
  <c r="P114" i="15"/>
  <c r="TI112" i="15"/>
  <c r="TJ111" i="15"/>
  <c r="IR114" i="15"/>
  <c r="DH114" i="15"/>
  <c r="JI112" i="15"/>
  <c r="JJ111" i="15"/>
  <c r="JE112" i="15"/>
  <c r="JF111" i="15"/>
  <c r="GK112" i="15"/>
  <c r="GL111" i="15"/>
  <c r="EZ114" i="15"/>
  <c r="EB114" i="15"/>
  <c r="MB114" i="15"/>
  <c r="MD113" i="15"/>
  <c r="US112" i="15"/>
  <c r="UT111" i="15"/>
  <c r="FP114" i="15"/>
  <c r="FF112" i="15"/>
  <c r="HE113" i="15"/>
  <c r="AS112" i="15"/>
  <c r="AT111" i="15"/>
  <c r="EO113" i="15"/>
  <c r="F116" i="11"/>
  <c r="G116" i="11" s="1"/>
  <c r="F117" i="2"/>
  <c r="G117" i="2" s="1"/>
  <c r="E117" i="11"/>
  <c r="G115" i="11"/>
  <c r="E117" i="9"/>
  <c r="F116" i="9"/>
  <c r="E117" i="8"/>
  <c r="F116" i="8"/>
  <c r="E118" i="2"/>
  <c r="I113" i="15" l="1"/>
  <c r="J113" i="15" s="1"/>
  <c r="IC114" i="15"/>
  <c r="EG114" i="15"/>
  <c r="EH114" i="15" s="1"/>
  <c r="QW114" i="15"/>
  <c r="E114" i="15"/>
  <c r="F114" i="15" s="1"/>
  <c r="U114" i="15"/>
  <c r="V114" i="15" s="1"/>
  <c r="DM114" i="15"/>
  <c r="DN114" i="15" s="1"/>
  <c r="DQ114" i="15"/>
  <c r="DR114" i="15" s="1"/>
  <c r="HY114" i="15"/>
  <c r="HZ114" i="15" s="1"/>
  <c r="SW114" i="15"/>
  <c r="SX114" i="15" s="1"/>
  <c r="OG113" i="15"/>
  <c r="OH113" i="15" s="1"/>
  <c r="KK114" i="15"/>
  <c r="KL114" i="15" s="1"/>
  <c r="JY114" i="15"/>
  <c r="JZ114" i="15" s="1"/>
  <c r="TY114" i="15"/>
  <c r="TZ114" i="15" s="1"/>
  <c r="BA114" i="15"/>
  <c r="BB114" i="15" s="1"/>
  <c r="IG114" i="15"/>
  <c r="IH114" i="15" s="1"/>
  <c r="RE114" i="15"/>
  <c r="RF114" i="15" s="1"/>
  <c r="JA114" i="15"/>
  <c r="JB114" i="15" s="1"/>
  <c r="FI114" i="15"/>
  <c r="FJ114" i="15" s="1"/>
  <c r="LM114" i="15"/>
  <c r="LN114" i="15" s="1"/>
  <c r="SG114" i="15"/>
  <c r="SH114" i="15" s="1"/>
  <c r="UO114" i="15"/>
  <c r="UP114" i="15" s="1"/>
  <c r="KO114" i="15"/>
  <c r="KP114" i="15" s="1"/>
  <c r="GW114" i="15"/>
  <c r="GX114" i="15" s="1"/>
  <c r="HE114" i="15"/>
  <c r="HF114" i="15" s="1"/>
  <c r="AC114" i="15"/>
  <c r="AD114" i="15" s="1"/>
  <c r="CC113" i="15"/>
  <c r="CD113" i="15" s="1"/>
  <c r="BI114" i="15"/>
  <c r="BJ114" i="15" s="1"/>
  <c r="LQ114" i="15"/>
  <c r="LR114" i="15" s="1"/>
  <c r="PE114" i="15"/>
  <c r="PF114" i="15" s="1"/>
  <c r="LY114" i="15"/>
  <c r="LZ114" i="15" s="1"/>
  <c r="PM113" i="15"/>
  <c r="PN113" i="15" s="1"/>
  <c r="BU113" i="15"/>
  <c r="BV113" i="15" s="1"/>
  <c r="EO114" i="15"/>
  <c r="EP114" i="15" s="1"/>
  <c r="CS113" i="15"/>
  <c r="CT113" i="15" s="1"/>
  <c r="BL115" i="15"/>
  <c r="BP115" i="15"/>
  <c r="LU113" i="15"/>
  <c r="LV112" i="15"/>
  <c r="LA113" i="15"/>
  <c r="LB112" i="15"/>
  <c r="MN115" i="15"/>
  <c r="CJ115" i="15"/>
  <c r="KF115" i="15"/>
  <c r="SZ115" i="15"/>
  <c r="SN115" i="15"/>
  <c r="GG113" i="15"/>
  <c r="GH112" i="15"/>
  <c r="DX115" i="15"/>
  <c r="CZ115" i="15"/>
  <c r="NH115" i="15"/>
  <c r="JP115" i="15"/>
  <c r="PQ113" i="15"/>
  <c r="PR112" i="15"/>
  <c r="HL115" i="15"/>
  <c r="EB115" i="15"/>
  <c r="GZ115" i="15"/>
  <c r="OJ115" i="15"/>
  <c r="CT112" i="15"/>
  <c r="EF115" i="15"/>
  <c r="DD115" i="15"/>
  <c r="KB115" i="15"/>
  <c r="RX115" i="15"/>
  <c r="HT115" i="15"/>
  <c r="LN113" i="15"/>
  <c r="OC113" i="15"/>
  <c r="OD112" i="15"/>
  <c r="LH115" i="15"/>
  <c r="BM113" i="15"/>
  <c r="BN112" i="15"/>
  <c r="X115" i="15"/>
  <c r="RU113" i="15"/>
  <c r="RV112" i="15"/>
  <c r="SF115" i="15"/>
  <c r="CR114" i="15"/>
  <c r="AN115" i="15"/>
  <c r="KG113" i="15"/>
  <c r="KH112" i="15"/>
  <c r="LL115" i="15"/>
  <c r="JQ113" i="15"/>
  <c r="JR112" i="15"/>
  <c r="SR115" i="15"/>
  <c r="CN115" i="15"/>
  <c r="UJ115" i="15"/>
  <c r="EP113" i="15"/>
  <c r="GV115" i="15"/>
  <c r="MK113" i="15"/>
  <c r="ML112" i="15"/>
  <c r="AR115" i="15"/>
  <c r="PA113" i="15"/>
  <c r="PB112" i="15"/>
  <c r="EZ115" i="15"/>
  <c r="EJ115" i="15"/>
  <c r="AW113" i="15"/>
  <c r="AX112" i="15"/>
  <c r="L115" i="15"/>
  <c r="BD115" i="15"/>
  <c r="GN115" i="15"/>
  <c r="UF115" i="15"/>
  <c r="EN115" i="15"/>
  <c r="GX113" i="15"/>
  <c r="PX115" i="15"/>
  <c r="NU113" i="15"/>
  <c r="NV112" i="15"/>
  <c r="BY113" i="15"/>
  <c r="BZ112" i="15"/>
  <c r="LX115" i="15"/>
  <c r="TA113" i="15"/>
  <c r="TB112" i="15"/>
  <c r="UK113" i="15"/>
  <c r="UL112" i="15"/>
  <c r="PP115" i="15"/>
  <c r="LI114" i="15"/>
  <c r="QV115" i="15"/>
  <c r="QW115" i="15" s="1"/>
  <c r="QX114" i="15"/>
  <c r="SJ115" i="15"/>
  <c r="SV115" i="15"/>
  <c r="BJ113" i="15"/>
  <c r="HI113" i="15"/>
  <c r="HJ112" i="15"/>
  <c r="GJ115" i="15"/>
  <c r="FD115" i="15"/>
  <c r="DY113" i="15"/>
  <c r="DZ112" i="15"/>
  <c r="MJ115" i="15"/>
  <c r="RF113" i="15"/>
  <c r="RQ113" i="15"/>
  <c r="RR112" i="15"/>
  <c r="NX115" i="15"/>
  <c r="CV115" i="15"/>
  <c r="QJ115" i="15"/>
  <c r="IJ115" i="15"/>
  <c r="QB115" i="15"/>
  <c r="BH115" i="15"/>
  <c r="AF115" i="15"/>
  <c r="DR113" i="15"/>
  <c r="RD115" i="15"/>
  <c r="JT115" i="15"/>
  <c r="TQ113" i="15"/>
  <c r="TR112" i="15"/>
  <c r="GC113" i="15"/>
  <c r="GD112" i="15"/>
  <c r="TX115" i="15"/>
  <c r="RA113" i="15"/>
  <c r="RB112" i="15"/>
  <c r="IO113" i="15"/>
  <c r="IP112" i="15"/>
  <c r="CD112" i="15"/>
  <c r="ES113" i="15"/>
  <c r="ET112" i="15"/>
  <c r="DI113" i="15"/>
  <c r="DJ112" i="15"/>
  <c r="DP115" i="15"/>
  <c r="NQ113" i="15"/>
  <c r="NR112" i="15"/>
  <c r="MZ114" i="15"/>
  <c r="MW113" i="15"/>
  <c r="MX112" i="15"/>
  <c r="JU113" i="15"/>
  <c r="JV112" i="15"/>
  <c r="CK114" i="15"/>
  <c r="RY113" i="15"/>
  <c r="RZ112" i="15"/>
  <c r="CB114" i="15"/>
  <c r="OZ115" i="15"/>
  <c r="DU113" i="15"/>
  <c r="DV112" i="15"/>
  <c r="QZ115" i="15"/>
  <c r="EK114" i="15"/>
  <c r="KW113" i="15"/>
  <c r="KX112" i="15"/>
  <c r="FL115" i="15"/>
  <c r="FU114" i="15"/>
  <c r="FV114" i="15" s="1"/>
  <c r="H114" i="15"/>
  <c r="HH115" i="15"/>
  <c r="EC113" i="15"/>
  <c r="ED112" i="15"/>
  <c r="TM113" i="15"/>
  <c r="TN112" i="15"/>
  <c r="DT115" i="15"/>
  <c r="Q113" i="15"/>
  <c r="R112" i="15"/>
  <c r="UN115" i="15"/>
  <c r="EW113" i="15"/>
  <c r="EX112" i="15"/>
  <c r="FH115" i="15"/>
  <c r="JL115" i="15"/>
  <c r="HF113" i="15"/>
  <c r="AZ115" i="15"/>
  <c r="NE113" i="15"/>
  <c r="NF112" i="15"/>
  <c r="JI113" i="15"/>
  <c r="JJ112" i="15"/>
  <c r="MF115" i="15"/>
  <c r="QK113" i="15"/>
  <c r="QL112" i="15"/>
  <c r="MS113" i="15"/>
  <c r="MT112" i="15"/>
  <c r="LT115" i="15"/>
  <c r="TT115" i="15"/>
  <c r="NT115" i="15"/>
  <c r="FJ113" i="15"/>
  <c r="FE114" i="15"/>
  <c r="FF114" i="15" s="1"/>
  <c r="SS113" i="15"/>
  <c r="ST112" i="15"/>
  <c r="HD115" i="15"/>
  <c r="MB115" i="15"/>
  <c r="KC113" i="15"/>
  <c r="KD112" i="15"/>
  <c r="RH115" i="15"/>
  <c r="RJ114" i="15"/>
  <c r="JE113" i="15"/>
  <c r="JF112" i="15"/>
  <c r="LP115" i="15"/>
  <c r="Y113" i="15"/>
  <c r="Z112" i="15"/>
  <c r="QF115" i="15"/>
  <c r="OV115" i="15"/>
  <c r="PD115" i="15"/>
  <c r="QC113" i="15"/>
  <c r="QD112" i="15"/>
  <c r="AV115" i="15"/>
  <c r="CW113" i="15"/>
  <c r="CX112" i="15"/>
  <c r="NI113" i="15"/>
  <c r="NJ112" i="15"/>
  <c r="GR115" i="15"/>
  <c r="GS115" i="15" s="1"/>
  <c r="GT114" i="15"/>
  <c r="UG113" i="15"/>
  <c r="UH112" i="15"/>
  <c r="MC114" i="15"/>
  <c r="MD114" i="15" s="1"/>
  <c r="DH115" i="15"/>
  <c r="OW113" i="15"/>
  <c r="OX112" i="15"/>
  <c r="OO113" i="15"/>
  <c r="OP112" i="15"/>
  <c r="SO114" i="15"/>
  <c r="MR115" i="15"/>
  <c r="EV115" i="15"/>
  <c r="JX115" i="15"/>
  <c r="PF113" i="15"/>
  <c r="MV115" i="15"/>
  <c r="PY114" i="15"/>
  <c r="PZ114" i="15" s="1"/>
  <c r="QN115" i="15"/>
  <c r="HX115" i="15"/>
  <c r="UB115" i="15"/>
  <c r="TH115" i="15"/>
  <c r="FQ113" i="15"/>
  <c r="FR112" i="15"/>
  <c r="IZ115" i="15"/>
  <c r="TD115" i="15"/>
  <c r="LD115" i="15"/>
  <c r="MO114" i="15"/>
  <c r="FX115" i="15"/>
  <c r="KV115" i="15"/>
  <c r="OK114" i="15"/>
  <c r="IF115" i="15"/>
  <c r="NP115" i="15"/>
  <c r="HR114" i="15"/>
  <c r="HP115" i="15"/>
  <c r="TP115" i="15"/>
  <c r="DA114" i="15"/>
  <c r="FM114" i="15"/>
  <c r="KZ115" i="15"/>
  <c r="FA113" i="15"/>
  <c r="FB112" i="15"/>
  <c r="QG113" i="15"/>
  <c r="QH112" i="15"/>
  <c r="RT115" i="15"/>
  <c r="AB115" i="15"/>
  <c r="SK114" i="15"/>
  <c r="US113" i="15"/>
  <c r="UT112" i="15"/>
  <c r="OF114" i="15"/>
  <c r="TL115" i="15"/>
  <c r="LE113" i="15"/>
  <c r="LF112" i="15"/>
  <c r="GO114" i="15"/>
  <c r="GP114" i="15" s="1"/>
  <c r="IR115" i="15"/>
  <c r="D115" i="15"/>
  <c r="IW113" i="15"/>
  <c r="IX112" i="15"/>
  <c r="GF115" i="15"/>
  <c r="NL115" i="15"/>
  <c r="NM113" i="15"/>
  <c r="NN112" i="15"/>
  <c r="SC113" i="15"/>
  <c r="SD112" i="15"/>
  <c r="UR115" i="15"/>
  <c r="T115" i="15"/>
  <c r="IB115" i="15"/>
  <c r="ID114" i="15"/>
  <c r="PJ114" i="15"/>
  <c r="PH115" i="15"/>
  <c r="PI115" i="15" s="1"/>
  <c r="NA113" i="15"/>
  <c r="AO114" i="15"/>
  <c r="HA113" i="15"/>
  <c r="HB112" i="15"/>
  <c r="AD113" i="15"/>
  <c r="MG114" i="15"/>
  <c r="PU113" i="15"/>
  <c r="PV112" i="15"/>
  <c r="OS113" i="15"/>
  <c r="OT112" i="15"/>
  <c r="DL115" i="15"/>
  <c r="GK113" i="15"/>
  <c r="GL112" i="15"/>
  <c r="ER115" i="15"/>
  <c r="QO114" i="15"/>
  <c r="QP114" i="15" s="1"/>
  <c r="JH115" i="15"/>
  <c r="AJ115" i="15"/>
  <c r="CF115" i="15"/>
  <c r="OR115" i="15"/>
  <c r="GB115" i="15"/>
  <c r="FY114" i="15"/>
  <c r="KJ115" i="15"/>
  <c r="OB115" i="15"/>
  <c r="SB115" i="15"/>
  <c r="IS114" i="15"/>
  <c r="ON115" i="15"/>
  <c r="IK113" i="15"/>
  <c r="IL112" i="15"/>
  <c r="PT115" i="15"/>
  <c r="PL114" i="15"/>
  <c r="HU113" i="15"/>
  <c r="HV112" i="15"/>
  <c r="HM114" i="15"/>
  <c r="CO114" i="15"/>
  <c r="NY113" i="15"/>
  <c r="NZ112" i="15"/>
  <c r="FT115" i="15"/>
  <c r="RL115" i="15"/>
  <c r="BE114" i="15"/>
  <c r="BF114" i="15" s="1"/>
  <c r="AS113" i="15"/>
  <c r="AT112" i="15"/>
  <c r="KN115" i="15"/>
  <c r="AK114" i="15"/>
  <c r="AG114" i="15"/>
  <c r="TE113" i="15"/>
  <c r="TF112" i="15"/>
  <c r="JM114" i="15"/>
  <c r="FP115" i="15"/>
  <c r="QR115" i="15"/>
  <c r="QS115" i="15" s="1"/>
  <c r="QT114" i="15"/>
  <c r="TI113" i="15"/>
  <c r="TJ112" i="15"/>
  <c r="P115" i="15"/>
  <c r="BX115" i="15"/>
  <c r="JD115" i="15"/>
  <c r="M113" i="15"/>
  <c r="N112" i="15"/>
  <c r="TU114" i="15"/>
  <c r="IN115" i="15"/>
  <c r="BQ114" i="15"/>
  <c r="RM113" i="15"/>
  <c r="RN112" i="15"/>
  <c r="CG113" i="15"/>
  <c r="CH112" i="15"/>
  <c r="ND115" i="15"/>
  <c r="KR115" i="15"/>
  <c r="UC113" i="15"/>
  <c r="UD112" i="15"/>
  <c r="BT114" i="15"/>
  <c r="IV115" i="15"/>
  <c r="DE113" i="15"/>
  <c r="DF112" i="15"/>
  <c r="PN112" i="15"/>
  <c r="RP115" i="15"/>
  <c r="KS114" i="15"/>
  <c r="KT114" i="15" s="1"/>
  <c r="F117" i="8"/>
  <c r="G117" i="8" s="1"/>
  <c r="F117" i="9"/>
  <c r="G117" i="9" s="1"/>
  <c r="E118" i="11"/>
  <c r="F117" i="11"/>
  <c r="G116" i="10"/>
  <c r="G117" i="10"/>
  <c r="G116" i="9"/>
  <c r="E118" i="9"/>
  <c r="G116" i="8"/>
  <c r="E118" i="8"/>
  <c r="E119" i="2"/>
  <c r="F118" i="2"/>
  <c r="E115" i="15" l="1"/>
  <c r="SW115" i="15"/>
  <c r="BQ115" i="15"/>
  <c r="EO115" i="15"/>
  <c r="EP115" i="15" s="1"/>
  <c r="FI115" i="15"/>
  <c r="FJ115" i="15" s="1"/>
  <c r="KK115" i="15"/>
  <c r="KL115" i="15" s="1"/>
  <c r="LQ115" i="15"/>
  <c r="LR115" i="15" s="1"/>
  <c r="KO115" i="15"/>
  <c r="KP115" i="15" s="1"/>
  <c r="IG115" i="15"/>
  <c r="IH115" i="15" s="1"/>
  <c r="NA114" i="15"/>
  <c r="NB114" i="15" s="1"/>
  <c r="EK115" i="15"/>
  <c r="EL115" i="15" s="1"/>
  <c r="UO115" i="15"/>
  <c r="UP115" i="15" s="1"/>
  <c r="PE115" i="15"/>
  <c r="PF115" i="15" s="1"/>
  <c r="MO115" i="15"/>
  <c r="MP115" i="15" s="1"/>
  <c r="TY115" i="15"/>
  <c r="TZ115" i="15" s="1"/>
  <c r="CC114" i="15"/>
  <c r="CD114" i="15" s="1"/>
  <c r="HM115" i="15"/>
  <c r="HN115" i="15" s="1"/>
  <c r="AC115" i="15"/>
  <c r="AD115" i="15" s="1"/>
  <c r="CO115" i="15"/>
  <c r="SK115" i="15"/>
  <c r="SL115" i="15" s="1"/>
  <c r="SO115" i="15"/>
  <c r="SP115" i="15" s="1"/>
  <c r="CS114" i="15"/>
  <c r="CT114" i="15" s="1"/>
  <c r="LY115" i="15"/>
  <c r="LZ115" i="15" s="1"/>
  <c r="CK115" i="15"/>
  <c r="CL115" i="15" s="1"/>
  <c r="AG115" i="15"/>
  <c r="TU115" i="15"/>
  <c r="TV115" i="15" s="1"/>
  <c r="JM115" i="15"/>
  <c r="JN115" i="15" s="1"/>
  <c r="AO115" i="15"/>
  <c r="AP115" i="15" s="1"/>
  <c r="FM115" i="15"/>
  <c r="FN115" i="15" s="1"/>
  <c r="DA115" i="15"/>
  <c r="DB115" i="15" s="1"/>
  <c r="MG115" i="15"/>
  <c r="MH115" i="15" s="1"/>
  <c r="LI115" i="15"/>
  <c r="LJ115" i="15" s="1"/>
  <c r="IS115" i="15"/>
  <c r="IT115" i="15" s="1"/>
  <c r="NB113" i="15"/>
  <c r="OK115" i="15"/>
  <c r="OL115" i="15" s="1"/>
  <c r="FY115" i="15"/>
  <c r="FZ115" i="15" s="1"/>
  <c r="JE114" i="15"/>
  <c r="JF113" i="15"/>
  <c r="LT116" i="15"/>
  <c r="EW114" i="15"/>
  <c r="EX113" i="15"/>
  <c r="KW114" i="15"/>
  <c r="KX113" i="15"/>
  <c r="JT116" i="15"/>
  <c r="RQ114" i="15"/>
  <c r="RR113" i="15"/>
  <c r="GN116" i="15"/>
  <c r="KB116" i="15"/>
  <c r="NH116" i="15"/>
  <c r="LA114" i="15"/>
  <c r="LB113" i="15"/>
  <c r="BX116" i="15"/>
  <c r="NQ114" i="15"/>
  <c r="NR113" i="15"/>
  <c r="RD116" i="15"/>
  <c r="PP116" i="15"/>
  <c r="DD116" i="15"/>
  <c r="IB116" i="15"/>
  <c r="IC115" i="15"/>
  <c r="RH116" i="15"/>
  <c r="MS114" i="15"/>
  <c r="MT113" i="15"/>
  <c r="UN116" i="15"/>
  <c r="QZ116" i="15"/>
  <c r="BD116" i="15"/>
  <c r="UJ116" i="15"/>
  <c r="SF116" i="15"/>
  <c r="CZ116" i="15"/>
  <c r="LU114" i="15"/>
  <c r="LV113" i="15"/>
  <c r="UR116" i="15"/>
  <c r="TL116" i="15"/>
  <c r="EV116" i="15"/>
  <c r="DP116" i="15"/>
  <c r="MJ116" i="15"/>
  <c r="UK114" i="15"/>
  <c r="UL113" i="15"/>
  <c r="EF116" i="15"/>
  <c r="DB114" i="15"/>
  <c r="BR114" i="15"/>
  <c r="T116" i="15"/>
  <c r="OB116" i="15"/>
  <c r="KJ116" i="15"/>
  <c r="DL116" i="15"/>
  <c r="TP116" i="15"/>
  <c r="IZ116" i="15"/>
  <c r="AV116" i="15"/>
  <c r="KC114" i="15"/>
  <c r="KD113" i="15"/>
  <c r="QK114" i="15"/>
  <c r="QL113" i="15"/>
  <c r="Q114" i="15"/>
  <c r="R113" i="15"/>
  <c r="AH114" i="15"/>
  <c r="L116" i="15"/>
  <c r="CN116" i="15"/>
  <c r="RU114" i="15"/>
  <c r="RV113" i="15"/>
  <c r="BR115" i="15"/>
  <c r="BP116" i="15"/>
  <c r="BQ116" i="15" s="1"/>
  <c r="JX116" i="15"/>
  <c r="NY114" i="15"/>
  <c r="NZ113" i="15"/>
  <c r="SC114" i="15"/>
  <c r="SD113" i="15"/>
  <c r="HP116" i="15"/>
  <c r="MR116" i="15"/>
  <c r="MH114" i="15"/>
  <c r="DT116" i="15"/>
  <c r="DU114" i="15"/>
  <c r="DV113" i="15"/>
  <c r="DI114" i="15"/>
  <c r="DJ113" i="15"/>
  <c r="AF116" i="15"/>
  <c r="DY114" i="15"/>
  <c r="DZ113" i="15"/>
  <c r="TA114" i="15"/>
  <c r="TB113" i="15"/>
  <c r="CP114" i="15"/>
  <c r="X116" i="15"/>
  <c r="DX116" i="15"/>
  <c r="BL116" i="15"/>
  <c r="KZ116" i="15"/>
  <c r="GK114" i="15"/>
  <c r="GL113" i="15"/>
  <c r="OS114" i="15"/>
  <c r="OT113" i="15"/>
  <c r="OF115" i="15"/>
  <c r="FQ114" i="15"/>
  <c r="FR113" i="15"/>
  <c r="QC114" i="15"/>
  <c r="QD113" i="15"/>
  <c r="MB116" i="15"/>
  <c r="MF116" i="15"/>
  <c r="OZ116" i="15"/>
  <c r="LX116" i="15"/>
  <c r="AW114" i="15"/>
  <c r="AX113" i="15"/>
  <c r="JA115" i="15"/>
  <c r="JB115" i="15" s="1"/>
  <c r="OL114" i="15"/>
  <c r="ER116" i="15"/>
  <c r="GB116" i="15"/>
  <c r="NM114" i="15"/>
  <c r="NN113" i="15"/>
  <c r="TH116" i="15"/>
  <c r="U115" i="15"/>
  <c r="V115" i="15" s="1"/>
  <c r="ES114" i="15"/>
  <c r="ET113" i="15"/>
  <c r="BH116" i="15"/>
  <c r="FD116" i="15"/>
  <c r="EL114" i="15"/>
  <c r="RE115" i="15"/>
  <c r="RF115" i="15" s="1"/>
  <c r="OJ116" i="15"/>
  <c r="GG114" i="15"/>
  <c r="GH113" i="15"/>
  <c r="DM115" i="15"/>
  <c r="NP116" i="15"/>
  <c r="OO114" i="15"/>
  <c r="OP113" i="15"/>
  <c r="PD116" i="15"/>
  <c r="JI114" i="15"/>
  <c r="JJ113" i="15"/>
  <c r="TM114" i="15"/>
  <c r="TN113" i="15"/>
  <c r="QB116" i="15"/>
  <c r="EJ116" i="15"/>
  <c r="SR116" i="15"/>
  <c r="BM114" i="15"/>
  <c r="BN113" i="15"/>
  <c r="DQ115" i="15"/>
  <c r="LE114" i="15"/>
  <c r="LF113" i="15"/>
  <c r="KR116" i="15"/>
  <c r="OR116" i="15"/>
  <c r="OV116" i="15"/>
  <c r="HD116" i="15"/>
  <c r="GJ116" i="15"/>
  <c r="BY114" i="15"/>
  <c r="BZ113" i="15"/>
  <c r="LJ114" i="15"/>
  <c r="GZ116" i="15"/>
  <c r="SP114" i="15"/>
  <c r="SB116" i="15"/>
  <c r="NI114" i="15"/>
  <c r="NJ113" i="15"/>
  <c r="UB116" i="15"/>
  <c r="OW114" i="15"/>
  <c r="OX113" i="15"/>
  <c r="NE114" i="15"/>
  <c r="NF113" i="15"/>
  <c r="EC114" i="15"/>
  <c r="ED113" i="15"/>
  <c r="CB115" i="15"/>
  <c r="IO114" i="15"/>
  <c r="IP113" i="15"/>
  <c r="BI115" i="15"/>
  <c r="BJ115" i="15" s="1"/>
  <c r="EZ116" i="15"/>
  <c r="LH116" i="15"/>
  <c r="SN116" i="15"/>
  <c r="FT116" i="15"/>
  <c r="ND116" i="15"/>
  <c r="PU114" i="15"/>
  <c r="PV113" i="15"/>
  <c r="HU114" i="15"/>
  <c r="HV113" i="15"/>
  <c r="PL115" i="15"/>
  <c r="PM114" i="15"/>
  <c r="GF116" i="15"/>
  <c r="AB116" i="15"/>
  <c r="QF116" i="15"/>
  <c r="SS114" i="15"/>
  <c r="ST113" i="15"/>
  <c r="AZ116" i="15"/>
  <c r="HH116" i="15"/>
  <c r="IJ116" i="15"/>
  <c r="HI114" i="15"/>
  <c r="HJ113" i="15"/>
  <c r="NU114" i="15"/>
  <c r="NV113" i="15"/>
  <c r="JQ114" i="15"/>
  <c r="JR113" i="15"/>
  <c r="TD116" i="15"/>
  <c r="QR116" i="15"/>
  <c r="QT115" i="15"/>
  <c r="RM114" i="15"/>
  <c r="RN113" i="15"/>
  <c r="HX116" i="15"/>
  <c r="DH116" i="15"/>
  <c r="FE115" i="15"/>
  <c r="FF115" i="15" s="1"/>
  <c r="RY114" i="15"/>
  <c r="RZ113" i="15"/>
  <c r="RA114" i="15"/>
  <c r="RB113" i="15"/>
  <c r="PA114" i="15"/>
  <c r="PB113" i="15"/>
  <c r="LL116" i="15"/>
  <c r="OC114" i="15"/>
  <c r="OD113" i="15"/>
  <c r="EB116" i="15"/>
  <c r="SZ116" i="15"/>
  <c r="HQ115" i="15"/>
  <c r="JP116" i="15"/>
  <c r="RL116" i="15"/>
  <c r="UC114" i="15"/>
  <c r="UD113" i="15"/>
  <c r="KS115" i="15"/>
  <c r="IW114" i="15"/>
  <c r="IX113" i="15"/>
  <c r="MC115" i="15"/>
  <c r="H115" i="15"/>
  <c r="TX116" i="15"/>
  <c r="SV116" i="15"/>
  <c r="SX115" i="15"/>
  <c r="PX116" i="15"/>
  <c r="BA115" i="15"/>
  <c r="HN114" i="15"/>
  <c r="KV116" i="15"/>
  <c r="QJ116" i="15"/>
  <c r="AR116" i="15"/>
  <c r="HL116" i="15"/>
  <c r="KF116" i="15"/>
  <c r="BT115" i="15"/>
  <c r="CW114" i="15"/>
  <c r="CX113" i="15"/>
  <c r="NL116" i="15"/>
  <c r="KN116" i="15"/>
  <c r="FU115" i="15"/>
  <c r="EN116" i="15"/>
  <c r="KG114" i="15"/>
  <c r="KH113" i="15"/>
  <c r="HT116" i="15"/>
  <c r="SG115" i="15"/>
  <c r="SH115" i="15" s="1"/>
  <c r="CL114" i="15"/>
  <c r="OG114" i="15"/>
  <c r="GV116" i="15"/>
  <c r="TI114" i="15"/>
  <c r="TJ113" i="15"/>
  <c r="FP116" i="15"/>
  <c r="US114" i="15"/>
  <c r="UT113" i="15"/>
  <c r="AJ116" i="15"/>
  <c r="PT116" i="15"/>
  <c r="F115" i="15"/>
  <c r="D116" i="15"/>
  <c r="E116" i="15" s="1"/>
  <c r="IK114" i="15"/>
  <c r="IL113" i="15"/>
  <c r="FZ114" i="15"/>
  <c r="JL116" i="15"/>
  <c r="SL114" i="15"/>
  <c r="DE114" i="15"/>
  <c r="DF113" i="15"/>
  <c r="M114" i="15"/>
  <c r="N113" i="15"/>
  <c r="JH116" i="15"/>
  <c r="PH116" i="15"/>
  <c r="PJ115" i="15"/>
  <c r="IR116" i="15"/>
  <c r="QG114" i="15"/>
  <c r="QH113" i="15"/>
  <c r="FX116" i="15"/>
  <c r="PY115" i="15"/>
  <c r="PZ115" i="15" s="1"/>
  <c r="BU114" i="15"/>
  <c r="BV114" i="15" s="1"/>
  <c r="JN114" i="15"/>
  <c r="FL116" i="15"/>
  <c r="GC114" i="15"/>
  <c r="GD113" i="15"/>
  <c r="CV116" i="15"/>
  <c r="SJ116" i="15"/>
  <c r="MK114" i="15"/>
  <c r="ML113" i="15"/>
  <c r="AP114" i="15"/>
  <c r="CJ116" i="15"/>
  <c r="RI115" i="15"/>
  <c r="CF116" i="15"/>
  <c r="TE114" i="15"/>
  <c r="TF113" i="15"/>
  <c r="IN116" i="15"/>
  <c r="AK115" i="15"/>
  <c r="AL115" i="15" s="1"/>
  <c r="HA114" i="15"/>
  <c r="HB113" i="15"/>
  <c r="HE115" i="15"/>
  <c r="HF115" i="15" s="1"/>
  <c r="RT116" i="15"/>
  <c r="Y114" i="15"/>
  <c r="Z113" i="15"/>
  <c r="UG114" i="15"/>
  <c r="UH113" i="15"/>
  <c r="LP116" i="15"/>
  <c r="AS114" i="15"/>
  <c r="AT113" i="15"/>
  <c r="ON116" i="15"/>
  <c r="IT114" i="15"/>
  <c r="GR116" i="15"/>
  <c r="GS116" i="15" s="1"/>
  <c r="GT115" i="15"/>
  <c r="GW115" i="15"/>
  <c r="TV114" i="15"/>
  <c r="FN114" i="15"/>
  <c r="MW114" i="15"/>
  <c r="MX113" i="15"/>
  <c r="JY115" i="15"/>
  <c r="AN116" i="15"/>
  <c r="RX116" i="15"/>
  <c r="PQ114" i="15"/>
  <c r="PR113" i="15"/>
  <c r="MP114" i="15"/>
  <c r="I114" i="15"/>
  <c r="CR115" i="15"/>
  <c r="P116" i="15"/>
  <c r="CG114" i="15"/>
  <c r="CH113" i="15"/>
  <c r="IF116" i="15"/>
  <c r="RP116" i="15"/>
  <c r="AL114" i="15"/>
  <c r="QN116" i="15"/>
  <c r="NT116" i="15"/>
  <c r="JU114" i="15"/>
  <c r="JV113" i="15"/>
  <c r="IV116" i="15"/>
  <c r="JD116" i="15"/>
  <c r="BE115" i="15"/>
  <c r="QO115" i="15"/>
  <c r="QP115" i="15" s="1"/>
  <c r="GO115" i="15"/>
  <c r="FA114" i="15"/>
  <c r="FB113" i="15"/>
  <c r="LD116" i="15"/>
  <c r="MV116" i="15"/>
  <c r="EG115" i="15"/>
  <c r="TT116" i="15"/>
  <c r="FH116" i="15"/>
  <c r="LM115" i="15"/>
  <c r="MZ115" i="15"/>
  <c r="TQ114" i="15"/>
  <c r="TR113" i="15"/>
  <c r="NX116" i="15"/>
  <c r="QV116" i="15"/>
  <c r="QW116" i="15" s="1"/>
  <c r="QX115" i="15"/>
  <c r="UF116" i="15"/>
  <c r="MN116" i="15"/>
  <c r="HY115" i="15"/>
  <c r="F118" i="11"/>
  <c r="G118" i="11" s="1"/>
  <c r="F119" i="2"/>
  <c r="G119" i="2" s="1"/>
  <c r="G117" i="11"/>
  <c r="E119" i="11"/>
  <c r="E119" i="9"/>
  <c r="F118" i="9"/>
  <c r="E119" i="8"/>
  <c r="F118" i="8"/>
  <c r="E120" i="2"/>
  <c r="G118" i="2"/>
  <c r="PE116" i="15" l="1"/>
  <c r="CO116" i="15"/>
  <c r="FI116" i="15"/>
  <c r="SW116" i="15"/>
  <c r="SX116" i="15" s="1"/>
  <c r="MC116" i="15"/>
  <c r="MD116" i="15" s="1"/>
  <c r="LQ116" i="15"/>
  <c r="LR116" i="15" s="1"/>
  <c r="SK116" i="15"/>
  <c r="SL116" i="15" s="1"/>
  <c r="TY116" i="15"/>
  <c r="TZ116" i="15" s="1"/>
  <c r="CC115" i="15"/>
  <c r="CD115" i="15" s="1"/>
  <c r="CP115" i="15"/>
  <c r="MO116" i="15"/>
  <c r="MP116" i="15" s="1"/>
  <c r="HM116" i="15"/>
  <c r="KK116" i="15"/>
  <c r="KL116" i="15" s="1"/>
  <c r="AG116" i="15"/>
  <c r="AH116" i="15" s="1"/>
  <c r="NA115" i="15"/>
  <c r="NB115" i="15" s="1"/>
  <c r="EK116" i="15"/>
  <c r="EL116" i="15" s="1"/>
  <c r="AH115" i="15"/>
  <c r="DQ116" i="15"/>
  <c r="DR116" i="15" s="1"/>
  <c r="JM116" i="15"/>
  <c r="JN116" i="15" s="1"/>
  <c r="DM116" i="15"/>
  <c r="DN116" i="15" s="1"/>
  <c r="RI116" i="15"/>
  <c r="RJ116" i="15" s="1"/>
  <c r="CK116" i="15"/>
  <c r="CL116" i="15" s="1"/>
  <c r="EG116" i="15"/>
  <c r="EH116" i="15" s="1"/>
  <c r="LY116" i="15"/>
  <c r="LZ116" i="15" s="1"/>
  <c r="FM116" i="15"/>
  <c r="FN116" i="15" s="1"/>
  <c r="TU116" i="15"/>
  <c r="TV116" i="15" s="1"/>
  <c r="OK116" i="15"/>
  <c r="OL116" i="15" s="1"/>
  <c r="OG115" i="15"/>
  <c r="OH115" i="15" s="1"/>
  <c r="BA116" i="15"/>
  <c r="BB116" i="15" s="1"/>
  <c r="LM116" i="15"/>
  <c r="LN116" i="15" s="1"/>
  <c r="HQ116" i="15"/>
  <c r="HR116" i="15" s="1"/>
  <c r="I115" i="15"/>
  <c r="J115" i="15" s="1"/>
  <c r="GO116" i="15"/>
  <c r="GP116" i="15" s="1"/>
  <c r="PM115" i="15"/>
  <c r="PN115" i="15" s="1"/>
  <c r="IC116" i="15"/>
  <c r="ID116" i="15" s="1"/>
  <c r="KS116" i="15"/>
  <c r="KT116" i="15" s="1"/>
  <c r="JY116" i="15"/>
  <c r="JZ116" i="15" s="1"/>
  <c r="HY116" i="15"/>
  <c r="HZ116" i="15" s="1"/>
  <c r="FU116" i="15"/>
  <c r="FV116" i="15" s="1"/>
  <c r="GW116" i="15"/>
  <c r="GX116" i="15" s="1"/>
  <c r="BE116" i="15"/>
  <c r="BF116" i="15" s="1"/>
  <c r="QJ117" i="15"/>
  <c r="GJ117" i="15"/>
  <c r="T117" i="15"/>
  <c r="CZ117" i="15"/>
  <c r="RQ115" i="15"/>
  <c r="RR114" i="15"/>
  <c r="IW115" i="15"/>
  <c r="IX114" i="15"/>
  <c r="RA115" i="15"/>
  <c r="RB114" i="15"/>
  <c r="HI115" i="15"/>
  <c r="HJ114" i="15"/>
  <c r="NE115" i="15"/>
  <c r="NF114" i="15"/>
  <c r="Q115" i="15"/>
  <c r="R114" i="15"/>
  <c r="JT117" i="15"/>
  <c r="LU115" i="15"/>
  <c r="LV114" i="15"/>
  <c r="IJ117" i="15"/>
  <c r="PU115" i="15"/>
  <c r="PV114" i="15"/>
  <c r="BH117" i="15"/>
  <c r="OZ117" i="15"/>
  <c r="BL117" i="15"/>
  <c r="MR117" i="15"/>
  <c r="PP117" i="15"/>
  <c r="NU115" i="15"/>
  <c r="NV114" i="15"/>
  <c r="FD117" i="15"/>
  <c r="KN117" i="15"/>
  <c r="RY115" i="15"/>
  <c r="RZ114" i="15"/>
  <c r="OW115" i="15"/>
  <c r="OX114" i="15"/>
  <c r="OV117" i="15"/>
  <c r="TM115" i="15"/>
  <c r="TN114" i="15"/>
  <c r="DX117" i="15"/>
  <c r="HR115" i="15"/>
  <c r="QK115" i="15"/>
  <c r="QL114" i="15"/>
  <c r="EH115" i="15"/>
  <c r="SF117" i="15"/>
  <c r="RD117" i="15"/>
  <c r="MV117" i="15"/>
  <c r="PH117" i="15"/>
  <c r="UC115" i="15"/>
  <c r="UD114" i="15"/>
  <c r="FE116" i="15"/>
  <c r="FF116" i="15" s="1"/>
  <c r="HH117" i="15"/>
  <c r="ND117" i="15"/>
  <c r="UB117" i="15"/>
  <c r="ES115" i="15"/>
  <c r="ET114" i="15"/>
  <c r="MF117" i="15"/>
  <c r="HP117" i="15"/>
  <c r="EF117" i="15"/>
  <c r="UJ117" i="15"/>
  <c r="KW115" i="15"/>
  <c r="KX114" i="15"/>
  <c r="PA115" i="15"/>
  <c r="PB114" i="15"/>
  <c r="AJ117" i="15"/>
  <c r="US115" i="15"/>
  <c r="UT114" i="15"/>
  <c r="RL117" i="15"/>
  <c r="FV115" i="15"/>
  <c r="OR117" i="15"/>
  <c r="JI115" i="15"/>
  <c r="JJ114" i="15"/>
  <c r="U116" i="15"/>
  <c r="MB117" i="15"/>
  <c r="X117" i="15"/>
  <c r="KC115" i="15"/>
  <c r="KD114" i="15"/>
  <c r="FH117" i="15"/>
  <c r="FJ116" i="15"/>
  <c r="LX117" i="15"/>
  <c r="NT117" i="15"/>
  <c r="MW115" i="15"/>
  <c r="MX114" i="15"/>
  <c r="RT117" i="15"/>
  <c r="JH117" i="15"/>
  <c r="FP117" i="15"/>
  <c r="DH117" i="15"/>
  <c r="BB115" i="15"/>
  <c r="FT117" i="15"/>
  <c r="MD115" i="15"/>
  <c r="SC115" i="15"/>
  <c r="SD114" i="15"/>
  <c r="AV117" i="15"/>
  <c r="UK115" i="15"/>
  <c r="UL114" i="15"/>
  <c r="BF115" i="15"/>
  <c r="NQ115" i="15"/>
  <c r="NR114" i="15"/>
  <c r="EW115" i="15"/>
  <c r="EX114" i="15"/>
  <c r="RP117" i="15"/>
  <c r="HZ115" i="15"/>
  <c r="AZ117" i="15"/>
  <c r="SN117" i="15"/>
  <c r="KR117" i="15"/>
  <c r="PD117" i="15"/>
  <c r="PE117" i="15" s="1"/>
  <c r="PF116" i="15"/>
  <c r="TH117" i="15"/>
  <c r="MJ117" i="15"/>
  <c r="BD117" i="15"/>
  <c r="KG115" i="15"/>
  <c r="KH114" i="15"/>
  <c r="UG115" i="15"/>
  <c r="UH114" i="15"/>
  <c r="JP117" i="15"/>
  <c r="HX117" i="15"/>
  <c r="KT115" i="15"/>
  <c r="QC115" i="15"/>
  <c r="QD114" i="15"/>
  <c r="NY115" i="15"/>
  <c r="NZ114" i="15"/>
  <c r="BX117" i="15"/>
  <c r="LT117" i="15"/>
  <c r="PT117" i="15"/>
  <c r="HD117" i="15"/>
  <c r="Y115" i="15"/>
  <c r="Z114" i="15"/>
  <c r="PX117" i="15"/>
  <c r="SS115" i="15"/>
  <c r="ST114" i="15"/>
  <c r="LH117" i="15"/>
  <c r="NI115" i="15"/>
  <c r="NJ114" i="15"/>
  <c r="OO115" i="15"/>
  <c r="OP114" i="15"/>
  <c r="SO116" i="15"/>
  <c r="TA115" i="15"/>
  <c r="TB114" i="15"/>
  <c r="JZ115" i="15"/>
  <c r="IZ117" i="15"/>
  <c r="DR115" i="15"/>
  <c r="QZ117" i="15"/>
  <c r="QG115" i="15"/>
  <c r="QH114" i="15"/>
  <c r="EN117" i="15"/>
  <c r="DE115" i="15"/>
  <c r="DF114" i="15"/>
  <c r="CW115" i="15"/>
  <c r="CX114" i="15"/>
  <c r="SZ117" i="15"/>
  <c r="QF117" i="15"/>
  <c r="SB117" i="15"/>
  <c r="LE115" i="15"/>
  <c r="LF114" i="15"/>
  <c r="NM115" i="15"/>
  <c r="NN114" i="15"/>
  <c r="JX117" i="15"/>
  <c r="DP117" i="15"/>
  <c r="UN117" i="15"/>
  <c r="JE115" i="15"/>
  <c r="JF114" i="15"/>
  <c r="QN117" i="15"/>
  <c r="AN117" i="15"/>
  <c r="LD117" i="15"/>
  <c r="IF117" i="15"/>
  <c r="RM115" i="15"/>
  <c r="RN114" i="15"/>
  <c r="EZ117" i="15"/>
  <c r="NP117" i="15"/>
  <c r="GB117" i="15"/>
  <c r="FQ115" i="15"/>
  <c r="FR114" i="15"/>
  <c r="DY115" i="15"/>
  <c r="DZ114" i="15"/>
  <c r="BP117" i="15"/>
  <c r="BR116" i="15"/>
  <c r="TP117" i="15"/>
  <c r="LA115" i="15"/>
  <c r="LB114" i="15"/>
  <c r="RX117" i="15"/>
  <c r="KV117" i="15"/>
  <c r="AO116" i="15"/>
  <c r="AP116" i="15" s="1"/>
  <c r="AK116" i="15"/>
  <c r="P117" i="15"/>
  <c r="BT116" i="15"/>
  <c r="OH114" i="15"/>
  <c r="EO116" i="15"/>
  <c r="EV117" i="15"/>
  <c r="KZ117" i="15"/>
  <c r="MK115" i="15"/>
  <c r="ML114" i="15"/>
  <c r="HA115" i="15"/>
  <c r="HB114" i="15"/>
  <c r="QX116" i="15"/>
  <c r="QV117" i="15"/>
  <c r="QW117" i="15" s="1"/>
  <c r="CG115" i="15"/>
  <c r="CH114" i="15"/>
  <c r="EB117" i="15"/>
  <c r="QR117" i="15"/>
  <c r="AB117" i="15"/>
  <c r="BI116" i="15"/>
  <c r="ER117" i="15"/>
  <c r="OF116" i="15"/>
  <c r="AF117" i="15"/>
  <c r="DN115" i="15"/>
  <c r="MS115" i="15"/>
  <c r="MT114" i="15"/>
  <c r="NH117" i="15"/>
  <c r="UO116" i="15"/>
  <c r="UP116" i="15" s="1"/>
  <c r="QB117" i="15"/>
  <c r="SJ117" i="15"/>
  <c r="TI115" i="15"/>
  <c r="TJ114" i="15"/>
  <c r="GX115" i="15"/>
  <c r="TE115" i="15"/>
  <c r="TF114" i="15"/>
  <c r="GZ117" i="15"/>
  <c r="BM115" i="15"/>
  <c r="BN114" i="15"/>
  <c r="GG115" i="15"/>
  <c r="GH114" i="15"/>
  <c r="RU115" i="15"/>
  <c r="RV114" i="15"/>
  <c r="DL117" i="15"/>
  <c r="TL117" i="15"/>
  <c r="RJ115" i="15"/>
  <c r="LP117" i="15"/>
  <c r="EC115" i="15"/>
  <c r="ED114" i="15"/>
  <c r="HU115" i="15"/>
  <c r="HV114" i="15"/>
  <c r="IR117" i="15"/>
  <c r="HE116" i="15"/>
  <c r="HF116" i="15" s="1"/>
  <c r="CV117" i="15"/>
  <c r="IS116" i="15"/>
  <c r="NX117" i="15"/>
  <c r="GV117" i="15"/>
  <c r="DI115" i="15"/>
  <c r="DJ114" i="15"/>
  <c r="KJ117" i="15"/>
  <c r="RH117" i="15"/>
  <c r="KB117" i="15"/>
  <c r="PQ115" i="15"/>
  <c r="PR114" i="15"/>
  <c r="CJ117" i="15"/>
  <c r="QO116" i="15"/>
  <c r="GC115" i="15"/>
  <c r="GD114" i="15"/>
  <c r="FL117" i="15"/>
  <c r="MZ116" i="15"/>
  <c r="CR116" i="15"/>
  <c r="ON117" i="15"/>
  <c r="BU115" i="15"/>
  <c r="HL117" i="15"/>
  <c r="HM117" i="15" s="1"/>
  <c r="HN116" i="15"/>
  <c r="OC115" i="15"/>
  <c r="OD114" i="15"/>
  <c r="GF117" i="15"/>
  <c r="IO115" i="15"/>
  <c r="IP114" i="15"/>
  <c r="PY116" i="15"/>
  <c r="IK115" i="15"/>
  <c r="IL114" i="15"/>
  <c r="HT117" i="15"/>
  <c r="J114" i="15"/>
  <c r="LN115" i="15"/>
  <c r="SR117" i="15"/>
  <c r="OJ117" i="15"/>
  <c r="JA116" i="15"/>
  <c r="CN117" i="15"/>
  <c r="CO117" i="15" s="1"/>
  <c r="CP116" i="15"/>
  <c r="UR117" i="15"/>
  <c r="AC116" i="15"/>
  <c r="CS115" i="15"/>
  <c r="TT117" i="15"/>
  <c r="MN117" i="15"/>
  <c r="UF117" i="15"/>
  <c r="M115" i="15"/>
  <c r="N114" i="15"/>
  <c r="DA116" i="15"/>
  <c r="DB116" i="15" s="1"/>
  <c r="JL117" i="15"/>
  <c r="JD117" i="15"/>
  <c r="KF117" i="15"/>
  <c r="IV117" i="15"/>
  <c r="CF117" i="15"/>
  <c r="TD117" i="15"/>
  <c r="AS115" i="15"/>
  <c r="AT114" i="15"/>
  <c r="MG116" i="15"/>
  <c r="MH116" i="15" s="1"/>
  <c r="FX117" i="15"/>
  <c r="F116" i="15"/>
  <c r="D117" i="15"/>
  <c r="E117" i="15" s="1"/>
  <c r="AR117" i="15"/>
  <c r="H116" i="15"/>
  <c r="LL117" i="15"/>
  <c r="JQ115" i="15"/>
  <c r="JR114" i="15"/>
  <c r="PN114" i="15"/>
  <c r="CB116" i="15"/>
  <c r="BY115" i="15"/>
  <c r="BZ114" i="15"/>
  <c r="RE116" i="15"/>
  <c r="RF116" i="15" s="1"/>
  <c r="GK115" i="15"/>
  <c r="GL114" i="15"/>
  <c r="DU115" i="15"/>
  <c r="DV114" i="15"/>
  <c r="L117" i="15"/>
  <c r="OB117" i="15"/>
  <c r="LI116" i="15"/>
  <c r="IB117" i="15"/>
  <c r="GP115" i="15"/>
  <c r="KO116" i="15"/>
  <c r="DD117" i="15"/>
  <c r="NL117" i="15"/>
  <c r="FA115" i="15"/>
  <c r="FB114" i="15"/>
  <c r="GT116" i="15"/>
  <c r="GR117" i="15"/>
  <c r="GS117" i="15" s="1"/>
  <c r="IN117" i="15"/>
  <c r="SV117" i="15"/>
  <c r="SW117" i="15" s="1"/>
  <c r="TQ115" i="15"/>
  <c r="TR114" i="15"/>
  <c r="TX117" i="15"/>
  <c r="SG116" i="15"/>
  <c r="OS115" i="15"/>
  <c r="OT114" i="15"/>
  <c r="JU115" i="15"/>
  <c r="JV114" i="15"/>
  <c r="FY116" i="15"/>
  <c r="PI116" i="15"/>
  <c r="PL116" i="15"/>
  <c r="EJ117" i="15"/>
  <c r="AW115" i="15"/>
  <c r="AX114" i="15"/>
  <c r="QS116" i="15"/>
  <c r="QT116" i="15" s="1"/>
  <c r="DT117" i="15"/>
  <c r="ID115" i="15"/>
  <c r="GN117" i="15"/>
  <c r="IG116" i="15"/>
  <c r="IH116" i="15" s="1"/>
  <c r="F120" i="2"/>
  <c r="G120" i="2" s="1"/>
  <c r="F119" i="8"/>
  <c r="G119" i="8" s="1"/>
  <c r="F119" i="9"/>
  <c r="G119" i="9" s="1"/>
  <c r="E120" i="11"/>
  <c r="F119" i="11"/>
  <c r="G119" i="10"/>
  <c r="G118" i="10"/>
  <c r="G118" i="9"/>
  <c r="E120" i="9"/>
  <c r="G118" i="8"/>
  <c r="E120" i="8"/>
  <c r="E121" i="2"/>
  <c r="MC117" i="15" l="1"/>
  <c r="AG117" i="15"/>
  <c r="AH117" i="15" s="1"/>
  <c r="TY117" i="15"/>
  <c r="CC116" i="15"/>
  <c r="CD116" i="15" s="1"/>
  <c r="HY117" i="15"/>
  <c r="HZ117" i="15" s="1"/>
  <c r="TU117" i="15"/>
  <c r="TV117" i="15" s="1"/>
  <c r="DM117" i="15"/>
  <c r="DN117" i="15" s="1"/>
  <c r="EK117" i="15"/>
  <c r="EL117" i="15" s="1"/>
  <c r="NA116" i="15"/>
  <c r="NB116" i="15" s="1"/>
  <c r="FM117" i="15"/>
  <c r="FN117" i="15" s="1"/>
  <c r="BE117" i="15"/>
  <c r="BF117" i="15" s="1"/>
  <c r="DQ117" i="15"/>
  <c r="DR117" i="15" s="1"/>
  <c r="OK117" i="15"/>
  <c r="OL117" i="15" s="1"/>
  <c r="JM117" i="15"/>
  <c r="JN117" i="15" s="1"/>
  <c r="GO117" i="15"/>
  <c r="GP117" i="15" s="1"/>
  <c r="BA117" i="15"/>
  <c r="BB117" i="15" s="1"/>
  <c r="PY117" i="15"/>
  <c r="PZ117" i="15" s="1"/>
  <c r="LM117" i="15"/>
  <c r="LN117" i="15" s="1"/>
  <c r="PM116" i="15"/>
  <c r="PN116" i="15" s="1"/>
  <c r="IC117" i="15"/>
  <c r="ID117" i="15" s="1"/>
  <c r="RI117" i="15"/>
  <c r="RJ117" i="15" s="1"/>
  <c r="BU116" i="15"/>
  <c r="BV116" i="15" s="1"/>
  <c r="IS117" i="15"/>
  <c r="IT117" i="15" s="1"/>
  <c r="LI117" i="15"/>
  <c r="LJ117" i="15" s="1"/>
  <c r="GW117" i="15"/>
  <c r="GX117" i="15" s="1"/>
  <c r="FU117" i="15"/>
  <c r="FV117" i="15" s="1"/>
  <c r="SG117" i="15"/>
  <c r="SH117" i="15" s="1"/>
  <c r="JA117" i="15"/>
  <c r="JB117" i="15" s="1"/>
  <c r="BI117" i="15"/>
  <c r="BJ117" i="15" s="1"/>
  <c r="KO117" i="15"/>
  <c r="KP117" i="15" s="1"/>
  <c r="U117" i="15"/>
  <c r="V117" i="15" s="1"/>
  <c r="QO117" i="15"/>
  <c r="QP117" i="15" s="1"/>
  <c r="CS116" i="15"/>
  <c r="CT116" i="15" s="1"/>
  <c r="EO117" i="15"/>
  <c r="AC117" i="15"/>
  <c r="AD117" i="15" s="1"/>
  <c r="SO117" i="15"/>
  <c r="SP117" i="15" s="1"/>
  <c r="AK117" i="15"/>
  <c r="AL117" i="15" s="1"/>
  <c r="FY117" i="15"/>
  <c r="FZ117" i="15" s="1"/>
  <c r="GC116" i="15"/>
  <c r="GD115" i="15"/>
  <c r="HD118" i="15"/>
  <c r="UG116" i="15"/>
  <c r="UH115" i="15"/>
  <c r="RP118" i="15"/>
  <c r="EF118" i="15"/>
  <c r="RY116" i="15"/>
  <c r="RZ115" i="15"/>
  <c r="IJ118" i="15"/>
  <c r="CZ118" i="15"/>
  <c r="IF118" i="15"/>
  <c r="BM116" i="15"/>
  <c r="BN115" i="15"/>
  <c r="LA116" i="15"/>
  <c r="LB115" i="15"/>
  <c r="TA116" i="15"/>
  <c r="TB115" i="15"/>
  <c r="PT118" i="15"/>
  <c r="FP118" i="15"/>
  <c r="MV118" i="15"/>
  <c r="KP116" i="15"/>
  <c r="IO116" i="15"/>
  <c r="IP115" i="15"/>
  <c r="QF118" i="15"/>
  <c r="KG116" i="15"/>
  <c r="KH115" i="15"/>
  <c r="JI116" i="15"/>
  <c r="JJ115" i="15"/>
  <c r="HP118" i="15"/>
  <c r="KN118" i="15"/>
  <c r="V116" i="15"/>
  <c r="TD118" i="15"/>
  <c r="RX118" i="15"/>
  <c r="MK116" i="15"/>
  <c r="ML115" i="15"/>
  <c r="ER118" i="15"/>
  <c r="SZ118" i="15"/>
  <c r="EW116" i="15"/>
  <c r="EX115" i="15"/>
  <c r="JH118" i="15"/>
  <c r="RD118" i="15"/>
  <c r="LU116" i="15"/>
  <c r="LV115" i="15"/>
  <c r="T118" i="15"/>
  <c r="OF117" i="15"/>
  <c r="UR118" i="15"/>
  <c r="GF118" i="15"/>
  <c r="CJ118" i="15"/>
  <c r="IR118" i="15"/>
  <c r="EV118" i="15"/>
  <c r="AN118" i="15"/>
  <c r="OO116" i="15"/>
  <c r="OP115" i="15"/>
  <c r="LT118" i="15"/>
  <c r="OR118" i="15"/>
  <c r="MF118" i="15"/>
  <c r="FD118" i="15"/>
  <c r="RQ116" i="15"/>
  <c r="RR115" i="15"/>
  <c r="IV118" i="15"/>
  <c r="TE116" i="15"/>
  <c r="TF115" i="15"/>
  <c r="BP118" i="15"/>
  <c r="QP116" i="15"/>
  <c r="BX118" i="15"/>
  <c r="BD118" i="15"/>
  <c r="NQ116" i="15"/>
  <c r="NR115" i="15"/>
  <c r="RT118" i="15"/>
  <c r="SH116" i="15"/>
  <c r="JT118" i="15"/>
  <c r="GJ118" i="15"/>
  <c r="CF118" i="15"/>
  <c r="IT116" i="15"/>
  <c r="JD118" i="15"/>
  <c r="OC116" i="15"/>
  <c r="OD115" i="15"/>
  <c r="PQ116" i="15"/>
  <c r="PR115" i="15"/>
  <c r="HU116" i="15"/>
  <c r="HV115" i="15"/>
  <c r="AD116" i="15"/>
  <c r="QN118" i="15"/>
  <c r="CW116" i="15"/>
  <c r="CX115" i="15"/>
  <c r="NI116" i="15"/>
  <c r="NJ115" i="15"/>
  <c r="MJ118" i="15"/>
  <c r="RL118" i="15"/>
  <c r="SF118" i="15"/>
  <c r="LD118" i="15"/>
  <c r="H117" i="15"/>
  <c r="AB118" i="15"/>
  <c r="DY116" i="15"/>
  <c r="DZ115" i="15"/>
  <c r="LJ116" i="15"/>
  <c r="MW116" i="15"/>
  <c r="MX115" i="15"/>
  <c r="ES116" i="15"/>
  <c r="ET115" i="15"/>
  <c r="NU116" i="15"/>
  <c r="NV115" i="15"/>
  <c r="Q116" i="15"/>
  <c r="R115" i="15"/>
  <c r="QJ118" i="15"/>
  <c r="SB118" i="15"/>
  <c r="DD118" i="15"/>
  <c r="EC116" i="15"/>
  <c r="ED115" i="15"/>
  <c r="JE116" i="15"/>
  <c r="JF115" i="15"/>
  <c r="DE116" i="15"/>
  <c r="DF115" i="15"/>
  <c r="LH118" i="15"/>
  <c r="NY116" i="15"/>
  <c r="NZ115" i="15"/>
  <c r="TH118" i="15"/>
  <c r="UK116" i="15"/>
  <c r="UL115" i="15"/>
  <c r="UB118" i="15"/>
  <c r="PP118" i="15"/>
  <c r="GG116" i="15"/>
  <c r="GH115" i="15"/>
  <c r="IB118" i="15"/>
  <c r="AR118" i="15"/>
  <c r="BV115" i="15"/>
  <c r="FQ116" i="15"/>
  <c r="FR115" i="15"/>
  <c r="NT118" i="15"/>
  <c r="BQ117" i="15"/>
  <c r="BR117" i="15" s="1"/>
  <c r="QK116" i="15"/>
  <c r="QL115" i="15"/>
  <c r="NE116" i="15"/>
  <c r="NF115" i="15"/>
  <c r="CK117" i="15"/>
  <c r="CL117" i="15" s="1"/>
  <c r="NL118" i="15"/>
  <c r="KF118" i="15"/>
  <c r="LP118" i="15"/>
  <c r="BT117" i="15"/>
  <c r="UN118" i="15"/>
  <c r="EN118" i="15"/>
  <c r="SS116" i="15"/>
  <c r="ST115" i="15"/>
  <c r="QC116" i="15"/>
  <c r="QD115" i="15"/>
  <c r="AV118" i="15"/>
  <c r="ND118" i="15"/>
  <c r="MR118" i="15"/>
  <c r="LQ117" i="15"/>
  <c r="LR117" i="15" s="1"/>
  <c r="QR118" i="15"/>
  <c r="EB118" i="15"/>
  <c r="P118" i="15"/>
  <c r="GB118" i="15"/>
  <c r="DP118" i="15"/>
  <c r="EP116" i="15"/>
  <c r="PF117" i="15"/>
  <c r="PD118" i="15"/>
  <c r="PE118" i="15" s="1"/>
  <c r="LX118" i="15"/>
  <c r="US116" i="15"/>
  <c r="UT115" i="15"/>
  <c r="HI116" i="15"/>
  <c r="HJ115" i="15"/>
  <c r="IK116" i="15"/>
  <c r="IL115" i="15"/>
  <c r="TI116" i="15"/>
  <c r="TJ115" i="15"/>
  <c r="CT115" i="15"/>
  <c r="KJ118" i="15"/>
  <c r="TL118" i="15"/>
  <c r="QB118" i="15"/>
  <c r="OG116" i="15"/>
  <c r="OH116" i="15" s="1"/>
  <c r="HQ117" i="15"/>
  <c r="HR117" i="15" s="1"/>
  <c r="SC116" i="15"/>
  <c r="SD115" i="15"/>
  <c r="AL116" i="15"/>
  <c r="HH118" i="15"/>
  <c r="DX118" i="15"/>
  <c r="BL118" i="15"/>
  <c r="HE117" i="15"/>
  <c r="OB118" i="15"/>
  <c r="DT118" i="15"/>
  <c r="OJ118" i="15"/>
  <c r="SV118" i="15"/>
  <c r="SW118" i="15" s="1"/>
  <c r="SX117" i="15"/>
  <c r="DU116" i="15"/>
  <c r="DV115" i="15"/>
  <c r="NP118" i="15"/>
  <c r="QG116" i="15"/>
  <c r="QH115" i="15"/>
  <c r="PX118" i="15"/>
  <c r="HX118" i="15"/>
  <c r="KR118" i="15"/>
  <c r="FH118" i="15"/>
  <c r="AJ118" i="15"/>
  <c r="RA116" i="15"/>
  <c r="RB115" i="15"/>
  <c r="PU116" i="15"/>
  <c r="PV115" i="15"/>
  <c r="TP118" i="15"/>
  <c r="SJ118" i="15"/>
  <c r="DA117" i="15"/>
  <c r="UF118" i="15"/>
  <c r="PZ116" i="15"/>
  <c r="FT118" i="15"/>
  <c r="FE117" i="15"/>
  <c r="TM116" i="15"/>
  <c r="TN115" i="15"/>
  <c r="OZ118" i="15"/>
  <c r="FI117" i="15"/>
  <c r="UJ118" i="15"/>
  <c r="CB117" i="15"/>
  <c r="KZ118" i="15"/>
  <c r="IG117" i="15"/>
  <c r="CN118" i="15"/>
  <c r="CO118" i="15" s="1"/>
  <c r="CP117" i="15"/>
  <c r="QS117" i="15"/>
  <c r="FX118" i="15"/>
  <c r="DL118" i="15"/>
  <c r="KC116" i="15"/>
  <c r="KD115" i="15"/>
  <c r="PA116" i="15"/>
  <c r="PB115" i="15"/>
  <c r="IW116" i="15"/>
  <c r="IX115" i="15"/>
  <c r="L118" i="15"/>
  <c r="FZ116" i="15"/>
  <c r="GR118" i="15"/>
  <c r="GS118" i="15" s="1"/>
  <c r="GT117" i="15"/>
  <c r="CG116" i="15"/>
  <c r="CH115" i="15"/>
  <c r="EJ118" i="15"/>
  <c r="GV118" i="15"/>
  <c r="AO117" i="15"/>
  <c r="EZ118" i="15"/>
  <c r="QZ118" i="15"/>
  <c r="JP118" i="15"/>
  <c r="AS116" i="15"/>
  <c r="AT115" i="15"/>
  <c r="KV118" i="15"/>
  <c r="NM116" i="15"/>
  <c r="NN115" i="15"/>
  <c r="SN118" i="15"/>
  <c r="X118" i="15"/>
  <c r="UC116" i="15"/>
  <c r="UD115" i="15"/>
  <c r="OV118" i="15"/>
  <c r="BJ116" i="15"/>
  <c r="SK117" i="15"/>
  <c r="PH118" i="15"/>
  <c r="TT118" i="15"/>
  <c r="CV118" i="15"/>
  <c r="JQ116" i="15"/>
  <c r="JR115" i="15"/>
  <c r="GN118" i="15"/>
  <c r="HL118" i="15"/>
  <c r="HM118" i="15" s="1"/>
  <c r="HN117" i="15"/>
  <c r="RH118" i="15"/>
  <c r="F117" i="15"/>
  <c r="D118" i="15"/>
  <c r="E118" i="15" s="1"/>
  <c r="ON118" i="15"/>
  <c r="AW116" i="15"/>
  <c r="AX115" i="15"/>
  <c r="UO117" i="15"/>
  <c r="JX118" i="15"/>
  <c r="GK116" i="15"/>
  <c r="GL115" i="15"/>
  <c r="MZ117" i="15"/>
  <c r="QV118" i="15"/>
  <c r="QX117" i="15"/>
  <c r="SP116" i="15"/>
  <c r="PL117" i="15"/>
  <c r="I116" i="15"/>
  <c r="J116" i="15" s="1"/>
  <c r="MN118" i="15"/>
  <c r="HT118" i="15"/>
  <c r="FL118" i="15"/>
  <c r="NX118" i="15"/>
  <c r="RU116" i="15"/>
  <c r="RV115" i="15"/>
  <c r="MS116" i="15"/>
  <c r="MT115" i="15"/>
  <c r="IZ118" i="15"/>
  <c r="Y116" i="15"/>
  <c r="Z115" i="15"/>
  <c r="AZ118" i="15"/>
  <c r="DH118" i="15"/>
  <c r="KW116" i="15"/>
  <c r="KX115" i="15"/>
  <c r="BH118" i="15"/>
  <c r="LY117" i="15"/>
  <c r="AF118" i="15"/>
  <c r="JU116" i="15"/>
  <c r="JV115" i="15"/>
  <c r="GZ118" i="15"/>
  <c r="OS116" i="15"/>
  <c r="OT115" i="15"/>
  <c r="LL118" i="15"/>
  <c r="TZ117" i="15"/>
  <c r="TX118" i="15"/>
  <c r="KB118" i="15"/>
  <c r="TQ116" i="15"/>
  <c r="TR115" i="15"/>
  <c r="JL118" i="15"/>
  <c r="SR118" i="15"/>
  <c r="IN118" i="15"/>
  <c r="M116" i="15"/>
  <c r="N115" i="15"/>
  <c r="CR117" i="15"/>
  <c r="MG117" i="15"/>
  <c r="DI116" i="15"/>
  <c r="DJ115" i="15"/>
  <c r="KK117" i="15"/>
  <c r="KL117" i="15" s="1"/>
  <c r="NH118" i="15"/>
  <c r="RE117" i="15"/>
  <c r="RF117" i="15" s="1"/>
  <c r="FA116" i="15"/>
  <c r="FB115" i="15"/>
  <c r="PI117" i="15"/>
  <c r="BY116" i="15"/>
  <c r="BZ115" i="15"/>
  <c r="KS117" i="15"/>
  <c r="HA116" i="15"/>
  <c r="HB115" i="15"/>
  <c r="RM116" i="15"/>
  <c r="RN115" i="15"/>
  <c r="LE116" i="15"/>
  <c r="LF115" i="15"/>
  <c r="JB116" i="15"/>
  <c r="EG117" i="15"/>
  <c r="JY117" i="15"/>
  <c r="MB118" i="15"/>
  <c r="MC118" i="15" s="1"/>
  <c r="MD117" i="15"/>
  <c r="PJ116" i="15"/>
  <c r="OW116" i="15"/>
  <c r="OX115" i="15"/>
  <c r="MO117" i="15"/>
  <c r="F121" i="2"/>
  <c r="G121" i="2" s="1"/>
  <c r="F120" i="11"/>
  <c r="G120" i="11" s="1"/>
  <c r="G119" i="11"/>
  <c r="G120" i="10"/>
  <c r="F120" i="9"/>
  <c r="G120" i="9" s="1"/>
  <c r="F120" i="8"/>
  <c r="G120" i="8" s="1"/>
  <c r="E122" i="2"/>
  <c r="AG118" i="15" l="1"/>
  <c r="TU118" i="15"/>
  <c r="TV118" i="15" s="1"/>
  <c r="TY118" i="15"/>
  <c r="TZ118" i="15" s="1"/>
  <c r="FY118" i="15"/>
  <c r="FZ118" i="15" s="1"/>
  <c r="HY118" i="15"/>
  <c r="HZ118" i="15" s="1"/>
  <c r="CC117" i="15"/>
  <c r="CD117" i="15" s="1"/>
  <c r="BA118" i="15"/>
  <c r="BB118" i="15" s="1"/>
  <c r="BE118" i="15"/>
  <c r="KS118" i="15"/>
  <c r="KT118" i="15" s="1"/>
  <c r="JM118" i="15"/>
  <c r="JN118" i="15" s="1"/>
  <c r="LM118" i="15"/>
  <c r="LN118" i="15" s="1"/>
  <c r="KO118" i="15"/>
  <c r="KP118" i="15" s="1"/>
  <c r="UO118" i="15"/>
  <c r="UP118" i="15" s="1"/>
  <c r="JA118" i="15"/>
  <c r="JB118" i="15" s="1"/>
  <c r="RI118" i="15"/>
  <c r="RJ118" i="15" s="1"/>
  <c r="BI118" i="15"/>
  <c r="BJ118" i="15" s="1"/>
  <c r="AO118" i="15"/>
  <c r="AP118" i="15" s="1"/>
  <c r="EG118" i="15"/>
  <c r="EH118" i="15" s="1"/>
  <c r="FU118" i="15"/>
  <c r="FV118" i="15" s="1"/>
  <c r="PM117" i="15"/>
  <c r="PN117" i="15" s="1"/>
  <c r="AC118" i="15"/>
  <c r="AD118" i="15" s="1"/>
  <c r="EO118" i="15"/>
  <c r="EP118" i="15" s="1"/>
  <c r="SK118" i="15"/>
  <c r="SL118" i="15" s="1"/>
  <c r="HE118" i="15"/>
  <c r="HF118" i="15" s="1"/>
  <c r="EP117" i="15"/>
  <c r="MG118" i="15"/>
  <c r="MH118" i="15" s="1"/>
  <c r="SO118" i="15"/>
  <c r="SP118" i="15" s="1"/>
  <c r="CS117" i="15"/>
  <c r="CT117" i="15" s="1"/>
  <c r="DA118" i="15"/>
  <c r="DB118" i="15" s="1"/>
  <c r="MO118" i="15"/>
  <c r="MP118" i="15" s="1"/>
  <c r="QS118" i="15"/>
  <c r="QT118" i="15" s="1"/>
  <c r="IG118" i="15"/>
  <c r="IH118" i="15" s="1"/>
  <c r="JY118" i="15"/>
  <c r="JZ118" i="15" s="1"/>
  <c r="FI118" i="15"/>
  <c r="FJ118" i="15" s="1"/>
  <c r="LY118" i="15"/>
  <c r="LZ118" i="15" s="1"/>
  <c r="MP117" i="15"/>
  <c r="FE118" i="15"/>
  <c r="FF118" i="15" s="1"/>
  <c r="I117" i="15"/>
  <c r="J117" i="15" s="1"/>
  <c r="QB119" i="15"/>
  <c r="NE117" i="15"/>
  <c r="NF116" i="15"/>
  <c r="UB119" i="15"/>
  <c r="OC117" i="15"/>
  <c r="OD116" i="15"/>
  <c r="OO117" i="15"/>
  <c r="OP116" i="15"/>
  <c r="HP119" i="15"/>
  <c r="UG117" i="15"/>
  <c r="UH116" i="15"/>
  <c r="RD119" i="15"/>
  <c r="FL119" i="15"/>
  <c r="OJ119" i="15"/>
  <c r="TL119" i="15"/>
  <c r="QC117" i="15"/>
  <c r="QD116" i="15"/>
  <c r="SB119" i="15"/>
  <c r="LD119" i="15"/>
  <c r="BP119" i="15"/>
  <c r="AN119" i="15"/>
  <c r="LA117" i="15"/>
  <c r="LB116" i="15"/>
  <c r="HF117" i="15"/>
  <c r="IN119" i="15"/>
  <c r="IW117" i="15"/>
  <c r="IX116" i="15"/>
  <c r="DP119" i="15"/>
  <c r="QK117" i="15"/>
  <c r="QL116" i="15"/>
  <c r="JD119" i="15"/>
  <c r="AP117" i="15"/>
  <c r="JH119" i="15"/>
  <c r="HD119" i="15"/>
  <c r="PA117" i="15"/>
  <c r="PB116" i="15"/>
  <c r="OV119" i="15"/>
  <c r="TM117" i="15"/>
  <c r="TN116" i="15"/>
  <c r="FH119" i="15"/>
  <c r="KJ119" i="15"/>
  <c r="GB119" i="15"/>
  <c r="SS117" i="15"/>
  <c r="ST116" i="15"/>
  <c r="BQ118" i="15"/>
  <c r="BR118" i="15" s="1"/>
  <c r="UK117" i="15"/>
  <c r="UL116" i="15"/>
  <c r="QJ119" i="15"/>
  <c r="SF119" i="15"/>
  <c r="JI117" i="15"/>
  <c r="JJ116" i="15"/>
  <c r="BM117" i="15"/>
  <c r="BN116" i="15"/>
  <c r="RM117" i="15"/>
  <c r="RN116" i="15"/>
  <c r="PP119" i="15"/>
  <c r="RA117" i="15"/>
  <c r="RB116" i="15"/>
  <c r="GV119" i="15"/>
  <c r="FJ117" i="15"/>
  <c r="TH119" i="15"/>
  <c r="RL119" i="15"/>
  <c r="CF119" i="15"/>
  <c r="EV119" i="15"/>
  <c r="EW117" i="15"/>
  <c r="EX116" i="15"/>
  <c r="GC117" i="15"/>
  <c r="GD116" i="15"/>
  <c r="AJ119" i="15"/>
  <c r="UC117" i="15"/>
  <c r="UD116" i="15"/>
  <c r="EJ119" i="15"/>
  <c r="DL119" i="15"/>
  <c r="KT117" i="15"/>
  <c r="OB119" i="15"/>
  <c r="EN119" i="15"/>
  <c r="NT119" i="15"/>
  <c r="Q117" i="15"/>
  <c r="R116" i="15"/>
  <c r="TE117" i="15"/>
  <c r="TF116" i="15"/>
  <c r="EK118" i="15"/>
  <c r="KG117" i="15"/>
  <c r="KH116" i="15"/>
  <c r="IF119" i="15"/>
  <c r="DT119" i="15"/>
  <c r="TQ117" i="15"/>
  <c r="TR116" i="15"/>
  <c r="X119" i="15"/>
  <c r="FT119" i="15"/>
  <c r="KR119" i="15"/>
  <c r="P119" i="15"/>
  <c r="UN119" i="15"/>
  <c r="MJ119" i="15"/>
  <c r="GJ119" i="15"/>
  <c r="IV119" i="15"/>
  <c r="IR119" i="15"/>
  <c r="SZ119" i="15"/>
  <c r="IH117" i="15"/>
  <c r="FM118" i="15"/>
  <c r="FN118" i="15" s="1"/>
  <c r="HX119" i="15"/>
  <c r="EB119" i="15"/>
  <c r="UP117" i="15"/>
  <c r="NY117" i="15"/>
  <c r="NZ116" i="15"/>
  <c r="NU117" i="15"/>
  <c r="NV116" i="15"/>
  <c r="NX119" i="15"/>
  <c r="AW117" i="15"/>
  <c r="AX116" i="15"/>
  <c r="KC117" i="15"/>
  <c r="KD116" i="15"/>
  <c r="CG117" i="15"/>
  <c r="CH116" i="15"/>
  <c r="BL119" i="15"/>
  <c r="TI117" i="15"/>
  <c r="TJ116" i="15"/>
  <c r="BT118" i="15"/>
  <c r="FQ117" i="15"/>
  <c r="FR116" i="15"/>
  <c r="GW118" i="15"/>
  <c r="CJ119" i="15"/>
  <c r="QF119" i="15"/>
  <c r="DB117" i="15"/>
  <c r="DH119" i="15"/>
  <c r="OW117" i="15"/>
  <c r="OX116" i="15"/>
  <c r="UF119" i="15"/>
  <c r="QT117" i="15"/>
  <c r="LH119" i="15"/>
  <c r="ES117" i="15"/>
  <c r="ET116" i="15"/>
  <c r="NI117" i="15"/>
  <c r="NJ116" i="15"/>
  <c r="JT119" i="15"/>
  <c r="GF119" i="15"/>
  <c r="ER119" i="15"/>
  <c r="CZ119" i="15"/>
  <c r="OK118" i="15"/>
  <c r="OL118" i="15" s="1"/>
  <c r="PH119" i="15"/>
  <c r="BY117" i="15"/>
  <c r="BZ116" i="15"/>
  <c r="GN119" i="15"/>
  <c r="GT118" i="15"/>
  <c r="GR119" i="15"/>
  <c r="PX119" i="15"/>
  <c r="DX119" i="15"/>
  <c r="QR119" i="15"/>
  <c r="RQ117" i="15"/>
  <c r="RR116" i="15"/>
  <c r="IO117" i="15"/>
  <c r="IP116" i="15"/>
  <c r="IJ119" i="15"/>
  <c r="SN119" i="15"/>
  <c r="CN119" i="15"/>
  <c r="CO119" i="15" s="1"/>
  <c r="CP118" i="15"/>
  <c r="IK117" i="15"/>
  <c r="IL116" i="15"/>
  <c r="SG118" i="15"/>
  <c r="LP119" i="15"/>
  <c r="AR119" i="15"/>
  <c r="DE117" i="15"/>
  <c r="DF116" i="15"/>
  <c r="MW117" i="15"/>
  <c r="MX116" i="15"/>
  <c r="CW117" i="15"/>
  <c r="CX116" i="15"/>
  <c r="FD119" i="15"/>
  <c r="MK117" i="15"/>
  <c r="ML116" i="15"/>
  <c r="HA117" i="15"/>
  <c r="HB116" i="15"/>
  <c r="BH119" i="15"/>
  <c r="PI118" i="15"/>
  <c r="KV119" i="15"/>
  <c r="QG117" i="15"/>
  <c r="QH116" i="15"/>
  <c r="HH119" i="15"/>
  <c r="IB119" i="15"/>
  <c r="RT119" i="15"/>
  <c r="FF117" i="15"/>
  <c r="UR119" i="15"/>
  <c r="MV119" i="15"/>
  <c r="AH118" i="15"/>
  <c r="AF119" i="15"/>
  <c r="PL118" i="15"/>
  <c r="NH119" i="15"/>
  <c r="QV119" i="15"/>
  <c r="KZ119" i="15"/>
  <c r="NP119" i="15"/>
  <c r="HI117" i="15"/>
  <c r="HJ116" i="15"/>
  <c r="LQ118" i="15"/>
  <c r="LR118" i="15" s="1"/>
  <c r="KF119" i="15"/>
  <c r="JE117" i="15"/>
  <c r="JF116" i="15"/>
  <c r="QN119" i="15"/>
  <c r="MH117" i="15"/>
  <c r="OF118" i="15"/>
  <c r="RX119" i="15"/>
  <c r="RY117" i="15"/>
  <c r="RZ116" i="15"/>
  <c r="HT119" i="15"/>
  <c r="FX119" i="15"/>
  <c r="HN118" i="15"/>
  <c r="HL119" i="15"/>
  <c r="LL119" i="15"/>
  <c r="IC118" i="15"/>
  <c r="DQ118" i="15"/>
  <c r="DY117" i="15"/>
  <c r="DZ116" i="15"/>
  <c r="NQ117" i="15"/>
  <c r="NR116" i="15"/>
  <c r="MF119" i="15"/>
  <c r="EF119" i="15"/>
  <c r="TA117" i="15"/>
  <c r="TB116" i="15"/>
  <c r="ON119" i="15"/>
  <c r="KW117" i="15"/>
  <c r="KX116" i="15"/>
  <c r="KB119" i="15"/>
  <c r="AZ119" i="15"/>
  <c r="TX119" i="15"/>
  <c r="KK118" i="15"/>
  <c r="Y117" i="15"/>
  <c r="Z116" i="15"/>
  <c r="JQ117" i="15"/>
  <c r="JR116" i="15"/>
  <c r="SL117" i="15"/>
  <c r="OR119" i="15"/>
  <c r="T119" i="15"/>
  <c r="TD119" i="15"/>
  <c r="FP119" i="15"/>
  <c r="EH117" i="15"/>
  <c r="AV119" i="15"/>
  <c r="EZ119" i="15"/>
  <c r="SR119" i="15"/>
  <c r="FA117" i="15"/>
  <c r="FB116" i="15"/>
  <c r="MD118" i="15"/>
  <c r="MB119" i="15"/>
  <c r="SJ119" i="15"/>
  <c r="DI117" i="15"/>
  <c r="DJ116" i="15"/>
  <c r="MZ118" i="15"/>
  <c r="LI118" i="15"/>
  <c r="GZ119" i="15"/>
  <c r="CV119" i="15"/>
  <c r="AS117" i="15"/>
  <c r="AT116" i="15"/>
  <c r="AK118" i="15"/>
  <c r="AL118" i="15" s="1"/>
  <c r="US117" i="15"/>
  <c r="UT116" i="15"/>
  <c r="MR119" i="15"/>
  <c r="NA117" i="15"/>
  <c r="QO118" i="15"/>
  <c r="MS117" i="15"/>
  <c r="MT116" i="15"/>
  <c r="GK117" i="15"/>
  <c r="GL116" i="15"/>
  <c r="TT119" i="15"/>
  <c r="TU119" i="15" s="1"/>
  <c r="PY118" i="15"/>
  <c r="PZ118" i="15" s="1"/>
  <c r="CB118" i="15"/>
  <c r="TP119" i="15"/>
  <c r="SC117" i="15"/>
  <c r="SD116" i="15"/>
  <c r="LZ117" i="15"/>
  <c r="NL119" i="15"/>
  <c r="EC117" i="15"/>
  <c r="ED116" i="15"/>
  <c r="AB119" i="15"/>
  <c r="HU117" i="15"/>
  <c r="HV116" i="15"/>
  <c r="BF118" i="15"/>
  <c r="BD119" i="15"/>
  <c r="PT119" i="15"/>
  <c r="U118" i="15"/>
  <c r="QZ119" i="15"/>
  <c r="SX118" i="15"/>
  <c r="SV119" i="15"/>
  <c r="SW119" i="15" s="1"/>
  <c r="OZ119" i="15"/>
  <c r="JL119" i="15"/>
  <c r="RH119" i="15"/>
  <c r="RE118" i="15"/>
  <c r="CR118" i="15"/>
  <c r="DM118" i="15"/>
  <c r="DN118" i="15" s="1"/>
  <c r="LE117" i="15"/>
  <c r="LF116" i="15"/>
  <c r="JX119" i="15"/>
  <c r="JP119" i="15"/>
  <c r="IS118" i="15"/>
  <c r="DU117" i="15"/>
  <c r="DV116" i="15"/>
  <c r="HQ118" i="15"/>
  <c r="LX119" i="15"/>
  <c r="ND119" i="15"/>
  <c r="GG117" i="15"/>
  <c r="GH116" i="15"/>
  <c r="RP119" i="15"/>
  <c r="QW118" i="15"/>
  <c r="QX118" i="15" s="1"/>
  <c r="F118" i="15"/>
  <c r="D119" i="15"/>
  <c r="E119" i="15" s="1"/>
  <c r="MN119" i="15"/>
  <c r="NM117" i="15"/>
  <c r="NN116" i="15"/>
  <c r="IZ119" i="15"/>
  <c r="L119" i="15"/>
  <c r="OS117" i="15"/>
  <c r="OT116" i="15"/>
  <c r="BU117" i="15"/>
  <c r="M117" i="15"/>
  <c r="N116" i="15"/>
  <c r="JU117" i="15"/>
  <c r="JV116" i="15"/>
  <c r="RU117" i="15"/>
  <c r="RV116" i="15"/>
  <c r="JZ117" i="15"/>
  <c r="PJ117" i="15"/>
  <c r="UJ119" i="15"/>
  <c r="PU117" i="15"/>
  <c r="PV116" i="15"/>
  <c r="OG117" i="15"/>
  <c r="OH117" i="15" s="1"/>
  <c r="PF118" i="15"/>
  <c r="PD119" i="15"/>
  <c r="CK118" i="15"/>
  <c r="CL118" i="15" s="1"/>
  <c r="DD119" i="15"/>
  <c r="H118" i="15"/>
  <c r="PQ117" i="15"/>
  <c r="PR116" i="15"/>
  <c r="BX119" i="15"/>
  <c r="LT119" i="15"/>
  <c r="LU117" i="15"/>
  <c r="LV116" i="15"/>
  <c r="KN119" i="15"/>
  <c r="GO118" i="15"/>
  <c r="E24" i="1"/>
  <c r="E16" i="1"/>
  <c r="E7" i="1"/>
  <c r="E15" i="1"/>
  <c r="E23" i="1"/>
  <c r="E22" i="1"/>
  <c r="E14" i="1"/>
  <c r="E5" i="1"/>
  <c r="E21" i="1"/>
  <c r="E13" i="1"/>
  <c r="E123" i="2"/>
  <c r="F122" i="2"/>
  <c r="E6" i="1"/>
  <c r="BE119" i="15" l="1"/>
  <c r="TY119" i="15"/>
  <c r="FY119" i="15"/>
  <c r="FZ119" i="15" s="1"/>
  <c r="HY119" i="15"/>
  <c r="HZ119" i="15" s="1"/>
  <c r="KS119" i="15"/>
  <c r="KT119" i="15" s="1"/>
  <c r="IG119" i="15"/>
  <c r="IH119" i="15" s="1"/>
  <c r="BA119" i="15"/>
  <c r="BB119" i="15" s="1"/>
  <c r="EG119" i="15"/>
  <c r="EH119" i="15" s="1"/>
  <c r="LM119" i="15"/>
  <c r="LN119" i="15" s="1"/>
  <c r="JA119" i="15"/>
  <c r="JB119" i="15" s="1"/>
  <c r="JM119" i="15"/>
  <c r="JN119" i="15" s="1"/>
  <c r="KO119" i="15"/>
  <c r="KP119" i="15" s="1"/>
  <c r="KK119" i="15"/>
  <c r="KL119" i="15" s="1"/>
  <c r="SK119" i="15"/>
  <c r="SL119" i="15" s="1"/>
  <c r="HE119" i="15"/>
  <c r="HF119" i="15" s="1"/>
  <c r="DA119" i="15"/>
  <c r="DB119" i="15" s="1"/>
  <c r="MO119" i="15"/>
  <c r="MP119" i="15" s="1"/>
  <c r="CS118" i="15"/>
  <c r="CT118" i="15" s="1"/>
  <c r="GO119" i="15"/>
  <c r="GP119" i="15" s="1"/>
  <c r="FI119" i="15"/>
  <c r="FJ119" i="15" s="1"/>
  <c r="I118" i="15"/>
  <c r="J118" i="15" s="1"/>
  <c r="QS119" i="15"/>
  <c r="QT119" i="15" s="1"/>
  <c r="JY119" i="15"/>
  <c r="JZ119" i="15" s="1"/>
  <c r="GW119" i="15"/>
  <c r="GX119" i="15" s="1"/>
  <c r="DQ119" i="15"/>
  <c r="DR119" i="15" s="1"/>
  <c r="PI119" i="15"/>
  <c r="PJ119" i="15" s="1"/>
  <c r="HQ119" i="15"/>
  <c r="HR119" i="15" s="1"/>
  <c r="IC119" i="15"/>
  <c r="ID119" i="15" s="1"/>
  <c r="IS119" i="15"/>
  <c r="IT119" i="15" s="1"/>
  <c r="QO119" i="15"/>
  <c r="QP119" i="15" s="1"/>
  <c r="U119" i="15"/>
  <c r="V119" i="15" s="1"/>
  <c r="NA118" i="15"/>
  <c r="NB118" i="15" s="1"/>
  <c r="EK119" i="15"/>
  <c r="EL119" i="15" s="1"/>
  <c r="DR118" i="15"/>
  <c r="KL118" i="15"/>
  <c r="RE119" i="15"/>
  <c r="RF119" i="15" s="1"/>
  <c r="CK119" i="15"/>
  <c r="CL119" i="15" s="1"/>
  <c r="QW119" i="15"/>
  <c r="QX119" i="15" s="1"/>
  <c r="LI119" i="15"/>
  <c r="LJ119" i="15" s="1"/>
  <c r="SG119" i="15"/>
  <c r="SH119" i="15" s="1"/>
  <c r="BU118" i="15"/>
  <c r="BV118" i="15" s="1"/>
  <c r="RY118" i="15"/>
  <c r="RZ117" i="15"/>
  <c r="QG118" i="15"/>
  <c r="QH117" i="15"/>
  <c r="NY118" i="15"/>
  <c r="NZ117" i="15"/>
  <c r="IW118" i="15"/>
  <c r="IX117" i="15"/>
  <c r="PL119" i="15"/>
  <c r="NI118" i="15"/>
  <c r="NJ117" i="15"/>
  <c r="FQ118" i="15"/>
  <c r="FR117" i="15"/>
  <c r="GC118" i="15"/>
  <c r="GD117" i="15"/>
  <c r="RM118" i="15"/>
  <c r="RN117" i="15"/>
  <c r="GG118" i="15"/>
  <c r="GH117" i="15"/>
  <c r="FA118" i="15"/>
  <c r="FB117" i="15"/>
  <c r="NQ118" i="15"/>
  <c r="NR117" i="15"/>
  <c r="BT119" i="15"/>
  <c r="TE118" i="15"/>
  <c r="TF117" i="15"/>
  <c r="TM118" i="15"/>
  <c r="TN117" i="15"/>
  <c r="RF118" i="15"/>
  <c r="US118" i="15"/>
  <c r="UT117" i="15"/>
  <c r="Y118" i="15"/>
  <c r="Z117" i="15"/>
  <c r="ES118" i="15"/>
  <c r="ET117" i="15"/>
  <c r="BV117" i="15"/>
  <c r="EW118" i="15"/>
  <c r="EX117" i="15"/>
  <c r="BM118" i="15"/>
  <c r="BN117" i="15"/>
  <c r="OF119" i="15"/>
  <c r="AK119" i="15"/>
  <c r="AL119" i="15" s="1"/>
  <c r="DY118" i="15"/>
  <c r="DZ117" i="15"/>
  <c r="QP118" i="15"/>
  <c r="IK118" i="15"/>
  <c r="IL117" i="15"/>
  <c r="GS119" i="15"/>
  <c r="GT119" i="15" s="1"/>
  <c r="Q118" i="15"/>
  <c r="R117" i="15"/>
  <c r="TZ119" i="15"/>
  <c r="LJ118" i="15"/>
  <c r="TI118" i="15"/>
  <c r="TJ117" i="15"/>
  <c r="JI118" i="15"/>
  <c r="JJ117" i="15"/>
  <c r="LA118" i="15"/>
  <c r="LB117" i="15"/>
  <c r="UG118" i="15"/>
  <c r="UH117" i="15"/>
  <c r="MC119" i="15"/>
  <c r="MD119" i="15" s="1"/>
  <c r="PQ118" i="15"/>
  <c r="PR117" i="15"/>
  <c r="KG118" i="15"/>
  <c r="KH117" i="15"/>
  <c r="EC118" i="15"/>
  <c r="ED117" i="15"/>
  <c r="SC118" i="15"/>
  <c r="SD117" i="15"/>
  <c r="AS118" i="15"/>
  <c r="AT117" i="15"/>
  <c r="GP118" i="15"/>
  <c r="PA118" i="15"/>
  <c r="PB117" i="15"/>
  <c r="JE118" i="15"/>
  <c r="JF117" i="15"/>
  <c r="HA118" i="15"/>
  <c r="HB117" i="15"/>
  <c r="CP119" i="15"/>
  <c r="FM119" i="15"/>
  <c r="FN119" i="15" s="1"/>
  <c r="SH118" i="15"/>
  <c r="HR118" i="15"/>
  <c r="OS118" i="15"/>
  <c r="OT117" i="15"/>
  <c r="BY118" i="15"/>
  <c r="BZ117" i="15"/>
  <c r="MK118" i="15"/>
  <c r="ML117" i="15"/>
  <c r="CG118" i="15"/>
  <c r="CH117" i="15"/>
  <c r="OO118" i="15"/>
  <c r="OP117" i="15"/>
  <c r="M118" i="15"/>
  <c r="N117" i="15"/>
  <c r="OG118" i="15"/>
  <c r="LQ119" i="15"/>
  <c r="LR119" i="15" s="1"/>
  <c r="PJ118" i="15"/>
  <c r="OW118" i="15"/>
  <c r="OX117" i="15"/>
  <c r="FU119" i="15"/>
  <c r="FV119" i="15" s="1"/>
  <c r="DU118" i="15"/>
  <c r="DV117" i="15"/>
  <c r="NM118" i="15"/>
  <c r="NN117" i="15"/>
  <c r="OK119" i="15"/>
  <c r="OL119" i="15" s="1"/>
  <c r="KC118" i="15"/>
  <c r="KD117" i="15"/>
  <c r="IT118" i="15"/>
  <c r="UK118" i="15"/>
  <c r="UL117" i="15"/>
  <c r="OC118" i="15"/>
  <c r="OD117" i="15"/>
  <c r="AG119" i="15"/>
  <c r="AH119" i="15" s="1"/>
  <c r="AC119" i="15"/>
  <c r="AD119" i="15" s="1"/>
  <c r="HI118" i="15"/>
  <c r="HJ117" i="15"/>
  <c r="TQ118" i="15"/>
  <c r="TR117" i="15"/>
  <c r="BQ119" i="15"/>
  <c r="BR119" i="15" s="1"/>
  <c r="EO119" i="15"/>
  <c r="EP119" i="15" s="1"/>
  <c r="NU118" i="15"/>
  <c r="NV117" i="15"/>
  <c r="PU118" i="15"/>
  <c r="PV117" i="15"/>
  <c r="LY119" i="15"/>
  <c r="LZ119" i="15" s="1"/>
  <c r="AW118" i="15"/>
  <c r="AX117" i="15"/>
  <c r="FE119" i="15"/>
  <c r="FF119" i="15" s="1"/>
  <c r="BI119" i="15"/>
  <c r="BJ119" i="15" s="1"/>
  <c r="JQ118" i="15"/>
  <c r="JR117" i="15"/>
  <c r="LU118" i="15"/>
  <c r="LV117" i="15"/>
  <c r="IO118" i="15"/>
  <c r="IP117" i="15"/>
  <c r="SS118" i="15"/>
  <c r="ST117" i="15"/>
  <c r="SO119" i="15"/>
  <c r="SP119" i="15" s="1"/>
  <c r="CB119" i="15"/>
  <c r="KW118" i="15"/>
  <c r="KX117" i="15"/>
  <c r="NB117" i="15"/>
  <c r="RU118" i="15"/>
  <c r="RV117" i="15"/>
  <c r="LE118" i="15"/>
  <c r="LF117" i="15"/>
  <c r="DM119" i="15"/>
  <c r="DN119" i="15" s="1"/>
  <c r="GK118" i="15"/>
  <c r="GL117" i="15"/>
  <c r="AO119" i="15"/>
  <c r="AP119" i="15" s="1"/>
  <c r="MW118" i="15"/>
  <c r="MX117" i="15"/>
  <c r="CC118" i="15"/>
  <c r="CD118" i="15" s="1"/>
  <c r="EL118" i="15"/>
  <c r="GX118" i="15"/>
  <c r="QC118" i="15"/>
  <c r="QD117" i="15"/>
  <c r="NE118" i="15"/>
  <c r="NF117" i="15"/>
  <c r="HM119" i="15"/>
  <c r="HN119" i="15" s="1"/>
  <c r="H119" i="15"/>
  <c r="SX119" i="15"/>
  <c r="UO119" i="15"/>
  <c r="UP119" i="15" s="1"/>
  <c r="PY119" i="15"/>
  <c r="PZ119" i="15" s="1"/>
  <c r="TV119" i="15"/>
  <c r="F119" i="15"/>
  <c r="CW118" i="15"/>
  <c r="CX117" i="15"/>
  <c r="MG119" i="15"/>
  <c r="MH119" i="15" s="1"/>
  <c r="ID118" i="15"/>
  <c r="JU118" i="15"/>
  <c r="JV117" i="15"/>
  <c r="DI118" i="15"/>
  <c r="DJ117" i="15"/>
  <c r="V118" i="15"/>
  <c r="TA118" i="15"/>
  <c r="TB117" i="15"/>
  <c r="PE119" i="15"/>
  <c r="PF119" i="15" s="1"/>
  <c r="RQ118" i="15"/>
  <c r="RR117" i="15"/>
  <c r="QK118" i="15"/>
  <c r="QL117" i="15"/>
  <c r="PM118" i="15"/>
  <c r="PN118" i="15" s="1"/>
  <c r="MZ119" i="15"/>
  <c r="BF119" i="15"/>
  <c r="CR119" i="15"/>
  <c r="HU118" i="15"/>
  <c r="HV117" i="15"/>
  <c r="MS118" i="15"/>
  <c r="MT117" i="15"/>
  <c r="DE118" i="15"/>
  <c r="DF117" i="15"/>
  <c r="UC118" i="15"/>
  <c r="UD117" i="15"/>
  <c r="RA118" i="15"/>
  <c r="RB117" i="15"/>
  <c r="RI119" i="15"/>
  <c r="RJ119" i="15" s="1"/>
  <c r="F123" i="2"/>
  <c r="G123" i="2" s="1"/>
  <c r="G122" i="2"/>
  <c r="E8" i="1"/>
  <c r="OG119" i="15" l="1"/>
  <c r="BM119" i="15"/>
  <c r="BN119" i="15" s="1"/>
  <c r="BN118" i="15"/>
  <c r="NI119" i="15"/>
  <c r="NJ119" i="15" s="1"/>
  <c r="NJ118" i="15"/>
  <c r="HA119" i="15"/>
  <c r="HB119" i="15" s="1"/>
  <c r="HB118" i="15"/>
  <c r="PQ119" i="15"/>
  <c r="PR119" i="15" s="1"/>
  <c r="PR118" i="15"/>
  <c r="EW119" i="15"/>
  <c r="EX119" i="15" s="1"/>
  <c r="EX118" i="15"/>
  <c r="JQ119" i="15"/>
  <c r="JR119" i="15" s="1"/>
  <c r="JR118" i="15"/>
  <c r="BY119" i="15"/>
  <c r="BZ119" i="15" s="1"/>
  <c r="BZ118" i="15"/>
  <c r="Q119" i="15"/>
  <c r="R119" i="15" s="1"/>
  <c r="R118" i="15"/>
  <c r="NQ119" i="15"/>
  <c r="NR119" i="15" s="1"/>
  <c r="NR118" i="15"/>
  <c r="KW119" i="15"/>
  <c r="KX119" i="15" s="1"/>
  <c r="KX118" i="15"/>
  <c r="OO119" i="15"/>
  <c r="OP119" i="15" s="1"/>
  <c r="OP118" i="15"/>
  <c r="RQ119" i="15"/>
  <c r="RR119" i="15" s="1"/>
  <c r="RR118" i="15"/>
  <c r="UG119" i="15"/>
  <c r="UH119" i="15" s="1"/>
  <c r="UH118" i="15"/>
  <c r="ES119" i="15"/>
  <c r="ET119" i="15" s="1"/>
  <c r="ET118" i="15"/>
  <c r="QK119" i="15"/>
  <c r="QL119" i="15" s="1"/>
  <c r="QL118" i="15"/>
  <c r="FA119" i="15"/>
  <c r="FB119" i="15" s="1"/>
  <c r="FB118" i="15"/>
  <c r="IW119" i="15"/>
  <c r="IX119" i="15" s="1"/>
  <c r="IX118" i="15"/>
  <c r="MW119" i="15"/>
  <c r="MX119" i="15" s="1"/>
  <c r="MX118" i="15"/>
  <c r="PA119" i="15"/>
  <c r="PB119" i="15" s="1"/>
  <c r="PB118" i="15"/>
  <c r="LA119" i="15"/>
  <c r="LB119" i="15" s="1"/>
  <c r="LB118" i="15"/>
  <c r="IK119" i="15"/>
  <c r="IL119" i="15" s="1"/>
  <c r="IL118" i="15"/>
  <c r="AW119" i="15"/>
  <c r="AX119" i="15" s="1"/>
  <c r="AX118" i="15"/>
  <c r="Y119" i="15"/>
  <c r="Z119" i="15" s="1"/>
  <c r="Z118" i="15"/>
  <c r="GG119" i="15"/>
  <c r="GH119" i="15" s="1"/>
  <c r="GH118" i="15"/>
  <c r="NY119" i="15"/>
  <c r="NZ119" i="15" s="1"/>
  <c r="NZ118" i="15"/>
  <c r="OS119" i="15"/>
  <c r="OT119" i="15" s="1"/>
  <c r="OT118" i="15"/>
  <c r="JI119" i="15"/>
  <c r="JJ119" i="15" s="1"/>
  <c r="JJ118" i="15"/>
  <c r="TA119" i="15"/>
  <c r="TB119" i="15" s="1"/>
  <c r="TB118" i="15"/>
  <c r="GK119" i="15"/>
  <c r="GL119" i="15" s="1"/>
  <c r="GL118" i="15"/>
  <c r="US119" i="15"/>
  <c r="UT119" i="15" s="1"/>
  <c r="UT118" i="15"/>
  <c r="M119" i="15"/>
  <c r="N119" i="15" s="1"/>
  <c r="N118" i="15"/>
  <c r="JE119" i="15"/>
  <c r="JF119" i="15" s="1"/>
  <c r="JF118" i="15"/>
  <c r="SS119" i="15"/>
  <c r="ST119" i="15" s="1"/>
  <c r="ST118" i="15"/>
  <c r="QG119" i="15"/>
  <c r="QH119" i="15" s="1"/>
  <c r="QH118" i="15"/>
  <c r="TQ119" i="15"/>
  <c r="TR119" i="15" s="1"/>
  <c r="TR118" i="15"/>
  <c r="MS119" i="15"/>
  <c r="MT119" i="15" s="1"/>
  <c r="MT118" i="15"/>
  <c r="NM119" i="15"/>
  <c r="NN119" i="15" s="1"/>
  <c r="NN118" i="15"/>
  <c r="IO119" i="15"/>
  <c r="IP119" i="15" s="1"/>
  <c r="IP118" i="15"/>
  <c r="BU119" i="15"/>
  <c r="BV119" i="15" s="1"/>
  <c r="HI119" i="15"/>
  <c r="HJ119" i="15" s="1"/>
  <c r="HJ118" i="15"/>
  <c r="OW119" i="15"/>
  <c r="OX119" i="15" s="1"/>
  <c r="OX118" i="15"/>
  <c r="RU119" i="15"/>
  <c r="RV119" i="15" s="1"/>
  <c r="RV118" i="15"/>
  <c r="LU119" i="15"/>
  <c r="LV119" i="15" s="1"/>
  <c r="LV118" i="15"/>
  <c r="DE119" i="15"/>
  <c r="DF119" i="15" s="1"/>
  <c r="DF118" i="15"/>
  <c r="AS119" i="15"/>
  <c r="AT119" i="15" s="1"/>
  <c r="AT118" i="15"/>
  <c r="OH119" i="15"/>
  <c r="KC119" i="15"/>
  <c r="KD119" i="15" s="1"/>
  <c r="KD118" i="15"/>
  <c r="DU119" i="15"/>
  <c r="DV119" i="15" s="1"/>
  <c r="DV118" i="15"/>
  <c r="DI119" i="15"/>
  <c r="DJ119" i="15" s="1"/>
  <c r="DJ118" i="15"/>
  <c r="QC119" i="15"/>
  <c r="QD119" i="15" s="1"/>
  <c r="QD118" i="15"/>
  <c r="RM119" i="15"/>
  <c r="RN119" i="15" s="1"/>
  <c r="RN118" i="15"/>
  <c r="NA119" i="15"/>
  <c r="NB119" i="15" s="1"/>
  <c r="TI119" i="15"/>
  <c r="TJ119" i="15" s="1"/>
  <c r="TJ118" i="15"/>
  <c r="OH118" i="15"/>
  <c r="GC119" i="15"/>
  <c r="GD119" i="15" s="1"/>
  <c r="GD118" i="15"/>
  <c r="RY119" i="15"/>
  <c r="RZ119" i="15" s="1"/>
  <c r="RZ118" i="15"/>
  <c r="TE119" i="15"/>
  <c r="TF119" i="15" s="1"/>
  <c r="TF118" i="15"/>
  <c r="KG119" i="15"/>
  <c r="KH119" i="15" s="1"/>
  <c r="KH118" i="15"/>
  <c r="RA119" i="15"/>
  <c r="RB119" i="15" s="1"/>
  <c r="RB118" i="15"/>
  <c r="NE119" i="15"/>
  <c r="NF119" i="15" s="1"/>
  <c r="NF118" i="15"/>
  <c r="MK119" i="15"/>
  <c r="ML119" i="15" s="1"/>
  <c r="ML118" i="15"/>
  <c r="LE119" i="15"/>
  <c r="LF119" i="15" s="1"/>
  <c r="LF118" i="15"/>
  <c r="SC119" i="15"/>
  <c r="SD119" i="15" s="1"/>
  <c r="SD118" i="15"/>
  <c r="TM119" i="15"/>
  <c r="TN119" i="15" s="1"/>
  <c r="TN118" i="15"/>
  <c r="I119" i="15"/>
  <c r="J119" i="15" s="1"/>
  <c r="EC119" i="15"/>
  <c r="ED119" i="15" s="1"/>
  <c r="ED118" i="15"/>
  <c r="HU119" i="15"/>
  <c r="HV119" i="15" s="1"/>
  <c r="HV118" i="15"/>
  <c r="CG119" i="15"/>
  <c r="CH119" i="15" s="1"/>
  <c r="CH118" i="15"/>
  <c r="UC119" i="15"/>
  <c r="UD119" i="15" s="1"/>
  <c r="UD118" i="15"/>
  <c r="DY119" i="15"/>
  <c r="DZ119" i="15" s="1"/>
  <c r="DZ118" i="15"/>
  <c r="JU119" i="15"/>
  <c r="JV119" i="15" s="1"/>
  <c r="JV118" i="15"/>
  <c r="PU119" i="15"/>
  <c r="PV119" i="15" s="1"/>
  <c r="PV118" i="15"/>
  <c r="OC119" i="15"/>
  <c r="OD119" i="15" s="1"/>
  <c r="OD118" i="15"/>
  <c r="PM119" i="15"/>
  <c r="PN119" i="15" s="1"/>
  <c r="CC119" i="15"/>
  <c r="CD119" i="15" s="1"/>
  <c r="UK119" i="15"/>
  <c r="UL119" i="15" s="1"/>
  <c r="UL118" i="15"/>
  <c r="CW119" i="15"/>
  <c r="CX119" i="15" s="1"/>
  <c r="CX118" i="15"/>
  <c r="NU119" i="15"/>
  <c r="NV119" i="15" s="1"/>
  <c r="NV118" i="15"/>
  <c r="FQ119" i="15"/>
  <c r="FR119" i="15" s="1"/>
  <c r="FR118" i="15"/>
  <c r="CS119" i="15"/>
  <c r="CT119" i="15" s="1"/>
  <c r="E25" i="1"/>
  <c r="E17" i="1"/>
  <c r="E9" i="1"/>
  <c r="H2" i="19" l="1" a="1"/>
  <c r="H2" i="19" s="1"/>
  <c r="H56" i="19" a="1"/>
  <c r="H56" i="19" s="1"/>
  <c r="H89" i="19" a="1"/>
  <c r="H89" i="19" s="1"/>
  <c r="H81" i="19" a="1"/>
  <c r="H81" i="19" s="1"/>
  <c r="H68" i="19" a="1"/>
  <c r="H68" i="19" s="1"/>
  <c r="H96" i="19" a="1"/>
  <c r="H96" i="19" s="1"/>
  <c r="H85" i="19" a="1"/>
  <c r="H85" i="19" s="1"/>
  <c r="H124" i="19" a="1"/>
  <c r="H124" i="19" s="1"/>
  <c r="H125" i="19" a="1"/>
  <c r="H125" i="19" s="1"/>
  <c r="H3" i="19" a="1"/>
  <c r="H3" i="19" s="1"/>
  <c r="H129" i="19" a="1"/>
  <c r="H129" i="19" s="1"/>
  <c r="H52" i="19" a="1"/>
  <c r="H52" i="19" s="1"/>
  <c r="H33" i="19" a="1"/>
  <c r="H33" i="19" s="1"/>
  <c r="H6" i="19" a="1"/>
  <c r="H6" i="19" s="1"/>
  <c r="H102" i="19" a="1"/>
  <c r="H102" i="19" s="1"/>
  <c r="H17" i="19" a="1"/>
  <c r="H17" i="19" s="1"/>
  <c r="H90" i="19" a="1"/>
  <c r="H90" i="19" s="1"/>
  <c r="H24" i="19" a="1"/>
  <c r="H24" i="19" s="1"/>
  <c r="H80" i="19" a="1"/>
  <c r="H80" i="19" s="1"/>
  <c r="H10" i="19" a="1"/>
  <c r="H10" i="19" s="1"/>
  <c r="H76" i="19" a="1"/>
  <c r="H76" i="19" s="1"/>
  <c r="H94" i="19" a="1"/>
  <c r="H94" i="19" s="1"/>
  <c r="H105" i="19" a="1"/>
  <c r="H105" i="19" s="1"/>
  <c r="H101" i="19" a="1"/>
  <c r="H101" i="19" s="1"/>
  <c r="H39" i="19" a="1"/>
  <c r="H39" i="19" s="1"/>
  <c r="H69" i="19" a="1"/>
  <c r="H69" i="19" s="1"/>
  <c r="H86" i="19" a="1"/>
  <c r="H86" i="19" s="1"/>
  <c r="H132" i="19" a="1"/>
  <c r="H132" i="19" s="1"/>
  <c r="H95" i="19" a="1"/>
  <c r="H95" i="19" s="1"/>
  <c r="H110" i="19" a="1"/>
  <c r="H110" i="19" s="1"/>
  <c r="H88" i="19" a="1"/>
  <c r="H88" i="19" s="1"/>
  <c r="H104" i="19" a="1"/>
  <c r="H104" i="19" s="1"/>
  <c r="H12" i="19" a="1"/>
  <c r="H12" i="19" s="1"/>
  <c r="H84" i="19" a="1"/>
  <c r="H84" i="19" s="1"/>
  <c r="H118" i="19" a="1"/>
  <c r="H118" i="19" s="1"/>
  <c r="H142" i="19" a="1"/>
  <c r="H142" i="19" s="1"/>
  <c r="H114" i="19" a="1"/>
  <c r="H114" i="19" s="1"/>
  <c r="H119" i="19" a="1"/>
  <c r="H119" i="19" s="1"/>
  <c r="H71" i="19" a="1"/>
  <c r="H71" i="19" s="1"/>
  <c r="H65" i="19" a="1"/>
  <c r="H65" i="19" s="1"/>
  <c r="H61" i="19" a="1"/>
  <c r="H61" i="19" s="1"/>
  <c r="H47" i="19" a="1"/>
  <c r="H47" i="19" s="1"/>
  <c r="H36" i="19" a="1"/>
  <c r="H36" i="19" s="1"/>
  <c r="H70" i="19" a="1"/>
  <c r="H70" i="19" s="1"/>
  <c r="H117" i="19" a="1"/>
  <c r="H117" i="19" s="1"/>
  <c r="H60" i="19" a="1"/>
  <c r="H60" i="19" s="1"/>
  <c r="H4" i="19" a="1"/>
  <c r="H4" i="19" s="1"/>
  <c r="H131" i="19" a="1"/>
  <c r="H131" i="19" s="1"/>
  <c r="H98" i="19" a="1"/>
  <c r="H98" i="19" s="1"/>
  <c r="H135" i="19" a="1"/>
  <c r="H135" i="19" s="1"/>
  <c r="H133" i="19" a="1"/>
  <c r="H133" i="19" s="1"/>
  <c r="H26" i="19" a="1"/>
  <c r="H26" i="19" s="1"/>
  <c r="H141" i="19" a="1"/>
  <c r="H141" i="19" s="1"/>
  <c r="H22" i="19" a="1"/>
  <c r="H22" i="19" s="1"/>
  <c r="H112" i="19" a="1"/>
  <c r="H112" i="19" s="1"/>
  <c r="H103" i="19" a="1"/>
  <c r="H103" i="19" s="1"/>
  <c r="H122" i="19" a="1"/>
  <c r="H122" i="19" s="1"/>
  <c r="H67" i="19" a="1"/>
  <c r="H67" i="19" s="1"/>
  <c r="H107" i="19" a="1"/>
  <c r="H107" i="19" s="1"/>
  <c r="H63" i="19" a="1"/>
  <c r="H63" i="19" s="1"/>
  <c r="H55" i="19" a="1"/>
  <c r="H55" i="19" s="1"/>
  <c r="H140" i="19" a="1"/>
  <c r="H140" i="19" s="1"/>
  <c r="H113" i="19" a="1"/>
  <c r="H113" i="19" s="1"/>
  <c r="H45" i="19" a="1"/>
  <c r="H45" i="19" s="1"/>
  <c r="H127" i="19" a="1"/>
  <c r="H127" i="19" s="1"/>
  <c r="H58" i="19" a="1"/>
  <c r="H58" i="19" s="1"/>
  <c r="H28" i="19" a="1"/>
  <c r="H28" i="19" s="1"/>
  <c r="H40" i="19" a="1"/>
  <c r="H40" i="19" s="1"/>
  <c r="H121" i="19" a="1"/>
  <c r="H121" i="19" s="1"/>
  <c r="H75" i="19" a="1"/>
  <c r="H75" i="19" s="1"/>
  <c r="H38" i="19" a="1"/>
  <c r="H38" i="19" s="1"/>
  <c r="H19" i="19" a="1"/>
  <c r="H19" i="19" s="1"/>
  <c r="H93" i="19" a="1"/>
  <c r="H93" i="19" s="1"/>
  <c r="H99" i="19" a="1"/>
  <c r="H99" i="19" s="1"/>
  <c r="H123" i="19" a="1"/>
  <c r="H123" i="19" s="1"/>
  <c r="H13" i="19" a="1"/>
  <c r="H13" i="19" s="1"/>
  <c r="H27" i="19" a="1"/>
  <c r="H27" i="19" s="1"/>
  <c r="H138" i="19" a="1"/>
  <c r="H138" i="19" s="1"/>
  <c r="H9" i="19" a="1"/>
  <c r="H9" i="19" s="1"/>
  <c r="H109" i="19" a="1"/>
  <c r="H109" i="19" s="1"/>
  <c r="H35" i="19" a="1"/>
  <c r="H35" i="19" s="1"/>
  <c r="H44" i="19" a="1"/>
  <c r="H44" i="19" s="1"/>
  <c r="H79" i="19" a="1"/>
  <c r="H79" i="19" s="1"/>
  <c r="H34" i="19" a="1"/>
  <c r="H34" i="19" s="1"/>
  <c r="H115" i="19" a="1"/>
  <c r="H115" i="19" s="1"/>
  <c r="H41" i="19" a="1"/>
  <c r="H41" i="19" s="1"/>
  <c r="H97" i="19" a="1"/>
  <c r="H97" i="19" s="1"/>
  <c r="H31" i="19" a="1"/>
  <c r="H31" i="19" s="1"/>
  <c r="H49" i="19" a="1"/>
  <c r="H49" i="19" s="1"/>
  <c r="H15" i="19" a="1"/>
  <c r="H15" i="19" s="1"/>
  <c r="H128" i="19" a="1"/>
  <c r="H128" i="19" s="1"/>
  <c r="H72" i="19" a="1"/>
  <c r="H72" i="19" s="1"/>
  <c r="H82" i="19" a="1"/>
  <c r="H82" i="19" s="1"/>
  <c r="H66" i="19" a="1"/>
  <c r="H66" i="19" s="1"/>
  <c r="H120" i="19" a="1"/>
  <c r="H120" i="19" s="1"/>
  <c r="H54" i="19" a="1"/>
  <c r="H54" i="19" s="1"/>
  <c r="H7" i="19" a="1"/>
  <c r="H7" i="19" s="1"/>
  <c r="H64" i="19" a="1"/>
  <c r="H64" i="19" s="1"/>
  <c r="H136" i="19" a="1"/>
  <c r="H136" i="19" s="1"/>
  <c r="H5" i="19" a="1"/>
  <c r="H5" i="19" s="1"/>
  <c r="H21" i="19" a="1"/>
  <c r="H21" i="19" s="1"/>
  <c r="H83" i="19" a="1"/>
  <c r="H83" i="19" s="1"/>
  <c r="H92" i="19" a="1"/>
  <c r="H92" i="19" s="1"/>
  <c r="H16" i="19" a="1"/>
  <c r="H16" i="19" s="1"/>
  <c r="H8" i="19" a="1"/>
  <c r="H8" i="19" s="1"/>
  <c r="H130" i="19" a="1"/>
  <c r="H130" i="19" s="1"/>
  <c r="H126" i="19" a="1"/>
  <c r="H126" i="19" s="1"/>
  <c r="H134" i="19" a="1"/>
  <c r="H134" i="19" s="1"/>
  <c r="H29" i="19" a="1"/>
  <c r="H29" i="19" s="1"/>
  <c r="H51" i="19" a="1"/>
  <c r="H51" i="19" s="1"/>
  <c r="H32" i="19" a="1"/>
  <c r="H32" i="19" s="1"/>
  <c r="H108" i="19" a="1"/>
  <c r="H108" i="19" s="1"/>
  <c r="H42" i="19" a="1"/>
  <c r="H42" i="19" s="1"/>
  <c r="H111" i="19" a="1"/>
  <c r="H111" i="19" s="1"/>
  <c r="H48" i="19" a="1"/>
  <c r="H48" i="19" s="1"/>
  <c r="H18" i="19" a="1"/>
  <c r="H18" i="19" s="1"/>
  <c r="H11" i="19" a="1"/>
  <c r="H11" i="19" s="1"/>
  <c r="H106" i="19" a="1"/>
  <c r="H106" i="19" s="1"/>
  <c r="H23" i="19" a="1"/>
  <c r="H23" i="19" s="1"/>
  <c r="H116" i="19" a="1"/>
  <c r="H116" i="19" s="1"/>
  <c r="H73" i="19" a="1"/>
  <c r="H73" i="19" s="1"/>
  <c r="H20" i="19" a="1"/>
  <c r="H20" i="19" s="1"/>
  <c r="H14" i="19" a="1"/>
  <c r="H14" i="19" s="1"/>
  <c r="H137" i="19" a="1"/>
  <c r="H137" i="19" s="1"/>
  <c r="H53" i="19" a="1"/>
  <c r="H53" i="19" s="1"/>
  <c r="H30" i="19" a="1"/>
  <c r="H30" i="19" s="1"/>
  <c r="H87" i="19" a="1"/>
  <c r="H87" i="19" s="1"/>
  <c r="H100" i="19" a="1"/>
  <c r="H100" i="19" s="1"/>
  <c r="H78" i="19" a="1"/>
  <c r="H78" i="19" s="1"/>
  <c r="H59" i="19" a="1"/>
  <c r="H59" i="19" s="1"/>
  <c r="H77" i="19" a="1"/>
  <c r="H77" i="19" s="1"/>
  <c r="H139" i="19" a="1"/>
  <c r="H139" i="19" s="1"/>
  <c r="H91" i="19" a="1"/>
  <c r="H91" i="19" s="1"/>
  <c r="H62" i="19" a="1"/>
  <c r="H62" i="19" s="1"/>
  <c r="H46" i="19" a="1"/>
  <c r="H46" i="19" s="1"/>
  <c r="H37" i="19" a="1"/>
  <c r="H37" i="19" s="1"/>
  <c r="H57" i="19" a="1"/>
  <c r="H57" i="19" s="1"/>
  <c r="H50" i="19" a="1"/>
  <c r="H50" i="19" s="1"/>
  <c r="H25" i="19" a="1"/>
  <c r="H25" i="19" s="1"/>
  <c r="H74" i="19" a="1"/>
  <c r="H74" i="19" s="1"/>
  <c r="H43" i="19" a="1"/>
  <c r="H43" i="19" s="1"/>
  <c r="K137" i="16" a="1"/>
  <c r="K137" i="16" s="1"/>
  <c r="U137" i="16" s="1"/>
  <c r="V137" i="16" s="1"/>
  <c r="K29" i="16" a="1"/>
  <c r="K29" i="16" s="1"/>
  <c r="K20" i="17" a="1"/>
  <c r="K20" i="17" s="1"/>
  <c r="U20" i="17" s="1"/>
  <c r="V20" i="17" s="1"/>
  <c r="K36" i="16" a="1"/>
  <c r="K36" i="16" s="1"/>
  <c r="K99" i="16" a="1"/>
  <c r="K99" i="16" s="1"/>
  <c r="U99" i="16" s="1"/>
  <c r="V99" i="16" s="1"/>
  <c r="K47" i="16" a="1"/>
  <c r="K47" i="16" s="1"/>
  <c r="U47" i="16" s="1"/>
  <c r="V47" i="16" s="1"/>
  <c r="K42" i="17" a="1"/>
  <c r="K42" i="17" s="1"/>
  <c r="K26" i="17" a="1"/>
  <c r="K26" i="17" s="1"/>
  <c r="K18" i="16" a="1"/>
  <c r="K18" i="16" s="1"/>
  <c r="U18" i="16" s="1"/>
  <c r="V18" i="16" s="1"/>
  <c r="K146" i="17" a="1"/>
  <c r="K146" i="17" s="1"/>
  <c r="U146" i="17" s="1"/>
  <c r="V146" i="17" s="1"/>
  <c r="K27" i="16" a="1"/>
  <c r="K27" i="16" s="1"/>
  <c r="U27" i="16" s="1"/>
  <c r="V27" i="16" s="1"/>
  <c r="K114" i="17" a="1"/>
  <c r="K114" i="17" s="1"/>
  <c r="U114" i="17" s="1"/>
  <c r="V114" i="17" s="1"/>
  <c r="K124" i="16" a="1"/>
  <c r="K124" i="16" s="1"/>
  <c r="U124" i="16" s="1"/>
  <c r="V124" i="16" s="1"/>
  <c r="X124" i="16" s="1"/>
  <c r="K84" i="16" a="1"/>
  <c r="K84" i="16" s="1"/>
  <c r="U84" i="16" s="1"/>
  <c r="V84" i="16" s="1"/>
  <c r="K26" i="16" a="1"/>
  <c r="K26" i="16" s="1"/>
  <c r="K64" i="17" a="1"/>
  <c r="K64" i="17" s="1"/>
  <c r="U64" i="17" s="1"/>
  <c r="V64" i="17" s="1"/>
  <c r="K104" i="17" a="1"/>
  <c r="K104" i="17" s="1"/>
  <c r="U104" i="17" s="1"/>
  <c r="V104" i="17" s="1"/>
  <c r="K12" i="16" a="1"/>
  <c r="K12" i="16" s="1"/>
  <c r="K40" i="17" a="1"/>
  <c r="K40" i="17" s="1"/>
  <c r="U40" i="17" s="1"/>
  <c r="V40" i="17" s="1"/>
  <c r="K48" i="17" a="1"/>
  <c r="K48" i="17" s="1"/>
  <c r="U48" i="17" s="1"/>
  <c r="V48" i="17" s="1"/>
  <c r="K62" i="17" a="1"/>
  <c r="K62" i="17" s="1"/>
  <c r="U62" i="17" s="1"/>
  <c r="V62" i="17" s="1"/>
  <c r="K88" i="17" a="1"/>
  <c r="K88" i="17" s="1"/>
  <c r="U88" i="17" s="1"/>
  <c r="V88" i="17" s="1"/>
  <c r="K43" i="17" a="1"/>
  <c r="K43" i="17" s="1"/>
  <c r="U43" i="17" s="1"/>
  <c r="V43" i="17" s="1"/>
  <c r="K88" i="16" a="1"/>
  <c r="K88" i="16" s="1"/>
  <c r="U88" i="16" s="1"/>
  <c r="V88" i="16" s="1"/>
  <c r="K36" i="17" a="1"/>
  <c r="K36" i="17" s="1"/>
  <c r="U36" i="17" s="1"/>
  <c r="V36" i="17" s="1"/>
  <c r="K32" i="17" a="1"/>
  <c r="K32" i="17" s="1"/>
  <c r="U32" i="17" s="1"/>
  <c r="V32" i="17" s="1"/>
  <c r="K72" i="17" a="1"/>
  <c r="K72" i="17" s="1"/>
  <c r="U72" i="17" s="1"/>
  <c r="V72" i="17" s="1"/>
  <c r="K81" i="17" a="1"/>
  <c r="K81" i="17" s="1"/>
  <c r="U81" i="17" s="1"/>
  <c r="V81" i="17" s="1"/>
  <c r="K114" i="16" a="1"/>
  <c r="K114" i="16" s="1"/>
  <c r="U114" i="16" s="1"/>
  <c r="V114" i="16" s="1"/>
  <c r="K91" i="16" a="1"/>
  <c r="K91" i="16" s="1"/>
  <c r="U91" i="16" s="1"/>
  <c r="V91" i="16" s="1"/>
  <c r="K15" i="16" a="1"/>
  <c r="K15" i="16" s="1"/>
  <c r="K90" i="16" a="1"/>
  <c r="K90" i="16" s="1"/>
  <c r="U90" i="16" s="1"/>
  <c r="V90" i="16" s="1"/>
  <c r="K35" i="17" a="1"/>
  <c r="K35" i="17" s="1"/>
  <c r="K97" i="16" a="1"/>
  <c r="K97" i="16" s="1"/>
  <c r="U97" i="16" s="1"/>
  <c r="V97" i="16" s="1"/>
  <c r="K22" i="17" a="1"/>
  <c r="K22" i="17" s="1"/>
  <c r="K53" i="16" a="1"/>
  <c r="K53" i="16" s="1"/>
  <c r="U53" i="16" s="1"/>
  <c r="V53" i="16" s="1"/>
  <c r="K33" i="16" a="1"/>
  <c r="K33" i="16" s="1"/>
  <c r="U33" i="16" s="1"/>
  <c r="V33" i="16" s="1"/>
  <c r="K31" i="16" a="1"/>
  <c r="K31" i="16" s="1"/>
  <c r="U31" i="16" s="1"/>
  <c r="V31" i="16" s="1"/>
  <c r="K145" i="17" a="1"/>
  <c r="K145" i="17" s="1"/>
  <c r="U145" i="17" s="1"/>
  <c r="V145" i="17" s="1"/>
  <c r="K133" i="16" a="1"/>
  <c r="K133" i="16" s="1"/>
  <c r="U133" i="16" s="1"/>
  <c r="V133" i="16" s="1"/>
  <c r="X133" i="16" s="1"/>
  <c r="K149" i="17" a="1"/>
  <c r="K149" i="17" s="1"/>
  <c r="U149" i="17" s="1"/>
  <c r="V149" i="17" s="1"/>
  <c r="K77" i="16" a="1"/>
  <c r="K77" i="16" s="1"/>
  <c r="U77" i="16" s="1"/>
  <c r="V77" i="16" s="1"/>
  <c r="K104" i="16" a="1"/>
  <c r="K104" i="16" s="1"/>
  <c r="U104" i="16" s="1"/>
  <c r="V104" i="16" s="1"/>
  <c r="K85" i="17" a="1"/>
  <c r="K85" i="17" s="1"/>
  <c r="U85" i="17" s="1"/>
  <c r="V85" i="17" s="1"/>
  <c r="K119" i="16" a="1"/>
  <c r="K119" i="16" s="1"/>
  <c r="U119" i="16" s="1"/>
  <c r="V119" i="16" s="1"/>
  <c r="K47" i="17" a="1"/>
  <c r="K47" i="17" s="1"/>
  <c r="U47" i="17" s="1"/>
  <c r="V47" i="17" s="1"/>
  <c r="K100" i="17" a="1"/>
  <c r="K100" i="17" s="1"/>
  <c r="U100" i="17" s="1"/>
  <c r="V100" i="17" s="1"/>
  <c r="K50" i="17" a="1"/>
  <c r="K50" i="17" s="1"/>
  <c r="U50" i="17" s="1"/>
  <c r="V50" i="17" s="1"/>
  <c r="K44" i="16" a="1"/>
  <c r="K44" i="16" s="1"/>
  <c r="U44" i="16" s="1"/>
  <c r="V44" i="16" s="1"/>
  <c r="K42" i="16" a="1"/>
  <c r="K42" i="16" s="1"/>
  <c r="U42" i="16" s="1"/>
  <c r="V42" i="16" s="1"/>
  <c r="K46" i="16" a="1"/>
  <c r="K46" i="16" s="1"/>
  <c r="U46" i="16" s="1"/>
  <c r="V46" i="16" s="1"/>
  <c r="K58" i="16" a="1"/>
  <c r="K58" i="16" s="1"/>
  <c r="U58" i="16" s="1"/>
  <c r="V58" i="16" s="1"/>
  <c r="K66" i="16" a="1"/>
  <c r="K66" i="16" s="1"/>
  <c r="U66" i="16" s="1"/>
  <c r="V66" i="16" s="1"/>
  <c r="K112" i="16" a="1"/>
  <c r="K112" i="16" s="1"/>
  <c r="U112" i="16" s="1"/>
  <c r="V112" i="16" s="1"/>
  <c r="K13" i="17" a="1"/>
  <c r="K13" i="17" s="1"/>
  <c r="U13" i="17" s="1"/>
  <c r="V13" i="17" s="1"/>
  <c r="X13" i="17" s="1"/>
  <c r="K14" i="16" a="1"/>
  <c r="K14" i="16" s="1"/>
  <c r="K22" i="16" a="1"/>
  <c r="K22" i="16" s="1"/>
  <c r="U22" i="16" s="1"/>
  <c r="V22" i="16" s="1"/>
  <c r="K78" i="17" a="1"/>
  <c r="K78" i="17" s="1"/>
  <c r="U78" i="17" s="1"/>
  <c r="V78" i="17" s="1"/>
  <c r="K84" i="17" a="1"/>
  <c r="K84" i="17" s="1"/>
  <c r="U84" i="17" s="1"/>
  <c r="V84" i="17" s="1"/>
  <c r="K123" i="16" a="1"/>
  <c r="K123" i="16" s="1"/>
  <c r="U123" i="16" s="1"/>
  <c r="V123" i="16" s="1"/>
  <c r="X123" i="16" s="1"/>
  <c r="K98" i="16" a="1"/>
  <c r="K98" i="16" s="1"/>
  <c r="U98" i="16" s="1"/>
  <c r="V98" i="16" s="1"/>
  <c r="K90" i="17" a="1"/>
  <c r="K90" i="17" s="1"/>
  <c r="U90" i="17" s="1"/>
  <c r="V90" i="17" s="1"/>
  <c r="K100" i="16" a="1"/>
  <c r="K100" i="16" s="1"/>
  <c r="U100" i="16" s="1"/>
  <c r="V100" i="16" s="1"/>
  <c r="K62" i="16" a="1"/>
  <c r="K62" i="16" s="1"/>
  <c r="U62" i="16" s="1"/>
  <c r="V62" i="16" s="1"/>
  <c r="K86" i="16" a="1"/>
  <c r="K86" i="16" s="1"/>
  <c r="U86" i="16" s="1"/>
  <c r="V86" i="16" s="1"/>
  <c r="K74" i="17" a="1"/>
  <c r="K74" i="17" s="1"/>
  <c r="U74" i="17" s="1"/>
  <c r="V74" i="17" s="1"/>
  <c r="K85" i="16" a="1"/>
  <c r="K85" i="16" s="1"/>
  <c r="U85" i="16" s="1"/>
  <c r="V85" i="16" s="1"/>
  <c r="K44" i="17" a="1"/>
  <c r="K44" i="17" s="1"/>
  <c r="U44" i="17" s="1"/>
  <c r="V44" i="17" s="1"/>
  <c r="K79" i="16" a="1"/>
  <c r="K79" i="16" s="1"/>
  <c r="U79" i="16" s="1"/>
  <c r="V79" i="16" s="1"/>
  <c r="K28" i="16" a="1"/>
  <c r="K28" i="16" s="1"/>
  <c r="U28" i="16" s="1"/>
  <c r="V28" i="16" s="1"/>
  <c r="K43" i="16" a="1"/>
  <c r="K43" i="16" s="1"/>
  <c r="U43" i="16" s="1"/>
  <c r="V43" i="16" s="1"/>
  <c r="K17" i="17" a="1"/>
  <c r="K17" i="17" s="1"/>
  <c r="U17" i="17" s="1"/>
  <c r="V17" i="17" s="1"/>
  <c r="K25" i="17" a="1"/>
  <c r="K25" i="17" s="1"/>
  <c r="U25" i="17" s="1"/>
  <c r="V25" i="17" s="1"/>
  <c r="K65" i="17" a="1"/>
  <c r="K65" i="17" s="1"/>
  <c r="U65" i="17" s="1"/>
  <c r="V65" i="17" s="1"/>
  <c r="K53" i="17" a="1"/>
  <c r="K53" i="17" s="1"/>
  <c r="U53" i="17" s="1"/>
  <c r="V53" i="17" s="1"/>
  <c r="K110" i="16" a="1"/>
  <c r="K110" i="16" s="1"/>
  <c r="U110" i="16" s="1"/>
  <c r="V110" i="16" s="1"/>
  <c r="K134" i="17" a="1"/>
  <c r="K134" i="17" s="1"/>
  <c r="U134" i="17" s="1"/>
  <c r="V134" i="17" s="1"/>
  <c r="K136" i="17" a="1"/>
  <c r="K136" i="17" s="1"/>
  <c r="U136" i="17" s="1"/>
  <c r="V136" i="17" s="1"/>
  <c r="K74" i="16" a="1"/>
  <c r="K74" i="16" s="1"/>
  <c r="U74" i="16" s="1"/>
  <c r="V74" i="16" s="1"/>
  <c r="K87" i="16" a="1"/>
  <c r="K87" i="16" s="1"/>
  <c r="U87" i="16" s="1"/>
  <c r="V87" i="16" s="1"/>
  <c r="K89" i="16" a="1"/>
  <c r="K89" i="16" s="1"/>
  <c r="U89" i="16" s="1"/>
  <c r="V89" i="16" s="1"/>
  <c r="K115" i="16" a="1"/>
  <c r="K115" i="16" s="1"/>
  <c r="U115" i="16" s="1"/>
  <c r="V115" i="16" s="1"/>
  <c r="K28" i="17" a="1"/>
  <c r="K28" i="17" s="1"/>
  <c r="K129" i="17" a="1"/>
  <c r="K129" i="17" s="1"/>
  <c r="U129" i="17" s="1"/>
  <c r="V129" i="17" s="1"/>
  <c r="K75" i="16" a="1"/>
  <c r="K75" i="16" s="1"/>
  <c r="U75" i="16" s="1"/>
  <c r="V75" i="16" s="1"/>
  <c r="K57" i="17" a="1"/>
  <c r="K57" i="17" s="1"/>
  <c r="U57" i="17" s="1"/>
  <c r="V57" i="17" s="1"/>
  <c r="K73" i="16" a="1"/>
  <c r="K73" i="16" s="1"/>
  <c r="U73" i="16" s="1"/>
  <c r="V73" i="16" s="1"/>
  <c r="K120" i="16" a="1"/>
  <c r="K120" i="16" s="1"/>
  <c r="U120" i="16" s="1"/>
  <c r="V120" i="16" s="1"/>
  <c r="K103" i="17" a="1"/>
  <c r="K103" i="17" s="1"/>
  <c r="U103" i="17" s="1"/>
  <c r="V103" i="17" s="1"/>
  <c r="K60" i="17" a="1"/>
  <c r="K60" i="17" s="1"/>
  <c r="U60" i="17" s="1"/>
  <c r="V60" i="17" s="1"/>
  <c r="K66" i="17" a="1"/>
  <c r="K66" i="17" s="1"/>
  <c r="U66" i="17" s="1"/>
  <c r="V66" i="17" s="1"/>
  <c r="K77" i="17" a="1"/>
  <c r="K77" i="17" s="1"/>
  <c r="U77" i="17" s="1"/>
  <c r="V77" i="17" s="1"/>
  <c r="K138" i="17" a="1"/>
  <c r="K138" i="17" s="1"/>
  <c r="U138" i="17" s="1"/>
  <c r="V138" i="17" s="1"/>
  <c r="K20" i="16" a="1"/>
  <c r="K20" i="16" s="1"/>
  <c r="U20" i="16" s="1"/>
  <c r="V20" i="16" s="1"/>
  <c r="K112" i="17" a="1"/>
  <c r="K112" i="17" s="1"/>
  <c r="U112" i="17" s="1"/>
  <c r="V112" i="17" s="1"/>
  <c r="K56" i="17" a="1"/>
  <c r="K56" i="17" s="1"/>
  <c r="U56" i="17" s="1"/>
  <c r="V56" i="17" s="1"/>
  <c r="K122" i="16" a="1"/>
  <c r="K122" i="16" s="1"/>
  <c r="U122" i="16" s="1"/>
  <c r="V122" i="16" s="1"/>
  <c r="X122" i="16" s="1"/>
  <c r="K147" i="17" a="1"/>
  <c r="K147" i="17" s="1"/>
  <c r="U147" i="17" s="1"/>
  <c r="V147" i="17" s="1"/>
  <c r="K64" i="16" a="1"/>
  <c r="K64" i="16" s="1"/>
  <c r="U64" i="16" s="1"/>
  <c r="V64" i="16" s="1"/>
  <c r="K52" i="16" a="1"/>
  <c r="K52" i="16" s="1"/>
  <c r="U52" i="16" s="1"/>
  <c r="V52" i="16" s="1"/>
  <c r="K37" i="16" a="1"/>
  <c r="K37" i="16" s="1"/>
  <c r="U37" i="16" s="1"/>
  <c r="V37" i="16" s="1"/>
  <c r="K78" i="16" a="1"/>
  <c r="K78" i="16" s="1"/>
  <c r="U78" i="16" s="1"/>
  <c r="V78" i="16" s="1"/>
  <c r="K59" i="17" a="1"/>
  <c r="K59" i="17" s="1"/>
  <c r="U59" i="17" s="1"/>
  <c r="V59" i="17" s="1"/>
  <c r="K11" i="17" a="1"/>
  <c r="K11" i="17" s="1"/>
  <c r="U11" i="17" s="1"/>
  <c r="V11" i="17" s="1"/>
  <c r="K123" i="17" a="1"/>
  <c r="K123" i="17" s="1"/>
  <c r="U123" i="17" s="1"/>
  <c r="V123" i="17" s="1"/>
  <c r="K133" i="17" a="1"/>
  <c r="K133" i="17" s="1"/>
  <c r="U133" i="17" s="1"/>
  <c r="V133" i="17" s="1"/>
  <c r="K109" i="16" a="1"/>
  <c r="K109" i="16" s="1"/>
  <c r="U109" i="16" s="1"/>
  <c r="V109" i="16" s="1"/>
  <c r="K71" i="17" a="1"/>
  <c r="K71" i="17" s="1"/>
  <c r="U71" i="17" s="1"/>
  <c r="V71" i="17" s="1"/>
  <c r="K81" i="16" a="1"/>
  <c r="K81" i="16" s="1"/>
  <c r="U81" i="16" s="1"/>
  <c r="V81" i="16" s="1"/>
  <c r="K134" i="16" a="1"/>
  <c r="K134" i="16" s="1"/>
  <c r="U134" i="16" s="1"/>
  <c r="V134" i="16" s="1"/>
  <c r="K16" i="17" a="1"/>
  <c r="K16" i="17" s="1"/>
  <c r="K83" i="16" a="1"/>
  <c r="K83" i="16" s="1"/>
  <c r="U83" i="16" s="1"/>
  <c r="V83" i="16" s="1"/>
  <c r="K131" i="16" a="1"/>
  <c r="K131" i="16" s="1"/>
  <c r="U131" i="16" s="1"/>
  <c r="V131" i="16" s="1"/>
  <c r="X131" i="16" s="1"/>
  <c r="K113" i="16" a="1"/>
  <c r="K113" i="16" s="1"/>
  <c r="U113" i="16" s="1"/>
  <c r="V113" i="16" s="1"/>
  <c r="K126" i="16" a="1"/>
  <c r="K126" i="16" s="1"/>
  <c r="U126" i="16" s="1"/>
  <c r="V126" i="16" s="1"/>
  <c r="K69" i="17" a="1"/>
  <c r="K69" i="17" s="1"/>
  <c r="U69" i="17" s="1"/>
  <c r="V69" i="17" s="1"/>
  <c r="K51" i="16" a="1"/>
  <c r="K51" i="16" s="1"/>
  <c r="K110" i="17" a="1"/>
  <c r="K110" i="17" s="1"/>
  <c r="U110" i="17" s="1"/>
  <c r="V110" i="17" s="1"/>
  <c r="K32" i="16" a="1"/>
  <c r="K32" i="16" s="1"/>
  <c r="U32" i="16" s="1"/>
  <c r="V32" i="16" s="1"/>
  <c r="K128" i="17" a="1"/>
  <c r="K128" i="17" s="1"/>
  <c r="U128" i="17" s="1"/>
  <c r="V128" i="17" s="1"/>
  <c r="K107" i="16" a="1"/>
  <c r="K107" i="16" s="1"/>
  <c r="U107" i="16" s="1"/>
  <c r="V107" i="16" s="1"/>
  <c r="K16" i="16" a="1"/>
  <c r="K16" i="16" s="1"/>
  <c r="U16" i="16" s="1"/>
  <c r="V16" i="16" s="1"/>
  <c r="K92" i="16" a="1"/>
  <c r="K92" i="16" s="1"/>
  <c r="U92" i="16" s="1"/>
  <c r="V92" i="16" s="1"/>
  <c r="K102" i="16" a="1"/>
  <c r="K102" i="16" s="1"/>
  <c r="U102" i="16" s="1"/>
  <c r="V102" i="16" s="1"/>
  <c r="K107" i="17" a="1"/>
  <c r="K107" i="17" s="1"/>
  <c r="K76" i="16" a="1"/>
  <c r="K76" i="16" s="1"/>
  <c r="U76" i="16" s="1"/>
  <c r="V76" i="16" s="1"/>
  <c r="K141" i="17" a="1"/>
  <c r="K141" i="17" s="1"/>
  <c r="U141" i="17" s="1"/>
  <c r="V141" i="17" s="1"/>
  <c r="K148" i="17" a="1"/>
  <c r="K148" i="17" s="1"/>
  <c r="U148" i="17" s="1"/>
  <c r="V148" i="17" s="1"/>
  <c r="K39" i="16" a="1"/>
  <c r="K39" i="16" s="1"/>
  <c r="U39" i="16" s="1"/>
  <c r="V39" i="16" s="1"/>
  <c r="K49" i="17" a="1"/>
  <c r="K49" i="17" s="1"/>
  <c r="U49" i="17" s="1"/>
  <c r="V49" i="17" s="1"/>
  <c r="K25" i="16" a="1"/>
  <c r="K25" i="16" s="1"/>
  <c r="U25" i="16" s="1"/>
  <c r="V25" i="16" s="1"/>
  <c r="K23" i="16" a="1"/>
  <c r="K23" i="16" s="1"/>
  <c r="U23" i="16" s="1"/>
  <c r="V23" i="16" s="1"/>
  <c r="K137" i="17" a="1"/>
  <c r="K137" i="17" s="1"/>
  <c r="U137" i="17" s="1"/>
  <c r="V137" i="17" s="1"/>
  <c r="K63" i="16" a="1"/>
  <c r="K63" i="16" s="1"/>
  <c r="U63" i="16" s="1"/>
  <c r="V63" i="16" s="1"/>
  <c r="K121" i="16" a="1"/>
  <c r="K121" i="16" s="1"/>
  <c r="U121" i="16" s="1"/>
  <c r="V121" i="16" s="1"/>
  <c r="K51" i="17" a="1"/>
  <c r="K51" i="17" s="1"/>
  <c r="K101" i="16" a="1"/>
  <c r="K101" i="16" s="1"/>
  <c r="U101" i="16" s="1"/>
  <c r="V101" i="16" s="1"/>
  <c r="K75" i="17" a="1"/>
  <c r="K75" i="17" s="1"/>
  <c r="U75" i="17" s="1"/>
  <c r="V75" i="17" s="1"/>
  <c r="K135" i="16" a="1"/>
  <c r="K135" i="16" s="1"/>
  <c r="U135" i="16" s="1"/>
  <c r="V135" i="16" s="1"/>
  <c r="K38" i="16" a="1"/>
  <c r="K38" i="16" s="1"/>
  <c r="U38" i="16" s="1"/>
  <c r="V38" i="16" s="1"/>
  <c r="K76" i="17" a="1"/>
  <c r="K76" i="17" s="1"/>
  <c r="U76" i="17" s="1"/>
  <c r="V76" i="17" s="1"/>
  <c r="K73" i="17" a="1"/>
  <c r="K73" i="17" s="1"/>
  <c r="U73" i="17" s="1"/>
  <c r="V73" i="17" s="1"/>
  <c r="K27" i="17" a="1"/>
  <c r="K27" i="17" s="1"/>
  <c r="K54" i="17" a="1"/>
  <c r="K54" i="17" s="1"/>
  <c r="K17" i="16" a="1"/>
  <c r="K17" i="16" s="1"/>
  <c r="U17" i="16" s="1"/>
  <c r="V17" i="16" s="1"/>
  <c r="K80" i="16" a="1"/>
  <c r="K80" i="16" s="1"/>
  <c r="U80" i="16" s="1"/>
  <c r="V80" i="16" s="1"/>
  <c r="K108" i="17" a="1"/>
  <c r="K108" i="17" s="1"/>
  <c r="U108" i="17" s="1"/>
  <c r="V108" i="17" s="1"/>
  <c r="K82" i="16" a="1"/>
  <c r="K82" i="16" s="1"/>
  <c r="U82" i="16" s="1"/>
  <c r="V82" i="16" s="1"/>
  <c r="K82" i="17" a="1"/>
  <c r="K82" i="17" s="1"/>
  <c r="U82" i="17" s="1"/>
  <c r="V82" i="17" s="1"/>
  <c r="K139" i="17" a="1"/>
  <c r="K139" i="17" s="1"/>
  <c r="U139" i="17" s="1"/>
  <c r="V139" i="17" s="1"/>
  <c r="K99" i="17" a="1"/>
  <c r="K99" i="17" s="1"/>
  <c r="U99" i="17" s="1"/>
  <c r="V99" i="17" s="1"/>
  <c r="K18" i="17" a="1"/>
  <c r="K18" i="17" s="1"/>
  <c r="K72" i="16" a="1"/>
  <c r="K72" i="16" s="1"/>
  <c r="U72" i="16" s="1"/>
  <c r="V72" i="16" s="1"/>
  <c r="K80" i="17" a="1"/>
  <c r="K80" i="17" s="1"/>
  <c r="U80" i="17" s="1"/>
  <c r="V80" i="17" s="1"/>
  <c r="K38" i="17" a="1"/>
  <c r="K38" i="17" s="1"/>
  <c r="U38" i="17" s="1"/>
  <c r="V38" i="17" s="1"/>
  <c r="K109" i="17" a="1"/>
  <c r="K109" i="17" s="1"/>
  <c r="U109" i="17" s="1"/>
  <c r="V109" i="17" s="1"/>
  <c r="K59" i="16" a="1"/>
  <c r="K59" i="16" s="1"/>
  <c r="U59" i="16" s="1"/>
  <c r="V59" i="16" s="1"/>
  <c r="K24" i="17" a="1"/>
  <c r="K24" i="17" s="1"/>
  <c r="U24" i="17" s="1"/>
  <c r="V24" i="17" s="1"/>
  <c r="K58" i="17" a="1"/>
  <c r="K58" i="17" s="1"/>
  <c r="U58" i="17" s="1"/>
  <c r="V58" i="17" s="1"/>
  <c r="K45" i="17" a="1"/>
  <c r="K45" i="17" s="1"/>
  <c r="U45" i="17" s="1"/>
  <c r="V45" i="17" s="1"/>
  <c r="K124" i="17" a="1"/>
  <c r="K124" i="17" s="1"/>
  <c r="U124" i="17" s="1"/>
  <c r="V124" i="17" s="1"/>
  <c r="K105" i="17" a="1"/>
  <c r="K105" i="17" s="1"/>
  <c r="U105" i="17" s="1"/>
  <c r="V105" i="17" s="1"/>
  <c r="K83" i="17" a="1"/>
  <c r="K83" i="17" s="1"/>
  <c r="U83" i="17" s="1"/>
  <c r="V83" i="17" s="1"/>
  <c r="K30" i="16" a="1"/>
  <c r="K30" i="16" s="1"/>
  <c r="U30" i="16" s="1"/>
  <c r="V30" i="16" s="1"/>
  <c r="K95" i="16" a="1"/>
  <c r="K95" i="16" s="1"/>
  <c r="U95" i="16" s="1"/>
  <c r="V95" i="16" s="1"/>
  <c r="K70" i="16" a="1"/>
  <c r="K70" i="16" s="1"/>
  <c r="U70" i="16" s="1"/>
  <c r="V70" i="16" s="1"/>
  <c r="K54" i="16" a="1"/>
  <c r="K54" i="16" s="1"/>
  <c r="U54" i="16" s="1"/>
  <c r="V54" i="16" s="1"/>
  <c r="K46" i="17" a="1"/>
  <c r="K46" i="17" s="1"/>
  <c r="K67" i="17" a="1"/>
  <c r="K67" i="17" s="1"/>
  <c r="K115" i="17" a="1"/>
  <c r="K115" i="17" s="1"/>
  <c r="U115" i="17" s="1"/>
  <c r="V115" i="17" s="1"/>
  <c r="K57" i="16" a="1"/>
  <c r="K57" i="16" s="1"/>
  <c r="U57" i="16" s="1"/>
  <c r="V57" i="16" s="1"/>
  <c r="K129" i="16" a="1"/>
  <c r="K129" i="16" s="1"/>
  <c r="U129" i="16" s="1"/>
  <c r="V129" i="16" s="1"/>
  <c r="K94" i="16" a="1"/>
  <c r="K94" i="16" s="1"/>
  <c r="U94" i="16" s="1"/>
  <c r="V94" i="16" s="1"/>
  <c r="K98" i="17" a="1"/>
  <c r="K98" i="17" s="1"/>
  <c r="U98" i="17" s="1"/>
  <c r="V98" i="17" s="1"/>
  <c r="K106" i="17" a="1"/>
  <c r="K106" i="17" s="1"/>
  <c r="U106" i="17" s="1"/>
  <c r="V106" i="17" s="1"/>
  <c r="K12" i="17" a="1"/>
  <c r="K12" i="17" s="1"/>
  <c r="U12" i="17" s="1"/>
  <c r="V12" i="17" s="1"/>
  <c r="K128" i="16" a="1"/>
  <c r="K128" i="16" s="1"/>
  <c r="U128" i="16" s="1"/>
  <c r="V128" i="16" s="1"/>
  <c r="K61" i="16" a="1"/>
  <c r="K61" i="16" s="1"/>
  <c r="U61" i="16" s="1"/>
  <c r="V61" i="16" s="1"/>
  <c r="K120" i="17" a="1"/>
  <c r="K120" i="17" s="1"/>
  <c r="U120" i="17" s="1"/>
  <c r="V120" i="17" s="1"/>
  <c r="K68" i="17" a="1"/>
  <c r="K68" i="17" s="1"/>
  <c r="U68" i="17" s="1"/>
  <c r="V68" i="17" s="1"/>
  <c r="K19" i="17" a="1"/>
  <c r="K19" i="17" s="1"/>
  <c r="K101" i="17" a="1"/>
  <c r="K101" i="17" s="1"/>
  <c r="U101" i="17" s="1"/>
  <c r="V101" i="17" s="1"/>
  <c r="K136" i="16" a="1"/>
  <c r="K136" i="16" s="1"/>
  <c r="U136" i="16" s="1"/>
  <c r="V136" i="16" s="1"/>
  <c r="K60" i="16" a="1"/>
  <c r="K60" i="16" s="1"/>
  <c r="U60" i="16" s="1"/>
  <c r="V60" i="16" s="1"/>
  <c r="K94" i="17" a="1"/>
  <c r="K94" i="17" s="1"/>
  <c r="U94" i="17" s="1"/>
  <c r="V94" i="17" s="1"/>
  <c r="K108" i="16" a="1"/>
  <c r="K108" i="16" s="1"/>
  <c r="U108" i="16" s="1"/>
  <c r="V108" i="16" s="1"/>
  <c r="K31" i="17" a="1"/>
  <c r="K31" i="17" s="1"/>
  <c r="U31" i="17" s="1"/>
  <c r="V31" i="17" s="1"/>
  <c r="X31" i="17" s="1"/>
  <c r="K21" i="17" a="1"/>
  <c r="K21" i="17" s="1"/>
  <c r="U21" i="17" s="1"/>
  <c r="V21" i="17" s="1"/>
  <c r="K118" i="16" a="1"/>
  <c r="K118" i="16" s="1"/>
  <c r="U118" i="16" s="1"/>
  <c r="V118" i="16" s="1"/>
  <c r="K30" i="17" a="1"/>
  <c r="K30" i="17" s="1"/>
  <c r="U30" i="17" s="1"/>
  <c r="V30" i="17" s="1"/>
  <c r="K65" i="16" a="1"/>
  <c r="K65" i="16" s="1"/>
  <c r="U65" i="16" s="1"/>
  <c r="V65" i="16" s="1"/>
  <c r="K135" i="17" a="1"/>
  <c r="K135" i="17" s="1"/>
  <c r="U135" i="17" s="1"/>
  <c r="V135" i="17" s="1"/>
  <c r="K24" i="16" a="1"/>
  <c r="K24" i="16" s="1"/>
  <c r="U24" i="16" s="1"/>
  <c r="V24" i="16" s="1"/>
  <c r="K41" i="17" a="1"/>
  <c r="K41" i="17" s="1"/>
  <c r="U41" i="17" s="1"/>
  <c r="V41" i="17" s="1"/>
  <c r="K93" i="17" a="1"/>
  <c r="K93" i="17" s="1"/>
  <c r="U93" i="17" s="1"/>
  <c r="V93" i="17" s="1"/>
  <c r="K142" i="17" a="1"/>
  <c r="K142" i="17" s="1"/>
  <c r="U142" i="17" s="1"/>
  <c r="V142" i="17" s="1"/>
  <c r="K13" i="16" a="1"/>
  <c r="K13" i="16" s="1"/>
  <c r="K23" i="17" a="1"/>
  <c r="K23" i="17" s="1"/>
  <c r="U23" i="17" s="1"/>
  <c r="V23" i="17" s="1"/>
  <c r="K68" i="16" a="1"/>
  <c r="K68" i="16" s="1"/>
  <c r="U68" i="16" s="1"/>
  <c r="V68" i="16" s="1"/>
  <c r="K19" i="16" a="1"/>
  <c r="K19" i="16" s="1"/>
  <c r="U19" i="16" s="1"/>
  <c r="V19" i="16" s="1"/>
  <c r="K41" i="16" a="1"/>
  <c r="K41" i="16" s="1"/>
  <c r="U41" i="16" s="1"/>
  <c r="V41" i="16" s="1"/>
  <c r="K52" i="17" a="1"/>
  <c r="K52" i="17" s="1"/>
  <c r="U52" i="17" s="1"/>
  <c r="V52" i="17" s="1"/>
  <c r="K96" i="16" a="1"/>
  <c r="K96" i="16" s="1"/>
  <c r="U96" i="16" s="1"/>
  <c r="V96" i="16" s="1"/>
  <c r="K96" i="17" a="1"/>
  <c r="K96" i="17" s="1"/>
  <c r="U96" i="17" s="1"/>
  <c r="V96" i="17" s="1"/>
  <c r="K35" i="16" a="1"/>
  <c r="K35" i="16" s="1"/>
  <c r="U35" i="16" s="1"/>
  <c r="V35" i="16" s="1"/>
  <c r="K116" i="16" a="1"/>
  <c r="K116" i="16" s="1"/>
  <c r="U116" i="16" s="1"/>
  <c r="V116" i="16" s="1"/>
  <c r="K34" i="16" a="1"/>
  <c r="K34" i="16" s="1"/>
  <c r="K86" i="17" a="1"/>
  <c r="K86" i="17" s="1"/>
  <c r="U86" i="17" s="1"/>
  <c r="V86" i="17" s="1"/>
  <c r="K33" i="17" a="1"/>
  <c r="K33" i="17" s="1"/>
  <c r="U33" i="17" s="1"/>
  <c r="V33" i="17" s="1"/>
  <c r="K125" i="16" a="1"/>
  <c r="K125" i="16" s="1"/>
  <c r="U125" i="16" s="1"/>
  <c r="V125" i="16" s="1"/>
  <c r="K37" i="17" a="1"/>
  <c r="K37" i="17" s="1"/>
  <c r="U37" i="17" s="1"/>
  <c r="V37" i="17" s="1"/>
  <c r="K121" i="17" a="1"/>
  <c r="K121" i="17" s="1"/>
  <c r="U121" i="17" s="1"/>
  <c r="V121" i="17" s="1"/>
  <c r="K63" i="17" a="1"/>
  <c r="K63" i="17" s="1"/>
  <c r="U63" i="17" s="1"/>
  <c r="V63" i="17" s="1"/>
  <c r="K89" i="17" a="1"/>
  <c r="K89" i="17" s="1"/>
  <c r="U89" i="17" s="1"/>
  <c r="V89" i="17" s="1"/>
  <c r="K131" i="17" a="1"/>
  <c r="K131" i="17" s="1"/>
  <c r="U131" i="17" s="1"/>
  <c r="V131" i="17" s="1"/>
  <c r="K11" i="16" a="1"/>
  <c r="K11" i="16" s="1"/>
  <c r="K111" i="17" a="1"/>
  <c r="K111" i="17" s="1"/>
  <c r="U111" i="17" s="1"/>
  <c r="V111" i="17" s="1"/>
  <c r="K29" i="17" a="1"/>
  <c r="K29" i="17" s="1"/>
  <c r="U29" i="17" s="1"/>
  <c r="V29" i="17" s="1"/>
  <c r="K21" i="16" a="1"/>
  <c r="K21" i="16" s="1"/>
  <c r="U21" i="16" s="1"/>
  <c r="V21" i="16" s="1"/>
  <c r="K130" i="16" a="1"/>
  <c r="K130" i="16" s="1"/>
  <c r="U130" i="16" s="1"/>
  <c r="V130" i="16" s="1"/>
  <c r="K116" i="17" a="1"/>
  <c r="K116" i="17" s="1"/>
  <c r="U116" i="17" s="1"/>
  <c r="V116" i="17" s="1"/>
  <c r="K111" i="16" a="1"/>
  <c r="K111" i="16" s="1"/>
  <c r="U111" i="16" s="1"/>
  <c r="V111" i="16" s="1"/>
  <c r="K49" i="16" a="1"/>
  <c r="K49" i="16" s="1"/>
  <c r="U49" i="16" s="1"/>
  <c r="V49" i="16" s="1"/>
  <c r="K132" i="17" a="1"/>
  <c r="K132" i="17" s="1"/>
  <c r="U132" i="17" s="1"/>
  <c r="V132" i="17" s="1"/>
  <c r="K50" i="16" a="1"/>
  <c r="K50" i="16" s="1"/>
  <c r="U50" i="16" s="1"/>
  <c r="V50" i="16" s="1"/>
  <c r="K130" i="17" a="1"/>
  <c r="K130" i="17" s="1"/>
  <c r="U130" i="17" s="1"/>
  <c r="V130" i="17" s="1"/>
  <c r="K103" i="16" a="1"/>
  <c r="K103" i="16" s="1"/>
  <c r="U103" i="16" s="1"/>
  <c r="V103" i="16" s="1"/>
  <c r="K56" i="16" a="1"/>
  <c r="K56" i="16" s="1"/>
  <c r="U56" i="16" s="1"/>
  <c r="V56" i="16" s="1"/>
  <c r="K87" i="17" a="1"/>
  <c r="K87" i="17" s="1"/>
  <c r="U87" i="17" s="1"/>
  <c r="V87" i="17" s="1"/>
  <c r="K15" i="17" a="1"/>
  <c r="K15" i="17" s="1"/>
  <c r="U15" i="17" s="1"/>
  <c r="V15" i="17" s="1"/>
  <c r="K45" i="16" a="1"/>
  <c r="K45" i="16" s="1"/>
  <c r="U45" i="16" s="1"/>
  <c r="V45" i="16" s="1"/>
  <c r="K127" i="16" a="1"/>
  <c r="K127" i="16" s="1"/>
  <c r="U127" i="16" s="1"/>
  <c r="V127" i="16" s="1"/>
  <c r="K105" i="16" a="1"/>
  <c r="K105" i="16" s="1"/>
  <c r="U105" i="16" s="1"/>
  <c r="V105" i="16" s="1"/>
  <c r="K70" i="17" a="1"/>
  <c r="K70" i="17" s="1"/>
  <c r="U70" i="17" s="1"/>
  <c r="V70" i="17" s="1"/>
  <c r="K113" i="17" a="1"/>
  <c r="K113" i="17" s="1"/>
  <c r="U113" i="17" s="1"/>
  <c r="V113" i="17" s="1"/>
  <c r="K39" i="17" a="1"/>
  <c r="K39" i="17" s="1"/>
  <c r="U39" i="17" s="1"/>
  <c r="V39" i="17" s="1"/>
  <c r="K55" i="16" a="1"/>
  <c r="K55" i="16" s="1"/>
  <c r="U55" i="16" s="1"/>
  <c r="V55" i="16" s="1"/>
  <c r="K118" i="17" a="1"/>
  <c r="K118" i="17" s="1"/>
  <c r="U118" i="17" s="1"/>
  <c r="V118" i="17" s="1"/>
  <c r="K97" i="17" a="1"/>
  <c r="K97" i="17" s="1"/>
  <c r="U97" i="17" s="1"/>
  <c r="V97" i="17" s="1"/>
  <c r="K69" i="16" a="1"/>
  <c r="K69" i="16" s="1"/>
  <c r="U69" i="16" s="1"/>
  <c r="V69" i="16" s="1"/>
  <c r="K117" i="16" a="1"/>
  <c r="K117" i="16" s="1"/>
  <c r="U117" i="16" s="1"/>
  <c r="V117" i="16" s="1"/>
  <c r="K14" i="17" a="1"/>
  <c r="K14" i="17" s="1"/>
  <c r="U14" i="17" s="1"/>
  <c r="V14" i="17" s="1"/>
  <c r="K71" i="16" a="1"/>
  <c r="K71" i="16" s="1"/>
  <c r="U71" i="16" s="1"/>
  <c r="V71" i="16" s="1"/>
  <c r="K34" i="17" a="1"/>
  <c r="K34" i="17" s="1"/>
  <c r="U34" i="17" s="1"/>
  <c r="V34" i="17" s="1"/>
  <c r="K40" i="16" a="1"/>
  <c r="K40" i="16" s="1"/>
  <c r="U40" i="16" s="1"/>
  <c r="V40" i="16" s="1"/>
  <c r="K48" i="16" a="1"/>
  <c r="K48" i="16" s="1"/>
  <c r="U48" i="16" s="1"/>
  <c r="V48" i="16" s="1"/>
  <c r="K55" i="17" a="1"/>
  <c r="K55" i="17" s="1"/>
  <c r="U55" i="17" s="1"/>
  <c r="V55" i="17" s="1"/>
  <c r="K93" i="16" a="1"/>
  <c r="K93" i="16" s="1"/>
  <c r="U93" i="16" s="1"/>
  <c r="V93" i="16" s="1"/>
  <c r="K132" i="16" a="1"/>
  <c r="K132" i="16" s="1"/>
  <c r="U132" i="16" s="1"/>
  <c r="V132" i="16" s="1"/>
  <c r="K67" i="16" a="1"/>
  <c r="K67" i="16" s="1"/>
  <c r="U67" i="16" s="1"/>
  <c r="V67" i="16" s="1"/>
  <c r="K102" i="17" a="1"/>
  <c r="K102" i="17" s="1"/>
  <c r="U102" i="17" s="1"/>
  <c r="V102" i="17" s="1"/>
  <c r="K79" i="17" a="1"/>
  <c r="K79" i="17" s="1"/>
  <c r="U79" i="17" s="1"/>
  <c r="V79" i="17" s="1"/>
  <c r="K127" i="17" a="1"/>
  <c r="K127" i="17" s="1"/>
  <c r="U127" i="17" s="1"/>
  <c r="V127" i="17" s="1"/>
  <c r="K106" i="16" a="1"/>
  <c r="K106" i="16" s="1"/>
  <c r="U106" i="16" s="1"/>
  <c r="V106" i="16" s="1"/>
  <c r="K121" i="4" a="1"/>
  <c r="K121" i="4" s="1"/>
  <c r="K49" i="4" a="1"/>
  <c r="K49" i="4" s="1"/>
  <c r="K22" i="4" a="1"/>
  <c r="K22" i="4" s="1"/>
  <c r="K29" i="4" a="1"/>
  <c r="K29" i="4" s="1"/>
  <c r="K128" i="4" a="1"/>
  <c r="K128" i="4" s="1"/>
  <c r="K12" i="4" a="1"/>
  <c r="K12" i="4" s="1"/>
  <c r="K118" i="4" a="1"/>
  <c r="K118" i="4" s="1"/>
  <c r="K70" i="4" a="1"/>
  <c r="K70" i="4" s="1"/>
  <c r="K45" i="4" a="1"/>
  <c r="K45" i="4" s="1"/>
  <c r="K42" i="4" a="1"/>
  <c r="K42" i="4" s="1"/>
  <c r="K27" i="4" a="1"/>
  <c r="K27" i="4" s="1"/>
  <c r="K11" i="4" a="1"/>
  <c r="K11" i="4" s="1"/>
  <c r="K135" i="4" a="1"/>
  <c r="K135" i="4" s="1"/>
  <c r="K54" i="4" a="1"/>
  <c r="K54" i="4" s="1"/>
  <c r="K102" i="4" a="1"/>
  <c r="K102" i="4" s="1"/>
  <c r="K113" i="4" a="1"/>
  <c r="K113" i="4" s="1"/>
  <c r="K133" i="4" a="1"/>
  <c r="K133" i="4" s="1"/>
  <c r="K43" i="4" a="1"/>
  <c r="K43" i="4" s="1"/>
  <c r="K99" i="4" a="1"/>
  <c r="K99" i="4" s="1"/>
  <c r="K84" i="4" a="1"/>
  <c r="K84" i="4" s="1"/>
  <c r="K62" i="4" a="1"/>
  <c r="K62" i="4" s="1"/>
  <c r="K104" i="4" a="1"/>
  <c r="K104" i="4" s="1"/>
  <c r="K136" i="4" a="1"/>
  <c r="K136" i="4" s="1"/>
  <c r="K120" i="4" a="1"/>
  <c r="K120" i="4" s="1"/>
  <c r="K119" i="4" a="1"/>
  <c r="K119" i="4" s="1"/>
  <c r="K111" i="4" a="1"/>
  <c r="K111" i="4" s="1"/>
  <c r="K15" i="4" a="1"/>
  <c r="K15" i="4" s="1"/>
  <c r="K44" i="4" a="1"/>
  <c r="K44" i="4" s="1"/>
  <c r="K82" i="4" a="1"/>
  <c r="K82" i="4" s="1"/>
  <c r="K122" i="4" a="1"/>
  <c r="K122" i="4" s="1"/>
  <c r="K25" i="4" a="1"/>
  <c r="K25" i="4" s="1"/>
  <c r="K19" i="4" a="1"/>
  <c r="K19" i="4" s="1"/>
  <c r="K124" i="4" a="1"/>
  <c r="K124" i="4" s="1"/>
  <c r="K89" i="4" a="1"/>
  <c r="K89" i="4" s="1"/>
  <c r="K88" i="4" a="1"/>
  <c r="K88" i="4" s="1"/>
  <c r="K81" i="4" a="1"/>
  <c r="K81" i="4" s="1"/>
  <c r="K110" i="4" a="1"/>
  <c r="K110" i="4" s="1"/>
  <c r="K60" i="4" a="1"/>
  <c r="K60" i="4" s="1"/>
  <c r="K74" i="4" a="1"/>
  <c r="K74" i="4" s="1"/>
  <c r="K50" i="4" a="1"/>
  <c r="K50" i="4" s="1"/>
  <c r="K79" i="4" a="1"/>
  <c r="K79" i="4" s="1"/>
  <c r="K21" i="4" a="1"/>
  <c r="K21" i="4" s="1"/>
  <c r="K137" i="4" a="1"/>
  <c r="K137" i="4" s="1"/>
  <c r="K109" i="4" a="1"/>
  <c r="K109" i="4" s="1"/>
  <c r="K23" i="4" a="1"/>
  <c r="K23" i="4" s="1"/>
  <c r="K129" i="4" a="1"/>
  <c r="K129" i="4" s="1"/>
  <c r="K92" i="4" a="1"/>
  <c r="K92" i="4" s="1"/>
  <c r="K30" i="4" a="1"/>
  <c r="K30" i="4" s="1"/>
  <c r="K73" i="4" a="1"/>
  <c r="K73" i="4" s="1"/>
  <c r="K134" i="4" a="1"/>
  <c r="K134" i="4" s="1"/>
  <c r="K47" i="4" a="1"/>
  <c r="K47" i="4" s="1"/>
  <c r="K41" i="4" a="1"/>
  <c r="K41" i="4" s="1"/>
  <c r="K16" i="4" a="1"/>
  <c r="K16" i="4" s="1"/>
  <c r="K97" i="4" a="1"/>
  <c r="K97" i="4" s="1"/>
  <c r="K36" i="4" a="1"/>
  <c r="K36" i="4" s="1"/>
  <c r="K38" i="4" a="1"/>
  <c r="K38" i="4" s="1"/>
  <c r="K100" i="4" a="1"/>
  <c r="K100" i="4" s="1"/>
  <c r="K46" i="4" a="1"/>
  <c r="K46" i="4" s="1"/>
  <c r="K131" i="4" a="1"/>
  <c r="K131" i="4" s="1"/>
  <c r="K14" i="4" a="1"/>
  <c r="K14" i="4" s="1"/>
  <c r="K130" i="4" a="1"/>
  <c r="K130" i="4" s="1"/>
  <c r="K33" i="4" a="1"/>
  <c r="K33" i="4" s="1"/>
  <c r="K69" i="4" a="1"/>
  <c r="K69" i="4" s="1"/>
  <c r="K103" i="4" a="1"/>
  <c r="K103" i="4" s="1"/>
  <c r="K95" i="4" a="1"/>
  <c r="K95" i="4" s="1"/>
  <c r="K77" i="4" a="1"/>
  <c r="K77" i="4" s="1"/>
  <c r="K52" i="4" a="1"/>
  <c r="K52" i="4" s="1"/>
  <c r="K58" i="4" a="1"/>
  <c r="K58" i="4" s="1"/>
  <c r="K90" i="4" a="1"/>
  <c r="K90" i="4" s="1"/>
  <c r="K26" i="4" a="1"/>
  <c r="K26" i="4" s="1"/>
  <c r="K98" i="4" a="1"/>
  <c r="K98" i="4" s="1"/>
  <c r="K61" i="4" a="1"/>
  <c r="K61" i="4" s="1"/>
  <c r="K94" i="4" a="1"/>
  <c r="K94" i="4" s="1"/>
  <c r="K56" i="4" a="1"/>
  <c r="K56" i="4" s="1"/>
  <c r="K20" i="4" a="1"/>
  <c r="K20" i="4" s="1"/>
  <c r="K51" i="4" a="1"/>
  <c r="K51" i="4" s="1"/>
  <c r="K48" i="4" a="1"/>
  <c r="K48" i="4" s="1"/>
  <c r="K28" i="4" a="1"/>
  <c r="K28" i="4" s="1"/>
  <c r="K18" i="4" a="1"/>
  <c r="K18" i="4" s="1"/>
  <c r="K107" i="4" a="1"/>
  <c r="K107" i="4" s="1"/>
  <c r="K123" i="4" a="1"/>
  <c r="K123" i="4" s="1"/>
  <c r="K64" i="4" a="1"/>
  <c r="K64" i="4" s="1"/>
  <c r="K31" i="4" a="1"/>
  <c r="K31" i="4" s="1"/>
  <c r="K87" i="4" a="1"/>
  <c r="K87" i="4" s="1"/>
  <c r="K78" i="4" a="1"/>
  <c r="K78" i="4" s="1"/>
  <c r="K76" i="4" a="1"/>
  <c r="K76" i="4" s="1"/>
  <c r="K101" i="4" a="1"/>
  <c r="K101" i="4" s="1"/>
  <c r="K37" i="4" a="1"/>
  <c r="K37" i="4" s="1"/>
  <c r="K112" i="4" a="1"/>
  <c r="K112" i="4" s="1"/>
  <c r="K85" i="4" a="1"/>
  <c r="K85" i="4" s="1"/>
  <c r="K91" i="4" a="1"/>
  <c r="K91" i="4" s="1"/>
  <c r="K24" i="4" a="1"/>
  <c r="K24" i="4" s="1"/>
  <c r="K126" i="4" a="1"/>
  <c r="K126" i="4" s="1"/>
  <c r="K66" i="4" a="1"/>
  <c r="K66" i="4" s="1"/>
  <c r="K35" i="4" a="1"/>
  <c r="K35" i="4" s="1"/>
  <c r="K13" i="4" a="1"/>
  <c r="K13" i="4" s="1"/>
  <c r="K32" i="4" a="1"/>
  <c r="K32" i="4" s="1"/>
  <c r="K83" i="4" a="1"/>
  <c r="K83" i="4" s="1"/>
  <c r="K17" i="4" a="1"/>
  <c r="K17" i="4" s="1"/>
  <c r="K115" i="4" a="1"/>
  <c r="K115" i="4" s="1"/>
  <c r="K75" i="4" a="1"/>
  <c r="K75" i="4" s="1"/>
  <c r="K117" i="4" a="1"/>
  <c r="K117" i="4" s="1"/>
  <c r="K55" i="4" a="1"/>
  <c r="K55" i="4" s="1"/>
  <c r="K127" i="4" a="1"/>
  <c r="K127" i="4" s="1"/>
  <c r="K71" i="4" a="1"/>
  <c r="K71" i="4" s="1"/>
  <c r="K39" i="4" a="1"/>
  <c r="K39" i="4" s="1"/>
  <c r="K67" i="4" a="1"/>
  <c r="K67" i="4" s="1"/>
  <c r="K93" i="4" a="1"/>
  <c r="K93" i="4" s="1"/>
  <c r="K65" i="4" a="1"/>
  <c r="K65" i="4" s="1"/>
  <c r="K63" i="4" a="1"/>
  <c r="K63" i="4" s="1"/>
  <c r="K108" i="4" a="1"/>
  <c r="K108" i="4" s="1"/>
  <c r="K96" i="4" a="1"/>
  <c r="K96" i="4" s="1"/>
  <c r="K132" i="4" a="1"/>
  <c r="K132" i="4" s="1"/>
  <c r="K57" i="4" a="1"/>
  <c r="K57" i="4" s="1"/>
  <c r="K72" i="4" a="1"/>
  <c r="K72" i="4" s="1"/>
  <c r="K53" i="4" a="1"/>
  <c r="K53" i="4" s="1"/>
  <c r="K116" i="4" a="1"/>
  <c r="K116" i="4" s="1"/>
  <c r="K86" i="4" a="1"/>
  <c r="K86" i="4" s="1"/>
  <c r="K114" i="4" a="1"/>
  <c r="K114" i="4" s="1"/>
  <c r="K125" i="4" a="1"/>
  <c r="K125" i="4" s="1"/>
  <c r="K106" i="4" a="1"/>
  <c r="K106" i="4" s="1"/>
  <c r="K105" i="4" a="1"/>
  <c r="K105" i="4" s="1"/>
  <c r="K40" i="4" a="1"/>
  <c r="K40" i="4" s="1"/>
  <c r="K80" i="4" a="1"/>
  <c r="K80" i="4" s="1"/>
  <c r="K34" i="4" a="1"/>
  <c r="K34" i="4" s="1"/>
  <c r="K59" i="4" a="1"/>
  <c r="K59" i="4" s="1"/>
  <c r="K68" i="4" a="1"/>
  <c r="K68" i="4" s="1"/>
  <c r="K19" i="18" l="1"/>
  <c r="U19" i="18" s="1"/>
  <c r="K87" i="18"/>
  <c r="U87" i="18" s="1"/>
  <c r="K125" i="18"/>
  <c r="U125" i="18" s="1"/>
  <c r="K41" i="18"/>
  <c r="U41" i="18" s="1"/>
  <c r="K28" i="18"/>
  <c r="U28" i="18" s="1"/>
  <c r="K25" i="18"/>
  <c r="U25" i="18" s="1"/>
  <c r="K55" i="18"/>
  <c r="U55" i="18" s="1"/>
  <c r="K13" i="18"/>
  <c r="U13" i="18" s="1"/>
  <c r="K148" i="18"/>
  <c r="U148" i="18" s="1"/>
  <c r="U61" i="4"/>
  <c r="K64" i="18"/>
  <c r="U64" i="18" s="1"/>
  <c r="U41" i="4"/>
  <c r="K82" i="18"/>
  <c r="U82" i="18" s="1"/>
  <c r="K16" i="18"/>
  <c r="U16" i="18" s="1"/>
  <c r="U135" i="4"/>
  <c r="K85" i="18"/>
  <c r="U85" i="18" s="1"/>
  <c r="U108" i="4"/>
  <c r="K126" i="18"/>
  <c r="U126" i="18" s="1"/>
  <c r="U91" i="4"/>
  <c r="K31" i="18"/>
  <c r="U31" i="18" s="1"/>
  <c r="U98" i="4"/>
  <c r="K78" i="18"/>
  <c r="U78" i="18" s="1"/>
  <c r="U47" i="4"/>
  <c r="K77" i="18"/>
  <c r="U77" i="18" s="1"/>
  <c r="U25" i="4"/>
  <c r="K20" i="18"/>
  <c r="U20" i="18" s="1"/>
  <c r="U27" i="4"/>
  <c r="K39" i="18"/>
  <c r="U39" i="18" s="1"/>
  <c r="U85" i="4"/>
  <c r="K54" i="18"/>
  <c r="U54" i="18" s="1"/>
  <c r="U26" i="4"/>
  <c r="K65" i="18"/>
  <c r="U65" i="18" s="1"/>
  <c r="U134" i="4"/>
  <c r="K109" i="18"/>
  <c r="U109" i="18" s="1"/>
  <c r="U42" i="4"/>
  <c r="K59" i="18"/>
  <c r="U59" i="18" s="1"/>
  <c r="U132" i="4"/>
  <c r="K143" i="18"/>
  <c r="U143" i="18" s="1"/>
  <c r="U96" i="4"/>
  <c r="K120" i="18"/>
  <c r="U120" i="18" s="1"/>
  <c r="U112" i="4"/>
  <c r="K129" i="18"/>
  <c r="U129" i="18" s="1"/>
  <c r="U90" i="4"/>
  <c r="K50" i="18"/>
  <c r="U50" i="18" s="1"/>
  <c r="U73" i="4"/>
  <c r="K127" i="18"/>
  <c r="U127" i="18" s="1"/>
  <c r="U82" i="4"/>
  <c r="K44" i="18"/>
  <c r="U44" i="18" s="1"/>
  <c r="U45" i="4"/>
  <c r="K62" i="18"/>
  <c r="U62" i="18" s="1"/>
  <c r="U94" i="4"/>
  <c r="K60" i="18"/>
  <c r="U60" i="18" s="1"/>
  <c r="U65" i="4"/>
  <c r="K79" i="18"/>
  <c r="U79" i="18" s="1"/>
  <c r="U70" i="4"/>
  <c r="K70" i="18"/>
  <c r="U70" i="18" s="1"/>
  <c r="U52" i="4"/>
  <c r="K83" i="18"/>
  <c r="U83" i="18" s="1"/>
  <c r="U111" i="4"/>
  <c r="K96" i="18"/>
  <c r="U96" i="18" s="1"/>
  <c r="U34" i="4"/>
  <c r="K53" i="18"/>
  <c r="U53" i="18" s="1"/>
  <c r="U71" i="4"/>
  <c r="K124" i="18"/>
  <c r="U124" i="18" s="1"/>
  <c r="U78" i="4"/>
  <c r="K130" i="18"/>
  <c r="U130" i="18" s="1"/>
  <c r="U95" i="4"/>
  <c r="K136" i="18"/>
  <c r="U136" i="18" s="1"/>
  <c r="U23" i="4"/>
  <c r="K52" i="18"/>
  <c r="U52" i="18" s="1"/>
  <c r="U119" i="4"/>
  <c r="K131" i="18"/>
  <c r="U131" i="18" s="1"/>
  <c r="U128" i="4"/>
  <c r="K134" i="18"/>
  <c r="U134" i="18" s="1"/>
  <c r="U39" i="4"/>
  <c r="K32" i="18"/>
  <c r="U32" i="18" s="1"/>
  <c r="U109" i="4"/>
  <c r="K147" i="18"/>
  <c r="U147" i="18" s="1"/>
  <c r="U120" i="4"/>
  <c r="K116" i="18"/>
  <c r="U116" i="18" s="1"/>
  <c r="U29" i="4"/>
  <c r="K48" i="18"/>
  <c r="U48" i="18" s="1"/>
  <c r="U59" i="4"/>
  <c r="K108" i="18"/>
  <c r="U108" i="18" s="1"/>
  <c r="U103" i="4"/>
  <c r="K67" i="18"/>
  <c r="U67" i="18" s="1"/>
  <c r="U136" i="4"/>
  <c r="K61" i="18"/>
  <c r="U61" i="18" s="1"/>
  <c r="U22" i="4"/>
  <c r="K15" i="18"/>
  <c r="U15" i="18" s="1"/>
  <c r="U126" i="4"/>
  <c r="K81" i="18"/>
  <c r="U81" i="18" s="1"/>
  <c r="U63" i="4"/>
  <c r="K29" i="18"/>
  <c r="U29" i="18" s="1"/>
  <c r="U44" i="4"/>
  <c r="K95" i="18"/>
  <c r="U95" i="18" s="1"/>
  <c r="U101" i="4"/>
  <c r="K111" i="18"/>
  <c r="U111" i="18" s="1"/>
  <c r="U77" i="4"/>
  <c r="K74" i="18"/>
  <c r="U74" i="18" s="1"/>
  <c r="U87" i="4"/>
  <c r="K117" i="18"/>
  <c r="U117" i="18" s="1"/>
  <c r="U69" i="4"/>
  <c r="K91" i="18"/>
  <c r="U91" i="18" s="1"/>
  <c r="U104" i="4"/>
  <c r="K138" i="18"/>
  <c r="U138" i="18" s="1"/>
  <c r="U75" i="4"/>
  <c r="K63" i="18"/>
  <c r="U63" i="18" s="1"/>
  <c r="K142" i="18"/>
  <c r="U142" i="18" s="1"/>
  <c r="U130" i="4"/>
  <c r="K92" i="18"/>
  <c r="U92" i="18" s="1"/>
  <c r="U79" i="4"/>
  <c r="K115" i="18"/>
  <c r="U115" i="18" s="1"/>
  <c r="U62" i="4"/>
  <c r="K47" i="18"/>
  <c r="U47" i="18" s="1"/>
  <c r="U37" i="4"/>
  <c r="K14" i="18"/>
  <c r="U14" i="18" s="1"/>
  <c r="U49" i="4"/>
  <c r="K68" i="18"/>
  <c r="U68" i="18" s="1"/>
  <c r="U106" i="4"/>
  <c r="K105" i="18"/>
  <c r="U105" i="18" s="1"/>
  <c r="U125" i="4"/>
  <c r="K106" i="18"/>
  <c r="U106" i="18" s="1"/>
  <c r="U115" i="4"/>
  <c r="K141" i="18"/>
  <c r="U141" i="18" s="1"/>
  <c r="U107" i="4"/>
  <c r="K149" i="18"/>
  <c r="U149" i="18" s="1"/>
  <c r="U14" i="4"/>
  <c r="K30" i="18"/>
  <c r="U30" i="18" s="1"/>
  <c r="U50" i="4"/>
  <c r="K45" i="18"/>
  <c r="U45" i="18" s="1"/>
  <c r="U84" i="4"/>
  <c r="K80" i="18"/>
  <c r="U80" i="18" s="1"/>
  <c r="U58" i="4"/>
  <c r="K33" i="18"/>
  <c r="U33" i="18" s="1"/>
  <c r="U129" i="4"/>
  <c r="K118" i="18"/>
  <c r="U118" i="18" s="1"/>
  <c r="U55" i="4"/>
  <c r="K23" i="18"/>
  <c r="U23" i="18" s="1"/>
  <c r="U114" i="4"/>
  <c r="K146" i="18"/>
  <c r="U146" i="18" s="1"/>
  <c r="U74" i="4"/>
  <c r="K110" i="18"/>
  <c r="U110" i="18" s="1"/>
  <c r="U99" i="4"/>
  <c r="K56" i="18"/>
  <c r="U56" i="18" s="1"/>
  <c r="U68" i="4"/>
  <c r="K113" i="18"/>
  <c r="U113" i="18" s="1"/>
  <c r="U137" i="4"/>
  <c r="K137" i="18"/>
  <c r="U137" i="18" s="1"/>
  <c r="U131" i="4"/>
  <c r="K150" i="18"/>
  <c r="U150" i="18" s="1"/>
  <c r="U60" i="4"/>
  <c r="K86" i="18"/>
  <c r="U86" i="18" s="1"/>
  <c r="U43" i="4"/>
  <c r="K40" i="18"/>
  <c r="U40" i="18" s="1"/>
  <c r="U117" i="4"/>
  <c r="K101" i="18"/>
  <c r="U101" i="18" s="1"/>
  <c r="U83" i="4"/>
  <c r="K102" i="18"/>
  <c r="U102" i="18" s="1"/>
  <c r="U100" i="4"/>
  <c r="K36" i="18"/>
  <c r="U36" i="18" s="1"/>
  <c r="U105" i="4"/>
  <c r="K122" i="18"/>
  <c r="U122" i="18" s="1"/>
  <c r="U86" i="4"/>
  <c r="K133" i="18"/>
  <c r="U133" i="18" s="1"/>
  <c r="U48" i="4"/>
  <c r="K38" i="18"/>
  <c r="U38" i="18" s="1"/>
  <c r="U53" i="4"/>
  <c r="K58" i="18"/>
  <c r="U58" i="18" s="1"/>
  <c r="U113" i="4"/>
  <c r="K112" i="18"/>
  <c r="U112" i="18" s="1"/>
  <c r="U93" i="4"/>
  <c r="K84" i="18"/>
  <c r="U84" i="18" s="1"/>
  <c r="U92" i="4"/>
  <c r="K107" i="18"/>
  <c r="U107" i="18" s="1"/>
  <c r="U31" i="4"/>
  <c r="K43" i="18"/>
  <c r="U43" i="18" s="1"/>
  <c r="U33" i="4"/>
  <c r="K75" i="18"/>
  <c r="U75" i="18" s="1"/>
  <c r="U17" i="4"/>
  <c r="K22" i="18"/>
  <c r="U22" i="18" s="1"/>
  <c r="U28" i="4"/>
  <c r="K71" i="18"/>
  <c r="U71" i="18" s="1"/>
  <c r="U116" i="4"/>
  <c r="K123" i="18"/>
  <c r="U123" i="18" s="1"/>
  <c r="U110" i="4"/>
  <c r="K140" i="18"/>
  <c r="U140" i="18" s="1"/>
  <c r="U51" i="4"/>
  <c r="K104" i="18"/>
  <c r="U104" i="18" s="1"/>
  <c r="U81" i="4"/>
  <c r="K69" i="18"/>
  <c r="U69" i="18" s="1"/>
  <c r="U72" i="4"/>
  <c r="K93" i="18"/>
  <c r="U93" i="18" s="1"/>
  <c r="U35" i="4"/>
  <c r="K35" i="18"/>
  <c r="U35" i="18" s="1"/>
  <c r="U20" i="4"/>
  <c r="K12" i="18"/>
  <c r="U12" i="18" s="1"/>
  <c r="U36" i="4"/>
  <c r="K24" i="18"/>
  <c r="U24" i="18" s="1"/>
  <c r="U88" i="4"/>
  <c r="K94" i="18"/>
  <c r="U94" i="18" s="1"/>
  <c r="U102" i="4"/>
  <c r="K88" i="18"/>
  <c r="U88" i="18" s="1"/>
  <c r="U24" i="4"/>
  <c r="K34" i="18"/>
  <c r="U34" i="18" s="1"/>
  <c r="U30" i="4"/>
  <c r="K21" i="18"/>
  <c r="U21" i="18" s="1"/>
  <c r="U67" i="4"/>
  <c r="K37" i="18"/>
  <c r="U37" i="18" s="1"/>
  <c r="U118" i="4"/>
  <c r="K76" i="18"/>
  <c r="U76" i="18" s="1"/>
  <c r="U76" i="4"/>
  <c r="K97" i="18"/>
  <c r="U97" i="18" s="1"/>
  <c r="U80" i="4"/>
  <c r="K89" i="18"/>
  <c r="U89" i="18" s="1"/>
  <c r="U40" i="4"/>
  <c r="K18" i="18"/>
  <c r="U18" i="18" s="1"/>
  <c r="U21" i="4"/>
  <c r="K27" i="18"/>
  <c r="U27" i="18" s="1"/>
  <c r="U18" i="4"/>
  <c r="K46" i="18"/>
  <c r="U46" i="18" s="1"/>
  <c r="U46" i="4"/>
  <c r="K99" i="18"/>
  <c r="U99" i="18" s="1"/>
  <c r="U32" i="4"/>
  <c r="K26" i="18"/>
  <c r="U26" i="18" s="1"/>
  <c r="U133" i="4"/>
  <c r="K128" i="18"/>
  <c r="U128" i="18" s="1"/>
  <c r="U38" i="4"/>
  <c r="K49" i="18"/>
  <c r="U49" i="18" s="1"/>
  <c r="U57" i="4"/>
  <c r="K51" i="18"/>
  <c r="U51" i="18" s="1"/>
  <c r="U66" i="4"/>
  <c r="K57" i="18"/>
  <c r="U57" i="18" s="1"/>
  <c r="U56" i="4"/>
  <c r="K73" i="18"/>
  <c r="U73" i="18" s="1"/>
  <c r="U97" i="4"/>
  <c r="K100" i="18"/>
  <c r="U100" i="18" s="1"/>
  <c r="U89" i="4"/>
  <c r="K72" i="18"/>
  <c r="U72" i="18" s="1"/>
  <c r="U54" i="4"/>
  <c r="K42" i="18"/>
  <c r="U42" i="18" s="1"/>
  <c r="U64" i="4"/>
  <c r="K17" i="18"/>
  <c r="U17" i="18" s="1"/>
  <c r="K139" i="4" a="1"/>
  <c r="K139" i="4" s="1"/>
  <c r="K139" i="16" a="1"/>
  <c r="K139" i="16" s="1"/>
  <c r="U139" i="16" s="1"/>
  <c r="V139" i="16" s="1"/>
  <c r="K92" i="17" a="1"/>
  <c r="K92" i="17" s="1"/>
  <c r="U92" i="17" s="1"/>
  <c r="V92" i="17" s="1"/>
  <c r="K119" i="17" a="1"/>
  <c r="K119" i="17" s="1"/>
  <c r="U119" i="17" s="1"/>
  <c r="V119" i="17" s="1"/>
  <c r="K138" i="4" a="1"/>
  <c r="K138" i="4" s="1"/>
  <c r="K138" i="16" a="1"/>
  <c r="K138" i="16" s="1"/>
  <c r="U138" i="16" s="1"/>
  <c r="V138" i="16" s="1"/>
  <c r="AA148" i="17"/>
  <c r="AA148" i="18"/>
  <c r="AB20" i="16"/>
  <c r="AB12" i="18"/>
  <c r="AA149" i="17"/>
  <c r="AA150" i="18"/>
  <c r="AA121" i="17"/>
  <c r="AA125" i="18"/>
  <c r="AB21" i="16"/>
  <c r="AB27" i="18"/>
  <c r="AA141" i="17"/>
  <c r="AA142" i="18"/>
  <c r="AA123" i="17"/>
  <c r="AA128" i="18"/>
  <c r="AB13" i="17"/>
  <c r="AB20" i="4"/>
  <c r="AB31" i="17"/>
  <c r="AB21" i="4"/>
  <c r="AA122" i="16"/>
  <c r="AA122" i="4"/>
  <c r="AA131" i="16"/>
  <c r="AA131" i="4"/>
  <c r="AA124" i="16"/>
  <c r="AA124" i="4"/>
  <c r="AA123" i="16"/>
  <c r="AA123" i="4"/>
  <c r="AA133" i="16"/>
  <c r="AA133" i="4"/>
  <c r="U121" i="4"/>
  <c r="U124" i="4"/>
  <c r="U123" i="4"/>
  <c r="U16" i="4"/>
  <c r="U19" i="4"/>
  <c r="U15" i="4"/>
  <c r="U28" i="17"/>
  <c r="V28" i="17" s="1"/>
  <c r="U51" i="17"/>
  <c r="V51" i="17" s="1"/>
  <c r="U42" i="17"/>
  <c r="V42" i="17" s="1"/>
  <c r="U22" i="17"/>
  <c r="V22" i="17" s="1"/>
  <c r="U18" i="17"/>
  <c r="V18" i="17" s="1"/>
  <c r="U35" i="17"/>
  <c r="V35" i="17" s="1"/>
  <c r="X35" i="17" s="1"/>
  <c r="U16" i="17"/>
  <c r="V16" i="17" s="1"/>
  <c r="X16" i="17" s="1"/>
  <c r="U13" i="16"/>
  <c r="V13" i="16" s="1"/>
  <c r="U19" i="17"/>
  <c r="V19" i="17" s="1"/>
  <c r="X19" i="17" s="1"/>
  <c r="U12" i="16"/>
  <c r="V12" i="16" s="1"/>
  <c r="U11" i="16"/>
  <c r="V11" i="16" s="1"/>
  <c r="X11" i="16" s="1"/>
  <c r="U14" i="16"/>
  <c r="V14" i="16" s="1"/>
  <c r="U15" i="16"/>
  <c r="V15" i="16" s="1"/>
  <c r="U27" i="17"/>
  <c r="V27" i="17" s="1"/>
  <c r="X27" i="17" s="1"/>
  <c r="U127" i="4"/>
  <c r="U11" i="4"/>
  <c r="U12" i="4"/>
  <c r="U122" i="4"/>
  <c r="U13" i="4"/>
  <c r="U107" i="17"/>
  <c r="V107" i="17" s="1"/>
  <c r="U54" i="17"/>
  <c r="V54" i="17" s="1"/>
  <c r="U26" i="17"/>
  <c r="V26" i="17" s="1"/>
  <c r="U67" i="17"/>
  <c r="V67" i="17" s="1"/>
  <c r="U46" i="17"/>
  <c r="V46" i="17" s="1"/>
  <c r="U51" i="16"/>
  <c r="V51" i="16" s="1"/>
  <c r="U36" i="16"/>
  <c r="V36" i="16" s="1"/>
  <c r="U26" i="16"/>
  <c r="V26" i="16" s="1"/>
  <c r="U29" i="16"/>
  <c r="V29" i="16" s="1"/>
  <c r="U34" i="16"/>
  <c r="V34" i="16" s="1"/>
  <c r="U138" i="4" l="1"/>
  <c r="K119" i="18"/>
  <c r="U119" i="18" s="1"/>
  <c r="U139" i="4"/>
  <c r="K98" i="18"/>
  <c r="U98" i="18" s="1"/>
  <c r="AB12" i="16"/>
  <c r="AB25" i="18"/>
  <c r="AA19" i="17"/>
  <c r="AA16" i="18"/>
  <c r="AB13" i="16"/>
  <c r="AB13" i="18"/>
  <c r="AB14" i="16"/>
  <c r="AB30" i="18"/>
  <c r="AB11" i="16"/>
  <c r="AB16" i="18"/>
  <c r="AB16" i="17"/>
  <c r="AB13" i="4"/>
  <c r="AB19" i="17"/>
  <c r="AB11" i="4"/>
  <c r="AB27" i="17"/>
  <c r="AB12" i="4"/>
  <c r="AB35" i="17"/>
  <c r="AB14" i="4"/>
  <c r="X45" i="17"/>
  <c r="X136" i="16"/>
  <c r="X127" i="16"/>
  <c r="AA11" i="16"/>
  <c r="AA11" i="4"/>
  <c r="X64" i="16"/>
  <c r="X31" i="16"/>
  <c r="X55" i="17"/>
  <c r="X81" i="16"/>
  <c r="X12" i="16"/>
  <c r="X18" i="17"/>
  <c r="X108" i="16"/>
  <c r="X135" i="17"/>
  <c r="X44" i="17"/>
  <c r="X42" i="17"/>
  <c r="X50" i="17"/>
  <c r="X23" i="17"/>
  <c r="X34" i="17"/>
  <c r="X40" i="17"/>
  <c r="X147" i="17"/>
  <c r="X39" i="17"/>
  <c r="X15" i="17"/>
  <c r="X37" i="17"/>
  <c r="X14" i="17"/>
  <c r="X32" i="17"/>
  <c r="X26" i="17"/>
  <c r="X146" i="17"/>
  <c r="X56" i="17"/>
  <c r="X145" i="17"/>
  <c r="X28" i="17"/>
  <c r="X25" i="17"/>
  <c r="X54" i="17"/>
  <c r="X52" i="17"/>
  <c r="X58" i="17"/>
  <c r="X20" i="17"/>
  <c r="X60" i="17"/>
  <c r="X11" i="17"/>
  <c r="X51" i="17"/>
  <c r="X41" i="17"/>
  <c r="X36" i="17"/>
  <c r="X24" i="17"/>
  <c r="X46" i="17"/>
  <c r="X43" i="17"/>
  <c r="X12" i="17"/>
  <c r="X48" i="17"/>
  <c r="X57" i="17"/>
  <c r="X22" i="17"/>
  <c r="X30" i="17"/>
  <c r="X38" i="17"/>
  <c r="X49" i="17"/>
  <c r="X47" i="17"/>
  <c r="X53" i="17"/>
  <c r="X17" i="17"/>
  <c r="X59" i="17"/>
  <c r="X29" i="17"/>
  <c r="X21" i="17"/>
  <c r="X33" i="17"/>
  <c r="X116" i="16"/>
  <c r="X43" i="16"/>
  <c r="X58" i="16"/>
  <c r="X30" i="16"/>
  <c r="X90" i="16"/>
  <c r="X19" i="16"/>
  <c r="X22" i="16"/>
  <c r="X49" i="16"/>
  <c r="X35" i="16"/>
  <c r="X18" i="16"/>
  <c r="X71" i="16"/>
  <c r="X114" i="16"/>
  <c r="X61" i="16"/>
  <c r="X13" i="16"/>
  <c r="X94" i="16"/>
  <c r="X99" i="16"/>
  <c r="X91" i="16"/>
  <c r="X67" i="16"/>
  <c r="X28" i="16"/>
  <c r="X100" i="16"/>
  <c r="X40" i="16"/>
  <c r="X62" i="16"/>
  <c r="X55" i="16"/>
  <c r="X16" i="16"/>
  <c r="X107" i="16"/>
  <c r="X109" i="16"/>
  <c r="X103" i="16"/>
  <c r="X37" i="16"/>
  <c r="X25" i="16"/>
  <c r="X29" i="16"/>
  <c r="X23" i="16"/>
  <c r="X48" i="16"/>
  <c r="X53" i="16"/>
  <c r="X24" i="16"/>
  <c r="X42" i="16"/>
  <c r="X57" i="16"/>
  <c r="X27" i="16"/>
  <c r="X26" i="16"/>
  <c r="X15" i="16"/>
  <c r="X112" i="16"/>
  <c r="X20" i="16"/>
  <c r="X17" i="16"/>
  <c r="X66" i="16"/>
  <c r="X110" i="16"/>
  <c r="X32" i="16"/>
  <c r="X85" i="16"/>
  <c r="X21" i="16"/>
  <c r="X115" i="16"/>
  <c r="X82" i="16"/>
  <c r="X36" i="16"/>
  <c r="X45" i="16"/>
  <c r="X132" i="16"/>
  <c r="X63" i="16"/>
  <c r="X54" i="16"/>
  <c r="X75" i="16"/>
  <c r="X39" i="16"/>
  <c r="X50" i="16"/>
  <c r="X34" i="16"/>
  <c r="X14" i="16"/>
  <c r="X38" i="16"/>
  <c r="M7" i="16" l="1"/>
  <c r="M6" i="16"/>
  <c r="M6" i="17"/>
  <c r="M7" i="17"/>
  <c r="M8" i="17"/>
  <c r="M4" i="17"/>
  <c r="M5" i="17"/>
  <c r="AA55" i="18"/>
  <c r="K150" i="17" a="1"/>
  <c r="K150" i="17" s="1"/>
  <c r="U150" i="17" s="1"/>
  <c r="V150" i="17" s="1"/>
  <c r="K140" i="4" a="1"/>
  <c r="K140" i="4" s="1"/>
  <c r="K140" i="16" a="1"/>
  <c r="K140" i="16" s="1"/>
  <c r="U140" i="16" s="1"/>
  <c r="V140" i="16" s="1"/>
  <c r="AA26" i="17"/>
  <c r="AA24" i="18"/>
  <c r="AA50" i="17"/>
  <c r="AA51" i="18"/>
  <c r="AA24" i="17"/>
  <c r="AA26" i="18"/>
  <c r="AA70" i="17"/>
  <c r="AA68" i="18"/>
  <c r="AB25" i="16"/>
  <c r="AB20" i="18"/>
  <c r="AB38" i="16"/>
  <c r="AB49" i="18"/>
  <c r="AA53" i="17"/>
  <c r="AA61" i="18"/>
  <c r="AA65" i="17"/>
  <c r="AA62" i="18"/>
  <c r="AA18" i="17"/>
  <c r="AA19" i="18"/>
  <c r="AA11" i="17"/>
  <c r="AA14" i="18"/>
  <c r="AA40" i="17"/>
  <c r="AA44" i="18"/>
  <c r="AA49" i="17"/>
  <c r="AA58" i="18"/>
  <c r="AA15" i="17"/>
  <c r="AA15" i="18"/>
  <c r="AB109" i="16"/>
  <c r="AB147" i="18"/>
  <c r="AB82" i="16"/>
  <c r="AB44" i="18"/>
  <c r="AB15" i="16"/>
  <c r="AB19" i="18"/>
  <c r="AA22" i="17"/>
  <c r="AA22" i="18"/>
  <c r="AA130" i="17"/>
  <c r="AA129" i="18"/>
  <c r="AA145" i="17"/>
  <c r="AA149" i="18"/>
  <c r="AA35" i="17"/>
  <c r="AA30" i="18"/>
  <c r="AA38" i="17"/>
  <c r="AA38" i="18"/>
  <c r="AA28" i="17"/>
  <c r="AA28" i="18"/>
  <c r="AA33" i="17"/>
  <c r="AA32" i="18"/>
  <c r="AA73" i="17"/>
  <c r="AA71" i="18"/>
  <c r="AB90" i="16"/>
  <c r="AB50" i="18"/>
  <c r="AB23" i="16"/>
  <c r="AB52" i="18"/>
  <c r="AA27" i="17"/>
  <c r="AA25" i="18"/>
  <c r="AA56" i="17"/>
  <c r="AA49" i="18"/>
  <c r="AA66" i="17"/>
  <c r="AA63" i="18"/>
  <c r="AA135" i="17"/>
  <c r="AA140" i="18"/>
  <c r="AA43" i="17"/>
  <c r="AA42" i="18"/>
  <c r="AA58" i="17"/>
  <c r="AA57" i="18"/>
  <c r="AA60" i="17"/>
  <c r="AA52" i="18"/>
  <c r="AA34" i="17"/>
  <c r="AA37" i="18"/>
  <c r="AA48" i="17"/>
  <c r="AA50" i="18"/>
  <c r="AB136" i="16"/>
  <c r="AB61" i="18"/>
  <c r="AB64" i="16"/>
  <c r="AB17" i="18"/>
  <c r="AB30" i="16"/>
  <c r="AB21" i="18"/>
  <c r="AB36" i="16"/>
  <c r="AB24" i="18"/>
  <c r="AB67" i="16"/>
  <c r="AB37" i="18"/>
  <c r="AA23" i="17"/>
  <c r="AA31" i="18"/>
  <c r="AA20" i="17"/>
  <c r="AA21" i="18"/>
  <c r="AB31" i="16"/>
  <c r="AB43" i="18"/>
  <c r="AB66" i="16"/>
  <c r="AB57" i="18"/>
  <c r="AB100" i="16"/>
  <c r="AB36" i="18"/>
  <c r="AA29" i="17"/>
  <c r="AA29" i="18"/>
  <c r="AA13" i="17"/>
  <c r="AA12" i="18"/>
  <c r="AA46" i="17"/>
  <c r="AA48" i="18"/>
  <c r="AA57" i="17"/>
  <c r="AA56" i="18"/>
  <c r="AA25" i="17"/>
  <c r="AA33" i="18"/>
  <c r="AB54" i="16"/>
  <c r="AB42" i="18"/>
  <c r="AA69" i="17"/>
  <c r="AA69" i="18"/>
  <c r="AA55" i="17"/>
  <c r="AA60" i="18"/>
  <c r="AA37" i="17"/>
  <c r="AA40" i="18"/>
  <c r="AA142" i="17"/>
  <c r="AA143" i="18"/>
  <c r="AA16" i="17"/>
  <c r="AA13" i="18"/>
  <c r="AA115" i="17"/>
  <c r="AA123" i="18"/>
  <c r="AB62" i="16"/>
  <c r="AB47" i="18"/>
  <c r="AB91" i="16"/>
  <c r="AB31" i="18"/>
  <c r="AB127" i="16"/>
  <c r="AB55" i="18"/>
  <c r="AA59" i="17"/>
  <c r="AA64" i="18"/>
  <c r="AB53" i="16"/>
  <c r="AB58" i="18"/>
  <c r="AB94" i="16"/>
  <c r="AB60" i="18"/>
  <c r="AA67" i="17"/>
  <c r="AA65" i="18"/>
  <c r="AA63" i="17"/>
  <c r="AA67" i="18"/>
  <c r="AA147" i="17"/>
  <c r="AA146" i="18"/>
  <c r="AB48" i="16"/>
  <c r="AB38" i="18"/>
  <c r="AB34" i="16"/>
  <c r="AB53" i="18"/>
  <c r="AB57" i="16"/>
  <c r="AB51" i="18"/>
  <c r="AA17" i="17"/>
  <c r="AA20" i="18"/>
  <c r="AB29" i="16"/>
  <c r="AB48" i="18"/>
  <c r="AB40" i="16"/>
  <c r="AB18" i="18"/>
  <c r="AB16" i="16"/>
  <c r="AB41" i="18"/>
  <c r="AB39" i="16"/>
  <c r="AB32" i="18"/>
  <c r="AB55" i="16"/>
  <c r="AB23" i="18"/>
  <c r="AB35" i="16"/>
  <c r="AB35" i="18"/>
  <c r="AB32" i="16"/>
  <c r="AB26" i="18"/>
  <c r="AB58" i="16"/>
  <c r="AB33" i="18"/>
  <c r="AB43" i="16"/>
  <c r="AB40" i="18"/>
  <c r="AA47" i="17"/>
  <c r="AA43" i="18"/>
  <c r="AA146" i="17"/>
  <c r="AA147" i="18"/>
  <c r="AA42" i="17"/>
  <c r="AA41" i="18"/>
  <c r="AA127" i="17"/>
  <c r="AA124" i="18"/>
  <c r="AB24" i="16"/>
  <c r="AB34" i="18"/>
  <c r="AA39" i="17"/>
  <c r="AA39" i="18"/>
  <c r="AA138" i="17"/>
  <c r="AA141" i="18"/>
  <c r="AB17" i="16"/>
  <c r="AB22" i="18"/>
  <c r="AB50" i="16"/>
  <c r="AB45" i="18"/>
  <c r="AB22" i="16"/>
  <c r="AB15" i="18"/>
  <c r="AA21" i="17"/>
  <c r="AA23" i="18"/>
  <c r="AB63" i="16"/>
  <c r="AB29" i="18"/>
  <c r="AB18" i="16"/>
  <c r="AB46" i="18"/>
  <c r="AB27" i="16"/>
  <c r="AB39" i="18"/>
  <c r="AB85" i="16"/>
  <c r="AB54" i="18"/>
  <c r="AA54" i="17"/>
  <c r="AA53" i="18"/>
  <c r="AA62" i="17"/>
  <c r="AA59" i="18"/>
  <c r="AA52" i="17"/>
  <c r="AA47" i="18"/>
  <c r="AB61" i="16"/>
  <c r="AB64" i="18"/>
  <c r="AB99" i="16"/>
  <c r="AB56" i="18"/>
  <c r="AB37" i="16"/>
  <c r="AB14" i="18"/>
  <c r="AB19" i="16"/>
  <c r="AB28" i="18"/>
  <c r="AB110" i="16"/>
  <c r="AB140" i="18"/>
  <c r="AA12" i="17"/>
  <c r="AA17" i="18"/>
  <c r="AA41" i="17"/>
  <c r="AA45" i="18"/>
  <c r="AA14" i="17"/>
  <c r="AA18" i="18"/>
  <c r="AA51" i="17"/>
  <c r="AA46" i="18"/>
  <c r="AB107" i="16"/>
  <c r="AB149" i="18"/>
  <c r="AB114" i="16"/>
  <c r="AB146" i="18"/>
  <c r="AA31" i="17"/>
  <c r="AA27" i="18"/>
  <c r="AA44" i="17"/>
  <c r="AA54" i="18"/>
  <c r="AA36" i="17"/>
  <c r="AA34" i="18"/>
  <c r="AA32" i="17"/>
  <c r="AA36" i="18"/>
  <c r="AA30" i="17"/>
  <c r="AA35" i="18"/>
  <c r="AA128" i="17"/>
  <c r="AA126" i="18"/>
  <c r="AB23" i="17"/>
  <c r="AB91" i="4"/>
  <c r="AB45" i="17"/>
  <c r="AB127" i="4"/>
  <c r="AB49" i="17"/>
  <c r="AB53" i="4"/>
  <c r="AB55" i="17"/>
  <c r="AB94" i="4"/>
  <c r="AB38" i="17"/>
  <c r="AB48" i="4"/>
  <c r="AB54" i="17"/>
  <c r="AB34" i="4"/>
  <c r="AB50" i="17"/>
  <c r="AB57" i="4"/>
  <c r="AB46" i="17"/>
  <c r="AB29" i="4"/>
  <c r="AB14" i="17"/>
  <c r="AB40" i="4"/>
  <c r="AB42" i="17"/>
  <c r="AB16" i="4"/>
  <c r="AB33" i="17"/>
  <c r="AB39" i="4"/>
  <c r="AB36" i="17"/>
  <c r="AB24" i="4"/>
  <c r="AB22" i="17"/>
  <c r="AB17" i="4"/>
  <c r="AB41" i="17"/>
  <c r="AB50" i="4"/>
  <c r="AB15" i="17"/>
  <c r="AB22" i="4"/>
  <c r="AB37" i="17"/>
  <c r="AB43" i="4"/>
  <c r="AB29" i="17"/>
  <c r="AB63" i="4"/>
  <c r="AB51" i="17"/>
  <c r="AB18" i="4"/>
  <c r="AB39" i="17"/>
  <c r="AB27" i="4"/>
  <c r="AB44" i="17"/>
  <c r="AB85" i="4"/>
  <c r="AB59" i="17"/>
  <c r="AB61" i="4"/>
  <c r="AB57" i="17"/>
  <c r="AB99" i="4"/>
  <c r="AB11" i="17"/>
  <c r="AB37" i="4"/>
  <c r="AB28" i="17"/>
  <c r="AB19" i="4"/>
  <c r="AB135" i="17"/>
  <c r="AB110" i="4"/>
  <c r="AB145" i="17"/>
  <c r="AB107" i="4"/>
  <c r="AB147" i="17"/>
  <c r="AB114" i="4"/>
  <c r="AB21" i="17"/>
  <c r="AB55" i="4"/>
  <c r="AB17" i="17"/>
  <c r="AB25" i="4"/>
  <c r="AB56" i="17"/>
  <c r="AB38" i="4"/>
  <c r="AB52" i="17"/>
  <c r="AB62" i="4"/>
  <c r="AB146" i="17"/>
  <c r="AB109" i="4"/>
  <c r="AB40" i="17"/>
  <c r="AB82" i="4"/>
  <c r="AB18" i="17"/>
  <c r="AB15" i="4"/>
  <c r="AB24" i="17"/>
  <c r="AB32" i="4"/>
  <c r="AB48" i="17"/>
  <c r="AB90" i="4"/>
  <c r="AB60" i="17"/>
  <c r="AB23" i="4"/>
  <c r="AB30" i="17"/>
  <c r="AB35" i="4"/>
  <c r="AB53" i="17"/>
  <c r="AB136" i="4"/>
  <c r="AB12" i="17"/>
  <c r="AB64" i="4"/>
  <c r="AB20" i="17"/>
  <c r="AB30" i="4"/>
  <c r="AB26" i="17"/>
  <c r="AB36" i="4"/>
  <c r="AB34" i="17"/>
  <c r="AB67" i="4"/>
  <c r="AB25" i="17"/>
  <c r="AB58" i="4"/>
  <c r="AB47" i="17"/>
  <c r="AB31" i="4"/>
  <c r="AB58" i="17"/>
  <c r="AB66" i="4"/>
  <c r="AB32" i="17"/>
  <c r="AB100" i="4"/>
  <c r="AB43" i="17"/>
  <c r="AB54" i="4"/>
  <c r="AA136" i="4"/>
  <c r="AA136" i="16"/>
  <c r="AA45" i="17"/>
  <c r="AA127" i="16"/>
  <c r="AA127" i="4"/>
  <c r="AA42" i="16"/>
  <c r="AA42" i="4"/>
  <c r="AA64" i="16"/>
  <c r="AA64" i="4"/>
  <c r="AA40" i="16"/>
  <c r="AA40" i="4"/>
  <c r="AA18" i="16"/>
  <c r="AA18" i="4"/>
  <c r="AA85" i="16"/>
  <c r="AA85" i="4"/>
  <c r="AA24" i="16"/>
  <c r="AA24" i="4"/>
  <c r="AA100" i="16"/>
  <c r="AA100" i="4"/>
  <c r="AA35" i="16"/>
  <c r="AA35" i="4"/>
  <c r="AA108" i="16"/>
  <c r="AA108" i="4"/>
  <c r="AA57" i="16"/>
  <c r="AA57" i="4"/>
  <c r="AA49" i="16"/>
  <c r="AA49" i="4"/>
  <c r="AA62" i="16"/>
  <c r="AA62" i="4"/>
  <c r="AA50" i="16"/>
  <c r="AA50" i="4"/>
  <c r="AA53" i="16"/>
  <c r="AA53" i="4"/>
  <c r="AA22" i="16"/>
  <c r="AA22" i="4"/>
  <c r="AA48" i="16"/>
  <c r="AA48" i="4"/>
  <c r="AA28" i="16"/>
  <c r="AA28" i="4"/>
  <c r="AA19" i="16"/>
  <c r="AA19" i="4"/>
  <c r="AA39" i="16"/>
  <c r="AA39" i="4"/>
  <c r="AA75" i="16"/>
  <c r="AA75" i="4"/>
  <c r="AA110" i="16"/>
  <c r="AA110" i="4"/>
  <c r="AA12" i="16"/>
  <c r="AA12" i="4"/>
  <c r="AA54" i="16"/>
  <c r="AA54" i="4"/>
  <c r="AA66" i="16"/>
  <c r="AA66" i="4"/>
  <c r="AA23" i="16"/>
  <c r="AA23" i="4"/>
  <c r="AA67" i="16"/>
  <c r="AA67" i="4"/>
  <c r="AA90" i="16"/>
  <c r="AA90" i="4"/>
  <c r="AA21" i="16"/>
  <c r="AA21" i="4"/>
  <c r="AA32" i="16"/>
  <c r="AA32" i="4"/>
  <c r="AA17" i="16"/>
  <c r="AA17" i="4"/>
  <c r="AA91" i="16"/>
  <c r="AA91" i="4"/>
  <c r="AA30" i="16"/>
  <c r="AA30" i="4"/>
  <c r="AA63" i="16"/>
  <c r="AA63" i="4"/>
  <c r="AA20" i="16"/>
  <c r="AA20" i="4"/>
  <c r="AA29" i="16"/>
  <c r="AA29" i="4"/>
  <c r="AA99" i="16"/>
  <c r="AA99" i="4"/>
  <c r="AA58" i="16"/>
  <c r="AA58" i="4"/>
  <c r="AA81" i="16"/>
  <c r="AA81" i="4"/>
  <c r="AA55" i="16"/>
  <c r="AA55" i="4"/>
  <c r="AA112" i="16"/>
  <c r="AA112" i="4"/>
  <c r="AA25" i="16"/>
  <c r="AA25" i="4"/>
  <c r="AA94" i="16"/>
  <c r="AA94" i="4"/>
  <c r="AA43" i="16"/>
  <c r="AA43" i="4"/>
  <c r="AA34" i="16"/>
  <c r="AA34" i="4"/>
  <c r="AA132" i="16"/>
  <c r="AA132" i="4"/>
  <c r="AA13" i="16"/>
  <c r="AA13" i="4"/>
  <c r="AA116" i="16"/>
  <c r="AA116" i="4"/>
  <c r="AA45" i="16"/>
  <c r="AA45" i="4"/>
  <c r="AA15" i="16"/>
  <c r="AA15" i="4"/>
  <c r="AA37" i="16"/>
  <c r="AA37" i="4"/>
  <c r="AA61" i="16"/>
  <c r="AA61" i="4"/>
  <c r="AA26" i="16"/>
  <c r="AA26" i="4"/>
  <c r="AA103" i="16"/>
  <c r="AA103" i="4"/>
  <c r="AA114" i="16"/>
  <c r="AA114" i="4"/>
  <c r="AA27" i="16"/>
  <c r="AA27" i="4"/>
  <c r="AA109" i="16"/>
  <c r="AA109" i="4"/>
  <c r="AA107" i="16"/>
  <c r="AA107" i="4"/>
  <c r="AA31" i="16"/>
  <c r="AA31" i="4"/>
  <c r="AA36" i="16"/>
  <c r="AA36" i="4"/>
  <c r="AA38" i="16"/>
  <c r="AA38" i="4"/>
  <c r="AA14" i="16"/>
  <c r="AA14" i="4"/>
  <c r="AA82" i="16"/>
  <c r="AA82" i="4"/>
  <c r="AA16" i="16"/>
  <c r="AA16" i="4"/>
  <c r="AA71" i="16"/>
  <c r="AA71" i="4"/>
  <c r="AA115" i="16"/>
  <c r="AA115" i="4"/>
  <c r="U140" i="4" l="1"/>
  <c r="K151" i="18"/>
  <c r="U151" i="18" s="1"/>
  <c r="K142" i="4" a="1"/>
  <c r="K142" i="4" s="1"/>
  <c r="K125" i="17" a="1"/>
  <c r="K125" i="17" s="1"/>
  <c r="U125" i="17" s="1"/>
  <c r="V125" i="17" s="1"/>
  <c r="K142" i="16" a="1"/>
  <c r="K142" i="16" s="1"/>
  <c r="U142" i="16" s="1"/>
  <c r="V142" i="16" s="1"/>
  <c r="K143" i="17" a="1"/>
  <c r="K143" i="17" s="1"/>
  <c r="U143" i="17" s="1"/>
  <c r="V143" i="17" s="1"/>
  <c r="K141" i="16" a="1"/>
  <c r="K141" i="16" s="1"/>
  <c r="U141" i="16" s="1"/>
  <c r="V141" i="16" s="1"/>
  <c r="K141" i="4" a="1"/>
  <c r="K141" i="4" s="1"/>
  <c r="L4" i="17"/>
  <c r="G6" i="17"/>
  <c r="D6" i="17"/>
  <c r="E5" i="17"/>
  <c r="F4" i="17"/>
  <c r="I8" i="17"/>
  <c r="G8" i="17"/>
  <c r="G5" i="17"/>
  <c r="F5" i="17"/>
  <c r="H8" i="17"/>
  <c r="H5" i="17"/>
  <c r="D7" i="17"/>
  <c r="I5" i="17"/>
  <c r="I6" i="17"/>
  <c r="D8" i="17"/>
  <c r="C5" i="17"/>
  <c r="D5" i="17"/>
  <c r="J5" i="17"/>
  <c r="K6" i="17"/>
  <c r="C7" i="17"/>
  <c r="J7" i="17"/>
  <c r="F7" i="17"/>
  <c r="F8" i="17"/>
  <c r="G7" i="17"/>
  <c r="K8" i="17"/>
  <c r="K5" i="17"/>
  <c r="J4" i="17"/>
  <c r="K7" i="17"/>
  <c r="E6" i="17"/>
  <c r="C8" i="17"/>
  <c r="C6" i="17"/>
  <c r="F6" i="17"/>
  <c r="G4" i="17"/>
  <c r="H6" i="17"/>
  <c r="K4" i="17"/>
  <c r="L8" i="17"/>
  <c r="E4" i="17"/>
  <c r="E7" i="17"/>
  <c r="I4" i="17"/>
  <c r="L6" i="17"/>
  <c r="E8" i="17"/>
  <c r="J8" i="17"/>
  <c r="L5" i="17"/>
  <c r="D4" i="17"/>
  <c r="L7" i="17"/>
  <c r="I7" i="17"/>
  <c r="H4" i="17"/>
  <c r="C4" i="17"/>
  <c r="J6" i="17"/>
  <c r="H7" i="17"/>
  <c r="U141" i="4" l="1"/>
  <c r="V141" i="4" s="1"/>
  <c r="K144" i="18"/>
  <c r="U144" i="18" s="1"/>
  <c r="U142" i="4"/>
  <c r="V142" i="4" s="1"/>
  <c r="X142" i="4" s="1"/>
  <c r="K132" i="18"/>
  <c r="U132" i="18" s="1"/>
  <c r="K117" i="17" a="1"/>
  <c r="K117" i="17" s="1"/>
  <c r="U117" i="17" s="1"/>
  <c r="V117" i="17" s="1"/>
  <c r="K143" i="16" a="1"/>
  <c r="K143" i="16" s="1"/>
  <c r="U143" i="16" s="1"/>
  <c r="V143" i="16" s="1"/>
  <c r="V127" i="4"/>
  <c r="V128" i="4"/>
  <c r="V130" i="4"/>
  <c r="V129" i="4"/>
  <c r="V131" i="4"/>
  <c r="X131" i="4" s="1"/>
  <c r="V132" i="4"/>
  <c r="X132" i="4" s="1"/>
  <c r="V134" i="4"/>
  <c r="V133" i="4"/>
  <c r="X133" i="4" s="1"/>
  <c r="V135" i="4"/>
  <c r="V138" i="4"/>
  <c r="V136" i="4"/>
  <c r="V139" i="4"/>
  <c r="V137" i="4"/>
  <c r="V140" i="4"/>
  <c r="K144" i="4" l="1" a="1"/>
  <c r="K144" i="4" s="1"/>
  <c r="K144" i="16" a="1"/>
  <c r="K144" i="16" s="1"/>
  <c r="U144" i="16" s="1"/>
  <c r="V144" i="16" s="1"/>
  <c r="K91" i="17" a="1"/>
  <c r="K91" i="17" s="1"/>
  <c r="U91" i="17" s="1"/>
  <c r="V91" i="17" s="1"/>
  <c r="K143" i="4" a="1"/>
  <c r="K143" i="4" s="1"/>
  <c r="Z125" i="17"/>
  <c r="Z132" i="18"/>
  <c r="Z123" i="17"/>
  <c r="Z128" i="18"/>
  <c r="Z149" i="17"/>
  <c r="Z150" i="18"/>
  <c r="Z142" i="17"/>
  <c r="Z143" i="18"/>
  <c r="Z142" i="4"/>
  <c r="Z142" i="16"/>
  <c r="Z133" i="4"/>
  <c r="Z133" i="16"/>
  <c r="Z132" i="4"/>
  <c r="Z132" i="16"/>
  <c r="Z131" i="4"/>
  <c r="Z131" i="16"/>
  <c r="V13" i="4"/>
  <c r="X13" i="4" s="1"/>
  <c r="U143" i="4" l="1"/>
  <c r="V143" i="4" s="1"/>
  <c r="K114" i="18"/>
  <c r="U114" i="18" s="1"/>
  <c r="U144" i="4"/>
  <c r="V144" i="4" s="1"/>
  <c r="K90" i="18"/>
  <c r="U90" i="18" s="1"/>
  <c r="Z16" i="17"/>
  <c r="Z13" i="18"/>
  <c r="Z13" i="4"/>
  <c r="Z13" i="16"/>
  <c r="V15" i="4"/>
  <c r="X15" i="4" s="1"/>
  <c r="V14" i="4"/>
  <c r="X14" i="4" s="1"/>
  <c r="K145" i="16" l="1" a="1"/>
  <c r="K145" i="16" s="1"/>
  <c r="U145" i="16" s="1"/>
  <c r="V145" i="16" s="1"/>
  <c r="X41" i="16" s="1"/>
  <c r="K61" i="17" a="1"/>
  <c r="K61" i="17" s="1"/>
  <c r="U61" i="17" s="1"/>
  <c r="V61" i="17" s="1"/>
  <c r="X89" i="17" s="1"/>
  <c r="K146" i="4" a="1"/>
  <c r="K146" i="4" s="1"/>
  <c r="Z18" i="17"/>
  <c r="Z19" i="18"/>
  <c r="Z35" i="17"/>
  <c r="Z30" i="18"/>
  <c r="Z14" i="4"/>
  <c r="Z14" i="16"/>
  <c r="Z15" i="4"/>
  <c r="Z15" i="16"/>
  <c r="V125" i="4"/>
  <c r="V16" i="4"/>
  <c r="V124" i="4"/>
  <c r="X124" i="4" s="1"/>
  <c r="V117" i="4"/>
  <c r="V122" i="4"/>
  <c r="X122" i="4" s="1"/>
  <c r="V123" i="4"/>
  <c r="X123" i="4" s="1"/>
  <c r="V120" i="4"/>
  <c r="V121" i="4"/>
  <c r="V119" i="4"/>
  <c r="V126" i="4"/>
  <c r="V17" i="4"/>
  <c r="V19" i="4"/>
  <c r="V18" i="4"/>
  <c r="V21" i="4"/>
  <c r="X21" i="4" s="1"/>
  <c r="V23" i="4"/>
  <c r="V20" i="4"/>
  <c r="V25" i="4"/>
  <c r="V28" i="4"/>
  <c r="V22" i="4"/>
  <c r="X22" i="4" s="1"/>
  <c r="V24" i="4"/>
  <c r="V27" i="4"/>
  <c r="V26" i="4"/>
  <c r="V29" i="4"/>
  <c r="V30" i="4"/>
  <c r="V32" i="4"/>
  <c r="V34" i="4"/>
  <c r="V31" i="4"/>
  <c r="V36" i="4"/>
  <c r="X36" i="4" s="1"/>
  <c r="V33" i="4"/>
  <c r="V38" i="4"/>
  <c r="V35" i="4"/>
  <c r="V37" i="4"/>
  <c r="V40" i="4"/>
  <c r="V42" i="4"/>
  <c r="V39" i="4"/>
  <c r="V44" i="4"/>
  <c r="V41" i="4"/>
  <c r="V43" i="4"/>
  <c r="V46" i="4"/>
  <c r="V45" i="4"/>
  <c r="V48" i="4"/>
  <c r="V50" i="4"/>
  <c r="V47" i="4"/>
  <c r="V52" i="4"/>
  <c r="V49" i="4"/>
  <c r="V51" i="4"/>
  <c r="V54" i="4"/>
  <c r="V56" i="4"/>
  <c r="V53" i="4"/>
  <c r="V58" i="4"/>
  <c r="V55" i="4"/>
  <c r="V60" i="4"/>
  <c r="V57" i="4"/>
  <c r="V62" i="4"/>
  <c r="V59" i="4"/>
  <c r="V61" i="4"/>
  <c r="V64" i="4"/>
  <c r="V63" i="4"/>
  <c r="V66" i="4"/>
  <c r="V68" i="4"/>
  <c r="V65" i="4"/>
  <c r="V67" i="4"/>
  <c r="V70" i="4"/>
  <c r="V72" i="4"/>
  <c r="V69" i="4"/>
  <c r="V71" i="4"/>
  <c r="X71" i="4" s="1"/>
  <c r="V73" i="4"/>
  <c r="V74" i="4"/>
  <c r="V75" i="4"/>
  <c r="V76" i="4"/>
  <c r="V78" i="4"/>
  <c r="V77" i="4"/>
  <c r="V79" i="4"/>
  <c r="V82" i="4"/>
  <c r="V80" i="4"/>
  <c r="V81" i="4"/>
  <c r="V84" i="4"/>
  <c r="V86" i="4"/>
  <c r="V83" i="4"/>
  <c r="V85" i="4"/>
  <c r="V88" i="4"/>
  <c r="V89" i="4"/>
  <c r="V90" i="4"/>
  <c r="V87" i="4"/>
  <c r="V91" i="4"/>
  <c r="V93" i="4"/>
  <c r="V95" i="4"/>
  <c r="V92" i="4"/>
  <c r="V96" i="4"/>
  <c r="V97" i="4"/>
  <c r="V94" i="4"/>
  <c r="V98" i="4"/>
  <c r="V100" i="4"/>
  <c r="V102" i="4"/>
  <c r="V99" i="4"/>
  <c r="V103" i="4"/>
  <c r="V101" i="4"/>
  <c r="V105" i="4"/>
  <c r="V104" i="4"/>
  <c r="V106" i="4"/>
  <c r="V109" i="4"/>
  <c r="X109" i="4" s="1"/>
  <c r="V107" i="4"/>
  <c r="X107" i="4" s="1"/>
  <c r="V108" i="4"/>
  <c r="X108" i="4" s="1"/>
  <c r="V111" i="4"/>
  <c r="V112" i="4"/>
  <c r="X112" i="4" s="1"/>
  <c r="V110" i="4"/>
  <c r="X110" i="4" s="1"/>
  <c r="V114" i="4"/>
  <c r="V113" i="4"/>
  <c r="V116" i="4"/>
  <c r="X116" i="4" s="1"/>
  <c r="V118" i="4"/>
  <c r="V115" i="4"/>
  <c r="X115" i="4" s="1"/>
  <c r="X144" i="16" l="1"/>
  <c r="AA144" i="16" s="1"/>
  <c r="X91" i="17"/>
  <c r="AB144" i="16" s="1"/>
  <c r="U146" i="4"/>
  <c r="V146" i="4" s="1"/>
  <c r="X69" i="16"/>
  <c r="X117" i="16"/>
  <c r="X76" i="16"/>
  <c r="X65" i="16"/>
  <c r="X52" i="16"/>
  <c r="X92" i="17"/>
  <c r="X71" i="17"/>
  <c r="X65" i="17"/>
  <c r="X88" i="17"/>
  <c r="X111" i="16"/>
  <c r="X84" i="17"/>
  <c r="X82" i="17"/>
  <c r="X90" i="17"/>
  <c r="X80" i="16"/>
  <c r="X74" i="17"/>
  <c r="X69" i="17"/>
  <c r="X63" i="17"/>
  <c r="X93" i="17"/>
  <c r="X76" i="17"/>
  <c r="X86" i="17"/>
  <c r="X66" i="17"/>
  <c r="X62" i="17"/>
  <c r="X81" i="17"/>
  <c r="X79" i="17"/>
  <c r="X73" i="17"/>
  <c r="X70" i="17"/>
  <c r="X78" i="17"/>
  <c r="X72" i="17"/>
  <c r="X85" i="17"/>
  <c r="X83" i="17"/>
  <c r="X67" i="17"/>
  <c r="X64" i="17"/>
  <c r="X77" i="17"/>
  <c r="X75" i="17"/>
  <c r="X94" i="17"/>
  <c r="X118" i="16"/>
  <c r="X87" i="17"/>
  <c r="X80" i="17"/>
  <c r="X68" i="17"/>
  <c r="X59" i="16"/>
  <c r="X60" i="16"/>
  <c r="X89" i="16"/>
  <c r="X33" i="16"/>
  <c r="X51" i="16"/>
  <c r="X84" i="16"/>
  <c r="X47" i="16"/>
  <c r="X93" i="16"/>
  <c r="X130" i="16"/>
  <c r="X139" i="16"/>
  <c r="X46" i="16"/>
  <c r="X135" i="16"/>
  <c r="X70" i="16"/>
  <c r="X72" i="16"/>
  <c r="X98" i="16"/>
  <c r="X56" i="16"/>
  <c r="X61" i="17"/>
  <c r="X97" i="16"/>
  <c r="X125" i="16"/>
  <c r="X77" i="16"/>
  <c r="X121" i="16"/>
  <c r="X126" i="16"/>
  <c r="X102" i="16"/>
  <c r="X145" i="16"/>
  <c r="X83" i="16"/>
  <c r="X44" i="16"/>
  <c r="X92" i="16"/>
  <c r="X88" i="16"/>
  <c r="K140" i="17" a="1"/>
  <c r="K140" i="17" s="1"/>
  <c r="U140" i="17" s="1"/>
  <c r="V140" i="17" s="1"/>
  <c r="AB89" i="17"/>
  <c r="AB41" i="4"/>
  <c r="AB82" i="18"/>
  <c r="AB41" i="16"/>
  <c r="AA89" i="17"/>
  <c r="AA82" i="18"/>
  <c r="AA41" i="4"/>
  <c r="AA41" i="16"/>
  <c r="K146" i="16" a="1"/>
  <c r="K146" i="16" s="1"/>
  <c r="U146" i="16" s="1"/>
  <c r="V146" i="16" s="1"/>
  <c r="AA90" i="18"/>
  <c r="Z138" i="17"/>
  <c r="Z141" i="18"/>
  <c r="Z141" i="17"/>
  <c r="Z142" i="18"/>
  <c r="Z26" i="17"/>
  <c r="Z24" i="18"/>
  <c r="Z148" i="17"/>
  <c r="Z148" i="18"/>
  <c r="Z121" i="17"/>
  <c r="Z125" i="18"/>
  <c r="Z127" i="17"/>
  <c r="Z124" i="18"/>
  <c r="Z135" i="17"/>
  <c r="Z140" i="18"/>
  <c r="Z145" i="17"/>
  <c r="Z149" i="18"/>
  <c r="Z128" i="17"/>
  <c r="Z126" i="18"/>
  <c r="Z15" i="17"/>
  <c r="Z15" i="18"/>
  <c r="Z130" i="17"/>
  <c r="Z129" i="18"/>
  <c r="Z146" i="17"/>
  <c r="Z147" i="18"/>
  <c r="Z31" i="17"/>
  <c r="Z27" i="18"/>
  <c r="Z115" i="17"/>
  <c r="Z123" i="18"/>
  <c r="Z21" i="4"/>
  <c r="Z21" i="16"/>
  <c r="Z115" i="4"/>
  <c r="Z115" i="16"/>
  <c r="Z116" i="4"/>
  <c r="Z116" i="16"/>
  <c r="Z36" i="4"/>
  <c r="Z36" i="16"/>
  <c r="Z71" i="4"/>
  <c r="Z71" i="16"/>
  <c r="Z123" i="4"/>
  <c r="Z123" i="16"/>
  <c r="Z122" i="4"/>
  <c r="Z122" i="16"/>
  <c r="Z108" i="4"/>
  <c r="Z108" i="16"/>
  <c r="Z124" i="4"/>
  <c r="Z124" i="16"/>
  <c r="Z107" i="4"/>
  <c r="Z107" i="16"/>
  <c r="Z110" i="4"/>
  <c r="Z110" i="16"/>
  <c r="Z109" i="4"/>
  <c r="Z109" i="16"/>
  <c r="Z22" i="4"/>
  <c r="Z22" i="16"/>
  <c r="Z112" i="4"/>
  <c r="Z112" i="16"/>
  <c r="X37" i="4"/>
  <c r="X114" i="4"/>
  <c r="X20" i="4"/>
  <c r="V12" i="4"/>
  <c r="X12" i="4" s="1"/>
  <c r="V11" i="4"/>
  <c r="X11" i="4" s="1"/>
  <c r="AA91" i="17" l="1"/>
  <c r="AA144" i="4"/>
  <c r="AB90" i="18"/>
  <c r="AB144" i="4"/>
  <c r="M8" i="16"/>
  <c r="M5" i="16"/>
  <c r="M4" i="16"/>
  <c r="AB91" i="17"/>
  <c r="AA81" i="18"/>
  <c r="AA88" i="17"/>
  <c r="AB75" i="16"/>
  <c r="AA86" i="17"/>
  <c r="AA87" i="18"/>
  <c r="AA59" i="16"/>
  <c r="AB86" i="17"/>
  <c r="AA97" i="18"/>
  <c r="AA77" i="16"/>
  <c r="AB68" i="17"/>
  <c r="AB126" i="4"/>
  <c r="AA117" i="16"/>
  <c r="AA125" i="4"/>
  <c r="AB52" i="16"/>
  <c r="AB69" i="16"/>
  <c r="AA69" i="16"/>
  <c r="AB145" i="16"/>
  <c r="AA76" i="18"/>
  <c r="AB81" i="16"/>
  <c r="AA73" i="18"/>
  <c r="AB97" i="4"/>
  <c r="AB84" i="16"/>
  <c r="AB89" i="4"/>
  <c r="AA64" i="17"/>
  <c r="AB70" i="16"/>
  <c r="AB82" i="17"/>
  <c r="AA72" i="16"/>
  <c r="AA135" i="16"/>
  <c r="AB67" i="17"/>
  <c r="AB135" i="16"/>
  <c r="AA101" i="17"/>
  <c r="AB83" i="17"/>
  <c r="AA99" i="17"/>
  <c r="AA97" i="4"/>
  <c r="AB121" i="16"/>
  <c r="AA92" i="17"/>
  <c r="AB130" i="16"/>
  <c r="AB60" i="4"/>
  <c r="AA130" i="16"/>
  <c r="AB47" i="16"/>
  <c r="AB45" i="16"/>
  <c r="AB90" i="17"/>
  <c r="AA87" i="17"/>
  <c r="AA82" i="17"/>
  <c r="AB56" i="4"/>
  <c r="AB71" i="17"/>
  <c r="AA83" i="17"/>
  <c r="AA110" i="17"/>
  <c r="AA77" i="18"/>
  <c r="AB49" i="4"/>
  <c r="AB139" i="16"/>
  <c r="AA44" i="16"/>
  <c r="AA74" i="17"/>
  <c r="AB73" i="17"/>
  <c r="AB87" i="17"/>
  <c r="AA83" i="16"/>
  <c r="AA51" i="4"/>
  <c r="AB89" i="18"/>
  <c r="AA80" i="16"/>
  <c r="AA145" i="4"/>
  <c r="AA33" i="4"/>
  <c r="AB81" i="17"/>
  <c r="AB63" i="17"/>
  <c r="AA102" i="4"/>
  <c r="AA75" i="17"/>
  <c r="AB42" i="16"/>
  <c r="AA52" i="16"/>
  <c r="AA101" i="18"/>
  <c r="AA91" i="18"/>
  <c r="AA93" i="17"/>
  <c r="K139" i="18"/>
  <c r="U139" i="18" s="1"/>
  <c r="AA75" i="18"/>
  <c r="AA100" i="17"/>
  <c r="AA81" i="17"/>
  <c r="AA76" i="4"/>
  <c r="AA76" i="16"/>
  <c r="AA65" i="4"/>
  <c r="AA79" i="18"/>
  <c r="AB80" i="16"/>
  <c r="AA104" i="18"/>
  <c r="AA83" i="18"/>
  <c r="AA69" i="4"/>
  <c r="AA80" i="17"/>
  <c r="AA52" i="4"/>
  <c r="AA102" i="17"/>
  <c r="AA117" i="4"/>
  <c r="AB75" i="18"/>
  <c r="AB33" i="16"/>
  <c r="AB76" i="18"/>
  <c r="AA65" i="16"/>
  <c r="AA107" i="17"/>
  <c r="AA89" i="18"/>
  <c r="AB56" i="16"/>
  <c r="AA102" i="18"/>
  <c r="AA74" i="18"/>
  <c r="AA83" i="4"/>
  <c r="AB78" i="17"/>
  <c r="AA93" i="4"/>
  <c r="AB73" i="18"/>
  <c r="AB76" i="17"/>
  <c r="AB84" i="18"/>
  <c r="AB93" i="16"/>
  <c r="AB68" i="18"/>
  <c r="AB93" i="4"/>
  <c r="AB80" i="4"/>
  <c r="AB49" i="16"/>
  <c r="AA84" i="4"/>
  <c r="AB78" i="18"/>
  <c r="AA105" i="17"/>
  <c r="AB88" i="18"/>
  <c r="AB64" i="17"/>
  <c r="AA85" i="18"/>
  <c r="AB84" i="17"/>
  <c r="AB135" i="4"/>
  <c r="AA111" i="16"/>
  <c r="AB70" i="18"/>
  <c r="AA96" i="18"/>
  <c r="AA135" i="4"/>
  <c r="AA111" i="4"/>
  <c r="AB33" i="4"/>
  <c r="AB26" i="16"/>
  <c r="AB88" i="17"/>
  <c r="AA93" i="16"/>
  <c r="AB86" i="18"/>
  <c r="AB118" i="16"/>
  <c r="AA84" i="18"/>
  <c r="AB60" i="16"/>
  <c r="AA88" i="4"/>
  <c r="AB102" i="4"/>
  <c r="AA98" i="18"/>
  <c r="AB139" i="4"/>
  <c r="AB92" i="17"/>
  <c r="AB102" i="16"/>
  <c r="AA88" i="16"/>
  <c r="AA139" i="16"/>
  <c r="AB130" i="4"/>
  <c r="AB70" i="17"/>
  <c r="AA139" i="4"/>
  <c r="AB98" i="18"/>
  <c r="AB85" i="17"/>
  <c r="AA51" i="16"/>
  <c r="AB70" i="4"/>
  <c r="AA47" i="4"/>
  <c r="AA70" i="18"/>
  <c r="AA99" i="18"/>
  <c r="AB118" i="4"/>
  <c r="AA92" i="4"/>
  <c r="AA92" i="16"/>
  <c r="AA70" i="4"/>
  <c r="AB92" i="18"/>
  <c r="AA70" i="16"/>
  <c r="AB77" i="18"/>
  <c r="AB94" i="17"/>
  <c r="AA46" i="16"/>
  <c r="AA60" i="16"/>
  <c r="AB145" i="4"/>
  <c r="AA77" i="4"/>
  <c r="AA68" i="17"/>
  <c r="AA94" i="18"/>
  <c r="AB74" i="18"/>
  <c r="AB77" i="16"/>
  <c r="AB77" i="4"/>
  <c r="AB81" i="18"/>
  <c r="AB98" i="16"/>
  <c r="AB89" i="16"/>
  <c r="AB126" i="16"/>
  <c r="AB98" i="4"/>
  <c r="AA84" i="16"/>
  <c r="AB69" i="17"/>
  <c r="AB100" i="18"/>
  <c r="AA88" i="18"/>
  <c r="AB47" i="4"/>
  <c r="AB97" i="16"/>
  <c r="AA90" i="17"/>
  <c r="AB72" i="17"/>
  <c r="AB65" i="17"/>
  <c r="AA102" i="16"/>
  <c r="AB42" i="4"/>
  <c r="AB59" i="18"/>
  <c r="AA89" i="4"/>
  <c r="AB84" i="4"/>
  <c r="AB62" i="17"/>
  <c r="AA89" i="16"/>
  <c r="AB80" i="18"/>
  <c r="AA72" i="18"/>
  <c r="AA106" i="18"/>
  <c r="AB87" i="18"/>
  <c r="AB75" i="4"/>
  <c r="AB74" i="17"/>
  <c r="AA72" i="17"/>
  <c r="AA118" i="4"/>
  <c r="AB121" i="4"/>
  <c r="AA76" i="17"/>
  <c r="AB66" i="18"/>
  <c r="AB77" i="17"/>
  <c r="AB63" i="18"/>
  <c r="AA85" i="17"/>
  <c r="AA71" i="17"/>
  <c r="AB81" i="4"/>
  <c r="AA106" i="17"/>
  <c r="AB52" i="4"/>
  <c r="AB66" i="17"/>
  <c r="AA100" i="18"/>
  <c r="AA93" i="18"/>
  <c r="AB69" i="18"/>
  <c r="AA118" i="16"/>
  <c r="AB61" i="17"/>
  <c r="AA97" i="16"/>
  <c r="AA96" i="17"/>
  <c r="AA46" i="4"/>
  <c r="AA60" i="4"/>
  <c r="AA79" i="17"/>
  <c r="AB71" i="18"/>
  <c r="AA92" i="18"/>
  <c r="AA80" i="4"/>
  <c r="AB28" i="16"/>
  <c r="AA84" i="17"/>
  <c r="AA80" i="18"/>
  <c r="AB28" i="4"/>
  <c r="AB45" i="4"/>
  <c r="AA125" i="16"/>
  <c r="AB62" i="18"/>
  <c r="AA94" i="17"/>
  <c r="AA59" i="4"/>
  <c r="AA108" i="18"/>
  <c r="AA112" i="17"/>
  <c r="AB65" i="4"/>
  <c r="AB85" i="18"/>
  <c r="AB65" i="18"/>
  <c r="AB79" i="18"/>
  <c r="AA121" i="4"/>
  <c r="AB26" i="4"/>
  <c r="AB75" i="17"/>
  <c r="AB69" i="4"/>
  <c r="AB72" i="18"/>
  <c r="AB65" i="16"/>
  <c r="AA121" i="16"/>
  <c r="AA86" i="18"/>
  <c r="AB93" i="17"/>
  <c r="AA61" i="17"/>
  <c r="AA126" i="4"/>
  <c r="AB67" i="18"/>
  <c r="AB79" i="17"/>
  <c r="AB91" i="18"/>
  <c r="AB88" i="16"/>
  <c r="AB88" i="4"/>
  <c r="AA66" i="18"/>
  <c r="AA126" i="16"/>
  <c r="AB103" i="16"/>
  <c r="AB103" i="4"/>
  <c r="AB83" i="18"/>
  <c r="AB94" i="18"/>
  <c r="AA130" i="4"/>
  <c r="AA77" i="17"/>
  <c r="AB80" i="17"/>
  <c r="AA72" i="4"/>
  <c r="AA56" i="4"/>
  <c r="AA56" i="16"/>
  <c r="AA78" i="17"/>
  <c r="AA98" i="16"/>
  <c r="AA107" i="18"/>
  <c r="AA145" i="16"/>
  <c r="AA47" i="16"/>
  <c r="AA33" i="16"/>
  <c r="AA98" i="4"/>
  <c r="AA78" i="18"/>
  <c r="AA95" i="18"/>
  <c r="AA98" i="17"/>
  <c r="AA44" i="4"/>
  <c r="K122" i="17" a="1"/>
  <c r="K122" i="17" s="1"/>
  <c r="U122" i="17" s="1"/>
  <c r="V122" i="17" s="1"/>
  <c r="Z19" i="17"/>
  <c r="Z16" i="18"/>
  <c r="Z27" i="17"/>
  <c r="Z25" i="18"/>
  <c r="Z13" i="17"/>
  <c r="Z12" i="18"/>
  <c r="Z147" i="17"/>
  <c r="Z146" i="18"/>
  <c r="Z11" i="17"/>
  <c r="Z14" i="18"/>
  <c r="Z11" i="4"/>
  <c r="Z11" i="16"/>
  <c r="Z12" i="4"/>
  <c r="Z12" i="16"/>
  <c r="Z20" i="4"/>
  <c r="Z20" i="16"/>
  <c r="Z114" i="4"/>
  <c r="Z114" i="16"/>
  <c r="Z37" i="4"/>
  <c r="Z37" i="16"/>
  <c r="X18" i="4"/>
  <c r="X103" i="4"/>
  <c r="X99" i="4"/>
  <c r="X17" i="4"/>
  <c r="X94" i="4"/>
  <c r="X54" i="4"/>
  <c r="X58" i="4"/>
  <c r="X40" i="4"/>
  <c r="X127" i="4"/>
  <c r="X31" i="4"/>
  <c r="X82" i="4"/>
  <c r="X35" i="4"/>
  <c r="X42" i="4"/>
  <c r="X100" i="4"/>
  <c r="X27" i="4"/>
  <c r="X38" i="4"/>
  <c r="X25" i="4"/>
  <c r="X48" i="4"/>
  <c r="X16" i="4"/>
  <c r="X55" i="4"/>
  <c r="X45" i="4"/>
  <c r="X62" i="4"/>
  <c r="X66" i="4"/>
  <c r="X29" i="4"/>
  <c r="X26" i="4"/>
  <c r="X50" i="4"/>
  <c r="X30" i="4"/>
  <c r="X57" i="4"/>
  <c r="X39" i="4"/>
  <c r="X23" i="4"/>
  <c r="X67" i="4"/>
  <c r="X53" i="4"/>
  <c r="X63" i="4"/>
  <c r="X28" i="4"/>
  <c r="X81" i="4"/>
  <c r="X34" i="4"/>
  <c r="X32" i="4"/>
  <c r="X85" i="4"/>
  <c r="X43" i="4"/>
  <c r="X90" i="4"/>
  <c r="X136" i="4"/>
  <c r="X91" i="4"/>
  <c r="X61" i="4"/>
  <c r="X64" i="4"/>
  <c r="X75" i="4"/>
  <c r="X49" i="4"/>
  <c r="X19" i="4"/>
  <c r="X24" i="4"/>
  <c r="M7" i="4" l="1"/>
  <c r="M8" i="4"/>
  <c r="Z73" i="17"/>
  <c r="Z71" i="18"/>
  <c r="Z33" i="17"/>
  <c r="Z32" i="18"/>
  <c r="Z25" i="17"/>
  <c r="Z33" i="18"/>
  <c r="Z20" i="17"/>
  <c r="Z21" i="18"/>
  <c r="Z56" i="17"/>
  <c r="Z49" i="18"/>
  <c r="Z17" i="17"/>
  <c r="Z20" i="18"/>
  <c r="Z23" i="17"/>
  <c r="Z31" i="18"/>
  <c r="Z29" i="17"/>
  <c r="Z29" i="18"/>
  <c r="Z41" i="17"/>
  <c r="Z45" i="18"/>
  <c r="Z53" i="17"/>
  <c r="Z61" i="18"/>
  <c r="Z43" i="17"/>
  <c r="Z42" i="18"/>
  <c r="Z48" i="17"/>
  <c r="Z50" i="18"/>
  <c r="Z39" i="17"/>
  <c r="Z39" i="18"/>
  <c r="Z36" i="17"/>
  <c r="Z34" i="18"/>
  <c r="Z50" i="17"/>
  <c r="Z51" i="18"/>
  <c r="Z37" i="17"/>
  <c r="Z40" i="18"/>
  <c r="Z55" i="17"/>
  <c r="Z60" i="18"/>
  <c r="Z28" i="17"/>
  <c r="Z28" i="18"/>
  <c r="Z67" i="17"/>
  <c r="Z65" i="18"/>
  <c r="Z22" i="17"/>
  <c r="Z22" i="18"/>
  <c r="Z32" i="17"/>
  <c r="Z36" i="18"/>
  <c r="Z70" i="17"/>
  <c r="Z68" i="18"/>
  <c r="Z62" i="17"/>
  <c r="Z59" i="18"/>
  <c r="Z44" i="17"/>
  <c r="Z54" i="18"/>
  <c r="Z49" i="17"/>
  <c r="Z58" i="18"/>
  <c r="Z46" i="17"/>
  <c r="Z48" i="18"/>
  <c r="Z30" i="17"/>
  <c r="Z35" i="18"/>
  <c r="Z58" i="17"/>
  <c r="Z57" i="18"/>
  <c r="Z52" i="17"/>
  <c r="Z47" i="18"/>
  <c r="Z40" i="17"/>
  <c r="Z44" i="18"/>
  <c r="Z57" i="17"/>
  <c r="Z56" i="18"/>
  <c r="Z24" i="17"/>
  <c r="Z26" i="18"/>
  <c r="Z65" i="17"/>
  <c r="Z62" i="18"/>
  <c r="Z47" i="17"/>
  <c r="Z43" i="18"/>
  <c r="Z63" i="17"/>
  <c r="Z67" i="18"/>
  <c r="Z66" i="17"/>
  <c r="Z63" i="18"/>
  <c r="Z34" i="17"/>
  <c r="Z37" i="18"/>
  <c r="Z21" i="17"/>
  <c r="Z23" i="18"/>
  <c r="Z45" i="17"/>
  <c r="Z55" i="18"/>
  <c r="Z51" i="17"/>
  <c r="Z46" i="18"/>
  <c r="Z12" i="17"/>
  <c r="Z17" i="18"/>
  <c r="Z54" i="17"/>
  <c r="Z53" i="18"/>
  <c r="Z59" i="17"/>
  <c r="Z64" i="18"/>
  <c r="Z60" i="17"/>
  <c r="Z52" i="18"/>
  <c r="Z42" i="17"/>
  <c r="Z41" i="18"/>
  <c r="Z69" i="17"/>
  <c r="Z69" i="18"/>
  <c r="Z38" i="17"/>
  <c r="Z38" i="18"/>
  <c r="Z14" i="17"/>
  <c r="Z18" i="18"/>
  <c r="Z85" i="4"/>
  <c r="Z85" i="16"/>
  <c r="Z53" i="4"/>
  <c r="Z53" i="16"/>
  <c r="Z29" i="4"/>
  <c r="Z29" i="16"/>
  <c r="Z35" i="4"/>
  <c r="Z35" i="16"/>
  <c r="Z42" i="4"/>
  <c r="Z42" i="16"/>
  <c r="Z66" i="4"/>
  <c r="Z66" i="16"/>
  <c r="Z62" i="4"/>
  <c r="Z62" i="16"/>
  <c r="Z82" i="4"/>
  <c r="Z82" i="16"/>
  <c r="Z99" i="4"/>
  <c r="Z99" i="16"/>
  <c r="Z32" i="4"/>
  <c r="Z32" i="16"/>
  <c r="Z45" i="4"/>
  <c r="Z45" i="16"/>
  <c r="Z31" i="4"/>
  <c r="Z31" i="16"/>
  <c r="Z103" i="4"/>
  <c r="Z103" i="16"/>
  <c r="Z75" i="4"/>
  <c r="Z75" i="16"/>
  <c r="Z67" i="4"/>
  <c r="Z67" i="16"/>
  <c r="Z55" i="4"/>
  <c r="Z55" i="16"/>
  <c r="Z127" i="4"/>
  <c r="Z127" i="16"/>
  <c r="Z18" i="4"/>
  <c r="Z18" i="16"/>
  <c r="Z64" i="4"/>
  <c r="Z64" i="16"/>
  <c r="Z34" i="4"/>
  <c r="Z34" i="16"/>
  <c r="Z61" i="4"/>
  <c r="Z61" i="16"/>
  <c r="Z23" i="4"/>
  <c r="Z23" i="16"/>
  <c r="Z16" i="4"/>
  <c r="Z16" i="16"/>
  <c r="Z81" i="4"/>
  <c r="Z81" i="16"/>
  <c r="Z48" i="4"/>
  <c r="Z48" i="16"/>
  <c r="Z40" i="4"/>
  <c r="Z40" i="16"/>
  <c r="Z49" i="4"/>
  <c r="Z49" i="16"/>
  <c r="Z28" i="4"/>
  <c r="Z28" i="16"/>
  <c r="Z39" i="4"/>
  <c r="Z39" i="16"/>
  <c r="Z58" i="4"/>
  <c r="Z58" i="16"/>
  <c r="Z57" i="4"/>
  <c r="Z57" i="16"/>
  <c r="Z25" i="4"/>
  <c r="Z25" i="16"/>
  <c r="Z30" i="4"/>
  <c r="Z30" i="16"/>
  <c r="Z38" i="4"/>
  <c r="Z38" i="16"/>
  <c r="Z91" i="4"/>
  <c r="Z91" i="16"/>
  <c r="Z63" i="4"/>
  <c r="Z63" i="16"/>
  <c r="Z50" i="4"/>
  <c r="Z50" i="16"/>
  <c r="Z136" i="4"/>
  <c r="Z136" i="16"/>
  <c r="Z54" i="4"/>
  <c r="Z54" i="16"/>
  <c r="Z90" i="4"/>
  <c r="Z90" i="16"/>
  <c r="Z27" i="4"/>
  <c r="Z27" i="16"/>
  <c r="Z24" i="4"/>
  <c r="Z24" i="16"/>
  <c r="Z43" i="4"/>
  <c r="Z43" i="16"/>
  <c r="Z94" i="4"/>
  <c r="Z94" i="16"/>
  <c r="Z19" i="4"/>
  <c r="Z19" i="16"/>
  <c r="Z26" i="4"/>
  <c r="Z26" i="16"/>
  <c r="Z17" i="4"/>
  <c r="Z17" i="16"/>
  <c r="Z100" i="4"/>
  <c r="Z100" i="16"/>
  <c r="I7" i="18" l="1"/>
  <c r="E7" i="18"/>
  <c r="F7" i="18"/>
  <c r="G7" i="18"/>
  <c r="C7" i="18"/>
  <c r="D7" i="18"/>
  <c r="L7" i="18"/>
  <c r="J7" i="18"/>
  <c r="K7" i="18"/>
  <c r="T22" i="18" l="1"/>
  <c r="V22" i="18" s="1"/>
  <c r="C29" i="5" a="1"/>
  <c r="T146" i="18" l="1"/>
  <c r="V146" i="18" s="1"/>
  <c r="X146" i="18" s="1"/>
  <c r="T25" i="18"/>
  <c r="V25" i="18" s="1"/>
  <c r="X25" i="18" s="1"/>
  <c r="T147" i="18"/>
  <c r="V147" i="18" s="1"/>
  <c r="X147" i="18" s="1"/>
  <c r="T27" i="18"/>
  <c r="V27" i="18" s="1"/>
  <c r="X27" i="18" s="1"/>
  <c r="T140" i="18"/>
  <c r="V140" i="18" s="1"/>
  <c r="X140" i="18" s="1"/>
  <c r="T149" i="18"/>
  <c r="V149" i="18" s="1"/>
  <c r="X149" i="18" s="1"/>
  <c r="T19" i="18"/>
  <c r="V19" i="18" s="1"/>
  <c r="X19" i="18" s="1"/>
  <c r="T15" i="18"/>
  <c r="V15" i="18" s="1"/>
  <c r="X15" i="18" s="1"/>
  <c r="T13" i="18"/>
  <c r="V13" i="18" s="1"/>
  <c r="X13" i="18" s="1"/>
  <c r="T14" i="18"/>
  <c r="V14" i="18" s="1"/>
  <c r="X14" i="18" s="1"/>
  <c r="W11" i="17" s="1"/>
  <c r="T24" i="18"/>
  <c r="V24" i="18" s="1"/>
  <c r="X24" i="18" s="1"/>
  <c r="T30" i="18"/>
  <c r="V30" i="18" s="1"/>
  <c r="X30" i="18" s="1"/>
  <c r="T12" i="18"/>
  <c r="V12" i="18" s="1"/>
  <c r="X12" i="18" s="1"/>
  <c r="T16" i="18"/>
  <c r="V16" i="18" s="1"/>
  <c r="X16" i="18" s="1"/>
  <c r="K145" i="4" a="1"/>
  <c r="K145" i="4" s="1"/>
  <c r="K149" i="16" a="1"/>
  <c r="K149" i="16" s="1"/>
  <c r="U149" i="16" s="1"/>
  <c r="V149" i="16" s="1"/>
  <c r="X149" i="16" s="1"/>
  <c r="K150" i="16" a="1"/>
  <c r="K150" i="16" s="1"/>
  <c r="U150" i="16" s="1"/>
  <c r="V150" i="16" s="1"/>
  <c r="K148" i="4" a="1"/>
  <c r="K148" i="4" s="1"/>
  <c r="K95" i="17" a="1"/>
  <c r="K95" i="17" s="1"/>
  <c r="U95" i="17" s="1"/>
  <c r="V95" i="17" s="1"/>
  <c r="K147" i="4" a="1"/>
  <c r="K147" i="4" s="1"/>
  <c r="K147" i="16" a="1"/>
  <c r="K147" i="16" s="1"/>
  <c r="U147" i="16" s="1"/>
  <c r="V147" i="16" s="1"/>
  <c r="K148" i="16" a="1"/>
  <c r="K148" i="16" s="1"/>
  <c r="U148" i="16" s="1"/>
  <c r="V148" i="16" s="1"/>
  <c r="K151" i="4" a="1"/>
  <c r="K151" i="4" s="1"/>
  <c r="K151" i="17" a="1"/>
  <c r="K151" i="17" s="1"/>
  <c r="U151" i="17" s="1"/>
  <c r="V151" i="17" s="1"/>
  <c r="K126" i="17" a="1"/>
  <c r="K126" i="17" s="1"/>
  <c r="U126" i="17" s="1"/>
  <c r="V126" i="17" s="1"/>
  <c r="K144" i="17" a="1"/>
  <c r="K144" i="17" s="1"/>
  <c r="U144" i="17" s="1"/>
  <c r="V144" i="17" s="1"/>
  <c r="K149" i="4" a="1"/>
  <c r="K149" i="4" s="1"/>
  <c r="K150" i="4" a="1"/>
  <c r="K150" i="4" s="1"/>
  <c r="K151" i="16" a="1"/>
  <c r="K151" i="16" s="1"/>
  <c r="U151" i="16" s="1"/>
  <c r="V151" i="16" s="1"/>
  <c r="C29" i="5"/>
  <c r="X151" i="17" l="1"/>
  <c r="AB149" i="16" s="1"/>
  <c r="W11" i="16"/>
  <c r="W19" i="17"/>
  <c r="W20" i="16"/>
  <c r="W13" i="17"/>
  <c r="W36" i="16"/>
  <c r="W26" i="17"/>
  <c r="W13" i="16"/>
  <c r="W16" i="17"/>
  <c r="W22" i="16"/>
  <c r="W15" i="17"/>
  <c r="W14" i="16"/>
  <c r="W35" i="17"/>
  <c r="W107" i="16"/>
  <c r="W145" i="17"/>
  <c r="W110" i="16"/>
  <c r="W135" i="17"/>
  <c r="W12" i="16"/>
  <c r="W27" i="17"/>
  <c r="W114" i="16"/>
  <c r="W147" i="17"/>
  <c r="W109" i="16"/>
  <c r="W146" i="17"/>
  <c r="W15" i="16"/>
  <c r="W18" i="17"/>
  <c r="W21" i="16"/>
  <c r="W31" i="17"/>
  <c r="W37" i="16"/>
  <c r="W13" i="18"/>
  <c r="W13" i="4"/>
  <c r="W15" i="18"/>
  <c r="W22" i="4"/>
  <c r="W140" i="18"/>
  <c r="W110" i="4"/>
  <c r="W14" i="18"/>
  <c r="W37" i="4"/>
  <c r="W19" i="18"/>
  <c r="W15" i="4"/>
  <c r="W27" i="18"/>
  <c r="W21" i="4"/>
  <c r="W147" i="18"/>
  <c r="W109" i="4"/>
  <c r="W149" i="18"/>
  <c r="W107" i="4"/>
  <c r="W25" i="18"/>
  <c r="W12" i="4"/>
  <c r="W146" i="18"/>
  <c r="W114" i="4"/>
  <c r="W16" i="18"/>
  <c r="W11" i="4"/>
  <c r="W30" i="18"/>
  <c r="W14" i="4"/>
  <c r="W24" i="18"/>
  <c r="W36" i="4"/>
  <c r="W12" i="18"/>
  <c r="W20" i="4"/>
  <c r="U150" i="4"/>
  <c r="V150" i="4" s="1"/>
  <c r="K145" i="18"/>
  <c r="U145" i="18" s="1"/>
  <c r="U149" i="4"/>
  <c r="V149" i="4" s="1"/>
  <c r="K152" i="18"/>
  <c r="U152" i="18" s="1"/>
  <c r="U151" i="4"/>
  <c r="V151" i="4" s="1"/>
  <c r="K135" i="18"/>
  <c r="U135" i="18" s="1"/>
  <c r="U147" i="4"/>
  <c r="V147" i="4" s="1"/>
  <c r="K121" i="18"/>
  <c r="U121" i="18" s="1"/>
  <c r="U148" i="4"/>
  <c r="V148" i="4" s="1"/>
  <c r="K103" i="18"/>
  <c r="U103" i="18" s="1"/>
  <c r="U145" i="4"/>
  <c r="V145" i="4" s="1"/>
  <c r="K66" i="18"/>
  <c r="U66" i="18" s="1"/>
  <c r="X151" i="16"/>
  <c r="X68" i="16"/>
  <c r="X104" i="16"/>
  <c r="X140" i="16"/>
  <c r="X144" i="17"/>
  <c r="X139" i="17"/>
  <c r="X118" i="17"/>
  <c r="X150" i="17"/>
  <c r="X126" i="17"/>
  <c r="X147" i="16"/>
  <c r="AB152" i="18"/>
  <c r="X148" i="16"/>
  <c r="X134" i="16"/>
  <c r="X86" i="16"/>
  <c r="X113" i="16"/>
  <c r="X105" i="16"/>
  <c r="X73" i="16"/>
  <c r="X137" i="16"/>
  <c r="X142" i="16"/>
  <c r="X141" i="16"/>
  <c r="X143" i="16"/>
  <c r="X128" i="16"/>
  <c r="X87" i="16"/>
  <c r="X119" i="16"/>
  <c r="X101" i="16"/>
  <c r="X78" i="16"/>
  <c r="X79" i="16"/>
  <c r="X95" i="16"/>
  <c r="X96" i="16"/>
  <c r="X129" i="16"/>
  <c r="X106" i="16"/>
  <c r="X74" i="16"/>
  <c r="X138" i="16"/>
  <c r="X120" i="16"/>
  <c r="X146" i="16"/>
  <c r="X95" i="17"/>
  <c r="X148" i="17"/>
  <c r="X102" i="17"/>
  <c r="X105" i="17"/>
  <c r="X138" i="17"/>
  <c r="X100" i="17"/>
  <c r="X97" i="17"/>
  <c r="X133" i="17"/>
  <c r="X103" i="17"/>
  <c r="X114" i="17"/>
  <c r="X123" i="17"/>
  <c r="X117" i="17"/>
  <c r="X98" i="17"/>
  <c r="X104" i="17"/>
  <c r="X99" i="17"/>
  <c r="X106" i="17"/>
  <c r="X143" i="17"/>
  <c r="X109" i="17"/>
  <c r="X124" i="17"/>
  <c r="X125" i="17"/>
  <c r="X101" i="17"/>
  <c r="X134" i="17"/>
  <c r="X128" i="17"/>
  <c r="X108" i="17"/>
  <c r="X137" i="17"/>
  <c r="X119" i="17"/>
  <c r="X131" i="17"/>
  <c r="X110" i="17"/>
  <c r="X115" i="17"/>
  <c r="X113" i="17"/>
  <c r="X149" i="17"/>
  <c r="X112" i="17"/>
  <c r="X132" i="17"/>
  <c r="X121" i="17"/>
  <c r="X96" i="17"/>
  <c r="X116" i="17"/>
  <c r="X130" i="17"/>
  <c r="X142" i="17"/>
  <c r="X111" i="17"/>
  <c r="X129" i="17"/>
  <c r="X141" i="17"/>
  <c r="X127" i="17"/>
  <c r="X136" i="17"/>
  <c r="X107" i="17"/>
  <c r="X120" i="17"/>
  <c r="X140" i="17"/>
  <c r="X122" i="17"/>
  <c r="X150" i="16"/>
  <c r="AA151" i="17"/>
  <c r="AA149" i="4"/>
  <c r="AA149" i="16"/>
  <c r="AA152" i="18"/>
  <c r="AB149" i="4" l="1"/>
  <c r="AB151" i="17"/>
  <c r="X143" i="4"/>
  <c r="Z143" i="4" s="1"/>
  <c r="X144" i="4"/>
  <c r="Z144" i="16" s="1"/>
  <c r="X113" i="4"/>
  <c r="X56" i="4"/>
  <c r="X89" i="4"/>
  <c r="X149" i="4"/>
  <c r="Z149" i="4" s="1"/>
  <c r="X146" i="4"/>
  <c r="Z146" i="4" s="1"/>
  <c r="X148" i="4"/>
  <c r="Z95" i="17" s="1"/>
  <c r="X147" i="4"/>
  <c r="Z121" i="18" s="1"/>
  <c r="AA147" i="4"/>
  <c r="AB151" i="16"/>
  <c r="AB144" i="17"/>
  <c r="AA126" i="17"/>
  <c r="X105" i="4"/>
  <c r="Z122" i="18" s="1"/>
  <c r="X93" i="4"/>
  <c r="Z93" i="4" s="1"/>
  <c r="X79" i="4"/>
  <c r="X73" i="4"/>
  <c r="Z73" i="4" s="1"/>
  <c r="X119" i="4"/>
  <c r="Z119" i="16" s="1"/>
  <c r="X101" i="4"/>
  <c r="X80" i="4"/>
  <c r="X125" i="4"/>
  <c r="X130" i="4"/>
  <c r="X60" i="4"/>
  <c r="X102" i="4"/>
  <c r="X97" i="4"/>
  <c r="X83" i="4"/>
  <c r="X46" i="4"/>
  <c r="X98" i="4"/>
  <c r="X128" i="4"/>
  <c r="X77" i="4"/>
  <c r="X74" i="4"/>
  <c r="X139" i="4"/>
  <c r="X151" i="4"/>
  <c r="X86" i="4"/>
  <c r="X59" i="4"/>
  <c r="X111" i="4"/>
  <c r="X72" i="4"/>
  <c r="X33" i="4"/>
  <c r="X95" i="4"/>
  <c r="X135" i="4"/>
  <c r="X150" i="4"/>
  <c r="X141" i="4"/>
  <c r="X118" i="4"/>
  <c r="X84" i="4"/>
  <c r="X117" i="4"/>
  <c r="X121" i="4"/>
  <c r="X145" i="4"/>
  <c r="X52" i="4"/>
  <c r="X126" i="4"/>
  <c r="X92" i="4"/>
  <c r="X140" i="4"/>
  <c r="X68" i="4"/>
  <c r="X76" i="4"/>
  <c r="Z76" i="4" s="1"/>
  <c r="X51" i="4"/>
  <c r="X88" i="4"/>
  <c r="X87" i="4"/>
  <c r="X106" i="4"/>
  <c r="X65" i="4"/>
  <c r="X41" i="4"/>
  <c r="X138" i="4"/>
  <c r="X70" i="4"/>
  <c r="X96" i="4"/>
  <c r="X104" i="4"/>
  <c r="X129" i="4"/>
  <c r="X78" i="4"/>
  <c r="X69" i="4"/>
  <c r="X137" i="4"/>
  <c r="X44" i="4"/>
  <c r="X120" i="4"/>
  <c r="X47" i="4"/>
  <c r="X134" i="4"/>
  <c r="AA147" i="16"/>
  <c r="AA122" i="17"/>
  <c r="AA121" i="18"/>
  <c r="AB150" i="16"/>
  <c r="AA151" i="4"/>
  <c r="AA151" i="16"/>
  <c r="AA135" i="18"/>
  <c r="AB150" i="4"/>
  <c r="AB145" i="18"/>
  <c r="AB135" i="18"/>
  <c r="AB151" i="4"/>
  <c r="AB126" i="17"/>
  <c r="AB140" i="16"/>
  <c r="AB150" i="17"/>
  <c r="AB151" i="18"/>
  <c r="AB140" i="4"/>
  <c r="AB68" i="16"/>
  <c r="AB113" i="18"/>
  <c r="AB118" i="17"/>
  <c r="AB68" i="4"/>
  <c r="AB139" i="17"/>
  <c r="AB104" i="16"/>
  <c r="AB138" i="18"/>
  <c r="AB104" i="4"/>
  <c r="AA151" i="18"/>
  <c r="AA140" i="4"/>
  <c r="AA150" i="17"/>
  <c r="AA140" i="16"/>
  <c r="AA139" i="17"/>
  <c r="AA138" i="18"/>
  <c r="AA104" i="4"/>
  <c r="AA104" i="16"/>
  <c r="AA118" i="17"/>
  <c r="AA68" i="4"/>
  <c r="AA68" i="16"/>
  <c r="AA113" i="18"/>
  <c r="AB129" i="17"/>
  <c r="AB73" i="4"/>
  <c r="AB73" i="16"/>
  <c r="AB127" i="18"/>
  <c r="AB132" i="18"/>
  <c r="AB125" i="17"/>
  <c r="AB142" i="4"/>
  <c r="AB142" i="16"/>
  <c r="AA87" i="4"/>
  <c r="AA114" i="17"/>
  <c r="AA117" i="18"/>
  <c r="AA87" i="16"/>
  <c r="AB97" i="17"/>
  <c r="AB106" i="4"/>
  <c r="AB106" i="16"/>
  <c r="AB105" i="18"/>
  <c r="AB111" i="17"/>
  <c r="AB134" i="4"/>
  <c r="AB134" i="16"/>
  <c r="AB109" i="18"/>
  <c r="AB124" i="17"/>
  <c r="AB105" i="4"/>
  <c r="AB105" i="16"/>
  <c r="AB122" i="18"/>
  <c r="AA134" i="18"/>
  <c r="AA128" i="4"/>
  <c r="AA134" i="17"/>
  <c r="AA128" i="16"/>
  <c r="AB142" i="17"/>
  <c r="AB132" i="4"/>
  <c r="AB132" i="16"/>
  <c r="AB143" i="18"/>
  <c r="AB79" i="16"/>
  <c r="AB115" i="18"/>
  <c r="AB109" i="17"/>
  <c r="AB79" i="4"/>
  <c r="AA117" i="17"/>
  <c r="AA114" i="18"/>
  <c r="AA143" i="16"/>
  <c r="AA143" i="4"/>
  <c r="AB112" i="16"/>
  <c r="AB129" i="18"/>
  <c r="AB130" i="17"/>
  <c r="AB112" i="4"/>
  <c r="AB141" i="16"/>
  <c r="AB143" i="17"/>
  <c r="AB144" i="18"/>
  <c r="AB141" i="4"/>
  <c r="AA144" i="18"/>
  <c r="AA143" i="17"/>
  <c r="AA141" i="4"/>
  <c r="AA141" i="16"/>
  <c r="AB101" i="16"/>
  <c r="AB111" i="18"/>
  <c r="AB116" i="17"/>
  <c r="AB101" i="4"/>
  <c r="AB125" i="16"/>
  <c r="AB106" i="18"/>
  <c r="AB106" i="17"/>
  <c r="AB125" i="4"/>
  <c r="AA132" i="18"/>
  <c r="AA125" i="17"/>
  <c r="AA142" i="16"/>
  <c r="AA142" i="4"/>
  <c r="AB78" i="4"/>
  <c r="AB78" i="16"/>
  <c r="AB130" i="18"/>
  <c r="AB131" i="17"/>
  <c r="AB72" i="16"/>
  <c r="AB93" i="18"/>
  <c r="AB96" i="17"/>
  <c r="AB72" i="4"/>
  <c r="AB99" i="17"/>
  <c r="AB111" i="4"/>
  <c r="AB111" i="16"/>
  <c r="AB96" i="18"/>
  <c r="AA137" i="18"/>
  <c r="AA137" i="4"/>
  <c r="AA137" i="17"/>
  <c r="AA137" i="16"/>
  <c r="AB125" i="18"/>
  <c r="AB121" i="17"/>
  <c r="AB124" i="4"/>
  <c r="AB124" i="16"/>
  <c r="AB104" i="17"/>
  <c r="AB74" i="4"/>
  <c r="AB74" i="16"/>
  <c r="AB110" i="18"/>
  <c r="AA73" i="16"/>
  <c r="AA73" i="4"/>
  <c r="AA129" i="17"/>
  <c r="AA127" i="18"/>
  <c r="AA145" i="18"/>
  <c r="AA150" i="16"/>
  <c r="AA150" i="4"/>
  <c r="AA144" i="17"/>
  <c r="AB119" i="16"/>
  <c r="AB131" i="18"/>
  <c r="AB132" i="17"/>
  <c r="AB119" i="4"/>
  <c r="AB98" i="17"/>
  <c r="AB44" i="4"/>
  <c r="AB44" i="16"/>
  <c r="AB95" i="18"/>
  <c r="AA124" i="17"/>
  <c r="AA122" i="18"/>
  <c r="AA105" i="16"/>
  <c r="AA105" i="4"/>
  <c r="AB112" i="17"/>
  <c r="AB59" i="4"/>
  <c r="AB59" i="16"/>
  <c r="AB108" i="18"/>
  <c r="AB114" i="18"/>
  <c r="AB117" i="17"/>
  <c r="AB143" i="4"/>
  <c r="AB143" i="16"/>
  <c r="AA139" i="18"/>
  <c r="AA140" i="17"/>
  <c r="AA146" i="4"/>
  <c r="AA146" i="16"/>
  <c r="AA103" i="17"/>
  <c r="AA112" i="18"/>
  <c r="AA113" i="16"/>
  <c r="AA113" i="4"/>
  <c r="Z91" i="17"/>
  <c r="Z90" i="18"/>
  <c r="Z144" i="4"/>
  <c r="AB149" i="17"/>
  <c r="AB131" i="4"/>
  <c r="AB131" i="16"/>
  <c r="AB150" i="18"/>
  <c r="AB123" i="17"/>
  <c r="AB133" i="16"/>
  <c r="AB128" i="18"/>
  <c r="AB133" i="4"/>
  <c r="AA116" i="18"/>
  <c r="AA120" i="16"/>
  <c r="AA120" i="4"/>
  <c r="AA108" i="17"/>
  <c r="AA86" i="16"/>
  <c r="AA133" i="17"/>
  <c r="AA133" i="18"/>
  <c r="AA86" i="4"/>
  <c r="AB118" i="18"/>
  <c r="AB113" i="17"/>
  <c r="AB129" i="4"/>
  <c r="AB129" i="16"/>
  <c r="AB87" i="16"/>
  <c r="AB117" i="18"/>
  <c r="AB114" i="17"/>
  <c r="AB87" i="4"/>
  <c r="AA119" i="18"/>
  <c r="AA119" i="17"/>
  <c r="AA138" i="16"/>
  <c r="AA138" i="4"/>
  <c r="AA109" i="18"/>
  <c r="AA134" i="16"/>
  <c r="AA134" i="4"/>
  <c r="AA111" i="17"/>
  <c r="AB115" i="17"/>
  <c r="AB116" i="4"/>
  <c r="AB116" i="16"/>
  <c r="AB123" i="18"/>
  <c r="AB113" i="16"/>
  <c r="AB112" i="18"/>
  <c r="AB103" i="17"/>
  <c r="AB113" i="4"/>
  <c r="AA104" i="17"/>
  <c r="AA110" i="18"/>
  <c r="AA74" i="16"/>
  <c r="AA74" i="4"/>
  <c r="AA103" i="18"/>
  <c r="AA95" i="17"/>
  <c r="AA148" i="4"/>
  <c r="AA148" i="16"/>
  <c r="AB110" i="17"/>
  <c r="AB92" i="16"/>
  <c r="AB107" i="18"/>
  <c r="AB92" i="4"/>
  <c r="AB86" i="16"/>
  <c r="AB133" i="18"/>
  <c r="AB86" i="4"/>
  <c r="AB133" i="17"/>
  <c r="AA97" i="17"/>
  <c r="AA105" i="18"/>
  <c r="AA106" i="16"/>
  <c r="AA106" i="4"/>
  <c r="AB146" i="4"/>
  <c r="AB146" i="16"/>
  <c r="AB139" i="18"/>
  <c r="AB140" i="17"/>
  <c r="AB119" i="17"/>
  <c r="AB138" i="4"/>
  <c r="AB138" i="16"/>
  <c r="AB119" i="18"/>
  <c r="AB76" i="16"/>
  <c r="AB97" i="18"/>
  <c r="AB100" i="17"/>
  <c r="AB76" i="4"/>
  <c r="AA120" i="18"/>
  <c r="AA96" i="16"/>
  <c r="AA96" i="4"/>
  <c r="AA120" i="17"/>
  <c r="AB96" i="16"/>
  <c r="AB120" i="18"/>
  <c r="AB120" i="17"/>
  <c r="AB96" i="4"/>
  <c r="AB137" i="16"/>
  <c r="AB137" i="18"/>
  <c r="AB137" i="17"/>
  <c r="AB137" i="4"/>
  <c r="AB138" i="17"/>
  <c r="AB115" i="4"/>
  <c r="AB115" i="16"/>
  <c r="AB141" i="18"/>
  <c r="AA136" i="18"/>
  <c r="AA95" i="16"/>
  <c r="AA95" i="4"/>
  <c r="AA136" i="17"/>
  <c r="AA118" i="18"/>
  <c r="AA113" i="17"/>
  <c r="AA129" i="16"/>
  <c r="I4" i="16" s="1"/>
  <c r="AA129" i="4"/>
  <c r="AB107" i="17"/>
  <c r="AB51" i="4"/>
  <c r="AB51" i="16"/>
  <c r="AB104" i="18"/>
  <c r="AB120" i="16"/>
  <c r="AB108" i="17"/>
  <c r="AB116" i="18"/>
  <c r="AB120" i="4"/>
  <c r="AB83" i="4"/>
  <c r="AB83" i="16"/>
  <c r="AB102" i="18"/>
  <c r="AB105" i="17"/>
  <c r="AA79" i="16"/>
  <c r="AA79" i="4"/>
  <c r="AA109" i="17"/>
  <c r="AA115" i="18"/>
  <c r="AB136" i="17"/>
  <c r="AB95" i="4"/>
  <c r="AB95" i="16"/>
  <c r="AB136" i="18"/>
  <c r="AB108" i="16"/>
  <c r="AB126" i="18"/>
  <c r="AB128" i="17"/>
  <c r="AB108" i="4"/>
  <c r="AB117" i="16"/>
  <c r="AB101" i="18"/>
  <c r="AB102" i="17"/>
  <c r="AB117" i="4"/>
  <c r="AA78" i="4"/>
  <c r="AA78" i="16"/>
  <c r="AA131" i="17"/>
  <c r="AA130" i="18"/>
  <c r="AB127" i="17"/>
  <c r="AB71" i="4"/>
  <c r="AB71" i="16"/>
  <c r="AB124" i="18"/>
  <c r="AB134" i="17"/>
  <c r="AB128" i="4"/>
  <c r="AB128" i="16"/>
  <c r="AB134" i="18"/>
  <c r="AB122" i="16"/>
  <c r="AB148" i="17"/>
  <c r="AB148" i="18"/>
  <c r="AB122" i="4"/>
  <c r="AA111" i="18"/>
  <c r="AA101" i="16"/>
  <c r="AA101" i="4"/>
  <c r="AA116" i="17"/>
  <c r="AB122" i="17"/>
  <c r="AB147" i="4"/>
  <c r="AB147" i="16"/>
  <c r="AB121" i="18"/>
  <c r="AB123" i="16"/>
  <c r="AB142" i="18"/>
  <c r="AB141" i="17"/>
  <c r="AB123" i="4"/>
  <c r="AB46" i="4"/>
  <c r="AB101" i="17"/>
  <c r="AB46" i="16"/>
  <c r="AB99" i="18"/>
  <c r="AB148" i="16"/>
  <c r="AB95" i="17"/>
  <c r="AB148" i="4"/>
  <c r="AB103" i="18"/>
  <c r="AA131" i="18"/>
  <c r="AA119" i="16"/>
  <c r="AA132" i="17"/>
  <c r="AA119" i="4"/>
  <c r="Z143" i="16" l="1"/>
  <c r="Z114" i="18"/>
  <c r="Z117" i="17"/>
  <c r="Z81" i="17"/>
  <c r="M4" i="4"/>
  <c r="M5" i="4"/>
  <c r="M6" i="4"/>
  <c r="I6" i="16"/>
  <c r="L7" i="16"/>
  <c r="G4" i="16"/>
  <c r="C4" i="16"/>
  <c r="J8" i="16"/>
  <c r="E8" i="16"/>
  <c r="C6" i="16"/>
  <c r="D6" i="16"/>
  <c r="F8" i="16"/>
  <c r="C7" i="16"/>
  <c r="H6" i="16"/>
  <c r="L4" i="16"/>
  <c r="C5" i="16"/>
  <c r="L6" i="16"/>
  <c r="I5" i="16"/>
  <c r="F7" i="16"/>
  <c r="E5" i="16"/>
  <c r="I7" i="16"/>
  <c r="G5" i="16"/>
  <c r="K4" i="16"/>
  <c r="D4" i="16"/>
  <c r="J4" i="16"/>
  <c r="E6" i="16"/>
  <c r="J7" i="16"/>
  <c r="D8" i="16"/>
  <c r="K6" i="16"/>
  <c r="E4" i="16"/>
  <c r="F4" i="16"/>
  <c r="G7" i="16"/>
  <c r="F5" i="16"/>
  <c r="E7" i="16"/>
  <c r="H8" i="16"/>
  <c r="G6" i="16"/>
  <c r="H7" i="16"/>
  <c r="G8" i="16"/>
  <c r="D5" i="16"/>
  <c r="J6" i="16"/>
  <c r="F6" i="16"/>
  <c r="C8" i="16"/>
  <c r="H4" i="16"/>
  <c r="K7" i="16"/>
  <c r="K5" i="16"/>
  <c r="I8" i="16"/>
  <c r="J5" i="16"/>
  <c r="D7" i="16"/>
  <c r="H5" i="16"/>
  <c r="K8" i="16"/>
  <c r="L5" i="16"/>
  <c r="L8" i="16"/>
  <c r="Z103" i="18"/>
  <c r="Z140" i="17"/>
  <c r="Z146" i="16"/>
  <c r="Z149" i="16"/>
  <c r="Z139" i="18"/>
  <c r="Z152" i="18"/>
  <c r="Z72" i="18"/>
  <c r="Z75" i="17"/>
  <c r="Z89" i="4"/>
  <c r="Z89" i="16"/>
  <c r="Z78" i="17"/>
  <c r="Z56" i="4"/>
  <c r="Z56" i="16"/>
  <c r="Z73" i="18"/>
  <c r="Z113" i="16"/>
  <c r="Z113" i="4"/>
  <c r="Z112" i="18"/>
  <c r="Z103" i="17"/>
  <c r="Z105" i="4"/>
  <c r="Z105" i="16"/>
  <c r="Z122" i="17"/>
  <c r="Z148" i="4"/>
  <c r="Z147" i="4"/>
  <c r="Z147" i="16"/>
  <c r="Z148" i="16"/>
  <c r="Z151" i="17"/>
  <c r="Z124" i="17"/>
  <c r="Z131" i="18"/>
  <c r="Z132" i="17"/>
  <c r="Z119" i="4"/>
  <c r="Z47" i="16"/>
  <c r="Z107" i="18"/>
  <c r="Z120" i="4"/>
  <c r="Z126" i="4"/>
  <c r="Z77" i="16"/>
  <c r="Z44" i="4"/>
  <c r="Z80" i="17"/>
  <c r="Z137" i="18"/>
  <c r="Z145" i="16"/>
  <c r="Z128" i="4"/>
  <c r="Z91" i="18"/>
  <c r="Z87" i="18"/>
  <c r="Z98" i="4"/>
  <c r="Z78" i="16"/>
  <c r="Z102" i="17"/>
  <c r="Z129" i="16"/>
  <c r="Z80" i="18"/>
  <c r="Z101" i="17"/>
  <c r="Z104" i="4"/>
  <c r="Z118" i="16"/>
  <c r="Z83" i="16"/>
  <c r="Z96" i="4"/>
  <c r="Z141" i="4"/>
  <c r="Z97" i="16"/>
  <c r="Z70" i="4"/>
  <c r="Z150" i="4"/>
  <c r="Z90" i="17"/>
  <c r="Z119" i="17"/>
  <c r="Z84" i="17"/>
  <c r="Z86" i="18"/>
  <c r="Z41" i="4"/>
  <c r="Z136" i="18"/>
  <c r="Z92" i="18"/>
  <c r="Z79" i="18"/>
  <c r="Z75" i="18"/>
  <c r="Z106" i="18"/>
  <c r="Z97" i="17"/>
  <c r="Z96" i="17"/>
  <c r="Z79" i="17"/>
  <c r="Z117" i="18"/>
  <c r="Z111" i="4"/>
  <c r="Z116" i="17"/>
  <c r="Z88" i="4"/>
  <c r="Z59" i="4"/>
  <c r="Z107" i="17"/>
  <c r="Z86" i="4"/>
  <c r="Z73" i="16"/>
  <c r="Z76" i="16"/>
  <c r="Z126" i="17"/>
  <c r="Z79" i="4"/>
  <c r="Z118" i="17"/>
  <c r="Z139" i="4"/>
  <c r="Z82" i="17"/>
  <c r="Z111" i="17"/>
  <c r="Z150" i="17"/>
  <c r="Z110" i="18"/>
  <c r="Z84" i="18"/>
  <c r="Z101" i="4"/>
  <c r="Z127" i="18"/>
  <c r="Z111" i="18"/>
  <c r="Z87" i="4"/>
  <c r="Z114" i="17"/>
  <c r="Z87" i="16"/>
  <c r="Z93" i="16"/>
  <c r="Z109" i="17"/>
  <c r="Z79" i="16"/>
  <c r="Z97" i="18"/>
  <c r="Z100" i="17"/>
  <c r="T152" i="18"/>
  <c r="V152" i="18" s="1"/>
  <c r="Z96" i="18"/>
  <c r="Z99" i="17"/>
  <c r="Z111" i="16"/>
  <c r="Z101" i="16"/>
  <c r="Z129" i="17"/>
  <c r="Z95" i="16"/>
  <c r="Z125" i="4"/>
  <c r="Z106" i="17"/>
  <c r="Z115" i="18"/>
  <c r="Z86" i="16"/>
  <c r="Z65" i="4"/>
  <c r="Z125" i="16"/>
  <c r="Z78" i="18"/>
  <c r="Z102" i="16"/>
  <c r="Z85" i="17"/>
  <c r="Z144" i="18"/>
  <c r="Z120" i="18"/>
  <c r="Z143" i="17"/>
  <c r="Z72" i="16"/>
  <c r="Z120" i="17"/>
  <c r="Z96" i="16"/>
  <c r="Z65" i="16"/>
  <c r="Z86" i="17"/>
  <c r="Z88" i="17"/>
  <c r="Z130" i="16"/>
  <c r="Z60" i="16"/>
  <c r="Z130" i="4"/>
  <c r="Z60" i="4"/>
  <c r="Z95" i="4"/>
  <c r="Z138" i="4"/>
  <c r="Z136" i="17"/>
  <c r="Z151" i="16"/>
  <c r="Z84" i="4"/>
  <c r="Z74" i="17"/>
  <c r="Z118" i="4"/>
  <c r="Z76" i="18"/>
  <c r="Z99" i="18"/>
  <c r="Z72" i="17"/>
  <c r="Z74" i="18"/>
  <c r="Z102" i="18"/>
  <c r="Z83" i="4"/>
  <c r="Z105" i="17"/>
  <c r="Z100" i="18"/>
  <c r="Z80" i="16"/>
  <c r="Z80" i="4"/>
  <c r="Z94" i="17"/>
  <c r="Z97" i="4"/>
  <c r="Z141" i="16"/>
  <c r="Z89" i="18"/>
  <c r="Z106" i="16"/>
  <c r="Z106" i="4"/>
  <c r="Z46" i="16"/>
  <c r="Z46" i="4"/>
  <c r="Z72" i="4"/>
  <c r="Z105" i="18"/>
  <c r="Z83" i="17"/>
  <c r="Z93" i="18"/>
  <c r="Z98" i="16"/>
  <c r="Z82" i="18"/>
  <c r="Z112" i="17"/>
  <c r="Z133" i="18"/>
  <c r="Z47" i="4"/>
  <c r="Z116" i="18"/>
  <c r="Z120" i="16"/>
  <c r="Z77" i="18"/>
  <c r="Z134" i="18"/>
  <c r="Z133" i="17"/>
  <c r="Z77" i="4"/>
  <c r="Z134" i="17"/>
  <c r="Z128" i="16"/>
  <c r="Z92" i="16"/>
  <c r="Z104" i="18"/>
  <c r="Z94" i="18"/>
  <c r="Z51" i="16"/>
  <c r="Z87" i="17"/>
  <c r="Z64" i="17"/>
  <c r="Z88" i="16"/>
  <c r="Z110" i="17"/>
  <c r="Z70" i="16"/>
  <c r="Z129" i="4"/>
  <c r="Z102" i="4"/>
  <c r="Z52" i="16"/>
  <c r="Z92" i="4"/>
  <c r="Z88" i="18"/>
  <c r="Z144" i="17"/>
  <c r="Z70" i="18"/>
  <c r="Z84" i="16"/>
  <c r="Z145" i="18"/>
  <c r="Z108" i="17"/>
  <c r="Z68" i="17"/>
  <c r="Z98" i="18"/>
  <c r="Z81" i="18"/>
  <c r="Z51" i="4"/>
  <c r="Z150" i="16"/>
  <c r="Z108" i="18"/>
  <c r="Z59" i="16"/>
  <c r="Z126" i="16"/>
  <c r="Z104" i="17"/>
  <c r="Z151" i="4"/>
  <c r="Z135" i="18"/>
  <c r="Z76" i="17"/>
  <c r="Z92" i="17"/>
  <c r="Z139" i="16"/>
  <c r="Z74" i="4"/>
  <c r="Z85" i="18"/>
  <c r="Z119" i="18"/>
  <c r="Z74" i="16"/>
  <c r="Z135" i="16"/>
  <c r="Z138" i="16"/>
  <c r="Z135" i="4"/>
  <c r="Z83" i="18"/>
  <c r="Z52" i="4"/>
  <c r="Z137" i="17"/>
  <c r="Z137" i="16"/>
  <c r="Z118" i="18"/>
  <c r="Z66" i="18"/>
  <c r="Z98" i="17"/>
  <c r="Z44" i="16"/>
  <c r="Z78" i="4"/>
  <c r="Z145" i="4"/>
  <c r="Z130" i="18"/>
  <c r="Z71" i="17"/>
  <c r="Z137" i="4"/>
  <c r="Z113" i="17"/>
  <c r="Z131" i="17"/>
  <c r="Z61" i="17"/>
  <c r="Z93" i="17"/>
  <c r="Z77" i="17"/>
  <c r="Z95" i="18"/>
  <c r="Z69" i="16"/>
  <c r="Z121" i="16"/>
  <c r="Z69" i="4"/>
  <c r="Z121" i="4"/>
  <c r="Z68" i="16"/>
  <c r="Z139" i="17"/>
  <c r="Z134" i="16"/>
  <c r="Z140" i="16"/>
  <c r="Z117" i="16"/>
  <c r="Z134" i="4"/>
  <c r="Z117" i="4"/>
  <c r="Z33" i="16"/>
  <c r="Z140" i="4"/>
  <c r="Z113" i="18"/>
  <c r="Z101" i="18"/>
  <c r="Z33" i="4"/>
  <c r="Z151" i="18"/>
  <c r="Z109" i="18"/>
  <c r="Z138" i="18"/>
  <c r="Z68" i="4"/>
  <c r="Z104" i="16"/>
  <c r="Z41" i="16"/>
  <c r="Z89" i="17"/>
  <c r="D5" i="18"/>
  <c r="C6" i="18"/>
  <c r="L5" i="18"/>
  <c r="J6" i="18"/>
  <c r="J5" i="18"/>
  <c r="G6" i="18"/>
  <c r="K5" i="18"/>
  <c r="F6" i="18"/>
  <c r="C5" i="18"/>
  <c r="L6" i="18"/>
  <c r="G5" i="18"/>
  <c r="I5" i="18"/>
  <c r="E6" i="18"/>
  <c r="K6" i="18"/>
  <c r="D6" i="18"/>
  <c r="I6" i="18"/>
  <c r="E5" i="18"/>
  <c r="F5" i="18"/>
  <c r="C21" i="5" l="1" a="1"/>
  <c r="C21" i="5" s="1"/>
  <c r="L8" i="4"/>
  <c r="I7" i="4"/>
  <c r="I4" i="4"/>
  <c r="J8" i="4"/>
  <c r="D7" i="4"/>
  <c r="K7" i="4"/>
  <c r="G7" i="4"/>
  <c r="H7" i="4"/>
  <c r="G8" i="4"/>
  <c r="H8" i="4"/>
  <c r="E7" i="4"/>
  <c r="I8" i="4"/>
  <c r="F8" i="4"/>
  <c r="L7" i="4"/>
  <c r="F7" i="4"/>
  <c r="D8" i="4"/>
  <c r="K6" i="4"/>
  <c r="J7" i="4"/>
  <c r="E8" i="4"/>
  <c r="K8" i="4"/>
  <c r="C7" i="4"/>
  <c r="C8" i="4"/>
  <c r="D6" i="4"/>
  <c r="I5" i="4"/>
  <c r="C6" i="4"/>
  <c r="K5" i="4"/>
  <c r="C5" i="4"/>
  <c r="J6" i="4"/>
  <c r="G5" i="4"/>
  <c r="E4" i="4"/>
  <c r="G6" i="4"/>
  <c r="K4" i="4"/>
  <c r="L5" i="4"/>
  <c r="H6" i="4"/>
  <c r="H5" i="4"/>
  <c r="F5" i="4"/>
  <c r="E6" i="4"/>
  <c r="F4" i="4"/>
  <c r="G4" i="4"/>
  <c r="H4" i="4"/>
  <c r="L4" i="4"/>
  <c r="L6" i="4"/>
  <c r="F6" i="4"/>
  <c r="J4" i="4"/>
  <c r="E5" i="4"/>
  <c r="I6" i="4"/>
  <c r="J5" i="4"/>
  <c r="C4" i="4"/>
  <c r="D4" i="4"/>
  <c r="D5" i="4"/>
  <c r="T142" i="18"/>
  <c r="V142" i="18" s="1"/>
  <c r="X142" i="18" s="1"/>
  <c r="T125" i="18"/>
  <c r="V125" i="18" s="1"/>
  <c r="X125" i="18" s="1"/>
  <c r="T128" i="18"/>
  <c r="V128" i="18" s="1"/>
  <c r="T129" i="18"/>
  <c r="V129" i="18" s="1"/>
  <c r="T123" i="18"/>
  <c r="V123" i="18" s="1"/>
  <c r="X123" i="18" s="1"/>
  <c r="T124" i="18"/>
  <c r="V124" i="18" s="1"/>
  <c r="T143" i="18"/>
  <c r="V143" i="18" s="1"/>
  <c r="T141" i="18"/>
  <c r="V141" i="18" s="1"/>
  <c r="X141" i="18" s="1"/>
  <c r="T148" i="18"/>
  <c r="V148" i="18" s="1"/>
  <c r="X148" i="18" s="1"/>
  <c r="T126" i="18"/>
  <c r="V126" i="18" s="1"/>
  <c r="X126" i="18" s="1"/>
  <c r="T150" i="18"/>
  <c r="V150" i="18" s="1"/>
  <c r="X150" i="18" s="1"/>
  <c r="K4" i="18"/>
  <c r="L4" i="18"/>
  <c r="H4" i="18"/>
  <c r="C4" i="18"/>
  <c r="D4" i="18"/>
  <c r="F8" i="18"/>
  <c r="F4" i="18"/>
  <c r="E4" i="18"/>
  <c r="L8" i="18"/>
  <c r="J8" i="18"/>
  <c r="D8" i="18"/>
  <c r="J4" i="18"/>
  <c r="H8" i="18"/>
  <c r="C8" i="18"/>
  <c r="G4" i="18"/>
  <c r="I8" i="18"/>
  <c r="K8" i="18"/>
  <c r="G8" i="18"/>
  <c r="E8" i="18"/>
  <c r="I4" i="18"/>
  <c r="C13" i="5" l="1" a="1"/>
  <c r="C13" i="5" s="1"/>
  <c r="W122" i="16"/>
  <c r="W148" i="17"/>
  <c r="W115" i="16"/>
  <c r="W138" i="17"/>
  <c r="W124" i="16"/>
  <c r="W121" i="17"/>
  <c r="W131" i="16"/>
  <c r="W149" i="17"/>
  <c r="W123" i="16"/>
  <c r="W141" i="17"/>
  <c r="W108" i="16"/>
  <c r="W128" i="17"/>
  <c r="W116" i="16"/>
  <c r="W115" i="17"/>
  <c r="W148" i="18"/>
  <c r="W122" i="4"/>
  <c r="W126" i="18"/>
  <c r="W108" i="4"/>
  <c r="W150" i="18"/>
  <c r="W131" i="4"/>
  <c r="W142" i="18"/>
  <c r="W123" i="4"/>
  <c r="W123" i="18"/>
  <c r="W116" i="4"/>
  <c r="W125" i="18"/>
  <c r="W124" i="4"/>
  <c r="W141" i="18"/>
  <c r="W115" i="4"/>
  <c r="T120" i="18"/>
  <c r="V120" i="18" s="1"/>
  <c r="T114" i="18"/>
  <c r="V114" i="18" s="1"/>
  <c r="T102" i="18"/>
  <c r="V102" i="18" s="1"/>
  <c r="T73" i="18"/>
  <c r="V73" i="18" s="1"/>
  <c r="T66" i="18"/>
  <c r="V66" i="18" s="1"/>
  <c r="T90" i="18"/>
  <c r="V90" i="18" s="1"/>
  <c r="T51" i="18"/>
  <c r="V51" i="18" s="1"/>
  <c r="T139" i="18"/>
  <c r="V139" i="18" s="1"/>
  <c r="T38" i="18"/>
  <c r="V38" i="18" s="1"/>
  <c r="T132" i="18"/>
  <c r="V132" i="18" s="1"/>
  <c r="T119" i="18"/>
  <c r="V119" i="18" s="1"/>
  <c r="T58" i="18"/>
  <c r="V58" i="18" s="1"/>
  <c r="T47" i="18"/>
  <c r="V47" i="18" s="1"/>
  <c r="T137" i="18"/>
  <c r="V137" i="18" s="1"/>
  <c r="T121" i="18"/>
  <c r="V121" i="18" s="1"/>
  <c r="T103" i="18"/>
  <c r="V103" i="18" s="1"/>
  <c r="T117" i="18"/>
  <c r="V117" i="18" s="1"/>
  <c r="T23" i="18"/>
  <c r="V23" i="18" s="1"/>
  <c r="T29" i="18"/>
  <c r="V29" i="18" s="1"/>
  <c r="T17" i="18"/>
  <c r="V17" i="18" s="1"/>
  <c r="H5" i="18"/>
  <c r="T26" i="18"/>
  <c r="V26" i="18" s="1"/>
  <c r="T31" i="18"/>
  <c r="V31" i="18" s="1"/>
  <c r="T20" i="18"/>
  <c r="V20" i="18" s="1"/>
  <c r="T33" i="18"/>
  <c r="V33" i="18" s="1"/>
  <c r="X17" i="18" l="1"/>
  <c r="B37" i="5" s="1"/>
  <c r="T131" i="18"/>
  <c r="V131" i="18" s="1"/>
  <c r="T43" i="18"/>
  <c r="V43" i="18" s="1"/>
  <c r="T107" i="18"/>
  <c r="V107" i="18" s="1"/>
  <c r="T109" i="18"/>
  <c r="V109" i="18" s="1"/>
  <c r="T53" i="18"/>
  <c r="V53" i="18" s="1"/>
  <c r="T57" i="18"/>
  <c r="V57" i="18" s="1"/>
  <c r="T98" i="18"/>
  <c r="V98" i="18" s="1"/>
  <c r="T108" i="18"/>
  <c r="V108" i="18" s="1"/>
  <c r="T118" i="18"/>
  <c r="V118" i="18" s="1"/>
  <c r="T74" i="18"/>
  <c r="V74" i="18" s="1"/>
  <c r="T134" i="18"/>
  <c r="V134" i="18" s="1"/>
  <c r="T76" i="18"/>
  <c r="V76" i="18" s="1"/>
  <c r="T144" i="18"/>
  <c r="V144" i="18" s="1"/>
  <c r="T100" i="18"/>
  <c r="V100" i="18" s="1"/>
  <c r="T82" i="18"/>
  <c r="V82" i="18" s="1"/>
  <c r="T46" i="18"/>
  <c r="V46" i="18" s="1"/>
  <c r="T110" i="18"/>
  <c r="V110" i="18" s="1"/>
  <c r="T130" i="18"/>
  <c r="V130" i="18" s="1"/>
  <c r="T28" i="18"/>
  <c r="V28" i="18" s="1"/>
  <c r="T56" i="18"/>
  <c r="V56" i="18" s="1"/>
  <c r="T81" i="18"/>
  <c r="V81" i="18" s="1"/>
  <c r="T54" i="18"/>
  <c r="V54" i="18" s="1"/>
  <c r="T35" i="18"/>
  <c r="V35" i="18" s="1"/>
  <c r="T65" i="18"/>
  <c r="V65" i="18" s="1"/>
  <c r="T72" i="18"/>
  <c r="V72" i="18" s="1"/>
  <c r="T60" i="18"/>
  <c r="V60" i="18" s="1"/>
  <c r="T75" i="18"/>
  <c r="V75" i="18" s="1"/>
  <c r="T87" i="18"/>
  <c r="V87" i="18" s="1"/>
  <c r="T127" i="18"/>
  <c r="V127" i="18" s="1"/>
  <c r="T85" i="18"/>
  <c r="V85" i="18" s="1"/>
  <c r="T94" i="18"/>
  <c r="V94" i="18" s="1"/>
  <c r="T101" i="18"/>
  <c r="V101" i="18" s="1"/>
  <c r="T55" i="18"/>
  <c r="V55" i="18" s="1"/>
  <c r="T71" i="18"/>
  <c r="V71" i="18" s="1"/>
  <c r="T138" i="18"/>
  <c r="V138" i="18" s="1"/>
  <c r="T104" i="18"/>
  <c r="V104" i="18" s="1"/>
  <c r="T136" i="18"/>
  <c r="V136" i="18" s="1"/>
  <c r="T89" i="18"/>
  <c r="V89" i="18" s="1"/>
  <c r="T63" i="18"/>
  <c r="V63" i="18" s="1"/>
  <c r="T67" i="18"/>
  <c r="V67" i="18" s="1"/>
  <c r="T122" i="18"/>
  <c r="V122" i="18" s="1"/>
  <c r="T32" i="18"/>
  <c r="V32" i="18" s="1"/>
  <c r="T145" i="18"/>
  <c r="V145" i="18" s="1"/>
  <c r="T80" i="18"/>
  <c r="V80" i="18" s="1"/>
  <c r="T91" i="18"/>
  <c r="V91" i="18" s="1"/>
  <c r="T105" i="18"/>
  <c r="V105" i="18" s="1"/>
  <c r="T64" i="18"/>
  <c r="V64" i="18" s="1"/>
  <c r="T116" i="18"/>
  <c r="V116" i="18" s="1"/>
  <c r="T52" i="18"/>
  <c r="V52" i="18" s="1"/>
  <c r="T95" i="18"/>
  <c r="V95" i="18" s="1"/>
  <c r="T93" i="18"/>
  <c r="V93" i="18" s="1"/>
  <c r="T111" i="18"/>
  <c r="V111" i="18" s="1"/>
  <c r="T92" i="18"/>
  <c r="V92" i="18" s="1"/>
  <c r="T39" i="18"/>
  <c r="V39" i="18" s="1"/>
  <c r="T112" i="18"/>
  <c r="V112" i="18" s="1"/>
  <c r="T106" i="18"/>
  <c r="V106" i="18" s="1"/>
  <c r="T88" i="18"/>
  <c r="V88" i="18" s="1"/>
  <c r="T49" i="18"/>
  <c r="V49" i="18" s="1"/>
  <c r="T151" i="18"/>
  <c r="V151" i="18" s="1"/>
  <c r="T70" i="18"/>
  <c r="V70" i="18" s="1"/>
  <c r="T59" i="18"/>
  <c r="V59" i="18" s="1"/>
  <c r="T83" i="18"/>
  <c r="V83" i="18" s="1"/>
  <c r="T78" i="18"/>
  <c r="V78" i="18" s="1"/>
  <c r="T48" i="18"/>
  <c r="V48" i="18" s="1"/>
  <c r="T115" i="18"/>
  <c r="V115" i="18" s="1"/>
  <c r="T133" i="18"/>
  <c r="V133" i="18" s="1"/>
  <c r="T113" i="18"/>
  <c r="V113" i="18" s="1"/>
  <c r="T69" i="18"/>
  <c r="V69" i="18" s="1"/>
  <c r="T50" i="18"/>
  <c r="V50" i="18" s="1"/>
  <c r="T96" i="18"/>
  <c r="V96" i="18" s="1"/>
  <c r="T40" i="18"/>
  <c r="V40" i="18" s="1"/>
  <c r="T37" i="18"/>
  <c r="V37" i="18" s="1"/>
  <c r="T45" i="18"/>
  <c r="V45" i="18" s="1"/>
  <c r="T36" i="18"/>
  <c r="V36" i="18" s="1"/>
  <c r="T77" i="18"/>
  <c r="V77" i="18" s="1"/>
  <c r="T34" i="18"/>
  <c r="V34" i="18" s="1"/>
  <c r="T97" i="18"/>
  <c r="V97" i="18" s="1"/>
  <c r="T99" i="18"/>
  <c r="V99" i="18" s="1"/>
  <c r="T84" i="18"/>
  <c r="V84" i="18" s="1"/>
  <c r="T44" i="18"/>
  <c r="V44" i="18" s="1"/>
  <c r="T61" i="18"/>
  <c r="V61" i="18" s="1"/>
  <c r="T41" i="18"/>
  <c r="V41" i="18" s="1"/>
  <c r="T135" i="18"/>
  <c r="V135" i="18" s="1"/>
  <c r="T79" i="18"/>
  <c r="V79" i="18" s="1"/>
  <c r="T68" i="18"/>
  <c r="V68" i="18" s="1"/>
  <c r="T86" i="18"/>
  <c r="V86" i="18" s="1"/>
  <c r="T62" i="18"/>
  <c r="V62" i="18" s="1"/>
  <c r="T42" i="18"/>
  <c r="V42" i="18" s="1"/>
  <c r="T18" i="18"/>
  <c r="V18" i="18" s="1"/>
  <c r="X18" i="18" s="1"/>
  <c r="H6" i="18"/>
  <c r="T21" i="18"/>
  <c r="V21" i="18" s="1"/>
  <c r="H7" i="18"/>
  <c r="X22" i="18" l="1"/>
  <c r="W17" i="16" s="1"/>
  <c r="K37" i="5"/>
  <c r="F37" i="5"/>
  <c r="M37" i="5"/>
  <c r="I38" i="5"/>
  <c r="H37" i="5"/>
  <c r="D37" i="5"/>
  <c r="G38" i="5"/>
  <c r="J38" i="5"/>
  <c r="D38" i="5"/>
  <c r="L38" i="5"/>
  <c r="J37" i="5"/>
  <c r="L37" i="5"/>
  <c r="G37" i="5"/>
  <c r="H38" i="5"/>
  <c r="K38" i="5"/>
  <c r="N37" i="5"/>
  <c r="I37" i="5"/>
  <c r="E38" i="5"/>
  <c r="M38" i="5"/>
  <c r="E37" i="5"/>
  <c r="F38" i="5"/>
  <c r="N38" i="5"/>
  <c r="M5" i="18"/>
  <c r="M4" i="18"/>
  <c r="W64" i="16"/>
  <c r="W12" i="17"/>
  <c r="W64" i="4"/>
  <c r="W17" i="18"/>
  <c r="X152" i="18"/>
  <c r="X121" i="18"/>
  <c r="X114" i="18"/>
  <c r="X103" i="18"/>
  <c r="X66" i="18"/>
  <c r="X90" i="18"/>
  <c r="X139" i="18"/>
  <c r="X132" i="18"/>
  <c r="W40" i="16"/>
  <c r="W14" i="17"/>
  <c r="W18" i="18"/>
  <c r="W40" i="4"/>
  <c r="X21" i="18"/>
  <c r="X138" i="18"/>
  <c r="X96" i="18"/>
  <c r="X70" i="18"/>
  <c r="X95" i="18"/>
  <c r="X122" i="18"/>
  <c r="X94" i="18"/>
  <c r="X35" i="18"/>
  <c r="X144" i="18"/>
  <c r="X109" i="18"/>
  <c r="X23" i="18"/>
  <c r="X44" i="18"/>
  <c r="X84" i="18"/>
  <c r="X50" i="18"/>
  <c r="B17" i="5" s="1"/>
  <c r="X151" i="18"/>
  <c r="X52" i="18"/>
  <c r="X67" i="18"/>
  <c r="X85" i="18"/>
  <c r="X54" i="18"/>
  <c r="X76" i="18"/>
  <c r="X107" i="18"/>
  <c r="X128" i="18"/>
  <c r="X29" i="18"/>
  <c r="W29" i="17" s="1"/>
  <c r="X42" i="18"/>
  <c r="X99" i="18"/>
  <c r="X69" i="18"/>
  <c r="X49" i="18"/>
  <c r="X116" i="18"/>
  <c r="X63" i="18"/>
  <c r="X127" i="18"/>
  <c r="X81" i="18"/>
  <c r="X134" i="18"/>
  <c r="X117" i="18"/>
  <c r="X26" i="18"/>
  <c r="W24" i="17" s="1"/>
  <c r="X62" i="18"/>
  <c r="X97" i="18"/>
  <c r="X113" i="18"/>
  <c r="X88" i="18"/>
  <c r="X64" i="18"/>
  <c r="X89" i="18"/>
  <c r="X87" i="18"/>
  <c r="X56" i="18"/>
  <c r="X74" i="18"/>
  <c r="X31" i="18"/>
  <c r="X20" i="18"/>
  <c r="H40" i="5" s="1"/>
  <c r="X86" i="18"/>
  <c r="X34" i="18"/>
  <c r="X133" i="18"/>
  <c r="X106" i="18"/>
  <c r="X105" i="18"/>
  <c r="X136" i="18"/>
  <c r="X75" i="18"/>
  <c r="X28" i="18"/>
  <c r="X118" i="18"/>
  <c r="X43" i="18"/>
  <c r="X129" i="18"/>
  <c r="X68" i="18"/>
  <c r="X77" i="18"/>
  <c r="X115" i="18"/>
  <c r="X112" i="18"/>
  <c r="X91" i="18"/>
  <c r="X104" i="18"/>
  <c r="X130" i="18"/>
  <c r="X108" i="18"/>
  <c r="X131" i="18"/>
  <c r="X51" i="18"/>
  <c r="X33" i="18"/>
  <c r="W25" i="17" s="1"/>
  <c r="X36" i="18"/>
  <c r="B14" i="5" s="1"/>
  <c r="X110" i="18"/>
  <c r="X38" i="18"/>
  <c r="X58" i="18"/>
  <c r="X46" i="18"/>
  <c r="X119" i="18"/>
  <c r="X48" i="18"/>
  <c r="X80" i="18"/>
  <c r="X135" i="18"/>
  <c r="X71" i="18"/>
  <c r="X92" i="18"/>
  <c r="X145" i="18"/>
  <c r="X72" i="18"/>
  <c r="X57" i="18"/>
  <c r="X41" i="18"/>
  <c r="X37" i="18"/>
  <c r="B15" i="5" s="1"/>
  <c r="X83" i="18"/>
  <c r="X111" i="18"/>
  <c r="X32" i="18"/>
  <c r="X55" i="18"/>
  <c r="X65" i="18"/>
  <c r="X82" i="18"/>
  <c r="X143" i="18"/>
  <c r="X120" i="18"/>
  <c r="X79" i="18"/>
  <c r="X98" i="18"/>
  <c r="X45" i="18"/>
  <c r="X73" i="18"/>
  <c r="X47" i="18"/>
  <c r="X39" i="18"/>
  <c r="X60" i="18"/>
  <c r="X78" i="18"/>
  <c r="X61" i="18"/>
  <c r="X40" i="18"/>
  <c r="X59" i="18"/>
  <c r="X93" i="18"/>
  <c r="X101" i="18"/>
  <c r="X100" i="18"/>
  <c r="X53" i="18"/>
  <c r="X102" i="18"/>
  <c r="X124" i="18"/>
  <c r="X137" i="18"/>
  <c r="W22" i="18" l="1"/>
  <c r="W22" i="17"/>
  <c r="W17" i="4"/>
  <c r="G39" i="5"/>
  <c r="L39" i="5"/>
  <c r="D39" i="5"/>
  <c r="I39" i="5"/>
  <c r="N40" i="5"/>
  <c r="I41" i="5"/>
  <c r="M40" i="5"/>
  <c r="F39" i="5"/>
  <c r="E40" i="5"/>
  <c r="G40" i="5"/>
  <c r="G41" i="5"/>
  <c r="K39" i="5"/>
  <c r="E41" i="5"/>
  <c r="L40" i="5"/>
  <c r="F41" i="5"/>
  <c r="L41" i="5"/>
  <c r="H41" i="5"/>
  <c r="M39" i="5"/>
  <c r="K41" i="5"/>
  <c r="E39" i="5"/>
  <c r="I40" i="5"/>
  <c r="J40" i="5"/>
  <c r="J41" i="5"/>
  <c r="D40" i="5"/>
  <c r="N39" i="5"/>
  <c r="F40" i="5"/>
  <c r="N41" i="5"/>
  <c r="K40" i="5"/>
  <c r="H39" i="5"/>
  <c r="M41" i="5"/>
  <c r="J39" i="5"/>
  <c r="D41" i="5"/>
  <c r="M8" i="18"/>
  <c r="M6" i="18"/>
  <c r="M7" i="18"/>
  <c r="W17" i="17"/>
  <c r="B38" i="5"/>
  <c r="B22" i="5"/>
  <c r="W23" i="17"/>
  <c r="B13" i="5"/>
  <c r="B21" i="5"/>
  <c r="W149" i="16"/>
  <c r="W151" i="17"/>
  <c r="W152" i="18"/>
  <c r="W149" i="4"/>
  <c r="W142" i="16"/>
  <c r="W125" i="17"/>
  <c r="W132" i="18"/>
  <c r="W142" i="4"/>
  <c r="W139" i="18"/>
  <c r="W146" i="16"/>
  <c r="W140" i="17"/>
  <c r="W146" i="4"/>
  <c r="W91" i="17"/>
  <c r="W90" i="18"/>
  <c r="W144" i="4"/>
  <c r="W144" i="16"/>
  <c r="W66" i="18"/>
  <c r="W145" i="4"/>
  <c r="W145" i="16"/>
  <c r="W61" i="17"/>
  <c r="W103" i="18"/>
  <c r="W148" i="4"/>
  <c r="W148" i="16"/>
  <c r="W95" i="17"/>
  <c r="W143" i="16"/>
  <c r="W114" i="18"/>
  <c r="W117" i="17"/>
  <c r="W143" i="4"/>
  <c r="W147" i="16"/>
  <c r="W122" i="17"/>
  <c r="W121" i="18"/>
  <c r="W147" i="4"/>
  <c r="W28" i="16"/>
  <c r="W73" i="17"/>
  <c r="W151" i="16"/>
  <c r="W126" i="17"/>
  <c r="W112" i="16"/>
  <c r="W130" i="17"/>
  <c r="W76" i="16"/>
  <c r="W100" i="17"/>
  <c r="W23" i="16"/>
  <c r="W60" i="17"/>
  <c r="W49" i="16"/>
  <c r="W70" i="17"/>
  <c r="W84" i="16"/>
  <c r="W74" i="17"/>
  <c r="W31" i="16"/>
  <c r="W47" i="17"/>
  <c r="W45" i="16"/>
  <c r="W65" i="17"/>
  <c r="W140" i="16"/>
  <c r="W150" i="17"/>
  <c r="W50" i="16"/>
  <c r="W41" i="17"/>
  <c r="W29" i="16"/>
  <c r="W46" i="17"/>
  <c r="W129" i="16"/>
  <c r="W113" i="17"/>
  <c r="W90" i="16"/>
  <c r="W48" i="17"/>
  <c r="W94" i="16"/>
  <c r="W55" i="17"/>
  <c r="W128" i="16"/>
  <c r="W134" i="17"/>
  <c r="W53" i="16"/>
  <c r="W49" i="17"/>
  <c r="W95" i="16"/>
  <c r="W136" i="17"/>
  <c r="W126" i="16"/>
  <c r="W76" i="17"/>
  <c r="W55" i="16"/>
  <c r="W21" i="17"/>
  <c r="W19" i="16"/>
  <c r="W28" i="17"/>
  <c r="W48" i="16"/>
  <c r="W38" i="17"/>
  <c r="W106" i="16"/>
  <c r="W97" i="17"/>
  <c r="W73" i="16"/>
  <c r="W129" i="17"/>
  <c r="W134" i="16"/>
  <c r="W111" i="17"/>
  <c r="W139" i="16"/>
  <c r="W92" i="17"/>
  <c r="W74" i="16"/>
  <c r="W104" i="17"/>
  <c r="W125" i="16"/>
  <c r="W106" i="17"/>
  <c r="W75" i="16"/>
  <c r="W66" i="17"/>
  <c r="W141" i="16"/>
  <c r="W143" i="17"/>
  <c r="W130" i="16"/>
  <c r="W85" i="17"/>
  <c r="W132" i="16"/>
  <c r="W142" i="17"/>
  <c r="W100" i="16"/>
  <c r="W32" i="17"/>
  <c r="W86" i="16"/>
  <c r="W133" i="17"/>
  <c r="W120" i="16"/>
  <c r="W108" i="17"/>
  <c r="W35" i="16"/>
  <c r="W30" i="17"/>
  <c r="W135" i="16"/>
  <c r="W84" i="17"/>
  <c r="W82" i="16"/>
  <c r="W40" i="17"/>
  <c r="W24" i="16"/>
  <c r="W36" i="17"/>
  <c r="W38" i="16"/>
  <c r="W56" i="17"/>
  <c r="W88" i="16"/>
  <c r="W87" i="17"/>
  <c r="W47" i="16"/>
  <c r="W72" i="17"/>
  <c r="W138" i="16"/>
  <c r="W119" i="17"/>
  <c r="W137" i="16"/>
  <c r="W137" i="17"/>
  <c r="W34" i="16"/>
  <c r="W54" i="17"/>
  <c r="W119" i="16"/>
  <c r="W132" i="17"/>
  <c r="W46" i="16"/>
  <c r="W101" i="17"/>
  <c r="W44" i="16"/>
  <c r="W98" i="17"/>
  <c r="W102" i="16"/>
  <c r="W90" i="17"/>
  <c r="W33" i="16"/>
  <c r="W81" i="17"/>
  <c r="W127" i="16"/>
  <c r="W45" i="17"/>
  <c r="W52" i="16"/>
  <c r="W80" i="17"/>
  <c r="W59" i="16"/>
  <c r="W112" i="17"/>
  <c r="W54" i="16"/>
  <c r="W43" i="17"/>
  <c r="W70" i="16"/>
  <c r="W64" i="17"/>
  <c r="W103" i="16"/>
  <c r="W63" i="17"/>
  <c r="W96" i="16"/>
  <c r="W120" i="17"/>
  <c r="W105" i="16"/>
  <c r="W124" i="17"/>
  <c r="W77" i="16"/>
  <c r="W68" i="17"/>
  <c r="W111" i="16"/>
  <c r="W99" i="17"/>
  <c r="W27" i="16"/>
  <c r="W39" i="17"/>
  <c r="W87" i="16"/>
  <c r="W114" i="17"/>
  <c r="W71" i="16"/>
  <c r="W127" i="17"/>
  <c r="W39" i="16"/>
  <c r="W33" i="17"/>
  <c r="W97" i="16"/>
  <c r="W94" i="17"/>
  <c r="W67" i="16"/>
  <c r="W34" i="17"/>
  <c r="W16" i="16"/>
  <c r="W42" i="17"/>
  <c r="W51" i="16"/>
  <c r="W107" i="17"/>
  <c r="W99" i="16"/>
  <c r="W57" i="17"/>
  <c r="W133" i="16"/>
  <c r="W123" i="17"/>
  <c r="W104" i="16"/>
  <c r="W139" i="17"/>
  <c r="W62" i="16"/>
  <c r="W52" i="17"/>
  <c r="W18" i="16"/>
  <c r="W51" i="17"/>
  <c r="W83" i="16"/>
  <c r="W105" i="17"/>
  <c r="W81" i="16"/>
  <c r="W69" i="17"/>
  <c r="W72" i="16"/>
  <c r="W96" i="17"/>
  <c r="W43" i="16"/>
  <c r="W37" i="17"/>
  <c r="W66" i="16"/>
  <c r="W58" i="17"/>
  <c r="W69" i="16"/>
  <c r="W93" i="17"/>
  <c r="W121" i="16"/>
  <c r="W77" i="17"/>
  <c r="W92" i="16"/>
  <c r="W110" i="17"/>
  <c r="W30" i="16"/>
  <c r="W20" i="17"/>
  <c r="W56" i="16"/>
  <c r="W78" i="17"/>
  <c r="W65" i="16"/>
  <c r="W86" i="17"/>
  <c r="W26" i="16"/>
  <c r="W67" i="17"/>
  <c r="W60" i="16"/>
  <c r="W88" i="17"/>
  <c r="W117" i="16"/>
  <c r="W102" i="17"/>
  <c r="W42" i="16"/>
  <c r="W62" i="17"/>
  <c r="W136" i="16"/>
  <c r="W53" i="17"/>
  <c r="W89" i="16"/>
  <c r="W75" i="17"/>
  <c r="W113" i="16"/>
  <c r="W103" i="17"/>
  <c r="W80" i="16"/>
  <c r="W79" i="17"/>
  <c r="W118" i="16"/>
  <c r="W71" i="17"/>
  <c r="W68" i="16"/>
  <c r="W118" i="17"/>
  <c r="W93" i="16"/>
  <c r="W82" i="17"/>
  <c r="W41" i="16"/>
  <c r="W89" i="17"/>
  <c r="W57" i="16"/>
  <c r="W50" i="17"/>
  <c r="W101" i="16"/>
  <c r="W116" i="17"/>
  <c r="W78" i="16"/>
  <c r="W131" i="17"/>
  <c r="W98" i="16"/>
  <c r="W83" i="17"/>
  <c r="W150" i="16"/>
  <c r="W144" i="17"/>
  <c r="W79" i="16"/>
  <c r="W109" i="17"/>
  <c r="W61" i="16"/>
  <c r="W59" i="17"/>
  <c r="W85" i="16"/>
  <c r="W44" i="17"/>
  <c r="W32" i="4"/>
  <c r="W32" i="16"/>
  <c r="W58" i="4"/>
  <c r="W58" i="16"/>
  <c r="W25" i="4"/>
  <c r="W25" i="16"/>
  <c r="W91" i="4"/>
  <c r="W91" i="16"/>
  <c r="W63" i="4"/>
  <c r="W63" i="16"/>
  <c r="W115" i="18"/>
  <c r="W79" i="4"/>
  <c r="W64" i="18"/>
  <c r="W61" i="4"/>
  <c r="W54" i="18"/>
  <c r="W85" i="4"/>
  <c r="W145" i="18"/>
  <c r="W150" i="4"/>
  <c r="W60" i="18"/>
  <c r="W94" i="4"/>
  <c r="W92" i="18"/>
  <c r="W130" i="4"/>
  <c r="W77" i="18"/>
  <c r="W47" i="4"/>
  <c r="W88" i="18"/>
  <c r="W102" i="4"/>
  <c r="W85" i="18"/>
  <c r="W135" i="4"/>
  <c r="W71" i="18"/>
  <c r="W28" i="4"/>
  <c r="W68" i="18"/>
  <c r="W49" i="4"/>
  <c r="W113" i="18"/>
  <c r="W68" i="4"/>
  <c r="W67" i="18"/>
  <c r="W103" i="4"/>
  <c r="W39" i="18"/>
  <c r="W27" i="4"/>
  <c r="W47" i="18"/>
  <c r="W62" i="4"/>
  <c r="W135" i="18"/>
  <c r="W151" i="4"/>
  <c r="W129" i="18"/>
  <c r="W112" i="4"/>
  <c r="W97" i="18"/>
  <c r="W76" i="4"/>
  <c r="W52" i="18"/>
  <c r="W23" i="4"/>
  <c r="W89" i="18"/>
  <c r="W80" i="4"/>
  <c r="W73" i="18"/>
  <c r="W56" i="4"/>
  <c r="W80" i="18"/>
  <c r="W84" i="4"/>
  <c r="W43" i="18"/>
  <c r="W31" i="4"/>
  <c r="W62" i="18"/>
  <c r="W45" i="4"/>
  <c r="W151" i="18"/>
  <c r="W140" i="4"/>
  <c r="W61" i="18"/>
  <c r="W136" i="4"/>
  <c r="W45" i="18"/>
  <c r="W50" i="4"/>
  <c r="W48" i="18"/>
  <c r="W29" i="4"/>
  <c r="W118" i="18"/>
  <c r="W129" i="4"/>
  <c r="W50" i="18"/>
  <c r="W90" i="4"/>
  <c r="W98" i="18"/>
  <c r="W139" i="4"/>
  <c r="W119" i="18"/>
  <c r="W138" i="4"/>
  <c r="W28" i="18"/>
  <c r="W19" i="4"/>
  <c r="W117" i="18"/>
  <c r="W87" i="4"/>
  <c r="W84" i="18"/>
  <c r="W93" i="4"/>
  <c r="W78" i="18"/>
  <c r="W98" i="4"/>
  <c r="W79" i="18"/>
  <c r="W65" i="4"/>
  <c r="W46" i="18"/>
  <c r="W18" i="4"/>
  <c r="W75" i="18"/>
  <c r="W33" i="4"/>
  <c r="W134" i="18"/>
  <c r="W128" i="4"/>
  <c r="W44" i="18"/>
  <c r="W82" i="4"/>
  <c r="W76" i="18"/>
  <c r="W118" i="4"/>
  <c r="W120" i="18"/>
  <c r="W96" i="4"/>
  <c r="W58" i="18"/>
  <c r="W53" i="4"/>
  <c r="W136" i="18"/>
  <c r="W95" i="4"/>
  <c r="W81" i="18"/>
  <c r="W126" i="4"/>
  <c r="W23" i="18"/>
  <c r="W55" i="4"/>
  <c r="W143" i="18"/>
  <c r="W132" i="4"/>
  <c r="W38" i="18"/>
  <c r="W48" i="4"/>
  <c r="W105" i="18"/>
  <c r="W106" i="4"/>
  <c r="W127" i="18"/>
  <c r="W73" i="4"/>
  <c r="W109" i="18"/>
  <c r="W134" i="4"/>
  <c r="W82" i="18"/>
  <c r="W41" i="4"/>
  <c r="W110" i="18"/>
  <c r="W74" i="4"/>
  <c r="W106" i="18"/>
  <c r="W125" i="4"/>
  <c r="W63" i="18"/>
  <c r="W75" i="4"/>
  <c r="W144" i="18"/>
  <c r="W141" i="4"/>
  <c r="W137" i="18"/>
  <c r="W137" i="4"/>
  <c r="W36" i="18"/>
  <c r="W100" i="4"/>
  <c r="W133" i="18"/>
  <c r="W86" i="4"/>
  <c r="W116" i="18"/>
  <c r="W120" i="4"/>
  <c r="W35" i="18"/>
  <c r="W35" i="4"/>
  <c r="W55" i="18"/>
  <c r="W127" i="4"/>
  <c r="W34" i="18"/>
  <c r="W24" i="4"/>
  <c r="W49" i="18"/>
  <c r="W38" i="4"/>
  <c r="W94" i="18"/>
  <c r="W88" i="4"/>
  <c r="W65" i="18"/>
  <c r="W26" i="4"/>
  <c r="W51" i="18"/>
  <c r="W57" i="4"/>
  <c r="W86" i="18"/>
  <c r="W60" i="4"/>
  <c r="W69" i="18"/>
  <c r="W81" i="4"/>
  <c r="W122" i="18"/>
  <c r="W105" i="4"/>
  <c r="W112" i="18"/>
  <c r="W113" i="4"/>
  <c r="W100" i="18"/>
  <c r="W97" i="4"/>
  <c r="W131" i="18"/>
  <c r="W119" i="4"/>
  <c r="W99" i="18"/>
  <c r="W46" i="4"/>
  <c r="W95" i="18"/>
  <c r="W44" i="4"/>
  <c r="W102" i="18"/>
  <c r="W83" i="4"/>
  <c r="W101" i="18"/>
  <c r="W117" i="4"/>
  <c r="W83" i="18"/>
  <c r="W52" i="4"/>
  <c r="W108" i="18"/>
  <c r="W59" i="4"/>
  <c r="W42" i="18"/>
  <c r="W54" i="4"/>
  <c r="W70" i="18"/>
  <c r="W70" i="4"/>
  <c r="W72" i="18"/>
  <c r="W89" i="4"/>
  <c r="W32" i="18"/>
  <c r="W39" i="4"/>
  <c r="W93" i="18"/>
  <c r="W72" i="4"/>
  <c r="W37" i="18"/>
  <c r="W67" i="4"/>
  <c r="W130" i="18"/>
  <c r="W78" i="4"/>
  <c r="W74" i="18"/>
  <c r="W77" i="4"/>
  <c r="W96" i="18"/>
  <c r="W111" i="4"/>
  <c r="W53" i="18"/>
  <c r="W34" i="4"/>
  <c r="W59" i="18"/>
  <c r="W42" i="4"/>
  <c r="W41" i="18"/>
  <c r="W16" i="4"/>
  <c r="W104" i="18"/>
  <c r="W51" i="4"/>
  <c r="W56" i="18"/>
  <c r="W99" i="4"/>
  <c r="W128" i="18"/>
  <c r="W133" i="4"/>
  <c r="W138" i="18"/>
  <c r="W104" i="4"/>
  <c r="W124" i="18"/>
  <c r="W71" i="4"/>
  <c r="W111" i="18"/>
  <c r="W101" i="4"/>
  <c r="W40" i="18"/>
  <c r="W43" i="4"/>
  <c r="W57" i="18"/>
  <c r="W66" i="4"/>
  <c r="W91" i="18"/>
  <c r="W69" i="4"/>
  <c r="W87" i="18"/>
  <c r="W121" i="4"/>
  <c r="W107" i="18"/>
  <c r="W92" i="4"/>
  <c r="W21" i="18"/>
  <c r="W30" i="4"/>
  <c r="B31" i="5"/>
  <c r="W26" i="18"/>
  <c r="B32" i="5"/>
  <c r="W33" i="18"/>
  <c r="B24" i="5"/>
  <c r="W20" i="18"/>
  <c r="B30" i="5"/>
  <c r="W31" i="18"/>
  <c r="B33" i="5"/>
  <c r="W29" i="18"/>
  <c r="B25" i="5"/>
  <c r="B29" i="5"/>
  <c r="B16" i="5"/>
  <c r="B23" i="5"/>
  <c r="B40" i="5"/>
  <c r="B39" i="5"/>
  <c r="B41" i="5"/>
  <c r="C9" i="5" l="1"/>
  <c r="D9" i="5" s="1"/>
  <c r="C5" i="5"/>
  <c r="C7" i="5"/>
  <c r="D7" i="5" s="1"/>
  <c r="C8" i="5"/>
  <c r="D8" i="5" s="1"/>
  <c r="C6" i="5"/>
  <c r="D6" i="5" s="1"/>
  <c r="D5" i="5" l="1"/>
  <c r="B47" i="5"/>
  <c r="H61" i="12"/>
  <c r="H7" i="12"/>
  <c r="H111" i="12"/>
  <c r="H78" i="12"/>
  <c r="H43" i="12"/>
  <c r="H34" i="12"/>
  <c r="H58" i="12"/>
  <c r="H11" i="12"/>
  <c r="H76" i="12"/>
  <c r="H14" i="12"/>
  <c r="H82" i="12"/>
  <c r="H37" i="12"/>
  <c r="H55" i="12"/>
  <c r="H89" i="12"/>
  <c r="H35" i="12"/>
  <c r="H110" i="12"/>
  <c r="H88" i="12"/>
  <c r="H94" i="12"/>
  <c r="H30" i="12"/>
  <c r="H38" i="12"/>
  <c r="H36" i="12"/>
  <c r="H101" i="12"/>
  <c r="H18" i="12"/>
  <c r="H83" i="12"/>
  <c r="H23" i="12"/>
  <c r="H117" i="12"/>
  <c r="H85" i="12"/>
  <c r="H47" i="12"/>
  <c r="H46" i="12"/>
  <c r="H51" i="12"/>
  <c r="H25" i="12"/>
  <c r="H60" i="12"/>
  <c r="H41" i="12"/>
  <c r="H90" i="12"/>
  <c r="H65" i="12"/>
  <c r="H66" i="12"/>
  <c r="H57" i="12"/>
  <c r="H116" i="12"/>
  <c r="H68" i="12"/>
  <c r="H93" i="12"/>
  <c r="H20" i="12"/>
  <c r="H96" i="12"/>
  <c r="H102" i="12"/>
  <c r="H73" i="12"/>
  <c r="H75" i="12"/>
  <c r="H63" i="12"/>
  <c r="H91" i="12"/>
  <c r="H21" i="12"/>
  <c r="H98" i="12"/>
  <c r="H28" i="12"/>
  <c r="H31" i="12"/>
  <c r="H67" i="12"/>
  <c r="H8" i="12"/>
  <c r="H62" i="12"/>
  <c r="H27" i="12"/>
  <c r="H79" i="12"/>
  <c r="H107" i="12"/>
  <c r="H48" i="12"/>
  <c r="H54" i="12"/>
  <c r="H6" i="12"/>
  <c r="H64" i="12"/>
  <c r="H99" i="12"/>
  <c r="H59" i="12"/>
  <c r="H81" i="12"/>
  <c r="H118" i="12"/>
  <c r="H4" i="12"/>
  <c r="H72" i="12"/>
  <c r="H39" i="12"/>
  <c r="H103" i="12"/>
  <c r="H29" i="12"/>
  <c r="H15" i="12"/>
  <c r="H10" i="12"/>
  <c r="H77" i="12"/>
  <c r="H5" i="12"/>
  <c r="H115" i="12"/>
  <c r="H24" i="12"/>
  <c r="H100" i="12"/>
  <c r="H49" i="12"/>
  <c r="H42" i="12"/>
  <c r="H17" i="12"/>
  <c r="H32" i="12"/>
  <c r="H119" i="12"/>
  <c r="H71" i="12"/>
  <c r="H80" i="12"/>
  <c r="H106" i="12"/>
  <c r="H113" i="12"/>
  <c r="H50" i="12"/>
  <c r="H45" i="12"/>
  <c r="H26" i="12"/>
  <c r="H104" i="12"/>
  <c r="H70" i="12"/>
  <c r="H92" i="12"/>
  <c r="H13" i="12"/>
  <c r="H9" i="12"/>
  <c r="H33" i="12"/>
  <c r="H84" i="12"/>
  <c r="H16" i="12"/>
  <c r="H19" i="12"/>
  <c r="H108" i="12"/>
  <c r="H112" i="12"/>
  <c r="H40" i="12"/>
  <c r="H74" i="12"/>
  <c r="H52" i="12"/>
  <c r="H12" i="12"/>
  <c r="H105" i="12"/>
  <c r="H97" i="12"/>
  <c r="H69" i="12"/>
  <c r="H95" i="12"/>
  <c r="H44" i="12"/>
  <c r="H53" i="12"/>
  <c r="H114" i="12"/>
  <c r="H86" i="12"/>
  <c r="H22" i="12"/>
  <c r="H56" i="12"/>
  <c r="H109" i="12"/>
  <c r="H7" i="5" s="1" a="1"/>
  <c r="H7" i="5" s="1"/>
  <c r="H87" i="12"/>
  <c r="H5" i="5" l="1" a="1"/>
  <c r="H5" i="5" s="1"/>
  <c r="H6" i="5" a="1"/>
  <c r="H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<sst xmlns="http://schemas.openxmlformats.org/spreadsheetml/2006/main" count="951" uniqueCount="671">
  <si>
    <t>Asset</t>
  </si>
  <si>
    <t>Annualized Return</t>
  </si>
  <si>
    <t>36M Annualized Volatility</t>
  </si>
  <si>
    <t>Capital Efficiency Ratio</t>
  </si>
  <si>
    <t>Date</t>
  </si>
  <si>
    <t>Price/NAV</t>
  </si>
  <si>
    <t>Monthly Return</t>
  </si>
  <si>
    <t>Drawdown</t>
  </si>
  <si>
    <t>SPY</t>
  </si>
  <si>
    <t>AGG</t>
  </si>
  <si>
    <t>GLD</t>
  </si>
  <si>
    <t>VNQ</t>
  </si>
  <si>
    <t>PE</t>
  </si>
  <si>
    <t>Most Capital Efficient Asset</t>
  </si>
  <si>
    <t>36M Volatility</t>
  </si>
  <si>
    <t>36-Month Correlation and Annualized Covariance</t>
  </si>
  <si>
    <t>Rank</t>
  </si>
  <si>
    <t>Expected Return</t>
  </si>
  <si>
    <t>Sharpe Ratio</t>
  </si>
  <si>
    <t>Max Drawdown</t>
  </si>
  <si>
    <t>Liquid Assets</t>
  </si>
  <si>
    <t>36M Vol</t>
  </si>
  <si>
    <t>Sharpe</t>
  </si>
  <si>
    <t>Weight Sum</t>
  </si>
  <si>
    <t>SPY&gt;=25%</t>
  </si>
  <si>
    <t>AGG&gt;=15%</t>
  </si>
  <si>
    <t>GLD 10%-20%</t>
  </si>
  <si>
    <t>VNQ&gt;=10%</t>
  </si>
  <si>
    <t>PE 10%-20%</t>
  </si>
  <si>
    <t>Liquid&gt;=80%</t>
  </si>
  <si>
    <t>Return 7.5%-10%</t>
  </si>
  <si>
    <t>MDD&gt;=-20%</t>
  </si>
  <si>
    <t>Eligible</t>
  </si>
  <si>
    <t>Optimal Strategic Asset Allocation</t>
  </si>
  <si>
    <t>Weight</t>
  </si>
  <si>
    <t>Start</t>
  </si>
  <si>
    <t>End</t>
  </si>
  <si>
    <t>Portfolio Return</t>
  </si>
  <si>
    <t>Analysis Date</t>
  </si>
  <si>
    <t>12/31/2025</t>
  </si>
  <si>
    <t>Portfolio Constraints</t>
  </si>
  <si>
    <t>Liquid assets (SPY+AGG+GLD+VNQ) at least 80%</t>
  </si>
  <si>
    <t>Start Date</t>
  </si>
  <si>
    <t>End Date</t>
  </si>
  <si>
    <t>Growth</t>
  </si>
  <si>
    <t>High Water Mark</t>
  </si>
  <si>
    <t>Reference #</t>
  </si>
  <si>
    <t>P1 Return</t>
  </si>
  <si>
    <t>P1 Growth</t>
  </si>
  <si>
    <t>P1 HWM</t>
  </si>
  <si>
    <t>P2 Return</t>
  </si>
  <si>
    <t>P2 Growth</t>
  </si>
  <si>
    <t>P2 HWM</t>
  </si>
  <si>
    <t>P2 DD</t>
  </si>
  <si>
    <t>P3 Return</t>
  </si>
  <si>
    <t>P3 Growth</t>
  </si>
  <si>
    <t>P3 HWM</t>
  </si>
  <si>
    <t>P3 DD</t>
  </si>
  <si>
    <t>P4 Return</t>
  </si>
  <si>
    <t>P4 Growth</t>
  </si>
  <si>
    <t>P4 HWM</t>
  </si>
  <si>
    <t>P4 DD</t>
  </si>
  <si>
    <t>P5 Return</t>
  </si>
  <si>
    <t>P5 Growth</t>
  </si>
  <si>
    <t>P5 HWM</t>
  </si>
  <si>
    <t>P5 DD</t>
  </si>
  <si>
    <t>P6 Return</t>
  </si>
  <si>
    <t>P6 Growth</t>
  </si>
  <si>
    <t>P6 HWM</t>
  </si>
  <si>
    <t>P6 DD</t>
  </si>
  <si>
    <t>P7 Return</t>
  </si>
  <si>
    <t>P7 Growth</t>
  </si>
  <si>
    <t>P7 HWM</t>
  </si>
  <si>
    <t>P7 DD</t>
  </si>
  <si>
    <t>P8 Return</t>
  </si>
  <si>
    <t>P8 Growth</t>
  </si>
  <si>
    <t>P8 HWM</t>
  </si>
  <si>
    <t>P8 DD</t>
  </si>
  <si>
    <t>P9 Return</t>
  </si>
  <si>
    <t>P9 Growth</t>
  </si>
  <si>
    <t>P9 HWM</t>
  </si>
  <si>
    <t>P9 DD</t>
  </si>
  <si>
    <t>P10 Return</t>
  </si>
  <si>
    <t>P10 Growth</t>
  </si>
  <si>
    <t>P10 HWM</t>
  </si>
  <si>
    <t>P10 DD</t>
  </si>
  <si>
    <t>P11 Return</t>
  </si>
  <si>
    <t>P11 Growth</t>
  </si>
  <si>
    <t>P11 HWM</t>
  </si>
  <si>
    <t>P11 DD</t>
  </si>
  <si>
    <t>P12 Return</t>
  </si>
  <si>
    <t>P12 Growth</t>
  </si>
  <si>
    <t>P12 HWM</t>
  </si>
  <si>
    <t>P12 DD</t>
  </si>
  <si>
    <t>P13 Return</t>
  </si>
  <si>
    <t>P13 Growth</t>
  </si>
  <si>
    <t>P13 HWM</t>
  </si>
  <si>
    <t>P13 DD</t>
  </si>
  <si>
    <t>P14 Return</t>
  </si>
  <si>
    <t>P14 Growth</t>
  </si>
  <si>
    <t>P14 HWM</t>
  </si>
  <si>
    <t>P14 DD</t>
  </si>
  <si>
    <t>P15 Return</t>
  </si>
  <si>
    <t>P15 Growth</t>
  </si>
  <si>
    <t>P15 HWM</t>
  </si>
  <si>
    <t>P15 DD</t>
  </si>
  <si>
    <t>P16 Return</t>
  </si>
  <si>
    <t>P16 Growth</t>
  </si>
  <si>
    <t>P16 HWM</t>
  </si>
  <si>
    <t>P16 DD</t>
  </si>
  <si>
    <t>P17 Return</t>
  </si>
  <si>
    <t>P17 Growth</t>
  </si>
  <si>
    <t>P17 HWM</t>
  </si>
  <si>
    <t>P17 DD</t>
  </si>
  <si>
    <t>P18 Return</t>
  </si>
  <si>
    <t>P18 Growth</t>
  </si>
  <si>
    <t>P18 HWM</t>
  </si>
  <si>
    <t>P18 DD</t>
  </si>
  <si>
    <t>P19 Return</t>
  </si>
  <si>
    <t>P19 Growth</t>
  </si>
  <si>
    <t>P19 HWM</t>
  </si>
  <si>
    <t>P19 DD</t>
  </si>
  <si>
    <t>P20 Return</t>
  </si>
  <si>
    <t>P20 Growth</t>
  </si>
  <si>
    <t>P20 HWM</t>
  </si>
  <si>
    <t>P20 DD</t>
  </si>
  <si>
    <t>P21 Return</t>
  </si>
  <si>
    <t>P21 Growth</t>
  </si>
  <si>
    <t>P21 HWM</t>
  </si>
  <si>
    <t>P21 DD</t>
  </si>
  <si>
    <t>P22 Return</t>
  </si>
  <si>
    <t>P22 Growth</t>
  </si>
  <si>
    <t>P22 HWM</t>
  </si>
  <si>
    <t>P22 DD</t>
  </si>
  <si>
    <t>P23 Return</t>
  </si>
  <si>
    <t>P23 Growth</t>
  </si>
  <si>
    <t>P23 HWM</t>
  </si>
  <si>
    <t>P23 DD</t>
  </si>
  <si>
    <t>P24 Return</t>
  </si>
  <si>
    <t>P24 Growth</t>
  </si>
  <si>
    <t>P24 HWM</t>
  </si>
  <si>
    <t>P24 DD</t>
  </si>
  <si>
    <t>P25 Return</t>
  </si>
  <si>
    <t>P25 Growth</t>
  </si>
  <si>
    <t>P25 HWM</t>
  </si>
  <si>
    <t>P25 DD</t>
  </si>
  <si>
    <t>P26 Return</t>
  </si>
  <si>
    <t>P26 Growth</t>
  </si>
  <si>
    <t>P26 HWM</t>
  </si>
  <si>
    <t>P26 DD</t>
  </si>
  <si>
    <t>P27 Return</t>
  </si>
  <si>
    <t>P27 Growth</t>
  </si>
  <si>
    <t>P27 HWM</t>
  </si>
  <si>
    <t>P27 DD</t>
  </si>
  <si>
    <t>P28 Return</t>
  </si>
  <si>
    <t>P28 Growth</t>
  </si>
  <si>
    <t>P28 HWM</t>
  </si>
  <si>
    <t>P28 DD</t>
  </si>
  <si>
    <t>P29 Return</t>
  </si>
  <si>
    <t>P29 Growth</t>
  </si>
  <si>
    <t>P29 HWM</t>
  </si>
  <si>
    <t>P29 DD</t>
  </si>
  <si>
    <t>P30 Return</t>
  </si>
  <si>
    <t>P30 Growth</t>
  </si>
  <si>
    <t>P30 HWM</t>
  </si>
  <si>
    <t>P30 DD</t>
  </si>
  <si>
    <t>P31 Return</t>
  </si>
  <si>
    <t>P31 Growth</t>
  </si>
  <si>
    <t>P31 HWM</t>
  </si>
  <si>
    <t>P31 DD</t>
  </si>
  <si>
    <t>P32 Return</t>
  </si>
  <si>
    <t>P32 Growth</t>
  </si>
  <si>
    <t>P32 HWM</t>
  </si>
  <si>
    <t>P32 DD</t>
  </si>
  <si>
    <t>P33 Return</t>
  </si>
  <si>
    <t>P33 Growth</t>
  </si>
  <si>
    <t>P33 HWM</t>
  </si>
  <si>
    <t>P33 DD</t>
  </si>
  <si>
    <t>P34 Return</t>
  </si>
  <si>
    <t>P34 Growth</t>
  </si>
  <si>
    <t>P34 HWM</t>
  </si>
  <si>
    <t>P34 DD</t>
  </si>
  <si>
    <t>P35 Return</t>
  </si>
  <si>
    <t>P35 Growth</t>
  </si>
  <si>
    <t>P35 HWM</t>
  </si>
  <si>
    <t>P35 DD</t>
  </si>
  <si>
    <t>P36 Return</t>
  </si>
  <si>
    <t>P36 Growth</t>
  </si>
  <si>
    <t>P36 HWM</t>
  </si>
  <si>
    <t>P36 DD</t>
  </si>
  <si>
    <t>P37 Return</t>
  </si>
  <si>
    <t>P37 Growth</t>
  </si>
  <si>
    <t>P37 HWM</t>
  </si>
  <si>
    <t>P37 DD</t>
  </si>
  <si>
    <t>P38 Return</t>
  </si>
  <si>
    <t>P38 Growth</t>
  </si>
  <si>
    <t>P38 HWM</t>
  </si>
  <si>
    <t>P38 DD</t>
  </si>
  <si>
    <t>P39 Return</t>
  </si>
  <si>
    <t>P39 Growth</t>
  </si>
  <si>
    <t>P39 HWM</t>
  </si>
  <si>
    <t>P39 DD</t>
  </si>
  <si>
    <t>P40 Return</t>
  </si>
  <si>
    <t>P40 Growth</t>
  </si>
  <si>
    <t>P40 HWM</t>
  </si>
  <si>
    <t>P40 DD</t>
  </si>
  <si>
    <t>P41 Return</t>
  </si>
  <si>
    <t>P41 Growth</t>
  </si>
  <si>
    <t>P41 HWM</t>
  </si>
  <si>
    <t>P41 DD</t>
  </si>
  <si>
    <t>P42 Return</t>
  </si>
  <si>
    <t>P42 Growth</t>
  </si>
  <si>
    <t>P42 HWM</t>
  </si>
  <si>
    <t>P42 DD</t>
  </si>
  <si>
    <t>P43 Return</t>
  </si>
  <si>
    <t>P43 Growth</t>
  </si>
  <si>
    <t>P43 HWM</t>
  </si>
  <si>
    <t>P43 DD</t>
  </si>
  <si>
    <t>P44 Return</t>
  </si>
  <si>
    <t>P44 Growth</t>
  </si>
  <si>
    <t>P44 HWM</t>
  </si>
  <si>
    <t>P44 DD</t>
  </si>
  <si>
    <t>P45 Return</t>
  </si>
  <si>
    <t>P45 Growth</t>
  </si>
  <si>
    <t>P45 HWM</t>
  </si>
  <si>
    <t>P45 DD</t>
  </si>
  <si>
    <t>P46 Return</t>
  </si>
  <si>
    <t>P46 Growth</t>
  </si>
  <si>
    <t>P46 HWM</t>
  </si>
  <si>
    <t>P46 DD</t>
  </si>
  <si>
    <t>P47 Return</t>
  </si>
  <si>
    <t>P47 Growth</t>
  </si>
  <si>
    <t>P47 HWM</t>
  </si>
  <si>
    <t>P47 DD</t>
  </si>
  <si>
    <t>P48 Return</t>
  </si>
  <si>
    <t>P48 Growth</t>
  </si>
  <si>
    <t>P48 HWM</t>
  </si>
  <si>
    <t>P48 DD</t>
  </si>
  <si>
    <t>P49 Return</t>
  </si>
  <si>
    <t>P49 Growth</t>
  </si>
  <si>
    <t>P49 HWM</t>
  </si>
  <si>
    <t>P49 DD</t>
  </si>
  <si>
    <t>P50 Return</t>
  </si>
  <si>
    <t>P50 Growth</t>
  </si>
  <si>
    <t>P50 HWM</t>
  </si>
  <si>
    <t>P50 DD</t>
  </si>
  <si>
    <t>P51 Return</t>
  </si>
  <si>
    <t>P51 Growth</t>
  </si>
  <si>
    <t>P51 HWM</t>
  </si>
  <si>
    <t>P51 DD</t>
  </si>
  <si>
    <t>P52 Return</t>
  </si>
  <si>
    <t>P52 Growth</t>
  </si>
  <si>
    <t>P52 HWM</t>
  </si>
  <si>
    <t>P52 DD</t>
  </si>
  <si>
    <t>P53 Return</t>
  </si>
  <si>
    <t>P53 Growth</t>
  </si>
  <si>
    <t>P53 HWM</t>
  </si>
  <si>
    <t>P53 DD</t>
  </si>
  <si>
    <t>P54 Return</t>
  </si>
  <si>
    <t>P54 Growth</t>
  </si>
  <si>
    <t>P54 HWM</t>
  </si>
  <si>
    <t>P54 DD</t>
  </si>
  <si>
    <t>P55 Return</t>
  </si>
  <si>
    <t>P55 Growth</t>
  </si>
  <si>
    <t>P55 HWM</t>
  </si>
  <si>
    <t>P55 DD</t>
  </si>
  <si>
    <t>P56 Return</t>
  </si>
  <si>
    <t>P56 Growth</t>
  </si>
  <si>
    <t>P56 HWM</t>
  </si>
  <si>
    <t>P56 DD</t>
  </si>
  <si>
    <t>P57 Return</t>
  </si>
  <si>
    <t>P57 Growth</t>
  </si>
  <si>
    <t>P57 HWM</t>
  </si>
  <si>
    <t>P57 DD</t>
  </si>
  <si>
    <t>P58 Return</t>
  </si>
  <si>
    <t>P58 Growth</t>
  </si>
  <si>
    <t>P58 HWM</t>
  </si>
  <si>
    <t>P58 DD</t>
  </si>
  <si>
    <t>P59 Return</t>
  </si>
  <si>
    <t>P59 Growth</t>
  </si>
  <si>
    <t>P59 HWM</t>
  </si>
  <si>
    <t>P59 DD</t>
  </si>
  <si>
    <t>P60 Return</t>
  </si>
  <si>
    <t>P60 Growth</t>
  </si>
  <si>
    <t>P60 HWM</t>
  </si>
  <si>
    <t>P60 DD</t>
  </si>
  <si>
    <t>P61 Return</t>
  </si>
  <si>
    <t>P61 Growth</t>
  </si>
  <si>
    <t>P61 HWM</t>
  </si>
  <si>
    <t>P61 DD</t>
  </si>
  <si>
    <t>P62 Return</t>
  </si>
  <si>
    <t>P62 Growth</t>
  </si>
  <si>
    <t>P62 HWM</t>
  </si>
  <si>
    <t>P62 DD</t>
  </si>
  <si>
    <t>P63 Return</t>
  </si>
  <si>
    <t>P63 Growth</t>
  </si>
  <si>
    <t>P63 HWM</t>
  </si>
  <si>
    <t>P63 DD</t>
  </si>
  <si>
    <t>P64 Return</t>
  </si>
  <si>
    <t>P64 Growth</t>
  </si>
  <si>
    <t>P64 HWM</t>
  </si>
  <si>
    <t>P64 DD</t>
  </si>
  <si>
    <t>P65 Return</t>
  </si>
  <si>
    <t>P65 Growth</t>
  </si>
  <si>
    <t>P65 HWM</t>
  </si>
  <si>
    <t>P65 DD</t>
  </si>
  <si>
    <t>P66 Return</t>
  </si>
  <si>
    <t>P66 Growth</t>
  </si>
  <si>
    <t>P66 HWM</t>
  </si>
  <si>
    <t>P66 DD</t>
  </si>
  <si>
    <t>P67 Return</t>
  </si>
  <si>
    <t>P67 Growth</t>
  </si>
  <si>
    <t>P67 HWM</t>
  </si>
  <si>
    <t>P67 DD</t>
  </si>
  <si>
    <t>P68 Return</t>
  </si>
  <si>
    <t>P68 Growth</t>
  </si>
  <si>
    <t>P68 HWM</t>
  </si>
  <si>
    <t>P68 DD</t>
  </si>
  <si>
    <t>P69 Return</t>
  </si>
  <si>
    <t>P69 Growth</t>
  </si>
  <si>
    <t>P69 HWM</t>
  </si>
  <si>
    <t>P69 DD</t>
  </si>
  <si>
    <t>P70 Return</t>
  </si>
  <si>
    <t>P70 Growth</t>
  </si>
  <si>
    <t>P70 HWM</t>
  </si>
  <si>
    <t>P70 DD</t>
  </si>
  <si>
    <t>P71 Return</t>
  </si>
  <si>
    <t>P71 Growth</t>
  </si>
  <si>
    <t>P71 HWM</t>
  </si>
  <si>
    <t>P71 DD</t>
  </si>
  <si>
    <t>P72 Return</t>
  </si>
  <si>
    <t>P72 Growth</t>
  </si>
  <si>
    <t>P72 HWM</t>
  </si>
  <si>
    <t>P72 DD</t>
  </si>
  <si>
    <t>P73 Return</t>
  </si>
  <si>
    <t>P73 Growth</t>
  </si>
  <si>
    <t>P73 HWM</t>
  </si>
  <si>
    <t>P73 DD</t>
  </si>
  <si>
    <t>P74 Return</t>
  </si>
  <si>
    <t>P74 Growth</t>
  </si>
  <si>
    <t>P74 HWM</t>
  </si>
  <si>
    <t>P74 DD</t>
  </si>
  <si>
    <t>P75 Return</t>
  </si>
  <si>
    <t>P75 Growth</t>
  </si>
  <si>
    <t>P75 HWM</t>
  </si>
  <si>
    <t>P75 DD</t>
  </si>
  <si>
    <t>P76 Return</t>
  </si>
  <si>
    <t>P76 Growth</t>
  </si>
  <si>
    <t>P76 HWM</t>
  </si>
  <si>
    <t>P76 DD</t>
  </si>
  <si>
    <t>P77 Return</t>
  </si>
  <si>
    <t>P77 Growth</t>
  </si>
  <si>
    <t>P77 HWM</t>
  </si>
  <si>
    <t>P77 DD</t>
  </si>
  <si>
    <t>P78 Return</t>
  </si>
  <si>
    <t>P78 Growth</t>
  </si>
  <si>
    <t>P78 HWM</t>
  </si>
  <si>
    <t>P78 DD</t>
  </si>
  <si>
    <t>P79 Return</t>
  </si>
  <si>
    <t>P79 Growth</t>
  </si>
  <si>
    <t>P79 HWM</t>
  </si>
  <si>
    <t>P79 DD</t>
  </si>
  <si>
    <t>P80 Return</t>
  </si>
  <si>
    <t>P80 Growth</t>
  </si>
  <si>
    <t>P80 HWM</t>
  </si>
  <si>
    <t>P80 DD</t>
  </si>
  <si>
    <t>P81 Return</t>
  </si>
  <si>
    <t>P81 Growth</t>
  </si>
  <si>
    <t>P81 HWM</t>
  </si>
  <si>
    <t>P81 DD</t>
  </si>
  <si>
    <t>P82 Return</t>
  </si>
  <si>
    <t>P82 Growth</t>
  </si>
  <si>
    <t>P82 HWM</t>
  </si>
  <si>
    <t>P82 DD</t>
  </si>
  <si>
    <t>P83 Return</t>
  </si>
  <si>
    <t>P83 Growth</t>
  </si>
  <si>
    <t>P83 HWM</t>
  </si>
  <si>
    <t>P83 DD</t>
  </si>
  <si>
    <t>P84 Return</t>
  </si>
  <si>
    <t>P84 Growth</t>
  </si>
  <si>
    <t>P84 HWM</t>
  </si>
  <si>
    <t>P84 DD</t>
  </si>
  <si>
    <t>P85 Return</t>
  </si>
  <si>
    <t>P85 Growth</t>
  </si>
  <si>
    <t>P85 HWM</t>
  </si>
  <si>
    <t>P85 DD</t>
  </si>
  <si>
    <t>P86 Return</t>
  </si>
  <si>
    <t>P86 Growth</t>
  </si>
  <si>
    <t>P86 HWM</t>
  </si>
  <si>
    <t>P86 DD</t>
  </si>
  <si>
    <t>P87 Return</t>
  </si>
  <si>
    <t>P87 Growth</t>
  </si>
  <si>
    <t>P87 HWM</t>
  </si>
  <si>
    <t>P87 DD</t>
  </si>
  <si>
    <t>P88 Return</t>
  </si>
  <si>
    <t>P88 Growth</t>
  </si>
  <si>
    <t>P88 HWM</t>
  </si>
  <si>
    <t>P88 DD</t>
  </si>
  <si>
    <t>P89 Return</t>
  </si>
  <si>
    <t>P89 Growth</t>
  </si>
  <si>
    <t>P89 HWM</t>
  </si>
  <si>
    <t>P89 DD</t>
  </si>
  <si>
    <t>P90 Return</t>
  </si>
  <si>
    <t>P90 Growth</t>
  </si>
  <si>
    <t>P90 HWM</t>
  </si>
  <si>
    <t>P90 DD</t>
  </si>
  <si>
    <t>P91 Return</t>
  </si>
  <si>
    <t>P91 Growth</t>
  </si>
  <si>
    <t>P91 HWM</t>
  </si>
  <si>
    <t>P91 DD</t>
  </si>
  <si>
    <t>P92 Return</t>
  </si>
  <si>
    <t>P92 Growth</t>
  </si>
  <si>
    <t>P92 HWM</t>
  </si>
  <si>
    <t>P92 DD</t>
  </si>
  <si>
    <t>P93 Return</t>
  </si>
  <si>
    <t>P93 Growth</t>
  </si>
  <si>
    <t>P93 HWM</t>
  </si>
  <si>
    <t>P93 DD</t>
  </si>
  <si>
    <t>P94 Return</t>
  </si>
  <si>
    <t>P94 Growth</t>
  </si>
  <si>
    <t>P94 HWM</t>
  </si>
  <si>
    <t>P94 DD</t>
  </si>
  <si>
    <t>P95 Return</t>
  </si>
  <si>
    <t>P95 Growth</t>
  </si>
  <si>
    <t>P95 HWM</t>
  </si>
  <si>
    <t>P95 DD</t>
  </si>
  <si>
    <t>P96 Return</t>
  </si>
  <si>
    <t>P96 Growth</t>
  </si>
  <si>
    <t>P96 HWM</t>
  </si>
  <si>
    <t>P96 DD</t>
  </si>
  <si>
    <t>P97 Return</t>
  </si>
  <si>
    <t>P97 Growth</t>
  </si>
  <si>
    <t>P97 HWM</t>
  </si>
  <si>
    <t>P97 DD</t>
  </si>
  <si>
    <t>P98 Return</t>
  </si>
  <si>
    <t>P98 Growth</t>
  </si>
  <si>
    <t>P98 HWM</t>
  </si>
  <si>
    <t>P98 DD</t>
  </si>
  <si>
    <t>P99 Return</t>
  </si>
  <si>
    <t>P99 Growth</t>
  </si>
  <si>
    <t>P99 HWM</t>
  </si>
  <si>
    <t>P99 DD</t>
  </si>
  <si>
    <t>P100 Return</t>
  </si>
  <si>
    <t>P100 Growth</t>
  </si>
  <si>
    <t>P100 HWM</t>
  </si>
  <si>
    <t>P100 DD</t>
  </si>
  <si>
    <t>P101 Return</t>
  </si>
  <si>
    <t>P101 Growth</t>
  </si>
  <si>
    <t>P101 HWM</t>
  </si>
  <si>
    <t>P101 DD</t>
  </si>
  <si>
    <t>P102 Return</t>
  </si>
  <si>
    <t>P102 Growth</t>
  </si>
  <si>
    <t>P102 HWM</t>
  </si>
  <si>
    <t>P102 DD</t>
  </si>
  <si>
    <t>P103 Return</t>
  </si>
  <si>
    <t>P103 Growth</t>
  </si>
  <si>
    <t>P103 HWM</t>
  </si>
  <si>
    <t>P103 DD</t>
  </si>
  <si>
    <t>P104 Return</t>
  </si>
  <si>
    <t>P104 Growth</t>
  </si>
  <si>
    <t>P104 HWM</t>
  </si>
  <si>
    <t>P104 DD</t>
  </si>
  <si>
    <t>P105 Return</t>
  </si>
  <si>
    <t>P105 Growth</t>
  </si>
  <si>
    <t>P105 HWM</t>
  </si>
  <si>
    <t>P105 DD</t>
  </si>
  <si>
    <t>P106 Return</t>
  </si>
  <si>
    <t>P106 Growth</t>
  </si>
  <si>
    <t>P106 HWM</t>
  </si>
  <si>
    <t>P106 DD</t>
  </si>
  <si>
    <t>P107 Return</t>
  </si>
  <si>
    <t>P107 Growth</t>
  </si>
  <si>
    <t>P107 HWM</t>
  </si>
  <si>
    <t>P107 DD</t>
  </si>
  <si>
    <t>P108 Return</t>
  </si>
  <si>
    <t>P108 Growth</t>
  </si>
  <si>
    <t>P108 HWM</t>
  </si>
  <si>
    <t>P108 DD</t>
  </si>
  <si>
    <t>P109 Return</t>
  </si>
  <si>
    <t>P109 Growth</t>
  </si>
  <si>
    <t>P109 HWM</t>
  </si>
  <si>
    <t>P109 DD</t>
  </si>
  <si>
    <t>P110 Return</t>
  </si>
  <si>
    <t>P110 Growth</t>
  </si>
  <si>
    <t>P110 HWM</t>
  </si>
  <si>
    <t>P110 DD</t>
  </si>
  <si>
    <t>P111 Return</t>
  </si>
  <si>
    <t>P111 Growth</t>
  </si>
  <si>
    <t>P111 HWM</t>
  </si>
  <si>
    <t>P111 DD</t>
  </si>
  <si>
    <t>P112 Return</t>
  </si>
  <si>
    <t>P112 Growth</t>
  </si>
  <si>
    <t>P112 HWM</t>
  </si>
  <si>
    <t>P112 DD</t>
  </si>
  <si>
    <t>P113 Return</t>
  </si>
  <si>
    <t>P113 Growth</t>
  </si>
  <si>
    <t>P113 HWM</t>
  </si>
  <si>
    <t>P113 DD</t>
  </si>
  <si>
    <t>P114 Return</t>
  </si>
  <si>
    <t>P114 Growth</t>
  </si>
  <si>
    <t>P114 HWM</t>
  </si>
  <si>
    <t>P114 DD</t>
  </si>
  <si>
    <t>P115 Return</t>
  </si>
  <si>
    <t>P115 Growth</t>
  </si>
  <si>
    <t>P115 HWM</t>
  </si>
  <si>
    <t>P115 DD</t>
  </si>
  <si>
    <t>P116 Return</t>
  </si>
  <si>
    <t>P116 Growth</t>
  </si>
  <si>
    <t>P116 HWM</t>
  </si>
  <si>
    <t>P116 DD</t>
  </si>
  <si>
    <t>P117 Return</t>
  </si>
  <si>
    <t>P117 Growth</t>
  </si>
  <si>
    <t>P117 HWM</t>
  </si>
  <si>
    <t>P117 DD</t>
  </si>
  <si>
    <t>P118 Return</t>
  </si>
  <si>
    <t>P118 Growth</t>
  </si>
  <si>
    <t>P118 HWM</t>
  </si>
  <si>
    <t>P118 DD</t>
  </si>
  <si>
    <t>P119 Return</t>
  </si>
  <si>
    <t>P119 Growth</t>
  </si>
  <si>
    <t>P119 HWM</t>
  </si>
  <si>
    <t>P119 DD</t>
  </si>
  <si>
    <t>P120 Return</t>
  </si>
  <si>
    <t>P120 Growth</t>
  </si>
  <si>
    <t>P120 HWM</t>
  </si>
  <si>
    <t>P120 DD</t>
  </si>
  <si>
    <t>P121 Return</t>
  </si>
  <si>
    <t>P121 Growth</t>
  </si>
  <si>
    <t>P121 HWM</t>
  </si>
  <si>
    <t>P121 DD</t>
  </si>
  <si>
    <t>P122 Return</t>
  </si>
  <si>
    <t>P122 Growth</t>
  </si>
  <si>
    <t>P122 HWM</t>
  </si>
  <si>
    <t>P122 DD</t>
  </si>
  <si>
    <t>P123 Return</t>
  </si>
  <si>
    <t>P123 Growth</t>
  </si>
  <si>
    <t>P123 HWM</t>
  </si>
  <si>
    <t>P123 DD</t>
  </si>
  <si>
    <t>P124 Return</t>
  </si>
  <si>
    <t>P124 Growth</t>
  </si>
  <si>
    <t>P124 HWM</t>
  </si>
  <si>
    <t>P124 DD</t>
  </si>
  <si>
    <t>P125 Return</t>
  </si>
  <si>
    <t>P125 Growth</t>
  </si>
  <si>
    <t>P125 HWM</t>
  </si>
  <si>
    <t>P125 DD</t>
  </si>
  <si>
    <t>P126 Return</t>
  </si>
  <si>
    <t>P126 Growth</t>
  </si>
  <si>
    <t>P126 HWM</t>
  </si>
  <si>
    <t>P126 DD</t>
  </si>
  <si>
    <t>P127 Return</t>
  </si>
  <si>
    <t>P127 Growth</t>
  </si>
  <si>
    <t>P127 HWM</t>
  </si>
  <si>
    <t>P127 DD</t>
  </si>
  <si>
    <t>P128 Return</t>
  </si>
  <si>
    <t>P128 Growth</t>
  </si>
  <si>
    <t>P128 HWM</t>
  </si>
  <si>
    <t>P128 DD</t>
  </si>
  <si>
    <t>P129 Return</t>
  </si>
  <si>
    <t>P129 Growth</t>
  </si>
  <si>
    <t>P129 HWM</t>
  </si>
  <si>
    <t>P129 DD</t>
  </si>
  <si>
    <t>P130 Return</t>
  </si>
  <si>
    <t>P130 Growth</t>
  </si>
  <si>
    <t>P130 HWM</t>
  </si>
  <si>
    <t>P130 DD</t>
  </si>
  <si>
    <t>P131 Return</t>
  </si>
  <si>
    <t>P131 Growth</t>
  </si>
  <si>
    <t>P131 HWM</t>
  </si>
  <si>
    <t>P131 DD</t>
  </si>
  <si>
    <t>P132 Return</t>
  </si>
  <si>
    <t>P132 Growth</t>
  </si>
  <si>
    <t>P132 HWM</t>
  </si>
  <si>
    <t>P132 DD</t>
  </si>
  <si>
    <t>P133 Return</t>
  </si>
  <si>
    <t>P133 Growth</t>
  </si>
  <si>
    <t>P133 HWM</t>
  </si>
  <si>
    <t>P133 DD</t>
  </si>
  <si>
    <t>P134 Return</t>
  </si>
  <si>
    <t>P134 Growth</t>
  </si>
  <si>
    <t>P134 HWM</t>
  </si>
  <si>
    <t>P134 DD</t>
  </si>
  <si>
    <t>P135 Return</t>
  </si>
  <si>
    <t>P135 Growth</t>
  </si>
  <si>
    <t>P135 HWM</t>
  </si>
  <si>
    <t>P135 DD</t>
  </si>
  <si>
    <t>P136 Return</t>
  </si>
  <si>
    <t>P136 Growth</t>
  </si>
  <si>
    <t>P136 HWM</t>
  </si>
  <si>
    <t>P136 DD</t>
  </si>
  <si>
    <t>P137 Return</t>
  </si>
  <si>
    <t>P137 Growth</t>
  </si>
  <si>
    <t>P137 HWM</t>
  </si>
  <si>
    <t>P137 DD</t>
  </si>
  <si>
    <t>P138 Return</t>
  </si>
  <si>
    <t>P138 Growth</t>
  </si>
  <si>
    <t>P138 HWM</t>
  </si>
  <si>
    <t>P138 DD</t>
  </si>
  <si>
    <t>P139 Return</t>
  </si>
  <si>
    <t>P139 Growth</t>
  </si>
  <si>
    <t>P139 HWM</t>
  </si>
  <si>
    <t>P139 DD</t>
  </si>
  <si>
    <t>P140 Return</t>
  </si>
  <si>
    <t>P140 Growth</t>
  </si>
  <si>
    <t>P140 HWM</t>
  </si>
  <si>
    <t>P140 DD</t>
  </si>
  <si>
    <t>P141 Return</t>
  </si>
  <si>
    <t>P141 Growth</t>
  </si>
  <si>
    <t>P141 HWM</t>
  </si>
  <si>
    <t>P141 DD</t>
  </si>
  <si>
    <t>Dates</t>
  </si>
  <si>
    <t>36M Window</t>
  </si>
  <si>
    <t>SPY data and pre-processing</t>
  </si>
  <si>
    <t>AGG data and pre-processing</t>
  </si>
  <si>
    <t>GLD data and pre-processing</t>
  </si>
  <si>
    <t>VNQ data and pre-processing</t>
  </si>
  <si>
    <t>PE data and pre-processing</t>
  </si>
  <si>
    <t>Max DD</t>
  </si>
  <si>
    <t>Yield</t>
  </si>
  <si>
    <t>Correlation Matrix (36M returns)</t>
  </si>
  <si>
    <t>3-month Treasury Bill data</t>
  </si>
  <si>
    <t>P1 DD</t>
  </si>
  <si>
    <t>Assumptions</t>
  </si>
  <si>
    <t>Lower Bound</t>
  </si>
  <si>
    <t>Upper Bound</t>
  </si>
  <si>
    <t>No shorting</t>
  </si>
  <si>
    <t>Full invested</t>
  </si>
  <si>
    <t>Weighting increment</t>
  </si>
  <si>
    <t>SPY allocation</t>
  </si>
  <si>
    <t>AGG allocation</t>
  </si>
  <si>
    <t>GLD allocation</t>
  </si>
  <si>
    <t>VNQ allocation</t>
  </si>
  <si>
    <t>Private Equity Allocation</t>
  </si>
  <si>
    <t>Portfolio expected return</t>
  </si>
  <si>
    <t>Portfolio historical max drawdown not worse than</t>
  </si>
  <si>
    <t>Overall Rank</t>
  </si>
  <si>
    <t>Sharpe Rank</t>
  </si>
  <si>
    <t>Maximize Sharpe ratio, subject to the above and below constraints</t>
  </si>
  <si>
    <t>Data Available</t>
  </si>
  <si>
    <t>Scenario 1</t>
  </si>
  <si>
    <t>Scenario 2</t>
  </si>
  <si>
    <t>Scenario 3</t>
  </si>
  <si>
    <t>S1</t>
  </si>
  <si>
    <t>S2</t>
  </si>
  <si>
    <t>S3</t>
  </si>
  <si>
    <t>Scenario 1 Rank</t>
  </si>
  <si>
    <t>Scenario 2 Rank</t>
  </si>
  <si>
    <t>Scenario 3 Rank</t>
  </si>
  <si>
    <t>Rank to Display</t>
  </si>
  <si>
    <t>USD $ Millions</t>
  </si>
  <si>
    <t>Common</t>
  </si>
  <si>
    <t>Return/DD</t>
  </si>
  <si>
    <t>Optimal Portfolio Stress Tests Windows</t>
  </si>
  <si>
    <t>Combined returns for modeling</t>
  </si>
  <si>
    <t>Investable Assets - USD $ millions</t>
  </si>
  <si>
    <t>3-Month Treasury Bill Rate (36M, simple average)</t>
  </si>
  <si>
    <t>PE - IRR</t>
  </si>
  <si>
    <t>CF (USD $ Million)</t>
  </si>
  <si>
    <t>Annualized Covariance Matrix (36M returns)</t>
  </si>
  <si>
    <t>Stats and Scenarios - Annualized Returns (Geometric CAGR)</t>
  </si>
  <si>
    <t>All Scenarios</t>
  </si>
  <si>
    <t xml:space="preserve">Rank rule: If ranked in the top 10 in at least 2 groups, the overall rank is an average of the ranks of the groups. </t>
  </si>
  <si>
    <t>Label</t>
  </si>
  <si>
    <t>Weighted Average</t>
  </si>
  <si>
    <t>Annualized PE IRR, use CF if applicable</t>
  </si>
  <si>
    <t>SPY / AGG / GLD / VNQ / PE</t>
  </si>
  <si>
    <t>Selected via dropdown, sourced from C27-C29</t>
  </si>
  <si>
    <t>Variation 1 selection formula</t>
  </si>
  <si>
    <t>Variation 2 selection formula</t>
  </si>
  <si>
    <t>Variation 3 selection formula</t>
  </si>
  <si>
    <t>&lt;- When selecting variation 3, this figure is not meaningful (due to conflating NAV and CF data for capital efficiency)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</si>
</sst>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000"/>
    <numFmt numFmtId="166" formatCode="\$#,##0.0"/>
    <numFmt numFmtId="167" formatCode="0.0%"/>
    <numFmt numFmtId="168" formatCode="&quot;$&quot;#,##0.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164" fontId="3" fillId="0" borderId="0" applyFont="0" applyFill="0" applyBorder="0" applyAlignment="0" applyProtection="0"/>
    <xf numFmtId="0" fontId="8" fillId="4" borderId="0" applyNumberFormat="0" applyBorder="0" applyAlignment="0" applyProtection="0"/>
    <xf numFmtId="0" fontId="3" fillId="6" borderId="17" applyNumberFormat="0" applyFont="0" applyAlignment="0" applyProtection="0"/>
  </cellStyleXfs>
  <cellXfs count="213">
    <xf numFmtId="0" fontId="0" fillId="0" borderId="0" xfId="0"/>
    <xf numFmtId="0" fontId="0" fillId="0" borderId="1" xfId="0" applyBorder="1"/>
    <xf numFmtId="10" fontId="0" fillId="0" borderId="1" xfId="0" applyNumberFormat="1" applyBorder="1"/>
    <xf numFmtId="165" fontId="0" fillId="0" borderId="1" xfId="0" applyNumberFormat="1" applyBorder="1"/>
    <xf numFmtId="10" fontId="0" fillId="0" borderId="8" xfId="0" applyNumberFormat="1" applyBorder="1"/>
    <xf numFmtId="14" fontId="0" fillId="0" borderId="2" xfId="0" applyNumberFormat="1" applyBorder="1"/>
    <xf numFmtId="10" fontId="0" fillId="0" borderId="3" xfId="0" applyNumberFormat="1" applyBorder="1"/>
    <xf numFmtId="10" fontId="0" fillId="0" borderId="9" xfId="0" applyNumberFormat="1" applyBorder="1"/>
    <xf numFmtId="10" fontId="0" fillId="0" borderId="3" xfId="1" applyNumberFormat="1" applyFont="1" applyBorder="1"/>
    <xf numFmtId="10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0" borderId="0" xfId="0" quotePrefix="1"/>
    <xf numFmtId="0" fontId="2" fillId="0" borderId="6" xfId="0" applyFont="1" applyBorder="1" applyAlignment="1">
      <alignment horizontal="center" vertical="center"/>
    </xf>
    <xf numFmtId="14" fontId="6" fillId="0" borderId="2" xfId="0" applyNumberFormat="1" applyFont="1" applyBorder="1"/>
    <xf numFmtId="165" fontId="6" fillId="0" borderId="1" xfId="0" applyNumberFormat="1" applyFont="1" applyBorder="1"/>
    <xf numFmtId="14" fontId="6" fillId="0" borderId="7" xfId="0" applyNumberFormat="1" applyFont="1" applyBorder="1"/>
    <xf numFmtId="165" fontId="6" fillId="0" borderId="8" xfId="0" applyNumberFormat="1" applyFont="1" applyBorder="1"/>
    <xf numFmtId="0" fontId="5" fillId="3" borderId="11" xfId="0" applyFont="1" applyFill="1" applyBorder="1" applyAlignment="1">
      <alignment horizontal="center" wrapText="1"/>
    </xf>
    <xf numFmtId="10" fontId="0" fillId="0" borderId="0" xfId="1" applyNumberFormat="1" applyFont="1"/>
    <xf numFmtId="10" fontId="0" fillId="0" borderId="2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quotePrefix="1" applyAlignment="1">
      <alignment wrapText="1"/>
    </xf>
    <xf numFmtId="10" fontId="6" fillId="0" borderId="1" xfId="0" applyNumberFormat="1" applyFont="1" applyBorder="1"/>
    <xf numFmtId="10" fontId="6" fillId="0" borderId="1" xfId="1" applyNumberFormat="1" applyFont="1" applyBorder="1"/>
    <xf numFmtId="10" fontId="0" fillId="0" borderId="1" xfId="1" applyNumberFormat="1" applyFon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2" fillId="0" borderId="0" xfId="0" applyFont="1"/>
    <xf numFmtId="10" fontId="6" fillId="0" borderId="3" xfId="0" applyNumberFormat="1" applyFont="1" applyBorder="1"/>
    <xf numFmtId="10" fontId="6" fillId="0" borderId="9" xfId="0" applyNumberFormat="1" applyFont="1" applyBorder="1"/>
    <xf numFmtId="0" fontId="1" fillId="0" borderId="1" xfId="0" applyFont="1" applyBorder="1"/>
    <xf numFmtId="0" fontId="5" fillId="3" borderId="12" xfId="0" applyFont="1" applyFill="1" applyBorder="1" applyAlignment="1">
      <alignment horizontal="center" wrapText="1"/>
    </xf>
    <xf numFmtId="14" fontId="0" fillId="0" borderId="5" xfId="1" applyNumberFormat="1" applyFont="1" applyFill="1" applyBorder="1" applyAlignment="1">
      <alignment horizontal="center"/>
    </xf>
    <xf numFmtId="0" fontId="8" fillId="4" borderId="5" xfId="4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0" fontId="9" fillId="0" borderId="5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left"/>
    </xf>
    <xf numFmtId="0" fontId="9" fillId="0" borderId="8" xfId="0" applyFont="1" applyBorder="1" applyAlignment="1">
      <alignment horizontal="center" vertical="center"/>
    </xf>
    <xf numFmtId="10" fontId="9" fillId="0" borderId="8" xfId="0" applyNumberFormat="1" applyFont="1" applyBorder="1" applyAlignment="1">
      <alignment horizontal="left"/>
    </xf>
    <xf numFmtId="0" fontId="8" fillId="4" borderId="0" xfId="4"/>
    <xf numFmtId="0" fontId="8" fillId="4" borderId="1" xfId="4" applyBorder="1" applyAlignment="1">
      <alignment horizontal="center" vertical="center"/>
    </xf>
    <xf numFmtId="10" fontId="8" fillId="4" borderId="1" xfId="4" applyNumberFormat="1" applyBorder="1" applyAlignment="1">
      <alignment horizontal="left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8" fillId="4" borderId="0" xfId="4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0" fontId="8" fillId="4" borderId="1" xfId="4" applyBorder="1" applyAlignment="1">
      <alignment horizontal="center"/>
    </xf>
    <xf numFmtId="10" fontId="9" fillId="0" borderId="2" xfId="0" applyNumberFormat="1" applyFont="1" applyBorder="1" applyAlignment="1">
      <alignment horizontal="center"/>
    </xf>
    <xf numFmtId="10" fontId="9" fillId="0" borderId="1" xfId="0" applyNumberFormat="1" applyFont="1" applyBorder="1" applyAlignment="1">
      <alignment horizontal="center"/>
    </xf>
    <xf numFmtId="165" fontId="9" fillId="0" borderId="1" xfId="2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0" fontId="8" fillId="4" borderId="2" xfId="4" applyNumberFormat="1" applyBorder="1" applyAlignment="1">
      <alignment horizontal="center"/>
    </xf>
    <xf numFmtId="10" fontId="8" fillId="4" borderId="1" xfId="4" applyNumberFormat="1" applyBorder="1" applyAlignment="1">
      <alignment horizontal="center"/>
    </xf>
    <xf numFmtId="165" fontId="8" fillId="4" borderId="1" xfId="4" applyNumberFormat="1" applyBorder="1" applyAlignment="1">
      <alignment horizontal="center"/>
    </xf>
    <xf numFmtId="0" fontId="8" fillId="4" borderId="3" xfId="4" applyBorder="1" applyAlignment="1">
      <alignment horizontal="center"/>
    </xf>
    <xf numFmtId="10" fontId="9" fillId="0" borderId="7" xfId="0" applyNumberFormat="1" applyFont="1" applyBorder="1" applyAlignment="1">
      <alignment horizontal="center"/>
    </xf>
    <xf numFmtId="10" fontId="9" fillId="0" borderId="8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4" borderId="2" xfId="4" applyBorder="1" applyAlignment="1">
      <alignment horizontal="center"/>
    </xf>
    <xf numFmtId="0" fontId="8" fillId="4" borderId="8" xfId="4" applyBorder="1" applyAlignment="1">
      <alignment horizontal="center"/>
    </xf>
    <xf numFmtId="0" fontId="1" fillId="0" borderId="0" xfId="0" applyFont="1"/>
    <xf numFmtId="166" fontId="0" fillId="0" borderId="3" xfId="0" applyNumberFormat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10" fontId="0" fillId="0" borderId="5" xfId="0" applyNumberFormat="1" applyBorder="1"/>
    <xf numFmtId="0" fontId="6" fillId="0" borderId="14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3" applyNumberFormat="1" applyFont="1" applyBorder="1" applyAlignment="1">
      <alignment horizontal="center" vertical="top" wrapText="1"/>
    </xf>
    <xf numFmtId="14" fontId="6" fillId="0" borderId="2" xfId="0" applyNumberFormat="1" applyFont="1" applyBorder="1" applyAlignment="1">
      <alignment horizontal="center"/>
    </xf>
    <xf numFmtId="166" fontId="6" fillId="0" borderId="3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left" vertical="center"/>
    </xf>
    <xf numFmtId="0" fontId="2" fillId="0" borderId="12" xfId="0" applyFont="1" applyBorder="1"/>
    <xf numFmtId="0" fontId="2" fillId="0" borderId="4" xfId="0" applyFont="1" applyBorder="1"/>
    <xf numFmtId="0" fontId="5" fillId="0" borderId="0" xfId="0" applyFont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10" fontId="9" fillId="0" borderId="1" xfId="1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4" fillId="0" borderId="0" xfId="2" applyFill="1"/>
    <xf numFmtId="0" fontId="5" fillId="3" borderId="8" xfId="0" applyFont="1" applyFill="1" applyBorder="1" applyAlignment="1">
      <alignment horizontal="center"/>
    </xf>
    <xf numFmtId="0" fontId="8" fillId="0" borderId="5" xfId="4" applyFill="1" applyBorder="1" applyAlignment="1">
      <alignment horizontal="center"/>
    </xf>
    <xf numFmtId="10" fontId="8" fillId="0" borderId="2" xfId="4" applyNumberFormat="1" applyFill="1" applyBorder="1" applyAlignment="1">
      <alignment horizontal="center"/>
    </xf>
    <xf numFmtId="10" fontId="8" fillId="0" borderId="1" xfId="4" applyNumberFormat="1" applyFill="1" applyBorder="1" applyAlignment="1">
      <alignment horizontal="center"/>
    </xf>
    <xf numFmtId="165" fontId="8" fillId="0" borderId="1" xfId="4" applyNumberFormat="1" applyFill="1" applyBorder="1" applyAlignment="1">
      <alignment horizontal="center"/>
    </xf>
    <xf numFmtId="0" fontId="8" fillId="0" borderId="1" xfId="4" applyFill="1" applyBorder="1" applyAlignment="1">
      <alignment horizontal="center"/>
    </xf>
    <xf numFmtId="0" fontId="8" fillId="0" borderId="3" xfId="4" applyFill="1" applyBorder="1" applyAlignment="1">
      <alignment horizontal="center"/>
    </xf>
    <xf numFmtId="0" fontId="8" fillId="0" borderId="1" xfId="4" applyFill="1" applyBorder="1" applyAlignment="1">
      <alignment horizontal="center" vertical="center"/>
    </xf>
    <xf numFmtId="10" fontId="8" fillId="0" borderId="1" xfId="4" applyNumberFormat="1" applyFill="1" applyBorder="1" applyAlignment="1">
      <alignment horizontal="left"/>
    </xf>
    <xf numFmtId="0" fontId="8" fillId="0" borderId="0" xfId="4" applyFill="1"/>
    <xf numFmtId="10" fontId="9" fillId="0" borderId="1" xfId="1" applyNumberFormat="1" applyFont="1" applyFill="1" applyBorder="1" applyAlignment="1">
      <alignment horizontal="center"/>
    </xf>
    <xf numFmtId="0" fontId="9" fillId="0" borderId="5" xfId="4" applyFont="1" applyFill="1" applyBorder="1" applyAlignment="1">
      <alignment horizontal="center"/>
    </xf>
    <xf numFmtId="10" fontId="9" fillId="0" borderId="2" xfId="4" applyNumberFormat="1" applyFont="1" applyFill="1" applyBorder="1" applyAlignment="1">
      <alignment horizontal="center"/>
    </xf>
    <xf numFmtId="10" fontId="9" fillId="0" borderId="1" xfId="4" applyNumberFormat="1" applyFont="1" applyFill="1" applyBorder="1" applyAlignment="1">
      <alignment horizontal="center"/>
    </xf>
    <xf numFmtId="165" fontId="9" fillId="0" borderId="1" xfId="4" applyNumberFormat="1" applyFont="1" applyFill="1" applyBorder="1" applyAlignment="1">
      <alignment horizontal="center"/>
    </xf>
    <xf numFmtId="0" fontId="9" fillId="0" borderId="1" xfId="4" applyFont="1" applyFill="1" applyBorder="1" applyAlignment="1">
      <alignment horizontal="center"/>
    </xf>
    <xf numFmtId="0" fontId="4" fillId="0" borderId="5" xfId="2" applyFill="1" applyBorder="1" applyAlignment="1">
      <alignment horizontal="center"/>
    </xf>
    <xf numFmtId="10" fontId="4" fillId="0" borderId="2" xfId="2" applyNumberFormat="1" applyFill="1" applyBorder="1" applyAlignment="1">
      <alignment horizontal="center"/>
    </xf>
    <xf numFmtId="10" fontId="4" fillId="0" borderId="1" xfId="2" applyNumberFormat="1" applyFill="1" applyBorder="1" applyAlignment="1">
      <alignment horizontal="center"/>
    </xf>
    <xf numFmtId="0" fontId="4" fillId="0" borderId="1" xfId="2" applyFill="1" applyBorder="1" applyAlignment="1">
      <alignment horizontal="center"/>
    </xf>
    <xf numFmtId="0" fontId="4" fillId="0" borderId="3" xfId="2" applyFill="1" applyBorder="1" applyAlignment="1">
      <alignment horizontal="center"/>
    </xf>
    <xf numFmtId="0" fontId="4" fillId="0" borderId="1" xfId="2" applyFill="1" applyBorder="1" applyAlignment="1">
      <alignment horizontal="center" vertical="center"/>
    </xf>
    <xf numFmtId="10" fontId="4" fillId="0" borderId="1" xfId="2" applyNumberFormat="1" applyFill="1" applyBorder="1" applyAlignment="1">
      <alignment horizontal="left"/>
    </xf>
    <xf numFmtId="0" fontId="4" fillId="0" borderId="0" xfId="2" applyFill="1" applyAlignment="1">
      <alignment horizontal="center"/>
    </xf>
    <xf numFmtId="14" fontId="4" fillId="0" borderId="0" xfId="2" applyNumberFormat="1" applyFill="1"/>
    <xf numFmtId="165" fontId="9" fillId="0" borderId="1" xfId="0" applyNumberFormat="1" applyFon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9" fontId="0" fillId="0" borderId="0" xfId="1" applyFont="1"/>
    <xf numFmtId="0" fontId="9" fillId="0" borderId="0" xfId="0" applyFont="1"/>
    <xf numFmtId="0" fontId="9" fillId="0" borderId="5" xfId="2" applyFont="1" applyFill="1" applyBorder="1" applyAlignment="1">
      <alignment horizontal="center"/>
    </xf>
    <xf numFmtId="10" fontId="9" fillId="0" borderId="2" xfId="2" applyNumberFormat="1" applyFont="1" applyFill="1" applyBorder="1" applyAlignment="1">
      <alignment horizontal="center"/>
    </xf>
    <xf numFmtId="10" fontId="9" fillId="0" borderId="1" xfId="2" applyNumberFormat="1" applyFont="1" applyFill="1" applyBorder="1" applyAlignment="1">
      <alignment horizontal="center"/>
    </xf>
    <xf numFmtId="0" fontId="9" fillId="0" borderId="1" xfId="2" applyFont="1" applyFill="1" applyBorder="1" applyAlignment="1">
      <alignment horizontal="center"/>
    </xf>
    <xf numFmtId="0" fontId="9" fillId="0" borderId="3" xfId="2" applyFont="1" applyFill="1" applyBorder="1" applyAlignment="1">
      <alignment horizontal="center"/>
    </xf>
    <xf numFmtId="0" fontId="9" fillId="0" borderId="1" xfId="2" applyFont="1" applyFill="1" applyBorder="1" applyAlignment="1">
      <alignment horizontal="center" vertical="center"/>
    </xf>
    <xf numFmtId="10" fontId="9" fillId="0" borderId="1" xfId="2" applyNumberFormat="1" applyFont="1" applyFill="1" applyBorder="1" applyAlignment="1">
      <alignment horizontal="left"/>
    </xf>
    <xf numFmtId="0" fontId="9" fillId="0" borderId="0" xfId="2" applyFont="1" applyFill="1"/>
    <xf numFmtId="0" fontId="9" fillId="0" borderId="3" xfId="4" applyFont="1" applyFill="1" applyBorder="1" applyAlignment="1">
      <alignment horizontal="center"/>
    </xf>
    <xf numFmtId="0" fontId="9" fillId="0" borderId="1" xfId="4" applyFont="1" applyFill="1" applyBorder="1" applyAlignment="1">
      <alignment horizontal="center" vertical="center"/>
    </xf>
    <xf numFmtId="10" fontId="9" fillId="0" borderId="1" xfId="4" applyNumberFormat="1" applyFont="1" applyFill="1" applyBorder="1" applyAlignment="1">
      <alignment horizontal="left"/>
    </xf>
    <xf numFmtId="0" fontId="9" fillId="0" borderId="0" xfId="4" applyFont="1" applyFill="1"/>
    <xf numFmtId="10" fontId="8" fillId="0" borderId="5" xfId="4" applyNumberFormat="1" applyFill="1" applyBorder="1" applyAlignment="1">
      <alignment horizontal="left"/>
    </xf>
    <xf numFmtId="0" fontId="5" fillId="3" borderId="10" xfId="0" applyFont="1" applyFill="1" applyBorder="1" applyAlignment="1">
      <alignment horizontal="center" vertical="center" wrapText="1"/>
    </xf>
    <xf numFmtId="10" fontId="8" fillId="4" borderId="5" xfId="4" applyNumberFormat="1" applyBorder="1" applyAlignment="1">
      <alignment horizont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65" fontId="0" fillId="0" borderId="0" xfId="0" applyNumberFormat="1"/>
    <xf numFmtId="0" fontId="8" fillId="0" borderId="5" xfId="4" applyFill="1" applyBorder="1" applyAlignment="1">
      <alignment horizontal="center" vertical="center"/>
    </xf>
    <xf numFmtId="10" fontId="10" fillId="0" borderId="5" xfId="4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1" applyNumberFormat="1" applyFont="1" applyBorder="1" applyAlignment="1">
      <alignment horizontal="center"/>
    </xf>
    <xf numFmtId="10" fontId="8" fillId="4" borderId="16" xfId="4" applyNumberFormat="1" applyBorder="1" applyAlignment="1">
      <alignment horizontal="center"/>
    </xf>
    <xf numFmtId="165" fontId="8" fillId="4" borderId="5" xfId="4" applyNumberFormat="1" applyBorder="1" applyAlignment="1">
      <alignment horizontal="center"/>
    </xf>
    <xf numFmtId="10" fontId="8" fillId="4" borderId="8" xfId="4" applyNumberFormat="1" applyBorder="1" applyAlignment="1">
      <alignment horizontal="center"/>
    </xf>
    <xf numFmtId="165" fontId="8" fillId="4" borderId="8" xfId="4" applyNumberFormat="1" applyBorder="1" applyAlignment="1">
      <alignment horizontal="center"/>
    </xf>
    <xf numFmtId="167" fontId="0" fillId="0" borderId="0" xfId="0" applyNumberFormat="1"/>
    <xf numFmtId="0" fontId="8" fillId="6" borderId="17" xfId="5" applyFont="1"/>
    <xf numFmtId="0" fontId="8" fillId="6" borderId="18" xfId="5" applyFont="1" applyBorder="1"/>
    <xf numFmtId="0" fontId="9" fillId="6" borderId="1" xfId="5" applyFont="1" applyBorder="1" applyAlignment="1">
      <alignment horizontal="center"/>
    </xf>
    <xf numFmtId="10" fontId="9" fillId="6" borderId="1" xfId="5" applyNumberFormat="1" applyFont="1" applyBorder="1" applyAlignment="1">
      <alignment horizontal="center"/>
    </xf>
    <xf numFmtId="165" fontId="9" fillId="6" borderId="1" xfId="5" applyNumberFormat="1" applyFont="1" applyBorder="1" applyAlignment="1">
      <alignment horizontal="center"/>
    </xf>
    <xf numFmtId="0" fontId="9" fillId="6" borderId="1" xfId="5" applyFont="1" applyBorder="1" applyAlignment="1">
      <alignment horizontal="center" vertical="center"/>
    </xf>
    <xf numFmtId="10" fontId="9" fillId="6" borderId="1" xfId="5" applyNumberFormat="1" applyFont="1" applyBorder="1" applyAlignment="1">
      <alignment horizontal="left"/>
    </xf>
    <xf numFmtId="0" fontId="9" fillId="6" borderId="17" xfId="5" applyFont="1" applyAlignment="1">
      <alignment horizontal="center"/>
    </xf>
    <xf numFmtId="10" fontId="9" fillId="6" borderId="17" xfId="5" applyNumberFormat="1" applyFont="1" applyAlignment="1">
      <alignment horizontal="center"/>
    </xf>
    <xf numFmtId="165" fontId="9" fillId="6" borderId="17" xfId="5" applyNumberFormat="1" applyFont="1" applyAlignment="1">
      <alignment horizontal="center"/>
    </xf>
    <xf numFmtId="0" fontId="9" fillId="6" borderId="17" xfId="5" applyFont="1" applyAlignment="1">
      <alignment horizontal="center" vertical="center"/>
    </xf>
    <xf numFmtId="10" fontId="9" fillId="6" borderId="17" xfId="5" applyNumberFormat="1" applyFont="1" applyAlignment="1">
      <alignment horizontal="left"/>
    </xf>
    <xf numFmtId="0" fontId="9" fillId="6" borderId="17" xfId="5" applyFont="1"/>
    <xf numFmtId="0" fontId="9" fillId="0" borderId="15" xfId="0" applyFont="1" applyBorder="1" applyAlignment="1">
      <alignment horizontal="center"/>
    </xf>
    <xf numFmtId="0" fontId="9" fillId="0" borderId="15" xfId="4" applyFont="1" applyFill="1" applyBorder="1" applyAlignment="1">
      <alignment horizontal="center"/>
    </xf>
    <xf numFmtId="0" fontId="9" fillId="6" borderId="18" xfId="5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0" fontId="6" fillId="5" borderId="1" xfId="0" applyNumberFormat="1" applyFon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10" fontId="11" fillId="7" borderId="1" xfId="0" applyNumberFormat="1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</cellXfs>
  <cellStyles count="6">
    <cellStyle name="Currency" xfId="3" builtinId="4"/>
    <cellStyle name="Good" xfId="4" builtinId="26"/>
    <cellStyle name="Neutral" xfId="2" builtinId="28"/>
    <cellStyle name="Normal" xfId="0" builtinId="0"/>
    <cellStyle name="Note" xfId="5" builtinId="10"/>
    <cellStyle name="Per cent" xfId="1" builtinId="5"/>
  </cellStyles>
  <dxfs count="149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\$#,##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m/d/yyyy"/>
      <fill>
        <patternFill patternType="none">
          <fgColor indexed="64"/>
          <bgColor auto="1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6" formatCode="\$#,##0.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m/d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/>
              <a:t>Recommended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'Optimization Summary'!$B$5:$B$9</c:f>
              <c:strCache>
                <c:ptCount val="5"/>
                <c:pt idx="0">
                  <c:v>SPY</c:v>
                </c:pt>
                <c:pt idx="1">
                  <c:v>AGG</c:v>
                </c:pt>
                <c:pt idx="2">
                  <c:v>GLD</c:v>
                </c:pt>
                <c:pt idx="3">
                  <c:v>VNQ</c:v>
                </c:pt>
                <c:pt idx="4">
                  <c:v>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76-4A4C-91B5-D5422E89A62D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76-4A4C-91B5-D5422E89A62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76-4A4C-91B5-D5422E89A62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76-4A4C-91B5-D5422E89A62D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576-4A4C-91B5-D5422E89A62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'Optimization Summary'!$B$5:$B$9</c:f>
              <c:strCache>
                <c:ptCount val="5"/>
                <c:pt idx="0">
                  <c:v>SPY</c:v>
                </c:pt>
                <c:pt idx="1">
                  <c:v>AGG</c:v>
                </c:pt>
                <c:pt idx="2">
                  <c:v>GLD</c:v>
                </c:pt>
                <c:pt idx="3">
                  <c:v>VNQ</c:v>
                </c:pt>
                <c:pt idx="4">
                  <c:v>PE</c:v>
                </c:pt>
              </c:strCache>
            </c:strRef>
          </c:cat>
          <c:val>
            <c:numRef>
              <c:f>'Optimization Summary'!$C$5:$C$9</c:f>
              <c:numCache>
                <c:formatCode>0.00%</c:formatCode>
                <c:ptCount val="5"/>
                <c:pt idx="0">
                  <c:v>0.35</c:v>
                </c:pt>
                <c:pt idx="1">
                  <c:v>0.15</c:v>
                </c:pt>
                <c:pt idx="2">
                  <c:v>0.2</c:v>
                </c:pt>
                <c:pt idx="3">
                  <c:v>0.1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76-4A4C-91B5-D5422E89A62D}"/>
            </c:ext>
          </c:extLst>
        </c:ser>
        <c:ser>
          <c:idx val="2"/>
          <c:order val="1"/>
          <c:tx>
            <c:v>Liquid Assets</c:v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8576-4A4C-91B5-D5422E89A62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8576-4A4C-91B5-D5422E89A62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'Optimization Summary'!$B$5:$B$9</c:f>
              <c:strCache>
                <c:ptCount val="5"/>
                <c:pt idx="0">
                  <c:v>SPY</c:v>
                </c:pt>
                <c:pt idx="1">
                  <c:v>AGG</c:v>
                </c:pt>
                <c:pt idx="2">
                  <c:v>GLD</c:v>
                </c:pt>
                <c:pt idx="3">
                  <c:v>VNQ</c:v>
                </c:pt>
                <c:pt idx="4">
                  <c:v>PE</c:v>
                </c:pt>
              </c:strCache>
            </c:strRef>
          </c:cat>
          <c:val>
            <c:numRef>
              <c:f>('Optimization Summary'!$M$37,'Optimization Summary'!$B$47)</c:f>
              <c:numCache>
                <c:formatCode>0.0%</c:formatCode>
                <c:ptCount val="2"/>
                <c:pt idx="0" formatCode="0.00%">
                  <c:v>0.79999999999999993</c:v>
                </c:pt>
                <c:pt idx="1">
                  <c:v>0.20000000000000007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576-4A4C-91B5-D5422E89A6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44</xdr:row>
      <xdr:rowOff>158750</xdr:rowOff>
    </xdr:from>
    <xdr:to>
      <xdr:col>7</xdr:col>
      <xdr:colOff>190500</xdr:colOff>
      <xdr:row>76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E16AF-FC7F-42B9-A6AF-7FEC9EA94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0.67722</cdr:x>
      <cdr:y>0.71663</cdr:y>
    </cdr:from>
    <cdr:to>
      <cdr:x>0.79012</cdr:x>
      <cdr:y>0.77899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90C8C3-35CC-4255-759B-CD286093636C}"/>
            </a:ext>
          </a:extLst>
        </cdr:cNvPr>
        <cdr:cNvSpPr txBox="1"/>
      </cdr:nvSpPr>
      <cdr:spPr>
        <a:xfrm xmlns:a="http://schemas.openxmlformats.org/drawingml/2006/main">
          <a:off x="4532588" y="4159264"/>
          <a:ext cx="755629" cy="361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800" kern="1200"/>
            <a:t>LIQUID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81794-B4A9-4A61-A3C4-913D4C29AE22}" name="AssetSpecsScenario1" displayName="AssetSpecsScenario1" ref="B4:F9" totalsRowShown="0" headerRowDxfId="1478" dataDxfId="1476" headerRowBorderDxfId="1477" tableBorderDxfId="1475" totalsRowBorderDxfId="1474">
  <autoFilter ref="B4:F9" xr:uid="{1C981794-B4A9-4A61-A3C4-913D4C29AE22}"/>
  <tableColumns count="5">
    <tableColumn id="1" xr3:uid="{1BA29A0B-11BB-4F7D-8396-AD26E2D88FF5}" name="Asset" dataDxfId="1473"/>
    <tableColumn id="2" xr3:uid="{722E3C41-5056-4C29-8E96-6823B884D179}" name="Annualized Return" dataDxfId="1472"/>
    <tableColumn id="3" xr3:uid="{E93A4953-A439-4552-B96C-3A449AEEC0CA}" name="36M Annualized Volatility" dataDxfId="1471"/>
    <tableColumn id="4" xr3:uid="{7907E855-E78C-4591-9805-5E2A98A6F7D6}" name="Max DD" dataDxfId="1470"/>
    <tableColumn id="5" xr3:uid="{8C909283-BC4B-4367-96BE-0AD5FA35DA0F}" name="Capital Efficiency Ratio" dataDxfId="1469">
      <calculatedColumnFormula>IFERROR(C5/D5,"")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F0D0CE-3302-4ABF-B60F-250EB9FE7C92}" name="AssetSpecsScenario2" displayName="AssetSpecsScenario2" ref="B12:F17" totalsRowShown="0" headerRowDxfId="1468" dataDxfId="1466" headerRowBorderDxfId="1467" tableBorderDxfId="1465" totalsRowBorderDxfId="1464">
  <autoFilter ref="B12:F17" xr:uid="{2CF0D0CE-3302-4ABF-B60F-250EB9FE7C92}"/>
  <tableColumns count="5">
    <tableColumn id="1" xr3:uid="{1770334A-6257-47B8-9AFF-A0704F6E2131}" name="Asset" dataDxfId="1463"/>
    <tableColumn id="2" xr3:uid="{FF2B4956-F861-42EE-ACFB-D23DD3A16A6B}" name="Annualized Return" dataDxfId="1462">
      <calculatedColumnFormula array="1">IF(ROWS(#REF!)&lt;= COUNTIF(AssetSpecsScenario1[Asset],"&lt;&gt;PE"),INDEX(AssetSpecsScenario1[Annualized Return],_xlfn.AGGREGATE(15,6,(ROW(AssetSpecsScenario1[Asset])-MIN(ROW(AssetSpecsScenario1[Asset]))+1)/(AssetSpecsScenario1[Asset]&lt;&gt;"PE"),ROWS(#REF!))),
    PE_Return)</calculatedColumnFormula>
    </tableColumn>
    <tableColumn id="3" xr3:uid="{FF92BA2F-BDDD-4771-A76F-0146C0A1D075}" name="36M Annualized Volatility" dataDxfId="1461"/>
    <tableColumn id="4" xr3:uid="{BAFD1F75-F795-40A7-9DA3-C86F162752AA}" name="Max DD" dataDxfId="1460"/>
    <tableColumn id="5" xr3:uid="{1E07C3B8-29E5-4F27-93A4-B0C3F7A5CAF9}" name="Capital Efficiency Ratio" dataDxfId="145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A103427-DCCA-48F0-92F5-D18629018013}" name="AssetSpecsScenario3" displayName="AssetSpecsScenario3" ref="B20:F25" totalsRowShown="0" headerRowDxfId="1458" dataDxfId="1456" headerRowBorderDxfId="1457" tableBorderDxfId="1455" totalsRowBorderDxfId="1454">
  <autoFilter ref="B20:F25" xr:uid="{3A103427-DCCA-48F0-92F5-D18629018013}"/>
  <tableColumns count="5">
    <tableColumn id="1" xr3:uid="{7D781091-A450-43AF-91BE-5DB1C689684C}" name="Asset" dataDxfId="1453"/>
    <tableColumn id="2" xr3:uid="{17B23411-C023-417D-9EC3-D2B98468B694}" name="Annualized Return" dataDxfId="1452"/>
    <tableColumn id="3" xr3:uid="{C7EA2BBB-9975-4813-9446-73C668982481}" name="36M Annualized Volatility" dataDxfId="1451"/>
    <tableColumn id="4" xr3:uid="{A0EA84BE-55D0-4789-9ECD-8758573535BF}" name="Max DD" dataDxfId="1450"/>
    <tableColumn id="5" xr3:uid="{361EDA69-D5E6-4C07-A886-53DAF23A23A7}" name="Capital Efficiency Ratio" dataDxfId="1449">
      <calculatedColumnFormula>IFERROR(C21/D21,"")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6FF184-FFFA-4A96-AF43-9A94DC766AC4}" name="SPY_Table" displayName="SPY_Table" ref="B3:G120" totalsRowShown="0" headerRowDxfId="1448" headerRowBorderDxfId="1447" tableBorderDxfId="1446" totalsRowBorderDxfId="1445">
  <autoFilter ref="B3:G120" xr:uid="{116FF184-FFFA-4A96-AF43-9A94DC766AC4}"/>
  <tableColumns count="6">
    <tableColumn id="1" xr3:uid="{D877502B-ED27-4E8B-B007-D220335CB332}" name="Date" dataDxfId="1444"/>
    <tableColumn id="2" xr3:uid="{9B55F0F6-22BA-4365-9A47-CF2E94212229}" name="Price/NAV" dataDxfId="1443"/>
    <tableColumn id="3" xr3:uid="{E0652DC5-9737-4F8C-9727-EDAA57F4C964}" name="Monthly Return" dataDxfId="1442">
      <calculatedColumnFormula>C4/C3-1</calculatedColumnFormula>
    </tableColumn>
    <tableColumn id="4" xr3:uid="{73399F5B-7540-4B9F-920D-99841E35F64C}" name="Growth" dataDxfId="1441">
      <calculatedColumnFormula>E3*(1+D4)</calculatedColumnFormula>
    </tableColumn>
    <tableColumn id="5" xr3:uid="{F868F3C0-59B9-448D-BB98-45F43CB5EAE9}" name="High Water Mark" dataDxfId="1440">
      <calculatedColumnFormula>MAX(F3,E4)</calculatedColumnFormula>
    </tableColumn>
    <tableColumn id="6" xr3:uid="{F2EF424D-F9BE-4F18-86F9-65E4F5F9B146}" name="Drawdown" dataDxfId="1439">
      <calculatedColumnFormula>E4/F4-1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6B2363-00DD-4583-A70F-46B2C59908E8}" name="AGG_Table" displayName="AGG_Table" ref="B3:G120" totalsRowShown="0" headerRowDxfId="1438" headerRowBorderDxfId="1437" tableBorderDxfId="1436" totalsRowBorderDxfId="1435">
  <autoFilter ref="B3:G120" xr:uid="{096B2363-00DD-4583-A70F-46B2C59908E8}"/>
  <tableColumns count="6">
    <tableColumn id="1" xr3:uid="{A87E27D2-119A-4A9B-B1C4-D4B93A533A05}" name="Date" dataDxfId="1434"/>
    <tableColumn id="2" xr3:uid="{A6BD1CC9-4AC5-4121-B094-3C65A3405618}" name="Price/NAV" dataDxfId="1433"/>
    <tableColumn id="3" xr3:uid="{63F7297B-52CD-41E9-A9F3-6AA7FE90B838}" name="Monthly Return" dataDxfId="1432"/>
    <tableColumn id="4" xr3:uid="{92E05E73-0D8C-4071-8619-4E1E3E90F2BC}" name="Growth" dataDxfId="1431"/>
    <tableColumn id="5" xr3:uid="{DFAEE694-AFDB-4553-8884-AD7FC91B6A7E}" name="High Water Mark" dataDxfId="1430"/>
    <tableColumn id="6" xr3:uid="{19D33BEE-5D8F-4462-9D40-C998ABF78F1D}" name="Drawdown" dataDxfId="142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743702-20B2-4583-A152-E5F19D788D44}" name="GLD_Table" displayName="GLD_Table" ref="B3:G120" totalsRowShown="0" headerRowDxfId="1428" headerRowBorderDxfId="1427" tableBorderDxfId="1426" totalsRowBorderDxfId="1425">
  <autoFilter ref="B3:G120" xr:uid="{AB743702-20B2-4583-A152-E5F19D788D44}"/>
  <tableColumns count="6">
    <tableColumn id="1" xr3:uid="{CE81A471-8BBE-4289-8BAB-817F1E968DAC}" name="Date" dataDxfId="1424"/>
    <tableColumn id="2" xr3:uid="{F54A9BF5-4FD4-4E80-8C7D-53F5772C8122}" name="Price/NAV" dataDxfId="1423"/>
    <tableColumn id="3" xr3:uid="{3469D7C5-0A14-41A3-B9B8-EFBA2F23C965}" name="Monthly Return" dataDxfId="1422"/>
    <tableColumn id="4" xr3:uid="{464F5416-81BD-418E-B42E-7A832D35DB37}" name="Growth" dataDxfId="1421"/>
    <tableColumn id="5" xr3:uid="{29BCDCEF-7495-40C1-BA2C-568662BEA424}" name="High Water Mark" dataDxfId="1420"/>
    <tableColumn id="6" xr3:uid="{B6F4507F-3D7C-4174-93FF-C3A4B0A6602D}" name="Drawdown" dataDxfId="141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D6B1443-DFDC-4E5D-97BD-F194039D0313}" name="VNQ_Table" displayName="VNQ_Table" ref="B3:G120" totalsRowShown="0" headerRowDxfId="1418" headerRowBorderDxfId="1417" tableBorderDxfId="1416" totalsRowBorderDxfId="1415">
  <autoFilter ref="B3:G120" xr:uid="{8D6B1443-DFDC-4E5D-97BD-F194039D0313}"/>
  <tableColumns count="6">
    <tableColumn id="1" xr3:uid="{2AB82AFE-B11C-4BB9-A1A9-308E005663CA}" name="Date" dataDxfId="1414"/>
    <tableColumn id="2" xr3:uid="{F395C0E1-E529-4E20-9645-D940553CF18E}" name="Price/NAV" dataDxfId="1413"/>
    <tableColumn id="3" xr3:uid="{DA7205E8-5D7F-429C-8C3F-2BAFEEC8E75A}" name="Monthly Return" dataDxfId="1412"/>
    <tableColumn id="4" xr3:uid="{681A3FB0-2C4B-489E-B651-5FCE1FF4F923}" name="Growth" dataDxfId="1411"/>
    <tableColumn id="5" xr3:uid="{49F9522B-89AB-4B68-83E8-DCEC02DA6528}" name="High Water Mark" dataDxfId="1410"/>
    <tableColumn id="6" xr3:uid="{3AE4923E-68AC-407C-BA28-237E9E800DB9}" name="Drawdown" dataDxfId="140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27684A-510C-47A3-9FEC-56B87CB334BD}" name="PE_Table" displayName="PE_Table" ref="B3:G123" totalsRowShown="0" headerRowDxfId="1408" headerRowBorderDxfId="1407" tableBorderDxfId="1406" totalsRowBorderDxfId="1405">
  <autoFilter ref="B3:G123" xr:uid="{2E27684A-510C-47A3-9FEC-56B87CB334BD}"/>
  <tableColumns count="6">
    <tableColumn id="1" xr3:uid="{0FBFA210-B2CF-49B0-9FF0-3F6A08FA9DF6}" name="Date" dataDxfId="1404"/>
    <tableColumn id="2" xr3:uid="{E7FF88CD-3F7F-46C0-B15C-6C5BB3E7A075}" name="Price/NAV" dataDxfId="1403"/>
    <tableColumn id="3" xr3:uid="{E11E4ADD-B09D-4D65-91CE-59B9C6C8A337}" name="Monthly Return" dataDxfId="1402">
      <calculatedColumnFormula>C4/C3-1</calculatedColumnFormula>
    </tableColumn>
    <tableColumn id="4" xr3:uid="{D5153DA8-F289-475D-957C-07D346A70800}" name="Growth" dataDxfId="1401">
      <calculatedColumnFormula>E3*(1+D4)</calculatedColumnFormula>
    </tableColumn>
    <tableColumn id="5" xr3:uid="{C37D7469-1B59-455C-9090-A50A46FE8419}" name="High Water Mark" dataDxfId="1400">
      <calculatedColumnFormula>MAX(F3,E4)</calculatedColumnFormula>
    </tableColumn>
    <tableColumn id="6" xr3:uid="{4D4DBB7E-D953-4D70-891A-16062B94999E}" name="Drawdown" dataDxfId="1399">
      <calculatedColumnFormula>E4/F4-1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C2E7660-9773-4B1C-8BED-2B366C6A09AD}" name="PE_CF" displayName="PE_CF" ref="I3:J13" totalsRowShown="0" headerRowDxfId="1398" dataDxfId="1396" headerRowBorderDxfId="1397" tableBorderDxfId="1395" totalsRowBorderDxfId="1394">
  <autoFilter ref="I3:J13" xr:uid="{3C2E7660-9773-4B1C-8BED-2B366C6A09AD}"/>
  <tableColumns count="2">
    <tableColumn id="1" xr3:uid="{5A94D8DB-5B51-416A-8C3E-0AFDEE88AECC}" name="Date" dataDxfId="1393"/>
    <tableColumn id="2" xr3:uid="{4FA213E8-1351-406E-864E-ABF4CE04C2A0}" name="CF (USD $ Million)" dataDxfId="1392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DFDA58-AB6B-4F20-8600-49943BE7310C}" name="TB3MS_Table" displayName="TB3MS_Table" ref="B3:C124" totalsRowShown="0" headerRowDxfId="1391" dataDxfId="1389" headerRowBorderDxfId="1390" tableBorderDxfId="1388" totalsRowBorderDxfId="1387">
  <autoFilter ref="B3:C124" xr:uid="{F0DFDA58-AB6B-4F20-8600-49943BE7310C}"/>
  <tableColumns count="2">
    <tableColumn id="1" xr3:uid="{B2E2C686-8F1D-468C-BF66-C86BAE621EA7}" name="Date" dataDxfId="1386"/>
    <tableColumn id="2" xr3:uid="{B9192B6A-AD38-429E-8487-E38F6A369CC4}" name="Yield" dataDxfId="138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DB7926-3C43-453D-A6D9-41E35891A267}" name="AssetMonthlyReturns" displayName="AssetMonthlyReturns" ref="B3:H119" totalsRowShown="0" headerRowDxfId="1489" headerRowBorderDxfId="1488" tableBorderDxfId="1487" totalsRowBorderDxfId="1486">
  <autoFilter ref="B3:H119" xr:uid="{5CDB7926-3C43-453D-A6D9-41E35891A267}"/>
  <tableColumns count="7">
    <tableColumn id="1" xr3:uid="{C243A9B9-92D1-429B-A870-8F9A5356ADBD}" name="Date" dataDxfId="1485">
      <calculatedColumnFormula array="1">IF(EDATE(StartDate,ROW(AssetMonthlyReturns[#This Row])-ROW(AssetMonthlyReturns[#Headers])-1)&lt;=EndDate,EDATE(StartDate,ROW(AssetMonthlyReturns[#This Row])-ROW(AssetMonthlyReturns[#Headers])),"")</calculatedColumnFormula>
    </tableColumn>
    <tableColumn id="2" xr3:uid="{91964AF0-AFF1-457A-A510-3E8497AE7BCB}" name="SPY" dataDxfId="1484">
      <calculatedColumnFormula>_xlfn.XLOOKUP(AssetMonthlyReturns[[#This Row],[Date]],SPY_Table[Date],SPY_Table[Monthly Return])</calculatedColumnFormula>
    </tableColumn>
    <tableColumn id="3" xr3:uid="{111481A5-3F36-4DE5-AD72-4505E8E2D40A}" name="AGG" dataDxfId="1483">
      <calculatedColumnFormula>_xlfn.XLOOKUP(AssetMonthlyReturns[[#This Row],[Date]],AGG_Table[Date],AGG_Table[Monthly Return])</calculatedColumnFormula>
    </tableColumn>
    <tableColumn id="4" xr3:uid="{78E67A08-AECE-4771-84E4-D4ABA3399A28}" name="GLD" dataDxfId="1482">
      <calculatedColumnFormula>_xlfn.XLOOKUP(AssetMonthlyReturns[[#This Row],[Date]],GLD_Table[Date],GLD_Table[Monthly Return])</calculatedColumnFormula>
    </tableColumn>
    <tableColumn id="5" xr3:uid="{891E3F7B-2065-4544-8297-AE1949E97A93}" name="VNQ" dataDxfId="1481">
      <calculatedColumnFormula>_xlfn.XLOOKUP(AssetMonthlyReturns[[#This Row],[Date]],VNQ_Table[Date],VNQ_Table[Monthly Return])</calculatedColumnFormula>
    </tableColumn>
    <tableColumn id="6" xr3:uid="{889BAA8E-09D3-4ABF-B4E4-84FF07211FEB}" name="PE" dataDxfId="1480">
      <calculatedColumnFormula>_xlfn.XLOOKUP(AssetMonthlyReturns[[#This Row],[Date]],PE_Table[Date],PE_Table[Monthly Return])</calculatedColumnFormula>
    </tableColumn>
    <tableColumn id="7" xr3:uid="{E4C6114C-0E40-4E46-99DD-79F9E2F07A7F}" name="Portfolio Return" dataDxfId="1479">
      <calculatedColumnFormula>SUMPRODUCT(_xlfn.TOROW(OptimizePortfolio[Weight]),AssetMonthlyReturns[[#This Row],[SPY]:[PE]])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4AE79E-9CD8-4488-A592-65CD4D7A42DF}" name="AssetMonthlyReturns36M" displayName="AssetMonthlyReturns36M" ref="B3:G39" totalsRowShown="0" headerRowDxfId="1384" dataDxfId="1382" headerRowBorderDxfId="1383" tableBorderDxfId="1381" totalsRowBorderDxfId="1380">
  <autoFilter ref="B3:G39" xr:uid="{C04AE79E-9CD8-4488-A592-65CD4D7A42DF}"/>
  <tableColumns count="6">
    <tableColumn id="1" xr3:uid="{3FB27A1E-90EE-49EE-BD45-BC6964FC19AA}" name="Date" dataDxfId="1379">
      <calculatedColumnFormula array="1">IF(EDATE(StartDate36M,ROW(AssetMonthlyReturns[#This Row])-ROW(AssetMonthlyReturns[#Headers])-1)&lt;=EndDate36M,EDATE(StartDate36M,ROW(AssetMonthlyReturns[#This Row])-ROW(AssetMonthlyReturns[#Headers])-1),"")</calculatedColumnFormula>
    </tableColumn>
    <tableColumn id="2" xr3:uid="{93AA2DB2-5F0B-46B8-9158-C3D5995720BC}" name="SPY" dataDxfId="1378">
      <calculatedColumnFormula>_xlfn.XLOOKUP(AssetMonthlyReturns36M[[#This Row],[Date]],SPY_Table[Date],SPY_Table[Monthly Return])</calculatedColumnFormula>
    </tableColumn>
    <tableColumn id="3" xr3:uid="{8FE4113D-0865-47E2-B335-F3C75B8C2364}" name="AGG" dataDxfId="1377">
      <calculatedColumnFormula>_xlfn.XLOOKUP(AssetMonthlyReturns36M[[#This Row],[Date]],AGG_Table[Date],AGG_Table[Monthly Return])</calculatedColumnFormula>
    </tableColumn>
    <tableColumn id="4" xr3:uid="{0341E68A-D3C8-4382-9EED-37A4B2CF14FA}" name="GLD" dataDxfId="1376">
      <calculatedColumnFormula>_xlfn.XLOOKUP(AssetMonthlyReturns36M[[#This Row],[Date]],GLD_Table[Date],GLD_Table[Monthly Return])</calculatedColumnFormula>
    </tableColumn>
    <tableColumn id="5" xr3:uid="{A0B2E3D9-C01D-459A-8E7C-7621A124DA80}" name="VNQ" dataDxfId="1375">
      <calculatedColumnFormula>_xlfn.XLOOKUP(AssetMonthlyReturns36M[[#This Row],[Date]],VNQ_Table[Date],VNQ_Table[Monthly Return])</calculatedColumnFormula>
    </tableColumn>
    <tableColumn id="6" xr3:uid="{9DBC922B-207A-4DC7-9D27-18C2ECD65672}" name="PE" dataDxfId="1374">
      <calculatedColumnFormula>_xlfn.XLOOKUP(AssetMonthlyReturns36M[[#This Row],[Date]],PE_Table[Date],PE_Table[Monthly Return])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2270336-B962-4439-A054-CB3798407AAB}" name="PortfolioFrontier" displayName="PortfolioFrontier" ref="B3:UT119" dataDxfId="1372" headerRowBorderDxfId="1373" tableBorderDxfId="1371" totalsRowBorderDxfId="1370">
  <autoFilter ref="B3:UT119" xr:uid="{42270336-B962-4439-A054-CB3798407AAB}"/>
  <tableColumns count="565">
    <tableColumn id="566" xr3:uid="{0E2888D9-5B05-4DB9-AF8F-5A43B53023B5}" name="Date" dataDxfId="1369">
      <calculatedColumnFormula>AssetMonthlyReturns[[#This Row],[Date]]</calculatedColumnFormula>
    </tableColumn>
    <tableColumn id="1" xr3:uid="{8F62867E-7D37-463E-819F-EBDF3524D0D0}" name="P1 Return" totalsRowFunction="custom" dataDxfId="1368">
      <calculatedColumnFormula>SUMPRODUCT(INDEX(PortfolioRef[[SPY]:[PE]],MATCH(C$1,PortfolioRef[Reference '#]),0),AssetMonthlyReturns[[#This Row],[SPY]:[PE]])</calculatedColumnFormula>
      <totalsRowFormula>SUMPRODUCT(INDEX(Scenarios1[[SPY]:[PE]],C$1,0),AssetMonthlyReturns[[#This Row],[SPY]:[PE]])</totalsRowFormula>
    </tableColumn>
    <tableColumn id="2" xr3:uid="{DD605397-DE8D-4AC0-9887-FD6EEC3A0D84}" name="P1 Growth" totalsRowFunction="custom" dataDxfId="1367">
      <calculatedColumnFormula>IF(ISNUMBER(D3),D3*(1+PortfolioFrontier[[#This Row],[P1 Return]]),1+PortfolioFrontier[[#This Row],[P1 Return]])</calculatedColumnFormula>
      <totalsRowFormula array="1">IF(ROW(PortfolioFrontier[#This Row])=MIN(ROW(PortfolioFrontier[P1 Growth])),1+PortfolioFrontier[[#This Row],[P1 Return]],INDEX(PortfolioFrontier[P1 Growth],ROW(PortfolioFrontier[#This Row])-ROW(PortfolioFrontier[#Headers])-1)*(1+PortfolioFrontier[[#This Row],[P1 Return]]))</totalsRowFormula>
    </tableColumn>
    <tableColumn id="3" xr3:uid="{321E8F17-DED9-4AF8-865E-4D065A13E5C5}" name="P1 HWM" totalsRowFunction="custom" dataDxfId="1366">
      <calculatedColumnFormula>MAX(E3,PortfolioFrontier[[#This Row],[P1 Growth]])</calculatedColumnFormula>
      <totalsRowFormula array="1">IF(ROW(PortfolioFrontier[#This Row])=MIN(ROW(PortfolioFrontier[P1 HWM])),PortfolioFrontier[[#This Row],[P1 Growth]],MAX(INDEX(PortfolioFrontier[P1 HWM],ROW(PortfolioFrontier[#This Row])-ROW(PortfolioFrontier[#Headers])-1),PortfolioFrontier[[#This Row],[P1 Growth]]))</totalsRowFormula>
    </tableColumn>
    <tableColumn id="4" xr3:uid="{13D334E6-2CA6-4CE0-B4CD-0B548B44503A}" name="P1 DD" totalsRowFunction="custom" dataDxfId="1365">
      <calculatedColumnFormula>PortfolioFrontier[[#This Row],[P1 Growth]]/PortfolioFrontier[[#This Row],[P1 HWM]]-1</calculatedColumnFormula>
      <totalsRowFormula>PortfolioFrontier[[#This Row],[P1 Growth]]/PortfolioFrontier[[#This Row],[P1 HWM]]-1</totalsRowFormula>
    </tableColumn>
    <tableColumn id="5" xr3:uid="{60A65358-C9CD-4C4B-B36E-AEF28A2294E2}" name="P2 Return" dataDxfId="1364" totalsRowDxfId="1363">
      <calculatedColumnFormula>SUMPRODUCT(INDEX(PortfolioRef[[SPY]:[PE]],MATCH(G$1,PortfolioRef[Reference '#]),0),AssetMonthlyReturns[[#This Row],[SPY]:[PE]])</calculatedColumnFormula>
    </tableColumn>
    <tableColumn id="6" xr3:uid="{B85465DD-E93B-4DC4-8914-D0EA8D053EB7}" name="P2 Growth" dataDxfId="1362" totalsRowDxfId="1361">
      <calculatedColumnFormula>IF(ISNUMBER(H3),H3*(1+PortfolioFrontier[[#This Row],[P2 Return]]),1+PortfolioFrontier[[#This Row],[P2 Return]])</calculatedColumnFormula>
    </tableColumn>
    <tableColumn id="7" xr3:uid="{2F0430AD-A535-4DDB-8AE5-D1FFD2188882}" name="P2 HWM" dataDxfId="1360" totalsRowDxfId="1359">
      <calculatedColumnFormula>MAX(I3,PortfolioFrontier[[#This Row],[P2 Growth]])</calculatedColumnFormula>
    </tableColumn>
    <tableColumn id="8" xr3:uid="{B1DEE2FB-FFDF-4B4D-904C-DABCDF11543C}" name="P2 DD" dataDxfId="1358" totalsRowDxfId="1357">
      <calculatedColumnFormula>PortfolioFrontier[[#This Row],[P2 Growth]]/PortfolioFrontier[[#This Row],[P2 HWM]]-1</calculatedColumnFormula>
    </tableColumn>
    <tableColumn id="9" xr3:uid="{98B03908-BFF5-4D70-8FAC-CFD76B928420}" name="P3 Return" dataDxfId="1356" totalsRowDxfId="1355">
      <calculatedColumnFormula>SUMPRODUCT(INDEX(PortfolioRef[[SPY]:[PE]],MATCH(K$1,PortfolioRef[Reference '#]),0),AssetMonthlyReturns[[#This Row],[SPY]:[PE]])</calculatedColumnFormula>
    </tableColumn>
    <tableColumn id="10" xr3:uid="{9E5FF39A-17D3-418F-B3E9-9C1FC7CC7090}" name="P3 Growth" dataDxfId="1354" totalsRowDxfId="1353">
      <calculatedColumnFormula>IF(ISNUMBER(L3),L3*(1+PortfolioFrontier[[#This Row],[P3 Return]]),1+PortfolioFrontier[[#This Row],[P3 Return]])</calculatedColumnFormula>
    </tableColumn>
    <tableColumn id="11" xr3:uid="{2D844E12-1DAF-4CC3-A81F-43B0633356CD}" name="P3 HWM" dataDxfId="1352" totalsRowDxfId="1351">
      <calculatedColumnFormula>MAX(M3,PortfolioFrontier[[#This Row],[P3 Growth]])</calculatedColumnFormula>
    </tableColumn>
    <tableColumn id="12" xr3:uid="{F4B13944-B678-43EB-89C7-03B432E73617}" name="P3 DD" dataDxfId="1350" totalsRowDxfId="1349">
      <calculatedColumnFormula>PortfolioFrontier[[#This Row],[P3 Growth]]/PortfolioFrontier[[#This Row],[P3 HWM]]-1</calculatedColumnFormula>
    </tableColumn>
    <tableColumn id="13" xr3:uid="{9858CA6E-7020-4975-B281-3D6898D79042}" name="P4 Return" dataDxfId="1348" totalsRowDxfId="1347">
      <calculatedColumnFormula>SUMPRODUCT(INDEX(PortfolioRef[[SPY]:[PE]],MATCH(O$1,PortfolioRef[Reference '#]),0),AssetMonthlyReturns[[#This Row],[SPY]:[PE]])</calculatedColumnFormula>
    </tableColumn>
    <tableColumn id="14" xr3:uid="{DB2829E8-998A-4CB2-BA87-CB97667E15B1}" name="P4 Growth" dataDxfId="1346" totalsRowDxfId="1345">
      <calculatedColumnFormula>IF(ISNUMBER(P3),P3*(1+PortfolioFrontier[[#This Row],[P4 Return]]),1+PortfolioFrontier[[#This Row],[P4 Return]])</calculatedColumnFormula>
    </tableColumn>
    <tableColumn id="15" xr3:uid="{7A4662E2-2A93-425C-9531-F56F7A8688D3}" name="P4 HWM" dataDxfId="1344" totalsRowDxfId="1343">
      <calculatedColumnFormula>MAX(Q3,PortfolioFrontier[[#This Row],[P4 Growth]])</calculatedColumnFormula>
    </tableColumn>
    <tableColumn id="16" xr3:uid="{DE32B77F-2F1B-4427-8F3A-6C371A8D8A7C}" name="P4 DD" dataDxfId="1342" totalsRowDxfId="1341">
      <calculatedColumnFormula>PortfolioFrontier[[#This Row],[P4 Growth]]/PortfolioFrontier[[#This Row],[P4 HWM]]-1</calculatedColumnFormula>
    </tableColumn>
    <tableColumn id="17" xr3:uid="{18FDC2F3-FC14-4542-A93A-01EE0EB130DC}" name="P5 Return" dataDxfId="1340" totalsRowDxfId="1339">
      <calculatedColumnFormula>SUMPRODUCT(INDEX(PortfolioRef[[SPY]:[PE]],MATCH(S$1,PortfolioRef[Reference '#]),0),AssetMonthlyReturns[[#This Row],[SPY]:[PE]])</calculatedColumnFormula>
    </tableColumn>
    <tableColumn id="18" xr3:uid="{06A3676D-94C9-4407-AE26-71BD345A6495}" name="P5 Growth" dataDxfId="1338" totalsRowDxfId="1337">
      <calculatedColumnFormula>IF(ISNUMBER(T3),T3*(1+PortfolioFrontier[[#This Row],[P5 Return]]),1+PortfolioFrontier[[#This Row],[P5 Return]])</calculatedColumnFormula>
    </tableColumn>
    <tableColumn id="19" xr3:uid="{8D9FA42E-1D74-445F-A933-0303829D2AA8}" name="P5 HWM" dataDxfId="1336" totalsRowDxfId="1335">
      <calculatedColumnFormula>MAX(U3,PortfolioFrontier[[#This Row],[P5 Growth]])</calculatedColumnFormula>
    </tableColumn>
    <tableColumn id="20" xr3:uid="{C35ACC4F-0F06-4A52-9A0E-1DF0BB76145A}" name="P5 DD" dataDxfId="1334" totalsRowDxfId="1333">
      <calculatedColumnFormula>PortfolioFrontier[[#This Row],[P5 Growth]]/PortfolioFrontier[[#This Row],[P5 HWM]]-1</calculatedColumnFormula>
    </tableColumn>
    <tableColumn id="21" xr3:uid="{F4E28333-8582-4953-9F1D-0AD5D6312760}" name="P6 Return" dataDxfId="1332" totalsRowDxfId="1331">
      <calculatedColumnFormula>SUMPRODUCT(INDEX(PortfolioRef[[SPY]:[PE]],MATCH(W$1,PortfolioRef[Reference '#]),0),AssetMonthlyReturns[[#This Row],[SPY]:[PE]])</calculatedColumnFormula>
    </tableColumn>
    <tableColumn id="22" xr3:uid="{3DF68915-2F13-4166-AD24-54B739544192}" name="P6 Growth" dataDxfId="1330" totalsRowDxfId="1329">
      <calculatedColumnFormula>IF(ISNUMBER(X3),X3*(1+PortfolioFrontier[[#This Row],[P6 Return]]),1+PortfolioFrontier[[#This Row],[P6 Return]])</calculatedColumnFormula>
    </tableColumn>
    <tableColumn id="23" xr3:uid="{121CDC0C-F4EC-4305-8F4F-3F8636125B47}" name="P6 HWM" dataDxfId="1328" totalsRowDxfId="1327">
      <calculatedColumnFormula>MAX(Y3,PortfolioFrontier[[#This Row],[P6 Growth]])</calculatedColumnFormula>
    </tableColumn>
    <tableColumn id="24" xr3:uid="{A34F2FCB-36C2-4C27-B4AF-5DF543FEA226}" name="P6 DD" dataDxfId="1326" totalsRowDxfId="1325">
      <calculatedColumnFormula>PortfolioFrontier[[#This Row],[P6 Growth]]/PortfolioFrontier[[#This Row],[P6 HWM]]-1</calculatedColumnFormula>
    </tableColumn>
    <tableColumn id="25" xr3:uid="{65945EFA-C16A-4270-BCB2-0A3EF26032E5}" name="P7 Return" dataDxfId="1324" totalsRowDxfId="1323">
      <calculatedColumnFormula>SUMPRODUCT(INDEX(PortfolioRef[[SPY]:[PE]],MATCH(AA$1,PortfolioRef[Reference '#]),0),AssetMonthlyReturns[[#This Row],[SPY]:[PE]])</calculatedColumnFormula>
    </tableColumn>
    <tableColumn id="26" xr3:uid="{05585DF2-2C38-477B-82ED-56C7CDD856F5}" name="P7 Growth" dataDxfId="1322" totalsRowDxfId="1321">
      <calculatedColumnFormula>IF(ISNUMBER(AB3),AB3*(1+PortfolioFrontier[[#This Row],[P7 Return]]),1+PortfolioFrontier[[#This Row],[P7 Return]])</calculatedColumnFormula>
    </tableColumn>
    <tableColumn id="27" xr3:uid="{A0D4223E-6715-484B-AAF5-181081BBAAF2}" name="P7 HWM" dataDxfId="1320" totalsRowDxfId="1319">
      <calculatedColumnFormula>MAX(AC3,PortfolioFrontier[[#This Row],[P7 Growth]])</calculatedColumnFormula>
    </tableColumn>
    <tableColumn id="28" xr3:uid="{59CCE7D2-6F58-46C0-8046-A9107C4D8B52}" name="P7 DD" dataDxfId="1318" totalsRowDxfId="1317">
      <calculatedColumnFormula>PortfolioFrontier[[#This Row],[P7 Growth]]/PortfolioFrontier[[#This Row],[P7 HWM]]-1</calculatedColumnFormula>
    </tableColumn>
    <tableColumn id="29" xr3:uid="{7A0545C7-C759-45FD-8CD0-D2958A107B78}" name="P8 Return" dataDxfId="1316" totalsRowDxfId="1315">
      <calculatedColumnFormula>SUMPRODUCT(INDEX(PortfolioRef[[SPY]:[PE]],MATCH(AE$1,PortfolioRef[Reference '#]),0),AssetMonthlyReturns[[#This Row],[SPY]:[PE]])</calculatedColumnFormula>
    </tableColumn>
    <tableColumn id="30" xr3:uid="{9415E1C0-A9AB-463A-B339-12860A5330AA}" name="P8 Growth" dataDxfId="1314" totalsRowDxfId="1313">
      <calculatedColumnFormula>IF(ISNUMBER(AF3),AF3*(1+PortfolioFrontier[[#This Row],[P8 Return]]),1+PortfolioFrontier[[#This Row],[P8 Return]])</calculatedColumnFormula>
    </tableColumn>
    <tableColumn id="31" xr3:uid="{CD81D6C9-E28F-4F54-93EC-D6D658A121B4}" name="P8 HWM" dataDxfId="1312" totalsRowDxfId="1311">
      <calculatedColumnFormula>MAX(AG3,PortfolioFrontier[[#This Row],[P8 Growth]])</calculatedColumnFormula>
    </tableColumn>
    <tableColumn id="32" xr3:uid="{0AD6186F-2E02-48CB-8C81-48DA5D1BB530}" name="P8 DD" dataDxfId="1310" totalsRowDxfId="1309">
      <calculatedColumnFormula>PortfolioFrontier[[#This Row],[P8 Growth]]/PortfolioFrontier[[#This Row],[P8 HWM]]-1</calculatedColumnFormula>
    </tableColumn>
    <tableColumn id="33" xr3:uid="{DC46AA52-8E6F-4113-9931-2A58C080D5F7}" name="P9 Return" dataDxfId="1308" totalsRowDxfId="1307">
      <calculatedColumnFormula>SUMPRODUCT(INDEX(PortfolioRef[[SPY]:[PE]],MATCH(AI$1,PortfolioRef[Reference '#]),0),AssetMonthlyReturns[[#This Row],[SPY]:[PE]])</calculatedColumnFormula>
    </tableColumn>
    <tableColumn id="34" xr3:uid="{D9AB5B47-6A89-4893-A5C2-19299461B20A}" name="P9 Growth" dataDxfId="1306" totalsRowDxfId="1305">
      <calculatedColumnFormula>IF(ISNUMBER(AJ3),AJ3*(1+PortfolioFrontier[[#This Row],[P9 Return]]),1+PortfolioFrontier[[#This Row],[P9 Return]])</calculatedColumnFormula>
    </tableColumn>
    <tableColumn id="35" xr3:uid="{41B4BCB7-3F50-4837-B0AA-F0FE107F950C}" name="P9 HWM" dataDxfId="1304" totalsRowDxfId="1303">
      <calculatedColumnFormula>MAX(AK3,PortfolioFrontier[[#This Row],[P9 Growth]])</calculatedColumnFormula>
    </tableColumn>
    <tableColumn id="36" xr3:uid="{1C098345-4346-47C6-BD42-1F55C7B8B040}" name="P9 DD" dataDxfId="1302" totalsRowDxfId="1301">
      <calculatedColumnFormula>PortfolioFrontier[[#This Row],[P9 Growth]]/PortfolioFrontier[[#This Row],[P9 HWM]]-1</calculatedColumnFormula>
    </tableColumn>
    <tableColumn id="37" xr3:uid="{D3D560F0-796E-4761-A608-B5F2E809F5AC}" name="P10 Return" dataDxfId="1300" totalsRowDxfId="1299">
      <calculatedColumnFormula>SUMPRODUCT(INDEX(PortfolioRef[[SPY]:[PE]],MATCH(AM$1,PortfolioRef[Reference '#]),0),AssetMonthlyReturns[[#This Row],[SPY]:[PE]])</calculatedColumnFormula>
    </tableColumn>
    <tableColumn id="38" xr3:uid="{A8F60BF3-AA84-40C9-B253-14CD49ED0D8E}" name="P10 Growth" dataDxfId="1298" totalsRowDxfId="1297">
      <calculatedColumnFormula>IF(ISNUMBER(AN3),AN3*(1+PortfolioFrontier[[#This Row],[P10 Return]]),1+PortfolioFrontier[[#This Row],[P10 Return]])</calculatedColumnFormula>
    </tableColumn>
    <tableColumn id="39" xr3:uid="{2C94A3D2-4859-40DC-9078-FC9F5F316670}" name="P10 HWM" dataDxfId="1296" totalsRowDxfId="1295">
      <calculatedColumnFormula>MAX(AO3,PortfolioFrontier[[#This Row],[P10 Growth]])</calculatedColumnFormula>
    </tableColumn>
    <tableColumn id="40" xr3:uid="{7ECCA665-AF07-4F4B-AB9A-8B1E5D376F86}" name="P10 DD" dataDxfId="1294" totalsRowDxfId="1293">
      <calculatedColumnFormula>PortfolioFrontier[[#This Row],[P10 Growth]]/PortfolioFrontier[[#This Row],[P10 HWM]]-1</calculatedColumnFormula>
    </tableColumn>
    <tableColumn id="41" xr3:uid="{BBBFDAA0-3029-46D4-A559-0461FC67303F}" name="P11 Return" dataDxfId="1292" totalsRowDxfId="1291">
      <calculatedColumnFormula>SUMPRODUCT(INDEX(PortfolioRef[[SPY]:[PE]],MATCH(AQ$1,PortfolioRef[Reference '#]),0),AssetMonthlyReturns[[#This Row],[SPY]:[PE]])</calculatedColumnFormula>
    </tableColumn>
    <tableColumn id="42" xr3:uid="{7D07F647-4A7E-420C-A514-EC631F5B0CB9}" name="P11 Growth" dataDxfId="1290" totalsRowDxfId="1289">
      <calculatedColumnFormula>IF(ISNUMBER(AR3),AR3*(1+PortfolioFrontier[[#This Row],[P11 Return]]),1+PortfolioFrontier[[#This Row],[P11 Return]])</calculatedColumnFormula>
    </tableColumn>
    <tableColumn id="43" xr3:uid="{2B9BD88B-22E5-4B62-9AEA-D126512F14F0}" name="P11 HWM" dataDxfId="1288" totalsRowDxfId="1287">
      <calculatedColumnFormula>MAX(AS3,PortfolioFrontier[[#This Row],[P11 Growth]])</calculatedColumnFormula>
    </tableColumn>
    <tableColumn id="44" xr3:uid="{4FA223EE-7E45-4939-AA9B-48DC85BEC453}" name="P11 DD" dataDxfId="1286" totalsRowDxfId="1285">
      <calculatedColumnFormula>PortfolioFrontier[[#This Row],[P11 Growth]]/PortfolioFrontier[[#This Row],[P11 HWM]]-1</calculatedColumnFormula>
    </tableColumn>
    <tableColumn id="45" xr3:uid="{B2CEBCE9-8CB7-4A70-A6AE-16FC9F273283}" name="P12 Return" dataDxfId="1284" totalsRowDxfId="1283">
      <calculatedColumnFormula>SUMPRODUCT(INDEX(PortfolioRef[[SPY]:[PE]],MATCH(AU$1,PortfolioRef[Reference '#]),0),AssetMonthlyReturns[[#This Row],[SPY]:[PE]])</calculatedColumnFormula>
    </tableColumn>
    <tableColumn id="46" xr3:uid="{D7C93CCD-E16F-4413-AED5-DCAB78611567}" name="P12 Growth" dataDxfId="1282" totalsRowDxfId="1281">
      <calculatedColumnFormula>IF(ISNUMBER(AV3),AV3*(1+PortfolioFrontier[[#This Row],[P12 Return]]),1+PortfolioFrontier[[#This Row],[P12 Return]])</calculatedColumnFormula>
    </tableColumn>
    <tableColumn id="47" xr3:uid="{435284DE-8396-4CA8-BCB5-D752160169D5}" name="P12 HWM" dataDxfId="1280" totalsRowDxfId="1279">
      <calculatedColumnFormula>MAX(AW3,PortfolioFrontier[[#This Row],[P12 Growth]])</calculatedColumnFormula>
    </tableColumn>
    <tableColumn id="48" xr3:uid="{F9903CF4-9964-42F8-9B15-FA158B75B714}" name="P12 DD" dataDxfId="1278" totalsRowDxfId="1277">
      <calculatedColumnFormula>PortfolioFrontier[[#This Row],[P12 Growth]]/PortfolioFrontier[[#This Row],[P12 HWM]]-1</calculatedColumnFormula>
    </tableColumn>
    <tableColumn id="49" xr3:uid="{421547E6-E2AF-4887-A2F7-3AC8974417C9}" name="P13 Return" dataDxfId="1276" totalsRowDxfId="1275">
      <calculatedColumnFormula>SUMPRODUCT(INDEX(PortfolioRef[[SPY]:[PE]],MATCH(AY$1,PortfolioRef[Reference '#]),0),AssetMonthlyReturns[[#This Row],[SPY]:[PE]])</calculatedColumnFormula>
    </tableColumn>
    <tableColumn id="50" xr3:uid="{A85B0257-7D47-47D6-A89C-2B8C7EA3F6F5}" name="P13 Growth" dataDxfId="1274" totalsRowDxfId="1273">
      <calculatedColumnFormula>IF(ISNUMBER(AZ3),AZ3*(1+PortfolioFrontier[[#This Row],[P13 Return]]),1+PortfolioFrontier[[#This Row],[P13 Return]])</calculatedColumnFormula>
    </tableColumn>
    <tableColumn id="51" xr3:uid="{0BA910EA-DE72-42BB-8CDA-3F490D8AAF78}" name="P13 HWM" dataDxfId="1272" totalsRowDxfId="1271">
      <calculatedColumnFormula>MAX(BA3,PortfolioFrontier[[#This Row],[P13 Growth]])</calculatedColumnFormula>
    </tableColumn>
    <tableColumn id="52" xr3:uid="{BDE020DA-C73F-42FC-9E85-60224166C724}" name="P13 DD" dataDxfId="1270" totalsRowDxfId="1269">
      <calculatedColumnFormula>PortfolioFrontier[[#This Row],[P13 Growth]]/PortfolioFrontier[[#This Row],[P13 HWM]]-1</calculatedColumnFormula>
    </tableColumn>
    <tableColumn id="53" xr3:uid="{0EC929EB-D69A-4875-AF79-3D95DE06DF2E}" name="P14 Return" dataDxfId="1268" totalsRowDxfId="1267">
      <calculatedColumnFormula>SUMPRODUCT(INDEX(PortfolioRef[[SPY]:[PE]],MATCH(BC$1,PortfolioRef[Reference '#]),0),AssetMonthlyReturns[[#This Row],[SPY]:[PE]])</calculatedColumnFormula>
    </tableColumn>
    <tableColumn id="54" xr3:uid="{B11C5BE2-5882-4B51-A0C9-5D2DAFA12859}" name="P14 Growth" dataDxfId="1266" totalsRowDxfId="1265">
      <calculatedColumnFormula>IF(ISNUMBER(BD3),BD3*(1+PortfolioFrontier[[#This Row],[P14 Return]]),1+PortfolioFrontier[[#This Row],[P14 Return]])</calculatedColumnFormula>
    </tableColumn>
    <tableColumn id="55" xr3:uid="{5197538D-0BB8-48B4-A432-7FD5C7124025}" name="P14 HWM" dataDxfId="1264" totalsRowDxfId="1263">
      <calculatedColumnFormula>MAX(BE3,PortfolioFrontier[[#This Row],[P14 Growth]])</calculatedColumnFormula>
    </tableColumn>
    <tableColumn id="56" xr3:uid="{7FC45528-B00C-4952-B2CC-0DD437298EBE}" name="P14 DD" dataDxfId="1262" totalsRowDxfId="1261">
      <calculatedColumnFormula>PortfolioFrontier[[#This Row],[P14 Growth]]/PortfolioFrontier[[#This Row],[P14 HWM]]-1</calculatedColumnFormula>
    </tableColumn>
    <tableColumn id="57" xr3:uid="{B0DB0178-5F52-4EE7-9356-22748B69FC88}" name="P15 Return" dataDxfId="1260" totalsRowDxfId="1259">
      <calculatedColumnFormula>SUMPRODUCT(INDEX(PortfolioRef[[SPY]:[PE]],MATCH(BG$1,PortfolioRef[Reference '#]),0),AssetMonthlyReturns[[#This Row],[SPY]:[PE]])</calculatedColumnFormula>
    </tableColumn>
    <tableColumn id="58" xr3:uid="{C76A4442-BEA1-4234-B4D0-3D314CA4A303}" name="P15 Growth" dataDxfId="1258" totalsRowDxfId="1257">
      <calculatedColumnFormula>IF(ISNUMBER(BH3),BH3*(1+PortfolioFrontier[[#This Row],[P15 Return]]),1+PortfolioFrontier[[#This Row],[P15 Return]])</calculatedColumnFormula>
    </tableColumn>
    <tableColumn id="59" xr3:uid="{CAEDFFB0-42DC-437E-A830-26F2FF017123}" name="P15 HWM" dataDxfId="1256" totalsRowDxfId="1255">
      <calculatedColumnFormula>MAX(BI3,PortfolioFrontier[[#This Row],[P15 Growth]])</calculatedColumnFormula>
    </tableColumn>
    <tableColumn id="60" xr3:uid="{5DADC53C-772E-4740-85EF-2C7F2827DF10}" name="P15 DD" dataDxfId="1254" totalsRowDxfId="1253">
      <calculatedColumnFormula>PortfolioFrontier[[#This Row],[P15 Growth]]/PortfolioFrontier[[#This Row],[P15 HWM]]-1</calculatedColumnFormula>
    </tableColumn>
    <tableColumn id="61" xr3:uid="{E3A5085C-39FF-44FC-969F-A4BA78223ADB}" name="P16 Return" dataDxfId="1252" totalsRowDxfId="1251">
      <calculatedColumnFormula>SUMPRODUCT(INDEX(PortfolioRef[[SPY]:[PE]],MATCH(BK$1,PortfolioRef[Reference '#]),0),AssetMonthlyReturns[[#This Row],[SPY]:[PE]])</calculatedColumnFormula>
    </tableColumn>
    <tableColumn id="62" xr3:uid="{1B3706C4-0B73-49C4-91DE-9FA90F57B9D4}" name="P16 Growth" dataDxfId="1250" totalsRowDxfId="1249">
      <calculatedColumnFormula>IF(ISNUMBER(BL3),BL3*(1+PortfolioFrontier[[#This Row],[P16 Return]]),1+PortfolioFrontier[[#This Row],[P16 Return]])</calculatedColumnFormula>
    </tableColumn>
    <tableColumn id="63" xr3:uid="{2C53ED16-D33C-4DD3-B037-4FE011894ABD}" name="P16 HWM" dataDxfId="1248" totalsRowDxfId="1247">
      <calculatedColumnFormula>MAX(BM3,PortfolioFrontier[[#This Row],[P16 Growth]])</calculatedColumnFormula>
    </tableColumn>
    <tableColumn id="64" xr3:uid="{237244EE-716D-4290-8922-959AB063A6B7}" name="P16 DD" dataDxfId="1246" totalsRowDxfId="1245">
      <calculatedColumnFormula>PortfolioFrontier[[#This Row],[P16 Growth]]/PortfolioFrontier[[#This Row],[P16 HWM]]-1</calculatedColumnFormula>
    </tableColumn>
    <tableColumn id="65" xr3:uid="{00D07AE3-D973-4F23-935B-066F07312DDA}" name="P17 Return" dataDxfId="1244" totalsRowDxfId="1243">
      <calculatedColumnFormula>SUMPRODUCT(INDEX(PortfolioRef[[SPY]:[PE]],MATCH(BO$1,PortfolioRef[Reference '#]),0),AssetMonthlyReturns[[#This Row],[SPY]:[PE]])</calculatedColumnFormula>
    </tableColumn>
    <tableColumn id="66" xr3:uid="{A0029BB1-30BF-4C17-A8EF-729382339F2B}" name="P17 Growth" dataDxfId="1242" totalsRowDxfId="1241">
      <calculatedColumnFormula>IF(ISNUMBER(BP3),BP3*(1+PortfolioFrontier[[#This Row],[P17 Return]]),1+PortfolioFrontier[[#This Row],[P17 Return]])</calculatedColumnFormula>
    </tableColumn>
    <tableColumn id="67" xr3:uid="{54D0C3BE-955B-4055-994C-12468AB68727}" name="P17 HWM" dataDxfId="1240" totalsRowDxfId="1239">
      <calculatedColumnFormula>MAX(BQ3,PortfolioFrontier[[#This Row],[P17 Growth]])</calculatedColumnFormula>
    </tableColumn>
    <tableColumn id="68" xr3:uid="{3D1B1745-5E83-4ED2-A460-1FE1066E5F6B}" name="P17 DD" dataDxfId="1238" totalsRowDxfId="1237">
      <calculatedColumnFormula>PortfolioFrontier[[#This Row],[P17 Growth]]/PortfolioFrontier[[#This Row],[P17 HWM]]-1</calculatedColumnFormula>
    </tableColumn>
    <tableColumn id="69" xr3:uid="{B40F2E35-FF3B-4582-9421-884F83A26F94}" name="P18 Return" dataDxfId="1236" totalsRowDxfId="1235">
      <calculatedColumnFormula>SUMPRODUCT(INDEX(PortfolioRef[[SPY]:[PE]],MATCH(BS$1,PortfolioRef[Reference '#]),0),AssetMonthlyReturns[[#This Row],[SPY]:[PE]])</calculatedColumnFormula>
    </tableColumn>
    <tableColumn id="70" xr3:uid="{71DEC5F1-A0FB-44F6-BC69-3A0288724803}" name="P18 Growth" dataDxfId="1234" totalsRowDxfId="1233">
      <calculatedColumnFormula>IF(ISNUMBER(BT3),BT3*(1+PortfolioFrontier[[#This Row],[P18 Return]]),1+PortfolioFrontier[[#This Row],[P18 Return]])</calculatedColumnFormula>
    </tableColumn>
    <tableColumn id="71" xr3:uid="{6DBE8007-F449-48DC-ABA7-8297147CAC12}" name="P18 HWM" dataDxfId="1232" totalsRowDxfId="1231">
      <calculatedColumnFormula>MAX(BU3,PortfolioFrontier[[#This Row],[P18 Growth]])</calculatedColumnFormula>
    </tableColumn>
    <tableColumn id="72" xr3:uid="{45720AA0-0841-403E-B90C-C7834486B2C9}" name="P18 DD" dataDxfId="1230" totalsRowDxfId="1229">
      <calculatedColumnFormula>PortfolioFrontier[[#This Row],[P18 Growth]]/PortfolioFrontier[[#This Row],[P18 HWM]]-1</calculatedColumnFormula>
    </tableColumn>
    <tableColumn id="73" xr3:uid="{B8448B00-1826-435A-AC90-F307D4ACC880}" name="P19 Return" dataDxfId="1228" totalsRowDxfId="1227">
      <calculatedColumnFormula>SUMPRODUCT(INDEX(PortfolioRef[[SPY]:[PE]],MATCH(BW$1,PortfolioRef[Reference '#]),0),AssetMonthlyReturns[[#This Row],[SPY]:[PE]])</calculatedColumnFormula>
    </tableColumn>
    <tableColumn id="74" xr3:uid="{79279337-2A1D-4E33-93D9-F6C7B4BAC10D}" name="P19 Growth" dataDxfId="1226" totalsRowDxfId="1225">
      <calculatedColumnFormula>IF(ISNUMBER(BX3),BX3*(1+PortfolioFrontier[[#This Row],[P19 Return]]),1+PortfolioFrontier[[#This Row],[P19 Return]])</calculatedColumnFormula>
    </tableColumn>
    <tableColumn id="75" xr3:uid="{9D74ED28-2DEB-4AFC-9E55-6747AF2EA826}" name="P19 HWM" dataDxfId="1224" totalsRowDxfId="1223">
      <calculatedColumnFormula>MAX(BY3,PortfolioFrontier[[#This Row],[P19 Growth]])</calculatedColumnFormula>
    </tableColumn>
    <tableColumn id="76" xr3:uid="{A531A574-E761-41F8-971A-C71C933B5354}" name="P19 DD" dataDxfId="1222" totalsRowDxfId="1221">
      <calculatedColumnFormula>PortfolioFrontier[[#This Row],[P19 Growth]]/PortfolioFrontier[[#This Row],[P19 HWM]]-1</calculatedColumnFormula>
    </tableColumn>
    <tableColumn id="77" xr3:uid="{649E2EEB-24C4-43BE-B6C6-D2FA25C11C64}" name="P20 Return" dataDxfId="1220" totalsRowDxfId="1219">
      <calculatedColumnFormula>SUMPRODUCT(INDEX(PortfolioRef[[SPY]:[PE]],MATCH(CA$1,PortfolioRef[Reference '#]),0),AssetMonthlyReturns[[#This Row],[SPY]:[PE]])</calculatedColumnFormula>
    </tableColumn>
    <tableColumn id="78" xr3:uid="{6006AC1D-2BDD-4132-B8C6-F1FD1EBEABA3}" name="P20 Growth" dataDxfId="1218" totalsRowDxfId="1217">
      <calculatedColumnFormula>IF(ISNUMBER(CB3),CB3*(1+PortfolioFrontier[[#This Row],[P20 Return]]),1+PortfolioFrontier[[#This Row],[P20 Return]])</calculatedColumnFormula>
    </tableColumn>
    <tableColumn id="79" xr3:uid="{97F8FBB0-1D7C-4A75-80AD-FB0CAECF933B}" name="P20 HWM" dataDxfId="1216" totalsRowDxfId="1215">
      <calculatedColumnFormula>MAX(CC3,PortfolioFrontier[[#This Row],[P20 Growth]])</calculatedColumnFormula>
    </tableColumn>
    <tableColumn id="80" xr3:uid="{2C9F4199-72AD-4BBC-9B87-3C28C921A4B9}" name="P20 DD" dataDxfId="1214" totalsRowDxfId="1213">
      <calculatedColumnFormula>PortfolioFrontier[[#This Row],[P20 Growth]]/PortfolioFrontier[[#This Row],[P20 HWM]]-1</calculatedColumnFormula>
    </tableColumn>
    <tableColumn id="81" xr3:uid="{C8785DF5-C5C6-4ED2-8C69-7BFE5A71D4E1}" name="P21 Return" dataDxfId="1212" totalsRowDxfId="1211">
      <calculatedColumnFormula>SUMPRODUCT(INDEX(PortfolioRef[[SPY]:[PE]],MATCH(CE$1,PortfolioRef[Reference '#]),0),AssetMonthlyReturns[[#This Row],[SPY]:[PE]])</calculatedColumnFormula>
    </tableColumn>
    <tableColumn id="82" xr3:uid="{FEF52123-FA12-49D1-9C88-4A911615333C}" name="P21 Growth" dataDxfId="1210" totalsRowDxfId="1209">
      <calculatedColumnFormula>IF(ISNUMBER(CF3),CF3*(1+PortfolioFrontier[[#This Row],[P21 Return]]),1+PortfolioFrontier[[#This Row],[P21 Return]])</calculatedColumnFormula>
    </tableColumn>
    <tableColumn id="83" xr3:uid="{9DE7C2C2-62CA-405B-9DEF-869F1E5EA64E}" name="P21 HWM" dataDxfId="1208" totalsRowDxfId="1207">
      <calculatedColumnFormula>MAX(CG3,PortfolioFrontier[[#This Row],[P21 Growth]])</calculatedColumnFormula>
    </tableColumn>
    <tableColumn id="84" xr3:uid="{E2512B1F-2DAF-4229-931C-18B759644A0E}" name="P21 DD" dataDxfId="1206" totalsRowDxfId="1205">
      <calculatedColumnFormula>PortfolioFrontier[[#This Row],[P21 Growth]]/PortfolioFrontier[[#This Row],[P21 HWM]]-1</calculatedColumnFormula>
    </tableColumn>
    <tableColumn id="85" xr3:uid="{E0D432C7-5232-4FD7-9758-25BFA94D1BFB}" name="P22 Return" dataDxfId="1204" totalsRowDxfId="1203">
      <calculatedColumnFormula>SUMPRODUCT(INDEX(PortfolioRef[[SPY]:[PE]],MATCH(CI$1,PortfolioRef[Reference '#]),0),AssetMonthlyReturns[[#This Row],[SPY]:[PE]])</calculatedColumnFormula>
    </tableColumn>
    <tableColumn id="86" xr3:uid="{63D24F58-D334-410A-A31D-13048868F717}" name="P22 Growth" dataDxfId="1202" totalsRowDxfId="1201">
      <calculatedColumnFormula>IF(ISNUMBER(CJ3),CJ3*(1+PortfolioFrontier[[#This Row],[P22 Return]]),1+PortfolioFrontier[[#This Row],[P22 Return]])</calculatedColumnFormula>
    </tableColumn>
    <tableColumn id="87" xr3:uid="{80CD3357-C331-44E2-ABDE-EA4FE5611469}" name="P22 HWM" dataDxfId="1200" totalsRowDxfId="1199">
      <calculatedColumnFormula>MAX(CK3,PortfolioFrontier[[#This Row],[P22 Growth]])</calculatedColumnFormula>
    </tableColumn>
    <tableColumn id="88" xr3:uid="{E0160A32-7693-4927-8D67-5E69E291CA63}" name="P22 DD" dataDxfId="1198" totalsRowDxfId="1197">
      <calculatedColumnFormula>PortfolioFrontier[[#This Row],[P22 Growth]]/PortfolioFrontier[[#This Row],[P22 HWM]]-1</calculatedColumnFormula>
    </tableColumn>
    <tableColumn id="89" xr3:uid="{5580A9AB-C1F8-4BCF-9E85-9692F9997E54}" name="P23 Return" dataDxfId="1196" totalsRowDxfId="1195">
      <calculatedColumnFormula>SUMPRODUCT(INDEX(PortfolioRef[[SPY]:[PE]],MATCH(CM$1,PortfolioRef[Reference '#]),0),AssetMonthlyReturns[[#This Row],[SPY]:[PE]])</calculatedColumnFormula>
    </tableColumn>
    <tableColumn id="90" xr3:uid="{CA80D249-1FB3-4441-A19C-20E4707C182D}" name="P23 Growth" dataDxfId="1194" totalsRowDxfId="1193">
      <calculatedColumnFormula>IF(ISNUMBER(CN3),CN3*(1+PortfolioFrontier[[#This Row],[P23 Return]]),1+PortfolioFrontier[[#This Row],[P23 Return]])</calculatedColumnFormula>
    </tableColumn>
    <tableColumn id="91" xr3:uid="{1AC74375-1E87-4E97-9855-264C1AB0E978}" name="P23 HWM" dataDxfId="1192" totalsRowDxfId="1191">
      <calculatedColumnFormula>MAX(CO3,PortfolioFrontier[[#This Row],[P23 Growth]])</calculatedColumnFormula>
    </tableColumn>
    <tableColumn id="92" xr3:uid="{6F4D57EF-8D6F-454B-8848-7F1BEFBD9333}" name="P23 DD" dataDxfId="1190" totalsRowDxfId="1189">
      <calculatedColumnFormula>PortfolioFrontier[[#This Row],[P23 Growth]]/PortfolioFrontier[[#This Row],[P23 HWM]]-1</calculatedColumnFormula>
    </tableColumn>
    <tableColumn id="93" xr3:uid="{D56E743A-0242-4A92-9FC3-A03F7736F404}" name="P24 Return" dataDxfId="1188" totalsRowDxfId="1187">
      <calculatedColumnFormula>SUMPRODUCT(INDEX(PortfolioRef[[SPY]:[PE]],MATCH(CQ$1,PortfolioRef[Reference '#]),0),AssetMonthlyReturns[[#This Row],[SPY]:[PE]])</calculatedColumnFormula>
    </tableColumn>
    <tableColumn id="94" xr3:uid="{945CB7FE-DEE6-4D86-BD28-8CDC5775EC12}" name="P24 Growth" dataDxfId="1186" totalsRowDxfId="1185">
      <calculatedColumnFormula>IF(ISNUMBER(CR3),CR3*(1+PortfolioFrontier[[#This Row],[P24 Return]]),1+PortfolioFrontier[[#This Row],[P24 Return]])</calculatedColumnFormula>
    </tableColumn>
    <tableColumn id="95" xr3:uid="{71479912-6907-4D98-849A-D7C7267815DF}" name="P24 HWM" dataDxfId="1184" totalsRowDxfId="1183">
      <calculatedColumnFormula>MAX(CS3,PortfolioFrontier[[#This Row],[P24 Growth]])</calculatedColumnFormula>
    </tableColumn>
    <tableColumn id="96" xr3:uid="{33C455AB-3D40-4454-833C-378D2844FD15}" name="P24 DD" dataDxfId="1182" totalsRowDxfId="1181">
      <calculatedColumnFormula>PortfolioFrontier[[#This Row],[P24 Growth]]/PortfolioFrontier[[#This Row],[P24 HWM]]-1</calculatedColumnFormula>
    </tableColumn>
    <tableColumn id="97" xr3:uid="{F072D935-AB0B-404B-A503-1BDB5B45D00B}" name="P25 Return" dataDxfId="1180" totalsRowDxfId="1179">
      <calculatedColumnFormula>SUMPRODUCT(INDEX(PortfolioRef[[SPY]:[PE]],MATCH(CU$1,PortfolioRef[Reference '#]),0),AssetMonthlyReturns[[#This Row],[SPY]:[PE]])</calculatedColumnFormula>
    </tableColumn>
    <tableColumn id="98" xr3:uid="{6717D7A6-642A-4F91-B651-EE20886B4471}" name="P25 Growth" dataDxfId="1178" totalsRowDxfId="1177">
      <calculatedColumnFormula>IF(ISNUMBER(CV3),CV3*(1+PortfolioFrontier[[#This Row],[P25 Return]]),1+PortfolioFrontier[[#This Row],[P25 Return]])</calculatedColumnFormula>
    </tableColumn>
    <tableColumn id="99" xr3:uid="{571542C4-90E9-44CC-9AB6-0F45DAD1D448}" name="P25 HWM" dataDxfId="1176" totalsRowDxfId="1175">
      <calculatedColumnFormula>MAX(CW3,PortfolioFrontier[[#This Row],[P25 Growth]])</calculatedColumnFormula>
    </tableColumn>
    <tableColumn id="100" xr3:uid="{BABF13D6-AE39-4BE8-B3B8-CE47999C58B7}" name="P25 DD" dataDxfId="1174" totalsRowDxfId="1173">
      <calculatedColumnFormula>PortfolioFrontier[[#This Row],[P25 Growth]]/PortfolioFrontier[[#This Row],[P25 HWM]]-1</calculatedColumnFormula>
    </tableColumn>
    <tableColumn id="101" xr3:uid="{93ACFEF9-674F-402D-B3B5-A30399DB14F5}" name="P26 Return" dataDxfId="1172" totalsRowDxfId="1171">
      <calculatedColumnFormula>SUMPRODUCT(INDEX(PortfolioRef[[SPY]:[PE]],MATCH(CY$1,PortfolioRef[Reference '#]),0),AssetMonthlyReturns[[#This Row],[SPY]:[PE]])</calculatedColumnFormula>
    </tableColumn>
    <tableColumn id="102" xr3:uid="{997DD0A9-48C4-431A-B09B-54E7FE0FA861}" name="P26 Growth" dataDxfId="1170" totalsRowDxfId="1169">
      <calculatedColumnFormula>IF(ISNUMBER(CZ3),CZ3*(1+PortfolioFrontier[[#This Row],[P26 Return]]),1+PortfolioFrontier[[#This Row],[P26 Return]])</calculatedColumnFormula>
    </tableColumn>
    <tableColumn id="103" xr3:uid="{746EE558-613C-47BE-A46E-B74A47251459}" name="P26 HWM" dataDxfId="1168" totalsRowDxfId="1167">
      <calculatedColumnFormula>MAX(DA3,PortfolioFrontier[[#This Row],[P26 Growth]])</calculatedColumnFormula>
    </tableColumn>
    <tableColumn id="104" xr3:uid="{01AE2B79-0B77-46B5-987C-C9E8415FA23B}" name="P26 DD" dataDxfId="1166" totalsRowDxfId="1165">
      <calculatedColumnFormula>PortfolioFrontier[[#This Row],[P26 Growth]]/PortfolioFrontier[[#This Row],[P26 HWM]]-1</calculatedColumnFormula>
    </tableColumn>
    <tableColumn id="105" xr3:uid="{A5036DC7-CD0F-4BFE-9324-90801828CF36}" name="P27 Return" dataDxfId="1164" totalsRowDxfId="1163">
      <calculatedColumnFormula>SUMPRODUCT(INDEX(PortfolioRef[[SPY]:[PE]],MATCH(DC$1,PortfolioRef[Reference '#]),0),AssetMonthlyReturns[[#This Row],[SPY]:[PE]])</calculatedColumnFormula>
    </tableColumn>
    <tableColumn id="106" xr3:uid="{82E52DED-8B66-4E31-BF84-8C355A8E3D49}" name="P27 Growth" dataDxfId="1162" totalsRowDxfId="1161">
      <calculatedColumnFormula>IF(ISNUMBER(DD3),DD3*(1+PortfolioFrontier[[#This Row],[P27 Return]]),1+PortfolioFrontier[[#This Row],[P27 Return]])</calculatedColumnFormula>
    </tableColumn>
    <tableColumn id="107" xr3:uid="{5F3660F1-B3DE-4D42-AF56-0EA114670B3C}" name="P27 HWM" dataDxfId="1160" totalsRowDxfId="1159">
      <calculatedColumnFormula>MAX(DE3,PortfolioFrontier[[#This Row],[P27 Growth]])</calculatedColumnFormula>
    </tableColumn>
    <tableColumn id="108" xr3:uid="{0215DE16-F5D6-4FCD-ADF4-2504893095AA}" name="P27 DD" dataDxfId="1158" totalsRowDxfId="1157">
      <calculatedColumnFormula>PortfolioFrontier[[#This Row],[P27 Growth]]/PortfolioFrontier[[#This Row],[P27 HWM]]-1</calculatedColumnFormula>
    </tableColumn>
    <tableColumn id="109" xr3:uid="{86DB7934-122C-424A-8A99-2068FCB3087D}" name="P28 Return" dataDxfId="1156" totalsRowDxfId="1155">
      <calculatedColumnFormula>SUMPRODUCT(INDEX(PortfolioRef[[SPY]:[PE]],MATCH(DG$1,PortfolioRef[Reference '#]),0),AssetMonthlyReturns[[#This Row],[SPY]:[PE]])</calculatedColumnFormula>
    </tableColumn>
    <tableColumn id="110" xr3:uid="{A4A4EE19-4983-4416-8600-CD3CBA78ACD1}" name="P28 Growth" dataDxfId="1154" totalsRowDxfId="1153">
      <calculatedColumnFormula>IF(ISNUMBER(DH3),DH3*(1+PortfolioFrontier[[#This Row],[P28 Return]]),1+PortfolioFrontier[[#This Row],[P28 Return]])</calculatedColumnFormula>
    </tableColumn>
    <tableColumn id="111" xr3:uid="{EFDC4E2B-F0F0-4A69-96D2-7BE232F88DF0}" name="P28 HWM" dataDxfId="1152" totalsRowDxfId="1151">
      <calculatedColumnFormula>MAX(DI3,PortfolioFrontier[[#This Row],[P28 Growth]])</calculatedColumnFormula>
    </tableColumn>
    <tableColumn id="112" xr3:uid="{8C59DBB6-E614-4930-9A3B-C18D53EB464F}" name="P28 DD" dataDxfId="1150" totalsRowDxfId="1149">
      <calculatedColumnFormula>PortfolioFrontier[[#This Row],[P28 Growth]]/PortfolioFrontier[[#This Row],[P28 HWM]]-1</calculatedColumnFormula>
    </tableColumn>
    <tableColumn id="113" xr3:uid="{8B693DE0-1C91-4E7B-BF59-22371C1E0DEF}" name="P29 Return" dataDxfId="1148" totalsRowDxfId="1147">
      <calculatedColumnFormula>SUMPRODUCT(INDEX(PortfolioRef[[SPY]:[PE]],MATCH(DK$1,PortfolioRef[Reference '#]),0),AssetMonthlyReturns[[#This Row],[SPY]:[PE]])</calculatedColumnFormula>
    </tableColumn>
    <tableColumn id="114" xr3:uid="{C6D4AA48-3C02-4CD0-AD60-6E781AA4FC00}" name="P29 Growth" dataDxfId="1146" totalsRowDxfId="1145">
      <calculatedColumnFormula>IF(ISNUMBER(DL3),DL3*(1+PortfolioFrontier[[#This Row],[P29 Return]]),1+PortfolioFrontier[[#This Row],[P29 Return]])</calculatedColumnFormula>
    </tableColumn>
    <tableColumn id="115" xr3:uid="{D977617C-3D58-4E6F-AA46-68AF5D4FB572}" name="P29 HWM" dataDxfId="1144" totalsRowDxfId="1143">
      <calculatedColumnFormula>MAX(DM3,PortfolioFrontier[[#This Row],[P29 Growth]])</calculatedColumnFormula>
    </tableColumn>
    <tableColumn id="116" xr3:uid="{F74D5840-5E93-446E-9E33-D2F6861AAB2D}" name="P29 DD" dataDxfId="1142" totalsRowDxfId="1141">
      <calculatedColumnFormula>PortfolioFrontier[[#This Row],[P29 Growth]]/PortfolioFrontier[[#This Row],[P29 HWM]]-1</calculatedColumnFormula>
    </tableColumn>
    <tableColumn id="117" xr3:uid="{C753018E-4920-4298-8C73-034B35EEE281}" name="P30 Return" dataDxfId="1140" totalsRowDxfId="1139">
      <calculatedColumnFormula>SUMPRODUCT(INDEX(PortfolioRef[[SPY]:[PE]],MATCH(DO$1,PortfolioRef[Reference '#]),0),AssetMonthlyReturns[[#This Row],[SPY]:[PE]])</calculatedColumnFormula>
    </tableColumn>
    <tableColumn id="118" xr3:uid="{316C37B8-D583-4154-BBB7-878D75070CB8}" name="P30 Growth" dataDxfId="1138" totalsRowDxfId="1137">
      <calculatedColumnFormula>IF(ISNUMBER(DP3),DP3*(1+PortfolioFrontier[[#This Row],[P30 Return]]),1+PortfolioFrontier[[#This Row],[P30 Return]])</calculatedColumnFormula>
    </tableColumn>
    <tableColumn id="119" xr3:uid="{A05BA1B8-4261-454B-A593-24BB6E430306}" name="P30 HWM" dataDxfId="1136" totalsRowDxfId="1135">
      <calculatedColumnFormula>MAX(DQ3,PortfolioFrontier[[#This Row],[P30 Growth]])</calculatedColumnFormula>
    </tableColumn>
    <tableColumn id="120" xr3:uid="{7DBFD652-BDF4-45C0-B1EC-EC08DC59AB5F}" name="P30 DD" dataDxfId="1134" totalsRowDxfId="1133">
      <calculatedColumnFormula>PortfolioFrontier[[#This Row],[P30 Growth]]/PortfolioFrontier[[#This Row],[P30 HWM]]-1</calculatedColumnFormula>
    </tableColumn>
    <tableColumn id="121" xr3:uid="{DA9A2A9E-CE71-442C-84F9-9CC14607FB02}" name="P31 Return" dataDxfId="1132" totalsRowDxfId="1131">
      <calculatedColumnFormula>SUMPRODUCT(INDEX(PortfolioRef[[SPY]:[PE]],MATCH(DS$1,PortfolioRef[Reference '#]),0),AssetMonthlyReturns[[#This Row],[SPY]:[PE]])</calculatedColumnFormula>
    </tableColumn>
    <tableColumn id="122" xr3:uid="{CE3BF166-6404-40F8-A01C-D8FD650C2DC9}" name="P31 Growth" dataDxfId="1130" totalsRowDxfId="1129">
      <calculatedColumnFormula>IF(ISNUMBER(DT3),DT3*(1+PortfolioFrontier[[#This Row],[P31 Return]]),1+PortfolioFrontier[[#This Row],[P31 Return]])</calculatedColumnFormula>
    </tableColumn>
    <tableColumn id="123" xr3:uid="{10EEA837-0952-42CA-90A6-351CAC69DAA8}" name="P31 HWM" dataDxfId="1128" totalsRowDxfId="1127">
      <calculatedColumnFormula>MAX(DU3,PortfolioFrontier[[#This Row],[P31 Growth]])</calculatedColumnFormula>
    </tableColumn>
    <tableColumn id="124" xr3:uid="{9615FE20-3B47-4682-9BB5-1EC53CA177CF}" name="P31 DD" dataDxfId="1126" totalsRowDxfId="1125">
      <calculatedColumnFormula>PortfolioFrontier[[#This Row],[P31 Growth]]/PortfolioFrontier[[#This Row],[P31 HWM]]-1</calculatedColumnFormula>
    </tableColumn>
    <tableColumn id="125" xr3:uid="{EC48E153-E2A6-4C1D-A1AD-CA4DF1CABE48}" name="P32 Return" dataDxfId="1124" totalsRowDxfId="1123">
      <calculatedColumnFormula>SUMPRODUCT(INDEX(PortfolioRef[[SPY]:[PE]],MATCH(DW$1,PortfolioRef[Reference '#]),0),AssetMonthlyReturns[[#This Row],[SPY]:[PE]])</calculatedColumnFormula>
    </tableColumn>
    <tableColumn id="126" xr3:uid="{F3D24CBF-1E25-49D4-82F7-ECEC74425C35}" name="P32 Growth" dataDxfId="1122" totalsRowDxfId="1121">
      <calculatedColumnFormula>IF(ISNUMBER(DX3),DX3*(1+PortfolioFrontier[[#This Row],[P32 Return]]),1+PortfolioFrontier[[#This Row],[P32 Return]])</calculatedColumnFormula>
    </tableColumn>
    <tableColumn id="127" xr3:uid="{25AE346B-22BB-4E02-8619-F62C0CEF5F1C}" name="P32 HWM" dataDxfId="1120" totalsRowDxfId="1119">
      <calculatedColumnFormula>MAX(DY3,PortfolioFrontier[[#This Row],[P32 Growth]])</calculatedColumnFormula>
    </tableColumn>
    <tableColumn id="128" xr3:uid="{E38057AC-9C18-4FA4-B818-27E462F78A17}" name="P32 DD" dataDxfId="1118" totalsRowDxfId="1117">
      <calculatedColumnFormula>PortfolioFrontier[[#This Row],[P32 Growth]]/PortfolioFrontier[[#This Row],[P32 HWM]]-1</calculatedColumnFormula>
    </tableColumn>
    <tableColumn id="129" xr3:uid="{06CA9502-89B6-4ADE-AE28-F6B2807024CB}" name="P33 Return" dataDxfId="1116" totalsRowDxfId="1115">
      <calculatedColumnFormula>SUMPRODUCT(INDEX(PortfolioRef[[SPY]:[PE]],MATCH(EA$1,PortfolioRef[Reference '#]),0),AssetMonthlyReturns[[#This Row],[SPY]:[PE]])</calculatedColumnFormula>
    </tableColumn>
    <tableColumn id="130" xr3:uid="{D2EB13DC-F340-4DC1-BD57-14C222E2AD4B}" name="P33 Growth" dataDxfId="1114" totalsRowDxfId="1113">
      <calculatedColumnFormula>IF(ISNUMBER(EB3),EB3*(1+PortfolioFrontier[[#This Row],[P33 Return]]),1+PortfolioFrontier[[#This Row],[P33 Return]])</calculatedColumnFormula>
    </tableColumn>
    <tableColumn id="131" xr3:uid="{4CCAFF47-1049-42A0-89F6-8F1A1E91B244}" name="P33 HWM" dataDxfId="1112" totalsRowDxfId="1111">
      <calculatedColumnFormula>MAX(EC3,PortfolioFrontier[[#This Row],[P33 Growth]])</calculatedColumnFormula>
    </tableColumn>
    <tableColumn id="132" xr3:uid="{71251C6F-643A-4026-A36C-50AAC6243E2A}" name="P33 DD" dataDxfId="1110" totalsRowDxfId="1109">
      <calculatedColumnFormula>PortfolioFrontier[[#This Row],[P33 Growth]]/PortfolioFrontier[[#This Row],[P33 HWM]]-1</calculatedColumnFormula>
    </tableColumn>
    <tableColumn id="133" xr3:uid="{6CE73E60-ABF8-4EFD-A54F-00125A17F76F}" name="P34 Return" dataDxfId="1108" totalsRowDxfId="1107">
      <calculatedColumnFormula>SUMPRODUCT(INDEX(PortfolioRef[[SPY]:[PE]],MATCH(EE$1,PortfolioRef[Reference '#]),0),AssetMonthlyReturns[[#This Row],[SPY]:[PE]])</calculatedColumnFormula>
    </tableColumn>
    <tableColumn id="134" xr3:uid="{2763B46C-E9FD-4CAF-992B-188549B7C446}" name="P34 Growth" dataDxfId="1106" totalsRowDxfId="1105">
      <calculatedColumnFormula>IF(ISNUMBER(EF3),EF3*(1+PortfolioFrontier[[#This Row],[P34 Return]]),1+PortfolioFrontier[[#This Row],[P34 Return]])</calculatedColumnFormula>
    </tableColumn>
    <tableColumn id="135" xr3:uid="{C70D0B88-65B3-4B31-8886-2FAA22922F05}" name="P34 HWM" dataDxfId="1104" totalsRowDxfId="1103">
      <calculatedColumnFormula>MAX(EG3,PortfolioFrontier[[#This Row],[P34 Growth]])</calculatedColumnFormula>
    </tableColumn>
    <tableColumn id="136" xr3:uid="{25EE87E9-4F8F-499F-B083-FD9D0623D6DB}" name="P34 DD" dataDxfId="1102" totalsRowDxfId="1101">
      <calculatedColumnFormula>PortfolioFrontier[[#This Row],[P34 Growth]]/PortfolioFrontier[[#This Row],[P34 HWM]]-1</calculatedColumnFormula>
    </tableColumn>
    <tableColumn id="137" xr3:uid="{9C9D60FC-B75C-432F-A0B1-9923FFD18545}" name="P35 Return" dataDxfId="1100" totalsRowDxfId="1099">
      <calculatedColumnFormula>SUMPRODUCT(INDEX(PortfolioRef[[SPY]:[PE]],MATCH(EI$1,PortfolioRef[Reference '#]),0),AssetMonthlyReturns[[#This Row],[SPY]:[PE]])</calculatedColumnFormula>
    </tableColumn>
    <tableColumn id="138" xr3:uid="{BBE5E476-4300-4BDE-8789-751245AF405E}" name="P35 Growth" dataDxfId="1098" totalsRowDxfId="1097">
      <calculatedColumnFormula>IF(ISNUMBER(EJ3),EJ3*(1+PortfolioFrontier[[#This Row],[P35 Return]]),1+PortfolioFrontier[[#This Row],[P35 Return]])</calculatedColumnFormula>
    </tableColumn>
    <tableColumn id="139" xr3:uid="{300A46DD-9806-4F5F-95A4-8F23D43BC712}" name="P35 HWM" dataDxfId="1096" totalsRowDxfId="1095">
      <calculatedColumnFormula>MAX(EK3,PortfolioFrontier[[#This Row],[P35 Growth]])</calculatedColumnFormula>
    </tableColumn>
    <tableColumn id="140" xr3:uid="{71800717-73BC-4813-B03F-E37AC4525BAC}" name="P35 DD" dataDxfId="1094" totalsRowDxfId="1093">
      <calculatedColumnFormula>PortfolioFrontier[[#This Row],[P35 Growth]]/PortfolioFrontier[[#This Row],[P35 HWM]]-1</calculatedColumnFormula>
    </tableColumn>
    <tableColumn id="141" xr3:uid="{8C175541-F73A-40E3-BB07-0A64C69D2061}" name="P36 Return" dataDxfId="1092" totalsRowDxfId="1091">
      <calculatedColumnFormula>SUMPRODUCT(INDEX(PortfolioRef[[SPY]:[PE]],MATCH(EM$1,PortfolioRef[Reference '#]),0),AssetMonthlyReturns[[#This Row],[SPY]:[PE]])</calculatedColumnFormula>
    </tableColumn>
    <tableColumn id="142" xr3:uid="{0F5D4D6C-0006-48A4-BBEA-43D7463B3D1C}" name="P36 Growth" dataDxfId="1090" totalsRowDxfId="1089">
      <calculatedColumnFormula>IF(ISNUMBER(EN3),EN3*(1+PortfolioFrontier[[#This Row],[P36 Return]]),1+PortfolioFrontier[[#This Row],[P36 Return]])</calculatedColumnFormula>
    </tableColumn>
    <tableColumn id="143" xr3:uid="{EE987517-9046-4AE0-845B-4811334713A4}" name="P36 HWM" dataDxfId="1088" totalsRowDxfId="1087">
      <calculatedColumnFormula>MAX(EO3,PortfolioFrontier[[#This Row],[P36 Growth]])</calculatedColumnFormula>
    </tableColumn>
    <tableColumn id="144" xr3:uid="{1560BF65-294A-403D-B502-EC02E6313B4F}" name="P36 DD" dataDxfId="1086" totalsRowDxfId="1085">
      <calculatedColumnFormula>PortfolioFrontier[[#This Row],[P36 Growth]]/PortfolioFrontier[[#This Row],[P36 HWM]]-1</calculatedColumnFormula>
    </tableColumn>
    <tableColumn id="145" xr3:uid="{2EF504E4-78FF-41C1-AE13-FA0618D9905E}" name="P37 Return" dataDxfId="1084" totalsRowDxfId="1083">
      <calculatedColumnFormula>SUMPRODUCT(INDEX(PortfolioRef[[SPY]:[PE]],MATCH(EQ$1,PortfolioRef[Reference '#]),0),AssetMonthlyReturns[[#This Row],[SPY]:[PE]])</calculatedColumnFormula>
    </tableColumn>
    <tableColumn id="146" xr3:uid="{E1E8D4B3-AFD1-46C6-92D9-7EDB5FDAC3F7}" name="P37 Growth" dataDxfId="1082" totalsRowDxfId="1081">
      <calculatedColumnFormula>IF(ISNUMBER(ER3),ER3*(1+PortfolioFrontier[[#This Row],[P37 Return]]),1+PortfolioFrontier[[#This Row],[P37 Return]])</calculatedColumnFormula>
    </tableColumn>
    <tableColumn id="147" xr3:uid="{5CE3B936-CF10-4117-8802-FB702A732366}" name="P37 HWM" dataDxfId="1080" totalsRowDxfId="1079">
      <calculatedColumnFormula>MAX(ES3,PortfolioFrontier[[#This Row],[P37 Growth]])</calculatedColumnFormula>
    </tableColumn>
    <tableColumn id="148" xr3:uid="{65782AEA-8A21-4DCB-92F5-ABCEBE88B112}" name="P37 DD" dataDxfId="1078" totalsRowDxfId="1077">
      <calculatedColumnFormula>PortfolioFrontier[[#This Row],[P37 Growth]]/PortfolioFrontier[[#This Row],[P37 HWM]]-1</calculatedColumnFormula>
    </tableColumn>
    <tableColumn id="149" xr3:uid="{47DB4268-0E5D-4450-97A6-31896E4FC7AC}" name="P38 Return" dataDxfId="1076" totalsRowDxfId="1075">
      <calculatedColumnFormula>SUMPRODUCT(INDEX(PortfolioRef[[SPY]:[PE]],MATCH(EU$1,PortfolioRef[Reference '#]),0),AssetMonthlyReturns[[#This Row],[SPY]:[PE]])</calculatedColumnFormula>
    </tableColumn>
    <tableColumn id="150" xr3:uid="{E4287B0E-92A6-4E38-A6C5-9DA8995664EA}" name="P38 Growth" dataDxfId="1074" totalsRowDxfId="1073">
      <calculatedColumnFormula>IF(ISNUMBER(EV3),EV3*(1+PortfolioFrontier[[#This Row],[P38 Return]]),1+PortfolioFrontier[[#This Row],[P38 Return]])</calculatedColumnFormula>
    </tableColumn>
    <tableColumn id="151" xr3:uid="{F5ECB120-F0AA-4ABC-B25A-8038C0E0F4F1}" name="P38 HWM" dataDxfId="1072" totalsRowDxfId="1071">
      <calculatedColumnFormula>MAX(EW3,PortfolioFrontier[[#This Row],[P38 Growth]])</calculatedColumnFormula>
    </tableColumn>
    <tableColumn id="152" xr3:uid="{E4F17AA0-AA41-4B01-960E-AC3906221000}" name="P38 DD" dataDxfId="1070" totalsRowDxfId="1069">
      <calculatedColumnFormula>PortfolioFrontier[[#This Row],[P38 Growth]]/PortfolioFrontier[[#This Row],[P38 HWM]]-1</calculatedColumnFormula>
    </tableColumn>
    <tableColumn id="153" xr3:uid="{E758FBC9-3E89-42F3-A8C1-3EBF8A21460C}" name="P39 Return" dataDxfId="1068" totalsRowDxfId="1067">
      <calculatedColumnFormula>SUMPRODUCT(INDEX(PortfolioRef[[SPY]:[PE]],MATCH(EY$1,PortfolioRef[Reference '#]),0),AssetMonthlyReturns[[#This Row],[SPY]:[PE]])</calculatedColumnFormula>
    </tableColumn>
    <tableColumn id="154" xr3:uid="{4A758FF6-94CE-4902-9E86-D65EAC4A2F2F}" name="P39 Growth" dataDxfId="1066" totalsRowDxfId="1065">
      <calculatedColumnFormula>IF(ISNUMBER(EZ3),EZ3*(1+PortfolioFrontier[[#This Row],[P39 Return]]),1+PortfolioFrontier[[#This Row],[P39 Return]])</calculatedColumnFormula>
    </tableColumn>
    <tableColumn id="155" xr3:uid="{3B45084E-FE45-4113-BC0C-C90B9F6169F6}" name="P39 HWM" dataDxfId="1064" totalsRowDxfId="1063">
      <calculatedColumnFormula>MAX(FA3,PortfolioFrontier[[#This Row],[P39 Growth]])</calculatedColumnFormula>
    </tableColumn>
    <tableColumn id="156" xr3:uid="{711AEA99-D058-42D2-ADDB-C5EA0E06AE19}" name="P39 DD" dataDxfId="1062" totalsRowDxfId="1061">
      <calculatedColumnFormula>PortfolioFrontier[[#This Row],[P39 Growth]]/PortfolioFrontier[[#This Row],[P39 HWM]]-1</calculatedColumnFormula>
    </tableColumn>
    <tableColumn id="157" xr3:uid="{C2890B8C-2719-4ACC-81CF-C80FC7AFB106}" name="P40 Return" dataDxfId="1060" totalsRowDxfId="1059">
      <calculatedColumnFormula>SUMPRODUCT(INDEX(PortfolioRef[[SPY]:[PE]],MATCH(FC$1,PortfolioRef[Reference '#]),0),AssetMonthlyReturns[[#This Row],[SPY]:[PE]])</calculatedColumnFormula>
    </tableColumn>
    <tableColumn id="158" xr3:uid="{B0BC795C-2F8B-4A8F-9566-CC0025485260}" name="P40 Growth" dataDxfId="1058" totalsRowDxfId="1057">
      <calculatedColumnFormula>IF(ISNUMBER(FD3),FD3*(1+PortfolioFrontier[[#This Row],[P40 Return]]),1+PortfolioFrontier[[#This Row],[P40 Return]])</calculatedColumnFormula>
    </tableColumn>
    <tableColumn id="159" xr3:uid="{06012196-2A75-40C5-BA01-44602B67DC82}" name="P40 HWM" dataDxfId="1056" totalsRowDxfId="1055">
      <calculatedColumnFormula>MAX(FE3,PortfolioFrontier[[#This Row],[P40 Growth]])</calculatedColumnFormula>
    </tableColumn>
    <tableColumn id="160" xr3:uid="{8ECE5949-BDB1-4FCF-AEAF-02357AEE2C64}" name="P40 DD" dataDxfId="1054" totalsRowDxfId="1053">
      <calculatedColumnFormula>PortfolioFrontier[[#This Row],[P40 Growth]]/PortfolioFrontier[[#This Row],[P40 HWM]]-1</calculatedColumnFormula>
    </tableColumn>
    <tableColumn id="161" xr3:uid="{5AABF351-A864-4044-95D6-2AD8A769DEF2}" name="P41 Return" dataDxfId="1052" totalsRowDxfId="1051">
      <calculatedColumnFormula>SUMPRODUCT(INDEX(PortfolioRef[[SPY]:[PE]],MATCH(FG$1,PortfolioRef[Reference '#]),0),AssetMonthlyReturns[[#This Row],[SPY]:[PE]])</calculatedColumnFormula>
    </tableColumn>
    <tableColumn id="162" xr3:uid="{101FC8C9-8FB7-48F0-9510-426B2A6B07E1}" name="P41 Growth" dataDxfId="1050" totalsRowDxfId="1049">
      <calculatedColumnFormula>IF(ISNUMBER(FH3),FH3*(1+PortfolioFrontier[[#This Row],[P41 Return]]),1+PortfolioFrontier[[#This Row],[P41 Return]])</calculatedColumnFormula>
    </tableColumn>
    <tableColumn id="163" xr3:uid="{863A725B-1F74-4B50-9A59-56BAF50EC49D}" name="P41 HWM" dataDxfId="1048" totalsRowDxfId="1047">
      <calculatedColumnFormula>MAX(FI3,PortfolioFrontier[[#This Row],[P41 Growth]])</calculatedColumnFormula>
    </tableColumn>
    <tableColumn id="164" xr3:uid="{9072C39E-4CD7-4573-AF60-977E7EE751F2}" name="P41 DD" dataDxfId="1046" totalsRowDxfId="1045">
      <calculatedColumnFormula>PortfolioFrontier[[#This Row],[P41 Growth]]/PortfolioFrontier[[#This Row],[P41 HWM]]-1</calculatedColumnFormula>
    </tableColumn>
    <tableColumn id="165" xr3:uid="{9FC83F9D-69E7-4889-9760-E89FF5D4AC74}" name="P42 Return" dataDxfId="1044" totalsRowDxfId="1043">
      <calculatedColumnFormula>SUMPRODUCT(INDEX(PortfolioRef[[SPY]:[PE]],MATCH(FK$1,PortfolioRef[Reference '#]),0),AssetMonthlyReturns[[#This Row],[SPY]:[PE]])</calculatedColumnFormula>
    </tableColumn>
    <tableColumn id="166" xr3:uid="{D43BC4DE-0EF5-42CF-A42C-E1A2526BE1EE}" name="P42 Growth" dataDxfId="1042" totalsRowDxfId="1041">
      <calculatedColumnFormula>IF(ISNUMBER(FL3),FL3*(1+PortfolioFrontier[[#This Row],[P42 Return]]),1+PortfolioFrontier[[#This Row],[P42 Return]])</calculatedColumnFormula>
    </tableColumn>
    <tableColumn id="167" xr3:uid="{EA33AAF0-77EC-485A-B4E9-304EB4452ED4}" name="P42 HWM" dataDxfId="1040" totalsRowDxfId="1039">
      <calculatedColumnFormula>MAX(FM3,PortfolioFrontier[[#This Row],[P42 Growth]])</calculatedColumnFormula>
    </tableColumn>
    <tableColumn id="168" xr3:uid="{9ECB0BE0-38E1-4E0D-9096-811C2545B388}" name="P42 DD" dataDxfId="1038" totalsRowDxfId="1037">
      <calculatedColumnFormula>PortfolioFrontier[[#This Row],[P42 Growth]]/PortfolioFrontier[[#This Row],[P42 HWM]]-1</calculatedColumnFormula>
    </tableColumn>
    <tableColumn id="169" xr3:uid="{A9CDBD7B-D4C8-4843-88C9-FFD1248B8D33}" name="P43 Return" dataDxfId="1036" totalsRowDxfId="1035">
      <calculatedColumnFormula>SUMPRODUCT(INDEX(PortfolioRef[[SPY]:[PE]],MATCH(FO$1,PortfolioRef[Reference '#]),0),AssetMonthlyReturns[[#This Row],[SPY]:[PE]])</calculatedColumnFormula>
    </tableColumn>
    <tableColumn id="170" xr3:uid="{C97E553F-2678-46CD-BFF6-F49921C26623}" name="P43 Growth" dataDxfId="1034" totalsRowDxfId="1033">
      <calculatedColumnFormula>IF(ISNUMBER(FP3),FP3*(1+PortfolioFrontier[[#This Row],[P43 Return]]),1+PortfolioFrontier[[#This Row],[P43 Return]])</calculatedColumnFormula>
    </tableColumn>
    <tableColumn id="171" xr3:uid="{E7F56E39-726D-4D22-8D25-55325FDD7B3F}" name="P43 HWM" dataDxfId="1032" totalsRowDxfId="1031">
      <calculatedColumnFormula>MAX(FQ3,PortfolioFrontier[[#This Row],[P43 Growth]])</calculatedColumnFormula>
    </tableColumn>
    <tableColumn id="172" xr3:uid="{3DFDE019-209B-499A-839D-905A9F572768}" name="P43 DD" dataDxfId="1030" totalsRowDxfId="1029">
      <calculatedColumnFormula>PortfolioFrontier[[#This Row],[P43 Growth]]/PortfolioFrontier[[#This Row],[P43 HWM]]-1</calculatedColumnFormula>
    </tableColumn>
    <tableColumn id="173" xr3:uid="{09E584DE-528B-4BE3-B0D2-96FF8110EA6B}" name="P44 Return" dataDxfId="1028" totalsRowDxfId="1027">
      <calculatedColumnFormula>SUMPRODUCT(INDEX(PortfolioRef[[SPY]:[PE]],MATCH(FS$1,PortfolioRef[Reference '#]),0),AssetMonthlyReturns[[#This Row],[SPY]:[PE]])</calculatedColumnFormula>
    </tableColumn>
    <tableColumn id="174" xr3:uid="{8FD361B7-ED9C-4244-809C-C51D3A5ABB3B}" name="P44 Growth" dataDxfId="1026" totalsRowDxfId="1025">
      <calculatedColumnFormula>IF(ISNUMBER(FT3),FT3*(1+PortfolioFrontier[[#This Row],[P44 Return]]),1+PortfolioFrontier[[#This Row],[P44 Return]])</calculatedColumnFormula>
    </tableColumn>
    <tableColumn id="175" xr3:uid="{98B4EF71-8963-48ED-99C7-0A936D1E629B}" name="P44 HWM" dataDxfId="1024" totalsRowDxfId="1023">
      <calculatedColumnFormula>MAX(FU3,PortfolioFrontier[[#This Row],[P44 Growth]])</calculatedColumnFormula>
    </tableColumn>
    <tableColumn id="176" xr3:uid="{D3D23BAF-4299-4E29-AEDC-B4EC333DCF6F}" name="P44 DD" dataDxfId="1022" totalsRowDxfId="1021">
      <calculatedColumnFormula>PortfolioFrontier[[#This Row],[P44 Growth]]/PortfolioFrontier[[#This Row],[P44 HWM]]-1</calculatedColumnFormula>
    </tableColumn>
    <tableColumn id="177" xr3:uid="{1875F305-AADC-4239-BACF-83816FE89864}" name="P45 Return" dataDxfId="1020" totalsRowDxfId="1019">
      <calculatedColumnFormula>SUMPRODUCT(INDEX(PortfolioRef[[SPY]:[PE]],MATCH(FW$1,PortfolioRef[Reference '#]),0),AssetMonthlyReturns[[#This Row],[SPY]:[PE]])</calculatedColumnFormula>
    </tableColumn>
    <tableColumn id="178" xr3:uid="{303B925D-70B9-483E-9281-9BFAEC520E5D}" name="P45 Growth" dataDxfId="1018" totalsRowDxfId="1017">
      <calculatedColumnFormula>IF(ISNUMBER(FX3),FX3*(1+PortfolioFrontier[[#This Row],[P45 Return]]),1+PortfolioFrontier[[#This Row],[P45 Return]])</calculatedColumnFormula>
    </tableColumn>
    <tableColumn id="179" xr3:uid="{587B5BF6-E53E-4013-B09C-96B0EAAD2391}" name="P45 HWM" dataDxfId="1016" totalsRowDxfId="1015">
      <calculatedColumnFormula>MAX(FY3,PortfolioFrontier[[#This Row],[P45 Growth]])</calculatedColumnFormula>
    </tableColumn>
    <tableColumn id="180" xr3:uid="{DBD8BC79-53D3-4BF5-B8AF-118BEBB00324}" name="P45 DD" dataDxfId="1014" totalsRowDxfId="1013">
      <calculatedColumnFormula>PortfolioFrontier[[#This Row],[P45 Growth]]/PortfolioFrontier[[#This Row],[P45 HWM]]-1</calculatedColumnFormula>
    </tableColumn>
    <tableColumn id="181" xr3:uid="{73E05723-C10A-46C2-9DE7-AC8C9F5382B0}" name="P46 Return" dataDxfId="1012" totalsRowDxfId="1011">
      <calculatedColumnFormula>SUMPRODUCT(INDEX(PortfolioRef[[SPY]:[PE]],MATCH(GA$1,PortfolioRef[Reference '#]),0),AssetMonthlyReturns[[#This Row],[SPY]:[PE]])</calculatedColumnFormula>
    </tableColumn>
    <tableColumn id="182" xr3:uid="{832CC3F7-A329-44F5-B2D6-B712C0DECA53}" name="P46 Growth" dataDxfId="1010" totalsRowDxfId="1009">
      <calculatedColumnFormula>IF(ISNUMBER(GB3),GB3*(1+PortfolioFrontier[[#This Row],[P46 Return]]),1+PortfolioFrontier[[#This Row],[P46 Return]])</calculatedColumnFormula>
    </tableColumn>
    <tableColumn id="183" xr3:uid="{34828720-53A2-4BCF-916B-F97D383F3123}" name="P46 HWM" dataDxfId="1008" totalsRowDxfId="1007">
      <calculatedColumnFormula>MAX(GC3,PortfolioFrontier[[#This Row],[P46 Growth]])</calculatedColumnFormula>
    </tableColumn>
    <tableColumn id="184" xr3:uid="{47258F65-E2CD-4683-B458-49771D374354}" name="P46 DD" dataDxfId="1006" totalsRowDxfId="1005">
      <calculatedColumnFormula>PortfolioFrontier[[#This Row],[P46 Growth]]/PortfolioFrontier[[#This Row],[P46 HWM]]-1</calculatedColumnFormula>
    </tableColumn>
    <tableColumn id="185" xr3:uid="{BB1B509C-2A88-4EEC-A95A-0EA02639C0C9}" name="P47 Return" dataDxfId="1004" totalsRowDxfId="1003">
      <calculatedColumnFormula>SUMPRODUCT(INDEX(PortfolioRef[[SPY]:[PE]],MATCH(GE$1,PortfolioRef[Reference '#]),0),AssetMonthlyReturns[[#This Row],[SPY]:[PE]])</calculatedColumnFormula>
    </tableColumn>
    <tableColumn id="186" xr3:uid="{BB573CB7-A16E-4489-BAE7-A997E13C2E26}" name="P47 Growth" dataDxfId="1002" totalsRowDxfId="1001">
      <calculatedColumnFormula>IF(ISNUMBER(GF3),GF3*(1+PortfolioFrontier[[#This Row],[P47 Return]]),1+PortfolioFrontier[[#This Row],[P47 Return]])</calculatedColumnFormula>
    </tableColumn>
    <tableColumn id="187" xr3:uid="{D2BBB62A-3537-4923-89BE-8AB81511433D}" name="P47 HWM" dataDxfId="1000" totalsRowDxfId="999">
      <calculatedColumnFormula>MAX(GG3,PortfolioFrontier[[#This Row],[P47 Growth]])</calculatedColumnFormula>
    </tableColumn>
    <tableColumn id="188" xr3:uid="{23163860-E0B3-4C16-977D-DDAFC02E4A47}" name="P47 DD" dataDxfId="998" totalsRowDxfId="997">
      <calculatedColumnFormula>PortfolioFrontier[[#This Row],[P47 Growth]]/PortfolioFrontier[[#This Row],[P47 HWM]]-1</calculatedColumnFormula>
    </tableColumn>
    <tableColumn id="189" xr3:uid="{4AE3FCF8-06EE-4614-9534-0670FA267BF0}" name="P48 Return" dataDxfId="996" totalsRowDxfId="995">
      <calculatedColumnFormula>SUMPRODUCT(INDEX(PortfolioRef[[SPY]:[PE]],MATCH(GI$1,PortfolioRef[Reference '#]),0),AssetMonthlyReturns[[#This Row],[SPY]:[PE]])</calculatedColumnFormula>
    </tableColumn>
    <tableColumn id="190" xr3:uid="{04FBFA4F-E801-45BF-B324-C187D4F34FB2}" name="P48 Growth" dataDxfId="994" totalsRowDxfId="993">
      <calculatedColumnFormula>IF(ISNUMBER(GJ3),GJ3*(1+PortfolioFrontier[[#This Row],[P48 Return]]),1+PortfolioFrontier[[#This Row],[P48 Return]])</calculatedColumnFormula>
    </tableColumn>
    <tableColumn id="191" xr3:uid="{FB834563-13F0-4600-8EA5-D60BFDB06AA7}" name="P48 HWM" dataDxfId="992" totalsRowDxfId="991">
      <calculatedColumnFormula>MAX(GK3,PortfolioFrontier[[#This Row],[P48 Growth]])</calculatedColumnFormula>
    </tableColumn>
    <tableColumn id="192" xr3:uid="{B3A83858-E986-4EE3-BE6C-4100814A0B74}" name="P48 DD" dataDxfId="990" totalsRowDxfId="989">
      <calculatedColumnFormula>PortfolioFrontier[[#This Row],[P48 Growth]]/PortfolioFrontier[[#This Row],[P48 HWM]]-1</calculatedColumnFormula>
    </tableColumn>
    <tableColumn id="193" xr3:uid="{8395B62D-907D-4D71-8A80-E059AC31F3AA}" name="P49 Return" dataDxfId="988" totalsRowDxfId="987">
      <calculatedColumnFormula>SUMPRODUCT(INDEX(PortfolioRef[[SPY]:[PE]],MATCH(GM$1,PortfolioRef[Reference '#]),0),AssetMonthlyReturns[[#This Row],[SPY]:[PE]])</calculatedColumnFormula>
    </tableColumn>
    <tableColumn id="194" xr3:uid="{79DD464F-B61D-4406-BDC6-20AA265910E7}" name="P49 Growth" dataDxfId="986" totalsRowDxfId="985">
      <calculatedColumnFormula>IF(ISNUMBER(GN3),GN3*(1+PortfolioFrontier[[#This Row],[P49 Return]]),1+PortfolioFrontier[[#This Row],[P49 Return]])</calculatedColumnFormula>
    </tableColumn>
    <tableColumn id="195" xr3:uid="{CEC716D8-6843-4325-9608-350A82A4D7A7}" name="P49 HWM" dataDxfId="984" totalsRowDxfId="983">
      <calculatedColumnFormula>MAX(GO3,PortfolioFrontier[[#This Row],[P49 Growth]])</calculatedColumnFormula>
    </tableColumn>
    <tableColumn id="196" xr3:uid="{35F1C361-4E20-4F58-BD6E-6CAAD7690090}" name="P49 DD" dataDxfId="982" totalsRowDxfId="981">
      <calculatedColumnFormula>PortfolioFrontier[[#This Row],[P49 Growth]]/PortfolioFrontier[[#This Row],[P49 HWM]]-1</calculatedColumnFormula>
    </tableColumn>
    <tableColumn id="197" xr3:uid="{246BE243-BB5B-46F7-9318-7D5066691229}" name="P50 Return" dataDxfId="980" totalsRowDxfId="979">
      <calculatedColumnFormula>SUMPRODUCT(INDEX(PortfolioRef[[SPY]:[PE]],MATCH(GQ$1,PortfolioRef[Reference '#]),0),AssetMonthlyReturns[[#This Row],[SPY]:[PE]])</calculatedColumnFormula>
    </tableColumn>
    <tableColumn id="198" xr3:uid="{F38DE75E-569F-44DD-B038-21E007EBA4BB}" name="P50 Growth" dataDxfId="978" totalsRowDxfId="977">
      <calculatedColumnFormula>IF(ISNUMBER(GR3),GR3*(1+PortfolioFrontier[[#This Row],[P50 Return]]),1+PortfolioFrontier[[#This Row],[P50 Return]])</calculatedColumnFormula>
    </tableColumn>
    <tableColumn id="199" xr3:uid="{B6A83055-C9E9-484F-8534-BD87F64B9034}" name="P50 HWM" dataDxfId="976" totalsRowDxfId="975">
      <calculatedColumnFormula>MAX(GS3,PortfolioFrontier[[#This Row],[P50 Growth]])</calculatedColumnFormula>
    </tableColumn>
    <tableColumn id="200" xr3:uid="{0FDAC0A7-36FB-42BA-BC5A-8FA5DFF63495}" name="P50 DD" dataDxfId="974" totalsRowDxfId="973">
      <calculatedColumnFormula>PortfolioFrontier[[#This Row],[P50 Growth]]/PortfolioFrontier[[#This Row],[P50 HWM]]-1</calculatedColumnFormula>
    </tableColumn>
    <tableColumn id="201" xr3:uid="{061B4FAE-A18E-469D-A3C3-63183A052821}" name="P51 Return" dataDxfId="972" totalsRowDxfId="971">
      <calculatedColumnFormula>SUMPRODUCT(INDEX(PortfolioRef[[SPY]:[PE]],MATCH(GU$1,PortfolioRef[Reference '#]),0),AssetMonthlyReturns[[#This Row],[SPY]:[PE]])</calculatedColumnFormula>
    </tableColumn>
    <tableColumn id="202" xr3:uid="{2044AEEE-6260-4D96-9F50-7C9D1CBECAFC}" name="P51 Growth" dataDxfId="970" totalsRowDxfId="969">
      <calculatedColumnFormula>IF(ISNUMBER(GV3),GV3*(1+PortfolioFrontier[[#This Row],[P51 Return]]),1+PortfolioFrontier[[#This Row],[P51 Return]])</calculatedColumnFormula>
    </tableColumn>
    <tableColumn id="203" xr3:uid="{F8FBE800-BDF1-439E-A45E-8A9459C5EF05}" name="P51 HWM" dataDxfId="968" totalsRowDxfId="967">
      <calculatedColumnFormula>MAX(GW3,PortfolioFrontier[[#This Row],[P51 Growth]])</calculatedColumnFormula>
    </tableColumn>
    <tableColumn id="204" xr3:uid="{8715638E-B595-4472-8EEC-3223FDC69069}" name="P51 DD" dataDxfId="966" totalsRowDxfId="965">
      <calculatedColumnFormula>PortfolioFrontier[[#This Row],[P51 Growth]]/PortfolioFrontier[[#This Row],[P51 HWM]]-1</calculatedColumnFormula>
    </tableColumn>
    <tableColumn id="205" xr3:uid="{039F3E94-F2D7-400E-8366-3FF181E28C1B}" name="P52 Return" dataDxfId="964" totalsRowDxfId="963">
      <calculatedColumnFormula>SUMPRODUCT(INDEX(PortfolioRef[[SPY]:[PE]],MATCH(GY$1,PortfolioRef[Reference '#]),0),AssetMonthlyReturns[[#This Row],[SPY]:[PE]])</calculatedColumnFormula>
    </tableColumn>
    <tableColumn id="206" xr3:uid="{730B818C-8F71-40EC-B5EC-B753925FBCAC}" name="P52 Growth" dataDxfId="962" totalsRowDxfId="961">
      <calculatedColumnFormula>IF(ISNUMBER(GZ3),GZ3*(1+PortfolioFrontier[[#This Row],[P52 Return]]),1+PortfolioFrontier[[#This Row],[P52 Return]])</calculatedColumnFormula>
    </tableColumn>
    <tableColumn id="207" xr3:uid="{174130C6-41EC-4FEA-AB9B-7D9468558ACA}" name="P52 HWM" dataDxfId="960" totalsRowDxfId="959">
      <calculatedColumnFormula>MAX(HA3,PortfolioFrontier[[#This Row],[P52 Growth]])</calculatedColumnFormula>
    </tableColumn>
    <tableColumn id="208" xr3:uid="{6D6AE13D-577A-4CF8-AE75-522722B704DD}" name="P52 DD" dataDxfId="958" totalsRowDxfId="957">
      <calculatedColumnFormula>PortfolioFrontier[[#This Row],[P52 Growth]]/PortfolioFrontier[[#This Row],[P52 HWM]]-1</calculatedColumnFormula>
    </tableColumn>
    <tableColumn id="209" xr3:uid="{FF0C3C10-51D3-4A66-A87A-DE9BA5470D0A}" name="P53 Return" dataDxfId="956" totalsRowDxfId="955">
      <calculatedColumnFormula>SUMPRODUCT(INDEX(PortfolioRef[[SPY]:[PE]],MATCH(HC$1,PortfolioRef[Reference '#]),0),AssetMonthlyReturns[[#This Row],[SPY]:[PE]])</calculatedColumnFormula>
    </tableColumn>
    <tableColumn id="210" xr3:uid="{F5078237-34DF-4E7A-9AE6-1ABBD194AACE}" name="P53 Growth" dataDxfId="954" totalsRowDxfId="953">
      <calculatedColumnFormula>IF(ISNUMBER(HD3),HD3*(1+PortfolioFrontier[[#This Row],[P53 Return]]),1+PortfolioFrontier[[#This Row],[P53 Return]])</calculatedColumnFormula>
    </tableColumn>
    <tableColumn id="211" xr3:uid="{E7C720EE-2162-4E2A-AB9E-148EC24F8310}" name="P53 HWM" dataDxfId="952" totalsRowDxfId="951">
      <calculatedColumnFormula>MAX(HE3,PortfolioFrontier[[#This Row],[P53 Growth]])</calculatedColumnFormula>
    </tableColumn>
    <tableColumn id="212" xr3:uid="{45D2E6E5-C5B7-4291-B682-A1EE2C0A2F2D}" name="P53 DD" dataDxfId="950" totalsRowDxfId="949">
      <calculatedColumnFormula>PortfolioFrontier[[#This Row],[P53 Growth]]/PortfolioFrontier[[#This Row],[P53 HWM]]-1</calculatedColumnFormula>
    </tableColumn>
    <tableColumn id="213" xr3:uid="{3BEF5696-E755-41F8-8BAD-8522B5CD60B0}" name="P54 Return" dataDxfId="948" totalsRowDxfId="947">
      <calculatedColumnFormula>SUMPRODUCT(INDEX(PortfolioRef[[SPY]:[PE]],MATCH(HG$1,PortfolioRef[Reference '#]),0),AssetMonthlyReturns[[#This Row],[SPY]:[PE]])</calculatedColumnFormula>
    </tableColumn>
    <tableColumn id="214" xr3:uid="{FDB077E6-B0BC-41CC-A421-BB4381AA9807}" name="P54 Growth" dataDxfId="946" totalsRowDxfId="945">
      <calculatedColumnFormula>IF(ISNUMBER(HH3),HH3*(1+PortfolioFrontier[[#This Row],[P54 Return]]),1+PortfolioFrontier[[#This Row],[P54 Return]])</calculatedColumnFormula>
    </tableColumn>
    <tableColumn id="215" xr3:uid="{02BEA8F6-C4C5-48A0-BC1F-2963158CDE95}" name="P54 HWM" dataDxfId="944" totalsRowDxfId="943">
      <calculatedColumnFormula>MAX(HI3,PortfolioFrontier[[#This Row],[P54 Growth]])</calculatedColumnFormula>
    </tableColumn>
    <tableColumn id="216" xr3:uid="{05B7C6FA-80C2-4FED-B82F-A99C05456870}" name="P54 DD" dataDxfId="942" totalsRowDxfId="941">
      <calculatedColumnFormula>PortfolioFrontier[[#This Row],[P54 Growth]]/PortfolioFrontier[[#This Row],[P54 HWM]]-1</calculatedColumnFormula>
    </tableColumn>
    <tableColumn id="217" xr3:uid="{85BE48BD-21C3-4E88-91A6-303FAF979E23}" name="P55 Return" dataDxfId="940" totalsRowDxfId="939">
      <calculatedColumnFormula>SUMPRODUCT(INDEX(PortfolioRef[[SPY]:[PE]],MATCH(HK$1,PortfolioRef[Reference '#]),0),AssetMonthlyReturns[[#This Row],[SPY]:[PE]])</calculatedColumnFormula>
    </tableColumn>
    <tableColumn id="218" xr3:uid="{3E9DBDA0-AF16-4967-9B20-050AEDFD1B35}" name="P55 Growth" dataDxfId="938" totalsRowDxfId="937">
      <calculatedColumnFormula>IF(ISNUMBER(HL3),HL3*(1+PortfolioFrontier[[#This Row],[P55 Return]]),1+PortfolioFrontier[[#This Row],[P55 Return]])</calculatedColumnFormula>
    </tableColumn>
    <tableColumn id="219" xr3:uid="{5D124AB4-CCCF-45DE-BE65-C082980D46C0}" name="P55 HWM" dataDxfId="936" totalsRowDxfId="935">
      <calculatedColumnFormula>MAX(HM3,PortfolioFrontier[[#This Row],[P55 Growth]])</calculatedColumnFormula>
    </tableColumn>
    <tableColumn id="220" xr3:uid="{A30DE125-F315-4AC4-815C-C8F1C782B235}" name="P55 DD" dataDxfId="934" totalsRowDxfId="933">
      <calculatedColumnFormula>PortfolioFrontier[[#This Row],[P55 Growth]]/PortfolioFrontier[[#This Row],[P55 HWM]]-1</calculatedColumnFormula>
    </tableColumn>
    <tableColumn id="221" xr3:uid="{2B6C8B53-262B-4803-B34D-9C739C5E5DEA}" name="P56 Return" dataDxfId="932" totalsRowDxfId="931">
      <calculatedColumnFormula>SUMPRODUCT(INDEX(PortfolioRef[[SPY]:[PE]],MATCH(HO$1,PortfolioRef[Reference '#]),0),AssetMonthlyReturns[[#This Row],[SPY]:[PE]])</calculatedColumnFormula>
    </tableColumn>
    <tableColumn id="222" xr3:uid="{3A970E7E-30DA-45B1-BDF2-97BD2433B694}" name="P56 Growth" dataDxfId="930" totalsRowDxfId="929">
      <calculatedColumnFormula>IF(ISNUMBER(HP3),HP3*(1+PortfolioFrontier[[#This Row],[P56 Return]]),1+PortfolioFrontier[[#This Row],[P56 Return]])</calculatedColumnFormula>
    </tableColumn>
    <tableColumn id="223" xr3:uid="{ED8C4187-7CE2-414E-BF91-67C36FF82563}" name="P56 HWM" dataDxfId="928" totalsRowDxfId="927">
      <calculatedColumnFormula>MAX(HQ3,PortfolioFrontier[[#This Row],[P56 Growth]])</calculatedColumnFormula>
    </tableColumn>
    <tableColumn id="224" xr3:uid="{44FF3DE1-2FF8-4574-9C0D-29B1619EE2F3}" name="P56 DD" dataDxfId="926" totalsRowDxfId="925">
      <calculatedColumnFormula>PortfolioFrontier[[#This Row],[P56 Growth]]/PortfolioFrontier[[#This Row],[P56 HWM]]-1</calculatedColumnFormula>
    </tableColumn>
    <tableColumn id="225" xr3:uid="{BCDD9933-6769-4BE1-BDB2-ECC5249AB96F}" name="P57 Return" dataDxfId="924" totalsRowDxfId="923">
      <calculatedColumnFormula>SUMPRODUCT(INDEX(PortfolioRef[[SPY]:[PE]],MATCH(HS$1,PortfolioRef[Reference '#]),0),AssetMonthlyReturns[[#This Row],[SPY]:[PE]])</calculatedColumnFormula>
    </tableColumn>
    <tableColumn id="226" xr3:uid="{18C35875-B571-4E05-B15D-FF2593B7290A}" name="P57 Growth" dataDxfId="922" totalsRowDxfId="921">
      <calculatedColumnFormula>IF(ISNUMBER(HT3),HT3*(1+PortfolioFrontier[[#This Row],[P57 Return]]),1+PortfolioFrontier[[#This Row],[P57 Return]])</calculatedColumnFormula>
    </tableColumn>
    <tableColumn id="227" xr3:uid="{1BB38351-FCF0-473D-A417-A6F1797232E7}" name="P57 HWM" dataDxfId="920" totalsRowDxfId="919">
      <calculatedColumnFormula>MAX(HU3,PortfolioFrontier[[#This Row],[P57 Growth]])</calculatedColumnFormula>
    </tableColumn>
    <tableColumn id="228" xr3:uid="{651B5F9A-C9FE-495C-ACA6-976311D297B1}" name="P57 DD" dataDxfId="918" totalsRowDxfId="917">
      <calculatedColumnFormula>PortfolioFrontier[[#This Row],[P57 Growth]]/PortfolioFrontier[[#This Row],[P57 HWM]]-1</calculatedColumnFormula>
    </tableColumn>
    <tableColumn id="229" xr3:uid="{527AA6DC-169A-4D5D-94CB-76A5D2E63345}" name="P58 Return" dataDxfId="916" totalsRowDxfId="915">
      <calculatedColumnFormula>SUMPRODUCT(INDEX(PortfolioRef[[SPY]:[PE]],MATCH(HW$1,PortfolioRef[Reference '#]),0),AssetMonthlyReturns[[#This Row],[SPY]:[PE]])</calculatedColumnFormula>
    </tableColumn>
    <tableColumn id="230" xr3:uid="{57DA034E-63BA-4FF5-B4D0-04E454CFC6B2}" name="P58 Growth" dataDxfId="914" totalsRowDxfId="913">
      <calculatedColumnFormula>IF(ISNUMBER(HX3),HX3*(1+PortfolioFrontier[[#This Row],[P58 Return]]),1+PortfolioFrontier[[#This Row],[P58 Return]])</calculatedColumnFormula>
    </tableColumn>
    <tableColumn id="231" xr3:uid="{B8531072-9242-4271-BF94-78CD2D00DC04}" name="P58 HWM" dataDxfId="912" totalsRowDxfId="911">
      <calculatedColumnFormula>MAX(HY3,PortfolioFrontier[[#This Row],[P58 Growth]])</calculatedColumnFormula>
    </tableColumn>
    <tableColumn id="232" xr3:uid="{103E38FB-468A-4545-8CD5-C45874D10A97}" name="P58 DD" dataDxfId="910" totalsRowDxfId="909">
      <calculatedColumnFormula>PortfolioFrontier[[#This Row],[P58 Growth]]/PortfolioFrontier[[#This Row],[P58 HWM]]-1</calculatedColumnFormula>
    </tableColumn>
    <tableColumn id="233" xr3:uid="{DA6262B4-C1F4-4627-A397-96759569622B}" name="P59 Return" dataDxfId="908" totalsRowDxfId="907">
      <calculatedColumnFormula>SUMPRODUCT(INDEX(PortfolioRef[[SPY]:[PE]],MATCH(IA$1,PortfolioRef[Reference '#]),0),AssetMonthlyReturns[[#This Row],[SPY]:[PE]])</calculatedColumnFormula>
    </tableColumn>
    <tableColumn id="234" xr3:uid="{B68BAA9C-DC92-4591-86FB-5FBE5D43A6F9}" name="P59 Growth" dataDxfId="906" totalsRowDxfId="905">
      <calculatedColumnFormula>IF(ISNUMBER(IB3),IB3*(1+PortfolioFrontier[[#This Row],[P59 Return]]),1+PortfolioFrontier[[#This Row],[P59 Return]])</calculatedColumnFormula>
    </tableColumn>
    <tableColumn id="235" xr3:uid="{2A3100C7-85FA-44C2-A6A3-9AABD179A2E1}" name="P59 HWM" dataDxfId="904" totalsRowDxfId="903">
      <calculatedColumnFormula>MAX(IC3,PortfolioFrontier[[#This Row],[P59 Growth]])</calculatedColumnFormula>
    </tableColumn>
    <tableColumn id="236" xr3:uid="{A6192E27-4658-45E5-A664-DA822AA437A1}" name="P59 DD" dataDxfId="902" totalsRowDxfId="901">
      <calculatedColumnFormula>PortfolioFrontier[[#This Row],[P59 Growth]]/PortfolioFrontier[[#This Row],[P59 HWM]]-1</calculatedColumnFormula>
    </tableColumn>
    <tableColumn id="237" xr3:uid="{F5E8CEE5-F4FF-4CB7-ABCD-B644E44D5FF6}" name="P60 Return" dataDxfId="900" totalsRowDxfId="899">
      <calculatedColumnFormula>SUMPRODUCT(INDEX(PortfolioRef[[SPY]:[PE]],MATCH(IE$1,PortfolioRef[Reference '#]),0),AssetMonthlyReturns[[#This Row],[SPY]:[PE]])</calculatedColumnFormula>
    </tableColumn>
    <tableColumn id="238" xr3:uid="{408FDC7F-72B0-488F-95CC-8A01F2C59102}" name="P60 Growth" dataDxfId="898" totalsRowDxfId="897">
      <calculatedColumnFormula>IF(ISNUMBER(IF3),IF3*(1+PortfolioFrontier[[#This Row],[P60 Return]]),1+PortfolioFrontier[[#This Row],[P60 Return]])</calculatedColumnFormula>
    </tableColumn>
    <tableColumn id="239" xr3:uid="{B202DCD5-7FA7-4B1E-8DF4-6224452D3CA6}" name="P60 HWM" dataDxfId="896" totalsRowDxfId="895">
      <calculatedColumnFormula>MAX(IG3,PortfolioFrontier[[#This Row],[P60 Growth]])</calculatedColumnFormula>
    </tableColumn>
    <tableColumn id="240" xr3:uid="{C85C9AFF-B6A9-4DF4-B6FE-D475FD9285C2}" name="P60 DD" dataDxfId="894" totalsRowDxfId="893">
      <calculatedColumnFormula>PortfolioFrontier[[#This Row],[P60 Growth]]/PortfolioFrontier[[#This Row],[P60 HWM]]-1</calculatedColumnFormula>
    </tableColumn>
    <tableColumn id="241" xr3:uid="{C0D5FB8D-F672-4164-A95D-05928B33A1B9}" name="P61 Return" dataDxfId="892" totalsRowDxfId="891">
      <calculatedColumnFormula>SUMPRODUCT(INDEX(PortfolioRef[[SPY]:[PE]],MATCH(II$1,PortfolioRef[Reference '#]),0),AssetMonthlyReturns[[#This Row],[SPY]:[PE]])</calculatedColumnFormula>
    </tableColumn>
    <tableColumn id="242" xr3:uid="{5A2C82AE-C177-4A19-BC97-34CFF632E7AF}" name="P61 Growth" dataDxfId="890" totalsRowDxfId="889">
      <calculatedColumnFormula>IF(ISNUMBER(IJ3),IJ3*(1+PortfolioFrontier[[#This Row],[P61 Return]]),1+PortfolioFrontier[[#This Row],[P61 Return]])</calculatedColumnFormula>
    </tableColumn>
    <tableColumn id="243" xr3:uid="{96CA705B-3D56-4F0D-B5F9-106D93473B7D}" name="P61 HWM" dataDxfId="888" totalsRowDxfId="887">
      <calculatedColumnFormula>MAX(IK3,PortfolioFrontier[[#This Row],[P61 Growth]])</calculatedColumnFormula>
    </tableColumn>
    <tableColumn id="244" xr3:uid="{97B9623A-B201-454D-9DDD-F19A89E925DC}" name="P61 DD" dataDxfId="886" totalsRowDxfId="885">
      <calculatedColumnFormula>PortfolioFrontier[[#This Row],[P61 Growth]]/PortfolioFrontier[[#This Row],[P61 HWM]]-1</calculatedColumnFormula>
    </tableColumn>
    <tableColumn id="245" xr3:uid="{0C97BA90-B48A-4676-8310-9F0ADE3BCFBA}" name="P62 Return" dataDxfId="884" totalsRowDxfId="883">
      <calculatedColumnFormula>SUMPRODUCT(INDEX(PortfolioRef[[SPY]:[PE]],MATCH(IM$1,PortfolioRef[Reference '#]),0),AssetMonthlyReturns[[#This Row],[SPY]:[PE]])</calculatedColumnFormula>
    </tableColumn>
    <tableColumn id="246" xr3:uid="{ACDFE0EA-0536-4EBB-8AB7-CB4CD7F41988}" name="P62 Growth" dataDxfId="882" totalsRowDxfId="881">
      <calculatedColumnFormula>IF(ISNUMBER(IN3),IN3*(1+PortfolioFrontier[[#This Row],[P62 Return]]),1+PortfolioFrontier[[#This Row],[P62 Return]])</calculatedColumnFormula>
    </tableColumn>
    <tableColumn id="247" xr3:uid="{418E9CDF-2515-4272-8BCA-E287CDCCFAAD}" name="P62 HWM" dataDxfId="880" totalsRowDxfId="879">
      <calculatedColumnFormula>MAX(IO3,PortfolioFrontier[[#This Row],[P62 Growth]])</calculatedColumnFormula>
    </tableColumn>
    <tableColumn id="248" xr3:uid="{86941463-0427-4D45-B735-47B6F7958768}" name="P62 DD" dataDxfId="878" totalsRowDxfId="877">
      <calculatedColumnFormula>PortfolioFrontier[[#This Row],[P62 Growth]]/PortfolioFrontier[[#This Row],[P62 HWM]]-1</calculatedColumnFormula>
    </tableColumn>
    <tableColumn id="249" xr3:uid="{5429DB34-345E-48A6-B918-2976EA41D7EA}" name="P63 Return" dataDxfId="876" totalsRowDxfId="875">
      <calculatedColumnFormula>SUMPRODUCT(INDEX(PortfolioRef[[SPY]:[PE]],MATCH(IQ$1,PortfolioRef[Reference '#]),0),AssetMonthlyReturns[[#This Row],[SPY]:[PE]])</calculatedColumnFormula>
    </tableColumn>
    <tableColumn id="250" xr3:uid="{C3FA6248-8949-4810-A748-C44E02EE5D00}" name="P63 Growth" dataDxfId="874" totalsRowDxfId="873">
      <calculatedColumnFormula>IF(ISNUMBER(IR3),IR3*(1+PortfolioFrontier[[#This Row],[P63 Return]]),1+PortfolioFrontier[[#This Row],[P63 Return]])</calculatedColumnFormula>
    </tableColumn>
    <tableColumn id="251" xr3:uid="{5D559BFD-8275-4648-8E7B-3C297544AE28}" name="P63 HWM" dataDxfId="872" totalsRowDxfId="871">
      <calculatedColumnFormula>MAX(IS3,PortfolioFrontier[[#This Row],[P63 Growth]])</calculatedColumnFormula>
    </tableColumn>
    <tableColumn id="252" xr3:uid="{775318DD-B79A-4BFA-8C5B-1ED561804C87}" name="P63 DD" dataDxfId="870" totalsRowDxfId="869">
      <calculatedColumnFormula>PortfolioFrontier[[#This Row],[P63 Growth]]/PortfolioFrontier[[#This Row],[P63 HWM]]-1</calculatedColumnFormula>
    </tableColumn>
    <tableColumn id="253" xr3:uid="{CF266B83-AA7F-493C-98E8-56516EE87101}" name="P64 Return" dataDxfId="868" totalsRowDxfId="867">
      <calculatedColumnFormula>SUMPRODUCT(INDEX(PortfolioRef[[SPY]:[PE]],MATCH(IU$1,PortfolioRef[Reference '#]),0),AssetMonthlyReturns[[#This Row],[SPY]:[PE]])</calculatedColumnFormula>
    </tableColumn>
    <tableColumn id="254" xr3:uid="{16A8877E-9439-45AD-925E-2144C5823E62}" name="P64 Growth" dataDxfId="866" totalsRowDxfId="865">
      <calculatedColumnFormula>IF(ISNUMBER(IV3),IV3*(1+PortfolioFrontier[[#This Row],[P64 Return]]),1+PortfolioFrontier[[#This Row],[P64 Return]])</calculatedColumnFormula>
    </tableColumn>
    <tableColumn id="255" xr3:uid="{EDCEEF2C-CF01-4B25-A1AA-399CAAA12BCB}" name="P64 HWM" dataDxfId="864" totalsRowDxfId="863">
      <calculatedColumnFormula>MAX(IW3,PortfolioFrontier[[#This Row],[P64 Growth]])</calculatedColumnFormula>
    </tableColumn>
    <tableColumn id="256" xr3:uid="{7162AEA8-E3CA-40E8-98E6-7F250225AE57}" name="P64 DD" dataDxfId="862" totalsRowDxfId="861">
      <calculatedColumnFormula>PortfolioFrontier[[#This Row],[P64 Growth]]/PortfolioFrontier[[#This Row],[P64 HWM]]-1</calculatedColumnFormula>
    </tableColumn>
    <tableColumn id="257" xr3:uid="{B065FF3D-1B89-41C7-80BE-240531AB539E}" name="P65 Return" dataDxfId="860" totalsRowDxfId="859">
      <calculatedColumnFormula>SUMPRODUCT(INDEX(PortfolioRef[[SPY]:[PE]],MATCH(IY$1,PortfolioRef[Reference '#]),0),AssetMonthlyReturns[[#This Row],[SPY]:[PE]])</calculatedColumnFormula>
    </tableColumn>
    <tableColumn id="258" xr3:uid="{6F97EDD1-FA2A-43C4-AE72-54040EB5EE86}" name="P65 Growth" dataDxfId="858" totalsRowDxfId="857">
      <calculatedColumnFormula>IF(ISNUMBER(IZ3),IZ3*(1+PortfolioFrontier[[#This Row],[P65 Return]]),1+PortfolioFrontier[[#This Row],[P65 Return]])</calculatedColumnFormula>
    </tableColumn>
    <tableColumn id="259" xr3:uid="{AA50F947-1AF6-455E-8778-1DF05E65650F}" name="P65 HWM" dataDxfId="856" totalsRowDxfId="855">
      <calculatedColumnFormula>MAX(JA3,PortfolioFrontier[[#This Row],[P65 Growth]])</calculatedColumnFormula>
    </tableColumn>
    <tableColumn id="260" xr3:uid="{A352809F-EC7D-4AFF-B8DA-96810EC05CCE}" name="P65 DD" dataDxfId="854" totalsRowDxfId="853">
      <calculatedColumnFormula>PortfolioFrontier[[#This Row],[P65 Growth]]/PortfolioFrontier[[#This Row],[P65 HWM]]-1</calculatedColumnFormula>
    </tableColumn>
    <tableColumn id="261" xr3:uid="{BA5F01C8-F425-4263-93AF-718AA80F9A80}" name="P66 Return" dataDxfId="852" totalsRowDxfId="851">
      <calculatedColumnFormula>SUMPRODUCT(INDEX(PortfolioRef[[SPY]:[PE]],MATCH(JC$1,PortfolioRef[Reference '#]),0),AssetMonthlyReturns[[#This Row],[SPY]:[PE]])</calculatedColumnFormula>
    </tableColumn>
    <tableColumn id="262" xr3:uid="{EFABE62A-1832-481F-86B6-56805E262546}" name="P66 Growth" dataDxfId="850" totalsRowDxfId="849">
      <calculatedColumnFormula>IF(ISNUMBER(JD3),JD3*(1+PortfolioFrontier[[#This Row],[P66 Return]]),1+PortfolioFrontier[[#This Row],[P66 Return]])</calculatedColumnFormula>
    </tableColumn>
    <tableColumn id="263" xr3:uid="{C5DF8D94-66F2-408A-A050-5FCED8A4C2D2}" name="P66 HWM" dataDxfId="848" totalsRowDxfId="847">
      <calculatedColumnFormula>MAX(JE3,PortfolioFrontier[[#This Row],[P66 Growth]])</calculatedColumnFormula>
    </tableColumn>
    <tableColumn id="264" xr3:uid="{BB6F2D94-2504-45FD-90B1-08E64003FB9C}" name="P66 DD" dataDxfId="846" totalsRowDxfId="845">
      <calculatedColumnFormula>PortfolioFrontier[[#This Row],[P66 Growth]]/PortfolioFrontier[[#This Row],[P66 HWM]]-1</calculatedColumnFormula>
    </tableColumn>
    <tableColumn id="265" xr3:uid="{CCE185D0-CC29-47AB-9A95-AC944E21F7BC}" name="P67 Return" dataDxfId="844" totalsRowDxfId="843">
      <calculatedColumnFormula>SUMPRODUCT(INDEX(PortfolioRef[[SPY]:[PE]],MATCH(JG$1,PortfolioRef[Reference '#]),0),AssetMonthlyReturns[[#This Row],[SPY]:[PE]])</calculatedColumnFormula>
    </tableColumn>
    <tableColumn id="266" xr3:uid="{0A5FA54C-82BA-4377-B0D5-C97EECCF7EC8}" name="P67 Growth" dataDxfId="842" totalsRowDxfId="841">
      <calculatedColumnFormula>IF(ISNUMBER(JH3),JH3*(1+PortfolioFrontier[[#This Row],[P67 Return]]),1+PortfolioFrontier[[#This Row],[P67 Return]])</calculatedColumnFormula>
    </tableColumn>
    <tableColumn id="267" xr3:uid="{8809E2E1-61DC-4172-AF0E-4DC0DC3A48D0}" name="P67 HWM" dataDxfId="840" totalsRowDxfId="839">
      <calculatedColumnFormula>MAX(JI3,PortfolioFrontier[[#This Row],[P67 Growth]])</calculatedColumnFormula>
    </tableColumn>
    <tableColumn id="268" xr3:uid="{47F61164-CA2B-4B69-8E21-2D19EC16F18F}" name="P67 DD" dataDxfId="838" totalsRowDxfId="837">
      <calculatedColumnFormula>PortfolioFrontier[[#This Row],[P67 Growth]]/PortfolioFrontier[[#This Row],[P67 HWM]]-1</calculatedColumnFormula>
    </tableColumn>
    <tableColumn id="269" xr3:uid="{EF72D30B-ECBD-4F26-B80F-449E7B6A4D26}" name="P68 Return" dataDxfId="836" totalsRowDxfId="835">
      <calculatedColumnFormula>SUMPRODUCT(INDEX(PortfolioRef[[SPY]:[PE]],MATCH(JK$1,PortfolioRef[Reference '#]),0),AssetMonthlyReturns[[#This Row],[SPY]:[PE]])</calculatedColumnFormula>
    </tableColumn>
    <tableColumn id="270" xr3:uid="{F02CC91B-C3B1-41D6-9C5A-5416E5B05019}" name="P68 Growth" dataDxfId="834" totalsRowDxfId="833">
      <calculatedColumnFormula>IF(ISNUMBER(JL3),JL3*(1+PortfolioFrontier[[#This Row],[P68 Return]]),1+PortfolioFrontier[[#This Row],[P68 Return]])</calculatedColumnFormula>
    </tableColumn>
    <tableColumn id="271" xr3:uid="{A91396E5-C1D6-415A-9B0D-D3D90EABB284}" name="P68 HWM" dataDxfId="832" totalsRowDxfId="831">
      <calculatedColumnFormula>MAX(JM3,PortfolioFrontier[[#This Row],[P68 Growth]])</calculatedColumnFormula>
    </tableColumn>
    <tableColumn id="272" xr3:uid="{9FCDE578-0A8F-4FAE-ABF9-FD543EB59A46}" name="P68 DD" dataDxfId="830" totalsRowDxfId="829">
      <calculatedColumnFormula>PortfolioFrontier[[#This Row],[P68 Growth]]/PortfolioFrontier[[#This Row],[P68 HWM]]-1</calculatedColumnFormula>
    </tableColumn>
    <tableColumn id="273" xr3:uid="{E7C4DBC2-8523-4044-8A6C-1402F093150E}" name="P69 Return" dataDxfId="828" totalsRowDxfId="827">
      <calculatedColumnFormula>SUMPRODUCT(INDEX(PortfolioRef[[SPY]:[PE]],MATCH(JO$1,PortfolioRef[Reference '#]),0),AssetMonthlyReturns[[#This Row],[SPY]:[PE]])</calculatedColumnFormula>
    </tableColumn>
    <tableColumn id="274" xr3:uid="{286F2517-C072-46AD-B965-DF666504DB51}" name="P69 Growth" dataDxfId="826" totalsRowDxfId="825">
      <calculatedColumnFormula>IF(ISNUMBER(JP3),JP3*(1+PortfolioFrontier[[#This Row],[P69 Return]]),1+PortfolioFrontier[[#This Row],[P69 Return]])</calculatedColumnFormula>
    </tableColumn>
    <tableColumn id="275" xr3:uid="{E693D734-7BAE-46D5-846F-E64884A40C52}" name="P69 HWM" dataDxfId="824" totalsRowDxfId="823">
      <calculatedColumnFormula>MAX(JQ3,PortfolioFrontier[[#This Row],[P69 Growth]])</calculatedColumnFormula>
    </tableColumn>
    <tableColumn id="276" xr3:uid="{5DFB3EBA-BB59-4E0E-8B9A-6277C301DCDA}" name="P69 DD" dataDxfId="822" totalsRowDxfId="821">
      <calculatedColumnFormula>PortfolioFrontier[[#This Row],[P69 Growth]]/PortfolioFrontier[[#This Row],[P69 HWM]]-1</calculatedColumnFormula>
    </tableColumn>
    <tableColumn id="277" xr3:uid="{49E6C3A6-1B84-4BCD-8FA3-62E287E11EB4}" name="P70 Return" dataDxfId="820" totalsRowDxfId="819">
      <calculatedColumnFormula>SUMPRODUCT(INDEX(PortfolioRef[[SPY]:[PE]],MATCH(JS$1,PortfolioRef[Reference '#]),0),AssetMonthlyReturns[[#This Row],[SPY]:[PE]])</calculatedColumnFormula>
    </tableColumn>
    <tableColumn id="278" xr3:uid="{FDA846CB-322D-499B-AEC5-345EC6F45528}" name="P70 Growth" dataDxfId="818" totalsRowDxfId="817">
      <calculatedColumnFormula>IF(ISNUMBER(JT3),JT3*(1+PortfolioFrontier[[#This Row],[P70 Return]]),1+PortfolioFrontier[[#This Row],[P70 Return]])</calculatedColumnFormula>
    </tableColumn>
    <tableColumn id="279" xr3:uid="{D91F94F0-53D8-4D51-A7DF-E274ECA814CB}" name="P70 HWM" dataDxfId="816" totalsRowDxfId="815">
      <calculatedColumnFormula>MAX(JU3,PortfolioFrontier[[#This Row],[P70 Growth]])</calculatedColumnFormula>
    </tableColumn>
    <tableColumn id="280" xr3:uid="{443ACD95-6B7E-4ADB-B9FA-A5D4A2EE7A3D}" name="P70 DD" dataDxfId="814" totalsRowDxfId="813">
      <calculatedColumnFormula>PortfolioFrontier[[#This Row],[P70 Growth]]/PortfolioFrontier[[#This Row],[P70 HWM]]-1</calculatedColumnFormula>
    </tableColumn>
    <tableColumn id="281" xr3:uid="{D0F9609C-5460-4E08-9D4D-E2AFB0FB8A33}" name="P71 Return" dataDxfId="812" totalsRowDxfId="811">
      <calculatedColumnFormula>SUMPRODUCT(INDEX(PortfolioRef[[SPY]:[PE]],MATCH(JW$1,PortfolioRef[Reference '#]),0),AssetMonthlyReturns[[#This Row],[SPY]:[PE]])</calculatedColumnFormula>
    </tableColumn>
    <tableColumn id="282" xr3:uid="{6C8437DA-F8E7-4017-A034-81B8982CC3DD}" name="P71 Growth" dataDxfId="810" totalsRowDxfId="809">
      <calculatedColumnFormula>IF(ISNUMBER(JX3),JX3*(1+PortfolioFrontier[[#This Row],[P71 Return]]),1+PortfolioFrontier[[#This Row],[P71 Return]])</calculatedColumnFormula>
    </tableColumn>
    <tableColumn id="283" xr3:uid="{4ED2C261-C57D-47E2-A2E8-5948C969C3DD}" name="P71 HWM" dataDxfId="808" totalsRowDxfId="807">
      <calculatedColumnFormula>MAX(JY3,PortfolioFrontier[[#This Row],[P71 Growth]])</calculatedColumnFormula>
    </tableColumn>
    <tableColumn id="284" xr3:uid="{0E55C558-0DC1-4E1B-AD44-07A0AED1295F}" name="P71 DD" dataDxfId="806" totalsRowDxfId="805">
      <calculatedColumnFormula>PortfolioFrontier[[#This Row],[P71 Growth]]/PortfolioFrontier[[#This Row],[P71 HWM]]-1</calculatedColumnFormula>
    </tableColumn>
    <tableColumn id="285" xr3:uid="{4431746E-070A-463C-AD47-BFB96786E798}" name="P72 Return" dataDxfId="804" totalsRowDxfId="803">
      <calculatedColumnFormula>SUMPRODUCT(INDEX(PortfolioRef[[SPY]:[PE]],MATCH(KA$1,PortfolioRef[Reference '#]),0),AssetMonthlyReturns[[#This Row],[SPY]:[PE]])</calculatedColumnFormula>
    </tableColumn>
    <tableColumn id="286" xr3:uid="{B743905F-69D0-4499-B134-20B9646456AF}" name="P72 Growth" dataDxfId="802" totalsRowDxfId="801">
      <calculatedColumnFormula>IF(ISNUMBER(KB3),KB3*(1+PortfolioFrontier[[#This Row],[P72 Return]]),1+PortfolioFrontier[[#This Row],[P72 Return]])</calculatedColumnFormula>
    </tableColumn>
    <tableColumn id="287" xr3:uid="{7292BF13-BE2D-4F7C-A2E8-D7A3138127D8}" name="P72 HWM" dataDxfId="800" totalsRowDxfId="799">
      <calculatedColumnFormula>MAX(KC3,PortfolioFrontier[[#This Row],[P72 Growth]])</calculatedColumnFormula>
    </tableColumn>
    <tableColumn id="288" xr3:uid="{A89669BD-CDF4-40D8-B6E3-4702CD940179}" name="P72 DD" dataDxfId="798" totalsRowDxfId="797">
      <calculatedColumnFormula>PortfolioFrontier[[#This Row],[P72 Growth]]/PortfolioFrontier[[#This Row],[P72 HWM]]-1</calculatedColumnFormula>
    </tableColumn>
    <tableColumn id="289" xr3:uid="{ECF3165A-E961-4E44-9EF4-385C30864F28}" name="P73 Return" dataDxfId="796" totalsRowDxfId="795">
      <calculatedColumnFormula>SUMPRODUCT(INDEX(PortfolioRef[[SPY]:[PE]],MATCH(KE$1,PortfolioRef[Reference '#]),0),AssetMonthlyReturns[[#This Row],[SPY]:[PE]])</calculatedColumnFormula>
    </tableColumn>
    <tableColumn id="290" xr3:uid="{B34E36FD-8F78-44F6-9D4F-B66BE684E941}" name="P73 Growth" dataDxfId="794" totalsRowDxfId="793">
      <calculatedColumnFormula>IF(ISNUMBER(KF3),KF3*(1+PortfolioFrontier[[#This Row],[P73 Return]]),1+PortfolioFrontier[[#This Row],[P73 Return]])</calculatedColumnFormula>
    </tableColumn>
    <tableColumn id="291" xr3:uid="{5CCC7FC8-F9A0-432B-B57D-AB0D612E3ECE}" name="P73 HWM" dataDxfId="792" totalsRowDxfId="791">
      <calculatedColumnFormula>MAX(KG3,PortfolioFrontier[[#This Row],[P73 Growth]])</calculatedColumnFormula>
    </tableColumn>
    <tableColumn id="292" xr3:uid="{6342E1EE-F6D2-4763-8FA8-2961029DADB0}" name="P73 DD" dataDxfId="790" totalsRowDxfId="789">
      <calculatedColumnFormula>PortfolioFrontier[[#This Row],[P73 Growth]]/PortfolioFrontier[[#This Row],[P73 HWM]]-1</calculatedColumnFormula>
    </tableColumn>
    <tableColumn id="293" xr3:uid="{FA034B65-71FB-4267-8476-4E92B9D773CE}" name="P74 Return" dataDxfId="788" totalsRowDxfId="787">
      <calculatedColumnFormula>SUMPRODUCT(INDEX(PortfolioRef[[SPY]:[PE]],MATCH(KI$1,PortfolioRef[Reference '#]),0),AssetMonthlyReturns[[#This Row],[SPY]:[PE]])</calculatedColumnFormula>
    </tableColumn>
    <tableColumn id="294" xr3:uid="{5CABC58A-2C75-4C22-A850-94E76887E95E}" name="P74 Growth" dataDxfId="786" totalsRowDxfId="785">
      <calculatedColumnFormula>IF(ISNUMBER(KJ3),KJ3*(1+PortfolioFrontier[[#This Row],[P74 Return]]),1+PortfolioFrontier[[#This Row],[P74 Return]])</calculatedColumnFormula>
    </tableColumn>
    <tableColumn id="295" xr3:uid="{DDA0C537-7581-4337-84CB-9A7D725570F3}" name="P74 HWM" dataDxfId="784" totalsRowDxfId="783">
      <calculatedColumnFormula>MAX(KK3,PortfolioFrontier[[#This Row],[P74 Growth]])</calculatedColumnFormula>
    </tableColumn>
    <tableColumn id="296" xr3:uid="{B0E2B31E-1267-4102-A1DE-B653F11ACAB2}" name="P74 DD" dataDxfId="782" totalsRowDxfId="781">
      <calculatedColumnFormula>PortfolioFrontier[[#This Row],[P74 Growth]]/PortfolioFrontier[[#This Row],[P74 HWM]]-1</calculatedColumnFormula>
    </tableColumn>
    <tableColumn id="297" xr3:uid="{3A12B0F9-3531-41BF-BF96-790029BAEF16}" name="P75 Return" dataDxfId="780" totalsRowDxfId="779">
      <calculatedColumnFormula>SUMPRODUCT(INDEX(PortfolioRef[[SPY]:[PE]],MATCH(KM$1,PortfolioRef[Reference '#]),0),AssetMonthlyReturns[[#This Row],[SPY]:[PE]])</calculatedColumnFormula>
    </tableColumn>
    <tableColumn id="298" xr3:uid="{5A23ECD7-6784-410E-A81A-24C0AC54E81D}" name="P75 Growth" dataDxfId="778" totalsRowDxfId="777">
      <calculatedColumnFormula>IF(ISNUMBER(KN3),KN3*(1+PortfolioFrontier[[#This Row],[P75 Return]]),1+PortfolioFrontier[[#This Row],[P75 Return]])</calculatedColumnFormula>
    </tableColumn>
    <tableColumn id="299" xr3:uid="{DECEC342-240E-4E45-99A4-1AA913FC1AC7}" name="P75 HWM" dataDxfId="776" totalsRowDxfId="775">
      <calculatedColumnFormula>MAX(KO3,PortfolioFrontier[[#This Row],[P75 Growth]])</calculatedColumnFormula>
    </tableColumn>
    <tableColumn id="300" xr3:uid="{3AE9DE9B-9FDF-479F-B14F-DD3A9936C646}" name="P75 DD" dataDxfId="774" totalsRowDxfId="773">
      <calculatedColumnFormula>PortfolioFrontier[[#This Row],[P75 Growth]]/PortfolioFrontier[[#This Row],[P75 HWM]]-1</calculatedColumnFormula>
    </tableColumn>
    <tableColumn id="301" xr3:uid="{A0365F4D-33A6-4CC8-B122-D874DCEADF9C}" name="P76 Return" dataDxfId="772" totalsRowDxfId="771">
      <calculatedColumnFormula>SUMPRODUCT(INDEX(PortfolioRef[[SPY]:[PE]],MATCH(KQ$1,PortfolioRef[Reference '#]),0),AssetMonthlyReturns[[#This Row],[SPY]:[PE]])</calculatedColumnFormula>
    </tableColumn>
    <tableColumn id="302" xr3:uid="{1D5B1922-CFC9-4053-B16A-F9796D25EE0C}" name="P76 Growth" dataDxfId="770" totalsRowDxfId="769">
      <calculatedColumnFormula>IF(ISNUMBER(KR3),KR3*(1+PortfolioFrontier[[#This Row],[P76 Return]]),1+PortfolioFrontier[[#This Row],[P76 Return]])</calculatedColumnFormula>
    </tableColumn>
    <tableColumn id="303" xr3:uid="{D9AF605B-94AD-4BC6-A968-A6AE61161E57}" name="P76 HWM" dataDxfId="768" totalsRowDxfId="767">
      <calculatedColumnFormula>MAX(KS3,PortfolioFrontier[[#This Row],[P76 Growth]])</calculatedColumnFormula>
    </tableColumn>
    <tableColumn id="304" xr3:uid="{6701B20E-31DA-43A7-8D20-E76ABFEEF075}" name="P76 DD" dataDxfId="766" totalsRowDxfId="765">
      <calculatedColumnFormula>PortfolioFrontier[[#This Row],[P76 Growth]]/PortfolioFrontier[[#This Row],[P76 HWM]]-1</calculatedColumnFormula>
    </tableColumn>
    <tableColumn id="305" xr3:uid="{9260FFB4-F9C7-4076-9930-E4FF09806A1C}" name="P77 Return" dataDxfId="764" totalsRowDxfId="763">
      <calculatedColumnFormula>SUMPRODUCT(INDEX(PortfolioRef[[SPY]:[PE]],MATCH(KU$1,PortfolioRef[Reference '#]),0),AssetMonthlyReturns[[#This Row],[SPY]:[PE]])</calculatedColumnFormula>
    </tableColumn>
    <tableColumn id="306" xr3:uid="{F8BD265F-CECD-4971-84A3-9FB525362CBF}" name="P77 Growth" dataDxfId="762" totalsRowDxfId="761">
      <calculatedColumnFormula>IF(ISNUMBER(KV3),KV3*(1+PortfolioFrontier[[#This Row],[P77 Return]]),1+PortfolioFrontier[[#This Row],[P77 Return]])</calculatedColumnFormula>
    </tableColumn>
    <tableColumn id="307" xr3:uid="{C2B1374D-79F5-4B5A-B825-FF2C22803D7E}" name="P77 HWM" dataDxfId="760" totalsRowDxfId="759">
      <calculatedColumnFormula>MAX(KW3,PortfolioFrontier[[#This Row],[P77 Growth]])</calculatedColumnFormula>
    </tableColumn>
    <tableColumn id="308" xr3:uid="{700885D0-74C0-4F2F-8005-00D5CD3287A4}" name="P77 DD" dataDxfId="758" totalsRowDxfId="757">
      <calculatedColumnFormula>PortfolioFrontier[[#This Row],[P77 Growth]]/PortfolioFrontier[[#This Row],[P77 HWM]]-1</calculatedColumnFormula>
    </tableColumn>
    <tableColumn id="309" xr3:uid="{11DEC80E-EA21-4BF4-AD03-7F21A9F65CBC}" name="P78 Return" dataDxfId="756" totalsRowDxfId="755">
      <calculatedColumnFormula>SUMPRODUCT(INDEX(PortfolioRef[[SPY]:[PE]],MATCH(KY$1,PortfolioRef[Reference '#]),0),AssetMonthlyReturns[[#This Row],[SPY]:[PE]])</calculatedColumnFormula>
    </tableColumn>
    <tableColumn id="310" xr3:uid="{ABA1C148-B9C2-4F81-AF37-E7767536C35F}" name="P78 Growth" dataDxfId="754" totalsRowDxfId="753">
      <calculatedColumnFormula>IF(ISNUMBER(KZ3),KZ3*(1+PortfolioFrontier[[#This Row],[P78 Return]]),1+PortfolioFrontier[[#This Row],[P78 Return]])</calculatedColumnFormula>
    </tableColumn>
    <tableColumn id="311" xr3:uid="{7E9BFA7E-83AB-4E54-9604-15E2FDDEE7D8}" name="P78 HWM" dataDxfId="752" totalsRowDxfId="751">
      <calculatedColumnFormula>MAX(LA3,PortfolioFrontier[[#This Row],[P78 Growth]])</calculatedColumnFormula>
    </tableColumn>
    <tableColumn id="312" xr3:uid="{247AF16F-E346-4051-8643-66209CCDC8C6}" name="P78 DD" dataDxfId="750" totalsRowDxfId="749">
      <calculatedColumnFormula>PortfolioFrontier[[#This Row],[P78 Growth]]/PortfolioFrontier[[#This Row],[P78 HWM]]-1</calculatedColumnFormula>
    </tableColumn>
    <tableColumn id="313" xr3:uid="{F71AEF39-330D-40C5-9A2B-79B7DB178AE9}" name="P79 Return" dataDxfId="748" totalsRowDxfId="747">
      <calculatedColumnFormula>SUMPRODUCT(INDEX(PortfolioRef[[SPY]:[PE]],MATCH(LC$1,PortfolioRef[Reference '#]),0),AssetMonthlyReturns[[#This Row],[SPY]:[PE]])</calculatedColumnFormula>
    </tableColumn>
    <tableColumn id="314" xr3:uid="{F4BDB42E-5A21-488F-827D-93A534215FCD}" name="P79 Growth" dataDxfId="746" totalsRowDxfId="745">
      <calculatedColumnFormula>IF(ISNUMBER(LD3),LD3*(1+PortfolioFrontier[[#This Row],[P79 Return]]),1+PortfolioFrontier[[#This Row],[P79 Return]])</calculatedColumnFormula>
    </tableColumn>
    <tableColumn id="315" xr3:uid="{C09169F3-5202-4356-BD61-068FD603F690}" name="P79 HWM" dataDxfId="744" totalsRowDxfId="743">
      <calculatedColumnFormula>MAX(LE3,PortfolioFrontier[[#This Row],[P79 Growth]])</calculatedColumnFormula>
    </tableColumn>
    <tableColumn id="316" xr3:uid="{7FCDC4CF-E898-41EF-9261-8C60C653394A}" name="P79 DD" dataDxfId="742" totalsRowDxfId="741">
      <calculatedColumnFormula>PortfolioFrontier[[#This Row],[P79 Growth]]/PortfolioFrontier[[#This Row],[P79 HWM]]-1</calculatedColumnFormula>
    </tableColumn>
    <tableColumn id="317" xr3:uid="{FAD9342C-AB86-4B84-8FF2-8C5838F83503}" name="P80 Return" dataDxfId="740" totalsRowDxfId="739">
      <calculatedColumnFormula>SUMPRODUCT(INDEX(PortfolioRef[[SPY]:[PE]],MATCH(LG$1,PortfolioRef[Reference '#]),0),AssetMonthlyReturns[[#This Row],[SPY]:[PE]])</calculatedColumnFormula>
    </tableColumn>
    <tableColumn id="318" xr3:uid="{6064839B-E4DA-4565-9FD3-8114D30A3B82}" name="P80 Growth" dataDxfId="738" totalsRowDxfId="737">
      <calculatedColumnFormula>IF(ISNUMBER(LH3),LH3*(1+PortfolioFrontier[[#This Row],[P80 Return]]),1+PortfolioFrontier[[#This Row],[P80 Return]])</calculatedColumnFormula>
    </tableColumn>
    <tableColumn id="319" xr3:uid="{2E854E5E-DF4E-4A84-A3FF-5C2E66AA5899}" name="P80 HWM" dataDxfId="736" totalsRowDxfId="735">
      <calculatedColumnFormula>MAX(LI3,PortfolioFrontier[[#This Row],[P80 Growth]])</calculatedColumnFormula>
    </tableColumn>
    <tableColumn id="320" xr3:uid="{0D320345-3531-4C70-B901-12F54FA37D83}" name="P80 DD" dataDxfId="734" totalsRowDxfId="733">
      <calculatedColumnFormula>PortfolioFrontier[[#This Row],[P80 Growth]]/PortfolioFrontier[[#This Row],[P80 HWM]]-1</calculatedColumnFormula>
    </tableColumn>
    <tableColumn id="321" xr3:uid="{715BB9F5-9359-4010-AC9C-AF32AB8217A1}" name="P81 Return" dataDxfId="732" totalsRowDxfId="731">
      <calculatedColumnFormula>SUMPRODUCT(INDEX(PortfolioRef[[SPY]:[PE]],MATCH(LK$1,PortfolioRef[Reference '#]),0),AssetMonthlyReturns[[#This Row],[SPY]:[PE]])</calculatedColumnFormula>
    </tableColumn>
    <tableColumn id="322" xr3:uid="{440D9290-93AB-46F0-847D-E51683B3D235}" name="P81 Growth" dataDxfId="730" totalsRowDxfId="729">
      <calculatedColumnFormula>IF(ISNUMBER(LL3),LL3*(1+PortfolioFrontier[[#This Row],[P81 Return]]),1+PortfolioFrontier[[#This Row],[P81 Return]])</calculatedColumnFormula>
    </tableColumn>
    <tableColumn id="323" xr3:uid="{03EE489B-F963-4704-BE04-C748774F6141}" name="P81 HWM" dataDxfId="728" totalsRowDxfId="727">
      <calculatedColumnFormula>MAX(LM3,PortfolioFrontier[[#This Row],[P81 Growth]])</calculatedColumnFormula>
    </tableColumn>
    <tableColumn id="324" xr3:uid="{AD3884F8-E7B8-44D0-B7E4-00B7A1438973}" name="P81 DD" dataDxfId="726" totalsRowDxfId="725">
      <calculatedColumnFormula>PortfolioFrontier[[#This Row],[P81 Growth]]/PortfolioFrontier[[#This Row],[P81 HWM]]-1</calculatedColumnFormula>
    </tableColumn>
    <tableColumn id="325" xr3:uid="{53CFC98F-706B-4457-BB43-A3D5FEEA659E}" name="P82 Return" dataDxfId="724" totalsRowDxfId="723">
      <calculatedColumnFormula>SUMPRODUCT(INDEX(PortfolioRef[[SPY]:[PE]],MATCH(LO$1,PortfolioRef[Reference '#]),0),AssetMonthlyReturns[[#This Row],[SPY]:[PE]])</calculatedColumnFormula>
    </tableColumn>
    <tableColumn id="326" xr3:uid="{976CC799-097B-4C4B-B005-A312E9194D60}" name="P82 Growth" dataDxfId="722" totalsRowDxfId="721">
      <calculatedColumnFormula>IF(ISNUMBER(LP3),LP3*(1+PortfolioFrontier[[#This Row],[P82 Return]]),1+PortfolioFrontier[[#This Row],[P82 Return]])</calculatedColumnFormula>
    </tableColumn>
    <tableColumn id="327" xr3:uid="{8E5CE43F-1FBD-40C0-BAAD-B5DC8060333D}" name="P82 HWM" dataDxfId="720" totalsRowDxfId="719">
      <calculatedColumnFormula>MAX(LQ3,PortfolioFrontier[[#This Row],[P82 Growth]])</calculatedColumnFormula>
    </tableColumn>
    <tableColumn id="328" xr3:uid="{2B3114ED-DAA1-4EB7-92D9-26C08C4B6922}" name="P82 DD" dataDxfId="718" totalsRowDxfId="717">
      <calculatedColumnFormula>PortfolioFrontier[[#This Row],[P82 Growth]]/PortfolioFrontier[[#This Row],[P82 HWM]]-1</calculatedColumnFormula>
    </tableColumn>
    <tableColumn id="329" xr3:uid="{ABB95D03-E37A-4846-8A81-873CC627F538}" name="P83 Return" dataDxfId="716" totalsRowDxfId="715">
      <calculatedColumnFormula>SUMPRODUCT(INDEX(PortfolioRef[[SPY]:[PE]],MATCH(LS$1,PortfolioRef[Reference '#]),0),AssetMonthlyReturns[[#This Row],[SPY]:[PE]])</calculatedColumnFormula>
    </tableColumn>
    <tableColumn id="330" xr3:uid="{CF93F51D-AC87-45FA-BE83-18468B3E66B7}" name="P83 Growth" dataDxfId="714" totalsRowDxfId="713">
      <calculatedColumnFormula>IF(ISNUMBER(LT3),LT3*(1+PortfolioFrontier[[#This Row],[P83 Return]]),1+PortfolioFrontier[[#This Row],[P83 Return]])</calculatedColumnFormula>
    </tableColumn>
    <tableColumn id="331" xr3:uid="{7C84A4CA-7805-4EC4-BF72-DDCCB2432363}" name="P83 HWM" dataDxfId="712" totalsRowDxfId="711">
      <calculatedColumnFormula>MAX(LU3,PortfolioFrontier[[#This Row],[P83 Growth]])</calculatedColumnFormula>
    </tableColumn>
    <tableColumn id="332" xr3:uid="{D022D383-F9AD-4222-B3D5-03D51C6949C0}" name="P83 DD" dataDxfId="710" totalsRowDxfId="709">
      <calculatedColumnFormula>PortfolioFrontier[[#This Row],[P83 Growth]]/PortfolioFrontier[[#This Row],[P83 HWM]]-1</calculatedColumnFormula>
    </tableColumn>
    <tableColumn id="333" xr3:uid="{29D73F79-C742-4425-B83F-8FB48B6FCA68}" name="P84 Return" dataDxfId="708" totalsRowDxfId="707">
      <calculatedColumnFormula>SUMPRODUCT(INDEX(PortfolioRef[[SPY]:[PE]],MATCH(LW$1,PortfolioRef[Reference '#]),0),AssetMonthlyReturns[[#This Row],[SPY]:[PE]])</calculatedColumnFormula>
    </tableColumn>
    <tableColumn id="334" xr3:uid="{1AF31A8D-FF7B-4DCF-9578-41CCD30427E7}" name="P84 Growth" dataDxfId="706" totalsRowDxfId="705">
      <calculatedColumnFormula>IF(ISNUMBER(LX3),LX3*(1+PortfolioFrontier[[#This Row],[P84 Return]]),1+PortfolioFrontier[[#This Row],[P84 Return]])</calculatedColumnFormula>
    </tableColumn>
    <tableColumn id="335" xr3:uid="{7C45B208-75BA-4C74-A45F-B28C1325A92C}" name="P84 HWM" dataDxfId="704" totalsRowDxfId="703">
      <calculatedColumnFormula>MAX(LY3,PortfolioFrontier[[#This Row],[P84 Growth]])</calculatedColumnFormula>
    </tableColumn>
    <tableColumn id="336" xr3:uid="{A5C0347F-339D-42D1-A2F2-5F953BA5D964}" name="P84 DD" dataDxfId="702" totalsRowDxfId="701">
      <calculatedColumnFormula>PortfolioFrontier[[#This Row],[P84 Growth]]/PortfolioFrontier[[#This Row],[P84 HWM]]-1</calculatedColumnFormula>
    </tableColumn>
    <tableColumn id="337" xr3:uid="{ECC6041D-D9E6-4E6A-B9D5-01263BBA79BC}" name="P85 Return" dataDxfId="700" totalsRowDxfId="699">
      <calculatedColumnFormula>SUMPRODUCT(INDEX(PortfolioRef[[SPY]:[PE]],MATCH(MA$1,PortfolioRef[Reference '#]),0),AssetMonthlyReturns[[#This Row],[SPY]:[PE]])</calculatedColumnFormula>
    </tableColumn>
    <tableColumn id="338" xr3:uid="{65E49683-9F33-4285-9AD3-6560658D9C5F}" name="P85 Growth" dataDxfId="698" totalsRowDxfId="697">
      <calculatedColumnFormula>IF(ISNUMBER(MB3),MB3*(1+PortfolioFrontier[[#This Row],[P85 Return]]),1+PortfolioFrontier[[#This Row],[P85 Return]])</calculatedColumnFormula>
    </tableColumn>
    <tableColumn id="339" xr3:uid="{36ACA09C-519F-4E8B-A12D-39EA744BEC8E}" name="P85 HWM" dataDxfId="696" totalsRowDxfId="695">
      <calculatedColumnFormula>MAX(MC3,PortfolioFrontier[[#This Row],[P85 Growth]])</calculatedColumnFormula>
    </tableColumn>
    <tableColumn id="340" xr3:uid="{BA7FE7F9-DF6F-410C-A8A5-37096C015B11}" name="P85 DD" dataDxfId="694" totalsRowDxfId="693">
      <calculatedColumnFormula>PortfolioFrontier[[#This Row],[P85 Growth]]/PortfolioFrontier[[#This Row],[P85 HWM]]-1</calculatedColumnFormula>
    </tableColumn>
    <tableColumn id="341" xr3:uid="{3FA6F2ED-8EAF-4F2D-BA20-A7A729572BD6}" name="P86 Return" dataDxfId="692" totalsRowDxfId="691">
      <calculatedColumnFormula>SUMPRODUCT(INDEX(PortfolioRef[[SPY]:[PE]],MATCH(ME$1,PortfolioRef[Reference '#]),0),AssetMonthlyReturns[[#This Row],[SPY]:[PE]])</calculatedColumnFormula>
    </tableColumn>
    <tableColumn id="342" xr3:uid="{FE0C5631-6716-46C9-9516-2BCAEBC822F6}" name="P86 Growth" dataDxfId="690" totalsRowDxfId="689">
      <calculatedColumnFormula>IF(ISNUMBER(MF3),MF3*(1+PortfolioFrontier[[#This Row],[P86 Return]]),1+PortfolioFrontier[[#This Row],[P86 Return]])</calculatedColumnFormula>
    </tableColumn>
    <tableColumn id="343" xr3:uid="{76D36B08-2A85-4ABB-A308-81DADD17736E}" name="P86 HWM" dataDxfId="688" totalsRowDxfId="687">
      <calculatedColumnFormula>MAX(MG3,PortfolioFrontier[[#This Row],[P86 Growth]])</calculatedColumnFormula>
    </tableColumn>
    <tableColumn id="344" xr3:uid="{0D277D7A-CDAE-4A86-982F-B288E847099F}" name="P86 DD" dataDxfId="686" totalsRowDxfId="685">
      <calculatedColumnFormula>PortfolioFrontier[[#This Row],[P86 Growth]]/PortfolioFrontier[[#This Row],[P86 HWM]]-1</calculatedColumnFormula>
    </tableColumn>
    <tableColumn id="345" xr3:uid="{8D989F7E-94C0-4420-B43C-F33F63A1C2D7}" name="P87 Return" dataDxfId="684" totalsRowDxfId="683">
      <calculatedColumnFormula>SUMPRODUCT(INDEX(PortfolioRef[[SPY]:[PE]],MATCH(MI$1,PortfolioRef[Reference '#]),0),AssetMonthlyReturns[[#This Row],[SPY]:[PE]])</calculatedColumnFormula>
    </tableColumn>
    <tableColumn id="346" xr3:uid="{90D1FE12-3822-4DC2-B0DB-2AF2997E6EA6}" name="P87 Growth" dataDxfId="682" totalsRowDxfId="681">
      <calculatedColumnFormula>IF(ISNUMBER(MJ3),MJ3*(1+PortfolioFrontier[[#This Row],[P87 Return]]),1+PortfolioFrontier[[#This Row],[P87 Return]])</calculatedColumnFormula>
    </tableColumn>
    <tableColumn id="347" xr3:uid="{E9973967-5BB3-49C7-BEFE-5E822C3F46D8}" name="P87 HWM" dataDxfId="680" totalsRowDxfId="679">
      <calculatedColumnFormula>MAX(MK3,PortfolioFrontier[[#This Row],[P87 Growth]])</calculatedColumnFormula>
    </tableColumn>
    <tableColumn id="348" xr3:uid="{171AB20D-B859-40D3-B468-3698A6A5855B}" name="P87 DD" dataDxfId="678" totalsRowDxfId="677">
      <calculatedColumnFormula>PortfolioFrontier[[#This Row],[P87 Growth]]/PortfolioFrontier[[#This Row],[P87 HWM]]-1</calculatedColumnFormula>
    </tableColumn>
    <tableColumn id="349" xr3:uid="{FE217836-0333-4AC6-90EF-3CE1551EA066}" name="P88 Return" dataDxfId="676" totalsRowDxfId="675">
      <calculatedColumnFormula>SUMPRODUCT(INDEX(PortfolioRef[[SPY]:[PE]],MATCH(MM$1,PortfolioRef[Reference '#]),0),AssetMonthlyReturns[[#This Row],[SPY]:[PE]])</calculatedColumnFormula>
    </tableColumn>
    <tableColumn id="350" xr3:uid="{0AF0386A-D6A2-4F1D-ABC2-7BA8CE70C65E}" name="P88 Growth" dataDxfId="674" totalsRowDxfId="673">
      <calculatedColumnFormula>IF(ISNUMBER(MN3),MN3*(1+PortfolioFrontier[[#This Row],[P88 Return]]),1+PortfolioFrontier[[#This Row],[P88 Return]])</calculatedColumnFormula>
    </tableColumn>
    <tableColumn id="351" xr3:uid="{4A68A5AF-A8B2-47AC-ABCA-508FA9EF9A98}" name="P88 HWM" dataDxfId="672" totalsRowDxfId="671">
      <calculatedColumnFormula>MAX(MO3,PortfolioFrontier[[#This Row],[P88 Growth]])</calculatedColumnFormula>
    </tableColumn>
    <tableColumn id="352" xr3:uid="{531221D0-ED04-4617-8E9F-F23D4825396B}" name="P88 DD" dataDxfId="670" totalsRowDxfId="669">
      <calculatedColumnFormula>PortfolioFrontier[[#This Row],[P88 Growth]]/PortfolioFrontier[[#This Row],[P88 HWM]]-1</calculatedColumnFormula>
    </tableColumn>
    <tableColumn id="353" xr3:uid="{2BAC85B6-82FE-4B20-98D0-550FFDF18870}" name="P89 Return" dataDxfId="668" totalsRowDxfId="667">
      <calculatedColumnFormula>SUMPRODUCT(INDEX(PortfolioRef[[SPY]:[PE]],MATCH(MQ$1,PortfolioRef[Reference '#]),0),AssetMonthlyReturns[[#This Row],[SPY]:[PE]])</calculatedColumnFormula>
    </tableColumn>
    <tableColumn id="354" xr3:uid="{D1772A32-E6D3-42D2-AD5D-231DD37C5616}" name="P89 Growth" dataDxfId="666" totalsRowDxfId="665">
      <calculatedColumnFormula>IF(ISNUMBER(MR3),MR3*(1+PortfolioFrontier[[#This Row],[P89 Return]]),1+PortfolioFrontier[[#This Row],[P89 Return]])</calculatedColumnFormula>
    </tableColumn>
    <tableColumn id="355" xr3:uid="{DEF75F80-BD16-4D97-8FCB-AC37DE395E55}" name="P89 HWM" dataDxfId="664" totalsRowDxfId="663">
      <calculatedColumnFormula>MAX(MS3,PortfolioFrontier[[#This Row],[P89 Growth]])</calculatedColumnFormula>
    </tableColumn>
    <tableColumn id="356" xr3:uid="{5EEA9A1B-C2F3-462E-ADBC-EC422EAD5D3B}" name="P89 DD" dataDxfId="662" totalsRowDxfId="661">
      <calculatedColumnFormula>PortfolioFrontier[[#This Row],[P89 Growth]]/PortfolioFrontier[[#This Row],[P89 HWM]]-1</calculatedColumnFormula>
    </tableColumn>
    <tableColumn id="357" xr3:uid="{A6F0DE7F-F4C9-49B1-A232-3283D93B2A10}" name="P90 Return" dataDxfId="660" totalsRowDxfId="659">
      <calculatedColumnFormula>SUMPRODUCT(INDEX(PortfolioRef[[SPY]:[PE]],MATCH(MU$1,PortfolioRef[Reference '#]),0),AssetMonthlyReturns[[#This Row],[SPY]:[PE]])</calculatedColumnFormula>
    </tableColumn>
    <tableColumn id="358" xr3:uid="{438E0DD8-A6E9-4AA5-90E1-A3E17C190E69}" name="P90 Growth" dataDxfId="658" totalsRowDxfId="657">
      <calculatedColumnFormula>IF(ISNUMBER(MV3),MV3*(1+PortfolioFrontier[[#This Row],[P90 Return]]),1+PortfolioFrontier[[#This Row],[P90 Return]])</calculatedColumnFormula>
    </tableColumn>
    <tableColumn id="359" xr3:uid="{2BC42AF8-8FA5-4CA9-BF90-4ED76F50D778}" name="P90 HWM" dataDxfId="656" totalsRowDxfId="655">
      <calculatedColumnFormula>MAX(MW3,PortfolioFrontier[[#This Row],[P90 Growth]])</calculatedColumnFormula>
    </tableColumn>
    <tableColumn id="360" xr3:uid="{0AF1710C-5270-4A3B-A248-947E48CFC71E}" name="P90 DD" dataDxfId="654" totalsRowDxfId="653">
      <calculatedColumnFormula>PortfolioFrontier[[#This Row],[P90 Growth]]/PortfolioFrontier[[#This Row],[P90 HWM]]-1</calculatedColumnFormula>
    </tableColumn>
    <tableColumn id="361" xr3:uid="{1A8E9CD9-C471-4A91-B183-A4829C06CF89}" name="P91 Return" dataDxfId="652" totalsRowDxfId="651">
      <calculatedColumnFormula>SUMPRODUCT(INDEX(PortfolioRef[[SPY]:[PE]],MATCH(MY$1,PortfolioRef[Reference '#]),0),AssetMonthlyReturns[[#This Row],[SPY]:[PE]])</calculatedColumnFormula>
    </tableColumn>
    <tableColumn id="362" xr3:uid="{C740DA2E-0E47-45D0-8DEF-6E1BDEE6F67A}" name="P91 Growth" dataDxfId="650" totalsRowDxfId="649">
      <calculatedColumnFormula>IF(ISNUMBER(MZ3),MZ3*(1+PortfolioFrontier[[#This Row],[P91 Return]]),1+PortfolioFrontier[[#This Row],[P91 Return]])</calculatedColumnFormula>
    </tableColumn>
    <tableColumn id="363" xr3:uid="{877BA48C-C108-4CEC-A744-860D53FB761D}" name="P91 HWM" dataDxfId="648" totalsRowDxfId="647">
      <calculatedColumnFormula>MAX(NA3,PortfolioFrontier[[#This Row],[P91 Growth]])</calculatedColumnFormula>
    </tableColumn>
    <tableColumn id="364" xr3:uid="{1B37B7BB-A5BE-493A-94C1-629E3BF82F72}" name="P91 DD" dataDxfId="646" totalsRowDxfId="645">
      <calculatedColumnFormula>PortfolioFrontier[[#This Row],[P91 Growth]]/PortfolioFrontier[[#This Row],[P91 HWM]]-1</calculatedColumnFormula>
    </tableColumn>
    <tableColumn id="365" xr3:uid="{07846A08-BE8C-4802-95DE-F68C40AF69EC}" name="P92 Return" dataDxfId="644" totalsRowDxfId="643">
      <calculatedColumnFormula>SUMPRODUCT(INDEX(PortfolioRef[[SPY]:[PE]],MATCH(NC$1,PortfolioRef[Reference '#]),0),AssetMonthlyReturns[[#This Row],[SPY]:[PE]])</calculatedColumnFormula>
    </tableColumn>
    <tableColumn id="366" xr3:uid="{A7D83461-0159-4210-931A-C794DA24D79C}" name="P92 Growth" dataDxfId="642" totalsRowDxfId="641">
      <calculatedColumnFormula>IF(ISNUMBER(ND3),ND3*(1+PortfolioFrontier[[#This Row],[P92 Return]]),1+PortfolioFrontier[[#This Row],[P92 Return]])</calculatedColumnFormula>
    </tableColumn>
    <tableColumn id="367" xr3:uid="{F3E5B965-70CE-4C55-8232-63A7AC970A8C}" name="P92 HWM" dataDxfId="640" totalsRowDxfId="639">
      <calculatedColumnFormula>MAX(NE3,PortfolioFrontier[[#This Row],[P92 Growth]])</calculatedColumnFormula>
    </tableColumn>
    <tableColumn id="368" xr3:uid="{7B7A3509-C104-4EC1-B582-1407E9FDAD43}" name="P92 DD" dataDxfId="638" totalsRowDxfId="637">
      <calculatedColumnFormula>PortfolioFrontier[[#This Row],[P92 Growth]]/PortfolioFrontier[[#This Row],[P92 HWM]]-1</calculatedColumnFormula>
    </tableColumn>
    <tableColumn id="369" xr3:uid="{A85A2EFA-F813-466F-A199-72B951A18C44}" name="P93 Return" dataDxfId="636" totalsRowDxfId="635">
      <calculatedColumnFormula>SUMPRODUCT(INDEX(PortfolioRef[[SPY]:[PE]],MATCH(NG$1,PortfolioRef[Reference '#]),0),AssetMonthlyReturns[[#This Row],[SPY]:[PE]])</calculatedColumnFormula>
    </tableColumn>
    <tableColumn id="370" xr3:uid="{77809876-9248-4D9E-B944-462238AD3993}" name="P93 Growth" dataDxfId="634" totalsRowDxfId="633">
      <calculatedColumnFormula>IF(ISNUMBER(NH3),NH3*(1+PortfolioFrontier[[#This Row],[P93 Return]]),1+PortfolioFrontier[[#This Row],[P93 Return]])</calculatedColumnFormula>
    </tableColumn>
    <tableColumn id="371" xr3:uid="{ABD002BE-20A8-4C74-A68A-D9A3493E8F23}" name="P93 HWM" dataDxfId="632" totalsRowDxfId="631">
      <calculatedColumnFormula>MAX(NI3,PortfolioFrontier[[#This Row],[P93 Growth]])</calculatedColumnFormula>
    </tableColumn>
    <tableColumn id="372" xr3:uid="{302C8967-EF0F-4619-8C43-5E617454AEAF}" name="P93 DD" dataDxfId="630" totalsRowDxfId="629">
      <calculatedColumnFormula>PortfolioFrontier[[#This Row],[P93 Growth]]/PortfolioFrontier[[#This Row],[P93 HWM]]-1</calculatedColumnFormula>
    </tableColumn>
    <tableColumn id="373" xr3:uid="{6835437B-94A2-46D2-B908-2708CAD42DB1}" name="P94 Return" dataDxfId="628" totalsRowDxfId="627">
      <calculatedColumnFormula>SUMPRODUCT(INDEX(PortfolioRef[[SPY]:[PE]],MATCH(NK$1,PortfolioRef[Reference '#]),0),AssetMonthlyReturns[[#This Row],[SPY]:[PE]])</calculatedColumnFormula>
    </tableColumn>
    <tableColumn id="374" xr3:uid="{106BBC0A-6E55-45ED-B79B-3EC1B31D0E86}" name="P94 Growth" dataDxfId="626" totalsRowDxfId="625">
      <calculatedColumnFormula>IF(ISNUMBER(NL3),NL3*(1+PortfolioFrontier[[#This Row],[P94 Return]]),1+PortfolioFrontier[[#This Row],[P94 Return]])</calculatedColumnFormula>
    </tableColumn>
    <tableColumn id="375" xr3:uid="{E9EB6045-E2C0-4BDD-A896-13A702D4C807}" name="P94 HWM" dataDxfId="624" totalsRowDxfId="623">
      <calculatedColumnFormula>MAX(NM3,PortfolioFrontier[[#This Row],[P94 Growth]])</calculatedColumnFormula>
    </tableColumn>
    <tableColumn id="376" xr3:uid="{4C77823B-8D26-4DD2-BC87-E28018FA13E8}" name="P94 DD" dataDxfId="622" totalsRowDxfId="621">
      <calculatedColumnFormula>PortfolioFrontier[[#This Row],[P94 Growth]]/PortfolioFrontier[[#This Row],[P94 HWM]]-1</calculatedColumnFormula>
    </tableColumn>
    <tableColumn id="377" xr3:uid="{F3BC1B35-52D8-4990-B5B2-905CD43D5860}" name="P95 Return" dataDxfId="620" totalsRowDxfId="619">
      <calculatedColumnFormula>SUMPRODUCT(INDEX(PortfolioRef[[SPY]:[PE]],MATCH(NO$1,PortfolioRef[Reference '#]),0),AssetMonthlyReturns[[#This Row],[SPY]:[PE]])</calculatedColumnFormula>
    </tableColumn>
    <tableColumn id="378" xr3:uid="{366249F0-5189-4E2F-990D-51C5B8AB9B16}" name="P95 Growth" dataDxfId="618" totalsRowDxfId="617">
      <calculatedColumnFormula>IF(ISNUMBER(NP3),NP3*(1+PortfolioFrontier[[#This Row],[P95 Return]]),1+PortfolioFrontier[[#This Row],[P95 Return]])</calculatedColumnFormula>
    </tableColumn>
    <tableColumn id="379" xr3:uid="{4F632239-BD6E-49A8-BA8A-EDF6323E29D8}" name="P95 HWM" dataDxfId="616" totalsRowDxfId="615">
      <calculatedColumnFormula>MAX(NQ3,PortfolioFrontier[[#This Row],[P95 Growth]])</calculatedColumnFormula>
    </tableColumn>
    <tableColumn id="380" xr3:uid="{39FA9F1D-D6E1-489E-B7EC-EFF06E070B88}" name="P95 DD" dataDxfId="614" totalsRowDxfId="613">
      <calculatedColumnFormula>PortfolioFrontier[[#This Row],[P95 Growth]]/PortfolioFrontier[[#This Row],[P95 HWM]]-1</calculatedColumnFormula>
    </tableColumn>
    <tableColumn id="381" xr3:uid="{D4AF7129-7967-470E-851B-2C16ECD927A7}" name="P96 Return" dataDxfId="612" totalsRowDxfId="611">
      <calculatedColumnFormula>SUMPRODUCT(INDEX(PortfolioRef[[SPY]:[PE]],MATCH(NS$1,PortfolioRef[Reference '#]),0),AssetMonthlyReturns[[#This Row],[SPY]:[PE]])</calculatedColumnFormula>
    </tableColumn>
    <tableColumn id="382" xr3:uid="{DD86A81B-8E00-4A11-B8AA-0DE1353BDA37}" name="P96 Growth" dataDxfId="610" totalsRowDxfId="609">
      <calculatedColumnFormula>IF(ISNUMBER(NT3),NT3*(1+PortfolioFrontier[[#This Row],[P96 Return]]),1+PortfolioFrontier[[#This Row],[P96 Return]])</calculatedColumnFormula>
    </tableColumn>
    <tableColumn id="383" xr3:uid="{B38BA1F5-F9D6-4D40-B634-EB49A373BE9C}" name="P96 HWM" dataDxfId="608" totalsRowDxfId="607">
      <calculatedColumnFormula>MAX(NU3,PortfolioFrontier[[#This Row],[P96 Growth]])</calculatedColumnFormula>
    </tableColumn>
    <tableColumn id="384" xr3:uid="{FB972940-99E1-4933-83CD-855052CC46B8}" name="P96 DD" dataDxfId="606" totalsRowDxfId="605">
      <calculatedColumnFormula>PortfolioFrontier[[#This Row],[P96 Growth]]/PortfolioFrontier[[#This Row],[P96 HWM]]-1</calculatedColumnFormula>
    </tableColumn>
    <tableColumn id="385" xr3:uid="{8E0B4DD8-D715-4941-BC74-069728911A38}" name="P97 Return" dataDxfId="604" totalsRowDxfId="603">
      <calculatedColumnFormula>SUMPRODUCT(INDEX(PortfolioRef[[SPY]:[PE]],MATCH(NW$1,PortfolioRef[Reference '#]),0),AssetMonthlyReturns[[#This Row],[SPY]:[PE]])</calculatedColumnFormula>
    </tableColumn>
    <tableColumn id="386" xr3:uid="{EF18C60A-B185-43CD-AD09-C8EF74639B60}" name="P97 Growth" dataDxfId="602" totalsRowDxfId="601">
      <calculatedColumnFormula>IF(ISNUMBER(NX3),NX3*(1+PortfolioFrontier[[#This Row],[P97 Return]]),1+PortfolioFrontier[[#This Row],[P97 Return]])</calculatedColumnFormula>
    </tableColumn>
    <tableColumn id="387" xr3:uid="{810BCADA-8594-47CC-A940-BF2BFE9E856D}" name="P97 HWM" dataDxfId="600" totalsRowDxfId="599">
      <calculatedColumnFormula>MAX(NY3,PortfolioFrontier[[#This Row],[P97 Growth]])</calculatedColumnFormula>
    </tableColumn>
    <tableColumn id="388" xr3:uid="{DF896239-AFC2-47C8-BD70-9335CCA5932D}" name="P97 DD" dataDxfId="598" totalsRowDxfId="597">
      <calculatedColumnFormula>PortfolioFrontier[[#This Row],[P97 Growth]]/PortfolioFrontier[[#This Row],[P97 HWM]]-1</calculatedColumnFormula>
    </tableColumn>
    <tableColumn id="389" xr3:uid="{4B3B3036-101A-41C4-9179-556D3AD4A942}" name="P98 Return" dataDxfId="596" totalsRowDxfId="595">
      <calculatedColumnFormula>SUMPRODUCT(INDEX(PortfolioRef[[SPY]:[PE]],MATCH(OA$1,PortfolioRef[Reference '#]),0),AssetMonthlyReturns[[#This Row],[SPY]:[PE]])</calculatedColumnFormula>
    </tableColumn>
    <tableColumn id="390" xr3:uid="{FD4185D7-4711-40D8-B0A6-40FA625D76BD}" name="P98 Growth" dataDxfId="594" totalsRowDxfId="593">
      <calculatedColumnFormula>IF(ISNUMBER(OB3),OB3*(1+PortfolioFrontier[[#This Row],[P98 Return]]),1+PortfolioFrontier[[#This Row],[P98 Return]])</calculatedColumnFormula>
    </tableColumn>
    <tableColumn id="391" xr3:uid="{B9413063-3D27-4D5D-8375-9D8E46724625}" name="P98 HWM" dataDxfId="592" totalsRowDxfId="591">
      <calculatedColumnFormula>MAX(OC3,PortfolioFrontier[[#This Row],[P98 Growth]])</calculatedColumnFormula>
    </tableColumn>
    <tableColumn id="392" xr3:uid="{023CB7B5-F440-4557-8B3B-2BD08919D22D}" name="P98 DD" dataDxfId="590" totalsRowDxfId="589">
      <calculatedColumnFormula>PortfolioFrontier[[#This Row],[P98 Growth]]/PortfolioFrontier[[#This Row],[P98 HWM]]-1</calculatedColumnFormula>
    </tableColumn>
    <tableColumn id="393" xr3:uid="{3A2EDD93-73DE-4FB6-8D14-7FCF8CA46470}" name="P99 Return" dataDxfId="588" totalsRowDxfId="587">
      <calculatedColumnFormula>SUMPRODUCT(INDEX(PortfolioRef[[SPY]:[PE]],MATCH(OE$1,PortfolioRef[Reference '#]),0),AssetMonthlyReturns[[#This Row],[SPY]:[PE]])</calculatedColumnFormula>
    </tableColumn>
    <tableColumn id="394" xr3:uid="{C20FDD35-6378-45EC-8CB6-B75ED23BB64D}" name="P99 Growth" dataDxfId="586" totalsRowDxfId="585">
      <calculatedColumnFormula>IF(ISNUMBER(OF3),OF3*(1+PortfolioFrontier[[#This Row],[P99 Return]]),1+PortfolioFrontier[[#This Row],[P99 Return]])</calculatedColumnFormula>
    </tableColumn>
    <tableColumn id="395" xr3:uid="{DA6CEB1C-12FF-42FB-9ED9-7B4C9BFE1F91}" name="P99 HWM" dataDxfId="584" totalsRowDxfId="583">
      <calculatedColumnFormula>MAX(OG3,PortfolioFrontier[[#This Row],[P99 Growth]])</calculatedColumnFormula>
    </tableColumn>
    <tableColumn id="396" xr3:uid="{12AC36CD-B142-4299-9828-A03E278B97E9}" name="P99 DD" dataDxfId="582" totalsRowDxfId="581">
      <calculatedColumnFormula>PortfolioFrontier[[#This Row],[P99 Growth]]/PortfolioFrontier[[#This Row],[P99 HWM]]-1</calculatedColumnFormula>
    </tableColumn>
    <tableColumn id="397" xr3:uid="{69F7A435-7086-4B1F-9A4E-41408AD63CBC}" name="P100 Return" dataDxfId="580" totalsRowDxfId="579">
      <calculatedColumnFormula>SUMPRODUCT(INDEX(PortfolioRef[[SPY]:[PE]],MATCH(OI$1,PortfolioRef[Reference '#]),0),AssetMonthlyReturns[[#This Row],[SPY]:[PE]])</calculatedColumnFormula>
    </tableColumn>
    <tableColumn id="398" xr3:uid="{D0CBB35E-8826-4114-93EE-F2BD2C993FFA}" name="P100 Growth" dataDxfId="578" totalsRowDxfId="577">
      <calculatedColumnFormula>IF(ISNUMBER(OJ3),OJ3*(1+PortfolioFrontier[[#This Row],[P100 Return]]),1+PortfolioFrontier[[#This Row],[P100 Return]])</calculatedColumnFormula>
    </tableColumn>
    <tableColumn id="399" xr3:uid="{A74853BF-E363-4139-B9E7-FDAB8E0BC70F}" name="P100 HWM" dataDxfId="576" totalsRowDxfId="575">
      <calculatedColumnFormula>MAX(OK3,PortfolioFrontier[[#This Row],[P100 Growth]])</calculatedColumnFormula>
    </tableColumn>
    <tableColumn id="400" xr3:uid="{D91AD604-F90C-4152-BBED-FCAC3C3B4F78}" name="P100 DD" dataDxfId="574" totalsRowDxfId="573">
      <calculatedColumnFormula>PortfolioFrontier[[#This Row],[P100 Growth]]/PortfolioFrontier[[#This Row],[P100 HWM]]-1</calculatedColumnFormula>
    </tableColumn>
    <tableColumn id="401" xr3:uid="{AB5A3EF1-B1F4-495C-9459-BB12A45035AB}" name="P101 Return" dataDxfId="572" totalsRowDxfId="571">
      <calculatedColumnFormula>SUMPRODUCT(INDEX(PortfolioRef[[SPY]:[PE]],MATCH(OM$1,PortfolioRef[Reference '#]),0),AssetMonthlyReturns[[#This Row],[SPY]:[PE]])</calculatedColumnFormula>
    </tableColumn>
    <tableColumn id="402" xr3:uid="{A3B89441-DDA9-4C33-99AC-AC1B565D942A}" name="P101 Growth" dataDxfId="570" totalsRowDxfId="569">
      <calculatedColumnFormula>IF(ISNUMBER(ON3),ON3*(1+PortfolioFrontier[[#This Row],[P101 Return]]),1+PortfolioFrontier[[#This Row],[P101 Return]])</calculatedColumnFormula>
    </tableColumn>
    <tableColumn id="403" xr3:uid="{D93823BA-CF14-4B26-88B4-017F86F7215B}" name="P101 HWM" dataDxfId="568" totalsRowDxfId="567">
      <calculatedColumnFormula>MAX(OO3,PortfolioFrontier[[#This Row],[P101 Growth]])</calculatedColumnFormula>
    </tableColumn>
    <tableColumn id="404" xr3:uid="{A9CF71C1-6DBD-4398-B409-9762800A381E}" name="P101 DD" dataDxfId="566" totalsRowDxfId="565">
      <calculatedColumnFormula>PortfolioFrontier[[#This Row],[P101 Growth]]/PortfolioFrontier[[#This Row],[P101 HWM]]-1</calculatedColumnFormula>
    </tableColumn>
    <tableColumn id="405" xr3:uid="{03D0478A-65CC-4696-98E5-1815424801C2}" name="P102 Return" dataDxfId="564" totalsRowDxfId="563">
      <calculatedColumnFormula>SUMPRODUCT(INDEX(PortfolioRef[[SPY]:[PE]],MATCH(OQ$1,PortfolioRef[Reference '#]),0),AssetMonthlyReturns[[#This Row],[SPY]:[PE]])</calculatedColumnFormula>
    </tableColumn>
    <tableColumn id="406" xr3:uid="{52DFF439-7350-4BED-A959-C21C114503A7}" name="P102 Growth" dataDxfId="562" totalsRowDxfId="561">
      <calculatedColumnFormula>IF(ISNUMBER(OR3),OR3*(1+PortfolioFrontier[[#This Row],[P102 Return]]),1+PortfolioFrontier[[#This Row],[P102 Return]])</calculatedColumnFormula>
    </tableColumn>
    <tableColumn id="407" xr3:uid="{95CA6890-131F-48CB-AE0B-508E81A31256}" name="P102 HWM" dataDxfId="560" totalsRowDxfId="559">
      <calculatedColumnFormula>MAX(OS3,PortfolioFrontier[[#This Row],[P102 Growth]])</calculatedColumnFormula>
    </tableColumn>
    <tableColumn id="408" xr3:uid="{D38F610D-043D-46B9-8813-8E19FA519809}" name="P102 DD" dataDxfId="558" totalsRowDxfId="557">
      <calculatedColumnFormula>PortfolioFrontier[[#This Row],[P102 Growth]]/PortfolioFrontier[[#This Row],[P102 HWM]]-1</calculatedColumnFormula>
    </tableColumn>
    <tableColumn id="409" xr3:uid="{C7DEF96E-EDC2-44B6-A554-F9C13D9D3EF6}" name="P103 Return" dataDxfId="556" totalsRowDxfId="555">
      <calculatedColumnFormula>SUMPRODUCT(INDEX(PortfolioRef[[SPY]:[PE]],MATCH(OU$1,PortfolioRef[Reference '#]),0),AssetMonthlyReturns[[#This Row],[SPY]:[PE]])</calculatedColumnFormula>
    </tableColumn>
    <tableColumn id="410" xr3:uid="{ACF614F3-ACA0-4EE9-96C6-22D10FBB9F44}" name="P103 Growth" dataDxfId="554" totalsRowDxfId="553">
      <calculatedColumnFormula>IF(ISNUMBER(OV3),OV3*(1+PortfolioFrontier[[#This Row],[P103 Return]]),1+PortfolioFrontier[[#This Row],[P103 Return]])</calculatedColumnFormula>
    </tableColumn>
    <tableColumn id="411" xr3:uid="{60186677-B908-4620-A67F-EB2DEF103488}" name="P103 HWM" dataDxfId="552" totalsRowDxfId="551">
      <calculatedColumnFormula>MAX(OW3,PortfolioFrontier[[#This Row],[P103 Growth]])</calculatedColumnFormula>
    </tableColumn>
    <tableColumn id="412" xr3:uid="{46C2200A-C4E0-442B-9846-8162DB3C60E7}" name="P103 DD" dataDxfId="550" totalsRowDxfId="549">
      <calculatedColumnFormula>PortfolioFrontier[[#This Row],[P103 Growth]]/PortfolioFrontier[[#This Row],[P103 HWM]]-1</calculatedColumnFormula>
    </tableColumn>
    <tableColumn id="413" xr3:uid="{F6AEAEA7-E2E9-4918-AD57-5B73343DCE36}" name="P104 Return" dataDxfId="548" totalsRowDxfId="547">
      <calculatedColumnFormula>SUMPRODUCT(INDEX(PortfolioRef[[SPY]:[PE]],MATCH(OY$1,PortfolioRef[Reference '#]),0),AssetMonthlyReturns[[#This Row],[SPY]:[PE]])</calculatedColumnFormula>
    </tableColumn>
    <tableColumn id="414" xr3:uid="{E99251D2-7460-4D1A-B079-EA25B77E8A2E}" name="P104 Growth" dataDxfId="546" totalsRowDxfId="545">
      <calculatedColumnFormula>IF(ISNUMBER(OZ3),OZ3*(1+PortfolioFrontier[[#This Row],[P104 Return]]),1+PortfolioFrontier[[#This Row],[P104 Return]])</calculatedColumnFormula>
    </tableColumn>
    <tableColumn id="415" xr3:uid="{3651F38F-2823-4E8C-8DCA-68C034DD02F7}" name="P104 HWM" dataDxfId="544" totalsRowDxfId="543">
      <calculatedColumnFormula>MAX(PA3,PortfolioFrontier[[#This Row],[P104 Growth]])</calculatedColumnFormula>
    </tableColumn>
    <tableColumn id="416" xr3:uid="{A3282347-4EA0-43AF-B05D-894E11428FAC}" name="P104 DD" dataDxfId="542" totalsRowDxfId="541">
      <calculatedColumnFormula>PortfolioFrontier[[#This Row],[P104 Growth]]/PortfolioFrontier[[#This Row],[P104 HWM]]-1</calculatedColumnFormula>
    </tableColumn>
    <tableColumn id="417" xr3:uid="{7938632E-E8F6-4364-82C5-7361C1388DDE}" name="P105 Return" dataDxfId="540" totalsRowDxfId="539">
      <calculatedColumnFormula>SUMPRODUCT(INDEX(PortfolioRef[[SPY]:[PE]],MATCH(PC$1,PortfolioRef[Reference '#]),0),AssetMonthlyReturns[[#This Row],[SPY]:[PE]])</calculatedColumnFormula>
    </tableColumn>
    <tableColumn id="418" xr3:uid="{3C872C37-E191-4CFE-A7AE-A39852C5B3F6}" name="P105 Growth" dataDxfId="538" totalsRowDxfId="537">
      <calculatedColumnFormula>IF(ISNUMBER(PD3),PD3*(1+PortfolioFrontier[[#This Row],[P105 Return]]),1+PortfolioFrontier[[#This Row],[P105 Return]])</calculatedColumnFormula>
    </tableColumn>
    <tableColumn id="419" xr3:uid="{38B7D6AC-A4EB-4B8B-8A8A-0C1675D7245D}" name="P105 HWM" dataDxfId="536" totalsRowDxfId="535">
      <calculatedColumnFormula>MAX(PE3,PortfolioFrontier[[#This Row],[P105 Growth]])</calculatedColumnFormula>
    </tableColumn>
    <tableColumn id="420" xr3:uid="{113173DE-33A9-414C-96FA-2280BF2B2BA8}" name="P105 DD" dataDxfId="534" totalsRowDxfId="533">
      <calculatedColumnFormula>PortfolioFrontier[[#This Row],[P105 Growth]]/PortfolioFrontier[[#This Row],[P105 HWM]]-1</calculatedColumnFormula>
    </tableColumn>
    <tableColumn id="421" xr3:uid="{5D6F7B13-8929-4589-8440-BF0770ED4A8C}" name="P106 Return" dataDxfId="532" totalsRowDxfId="531">
      <calculatedColumnFormula>SUMPRODUCT(INDEX(PortfolioRef[[SPY]:[PE]],MATCH(PG$1,PortfolioRef[Reference '#]),0),AssetMonthlyReturns[[#This Row],[SPY]:[PE]])</calculatedColumnFormula>
    </tableColumn>
    <tableColumn id="422" xr3:uid="{405A0D5A-A091-4CFA-BA9B-580122501192}" name="P106 Growth" dataDxfId="530" totalsRowDxfId="529">
      <calculatedColumnFormula>IF(ISNUMBER(PH3),PH3*(1+PortfolioFrontier[[#This Row],[P106 Return]]),1+PortfolioFrontier[[#This Row],[P106 Return]])</calculatedColumnFormula>
    </tableColumn>
    <tableColumn id="423" xr3:uid="{0A803F73-3412-40EB-8323-FE1D2CBAD87A}" name="P106 HWM" dataDxfId="528" totalsRowDxfId="527">
      <calculatedColumnFormula>MAX(PI3,PortfolioFrontier[[#This Row],[P106 Growth]])</calculatedColumnFormula>
    </tableColumn>
    <tableColumn id="424" xr3:uid="{9B85D65D-91E3-4EFF-B9EE-94F57DF5CCA1}" name="P106 DD" dataDxfId="526" totalsRowDxfId="525">
      <calculatedColumnFormula>PortfolioFrontier[[#This Row],[P106 Growth]]/PortfolioFrontier[[#This Row],[P106 HWM]]-1</calculatedColumnFormula>
    </tableColumn>
    <tableColumn id="425" xr3:uid="{B042783D-5DDA-4B5F-ADD6-53586CBB3090}" name="P107 Return" dataDxfId="524" totalsRowDxfId="523">
      <calculatedColumnFormula>SUMPRODUCT(INDEX(PortfolioRef[[SPY]:[PE]],MATCH(PK$1,PortfolioRef[Reference '#]),0),AssetMonthlyReturns[[#This Row],[SPY]:[PE]])</calculatedColumnFormula>
    </tableColumn>
    <tableColumn id="426" xr3:uid="{302FACBB-6989-40B8-87DB-47346ED2BAEE}" name="P107 Growth" dataDxfId="522" totalsRowDxfId="521">
      <calculatedColumnFormula>IF(ISNUMBER(PL3),PL3*(1+PortfolioFrontier[[#This Row],[P107 Return]]),1+PortfolioFrontier[[#This Row],[P107 Return]])</calculatedColumnFormula>
    </tableColumn>
    <tableColumn id="427" xr3:uid="{AFC03A03-88DF-4438-83A4-D13E5C4E09D0}" name="P107 HWM" dataDxfId="520" totalsRowDxfId="519">
      <calculatedColumnFormula>MAX(PM3,PortfolioFrontier[[#This Row],[P107 Growth]])</calculatedColumnFormula>
    </tableColumn>
    <tableColumn id="428" xr3:uid="{87D9C3C0-7DEC-4A86-87C7-68E46CD667BE}" name="P107 DD" dataDxfId="518" totalsRowDxfId="517">
      <calculatedColumnFormula>PortfolioFrontier[[#This Row],[P107 Growth]]/PortfolioFrontier[[#This Row],[P107 HWM]]-1</calculatedColumnFormula>
    </tableColumn>
    <tableColumn id="429" xr3:uid="{52C53739-8C7B-401A-8943-3B4A6C857E2F}" name="P108 Return" dataDxfId="516" totalsRowDxfId="515">
      <calculatedColumnFormula>SUMPRODUCT(INDEX(PortfolioRef[[SPY]:[PE]],MATCH(PO$1,PortfolioRef[Reference '#]),0),AssetMonthlyReturns[[#This Row],[SPY]:[PE]])</calculatedColumnFormula>
    </tableColumn>
    <tableColumn id="430" xr3:uid="{3F51A05E-58FC-4E92-B7E6-FC425277D541}" name="P108 Growth" dataDxfId="514" totalsRowDxfId="513">
      <calculatedColumnFormula>IF(ISNUMBER(PP3),PP3*(1+PortfolioFrontier[[#This Row],[P108 Return]]),1+PortfolioFrontier[[#This Row],[P108 Return]])</calculatedColumnFormula>
    </tableColumn>
    <tableColumn id="431" xr3:uid="{6CB1D4C1-1A63-4D1C-9901-95A29D2886F5}" name="P108 HWM" dataDxfId="512" totalsRowDxfId="511">
      <calculatedColumnFormula>MAX(PQ3,PortfolioFrontier[[#This Row],[P108 Growth]])</calculatedColumnFormula>
    </tableColumn>
    <tableColumn id="432" xr3:uid="{13227954-C2E0-49B8-9C69-86383C882763}" name="P108 DD" dataDxfId="510" totalsRowDxfId="509">
      <calculatedColumnFormula>PortfolioFrontier[[#This Row],[P108 Growth]]/PortfolioFrontier[[#This Row],[P108 HWM]]-1</calculatedColumnFormula>
    </tableColumn>
    <tableColumn id="433" xr3:uid="{1CE24897-DCB3-4152-A32A-FEED13B8FD31}" name="P109 Return" dataDxfId="508" totalsRowDxfId="507">
      <calculatedColumnFormula>SUMPRODUCT(INDEX(PortfolioRef[[SPY]:[PE]],MATCH(PS$1,PortfolioRef[Reference '#]),0),AssetMonthlyReturns[[#This Row],[SPY]:[PE]])</calculatedColumnFormula>
    </tableColumn>
    <tableColumn id="434" xr3:uid="{B53F1AB1-4FEE-4E95-BAD4-5796FE7F0BFC}" name="P109 Growth" dataDxfId="506" totalsRowDxfId="505">
      <calculatedColumnFormula>IF(ISNUMBER(PT3),PT3*(1+PortfolioFrontier[[#This Row],[P109 Return]]),1+PortfolioFrontier[[#This Row],[P109 Return]])</calculatedColumnFormula>
    </tableColumn>
    <tableColumn id="435" xr3:uid="{C06AE62A-C56C-46ED-A110-1AEF857ECDBA}" name="P109 HWM" dataDxfId="504" totalsRowDxfId="503">
      <calculatedColumnFormula>MAX(PU3,PortfolioFrontier[[#This Row],[P109 Growth]])</calculatedColumnFormula>
    </tableColumn>
    <tableColumn id="436" xr3:uid="{428E5F43-E007-40E3-8CC2-0C2D1B8A0B08}" name="P109 DD" dataDxfId="502" totalsRowDxfId="501">
      <calculatedColumnFormula>PortfolioFrontier[[#This Row],[P109 Growth]]/PortfolioFrontier[[#This Row],[P109 HWM]]-1</calculatedColumnFormula>
    </tableColumn>
    <tableColumn id="437" xr3:uid="{4DA4DAC1-5BCA-4138-99FA-3FE15DFD3579}" name="P110 Return" dataDxfId="500" totalsRowDxfId="499">
      <calculatedColumnFormula>SUMPRODUCT(INDEX(PortfolioRef[[SPY]:[PE]],MATCH(PW$1,PortfolioRef[Reference '#]),0),AssetMonthlyReturns[[#This Row],[SPY]:[PE]])</calculatedColumnFormula>
    </tableColumn>
    <tableColumn id="438" xr3:uid="{0B6BDA18-3FFD-431B-939F-2279FA77DD6A}" name="P110 Growth" dataDxfId="498" totalsRowDxfId="497">
      <calculatedColumnFormula>IF(ISNUMBER(PX3),PX3*(1+PortfolioFrontier[[#This Row],[P110 Return]]),1+PortfolioFrontier[[#This Row],[P110 Return]])</calculatedColumnFormula>
    </tableColumn>
    <tableColumn id="439" xr3:uid="{2B883835-04F5-48FE-9409-9E7F357EF412}" name="P110 HWM" dataDxfId="496" totalsRowDxfId="495">
      <calculatedColumnFormula>MAX(PY3,PortfolioFrontier[[#This Row],[P110 Growth]])</calculatedColumnFormula>
    </tableColumn>
    <tableColumn id="440" xr3:uid="{87C4637F-9051-4D48-B2AE-4AB4A000F717}" name="P110 DD" dataDxfId="494" totalsRowDxfId="493">
      <calculatedColumnFormula>PortfolioFrontier[[#This Row],[P110 Growth]]/PortfolioFrontier[[#This Row],[P110 HWM]]-1</calculatedColumnFormula>
    </tableColumn>
    <tableColumn id="441" xr3:uid="{9FF42CCA-6BBB-400D-AA07-C1767D0DA242}" name="P111 Return" dataDxfId="492" totalsRowDxfId="491">
      <calculatedColumnFormula>SUMPRODUCT(INDEX(PortfolioRef[[SPY]:[PE]],MATCH(QA$1,PortfolioRef[Reference '#]),0),AssetMonthlyReturns[[#This Row],[SPY]:[PE]])</calculatedColumnFormula>
    </tableColumn>
    <tableColumn id="442" xr3:uid="{EA1F47C7-D6DC-4553-BD58-D3F1B2CFF9E6}" name="P111 Growth" dataDxfId="490" totalsRowDxfId="489">
      <calculatedColumnFormula>IF(ISNUMBER(QB3),QB3*(1+PortfolioFrontier[[#This Row],[P111 Return]]),1+PortfolioFrontier[[#This Row],[P111 Return]])</calculatedColumnFormula>
    </tableColumn>
    <tableColumn id="443" xr3:uid="{D4F7CCF1-0A90-4CCF-9595-CB297298CB66}" name="P111 HWM" dataDxfId="488" totalsRowDxfId="487">
      <calculatedColumnFormula>MAX(QC3,PortfolioFrontier[[#This Row],[P111 Growth]])</calculatedColumnFormula>
    </tableColumn>
    <tableColumn id="444" xr3:uid="{718A9379-175E-4B46-9045-DB8433FC7AD8}" name="P111 DD" dataDxfId="486" totalsRowDxfId="485">
      <calculatedColumnFormula>PortfolioFrontier[[#This Row],[P111 Growth]]/PortfolioFrontier[[#This Row],[P111 HWM]]-1</calculatedColumnFormula>
    </tableColumn>
    <tableColumn id="445" xr3:uid="{976EBEE7-5C73-44ED-B3AC-6D779DC45E5A}" name="P112 Return" dataDxfId="484" totalsRowDxfId="483">
      <calculatedColumnFormula>SUMPRODUCT(INDEX(PortfolioRef[[SPY]:[PE]],MATCH(QE$1,PortfolioRef[Reference '#]),0),AssetMonthlyReturns[[#This Row],[SPY]:[PE]])</calculatedColumnFormula>
    </tableColumn>
    <tableColumn id="446" xr3:uid="{AA25CB86-AB88-4732-9C6E-AF21C1BBC5EC}" name="P112 Growth" dataDxfId="482" totalsRowDxfId="481">
      <calculatedColumnFormula>IF(ISNUMBER(QF3),QF3*(1+PortfolioFrontier[[#This Row],[P112 Return]]),1+PortfolioFrontier[[#This Row],[P112 Return]])</calculatedColumnFormula>
    </tableColumn>
    <tableColumn id="447" xr3:uid="{15EDA827-E075-4FCF-9227-16BD62EE1BAF}" name="P112 HWM" dataDxfId="480" totalsRowDxfId="479">
      <calculatedColumnFormula>MAX(QG3,PortfolioFrontier[[#This Row],[P112 Growth]])</calculatedColumnFormula>
    </tableColumn>
    <tableColumn id="448" xr3:uid="{5A604185-00D6-478B-8B8E-98281325EB7B}" name="P112 DD" dataDxfId="478" totalsRowDxfId="477">
      <calculatedColumnFormula>PortfolioFrontier[[#This Row],[P112 Growth]]/PortfolioFrontier[[#This Row],[P112 HWM]]-1</calculatedColumnFormula>
    </tableColumn>
    <tableColumn id="449" xr3:uid="{00504B81-0370-4C8A-A56F-DC084CF93B84}" name="P113 Return" dataDxfId="476" totalsRowDxfId="475">
      <calculatedColumnFormula>SUMPRODUCT(INDEX(PortfolioRef[[SPY]:[PE]],MATCH(QI$1,PortfolioRef[Reference '#]),0),AssetMonthlyReturns[[#This Row],[SPY]:[PE]])</calculatedColumnFormula>
    </tableColumn>
    <tableColumn id="450" xr3:uid="{D9AF81D6-3706-480C-AB3C-13465438EECF}" name="P113 Growth" dataDxfId="474" totalsRowDxfId="473">
      <calculatedColumnFormula>IF(ISNUMBER(QJ3),QJ3*(1+PortfolioFrontier[[#This Row],[P113 Return]]),1+PortfolioFrontier[[#This Row],[P113 Return]])</calculatedColumnFormula>
    </tableColumn>
    <tableColumn id="451" xr3:uid="{465DEAB7-BCCB-409A-A801-6ABBE1D9A59C}" name="P113 HWM" dataDxfId="472" totalsRowDxfId="471">
      <calculatedColumnFormula>MAX(QK3,PortfolioFrontier[[#This Row],[P113 Growth]])</calculatedColumnFormula>
    </tableColumn>
    <tableColumn id="452" xr3:uid="{AA3596A5-06A7-44D0-9BC8-C2517B988B49}" name="P113 DD" dataDxfId="470" totalsRowDxfId="469">
      <calculatedColumnFormula>PortfolioFrontier[[#This Row],[P113 Growth]]/PortfolioFrontier[[#This Row],[P113 HWM]]-1</calculatedColumnFormula>
    </tableColumn>
    <tableColumn id="453" xr3:uid="{BD48F4C3-9FA6-4BBA-ADC2-5E542C981EED}" name="P114 Return" dataDxfId="468" totalsRowDxfId="467">
      <calculatedColumnFormula>SUMPRODUCT(INDEX(PortfolioRef[[SPY]:[PE]],MATCH(QM$1,PortfolioRef[Reference '#]),0),AssetMonthlyReturns[[#This Row],[SPY]:[PE]])</calculatedColumnFormula>
    </tableColumn>
    <tableColumn id="454" xr3:uid="{A1506AAF-ECE1-4AE7-8439-951C9C97BF7F}" name="P114 Growth" dataDxfId="466" totalsRowDxfId="465">
      <calculatedColumnFormula>IF(ISNUMBER(QN3),QN3*(1+PortfolioFrontier[[#This Row],[P114 Return]]),1+PortfolioFrontier[[#This Row],[P114 Return]])</calculatedColumnFormula>
    </tableColumn>
    <tableColumn id="455" xr3:uid="{9CF5ECDA-C411-42ED-B40E-3B13D4D32A0C}" name="P114 HWM" dataDxfId="464" totalsRowDxfId="463">
      <calculatedColumnFormula>MAX(QO3,PortfolioFrontier[[#This Row],[P114 Growth]])</calculatedColumnFormula>
    </tableColumn>
    <tableColumn id="456" xr3:uid="{5AD81BAA-D28F-432C-AE1F-77D01EBCCA21}" name="P114 DD" dataDxfId="462" totalsRowDxfId="461">
      <calculatedColumnFormula>PortfolioFrontier[[#This Row],[P114 Growth]]/PortfolioFrontier[[#This Row],[P114 HWM]]-1</calculatedColumnFormula>
    </tableColumn>
    <tableColumn id="457" xr3:uid="{DC5CA759-02FC-4774-BC3E-7ED28109BE8C}" name="P115 Return" dataDxfId="460" totalsRowDxfId="459">
      <calculatedColumnFormula>SUMPRODUCT(INDEX(PortfolioRef[[SPY]:[PE]],MATCH(QQ$1,PortfolioRef[Reference '#]),0),AssetMonthlyReturns[[#This Row],[SPY]:[PE]])</calculatedColumnFormula>
    </tableColumn>
    <tableColumn id="458" xr3:uid="{1BB02A39-3724-4777-845D-A143BA3ECFA3}" name="P115 Growth" dataDxfId="458" totalsRowDxfId="457">
      <calculatedColumnFormula>IF(ISNUMBER(QR3),QR3*(1+PortfolioFrontier[[#This Row],[P115 Return]]),1+PortfolioFrontier[[#This Row],[P115 Return]])</calculatedColumnFormula>
    </tableColumn>
    <tableColumn id="459" xr3:uid="{1B11895B-D752-4DCB-879D-13D19B5CE95B}" name="P115 HWM" dataDxfId="456" totalsRowDxfId="455">
      <calculatedColumnFormula>MAX(QS3,PortfolioFrontier[[#This Row],[P115 Growth]])</calculatedColumnFormula>
    </tableColumn>
    <tableColumn id="460" xr3:uid="{0E61FCCF-5C80-4E3A-931E-3E28853126B2}" name="P115 DD" dataDxfId="454" totalsRowDxfId="453">
      <calculatedColumnFormula>PortfolioFrontier[[#This Row],[P115 Growth]]/PortfolioFrontier[[#This Row],[P115 HWM]]-1</calculatedColumnFormula>
    </tableColumn>
    <tableColumn id="461" xr3:uid="{8C44FC41-7706-479D-BDAE-7E7AB96D2F1C}" name="P116 Return" dataDxfId="452" totalsRowDxfId="451">
      <calculatedColumnFormula>SUMPRODUCT(INDEX(PortfolioRef[[SPY]:[PE]],MATCH(QU$1,PortfolioRef[Reference '#]),0),AssetMonthlyReturns[[#This Row],[SPY]:[PE]])</calculatedColumnFormula>
    </tableColumn>
    <tableColumn id="462" xr3:uid="{B2C6DD0F-ED51-4F0E-92F9-67EA8871C96D}" name="P116 Growth" dataDxfId="450" totalsRowDxfId="449">
      <calculatedColumnFormula>IF(ISNUMBER(QV3),QV3*(1+PortfolioFrontier[[#This Row],[P116 Return]]),1+PortfolioFrontier[[#This Row],[P116 Return]])</calculatedColumnFormula>
    </tableColumn>
    <tableColumn id="463" xr3:uid="{554D00E8-953B-4EAE-B953-6146487503C5}" name="P116 HWM" dataDxfId="448" totalsRowDxfId="447">
      <calculatedColumnFormula>MAX(QW3,PortfolioFrontier[[#This Row],[P116 Growth]])</calculatedColumnFormula>
    </tableColumn>
    <tableColumn id="464" xr3:uid="{36CD8D0A-0889-4DEA-B4D0-901CA22C56BA}" name="P116 DD" dataDxfId="446" totalsRowDxfId="445">
      <calculatedColumnFormula>PortfolioFrontier[[#This Row],[P116 Growth]]/PortfolioFrontier[[#This Row],[P116 HWM]]-1</calculatedColumnFormula>
    </tableColumn>
    <tableColumn id="465" xr3:uid="{808AD204-58FF-46C3-83B1-48ED2E0DABB6}" name="P117 Return" dataDxfId="444" totalsRowDxfId="443">
      <calculatedColumnFormula>SUMPRODUCT(INDEX(PortfolioRef[[SPY]:[PE]],MATCH(QY$1,PortfolioRef[Reference '#]),0),AssetMonthlyReturns[[#This Row],[SPY]:[PE]])</calculatedColumnFormula>
    </tableColumn>
    <tableColumn id="466" xr3:uid="{730839F7-9D21-4E82-96EC-5D21C07619FE}" name="P117 Growth" dataDxfId="442" totalsRowDxfId="441">
      <calculatedColumnFormula>IF(ISNUMBER(QZ3),QZ3*(1+PortfolioFrontier[[#This Row],[P117 Return]]),1+PortfolioFrontier[[#This Row],[P117 Return]])</calculatedColumnFormula>
    </tableColumn>
    <tableColumn id="467" xr3:uid="{6A01B9FD-29EE-48CE-9436-0B77F70170ED}" name="P117 HWM" dataDxfId="440" totalsRowDxfId="439">
      <calculatedColumnFormula>MAX(RA3,PortfolioFrontier[[#This Row],[P117 Growth]])</calculatedColumnFormula>
    </tableColumn>
    <tableColumn id="468" xr3:uid="{615B4BDC-538C-4CF7-8CEA-FC751A40B3B7}" name="P117 DD" dataDxfId="438" totalsRowDxfId="437">
      <calculatedColumnFormula>PortfolioFrontier[[#This Row],[P117 Growth]]/PortfolioFrontier[[#This Row],[P117 HWM]]-1</calculatedColumnFormula>
    </tableColumn>
    <tableColumn id="469" xr3:uid="{3881E2C7-065E-4877-87B0-A318208E9D7E}" name="P118 Return" dataDxfId="436" totalsRowDxfId="435">
      <calculatedColumnFormula>SUMPRODUCT(INDEX(PortfolioRef[[SPY]:[PE]],MATCH(RC$1,PortfolioRef[Reference '#]),0),AssetMonthlyReturns[[#This Row],[SPY]:[PE]])</calculatedColumnFormula>
    </tableColumn>
    <tableColumn id="470" xr3:uid="{78DFABC0-D057-40DC-A248-E36829FD6999}" name="P118 Growth" dataDxfId="434" totalsRowDxfId="433">
      <calculatedColumnFormula>IF(ISNUMBER(RD3),RD3*(1+PortfolioFrontier[[#This Row],[P118 Return]]),1+PortfolioFrontier[[#This Row],[P118 Return]])</calculatedColumnFormula>
    </tableColumn>
    <tableColumn id="471" xr3:uid="{05796EB7-7CB8-4F3A-B257-AECB726E6672}" name="P118 HWM" dataDxfId="432" totalsRowDxfId="431">
      <calculatedColumnFormula>MAX(RE3,PortfolioFrontier[[#This Row],[P118 Growth]])</calculatedColumnFormula>
    </tableColumn>
    <tableColumn id="472" xr3:uid="{28051B63-FDE2-4475-8CCC-94C6C1179976}" name="P118 DD" dataDxfId="430" totalsRowDxfId="429">
      <calculatedColumnFormula>PortfolioFrontier[[#This Row],[P118 Growth]]/PortfolioFrontier[[#This Row],[P118 HWM]]-1</calculatedColumnFormula>
    </tableColumn>
    <tableColumn id="473" xr3:uid="{14D5E72F-0008-41AF-A4A0-5E7248E6BFCE}" name="P119 Return" dataDxfId="428" totalsRowDxfId="427">
      <calculatedColumnFormula>SUMPRODUCT(INDEX(PortfolioRef[[SPY]:[PE]],MATCH(RG$1,PortfolioRef[Reference '#]),0),AssetMonthlyReturns[[#This Row],[SPY]:[PE]])</calculatedColumnFormula>
    </tableColumn>
    <tableColumn id="474" xr3:uid="{98D68681-441A-4014-B3A1-169B4E7B3B17}" name="P119 Growth" dataDxfId="426" totalsRowDxfId="425">
      <calculatedColumnFormula>IF(ISNUMBER(RH3),RH3*(1+PortfolioFrontier[[#This Row],[P119 Return]]),1+PortfolioFrontier[[#This Row],[P119 Return]])</calculatedColumnFormula>
    </tableColumn>
    <tableColumn id="475" xr3:uid="{9CDEF0E0-13C5-4C3D-8D7F-EFC48FB9010B}" name="P119 HWM" dataDxfId="424" totalsRowDxfId="423">
      <calculatedColumnFormula>MAX(RI3,PortfolioFrontier[[#This Row],[P119 Growth]])</calculatedColumnFormula>
    </tableColumn>
    <tableColumn id="476" xr3:uid="{A5439380-D2CA-4CAA-853C-BFA96F6A1CC7}" name="P119 DD" dataDxfId="422" totalsRowDxfId="421">
      <calculatedColumnFormula>PortfolioFrontier[[#This Row],[P119 Growth]]/PortfolioFrontier[[#This Row],[P119 HWM]]-1</calculatedColumnFormula>
    </tableColumn>
    <tableColumn id="477" xr3:uid="{CC4C3137-215A-4788-9622-11D5138204E1}" name="P120 Return" dataDxfId="420" totalsRowDxfId="419">
      <calculatedColumnFormula>SUMPRODUCT(INDEX(PortfolioRef[[SPY]:[PE]],MATCH(RK$1,PortfolioRef[Reference '#]),0),AssetMonthlyReturns[[#This Row],[SPY]:[PE]])</calculatedColumnFormula>
    </tableColumn>
    <tableColumn id="478" xr3:uid="{292134A4-6EBC-42FF-9979-94456CD397C7}" name="P120 Growth" dataDxfId="418" totalsRowDxfId="417">
      <calculatedColumnFormula>IF(ISNUMBER(RL3),RL3*(1+PortfolioFrontier[[#This Row],[P120 Return]]),1+PortfolioFrontier[[#This Row],[P120 Return]])</calculatedColumnFormula>
    </tableColumn>
    <tableColumn id="479" xr3:uid="{8CD4831B-8851-46AF-BEA4-1D71A6855CDF}" name="P120 HWM" dataDxfId="416" totalsRowDxfId="415">
      <calculatedColumnFormula>MAX(RM3,PortfolioFrontier[[#This Row],[P120 Growth]])</calculatedColumnFormula>
    </tableColumn>
    <tableColumn id="480" xr3:uid="{92304DAF-8E2B-4105-856D-37D074B6AB62}" name="P120 DD" dataDxfId="414" totalsRowDxfId="413">
      <calculatedColumnFormula>PortfolioFrontier[[#This Row],[P120 Growth]]/PortfolioFrontier[[#This Row],[P120 HWM]]-1</calculatedColumnFormula>
    </tableColumn>
    <tableColumn id="481" xr3:uid="{7151D07E-88B3-4824-9EB3-57B1CF5BC7A4}" name="P121 Return" dataDxfId="412" totalsRowDxfId="411">
      <calculatedColumnFormula>SUMPRODUCT(INDEX(PortfolioRef[[SPY]:[PE]],MATCH(RO$1,PortfolioRef[Reference '#]),0),AssetMonthlyReturns[[#This Row],[SPY]:[PE]])</calculatedColumnFormula>
    </tableColumn>
    <tableColumn id="482" xr3:uid="{0B0C4DBA-70B9-485B-8A7B-55E9DF541107}" name="P121 Growth" dataDxfId="410" totalsRowDxfId="409">
      <calculatedColumnFormula>IF(ISNUMBER(RP3),RP3*(1+PortfolioFrontier[[#This Row],[P121 Return]]),1+PortfolioFrontier[[#This Row],[P121 Return]])</calculatedColumnFormula>
    </tableColumn>
    <tableColumn id="483" xr3:uid="{39FCE105-B984-48FE-AD9B-D1969F343D0D}" name="P121 HWM" dataDxfId="408" totalsRowDxfId="407">
      <calculatedColumnFormula>MAX(RQ3,PortfolioFrontier[[#This Row],[P121 Growth]])</calculatedColumnFormula>
    </tableColumn>
    <tableColumn id="484" xr3:uid="{F59852AD-760A-4B76-AD24-D7F98D41E15C}" name="P121 DD" dataDxfId="406" totalsRowDxfId="405">
      <calculatedColumnFormula>PortfolioFrontier[[#This Row],[P121 Growth]]/PortfolioFrontier[[#This Row],[P121 HWM]]-1</calculatedColumnFormula>
    </tableColumn>
    <tableColumn id="485" xr3:uid="{4DE304C4-6390-4FF4-A139-2C4F41002F87}" name="P122 Return" dataDxfId="404" totalsRowDxfId="403">
      <calculatedColumnFormula>SUMPRODUCT(INDEX(PortfolioRef[[SPY]:[PE]],MATCH(RS$1,PortfolioRef[Reference '#]),0),AssetMonthlyReturns[[#This Row],[SPY]:[PE]])</calculatedColumnFormula>
    </tableColumn>
    <tableColumn id="486" xr3:uid="{2C7011DC-821A-4F69-B05D-DCD5D5A217FD}" name="P122 Growth" dataDxfId="402" totalsRowDxfId="401">
      <calculatedColumnFormula>IF(ISNUMBER(RT3),RT3*(1+PortfolioFrontier[[#This Row],[P122 Return]]),1+PortfolioFrontier[[#This Row],[P122 Return]])</calculatedColumnFormula>
    </tableColumn>
    <tableColumn id="487" xr3:uid="{90281BDB-8D31-4211-B204-4A85AD8D3D8E}" name="P122 HWM" dataDxfId="400" totalsRowDxfId="399">
      <calculatedColumnFormula>MAX(RU3,PortfolioFrontier[[#This Row],[P122 Growth]])</calculatedColumnFormula>
    </tableColumn>
    <tableColumn id="488" xr3:uid="{39F137DC-B0C7-4E8F-84CD-7E417469E8DC}" name="P122 DD" dataDxfId="398" totalsRowDxfId="397">
      <calculatedColumnFormula>PortfolioFrontier[[#This Row],[P122 Growth]]/PortfolioFrontier[[#This Row],[P122 HWM]]-1</calculatedColumnFormula>
    </tableColumn>
    <tableColumn id="489" xr3:uid="{53E57AB8-49B1-4AE2-9D4A-5871D920F811}" name="P123 Return" dataDxfId="396" totalsRowDxfId="395">
      <calculatedColumnFormula>SUMPRODUCT(INDEX(PortfolioRef[[SPY]:[PE]],MATCH(RW$1,PortfolioRef[Reference '#]),0),AssetMonthlyReturns[[#This Row],[SPY]:[PE]])</calculatedColumnFormula>
    </tableColumn>
    <tableColumn id="490" xr3:uid="{75577C34-9BA3-4A6A-B174-26656A60A66B}" name="P123 Growth" dataDxfId="394" totalsRowDxfId="393">
      <calculatedColumnFormula>IF(ISNUMBER(RX3),RX3*(1+PortfolioFrontier[[#This Row],[P123 Return]]),1+PortfolioFrontier[[#This Row],[P123 Return]])</calculatedColumnFormula>
    </tableColumn>
    <tableColumn id="491" xr3:uid="{FAE5B64F-9F55-4BFA-8A24-A3C70A30ED50}" name="P123 HWM" dataDxfId="392" totalsRowDxfId="391">
      <calculatedColumnFormula>MAX(RY3,PortfolioFrontier[[#This Row],[P123 Growth]])</calculatedColumnFormula>
    </tableColumn>
    <tableColumn id="492" xr3:uid="{FA0DF916-1391-4E41-A17F-666CD8524861}" name="P123 DD" dataDxfId="390" totalsRowDxfId="389">
      <calculatedColumnFormula>PortfolioFrontier[[#This Row],[P123 Growth]]/PortfolioFrontier[[#This Row],[P123 HWM]]-1</calculatedColumnFormula>
    </tableColumn>
    <tableColumn id="493" xr3:uid="{E6779529-8541-4C89-9AD7-115B580C3980}" name="P124 Return" dataDxfId="388" totalsRowDxfId="387">
      <calculatedColumnFormula>SUMPRODUCT(INDEX(PortfolioRef[[SPY]:[PE]],MATCH(SA$1,PortfolioRef[Reference '#]),0),AssetMonthlyReturns[[#This Row],[SPY]:[PE]])</calculatedColumnFormula>
    </tableColumn>
    <tableColumn id="494" xr3:uid="{F5F43EED-2C06-483A-A248-E149F81AD028}" name="P124 Growth" dataDxfId="386" totalsRowDxfId="385">
      <calculatedColumnFormula>IF(ISNUMBER(SB3),SB3*(1+PortfolioFrontier[[#This Row],[P124 Return]]),1+PortfolioFrontier[[#This Row],[P124 Return]])</calculatedColumnFormula>
    </tableColumn>
    <tableColumn id="495" xr3:uid="{C2F1183A-66A6-4799-B8A0-55A54C7D2D1E}" name="P124 HWM" dataDxfId="384" totalsRowDxfId="383">
      <calculatedColumnFormula>MAX(SC3,PortfolioFrontier[[#This Row],[P124 Growth]])</calculatedColumnFormula>
    </tableColumn>
    <tableColumn id="496" xr3:uid="{0AED6898-ACC2-4C32-BC6C-05F200F291E0}" name="P124 DD" dataDxfId="382" totalsRowDxfId="381">
      <calculatedColumnFormula>PortfolioFrontier[[#This Row],[P124 Growth]]/PortfolioFrontier[[#This Row],[P124 HWM]]-1</calculatedColumnFormula>
    </tableColumn>
    <tableColumn id="497" xr3:uid="{EE1697F2-9F14-40F8-A37C-DECB82E3C240}" name="P125 Return" dataDxfId="380" totalsRowDxfId="379">
      <calculatedColumnFormula>SUMPRODUCT(INDEX(PortfolioRef[[SPY]:[PE]],MATCH(SE$1,PortfolioRef[Reference '#]),0),AssetMonthlyReturns[[#This Row],[SPY]:[PE]])</calculatedColumnFormula>
    </tableColumn>
    <tableColumn id="498" xr3:uid="{D69443E1-9B81-4BC0-8264-B1BDD2EEDC47}" name="P125 Growth" dataDxfId="378" totalsRowDxfId="377">
      <calculatedColumnFormula>IF(ISNUMBER(SF3),SF3*(1+PortfolioFrontier[[#This Row],[P125 Return]]),1+PortfolioFrontier[[#This Row],[P125 Return]])</calculatedColumnFormula>
    </tableColumn>
    <tableColumn id="499" xr3:uid="{A12C05FF-D43E-46DA-92A5-88EC650A5CA9}" name="P125 HWM" dataDxfId="376" totalsRowDxfId="375">
      <calculatedColumnFormula>MAX(SG3,PortfolioFrontier[[#This Row],[P125 Growth]])</calculatedColumnFormula>
    </tableColumn>
    <tableColumn id="500" xr3:uid="{0787937A-A292-4390-B192-C527AA39023C}" name="P125 DD" dataDxfId="374" totalsRowDxfId="373">
      <calculatedColumnFormula>PortfolioFrontier[[#This Row],[P125 Growth]]/PortfolioFrontier[[#This Row],[P125 HWM]]-1</calculatedColumnFormula>
    </tableColumn>
    <tableColumn id="501" xr3:uid="{3C28088E-A7FB-43BD-A3C8-4F12332B45FB}" name="P126 Return" dataDxfId="372" totalsRowDxfId="371">
      <calculatedColumnFormula>SUMPRODUCT(INDEX(PortfolioRef[[SPY]:[PE]],MATCH(SI$1,PortfolioRef[Reference '#]),0),AssetMonthlyReturns[[#This Row],[SPY]:[PE]])</calculatedColumnFormula>
    </tableColumn>
    <tableColumn id="502" xr3:uid="{5C001493-C849-4D92-8579-7B611DD087F3}" name="P126 Growth" dataDxfId="370" totalsRowDxfId="369">
      <calculatedColumnFormula>IF(ISNUMBER(SJ3),SJ3*(1+PortfolioFrontier[[#This Row],[P126 Return]]),1+PortfolioFrontier[[#This Row],[P126 Return]])</calculatedColumnFormula>
    </tableColumn>
    <tableColumn id="503" xr3:uid="{6C5B3E71-076E-4571-8D8E-256BBD49F39C}" name="P126 HWM" dataDxfId="368" totalsRowDxfId="367">
      <calculatedColumnFormula>MAX(SK3,PortfolioFrontier[[#This Row],[P126 Growth]])</calculatedColumnFormula>
    </tableColumn>
    <tableColumn id="504" xr3:uid="{14FC14C0-2615-4E90-8E89-707F750F2AB1}" name="P126 DD" dataDxfId="366" totalsRowDxfId="365">
      <calculatedColumnFormula>PortfolioFrontier[[#This Row],[P126 Growth]]/PortfolioFrontier[[#This Row],[P126 HWM]]-1</calculatedColumnFormula>
    </tableColumn>
    <tableColumn id="505" xr3:uid="{74EFBAAA-C9A9-4570-8804-5788F7183386}" name="P127 Return" dataDxfId="364" totalsRowDxfId="363">
      <calculatedColumnFormula>SUMPRODUCT(INDEX(PortfolioRef[[SPY]:[PE]],MATCH(SM$1,PortfolioRef[Reference '#]),0),AssetMonthlyReturns[[#This Row],[SPY]:[PE]])</calculatedColumnFormula>
    </tableColumn>
    <tableColumn id="506" xr3:uid="{FAFE19AB-0B0A-4EBE-BDBF-DECCB2DE5108}" name="P127 Growth" dataDxfId="362" totalsRowDxfId="361">
      <calculatedColumnFormula>IF(ISNUMBER(SN3),SN3*(1+PortfolioFrontier[[#This Row],[P127 Return]]),1+PortfolioFrontier[[#This Row],[P127 Return]])</calculatedColumnFormula>
    </tableColumn>
    <tableColumn id="507" xr3:uid="{D5EFEB6A-D6AD-478B-B189-2D825A3F9B5A}" name="P127 HWM" dataDxfId="360" totalsRowDxfId="359">
      <calculatedColumnFormula>MAX(SO3,PortfolioFrontier[[#This Row],[P127 Growth]])</calculatedColumnFormula>
    </tableColumn>
    <tableColumn id="508" xr3:uid="{1412A97C-3075-4768-A381-C9B602CD812B}" name="P127 DD" dataDxfId="358" totalsRowDxfId="357">
      <calculatedColumnFormula>PortfolioFrontier[[#This Row],[P127 Growth]]/PortfolioFrontier[[#This Row],[P127 HWM]]-1</calculatedColumnFormula>
    </tableColumn>
    <tableColumn id="509" xr3:uid="{1A53E707-1BB6-4003-A41F-67D970FE0649}" name="P128 Return" dataDxfId="356" totalsRowDxfId="355">
      <calculatedColumnFormula>SUMPRODUCT(INDEX(PortfolioRef[[SPY]:[PE]],MATCH(SQ$1,PortfolioRef[Reference '#]),0),AssetMonthlyReturns[[#This Row],[SPY]:[PE]])</calculatedColumnFormula>
    </tableColumn>
    <tableColumn id="510" xr3:uid="{52644774-2B7D-4720-8BC1-C8C3551C0240}" name="P128 Growth" dataDxfId="354" totalsRowDxfId="353">
      <calculatedColumnFormula>IF(ISNUMBER(SR3),SR3*(1+PortfolioFrontier[[#This Row],[P128 Return]]),1+PortfolioFrontier[[#This Row],[P128 Return]])</calculatedColumnFormula>
    </tableColumn>
    <tableColumn id="511" xr3:uid="{E3916F03-F9B7-471A-9148-BF92CC09CBFD}" name="P128 HWM" dataDxfId="352" totalsRowDxfId="351">
      <calculatedColumnFormula>MAX(SS3,PortfolioFrontier[[#This Row],[P128 Growth]])</calculatedColumnFormula>
    </tableColumn>
    <tableColumn id="512" xr3:uid="{E8EC502C-D90A-4D7E-87BE-17BF515A4538}" name="P128 DD" dataDxfId="350" totalsRowDxfId="349">
      <calculatedColumnFormula>PortfolioFrontier[[#This Row],[P128 Growth]]/PortfolioFrontier[[#This Row],[P128 HWM]]-1</calculatedColumnFormula>
    </tableColumn>
    <tableColumn id="513" xr3:uid="{CBE6B468-24AB-4E30-BA2E-4471B7B62F14}" name="P129 Return" dataDxfId="348" totalsRowDxfId="347">
      <calculatedColumnFormula>SUMPRODUCT(INDEX(PortfolioRef[[SPY]:[PE]],MATCH(SU$1,PortfolioRef[Reference '#]),0),AssetMonthlyReturns[[#This Row],[SPY]:[PE]])</calculatedColumnFormula>
    </tableColumn>
    <tableColumn id="514" xr3:uid="{03BB5BB1-9A9C-445B-906C-D7B1B1D5D8C8}" name="P129 Growth" dataDxfId="346" totalsRowDxfId="345">
      <calculatedColumnFormula>IF(ISNUMBER(SV3),SV3*(1+PortfolioFrontier[[#This Row],[P129 Return]]),1+PortfolioFrontier[[#This Row],[P129 Return]])</calculatedColumnFormula>
    </tableColumn>
    <tableColumn id="515" xr3:uid="{DDEBF36E-538D-46F2-A111-13724791AFE8}" name="P129 HWM" dataDxfId="344" totalsRowDxfId="343">
      <calculatedColumnFormula>MAX(SW3,PortfolioFrontier[[#This Row],[P129 Growth]])</calculatedColumnFormula>
    </tableColumn>
    <tableColumn id="516" xr3:uid="{8ACB9146-F0F2-4F5C-A192-E631CB669F62}" name="P129 DD" dataDxfId="342" totalsRowDxfId="341">
      <calculatedColumnFormula>PortfolioFrontier[[#This Row],[P129 Growth]]/PortfolioFrontier[[#This Row],[P129 HWM]]-1</calculatedColumnFormula>
    </tableColumn>
    <tableColumn id="517" xr3:uid="{B954D6F7-4E5F-4249-B1A0-72F7755AA122}" name="P130 Return" dataDxfId="340" totalsRowDxfId="339">
      <calculatedColumnFormula>SUMPRODUCT(INDEX(PortfolioRef[[SPY]:[PE]],MATCH(SY$1,PortfolioRef[Reference '#]),0),AssetMonthlyReturns[[#This Row],[SPY]:[PE]])</calculatedColumnFormula>
    </tableColumn>
    <tableColumn id="518" xr3:uid="{2E9BA7FD-34FC-4B4B-B7E1-002CF6C564CF}" name="P130 Growth" dataDxfId="338" totalsRowDxfId="337">
      <calculatedColumnFormula>IF(ISNUMBER(SZ3),SZ3*(1+PortfolioFrontier[[#This Row],[P130 Return]]),1+PortfolioFrontier[[#This Row],[P130 Return]])</calculatedColumnFormula>
    </tableColumn>
    <tableColumn id="519" xr3:uid="{65313549-1906-4DD9-AC44-E6749D25CBCA}" name="P130 HWM" dataDxfId="336" totalsRowDxfId="335">
      <calculatedColumnFormula>MAX(TA3,PortfolioFrontier[[#This Row],[P130 Growth]])</calculatedColumnFormula>
    </tableColumn>
    <tableColumn id="520" xr3:uid="{5EC3AF26-3E26-4C0C-BD69-249CC8A72DFD}" name="P130 DD" dataDxfId="334" totalsRowDxfId="333">
      <calculatedColumnFormula>PortfolioFrontier[[#This Row],[P130 Growth]]/PortfolioFrontier[[#This Row],[P130 HWM]]-1</calculatedColumnFormula>
    </tableColumn>
    <tableColumn id="521" xr3:uid="{1AEF5668-D6F4-4888-8DA3-1F2DC82D7BD0}" name="P131 Return" dataDxfId="332" totalsRowDxfId="331">
      <calculatedColumnFormula>SUMPRODUCT(INDEX(PortfolioRef[[SPY]:[PE]],MATCH(TC$1,PortfolioRef[Reference '#]),0),AssetMonthlyReturns[[#This Row],[SPY]:[PE]])</calculatedColumnFormula>
    </tableColumn>
    <tableColumn id="522" xr3:uid="{F25EE85D-E912-4C7A-97DA-135E76853C60}" name="P131 Growth" dataDxfId="330" totalsRowDxfId="329">
      <calculatedColumnFormula>IF(ISNUMBER(TD3),TD3*(1+PortfolioFrontier[[#This Row],[P131 Return]]),1+PortfolioFrontier[[#This Row],[P131 Return]])</calculatedColumnFormula>
    </tableColumn>
    <tableColumn id="523" xr3:uid="{92955FE9-AEA9-48F8-BC2D-ECB39B0A84F4}" name="P131 HWM" dataDxfId="328" totalsRowDxfId="327">
      <calculatedColumnFormula>MAX(TE3,PortfolioFrontier[[#This Row],[P131 Growth]])</calculatedColumnFormula>
    </tableColumn>
    <tableColumn id="524" xr3:uid="{A3F0E8E2-A64E-431D-96F9-BE3018190C69}" name="P131 DD" dataDxfId="326" totalsRowDxfId="325">
      <calculatedColumnFormula>PortfolioFrontier[[#This Row],[P131 Growth]]/PortfolioFrontier[[#This Row],[P131 HWM]]-1</calculatedColumnFormula>
    </tableColumn>
    <tableColumn id="525" xr3:uid="{7BCDBB82-E77F-494C-B7D1-F1CEA7D88C89}" name="P132 Return" dataDxfId="324" totalsRowDxfId="323">
      <calculatedColumnFormula>SUMPRODUCT(INDEX(PortfolioRef[[SPY]:[PE]],MATCH(TG$1,PortfolioRef[Reference '#]),0),AssetMonthlyReturns[[#This Row],[SPY]:[PE]])</calculatedColumnFormula>
    </tableColumn>
    <tableColumn id="526" xr3:uid="{5B771D22-756D-45BD-9320-EA862AA8705A}" name="P132 Growth" dataDxfId="322" totalsRowDxfId="321">
      <calculatedColumnFormula>IF(ISNUMBER(TH3),TH3*(1+PortfolioFrontier[[#This Row],[P132 Return]]),1+PortfolioFrontier[[#This Row],[P132 Return]])</calculatedColumnFormula>
    </tableColumn>
    <tableColumn id="527" xr3:uid="{1B3216C5-446D-42F8-8805-002CDA53E6D6}" name="P132 HWM" dataDxfId="320" totalsRowDxfId="319">
      <calculatedColumnFormula>MAX(TI3,PortfolioFrontier[[#This Row],[P132 Growth]])</calculatedColumnFormula>
    </tableColumn>
    <tableColumn id="528" xr3:uid="{56B1F3FA-C2A0-493B-BE51-39E067416E3D}" name="P132 DD" dataDxfId="318" totalsRowDxfId="317">
      <calculatedColumnFormula>PortfolioFrontier[[#This Row],[P132 Growth]]/PortfolioFrontier[[#This Row],[P132 HWM]]-1</calculatedColumnFormula>
    </tableColumn>
    <tableColumn id="529" xr3:uid="{B284D1FE-D315-450B-BBFC-416BE7B99ED4}" name="P133 Return" dataDxfId="316" totalsRowDxfId="315">
      <calculatedColumnFormula>SUMPRODUCT(INDEX(PortfolioRef[[SPY]:[PE]],MATCH(TK$1,PortfolioRef[Reference '#]),0),AssetMonthlyReturns[[#This Row],[SPY]:[PE]])</calculatedColumnFormula>
    </tableColumn>
    <tableColumn id="530" xr3:uid="{24A58DA6-C963-4F5A-B676-29C888F2AC1E}" name="P133 Growth" dataDxfId="314" totalsRowDxfId="313">
      <calculatedColumnFormula>IF(ISNUMBER(TL3),TL3*(1+PortfolioFrontier[[#This Row],[P133 Return]]),1+PortfolioFrontier[[#This Row],[P133 Return]])</calculatedColumnFormula>
    </tableColumn>
    <tableColumn id="531" xr3:uid="{503A4614-3505-470E-8D29-AA2D15BF1713}" name="P133 HWM" dataDxfId="312" totalsRowDxfId="311">
      <calculatedColumnFormula>MAX(TM3,PortfolioFrontier[[#This Row],[P133 Growth]])</calculatedColumnFormula>
    </tableColumn>
    <tableColumn id="532" xr3:uid="{459331DD-FC82-40BA-A9E7-4E9E960AE42F}" name="P133 DD" dataDxfId="310" totalsRowDxfId="309">
      <calculatedColumnFormula>PortfolioFrontier[[#This Row],[P133 Growth]]/PortfolioFrontier[[#This Row],[P133 HWM]]-1</calculatedColumnFormula>
    </tableColumn>
    <tableColumn id="533" xr3:uid="{824D6BF6-8BD1-4304-8F9D-6F13569EBF80}" name="P134 Return" dataDxfId="308" totalsRowDxfId="307">
      <calculatedColumnFormula>SUMPRODUCT(INDEX(PortfolioRef[[SPY]:[PE]],MATCH(TO$1,PortfolioRef[Reference '#]),0),AssetMonthlyReturns[[#This Row],[SPY]:[PE]])</calculatedColumnFormula>
    </tableColumn>
    <tableColumn id="534" xr3:uid="{11D09EF3-145F-4C5A-B546-5BA1C754C73F}" name="P134 Growth" dataDxfId="306" totalsRowDxfId="305">
      <calculatedColumnFormula>IF(ISNUMBER(TP3),TP3*(1+PortfolioFrontier[[#This Row],[P134 Return]]),1+PortfolioFrontier[[#This Row],[P134 Return]])</calculatedColumnFormula>
    </tableColumn>
    <tableColumn id="535" xr3:uid="{D47C4F96-7AE0-4AFC-9788-453FADDCF32F}" name="P134 HWM" dataDxfId="304" totalsRowDxfId="303">
      <calculatedColumnFormula>MAX(TQ3,PortfolioFrontier[[#This Row],[P134 Growth]])</calculatedColumnFormula>
    </tableColumn>
    <tableColumn id="536" xr3:uid="{A656FBEE-C7B1-4D0D-A3AA-E6BA3E7D3BB8}" name="P134 DD" dataDxfId="302" totalsRowDxfId="301">
      <calculatedColumnFormula>PortfolioFrontier[[#This Row],[P134 Growth]]/PortfolioFrontier[[#This Row],[P134 HWM]]-1</calculatedColumnFormula>
    </tableColumn>
    <tableColumn id="537" xr3:uid="{2D33E560-8C4D-46E5-93AF-763C34177BBB}" name="P135 Return" dataDxfId="300" totalsRowDxfId="299">
      <calculatedColumnFormula>SUMPRODUCT(INDEX(PortfolioRef[[SPY]:[PE]],MATCH(TS$1,PortfolioRef[Reference '#]),0),AssetMonthlyReturns[[#This Row],[SPY]:[PE]])</calculatedColumnFormula>
    </tableColumn>
    <tableColumn id="538" xr3:uid="{CE5A3C4D-DC71-4D61-80D7-568706985E56}" name="P135 Growth" dataDxfId="298" totalsRowDxfId="297">
      <calculatedColumnFormula>IF(ISNUMBER(TT3),TT3*(1+PortfolioFrontier[[#This Row],[P135 Return]]),1+PortfolioFrontier[[#This Row],[P135 Return]])</calculatedColumnFormula>
    </tableColumn>
    <tableColumn id="539" xr3:uid="{E445FD57-5252-4773-9BCD-9BCAF842FA20}" name="P135 HWM" dataDxfId="296" totalsRowDxfId="295">
      <calculatedColumnFormula>MAX(TU3,PortfolioFrontier[[#This Row],[P135 Growth]])</calculatedColumnFormula>
    </tableColumn>
    <tableColumn id="540" xr3:uid="{2B891EDF-4F87-4394-883A-70D745EA3827}" name="P135 DD" dataDxfId="294" totalsRowDxfId="293">
      <calculatedColumnFormula>PortfolioFrontier[[#This Row],[P135 Growth]]/PortfolioFrontier[[#This Row],[P135 HWM]]-1</calculatedColumnFormula>
    </tableColumn>
    <tableColumn id="541" xr3:uid="{91E450EC-0757-479A-8636-AC81EBD7D7FA}" name="P136 Return" dataDxfId="292" totalsRowDxfId="291">
      <calculatedColumnFormula>SUMPRODUCT(INDEX(PortfolioRef[[SPY]:[PE]],MATCH(TW$1,PortfolioRef[Reference '#]),0),AssetMonthlyReturns[[#This Row],[SPY]:[PE]])</calculatedColumnFormula>
    </tableColumn>
    <tableColumn id="542" xr3:uid="{B3E38513-438C-4924-91F8-52DDBA444FF9}" name="P136 Growth" dataDxfId="290" totalsRowDxfId="289">
      <calculatedColumnFormula>IF(ISNUMBER(TX3),TX3*(1+PortfolioFrontier[[#This Row],[P136 Return]]),1+PortfolioFrontier[[#This Row],[P136 Return]])</calculatedColumnFormula>
    </tableColumn>
    <tableColumn id="543" xr3:uid="{9423B6B5-B98E-4BC1-B53B-2561941267D5}" name="P136 HWM" dataDxfId="288" totalsRowDxfId="287">
      <calculatedColumnFormula>MAX(TY3,PortfolioFrontier[[#This Row],[P136 Growth]])</calculatedColumnFormula>
    </tableColumn>
    <tableColumn id="544" xr3:uid="{68C8833E-B0C2-4278-9EE8-32884E8BB989}" name="P136 DD" dataDxfId="286" totalsRowDxfId="285">
      <calculatedColumnFormula>PortfolioFrontier[[#This Row],[P136 Growth]]/PortfolioFrontier[[#This Row],[P136 HWM]]-1</calculatedColumnFormula>
    </tableColumn>
    <tableColumn id="545" xr3:uid="{C01493A7-C54F-4DC7-840B-25E5E4D8520F}" name="P137 Return" dataDxfId="284" totalsRowDxfId="283">
      <calculatedColumnFormula>SUMPRODUCT(INDEX(PortfolioRef[[SPY]:[PE]],MATCH(UA$1,PortfolioRef[Reference '#]),0),AssetMonthlyReturns[[#This Row],[SPY]:[PE]])</calculatedColumnFormula>
    </tableColumn>
    <tableColumn id="546" xr3:uid="{0B5367C4-BA8A-4358-AA44-387FDD0907B5}" name="P137 Growth" dataDxfId="282" totalsRowDxfId="281">
      <calculatedColumnFormula>IF(ISNUMBER(UB3),UB3*(1+PortfolioFrontier[[#This Row],[P137 Return]]),1+PortfolioFrontier[[#This Row],[P137 Return]])</calculatedColumnFormula>
    </tableColumn>
    <tableColumn id="547" xr3:uid="{A9D26714-7D53-42B4-B7C9-084BC836DE33}" name="P137 HWM" dataDxfId="280" totalsRowDxfId="279">
      <calculatedColumnFormula>MAX(UC3,PortfolioFrontier[[#This Row],[P137 Growth]])</calculatedColumnFormula>
    </tableColumn>
    <tableColumn id="548" xr3:uid="{59C540D2-DB05-49CA-8199-39530FCA2402}" name="P137 DD" dataDxfId="278" totalsRowDxfId="277">
      <calculatedColumnFormula>PortfolioFrontier[[#This Row],[P137 Growth]]/PortfolioFrontier[[#This Row],[P137 HWM]]-1</calculatedColumnFormula>
    </tableColumn>
    <tableColumn id="549" xr3:uid="{55C4E6FE-6B0A-4B5B-9EEA-255C29176930}" name="P138 Return" dataDxfId="276" totalsRowDxfId="275">
      <calculatedColumnFormula>SUMPRODUCT(INDEX(PortfolioRef[[SPY]:[PE]],MATCH(UE$1,PortfolioRef[Reference '#]),0),AssetMonthlyReturns[[#This Row],[SPY]:[PE]])</calculatedColumnFormula>
    </tableColumn>
    <tableColumn id="550" xr3:uid="{B1051299-2E2B-41A4-96E2-404F5F9533B9}" name="P138 Growth" dataDxfId="274" totalsRowDxfId="273">
      <calculatedColumnFormula>IF(ISNUMBER(UF3),UF3*(1+PortfolioFrontier[[#This Row],[P138 Return]]),1+PortfolioFrontier[[#This Row],[P138 Return]])</calculatedColumnFormula>
    </tableColumn>
    <tableColumn id="551" xr3:uid="{ACB7B97E-6A42-4C71-88DB-2B1F65DEFDC2}" name="P138 HWM" dataDxfId="272" totalsRowDxfId="271">
      <calculatedColumnFormula>MAX(UG3,PortfolioFrontier[[#This Row],[P138 Growth]])</calculatedColumnFormula>
    </tableColumn>
    <tableColumn id="552" xr3:uid="{0C6C8D22-E1DF-4340-85F6-580CAF1EABF9}" name="P138 DD" dataDxfId="270" totalsRowDxfId="269">
      <calculatedColumnFormula>PortfolioFrontier[[#This Row],[P138 Growth]]/PortfolioFrontier[[#This Row],[P138 HWM]]-1</calculatedColumnFormula>
    </tableColumn>
    <tableColumn id="553" xr3:uid="{2D1AAEC2-C1E4-4116-BB1D-E7A40E469707}" name="P139 Return" dataDxfId="268" totalsRowDxfId="267">
      <calculatedColumnFormula>SUMPRODUCT(INDEX(PortfolioRef[[SPY]:[PE]],MATCH(UI$1,PortfolioRef[Reference '#]),0),AssetMonthlyReturns[[#This Row],[SPY]:[PE]])</calculatedColumnFormula>
    </tableColumn>
    <tableColumn id="554" xr3:uid="{E845F37F-2371-4B94-AD1E-9B5EFF349EA5}" name="P139 Growth" dataDxfId="266" totalsRowDxfId="265">
      <calculatedColumnFormula>IF(ISNUMBER(UJ3),UJ3*(1+PortfolioFrontier[[#This Row],[P139 Return]]),1+PortfolioFrontier[[#This Row],[P139 Return]])</calculatedColumnFormula>
    </tableColumn>
    <tableColumn id="555" xr3:uid="{98FDDFE5-CA78-4F53-9CD5-D9F4CB3E40E2}" name="P139 HWM" dataDxfId="264" totalsRowDxfId="263">
      <calculatedColumnFormula>MAX(UK3,PortfolioFrontier[[#This Row],[P139 Growth]])</calculatedColumnFormula>
    </tableColumn>
    <tableColumn id="556" xr3:uid="{4F3C9948-310B-4E4F-ADA5-22E84E5DD15F}" name="P139 DD" dataDxfId="262" totalsRowDxfId="261">
      <calculatedColumnFormula>PortfolioFrontier[[#This Row],[P139 Growth]]/PortfolioFrontier[[#This Row],[P139 HWM]]-1</calculatedColumnFormula>
    </tableColumn>
    <tableColumn id="557" xr3:uid="{6A24329F-8EFA-4458-B70D-62D8ED158784}" name="P140 Return" dataDxfId="260" totalsRowDxfId="259">
      <calculatedColumnFormula>SUMPRODUCT(INDEX(PortfolioRef[[SPY]:[PE]],MATCH(UM$1,PortfolioRef[Reference '#]),0),AssetMonthlyReturns[[#This Row],[SPY]:[PE]])</calculatedColumnFormula>
    </tableColumn>
    <tableColumn id="558" xr3:uid="{DF35DCE6-1388-47C9-93D0-9F5BAFD98AFF}" name="P140 Growth" dataDxfId="258" totalsRowDxfId="257">
      <calculatedColumnFormula>IF(ISNUMBER(UN3),UN3*(1+PortfolioFrontier[[#This Row],[P140 Return]]),1+PortfolioFrontier[[#This Row],[P140 Return]])</calculatedColumnFormula>
    </tableColumn>
    <tableColumn id="559" xr3:uid="{C3B3B3CD-57D1-49E1-BFF6-C1958FCB29F0}" name="P140 HWM" dataDxfId="256" totalsRowDxfId="255">
      <calculatedColumnFormula>MAX(UO3,PortfolioFrontier[[#This Row],[P140 Growth]])</calculatedColumnFormula>
    </tableColumn>
    <tableColumn id="560" xr3:uid="{C27104A0-C910-4B60-B19C-5CC0EF386DD4}" name="P140 DD" dataDxfId="254" totalsRowDxfId="253">
      <calculatedColumnFormula>PortfolioFrontier[[#This Row],[P140 Growth]]/PortfolioFrontier[[#This Row],[P140 HWM]]-1</calculatedColumnFormula>
    </tableColumn>
    <tableColumn id="561" xr3:uid="{ADA7E63D-7DEB-4B44-9F44-8BD07558B0C0}" name="P141 Return" dataDxfId="252" totalsRowDxfId="251">
      <calculatedColumnFormula>SUMPRODUCT(INDEX(PortfolioRef[[SPY]:[PE]],MATCH(UQ$1,PortfolioRef[Reference '#]),0),AssetMonthlyReturns[[#This Row],[SPY]:[PE]])</calculatedColumnFormula>
    </tableColumn>
    <tableColumn id="562" xr3:uid="{06115966-1D15-4474-98C3-9BFCB65E65CF}" name="P141 Growth" dataDxfId="250" totalsRowDxfId="249">
      <calculatedColumnFormula>IF(ISNUMBER(UR3),UR3*(1+PortfolioFrontier[[#This Row],[P141 Return]]),1+PortfolioFrontier[[#This Row],[P141 Return]])</calculatedColumnFormula>
    </tableColumn>
    <tableColumn id="563" xr3:uid="{42831446-72CE-436D-906C-2A1D2FD13336}" name="P141 HWM" dataDxfId="248" totalsRowDxfId="247">
      <calculatedColumnFormula>MAX(US3,PortfolioFrontier[[#This Row],[P141 Growth]])</calculatedColumnFormula>
    </tableColumn>
    <tableColumn id="564" xr3:uid="{7C32E445-0886-4734-96B9-89F657D62FCA}" name="P141 DD" dataDxfId="246" totalsRowDxfId="245">
      <calculatedColumnFormula>PortfolioFrontier[[#This Row],[P141 Growth]]/PortfolioFrontier[[#This Row],[P141 HWM]]-1</calculatedColumnFormula>
    </tableColumn>
  </tableColumns>
  <tableStyleInfo name="TableStyleLight9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CE847-D98B-48A0-96BA-2A1C02C34E79}" name="PortfolioRef" displayName="PortfolioRef" ref="A1:H142" totalsRowShown="0" headerRowDxfId="244" dataDxfId="242" headerRowBorderDxfId="243" tableBorderDxfId="241">
  <autoFilter ref="A1:H142" xr:uid="{34938511-4B72-48AF-B310-87DA6A53046A}"/>
  <tableColumns count="8">
    <tableColumn id="1" xr3:uid="{8200AE2F-025A-4576-A127-5112C2562697}" name="Reference #" dataDxfId="240"/>
    <tableColumn id="2" xr3:uid="{54344F67-CE4E-4C83-ACF5-0989169A2B87}" name="SPY" dataDxfId="239"/>
    <tableColumn id="3" xr3:uid="{27818E88-D797-4384-8528-80263AE7B412}" name="AGG" dataDxfId="238"/>
    <tableColumn id="4" xr3:uid="{FB667CA4-5009-41FE-8ABD-2F5467A71C87}" name="GLD" dataDxfId="237"/>
    <tableColumn id="5" xr3:uid="{D6FBC3C5-56C6-42A4-B0E2-5D76B678FB8C}" name="VNQ" dataDxfId="236"/>
    <tableColumn id="6" xr3:uid="{DF070160-0155-4BEF-B87C-7F64AF609DC1}" name="PE" dataDxfId="235"/>
    <tableColumn id="7" xr3:uid="{18DFE198-AC4D-4CED-9EEB-851611A18531}" name="Label" dataDxfId="234">
      <calculatedColumnFormula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calculatedColumnFormula>
    </tableColumn>
    <tableColumn id="8" xr3:uid="{13CF8723-7777-45FB-B5E5-F06202C5C4B2}" name="Drawdown" dataDxfId="233">
      <calculatedColumnFormula array="1">MIN(_xlfn._xlws.FILTER(PortfolioFrontier[#Data],(PortfolioFrontier[#Headers]="P"&amp;PortfolioRef[[#This Row],[Reference '#]]&amp;" DD")))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0A88C-F8A2-4C9D-B021-89CFDD194C68}" name="Scenarios1" displayName="Scenarios1" ref="B10:AB151" totalsRowShown="0" headerRowDxfId="232" dataDxfId="230" headerRowBorderDxfId="231" tableBorderDxfId="229" totalsRowBorderDxfId="228">
  <autoFilter ref="B10:AB151" xr:uid="{B250A88C-F8A2-4C9D-B021-89CFDD194C68}"/>
  <sortState xmlns:xlrd2="http://schemas.microsoft.com/office/spreadsheetml/2017/richdata2" ref="B11:AB151">
    <sortCondition ref="B10:B151"/>
  </sortState>
  <tableColumns count="27">
    <tableColumn id="34" xr3:uid="{DE44B1DA-9BD0-451C-80C2-7DF3EB1A1042}" name="Reference #" dataDxfId="227"/>
    <tableColumn id="1" xr3:uid="{CD03B111-DF1A-4922-9CCA-ABC6F0542A8D}" name="SPY" dataDxfId="226"/>
    <tableColumn id="2" xr3:uid="{9F5EEE42-D545-44F7-B7F5-61551A00B211}" name="AGG" dataDxfId="225"/>
    <tableColumn id="3" xr3:uid="{FCDF46F9-9525-4401-A24C-F8CE6DDE13DE}" name="GLD" dataDxfId="224"/>
    <tableColumn id="4" xr3:uid="{5310EE5D-D916-40E8-AE90-4B5742F1A61F}" name="VNQ" dataDxfId="223"/>
    <tableColumn id="5" xr3:uid="{3503C98D-34B8-4683-91FB-D7752454ACB1}" name="PE" dataDxfId="222"/>
    <tableColumn id="6" xr3:uid="{24DE621D-B39E-4A54-BD76-E008FDC65988}" name="Expected Return" dataDxfId="221">
      <calculatedColumnFormula>SUMPRODUCT(Scenarios1[[#This Row],[SPY]:[PE]],_xlfn.TOROW(AssetSpecsScenario1[Annualized Return]))</calculatedColumnFormula>
    </tableColumn>
    <tableColumn id="7" xr3:uid="{0F6AA4CD-BD91-4188-AF95-25DDAC41ABAB}" name="36M Vol" dataDxfId="220">
      <calculatedColumnFormula array="1">SQRT(MMULT(MMULT(Scenarios1[[#This Row],[SPY]:[PE]], 'Corr_Cov 36- Month'!$J$13:$N$17), TRANSPOSE(Scenarios1[[#This Row],[SPY]:[PE]])))</calculatedColumnFormula>
    </tableColumn>
    <tableColumn id="8" xr3:uid="{DCD42810-4E08-4CC0-B066-3F604ECCDD10}" name="Sharpe" dataDxfId="219" dataCellStyle="Neutral">
      <calculatedColumnFormula>(Scenarios1[[#This Row],[Expected Return]]-RiskFree)/Scenarios1[[#This Row],[36M Vol]]</calculatedColumnFormula>
    </tableColumn>
    <tableColumn id="9" xr3:uid="{57073823-315D-4938-972F-8C28CB589051}" name="Max Drawdown" dataDxfId="218">
      <calculatedColumnFormula array="1">MIN(_xlfn._xlws.FILTER(PortfolioFrontier[#Data],(PortfolioFrontier[#Headers]="P"&amp;Scenarios1[[#This Row],[Reference '#]]&amp;" DD")))</calculatedColumnFormula>
    </tableColumn>
    <tableColumn id="10" xr3:uid="{6A4C8508-5681-4CD1-B2C3-BBB40A037F14}" name="Liquid Assets" dataDxfId="217">
      <calculatedColumnFormula>SUM(Scenarios1[[#This Row],[SPY]:[VNQ]])</calculatedColumnFormula>
    </tableColumn>
    <tableColumn id="11" xr3:uid="{CA792EB3-A679-43D5-8020-0E98D00D0CA9}" name="Weight Sum" dataDxfId="216">
      <calculatedColumnFormula>SUM(Scenarios1[[#This Row],[SPY]:[PE]])</calculatedColumnFormula>
    </tableColumn>
    <tableColumn id="12" xr3:uid="{82D8540A-DA18-434D-B4D6-1A4DF46822AB}" name="SPY&gt;=25%" dataDxfId="215">
      <calculatedColumnFormula>Scenarios1[[#This Row],[SPY]]&gt;=SpyMin</calculatedColumnFormula>
    </tableColumn>
    <tableColumn id="13" xr3:uid="{CAE966F9-915D-4658-8275-91E6E1F24497}" name="AGG&gt;=15%" dataDxfId="214">
      <calculatedColumnFormula>Scenarios1[[#This Row],[AGG]]&gt;=AGGMin</calculatedColumnFormula>
    </tableColumn>
    <tableColumn id="14" xr3:uid="{900E4C29-16A9-4A13-8582-1A981FB01772}" name="GLD 10%-20%" dataDxfId="213">
      <calculatedColumnFormula>AND(Scenarios1[[#This Row],[GLD]]&gt;=GLDMin,Scenarios1[[#This Row],[GLD]]&lt;=GLDMax)</calculatedColumnFormula>
    </tableColumn>
    <tableColumn id="15" xr3:uid="{C832F567-9E88-4AE6-B4E2-C52400BA4427}" name="VNQ&gt;=10%" dataDxfId="212">
      <calculatedColumnFormula>Scenarios1[[#This Row],[VNQ]]&gt;=VNQMin</calculatedColumnFormula>
    </tableColumn>
    <tableColumn id="16" xr3:uid="{9D63B5A4-BDC2-44AD-82E0-A6EB81D9CF61}" name="PE 10%-20%" dataDxfId="211">
      <calculatedColumnFormula>AND(Scenarios1[[#This Row],[PE]]&gt;=PEMin,Scenarios1[[#This Row],[PE]]&lt;=PEMax)</calculatedColumnFormula>
    </tableColumn>
    <tableColumn id="17" xr3:uid="{7A1DE3D2-2C7B-4770-BE79-1E4309B0CD04}" name="Liquid&gt;=80%" dataDxfId="210">
      <calculatedColumnFormula>Scenarios1[[#This Row],[Liquid Assets]]&gt;=LiquidMin</calculatedColumnFormula>
    </tableColumn>
    <tableColumn id="18" xr3:uid="{99C9D99F-35CA-491E-9F74-860D9F13E8FC}" name="Return 7.5%-10%" dataDxfId="209">
      <calculatedColumnFormula>AND(Scenarios1[[#This Row],[Expected Return]]&gt;=ExpectedReturnMin,Scenarios1[[#This Row],[Expected Return]]&lt;=ExpectedReturnMax)</calculatedColumnFormula>
    </tableColumn>
    <tableColumn id="19" xr3:uid="{CF55799E-AFBC-4001-B99C-5A8F13C6315A}" name="MDD&gt;=-20%" dataDxfId="208">
      <calculatedColumnFormula>Scenarios1[[#This Row],[Max Drawdown]]&gt;=DrawdownMax</calculatedColumnFormula>
    </tableColumn>
    <tableColumn id="20" xr3:uid="{62DFF608-9703-4C44-B3E3-7926ADA2D089}" name="Eligible" dataDxfId="207">
      <calculatedColumnFormula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calculatedColumnFormula>
    </tableColumn>
    <tableColumn id="21" xr3:uid="{5650D568-EA94-4F1A-BB0E-C1B61DEC00BD}" name="Overall Rank" dataDxfId="206">
      <calculatedColumnFormula>_xlfn.XLOOKUP(Scenarios1[[#This Row],[Reference '#]],ScenariosCombined[Reference '#],ScenariosCombined[Sharpe Rank])</calculatedColumnFormula>
    </tableColumn>
    <tableColumn id="22" xr3:uid="{1C1C8C24-EA52-48FE-88DD-DAF2A4CC14D6}" name="Sharpe Rank" dataDxfId="205">
      <calculatedColumnFormula>IF(Scenarios1[[#This Row],[Eligible]],COUNTIFS(Scenarios1[Sharpe],"&gt;"&amp;Scenarios1[[#This Row],[Sharpe]],Scenarios1[Eligible],TRUE())+COUNTIFS(Scenarios1[Sharpe],Scenarios1[[#This Row],[Sharpe]],Scenarios1[Eligible],TRUE()),"")</calculatedColumnFormula>
    </tableColumn>
    <tableColumn id="23" xr3:uid="{28E77412-5036-415A-AD3C-2388B7AABCBF}" name="Label" dataDxfId="204">
      <calculatedColumnFormula>TEXT(Scenarios1[[#This Row],[SPY]]*100,"##")&amp;"/"&amp;TEXT(Scenarios1[[#This Row],[AGG]]*100,"##")&amp;"/"&amp;TEXT(Scenarios1[[#This Row],[GLD]]*100,"##")&amp;"/"&amp;TEXT(Scenarios1[[#This Row],[VNQ]]*100,"##")&amp;"/"&amp;TEXT(Scenarios1[[#This Row],[PE]]*100,"##")</calculatedColumnFormula>
    </tableColumn>
    <tableColumn id="30" xr3:uid="{F9670EE2-C389-4C42-B31F-4D1F7704523B}" name="S1" dataDxfId="203">
      <calculatedColumnFormula>Scenarios1[[#This Row],[Sharpe Rank]]</calculatedColumnFormula>
    </tableColumn>
    <tableColumn id="31" xr3:uid="{51B93959-B545-4235-A25A-BCCB84D27EBC}" name="S2" dataDxfId="202">
      <calculatedColumnFormula>_xlfn.XLOOKUP(Scenarios1[[#This Row],[Reference '#]],Scenarios2[Reference '#],Scenarios2[Sharpe Rank])</calculatedColumnFormula>
    </tableColumn>
    <tableColumn id="32" xr3:uid="{0479C398-DA19-4C6A-8AF1-1E7670B26D39}" name="S3" dataDxfId="201">
      <calculatedColumnFormula>_xlfn.XLOOKUP(Scenarios1[[#This Row],[Reference '#]],Scenarios3[Reference '#],Scenarios3[Sharpe Rank])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0C510F-FE71-4495-B6D7-9EB1B4C68D1C}" name="Scenario1Rank" displayName="Scenario1Rank" ref="B3:M8" totalsRowShown="0" headerRowDxfId="200" headerRowBorderDxfId="199" tableBorderDxfId="198" totalsRowBorderDxfId="197">
  <autoFilter ref="B3:M8" xr:uid="{150C510F-FE71-4495-B6D7-9EB1B4C68D1C}"/>
  <tableColumns count="12">
    <tableColumn id="1" xr3:uid="{CF01196B-9B21-4BBE-9C7A-B2C6FF09C351}" name="Rank" dataDxfId="196"/>
    <tableColumn id="2" xr3:uid="{74FB6EA1-58AC-4287-8D83-D51642EC4B43}" name="SPY" dataDxfId="195">
      <calculatedColumnFormula>_xlfn.XLOOKUP($B4,$Z$10:$Z$149,C$10:C$149)</calculatedColumnFormula>
    </tableColumn>
    <tableColumn id="3" xr3:uid="{E3140FF5-C546-44B3-9F89-51C99650BFED}" name="AGG" dataDxfId="194">
      <calculatedColumnFormula>_xlfn.XLOOKUP($B4,$Z$10:$Z$149,D$10:D$149)</calculatedColumnFormula>
    </tableColumn>
    <tableColumn id="4" xr3:uid="{8AD90584-8C88-48C4-908D-3ABEB0448E16}" name="GLD" dataDxfId="193">
      <calculatedColumnFormula>_xlfn.XLOOKUP($B4,$Z$10:$Z$149,E$10:E$149)</calculatedColumnFormula>
    </tableColumn>
    <tableColumn id="5" xr3:uid="{85D13F93-477B-46B9-8477-153B2A2C6119}" name="VNQ" dataDxfId="192">
      <calculatedColumnFormula>_xlfn.XLOOKUP($B4,$Z$10:$Z$149,F$10:F$149)</calculatedColumnFormula>
    </tableColumn>
    <tableColumn id="6" xr3:uid="{E3DCE658-1E95-4C60-861D-4ABAA9B40F05}" name="PE" dataDxfId="191">
      <calculatedColumnFormula>_xlfn.XLOOKUP($B4,$Z$10:$Z$149,G$10:G$149)</calculatedColumnFormula>
    </tableColumn>
    <tableColumn id="7" xr3:uid="{453082B3-47BD-4D74-BCFE-3C1B74A8100E}" name="Expected Return" dataDxfId="190">
      <calculatedColumnFormula>_xlfn.XLOOKUP($B4,$Z$10:$Z$149,H$10:H$149)</calculatedColumnFormula>
    </tableColumn>
    <tableColumn id="8" xr3:uid="{B20A9EA0-F259-4ED4-B9AE-601B190ED5F0}" name="36M Volatility" dataDxfId="189">
      <calculatedColumnFormula>_xlfn.XLOOKUP($B4,$Z$10:$Z$149,I$10:I$149)</calculatedColumnFormula>
    </tableColumn>
    <tableColumn id="9" xr3:uid="{30BF713E-3A13-428B-BB2A-7C281BBC91AC}" name="Sharpe Ratio" dataDxfId="188">
      <calculatedColumnFormula>_xlfn.XLOOKUP($B4,$Z$10:$Z$149,J$10:J$149)</calculatedColumnFormula>
    </tableColumn>
    <tableColumn id="10" xr3:uid="{3931EAB6-464A-4A22-BB39-A949801FE2E5}" name="Max Drawdown" dataDxfId="187">
      <calculatedColumnFormula>_xlfn.XLOOKUP($B4,$Z$10:$Z$149,K$10:K$149)</calculatedColumnFormula>
    </tableColumn>
    <tableColumn id="11" xr3:uid="{26A31171-83F5-4455-8D8F-BA7ACA93FC51}" name="Liquid Assets" dataDxfId="186">
      <calculatedColumnFormula>_xlfn.XLOOKUP($B4,$Z$10:$Z$149,L$10:L$149)</calculatedColumnFormula>
    </tableColumn>
    <tableColumn id="12" xr3:uid="{E76985E8-7837-4431-981E-3F1BAD0B7301}" name="Label" dataDxfId="185">
      <calculatedColumnFormula>_xlfn.XLOOKUP(Scenario1Rank[[#This Row],[Rank]],$X$10:$X$149,Y$10:Y$149)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46DCDB7-6588-409C-B9A1-84F4ED1E89EF}" name="Scenarios2" displayName="Scenarios2" ref="B10:AB151" totalsRowShown="0" headerRowDxfId="184" dataDxfId="182" headerRowBorderDxfId="183" tableBorderDxfId="181" totalsRowBorderDxfId="180">
  <autoFilter ref="B10:AB151" xr:uid="{B250A88C-F8A2-4C9D-B021-89CFDD194C68}"/>
  <sortState xmlns:xlrd2="http://schemas.microsoft.com/office/spreadsheetml/2017/richdata2" ref="B11:AB151">
    <sortCondition ref="B10:B151"/>
  </sortState>
  <tableColumns count="27">
    <tableColumn id="34" xr3:uid="{5CA7DC59-3849-4997-A74A-A92BE94EC42E}" name="Reference #" dataDxfId="179"/>
    <tableColumn id="1" xr3:uid="{D0533914-9669-47C7-8EAD-48D1B1143AD9}" name="SPY" dataDxfId="178"/>
    <tableColumn id="2" xr3:uid="{23C028AE-00A0-4D14-BF3E-0FEA60917733}" name="AGG" dataDxfId="177"/>
    <tableColumn id="3" xr3:uid="{78926A97-6742-4F9B-9DBB-2690915D7366}" name="GLD" dataDxfId="176"/>
    <tableColumn id="4" xr3:uid="{3E36FECC-6286-44EA-9B01-24B95A31A803}" name="VNQ" dataDxfId="175"/>
    <tableColumn id="5" xr3:uid="{1C4C0B04-1BF8-44BB-B57C-863C69DB324F}" name="PE" dataDxfId="174"/>
    <tableColumn id="6" xr3:uid="{CF0F8D00-BC7C-44C6-AE4A-09F2A521A4E6}" name="Expected Return" dataDxfId="173">
      <calculatedColumnFormula>SUMPRODUCT(Scenarios2[[#This Row],[SPY]:[PE]],_xlfn.TOROW(AssetSpecsScenario1[Annualized Return]))</calculatedColumnFormula>
    </tableColumn>
    <tableColumn id="7" xr3:uid="{139CC723-2619-4CEF-A4C2-C7060F6E2899}" name="36M Vol" dataDxfId="172">
      <calculatedColumnFormula array="1">SQRT(MMULT(MMULT(Scenarios2[[#This Row],[SPY]:[PE]], 'Corr_Cov 36- Month'!$J$13:$N$17), TRANSPOSE(Scenarios2[[#This Row],[SPY]:[PE]])))</calculatedColumnFormula>
    </tableColumn>
    <tableColumn id="8" xr3:uid="{3107DA79-62EB-4BCC-95EF-5C36B96DF1BA}" name="Sharpe" dataDxfId="171" dataCellStyle="Neutral">
      <calculatedColumnFormula>(Scenarios2[[#This Row],[Expected Return]]-RiskFree)/Scenarios2[[#This Row],[36M Vol]]</calculatedColumnFormula>
    </tableColumn>
    <tableColumn id="9" xr3:uid="{E58DD339-6C3C-4D1A-894D-B3F46774C50D}" name="Max Drawdown" dataDxfId="170">
      <calculatedColumnFormula array="1">MIN(_xlfn._xlws.FILTER(PortfolioFrontier[#Data],(PortfolioFrontier[#Headers]="P"&amp;Scenarios2[[#This Row],[Reference '#]]&amp;" DD")))</calculatedColumnFormula>
    </tableColumn>
    <tableColumn id="10" xr3:uid="{A28CB507-7B81-4853-9D4C-BF9F1041B8A4}" name="Liquid Assets" dataDxfId="169">
      <calculatedColumnFormula>SUM(Scenarios2[[#This Row],[SPY]:[VNQ]])</calculatedColumnFormula>
    </tableColumn>
    <tableColumn id="11" xr3:uid="{8CA8FE89-9CC9-4787-9AF5-D4AB7A24F032}" name="Weight Sum" dataDxfId="168">
      <calculatedColumnFormula>SUM(Scenarios2[[#This Row],[SPY]:[PE]])</calculatedColumnFormula>
    </tableColumn>
    <tableColumn id="12" xr3:uid="{FB21C080-EF1A-4488-A935-AE937E908EF8}" name="SPY&gt;=25%" dataDxfId="167">
      <calculatedColumnFormula>Scenarios2[[#This Row],[SPY]]&gt;=SpyMin</calculatedColumnFormula>
    </tableColumn>
    <tableColumn id="13" xr3:uid="{B3FA1C30-60C6-4EC0-9C0D-53BE8FCD75EF}" name="AGG&gt;=15%" dataDxfId="166">
      <calculatedColumnFormula>Scenarios2[[#This Row],[AGG]]&gt;=AGGMin</calculatedColumnFormula>
    </tableColumn>
    <tableColumn id="14" xr3:uid="{D4805C06-C5E4-4E96-9491-E8BF530A1779}" name="GLD 10%-20%" dataDxfId="165">
      <calculatedColumnFormula>AND(Scenarios2[[#This Row],[GLD]]&gt;=GLDMin,Scenarios2[[#This Row],[GLD]]&lt;=GLDMax)</calculatedColumnFormula>
    </tableColumn>
    <tableColumn id="15" xr3:uid="{A1DD9961-365A-40D0-BEDE-2B5F9A4F2C5A}" name="VNQ&gt;=10%" dataDxfId="164">
      <calculatedColumnFormula>Scenarios2[[#This Row],[VNQ]]&gt;=VNQMin</calculatedColumnFormula>
    </tableColumn>
    <tableColumn id="16" xr3:uid="{A82AC3CC-F061-4F1A-A7D7-9D3DCFF05CFC}" name="PE 10%-20%" dataDxfId="163">
      <calculatedColumnFormula>AND(Scenarios2[[#This Row],[PE]]&gt;=PEMin,Scenarios2[[#This Row],[PE]]&lt;=PEMax)</calculatedColumnFormula>
    </tableColumn>
    <tableColumn id="17" xr3:uid="{93C50F91-E120-4B92-800C-4106E5B0E281}" name="Liquid&gt;=80%" dataDxfId="162">
      <calculatedColumnFormula>Scenarios2[[#This Row],[Liquid Assets]]&gt;=LiquidMin</calculatedColumnFormula>
    </tableColumn>
    <tableColumn id="18" xr3:uid="{C30C980F-90CF-4FD9-AC8C-F60B07FE07C9}" name="Return 7.5%-10%" dataDxfId="161">
      <calculatedColumnFormula>AND(Scenarios2[[#This Row],[Expected Return]]&gt;=ExpectedReturnMin,Scenarios2[[#This Row],[Expected Return]]&lt;=ExpectedReturnMax)</calculatedColumnFormula>
    </tableColumn>
    <tableColumn id="19" xr3:uid="{A4E1A50A-74D9-4BFF-9804-2AEC2163FF1F}" name="MDD&gt;=-20%" dataDxfId="160">
      <calculatedColumnFormula>Scenarios2[[#This Row],[Max Drawdown]]&gt;=DrawdownMax</calculatedColumnFormula>
    </tableColumn>
    <tableColumn id="20" xr3:uid="{294CBFB7-0765-4BF3-8ACD-50DDCE89C9DC}" name="Eligible" dataDxfId="159">
      <calculatedColumnFormula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calculatedColumnFormula>
    </tableColumn>
    <tableColumn id="21" xr3:uid="{229D7F3D-C098-48D9-82C3-C0C20A5DBF4B}" name="Overall Rank" dataDxfId="158">
      <calculatedColumnFormula>_xlfn.XLOOKUP(Scenarios2[[#This Row],[Reference '#]],ScenariosCombined[Reference '#],ScenariosCombined[Sharpe Rank])</calculatedColumnFormula>
    </tableColumn>
    <tableColumn id="22" xr3:uid="{48D390D4-2813-48CC-B7F7-4C42BB50981E}" name="Sharpe Rank" dataDxfId="157">
      <calculatedColumnFormula>IF(Scenarios2[[#This Row],[Eligible]],COUNTIFS(Scenarios2[Sharpe],"&gt;"&amp;Scenarios2[[#This Row],[Sharpe]],Scenarios2[Eligible],TRUE())+COUNTIFS(Scenarios2[Sharpe],Scenarios2[[#This Row],[Sharpe]],Scenarios2[Eligible],TRUE()),"")</calculatedColumnFormula>
    </tableColumn>
    <tableColumn id="23" xr3:uid="{6510848C-7985-45D8-8964-E76ADC5CC14B}" name="Label" dataDxfId="156">
      <calculatedColumnFormula>TEXT(Scenarios2[[#This Row],[SPY]]*100,"##")&amp;"/"&amp;TEXT(Scenarios2[[#This Row],[AGG]]*100,"##")&amp;"/"&amp;TEXT(Scenarios2[[#This Row],[GLD]]*100,"##")&amp;"/"&amp;TEXT(Scenarios2[[#This Row],[VNQ]]*100,"##")&amp;"/"&amp;TEXT(Scenarios2[[#This Row],[PE]]*100,"##")</calculatedColumnFormula>
    </tableColumn>
    <tableColumn id="30" xr3:uid="{849C5C98-5BA4-465F-8901-8606A21A3081}" name="S1" dataDxfId="155">
      <calculatedColumnFormula>_xlfn.XLOOKUP(Scenarios2[[#This Row],[Reference '#]],Scenarios1[Reference '#],Scenarios1[Sharpe Rank])</calculatedColumnFormula>
    </tableColumn>
    <tableColumn id="31" xr3:uid="{0EB96616-09C4-4DC0-9D75-15B22F7F75C4}" name="S2" dataDxfId="154">
      <calculatedColumnFormula>Scenarios2[[#This Row],[Sharpe Rank]]</calculatedColumnFormula>
    </tableColumn>
    <tableColumn id="32" xr3:uid="{5054842D-AA91-4F1A-AF33-A939074B1CDA}" name="S3" dataDxfId="153">
      <calculatedColumnFormula>_xlfn.XLOOKUP(Scenarios2[[#This Row],[Reference '#]],Scenarios3[Reference '#],Scenarios3[Sharpe Rank])</calculatedColumnFormula>
    </tableColumn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2A10A26-2183-4609-A033-CF55EB505974}" name="Scenario2Rank" displayName="Scenario2Rank" ref="B3:M8" totalsRowShown="0" headerRowDxfId="152" headerRowBorderDxfId="151" tableBorderDxfId="150" totalsRowBorderDxfId="149">
  <autoFilter ref="B3:M8" xr:uid="{C2A10A26-2183-4609-A033-CF55EB505974}"/>
  <tableColumns count="12">
    <tableColumn id="1" xr3:uid="{4E746553-C442-4EB7-BB0D-6DF23C53CD57}" name="Rank" dataDxfId="148"/>
    <tableColumn id="2" xr3:uid="{2D17E586-EABE-4AA0-9C04-93D935BDC401}" name="SPY" dataDxfId="147">
      <calculatedColumnFormula>_xlfn.XLOOKUP($B4,$AA$10:$AA$149,C$10:C$149)</calculatedColumnFormula>
    </tableColumn>
    <tableColumn id="3" xr3:uid="{E395802A-3816-4F1D-92DD-7BAEF0126F0E}" name="AGG" dataDxfId="146">
      <calculatedColumnFormula>_xlfn.XLOOKUP($B4,$AA$10:$AA$149,D$10:D$149)</calculatedColumnFormula>
    </tableColumn>
    <tableColumn id="4" xr3:uid="{516ABB69-BCFE-4A4D-BF37-ED9BE33F40A5}" name="GLD" dataDxfId="145">
      <calculatedColumnFormula>_xlfn.XLOOKUP($B4,$AA$10:$AA$149,E$10:E$149)</calculatedColumnFormula>
    </tableColumn>
    <tableColumn id="5" xr3:uid="{B0964FA4-48EC-4509-800D-7BA1D09F7A69}" name="VNQ" dataDxfId="144">
      <calculatedColumnFormula>_xlfn.XLOOKUP($B4,$AA$10:$AA$149,F$10:F$149)</calculatedColumnFormula>
    </tableColumn>
    <tableColumn id="6" xr3:uid="{451F4F2F-B3D4-43FF-A0A3-829367B31E0B}" name="PE" dataDxfId="143">
      <calculatedColumnFormula>_xlfn.XLOOKUP($B4,$AA$10:$AA$149,G$10:G$149)</calculatedColumnFormula>
    </tableColumn>
    <tableColumn id="7" xr3:uid="{BE68990E-E4B7-4D90-9A56-FD1025C33C10}" name="Expected Return" dataDxfId="142">
      <calculatedColumnFormula>_xlfn.XLOOKUP($B4,$AA$10:$AA$149,H$10:H$149)</calculatedColumnFormula>
    </tableColumn>
    <tableColumn id="8" xr3:uid="{AD04EED5-BB5D-417D-B3FD-57EAF9034154}" name="36M Volatility" dataDxfId="141">
      <calculatedColumnFormula>_xlfn.XLOOKUP($B4,$AA$10:$AA$149,I$10:I$149)</calculatedColumnFormula>
    </tableColumn>
    <tableColumn id="9" xr3:uid="{448FA61A-C19F-423B-A3BE-9BF1939A4FB6}" name="Sharpe Ratio" dataDxfId="140">
      <calculatedColumnFormula>_xlfn.XLOOKUP($B4,$AA$10:$AA$149,J$10:J$149)</calculatedColumnFormula>
    </tableColumn>
    <tableColumn id="10" xr3:uid="{57C5E5C5-F5C4-4C27-9646-8489FEB1D64E}" name="Max Drawdown" dataDxfId="139">
      <calculatedColumnFormula>_xlfn.XLOOKUP($B4,$AA$10:$AA$149,K$10:K$149)</calculatedColumnFormula>
    </tableColumn>
    <tableColumn id="11" xr3:uid="{1077C25A-081A-46A3-9273-E640425B098C}" name="Liquid Assets" dataDxfId="138">
      <calculatedColumnFormula>_xlfn.XLOOKUP($B4,$AA$10:$AA$149,L$10:L$149)</calculatedColumnFormula>
    </tableColumn>
    <tableColumn id="12" xr3:uid="{79C74E6D-E983-444C-BF64-751E780CA147}" name="Label" dataDxfId="137">
      <calculatedColumnFormula>_xlfn.XLOOKUP($B4,$AA$10:$AA$149,Y$10:Y$149)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C25FDB9-7F70-41EB-95E5-F3FFF4D46A64}" name="Scenarios3" displayName="Scenarios3" ref="B10:AB151" totalsRowShown="0" headerRowDxfId="136" dataDxfId="134" headerRowBorderDxfId="135" tableBorderDxfId="133" totalsRowBorderDxfId="132">
  <autoFilter ref="B10:AB151" xr:uid="{B250A88C-F8A2-4C9D-B021-89CFDD194C68}"/>
  <sortState xmlns:xlrd2="http://schemas.microsoft.com/office/spreadsheetml/2017/richdata2" ref="B11:AB151">
    <sortCondition descending="1" ref="J10:J151"/>
  </sortState>
  <tableColumns count="27">
    <tableColumn id="34" xr3:uid="{9662ACD8-7E48-444A-942C-69530F2785C3}" name="Reference #" dataDxfId="131"/>
    <tableColumn id="1" xr3:uid="{78D34161-30FF-4B0B-AD31-98B533214959}" name="SPY" dataDxfId="130"/>
    <tableColumn id="2" xr3:uid="{84C8DC89-77A7-4636-9BFD-6EB7C8167539}" name="AGG" dataDxfId="129"/>
    <tableColumn id="3" xr3:uid="{79820AE4-3094-4EE7-8BCC-202033EB576A}" name="GLD" dataDxfId="128"/>
    <tableColumn id="4" xr3:uid="{8C3E63A9-4DF7-48AD-AE15-17090B17BFCE}" name="VNQ" dataDxfId="127"/>
    <tableColumn id="5" xr3:uid="{19C21D91-85B7-4D68-84F5-AC4D6B323171}" name="PE" dataDxfId="126"/>
    <tableColumn id="6" xr3:uid="{6E409B36-6F57-46FB-887B-C89F992CD33A}" name="Expected Return" dataDxfId="125">
      <calculatedColumnFormula>SUMPRODUCT(Scenarios3[[#This Row],[SPY]:[PE]],_xlfn.TOROW(AssetSpecsScenario1[Annualized Return]))</calculatedColumnFormula>
    </tableColumn>
    <tableColumn id="7" xr3:uid="{51D52A0F-4DEC-4907-A577-A683AE8F3A48}" name="36M Vol" dataDxfId="124">
      <calculatedColumnFormula array="1">SQRT(MMULT(MMULT(Scenarios3[[#This Row],[SPY]:[PE]], 'Corr_Cov 36- Month'!$J$13:$N$17), TRANSPOSE(Scenarios3[[#This Row],[SPY]:[PE]])))</calculatedColumnFormula>
    </tableColumn>
    <tableColumn id="8" xr3:uid="{8F9DF1DD-DA31-4D41-8037-5245B6D3739B}" name="Sharpe" dataDxfId="123" dataCellStyle="Neutral">
      <calculatedColumnFormula>(Scenarios3[[#This Row],[Expected Return]]-RiskFree)/Scenarios3[[#This Row],[36M Vol]]</calculatedColumnFormula>
    </tableColumn>
    <tableColumn id="9" xr3:uid="{44433484-D851-4495-A07B-69484014285B}" name="Max Drawdown" dataDxfId="122">
      <calculatedColumnFormula array="1">MIN(_xlfn._xlws.FILTER(PortfolioFrontier[#Data],(PortfolioFrontier[#Headers]="P"&amp;Scenarios3[[#This Row],[Reference '#]]&amp;" DD")))</calculatedColumnFormula>
    </tableColumn>
    <tableColumn id="10" xr3:uid="{8984E272-4850-43E8-BFB0-7A4BD63697B7}" name="Liquid Assets" dataDxfId="121">
      <calculatedColumnFormula>SUM(Scenarios3[[#This Row],[SPY]:[VNQ]])</calculatedColumnFormula>
    </tableColumn>
    <tableColumn id="11" xr3:uid="{C360E47B-A74F-4D8F-BBD8-4FC740D07C4B}" name="Weight Sum" dataDxfId="120">
      <calculatedColumnFormula>SUM(Scenarios3[[#This Row],[SPY]:[PE]])</calculatedColumnFormula>
    </tableColumn>
    <tableColumn id="12" xr3:uid="{50053516-7059-48F1-B0BC-7F9BDFDD8861}" name="SPY&gt;=25%" dataDxfId="119">
      <calculatedColumnFormula>Scenarios3[[#This Row],[SPY]]&gt;=SpyMin</calculatedColumnFormula>
    </tableColumn>
    <tableColumn id="13" xr3:uid="{EB93D71B-FB09-4E52-976B-F0B173D2B0FA}" name="AGG&gt;=15%" dataDxfId="118">
      <calculatedColumnFormula>Scenarios3[[#This Row],[AGG]]&gt;=AGGMin</calculatedColumnFormula>
    </tableColumn>
    <tableColumn id="14" xr3:uid="{F8F79584-32FF-4799-83CF-BC7A34D4B333}" name="GLD 10%-20%" dataDxfId="117">
      <calculatedColumnFormula>AND(Scenarios3[[#This Row],[GLD]]&gt;=GLDMin,Scenarios3[[#This Row],[GLD]]&lt;=GLDMax)</calculatedColumnFormula>
    </tableColumn>
    <tableColumn id="15" xr3:uid="{8DB6E122-E17C-4D14-A177-9F2141937E77}" name="VNQ&gt;=10%" dataDxfId="116">
      <calculatedColumnFormula>Scenarios3[[#This Row],[VNQ]]&gt;=VNQMin</calculatedColumnFormula>
    </tableColumn>
    <tableColumn id="16" xr3:uid="{D5103F23-3FE6-432F-B0DB-CBE8A501D8B4}" name="PE 10%-20%" dataDxfId="115">
      <calculatedColumnFormula>AND(Scenarios3[[#This Row],[PE]]&gt;=PEMin,Scenarios3[[#This Row],[PE]]&lt;=PEMax)</calculatedColumnFormula>
    </tableColumn>
    <tableColumn id="17" xr3:uid="{F03A7181-D78E-4D9E-AE33-6F764C3B06A0}" name="Liquid&gt;=80%" dataDxfId="114">
      <calculatedColumnFormula>Scenarios3[[#This Row],[Liquid Assets]]&gt;=LiquidMin</calculatedColumnFormula>
    </tableColumn>
    <tableColumn id="18" xr3:uid="{4049F5FB-9E9C-4235-997B-3355FF9A5BF0}" name="Return 7.5%-10%" dataDxfId="113">
      <calculatedColumnFormula>AND(Scenarios3[[#This Row],[Expected Return]]&gt;=ExpectedReturnMin,Scenarios3[[#This Row],[Expected Return]]&lt;=ExpectedReturnMax)</calculatedColumnFormula>
    </tableColumn>
    <tableColumn id="19" xr3:uid="{D541714A-A9CA-4CD2-99CD-FE1B8997EADF}" name="MDD&gt;=-20%" dataDxfId="112">
      <calculatedColumnFormula>Scenarios3[[#This Row],[Max Drawdown]]&gt;=DrawdownMax</calculatedColumnFormula>
    </tableColumn>
    <tableColumn id="20" xr3:uid="{75496590-AAA5-417D-B16C-5C87C81721E4}" name="Eligible" dataDxfId="111">
      <calculatedColumnFormula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calculatedColumnFormula>
    </tableColumn>
    <tableColumn id="21" xr3:uid="{B517664D-8ACB-4011-8801-5DD75AC4DAE3}" name="Overall Rank" dataDxfId="110">
      <calculatedColumnFormula>_xlfn.XLOOKUP(Scenarios3[[#This Row],[Reference '#]],ScenariosCombined[Reference '#],ScenariosCombined[Sharpe Rank])</calculatedColumnFormula>
    </tableColumn>
    <tableColumn id="22" xr3:uid="{05DBAA38-B5F2-4E85-B2FA-E600C187284F}" name="Sharpe Rank" dataDxfId="109">
      <calculatedColumnFormula>IF(Scenarios3[[#This Row],[Eligible]],COUNTIFS(Scenarios3[Sharpe],"&gt;"&amp;Scenarios3[[#This Row],[Sharpe]],Scenarios3[Eligible],TRUE())+COUNTIFS(Scenarios3[Sharpe],Scenarios3[[#This Row],[Sharpe]],Scenarios3[Eligible],TRUE()),"")</calculatedColumnFormula>
    </tableColumn>
    <tableColumn id="23" xr3:uid="{1D92F83E-01E2-4FDA-B314-D5D648459D87}" name="Label" dataDxfId="108">
      <calculatedColumnFormula>TEXT(Scenarios3[[#This Row],[SPY]]*100,"##")&amp;"/"&amp;TEXT(Scenarios3[[#This Row],[AGG]]*100,"##")&amp;"/"&amp;TEXT(Scenarios3[[#This Row],[GLD]]*100,"##")&amp;"/"&amp;TEXT(Scenarios3[[#This Row],[VNQ]]*100,"##")&amp;"/"&amp;TEXT(Scenarios3[[#This Row],[PE]]*100,"##")</calculatedColumnFormula>
    </tableColumn>
    <tableColumn id="30" xr3:uid="{080EE713-D246-49D6-83FD-DBB2A3324350}" name="S1" dataDxfId="107">
      <calculatedColumnFormula>_xlfn.XLOOKUP(Scenarios3[[#This Row],[Reference '#]],Scenarios1[Reference '#],Scenarios1[Sharpe Rank])</calculatedColumnFormula>
    </tableColumn>
    <tableColumn id="31" xr3:uid="{4663E49C-70AB-4BBD-A5BC-EC1E42845F59}" name="S2" dataDxfId="106">
      <calculatedColumnFormula>_xlfn.XLOOKUP(Scenarios3[[#This Row],[Reference '#]],Scenarios2[Reference '#],Scenarios2[Sharpe Rank])</calculatedColumnFormula>
    </tableColumn>
    <tableColumn id="32" xr3:uid="{2D09D8DC-279A-4104-99F0-4F5EFD849B3B}" name="S3" dataDxfId="105">
      <calculatedColumnFormula>Scenarios3[[#This Row],[Sharpe Rank]]</calculatedColumnFormula>
    </tableColumn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F494F7C-96FA-4FD8-BBA6-9A92B33D6417}" name="Scenario3Rank" displayName="Scenario3Rank" ref="B3:M8" totalsRowShown="0" headerRowDxfId="104" headerRowBorderDxfId="103" tableBorderDxfId="102" totalsRowBorderDxfId="101">
  <autoFilter ref="B3:M8" xr:uid="{CF494F7C-96FA-4FD8-BBA6-9A92B33D6417}"/>
  <tableColumns count="12">
    <tableColumn id="1" xr3:uid="{4F3A1698-3BB3-4F6F-8545-9768DFFB5D28}" name="Rank" dataDxfId="100"/>
    <tableColumn id="2" xr3:uid="{9AF279F3-C440-489D-94FC-AD067BFAD977}" name="SPY" dataDxfId="99">
      <calculatedColumnFormula>_xlfn.XLOOKUP($B4,$AB$10:$AB$149,C$10:C$149)</calculatedColumnFormula>
    </tableColumn>
    <tableColumn id="3" xr3:uid="{3AD6B5F7-36AB-4636-BE02-A6E790EA6238}" name="AGG" dataDxfId="98">
      <calculatedColumnFormula>_xlfn.XLOOKUP($B4,$AB$10:$AB$149,D$10:D$149)</calculatedColumnFormula>
    </tableColumn>
    <tableColumn id="4" xr3:uid="{EB135177-D408-4F50-983B-2409CCC9FE77}" name="GLD" dataDxfId="97">
      <calculatedColumnFormula>_xlfn.XLOOKUP($B4,$AB$10:$AB$149,E$10:E$149)</calculatedColumnFormula>
    </tableColumn>
    <tableColumn id="5" xr3:uid="{7E60F2A1-9574-4B8B-8469-4A206537BF6B}" name="VNQ" dataDxfId="96">
      <calculatedColumnFormula>_xlfn.XLOOKUP($B4,$AB$10:$AB$149,F$10:F$149)</calculatedColumnFormula>
    </tableColumn>
    <tableColumn id="6" xr3:uid="{FC7D22CF-FF01-4B29-B5E6-5B5BE07533C8}" name="PE" dataDxfId="95">
      <calculatedColumnFormula>_xlfn.XLOOKUP($B4,$AB$10:$AB$149,G$10:G$149)</calculatedColumnFormula>
    </tableColumn>
    <tableColumn id="7" xr3:uid="{EA64323C-1EC2-44B7-8DFE-57C73EE77EFD}" name="Expected Return" dataDxfId="94">
      <calculatedColumnFormula>_xlfn.XLOOKUP($B4,$AB$10:$AB$149,H$10:H$149)</calculatedColumnFormula>
    </tableColumn>
    <tableColumn id="8" xr3:uid="{8E6674B3-C67E-43C9-9875-33F46525C3C9}" name="36M Volatility" dataDxfId="93">
      <calculatedColumnFormula>_xlfn.XLOOKUP($B4,$AB$10:$AB$149,I$10:I$149)</calculatedColumnFormula>
    </tableColumn>
    <tableColumn id="9" xr3:uid="{34890A80-118F-41CE-8887-422B90AC39A1}" name="Sharpe Ratio" dataDxfId="92">
      <calculatedColumnFormula>_xlfn.XLOOKUP($B4,$AB$10:$AB$149,J$10:J$149)</calculatedColumnFormula>
    </tableColumn>
    <tableColumn id="10" xr3:uid="{B08A4F8F-E603-4800-9BC0-1E017A248F7D}" name="Max Drawdown" dataDxfId="91">
      <calculatedColumnFormula>_xlfn.XLOOKUP($B4,$AB$10:$AB$149,K$10:K$149)</calculatedColumnFormula>
    </tableColumn>
    <tableColumn id="11" xr3:uid="{C3871F24-A8A1-4B8C-85CD-4331405AB9F4}" name="Liquid Assets" dataDxfId="90">
      <calculatedColumnFormula>_xlfn.XLOOKUP($B4,$AB$10:$AB$149,L$10:L$149)</calculatedColumnFormula>
    </tableColumn>
    <tableColumn id="12" xr3:uid="{07A6DD3F-683C-409C-8D35-F63DBB36CE8A}" name="Label" dataDxfId="89">
      <calculatedColumnFormula>_xlfn.XLOOKUP(Scenario3Rank[[#This Row],[Rank]],$AB$10:$AB$149,Y$10:Y$149)</calculatedColumnFormula>
    </tableColumn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A4BFDB8-E971-4AF6-BFF4-18CB343E9E89}" name="ScenariosCombined" displayName="ScenariosCombined" ref="B11:AB152" totalsRowShown="0" headerRowDxfId="88" dataDxfId="86" headerRowBorderDxfId="87" tableBorderDxfId="85" totalsRowBorderDxfId="84">
  <autoFilter ref="B11:AB152" xr:uid="{B250A88C-F8A2-4C9D-B021-89CFDD194C68}"/>
  <sortState xmlns:xlrd2="http://schemas.microsoft.com/office/spreadsheetml/2017/richdata2" ref="B12:AB152">
    <sortCondition descending="1" ref="J11:J152"/>
  </sortState>
  <tableColumns count="27">
    <tableColumn id="34" xr3:uid="{F3A63C16-6CF4-45EE-847E-0C5A54CD8B68}" name="Reference #" dataDxfId="83"/>
    <tableColumn id="1" xr3:uid="{A7EC157F-6C62-4FD5-95B3-5268EC5F9CC4}" name="SPY" dataDxfId="82"/>
    <tableColumn id="2" xr3:uid="{E87A211D-8769-491D-B812-005B5052BF6F}" name="AGG" dataDxfId="81"/>
    <tableColumn id="3" xr3:uid="{4BACEEA5-975C-4A11-911D-1FBA46A58C9A}" name="GLD" dataDxfId="80"/>
    <tableColumn id="4" xr3:uid="{0A5FDFEB-8218-4C6E-92A1-AC86C9A8444F}" name="VNQ" dataDxfId="79"/>
    <tableColumn id="5" xr3:uid="{25742BBA-7122-4CA3-856F-E613049655A0}" name="PE" dataDxfId="78"/>
    <tableColumn id="6" xr3:uid="{D639AE0D-99C4-4EE7-B548-D77C7BDDFFF7}" name="Expected Return" dataDxfId="77">
      <calculatedColumnFormula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calculatedColumnFormula>
    </tableColumn>
    <tableColumn id="7" xr3:uid="{6E9137E5-BA61-4D5C-9B06-91F0F102F296}" name="36M Vol" dataDxfId="76">
      <calculatedColumnFormula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calculatedColumnFormula>
    </tableColumn>
    <tableColumn id="8" xr3:uid="{E0D587AA-5541-40FA-A341-7CA4C09FF073}" name="Sharpe" dataDxfId="75" dataCellStyle="Neutral">
      <calculatedColumnFormula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calculatedColumnFormula>
    </tableColumn>
    <tableColumn id="9" xr3:uid="{4A6B28B9-B429-4AC0-9E80-5660DE2A45D5}" name="Max Drawdown" dataDxfId="74">
      <calculatedColumnFormula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calculatedColumnFormula>
    </tableColumn>
    <tableColumn id="10" xr3:uid="{0BBBBB94-52AC-4D25-918A-FACCDF47D362}" name="Liquid Assets" dataDxfId="73">
      <calculatedColumnFormula>SUM(ScenariosCombined[[#This Row],[SPY]:[VNQ]])</calculatedColumnFormula>
    </tableColumn>
    <tableColumn id="11" xr3:uid="{894567B8-2DD4-459F-A051-BC04D355EFEA}" name="Weight Sum" dataDxfId="72">
      <calculatedColumnFormula>SUM(ScenariosCombined[[#This Row],[SPY]:[PE]])</calculatedColumnFormula>
    </tableColumn>
    <tableColumn id="12" xr3:uid="{152B78B2-855E-4E63-ADB0-CECBB9A4426A}" name="SPY&gt;=25%" dataDxfId="71">
      <calculatedColumnFormula>ScenariosCombined[[#This Row],[SPY]]&gt;=SpyMin</calculatedColumnFormula>
    </tableColumn>
    <tableColumn id="13" xr3:uid="{9E87891E-EA27-4672-952A-A29FBC74FF01}" name="AGG&gt;=15%" dataDxfId="70">
      <calculatedColumnFormula>ScenariosCombined[[#This Row],[AGG]]&gt;=AGGMin</calculatedColumnFormula>
    </tableColumn>
    <tableColumn id="14" xr3:uid="{D0F5678B-B372-42EA-A3F7-86728FED6B16}" name="GLD 10%-20%" dataDxfId="69">
      <calculatedColumnFormula>AND(ScenariosCombined[[#This Row],[GLD]]&gt;=GLDMin,ScenariosCombined[[#This Row],[GLD]]&lt;=GLDMax)</calculatedColumnFormula>
    </tableColumn>
    <tableColumn id="15" xr3:uid="{931157FE-F53E-4B85-B27C-A92285BA0032}" name="VNQ&gt;=10%" dataDxfId="68">
      <calculatedColumnFormula>ScenariosCombined[[#This Row],[VNQ]]&gt;=VNQMin</calculatedColumnFormula>
    </tableColumn>
    <tableColumn id="16" xr3:uid="{5073C02E-3F21-4456-805B-77A75B986138}" name="PE 10%-20%" dataDxfId="67">
      <calculatedColumnFormula>AND(ScenariosCombined[[#This Row],[PE]]&gt;=PEMin,ScenariosCombined[[#This Row],[PE]]&lt;=PEMax)</calculatedColumnFormula>
    </tableColumn>
    <tableColumn id="17" xr3:uid="{345A2396-BAE6-44A8-93AF-A712CFA5EADD}" name="Liquid&gt;=80%" dataDxfId="66">
      <calculatedColumnFormula>ScenariosCombined[[#This Row],[Liquid Assets]]&gt;=LiquidMin</calculatedColumnFormula>
    </tableColumn>
    <tableColumn id="18" xr3:uid="{2CE30CBA-9E71-49A1-A25B-0781F6B32F36}" name="Return 7.5%-10%" dataDxfId="65">
      <calculatedColumnFormula>AND(ScenariosCombined[[#This Row],[Expected Return]]&gt;=ExpectedReturnMin,ScenariosCombined[[#This Row],[Expected Return]]&lt;=ExpectedReturnMax)</calculatedColumnFormula>
    </tableColumn>
    <tableColumn id="19" xr3:uid="{EC9DF5A8-1675-4B92-A6CF-13BBF6A501B3}" name="MDD&gt;=-20%" dataDxfId="64">
      <calculatedColumnFormula>ScenariosCombined[[#This Row],[Max Drawdown]]&gt;=DrawdownMax</calculatedColumnFormula>
    </tableColumn>
    <tableColumn id="20" xr3:uid="{DCC0273E-78C4-42ED-AAE0-D28A9DD19289}" name="Eligible" dataDxfId="63">
      <calculatedColumnFormula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calculatedColumnFormula>
    </tableColumn>
    <tableColumn id="21" xr3:uid="{3040171A-B9E0-44E1-B51F-63649EC7F41D}" name="Overall Rank" dataDxfId="62">
      <calculatedColumnFormula>ScenariosCombined[[#This Row],[Sharpe Rank]]</calculatedColumnFormula>
    </tableColumn>
    <tableColumn id="22" xr3:uid="{22DE072C-79CA-4FEB-B013-FBAFD1D5D711}" name="Sharpe Rank" dataDxfId="61">
      <calculatedColumnFormula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calculatedColumnFormula>
    </tableColumn>
    <tableColumn id="23" xr3:uid="{837D273C-E627-44FA-A7A5-AB11E446C842}" name="Label" dataDxfId="60">
      <calculatedColumnFormula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calculatedColumnFormula>
    </tableColumn>
    <tableColumn id="30" xr3:uid="{0F518B24-8F09-4665-830F-508C69FB5B6F}" name="S1" dataDxfId="59">
      <calculatedColumnFormula>_xlfn.XLOOKUP(ScenariosCombined[[#This Row],[Reference '#]],Scenarios1[Reference '#],Scenarios1[Sharpe Rank])</calculatedColumnFormula>
    </tableColumn>
    <tableColumn id="31" xr3:uid="{C52EA37C-7F24-4BF7-8843-B65DEB9D787B}" name="S2" dataDxfId="58">
      <calculatedColumnFormula>_xlfn.XLOOKUP(ScenariosCombined[[#This Row],[Reference '#]],Scenarios2[Reference '#],Scenarios2[Sharpe Rank])</calculatedColumnFormula>
    </tableColumn>
    <tableColumn id="32" xr3:uid="{3ED74EAB-486F-430B-8B3D-C663A259ED98}" name="S3" dataDxfId="57">
      <calculatedColumnFormula>_xlfn.XLOOKUP(ScenariosCombined[[#This Row],[Reference '#]],Scenarios3[Reference '#],Scenarios3[Sharpe Rank])</calculatedColumnFormula>
    </tableColumn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7995051-364B-4EAF-897D-9C7B34DFA0F3}" name="ScenarioAllRank" displayName="ScenarioAllRank" ref="B3:M8" totalsRowShown="0" headerRowDxfId="56" headerRowBorderDxfId="55" tableBorderDxfId="54" totalsRowBorderDxfId="53">
  <autoFilter ref="B3:M8" xr:uid="{150C510F-FE71-4495-B6D7-9EB1B4C68D1C}"/>
  <tableColumns count="12">
    <tableColumn id="1" xr3:uid="{2CBFEB28-6391-48BB-83A6-F86DDB364ED6}" name="Rank" dataDxfId="52"/>
    <tableColumn id="2" xr3:uid="{A1380A99-ED3B-4EB4-A77E-968987E3DCCC}" name="SPY" dataDxfId="51">
      <calculatedColumnFormula>_xlfn.XLOOKUP($B4,$Z$11:$Z$150,C$11:C$150)</calculatedColumnFormula>
    </tableColumn>
    <tableColumn id="3" xr3:uid="{568028B0-A2BC-4020-956E-EAAFE89AEB30}" name="AGG" dataDxfId="50">
      <calculatedColumnFormula>_xlfn.XLOOKUP($B4,$Z$11:$Z$150,D$11:D$150)</calculatedColumnFormula>
    </tableColumn>
    <tableColumn id="4" xr3:uid="{4D61AC16-C2F1-4417-8D90-D81E5E21A75E}" name="GLD" dataDxfId="49">
      <calculatedColumnFormula>_xlfn.XLOOKUP($B4,$Z$11:$Z$150,E$11:E$150)</calculatedColumnFormula>
    </tableColumn>
    <tableColumn id="5" xr3:uid="{4D586C2E-25FC-49BA-ACA7-D8ECCA2EF315}" name="VNQ" dataDxfId="48">
      <calculatedColumnFormula>_xlfn.XLOOKUP($B4,$Z$11:$Z$150,F$11:F$150)</calculatedColumnFormula>
    </tableColumn>
    <tableColumn id="6" xr3:uid="{9CF948EF-16EB-4C90-B8D5-A8FDDE81713A}" name="PE" dataDxfId="47">
      <calculatedColumnFormula>_xlfn.XLOOKUP($B4,$Z$11:$Z$150,G$11:G$150)</calculatedColumnFormula>
    </tableColumn>
    <tableColumn id="7" xr3:uid="{CF7CCACB-B9D6-4EAF-BD1E-C292BAC8C82C}" name="Expected Return" dataDxfId="46">
      <calculatedColumnFormula>_xlfn.XLOOKUP($B4,$Z$11:$Z$150,H$11:H$150)</calculatedColumnFormula>
    </tableColumn>
    <tableColumn id="8" xr3:uid="{7B03FE13-B896-46D2-80D2-C578317279E3}" name="36M Volatility" dataDxfId="45">
      <calculatedColumnFormula>_xlfn.XLOOKUP($B4,$Z$11:$Z$150,I$11:I$150)</calculatedColumnFormula>
    </tableColumn>
    <tableColumn id="9" xr3:uid="{EFD17C55-D17A-444D-800F-18BF5E895939}" name="Sharpe Ratio" dataDxfId="44">
      <calculatedColumnFormula>_xlfn.XLOOKUP($B4,$Z$11:$Z$150,J$11:J$150)</calculatedColumnFormula>
    </tableColumn>
    <tableColumn id="10" xr3:uid="{F84B514E-EC58-4B96-BCD0-B9AC09F3DF02}" name="Max Drawdown" dataDxfId="43">
      <calculatedColumnFormula>_xlfn.XLOOKUP($B4,$Z$11:$Z$150,K$11:K$150)</calculatedColumnFormula>
    </tableColumn>
    <tableColumn id="11" xr3:uid="{69475222-AE24-4D98-87CB-D0AF0361B62E}" name="Liquid Assets" dataDxfId="42">
      <calculatedColumnFormula>_xlfn.XLOOKUP($B4,$Z$11:$Z$150,L$11:L$150)</calculatedColumnFormula>
    </tableColumn>
    <tableColumn id="12" xr3:uid="{900FD474-E793-4838-B66C-CA00B28FCBCD}" name="Label" dataDxfId="41">
      <calculatedColumnFormula>_xlfn.XLOOKUP(ScenarioAllRank[[#This Row],[Rank]],$X$11:$X$150,Y$11:Y$150)</calculatedColumnFormula>
    </tableColumn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10D9778-9195-4B70-A420-E78ED4436C9E}" name="OptimizePortfolio" displayName="OptimizePortfolio" ref="B4:D9" totalsRowShown="0" headerRowDxfId="40" dataDxfId="38" headerRowBorderDxfId="39" tableBorderDxfId="37" totalsRowBorderDxfId="36">
  <autoFilter ref="B4:D9" xr:uid="{910D9778-9195-4B70-A420-E78ED4436C9E}"/>
  <tableColumns count="3">
    <tableColumn id="1" xr3:uid="{E8AF187F-48FA-4EA5-83CF-4A4D4E9B984E}" name="Asset" dataDxfId="35"/>
    <tableColumn id="2" xr3:uid="{D1B3FEDE-5132-48C7-AB7C-21FF172DAAE7}" name="Weight" dataDxfId="34"/>
    <tableColumn id="3" xr3:uid="{91297A22-BF05-4C0E-A6B1-099CF79D65D9}" name="USD $ Millions" dataDxfId="33">
      <calculatedColumnFormula>C5*AUM</calculatedColumnFormula>
    </tableColumn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A23982-2530-43A7-8D8A-FA208C650C8C}" name="StressWindow" displayName="StressWindow" ref="F4:H7" totalsRowShown="0" headerRowDxfId="32" headerRowBorderDxfId="31" tableBorderDxfId="30" totalsRowBorderDxfId="29">
  <autoFilter ref="F4:H7" xr:uid="{21A23982-2530-43A7-8D8A-FA208C650C8C}"/>
  <tableColumns count="3">
    <tableColumn id="2" xr3:uid="{BB5B425F-B54E-4EE6-99D5-5DE54FF20354}" name="Start" dataDxfId="28"/>
    <tableColumn id="3" xr3:uid="{EC3BAA65-D663-4B17-8B18-6DA17E466C34}" name="End" dataDxfId="27"/>
    <tableColumn id="4" xr3:uid="{87D09E7B-1093-4ABA-9259-E68D829C9185}" name="Return/DD" dataDxfId="26">
      <calculatedColumnFormula array="1">PRODUCT(1+INDEX(#REF!,MATCH(StressWindow[[#This Row],[Start]],#REF!,0)):INDEX(#REF!,MATCH(StressWindow[[#This Row],[End]],#REF!,0)))-1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A62C74F-3EC7-44C6-9A86-DCC3D2E5A210}" name="OverallRank" displayName="OverallRank" ref="B36:N41" totalsRowShown="0" headerRowDxfId="25" dataDxfId="23" headerRowBorderDxfId="24" tableBorderDxfId="22" totalsRowBorderDxfId="21">
  <autoFilter ref="B36:N41" xr:uid="{FA62C74F-3EC7-44C6-9A86-DCC3D2E5A210}"/>
  <tableColumns count="13">
    <tableColumn id="1" xr3:uid="{81EC3A69-569E-49F4-B6CA-9BB91EE155FF}" name="Reference #" dataDxfId="20">
      <calculatedColumnFormula>_xlfn.XLOOKUP(OverallRank[[#This Row],[Overall Rank]],ScenariosCombined[Sharpe Rank],ScenariosCombined[Reference '#])</calculatedColumnFormula>
    </tableColumn>
    <tableColumn id="2" xr3:uid="{F50A01D6-84E9-4E09-8EEC-7258D637097C}" name="Overall Rank" dataDxfId="19"/>
    <tableColumn id="3" xr3:uid="{1F60F003-E2A9-4242-B0AB-AD2DA1C45EDC}" name="SPY" dataDxfId="18">
      <calculatedColumnFormula>_xlfn.XLOOKUP(OverallRank[[#This Row],[Overall Rank]],ScenariosCombined[Sharpe Rank],ScenariosCombined[SPY])</calculatedColumnFormula>
    </tableColumn>
    <tableColumn id="4" xr3:uid="{50004472-D74D-414B-8BE7-7E9BFEC316DF}" name="AGG" dataDxfId="17">
      <calculatedColumnFormula>_xlfn.XLOOKUP(OverallRank[[#This Row],[Overall Rank]],ScenariosCombined[Sharpe Rank],ScenariosCombined[AGG])</calculatedColumnFormula>
    </tableColumn>
    <tableColumn id="5" xr3:uid="{24A4C793-2F7B-4EF0-AACA-79F9C6B3EF71}" name="GLD" dataDxfId="16">
      <calculatedColumnFormula>_xlfn.XLOOKUP(OverallRank[[#This Row],[Overall Rank]],ScenariosCombined[Sharpe Rank],ScenariosCombined[GLD])</calculatedColumnFormula>
    </tableColumn>
    <tableColumn id="6" xr3:uid="{7F2D3ABC-89A1-4F6C-9011-639BF691AB05}" name="VNQ" dataDxfId="15">
      <calculatedColumnFormula>_xlfn.XLOOKUP(OverallRank[[#This Row],[Overall Rank]],ScenariosCombined[Sharpe Rank],ScenariosCombined[VNQ])</calculatedColumnFormula>
    </tableColumn>
    <tableColumn id="7" xr3:uid="{083F8D33-F778-42FA-AA4C-AA644D08AA27}" name="PE" dataDxfId="14">
      <calculatedColumnFormula>_xlfn.XLOOKUP(OverallRank[[#This Row],[Overall Rank]],ScenariosCombined[Sharpe Rank],ScenariosCombined[PE])</calculatedColumnFormula>
    </tableColumn>
    <tableColumn id="14" xr3:uid="{B4ECE3BE-5A82-43E8-BF87-CF816C66A639}" name="Expected Return" dataDxfId="13">
      <calculatedColumnFormula>_xlfn.XLOOKUP(OverallRank[[#This Row],[Overall Rank]],ScenariosCombined[Sharpe Rank],ScenariosCombined[Expected Return])</calculatedColumnFormula>
    </tableColumn>
    <tableColumn id="8" xr3:uid="{A9F7235D-AD86-407E-BFFA-C95DACC995C8}" name="36M Volatility" dataDxfId="12">
      <calculatedColumnFormula>_xlfn.XLOOKUP(OverallRank[[#This Row],[Overall Rank]],ScenariosCombined[Sharpe Rank],ScenariosCombined[36M Vol])</calculatedColumnFormula>
    </tableColumn>
    <tableColumn id="9" xr3:uid="{43C3AE90-36F8-4779-9A9C-1444F22B73AC}" name="Sharpe Ratio" dataDxfId="11">
      <calculatedColumnFormula>_xlfn.XLOOKUP(OverallRank[[#This Row],[Overall Rank]],ScenariosCombined[Sharpe Rank],ScenariosCombined[Sharpe])</calculatedColumnFormula>
    </tableColumn>
    <tableColumn id="10" xr3:uid="{E3830B57-B12C-4D32-9D9F-538DFBD84D1B}" name="Max Drawdown" dataDxfId="10">
      <calculatedColumnFormula>_xlfn.XLOOKUP(OverallRank[[#This Row],[Overall Rank]],ScenariosCombined[Sharpe Rank],ScenariosCombined[Max Drawdown])</calculatedColumnFormula>
    </tableColumn>
    <tableColumn id="11" xr3:uid="{C3075B83-8194-478B-9B20-822CA6D4D27F}" name="Liquid Assets" dataDxfId="9">
      <calculatedColumnFormula>_xlfn.XLOOKUP(OverallRank[[#This Row],[Overall Rank]],ScenariosCombined[Sharpe Rank],ScenariosCombined[Liquid Assets])</calculatedColumnFormula>
    </tableColumn>
    <tableColumn id="12" xr3:uid="{EEF9132E-1B81-478D-BD2C-19ED98A768B0}" name="SPY / AGG / GLD / VNQ / PE" dataDxfId="8">
      <calculatedColumnFormula>_xlfn.XLOOKUP(OverallRank[[#This Row],[Overall Rank]],ScenariosCombined[Sharpe Rank],ScenariosCombined[Label])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7040-9034-4ACC-9FE8-2386FDFCC7A7}">
  <dimension ref="B1:D23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3.5" customWidth="1"/>
    <col min="2" max="2" width="45.5" customWidth="1"/>
    <col min="3" max="4" width="15.5" customWidth="1"/>
  </cols>
  <sheetData>
    <row r="1" spans="2:4" ht="19" x14ac:dyDescent="0.25">
      <c r="B1" s="82" t="s">
        <v>622</v>
      </c>
    </row>
    <row r="2" spans="2:4" x14ac:dyDescent="0.2">
      <c r="B2" s="36"/>
    </row>
    <row r="3" spans="2:4" x14ac:dyDescent="0.2">
      <c r="B3" s="101" t="s">
        <v>38</v>
      </c>
      <c r="C3" s="35" t="s">
        <v>39</v>
      </c>
    </row>
    <row r="4" spans="2:4" x14ac:dyDescent="0.2">
      <c r="B4" s="16" t="s">
        <v>654</v>
      </c>
      <c r="C4" s="96">
        <f>250</f>
        <v>250</v>
      </c>
    </row>
    <row r="6" spans="2:4" ht="16" x14ac:dyDescent="0.2">
      <c r="B6" s="84" t="s">
        <v>610</v>
      </c>
      <c r="C6" s="13" t="s">
        <v>638</v>
      </c>
      <c r="D6" s="13" t="s">
        <v>611</v>
      </c>
    </row>
    <row r="7" spans="2:4" x14ac:dyDescent="0.2">
      <c r="B7" s="1" t="s">
        <v>42</v>
      </c>
      <c r="C7" s="91">
        <v>42461</v>
      </c>
      <c r="D7" s="59">
        <f>EDATE(EndDate,-35)</f>
        <v>44927</v>
      </c>
    </row>
    <row r="8" spans="2:4" x14ac:dyDescent="0.2">
      <c r="B8" s="1" t="s">
        <v>43</v>
      </c>
      <c r="C8" s="59">
        <f>MAX(SPY_Table[Date],AGG_Table[Date],GLD_Table[Date],VNQ_Table[Date],PE_Table[Date])</f>
        <v>45992</v>
      </c>
      <c r="D8" s="59">
        <f>EndDate</f>
        <v>45992</v>
      </c>
    </row>
    <row r="10" spans="2:4" x14ac:dyDescent="0.2">
      <c r="B10" s="16" t="s">
        <v>40</v>
      </c>
      <c r="C10" s="14" t="s">
        <v>623</v>
      </c>
      <c r="D10" s="14" t="s">
        <v>624</v>
      </c>
    </row>
    <row r="11" spans="2:4" x14ac:dyDescent="0.2">
      <c r="B11" s="1" t="s">
        <v>627</v>
      </c>
      <c r="C11" s="64">
        <v>0.05</v>
      </c>
      <c r="D11" s="64">
        <v>0.05</v>
      </c>
    </row>
    <row r="12" spans="2:4" x14ac:dyDescent="0.2">
      <c r="B12" s="1" t="s">
        <v>625</v>
      </c>
      <c r="C12" s="64">
        <v>0</v>
      </c>
      <c r="D12" s="185"/>
    </row>
    <row r="13" spans="2:4" x14ac:dyDescent="0.2">
      <c r="B13" s="1" t="s">
        <v>626</v>
      </c>
      <c r="C13" s="185"/>
      <c r="D13" s="64">
        <v>1</v>
      </c>
    </row>
    <row r="14" spans="2:4" x14ac:dyDescent="0.2">
      <c r="B14" s="1" t="s">
        <v>628</v>
      </c>
      <c r="C14" s="64">
        <v>0.25</v>
      </c>
      <c r="D14" s="185"/>
    </row>
    <row r="15" spans="2:4" x14ac:dyDescent="0.2">
      <c r="B15" s="1" t="s">
        <v>629</v>
      </c>
      <c r="C15" s="64">
        <v>0.15</v>
      </c>
      <c r="D15" s="185"/>
    </row>
    <row r="16" spans="2:4" x14ac:dyDescent="0.2">
      <c r="B16" s="1" t="s">
        <v>630</v>
      </c>
      <c r="C16" s="64">
        <v>0.1</v>
      </c>
      <c r="D16" s="64">
        <v>0.2</v>
      </c>
    </row>
    <row r="17" spans="2:4" x14ac:dyDescent="0.2">
      <c r="B17" s="1" t="s">
        <v>631</v>
      </c>
      <c r="C17" s="64">
        <v>0.1</v>
      </c>
      <c r="D17" s="185"/>
    </row>
    <row r="18" spans="2:4" x14ac:dyDescent="0.2">
      <c r="B18" s="1" t="s">
        <v>632</v>
      </c>
      <c r="C18" s="64">
        <v>0.1</v>
      </c>
      <c r="D18" s="64">
        <v>0.2</v>
      </c>
    </row>
    <row r="19" spans="2:4" x14ac:dyDescent="0.2">
      <c r="B19" s="1" t="s">
        <v>41</v>
      </c>
      <c r="C19" s="64">
        <v>0.8</v>
      </c>
      <c r="D19" s="186"/>
    </row>
    <row r="20" spans="2:4" x14ac:dyDescent="0.2">
      <c r="B20" s="1" t="s">
        <v>633</v>
      </c>
      <c r="C20" s="64">
        <v>7.4999999999999997E-2</v>
      </c>
      <c r="D20" s="64">
        <v>0.1</v>
      </c>
    </row>
    <row r="21" spans="2:4" x14ac:dyDescent="0.2">
      <c r="B21" s="1" t="s">
        <v>634</v>
      </c>
      <c r="C21" s="64">
        <v>-0.2</v>
      </c>
      <c r="D21" s="186"/>
    </row>
    <row r="22" spans="2:4" ht="32" x14ac:dyDescent="0.2">
      <c r="B22" s="54" t="s">
        <v>637</v>
      </c>
      <c r="C22" s="95"/>
      <c r="D22" s="95"/>
    </row>
    <row r="23" spans="2:4" x14ac:dyDescent="0.2">
      <c r="B23" s="1" t="s">
        <v>655</v>
      </c>
      <c r="C23" s="53" cm="1">
        <f t="array" ref="C23">AVERAGE(_xlfn._xlws.FILTER(TB3MS_Table[Yield], (TB3MS_Table[Date] &gt;= StartDate36M) * (TB3MS_Table[Date] &lt;= EndDate36M)))</f>
        <v>4.700555555555555E-2</v>
      </c>
      <c r="D23" s="95"/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593CEC8-37AC-4184-910A-4F54B262811D}">
          <x14:formula1>
            <xm:f>SPY!$B$4:$B$120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42"/>
  <sheetViews>
    <sheetView tabSelected="1" zoomScaleNormal="100" workbookViewId="0">
      <selection activeCell="C9" sqref="C9"/>
    </sheetView>
  </sheetViews>
  <sheetFormatPr baseColWidth="10" defaultColWidth="8.83203125" defaultRowHeight="15" x14ac:dyDescent="0.2"/>
  <cols>
    <col min="1" max="1" width="3.5" customWidth="1"/>
    <col min="2" max="6" width="15.5" customWidth="1"/>
    <col min="7" max="10" width="14.6640625" customWidth="1"/>
    <col min="11" max="11" width="16.1640625" customWidth="1"/>
    <col min="12" max="17" width="14.6640625" customWidth="1"/>
    <col min="18" max="18" width="16.1640625" customWidth="1"/>
    <col min="19" max="24" width="14.6640625" customWidth="1"/>
    <col min="25" max="25" width="16.1640625" customWidth="1"/>
    <col min="26" max="31" width="14.6640625" customWidth="1"/>
    <col min="32" max="32" width="16.1640625" customWidth="1"/>
    <col min="33" max="35" width="14.6640625" customWidth="1"/>
  </cols>
  <sheetData>
    <row r="1" spans="2:10" ht="19" x14ac:dyDescent="0.25">
      <c r="B1" s="82" t="s">
        <v>659</v>
      </c>
    </row>
    <row r="3" spans="2:10" x14ac:dyDescent="0.2">
      <c r="B3" s="102" t="s">
        <v>639</v>
      </c>
    </row>
    <row r="4" spans="2:10" ht="32" x14ac:dyDescent="0.2">
      <c r="B4" s="10" t="s">
        <v>0</v>
      </c>
      <c r="C4" s="11" t="s">
        <v>1</v>
      </c>
      <c r="D4" s="11" t="s">
        <v>2</v>
      </c>
      <c r="E4" s="11" t="s">
        <v>617</v>
      </c>
      <c r="F4" s="12" t="s">
        <v>3</v>
      </c>
    </row>
    <row r="5" spans="2:10" x14ac:dyDescent="0.2">
      <c r="B5" s="61" t="s">
        <v>8</v>
      </c>
      <c r="C5" s="53">
        <f>POWER(_xlfn.XLOOKUP(EndDate,SPY_Table[Date],SPY_Table[Price/NAV],,-1)/_xlfn.XLOOKUP(StartDate,SPY_Table[Date],SPY_Table[Price/NAV],,1),12/(DATEDIF(StartDate,EndDate, "m")))-1</f>
        <v>0.15020554572006195</v>
      </c>
      <c r="D5" s="53" cm="1">
        <f t="array" ref="D5">_xlfn.STDEV.S(_xlfn._xlws.FILTER(SPY_Table[Monthly Return], (SPY_Table[Date] &gt;= StartDate36M) * (SPY_Table[Date] &lt;= EndDate36M)))*SQRT(12)</f>
        <v>0.1193828307928186</v>
      </c>
      <c r="E5" s="53">
        <f>MIN(SPY_Table[Drawdown])</f>
        <v>-0.23972220955825319</v>
      </c>
      <c r="F5" s="62">
        <f>IFERROR(C5/D5,"")</f>
        <v>1.2581838169069239</v>
      </c>
    </row>
    <row r="6" spans="2:10" x14ac:dyDescent="0.2">
      <c r="B6" s="61" t="s">
        <v>9</v>
      </c>
      <c r="C6" s="53">
        <f>POWER(_xlfn.XLOOKUP(EndDate,AGG_Table[Date],AGG_Table[Price/NAV],,-1)/_xlfn.XLOOKUP(StartDate,AGG_Table[Date],AGG_Table[Price/NAV],,1),12/(DATEDIF(StartDate,EndDate, "m")))-1</f>
        <v>1.6540885299888952E-2</v>
      </c>
      <c r="D6" s="53" cm="1">
        <f t="array" ref="D6">_xlfn.STDEV.S(_xlfn._xlws.FILTER(AGG_Table[Monthly Return], (AGG_Table[Date] &gt;= StartDate36M) * (AGG_Table[Date] &lt;= EndDate36M)))*SQRT(12)</f>
        <v>6.2724946672375215E-2</v>
      </c>
      <c r="E6" s="53">
        <f>MIN(AGG_Table[Drawdown])</f>
        <v>-0.17159850854658609</v>
      </c>
      <c r="F6" s="62">
        <f>IFERROR(C6/D6,"")</f>
        <v>0.26370505161662811</v>
      </c>
    </row>
    <row r="7" spans="2:10" x14ac:dyDescent="0.2">
      <c r="B7" s="61" t="s">
        <v>10</v>
      </c>
      <c r="C7" s="53">
        <f>POWER(_xlfn.XLOOKUP(EndDate,GLD_Table[Date],GLD_Table[Price/NAV],,-1)/_xlfn.XLOOKUP(StartDate,GLD_Table[Date],GLD_Table[Price/NAV],,1),12/(DATEDIF(StartDate,EndDate, "m")))-1</f>
        <v>0.12805005024467886</v>
      </c>
      <c r="D7" s="53" cm="1">
        <f t="array" ref="D7">_xlfn.STDEV.S(_xlfn._xlws.FILTER(GLD_Table[Monthly Return], (GLD_Table[Date] &gt;= StartDate36M) * (GLD_Table[Date] &lt;= EndDate36M)))*SQRT(12)</f>
        <v>0.13883678277568814</v>
      </c>
      <c r="E7" s="53">
        <f>MIN(GLD_Table[Drawdown])</f>
        <v>-0.18076897114605806</v>
      </c>
      <c r="F7" s="62">
        <f>IFERROR(C7/D7,"")</f>
        <v>0.92230637792553227</v>
      </c>
    </row>
    <row r="8" spans="2:10" x14ac:dyDescent="0.2">
      <c r="B8" s="61" t="s">
        <v>11</v>
      </c>
      <c r="C8" s="53">
        <f>POWER(_xlfn.XLOOKUP(EndDate,VNQ_Table[Date],VNQ_Table[Price/NAV],,-1)/_xlfn.XLOOKUP(StartDate,VNQ_Table[Date],VNQ_Table[Price/NAV],,1),12/(DATEDIF(StartDate,EndDate, "m")))-1</f>
        <v>4.8215672223158368E-2</v>
      </c>
      <c r="D8" s="53" cm="1">
        <f t="array" ref="D8">_xlfn.STDEV.S(_xlfn._xlws.FILTER(VNQ_Table[Monthly Return], (VNQ_Table[Date] &gt;= StartDate36M) * (VNQ_Table[Date] &lt;= EndDate36M)))*SQRT(12)</f>
        <v>0.17626712985891541</v>
      </c>
      <c r="E8" s="53">
        <f>MIN(VNQ_Table[Drawdown])</f>
        <v>-0.32122354464783942</v>
      </c>
      <c r="F8" s="62">
        <f>IFERROR(C8/D8,"")</f>
        <v>0.27353751242078028</v>
      </c>
    </row>
    <row r="9" spans="2:10" x14ac:dyDescent="0.2">
      <c r="B9" s="63" t="s">
        <v>12</v>
      </c>
      <c r="C9" s="189">
        <f>C27</f>
        <v>4.6026191447110509E-2</v>
      </c>
      <c r="D9" s="58" cm="1">
        <f t="array" ref="D9">_xlfn.STDEV.S(_xlfn._xlws.FILTER(PE_Table[Monthly Return], (PE_Table[Date] &gt;= StartDate36M) * (PE_Table[Date] &lt;= EndDate36M)))*SQRT(12)</f>
        <v>6.0111192939313898E-2</v>
      </c>
      <c r="E9" s="53">
        <f>MIN(PE_Table[Drawdown])</f>
        <v>-9.8640311679099479E-2</v>
      </c>
      <c r="F9" s="65">
        <f>IFERROR(C9/D9,"")</f>
        <v>0.76568421281502264</v>
      </c>
      <c r="I9" s="27"/>
    </row>
    <row r="10" spans="2:10" x14ac:dyDescent="0.2">
      <c r="I10" s="27"/>
    </row>
    <row r="11" spans="2:10" x14ac:dyDescent="0.2">
      <c r="B11" s="102" t="s">
        <v>640</v>
      </c>
      <c r="I11" s="27"/>
    </row>
    <row r="12" spans="2:10" ht="32" x14ac:dyDescent="0.2">
      <c r="B12" s="10" t="s">
        <v>0</v>
      </c>
      <c r="C12" s="11" t="s">
        <v>1</v>
      </c>
      <c r="D12" s="11" t="s">
        <v>2</v>
      </c>
      <c r="E12" s="11" t="s">
        <v>617</v>
      </c>
      <c r="F12" s="12" t="s">
        <v>3</v>
      </c>
    </row>
    <row r="13" spans="2:10" x14ac:dyDescent="0.2">
      <c r="B13" s="61" t="s">
        <v>8</v>
      </c>
      <c r="C13" s="53">
        <f>POWER(_xlfn.XLOOKUP(EndDate,SPY_Table[Date],SPY_Table[Price/NAV],,-1)/_xlfn.XLOOKUP(StartDate,SPY_Table[Date],SPY_Table[Price/NAV],,1),12/(DATEDIF(StartDate,EndDate, "m")))-1</f>
        <v>0.15020554572006195</v>
      </c>
      <c r="D13" s="53" cm="1">
        <f t="array" ref="D13">_xlfn.STDEV.S(_xlfn._xlws.FILTER(SPY_Table[Monthly Return], (SPY_Table[Date] &gt;= StartDate36M) * (SPY_Table[Date] &lt;= EndDate36M)))*SQRT(12)</f>
        <v>0.1193828307928186</v>
      </c>
      <c r="E13" s="53">
        <f>MIN(SPY_Table[Drawdown])</f>
        <v>-0.23972220955825319</v>
      </c>
      <c r="F13" s="62">
        <f>IFERROR(C13/D13,"")</f>
        <v>1.2581838169069239</v>
      </c>
      <c r="J13" s="20"/>
    </row>
    <row r="14" spans="2:10" x14ac:dyDescent="0.2">
      <c r="B14" s="61" t="s">
        <v>9</v>
      </c>
      <c r="C14" s="53">
        <f>POWER(_xlfn.XLOOKUP(EndDate,AGG_Table[Date],AGG_Table[Price/NAV],,-1)/_xlfn.XLOOKUP(StartDate,AGG_Table[Date],AGG_Table[Price/NAV],,1),12/(DATEDIF(StartDate,EndDate, "m")))-1</f>
        <v>1.6540885299888952E-2</v>
      </c>
      <c r="D14" s="53" cm="1">
        <f t="array" ref="D14">_xlfn.STDEV.S(_xlfn._xlws.FILTER(AGG_Table[Monthly Return], (AGG_Table[Date] &gt;= StartDate36M) * (AGG_Table[Date] &lt;= EndDate36M)))*SQRT(12)</f>
        <v>6.2724946672375215E-2</v>
      </c>
      <c r="E14" s="53">
        <f>MIN(AGG_Table[Drawdown])</f>
        <v>-0.17159850854658609</v>
      </c>
      <c r="F14" s="62">
        <f>IFERROR(C14/D14,"")</f>
        <v>0.26370505161662811</v>
      </c>
    </row>
    <row r="15" spans="2:10" x14ac:dyDescent="0.2">
      <c r="B15" s="61" t="s">
        <v>10</v>
      </c>
      <c r="C15" s="53">
        <f>POWER(_xlfn.XLOOKUP(EndDate,GLD_Table[Date],GLD_Table[Price/NAV],,-1)/_xlfn.XLOOKUP(StartDate,GLD_Table[Date],GLD_Table[Price/NAV],,1),12/(DATEDIF(StartDate,EndDate, "m")))-1</f>
        <v>0.12805005024467886</v>
      </c>
      <c r="D15" s="53" cm="1">
        <f t="array" ref="D15">_xlfn.STDEV.S(_xlfn._xlws.FILTER(GLD_Table[Monthly Return], (GLD_Table[Date] &gt;= StartDate36M) * (GLD_Table[Date] &lt;= EndDate36M)))*SQRT(12)</f>
        <v>0.13883678277568814</v>
      </c>
      <c r="E15" s="53">
        <f>MIN(GLD_Table[Drawdown])</f>
        <v>-0.18076897114605806</v>
      </c>
      <c r="F15" s="62">
        <f>IFERROR(C15/D15,"")</f>
        <v>0.92230637792553227</v>
      </c>
    </row>
    <row r="16" spans="2:10" x14ac:dyDescent="0.2">
      <c r="B16" s="61" t="s">
        <v>11</v>
      </c>
      <c r="C16" s="53">
        <f>POWER(_xlfn.XLOOKUP(EndDate,VNQ_Table[Date],VNQ_Table[Price/NAV],,-1)/_xlfn.XLOOKUP(StartDate,VNQ_Table[Date],VNQ_Table[Price/NAV],,1),12/(DATEDIF(StartDate,EndDate, "m")))-1</f>
        <v>4.8215672223158368E-2</v>
      </c>
      <c r="D16" s="53" cm="1">
        <f t="array" ref="D16">_xlfn.STDEV.S(_xlfn._xlws.FILTER(VNQ_Table[Monthly Return], (VNQ_Table[Date] &gt;= StartDate36M) * (VNQ_Table[Date] &lt;= EndDate36M)))*SQRT(12)</f>
        <v>0.17626712985891541</v>
      </c>
      <c r="E16" s="53">
        <f>MIN(VNQ_Table[Drawdown])</f>
        <v>-0.32122354464783942</v>
      </c>
      <c r="F16" s="62">
        <f>IFERROR(C16/D16,"")</f>
        <v>0.27353751242078028</v>
      </c>
    </row>
    <row r="17" spans="2:9" ht="14.5" customHeight="1" x14ac:dyDescent="0.2">
      <c r="B17" s="63" t="s">
        <v>12</v>
      </c>
      <c r="C17" s="189">
        <f>C28</f>
        <v>5.0949802602088479E-2</v>
      </c>
      <c r="D17" s="58" cm="1">
        <f t="array" ref="D17">_xlfn.STDEV.S(_xlfn._xlws.FILTER(PE_Table[Monthly Return], (PE_Table[Date] &gt;= StartDate36M) * (PE_Table[Date] &lt;= EndDate36M)))*SQRT(12)</f>
        <v>6.0111192939313898E-2</v>
      </c>
      <c r="E17" s="58">
        <f>MIN(PE_Table[Drawdown])</f>
        <v>-9.8640311679099479E-2</v>
      </c>
      <c r="F17" s="65">
        <f>IFERROR(C17/D17,"")</f>
        <v>0.8475926048169693</v>
      </c>
    </row>
    <row r="19" spans="2:9" x14ac:dyDescent="0.2">
      <c r="B19" s="102" t="s">
        <v>641</v>
      </c>
    </row>
    <row r="20" spans="2:9" ht="32" x14ac:dyDescent="0.2">
      <c r="B20" s="10" t="s">
        <v>0</v>
      </c>
      <c r="C20" s="11" t="s">
        <v>1</v>
      </c>
      <c r="D20" s="11" t="s">
        <v>2</v>
      </c>
      <c r="E20" s="11" t="s">
        <v>617</v>
      </c>
      <c r="F20" s="12" t="s">
        <v>3</v>
      </c>
    </row>
    <row r="21" spans="2:9" x14ac:dyDescent="0.2">
      <c r="B21" s="61" t="s">
        <v>8</v>
      </c>
      <c r="C21" s="53">
        <f>POWER(_xlfn.XLOOKUP(EndDate,SPY_Table[Date],SPY_Table[Price/NAV],,-1)/_xlfn.XLOOKUP(StartDate,SPY_Table[Date],SPY_Table[Price/NAV],,1),12/(DATEDIF(StartDate,EndDate, "m")))-1</f>
        <v>0.15020554572006195</v>
      </c>
      <c r="D21" s="53" cm="1">
        <f t="array" ref="D21">_xlfn.STDEV.S(_xlfn._xlws.FILTER(SPY_Table[Monthly Return], (SPY_Table[Date] &gt;= StartDate36M) * (SPY_Table[Date] &lt;= EndDate36M)))*SQRT(12)</f>
        <v>0.1193828307928186</v>
      </c>
      <c r="E21" s="53">
        <f>MIN(SPY_Table[Drawdown])</f>
        <v>-0.23972220955825319</v>
      </c>
      <c r="F21" s="62">
        <f>IFERROR(C21/D21,"")</f>
        <v>1.2581838169069239</v>
      </c>
    </row>
    <row r="22" spans="2:9" x14ac:dyDescent="0.2">
      <c r="B22" s="61" t="s">
        <v>9</v>
      </c>
      <c r="C22" s="53">
        <f>POWER(_xlfn.XLOOKUP(EndDate,AGG_Table[Date],AGG_Table[Price/NAV],,-1)/_xlfn.XLOOKUP(StartDate,AGG_Table[Date],AGG_Table[Price/NAV],,1),12/(DATEDIF(StartDate,EndDate, "m")))-1</f>
        <v>1.6540885299888952E-2</v>
      </c>
      <c r="D22" s="53" cm="1">
        <f t="array" ref="D22">_xlfn.STDEV.S(_xlfn._xlws.FILTER(AGG_Table[Monthly Return], (AGG_Table[Date] &gt;= StartDate36M) * (AGG_Table[Date] &lt;= EndDate36M)))*SQRT(12)</f>
        <v>6.2724946672375215E-2</v>
      </c>
      <c r="E22" s="53">
        <f>MIN(AGG_Table[Drawdown])</f>
        <v>-0.17159850854658609</v>
      </c>
      <c r="F22" s="62">
        <f>IFERROR(C22/D22,"")</f>
        <v>0.26370505161662811</v>
      </c>
    </row>
    <row r="23" spans="2:9" x14ac:dyDescent="0.2">
      <c r="B23" s="61" t="s">
        <v>10</v>
      </c>
      <c r="C23" s="53">
        <f>POWER(_xlfn.XLOOKUP(EndDate,GLD_Table[Date],GLD_Table[Price/NAV],,-1)/_xlfn.XLOOKUP(StartDate,GLD_Table[Date],GLD_Table[Price/NAV],,1),12/(DATEDIF(StartDate,EndDate, "m")))-1</f>
        <v>0.12805005024467886</v>
      </c>
      <c r="D23" s="53" cm="1">
        <f t="array" ref="D23">_xlfn.STDEV.S(_xlfn._xlws.FILTER(GLD_Table[Monthly Return], (GLD_Table[Date] &gt;= StartDate36M) * (GLD_Table[Date] &lt;= EndDate36M)))*SQRT(12)</f>
        <v>0.13883678277568814</v>
      </c>
      <c r="E23" s="53">
        <f>MIN(GLD_Table[Drawdown])</f>
        <v>-0.18076897114605806</v>
      </c>
      <c r="F23" s="62">
        <f>IFERROR(C23/D23,"")</f>
        <v>0.92230637792553227</v>
      </c>
    </row>
    <row r="24" spans="2:9" ht="16" thickBot="1" x14ac:dyDescent="0.25">
      <c r="B24" s="61" t="s">
        <v>11</v>
      </c>
      <c r="C24" s="53">
        <f>POWER(_xlfn.XLOOKUP(EndDate,VNQ_Table[Date],VNQ_Table[Price/NAV],,-1)/_xlfn.XLOOKUP(StartDate,VNQ_Table[Date],VNQ_Table[Price/NAV],,1),12/(DATEDIF(StartDate,EndDate, "m")))-1</f>
        <v>4.8215672223158368E-2</v>
      </c>
      <c r="D24" s="53" cm="1">
        <f t="array" ref="D24">_xlfn.STDEV.S(_xlfn._xlws.FILTER(VNQ_Table[Monthly Return], (VNQ_Table[Date] &gt;= StartDate36M) * (VNQ_Table[Date] &lt;= EndDate36M)))*SQRT(12)</f>
        <v>0.17626712985891541</v>
      </c>
      <c r="E24" s="53">
        <f>MIN(VNQ_Table[Drawdown])</f>
        <v>-0.32122354464783942</v>
      </c>
      <c r="F24" s="62">
        <f>IFERROR(C24/D24,"")</f>
        <v>0.27353751242078028</v>
      </c>
    </row>
    <row r="25" spans="2:9" x14ac:dyDescent="0.2">
      <c r="B25" s="63" t="s">
        <v>12</v>
      </c>
      <c r="C25" s="189">
        <f>C29</f>
        <v>7.8779545426368738E-2</v>
      </c>
      <c r="D25" s="58" cm="1">
        <f t="array" ref="D25">_xlfn.STDEV.S(_xlfn._xlws.FILTER(PE_Table[Monthly Return], (PE_Table[Date] &gt;= StartDate36M) * (PE_Table[Date] &lt;= EndDate36M)))*SQRT(12)</f>
        <v>6.0111192939313898E-2</v>
      </c>
      <c r="E25" s="58">
        <f>MIN(PE_Table[Drawdown])</f>
        <v>-9.8640311679099479E-2</v>
      </c>
      <c r="F25" s="62">
        <f>IFERROR(C25/D25,"")</f>
        <v>1.3105636666685643</v>
      </c>
      <c r="G25" s="193" t="s">
        <v>670</v>
      </c>
      <c r="H25" s="194"/>
      <c r="I25" s="195"/>
    </row>
    <row r="26" spans="2:9" ht="16" thickBot="1" x14ac:dyDescent="0.25">
      <c r="G26" s="196"/>
      <c r="H26" s="197"/>
      <c r="I26" s="198"/>
    </row>
    <row r="27" spans="2:9" ht="32" x14ac:dyDescent="0.2">
      <c r="B27" s="188" t="s">
        <v>667</v>
      </c>
      <c r="C27" s="187">
        <f>POWER(_xlfn.XLOOKUP(EndDate,PE_Table[Date],PE_Table[Price/NAV],,-1)/_xlfn.XLOOKUP(StartDate,PE_Table[Date],PE_Table[Price/NAV],,1),12/(DATEDIF(StartDate,EndDate, "m")))-1</f>
        <v>4.6026191447110509E-2</v>
      </c>
      <c r="F27" s="13" t="s">
        <v>13</v>
      </c>
    </row>
    <row r="28" spans="2:9" ht="32" x14ac:dyDescent="0.2">
      <c r="B28" s="188" t="s">
        <v>668</v>
      </c>
      <c r="C28" s="187">
        <f>POWER(_xlfn.XLOOKUP(EndDate,PE_Table[Date],PE_Table[Price/NAV],,-1)/_xlfn.XLOOKUP(MIN(PE_Table[Date]),PE_Table[Date],PE_Table[Price/NAV],,1),12/(DATEDIF(MIN(PE_Table[Date]),MAX(PE_Table[Date]), "m")))-1</f>
        <v>5.0949802602088479E-2</v>
      </c>
      <c r="F28" s="35" t="str">
        <f>_xlfn.XLOOKUP(MAX(AssetSpecsScenario1[Capital Efficiency Ratio]),AssetSpecsScenario1[Capital Efficiency Ratio],AssetSpecsScenario1[Asset])</f>
        <v>SPY</v>
      </c>
    </row>
    <row r="29" spans="2:9" ht="32" x14ac:dyDescent="0.2">
      <c r="B29" s="188" t="s">
        <v>669</v>
      </c>
      <c r="C29" s="187">
        <f>PE_Return</f>
        <v>7.8779545426368738E-2</v>
      </c>
    </row>
    <row r="31" spans="2:9" x14ac:dyDescent="0.2">
      <c r="B31" s="192" t="s">
        <v>666</v>
      </c>
      <c r="C31" s="192"/>
      <c r="D31" s="192"/>
      <c r="E31" s="192"/>
    </row>
    <row r="142" spans="32:35" x14ac:dyDescent="0.2">
      <c r="AF142" s="9"/>
      <c r="AG142" s="9"/>
      <c r="AH142" s="9"/>
      <c r="AI142" s="9"/>
    </row>
  </sheetData>
  <mergeCells count="2">
    <mergeCell ref="B31:E31"/>
    <mergeCell ref="G25:I26"/>
  </mergeCells>
  <dataValidations count="1">
    <dataValidation type="list" allowBlank="1" showInputMessage="1" showErrorMessage="1" sqref="C17 C25 C9" xr:uid="{3DD983F3-7A0D-4885-8649-2BB4BEFD0BAD}">
      <formula1>$C$27:$C$29</formula1>
    </dataValidation>
  </dataValidations>
  <pageMargins left="0.7" right="0.7" top="0.75" bottom="0.75" header="0.3" footer="0.3"/>
  <pageSetup orientation="portrait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8E50-D670-4E43-B87C-D7156DF6E8A7}">
  <dimension ref="B1:G120"/>
  <sheetViews>
    <sheetView topLeftCell="A13" workbookViewId="0">
      <selection activeCell="G45" sqref="G45"/>
    </sheetView>
  </sheetViews>
  <sheetFormatPr baseColWidth="10" defaultColWidth="8.83203125" defaultRowHeight="15" x14ac:dyDescent="0.2"/>
  <cols>
    <col min="1" max="1" width="3.5" customWidth="1"/>
    <col min="2" max="7" width="15.5" customWidth="1"/>
  </cols>
  <sheetData>
    <row r="1" spans="2:7" x14ac:dyDescent="0.2">
      <c r="B1" s="199" t="s">
        <v>612</v>
      </c>
      <c r="C1" s="200"/>
      <c r="D1" s="200"/>
      <c r="E1" s="200"/>
      <c r="F1" s="200"/>
      <c r="G1" s="201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>
        <v>42461</v>
      </c>
      <c r="C4" s="23">
        <v>175.29579162597659</v>
      </c>
      <c r="D4" s="31">
        <v>0</v>
      </c>
      <c r="E4" s="32">
        <v>1</v>
      </c>
      <c r="F4" s="33">
        <f>MAX(F3,SPY_Table[[#This Row],[Growth]])</f>
        <v>1</v>
      </c>
      <c r="G4" s="8">
        <f>SPY_Table[[#This Row],[Growth]]/SPY_Table[[#This Row],[High Water Mark]]-1</f>
        <v>0</v>
      </c>
    </row>
    <row r="5" spans="2:7" x14ac:dyDescent="0.2">
      <c r="B5" s="22">
        <v>42491</v>
      </c>
      <c r="C5" s="23">
        <v>178.2778625488281</v>
      </c>
      <c r="D5" s="2">
        <f>SPY_Table[[#This Row],[Price/NAV]]/C4-1</f>
        <v>1.7011651535903782E-2</v>
      </c>
      <c r="E5" s="33">
        <f>E4*(1+SPY_Table[[#This Row],[Monthly Return]])</f>
        <v>1.0170116515359038</v>
      </c>
      <c r="F5" s="33">
        <f>MAX(F4,SPY_Table[[#This Row],[Growth]])</f>
        <v>1.0170116515359038</v>
      </c>
      <c r="G5" s="8">
        <f>SPY_Table[[#This Row],[Growth]]/SPY_Table[[#This Row],[High Water Mark]]-1</f>
        <v>0</v>
      </c>
    </row>
    <row r="6" spans="2:7" x14ac:dyDescent="0.2">
      <c r="B6" s="22">
        <v>42522</v>
      </c>
      <c r="C6" s="23">
        <v>177.97198486328119</v>
      </c>
      <c r="D6" s="2">
        <f>SPY_Table[[#This Row],[Price/NAV]]/C5-1</f>
        <v>-1.7157356565408177E-3</v>
      </c>
      <c r="E6" s="33">
        <f>E5*(1+SPY_Table[[#This Row],[Monthly Return]])</f>
        <v>1.0152667283822461</v>
      </c>
      <c r="F6" s="33">
        <f>MAX(F5,SPY_Table[[#This Row],[Growth]])</f>
        <v>1.0170116515359038</v>
      </c>
      <c r="G6" s="8">
        <f>SPY_Table[[#This Row],[Growth]]/SPY_Table[[#This Row],[High Water Mark]]-1</f>
        <v>-1.7157356565409287E-3</v>
      </c>
    </row>
    <row r="7" spans="2:7" x14ac:dyDescent="0.2">
      <c r="B7" s="22">
        <v>42552</v>
      </c>
      <c r="C7" s="23">
        <v>185.4221496582031</v>
      </c>
      <c r="D7" s="2">
        <f>SPY_Table[[#This Row],[Price/NAV]]/C6-1</f>
        <v>4.1861446904944977E-2</v>
      </c>
      <c r="E7" s="33">
        <f>E6*(1+SPY_Table[[#This Row],[Monthly Return]])</f>
        <v>1.0577672626267767</v>
      </c>
      <c r="F7" s="33">
        <f>MAX(F6,SPY_Table[[#This Row],[Growth]])</f>
        <v>1.0577672626267767</v>
      </c>
      <c r="G7" s="8">
        <f>SPY_Table[[#This Row],[Growth]]/SPY_Table[[#This Row],[High Water Mark]]-1</f>
        <v>0</v>
      </c>
    </row>
    <row r="8" spans="2:7" x14ac:dyDescent="0.2">
      <c r="B8" s="22">
        <v>42583</v>
      </c>
      <c r="C8" s="23">
        <v>185.64421081542969</v>
      </c>
      <c r="D8" s="2">
        <f>SPY_Table[[#This Row],[Price/NAV]]/C7-1</f>
        <v>1.1975977931220072E-3</v>
      </c>
      <c r="E8" s="33">
        <f>E7*(1+SPY_Table[[#This Row],[Monthly Return]])</f>
        <v>1.0590340423661353</v>
      </c>
      <c r="F8" s="33">
        <f>MAX(F7,SPY_Table[[#This Row],[Growth]])</f>
        <v>1.0590340423661353</v>
      </c>
      <c r="G8" s="8">
        <f>SPY_Table[[#This Row],[Growth]]/SPY_Table[[#This Row],[High Water Mark]]-1</f>
        <v>0</v>
      </c>
    </row>
    <row r="9" spans="2:7" x14ac:dyDescent="0.2">
      <c r="B9" s="22">
        <v>42614</v>
      </c>
      <c r="C9" s="23">
        <v>184.72184753417969</v>
      </c>
      <c r="D9" s="2">
        <f>SPY_Table[[#This Row],[Price/NAV]]/C8-1</f>
        <v>-4.9684462402495022E-3</v>
      </c>
      <c r="E9" s="33">
        <f>E8*(1+SPY_Table[[#This Row],[Monthly Return]])</f>
        <v>1.0537722886600451</v>
      </c>
      <c r="F9" s="33">
        <f>MAX(F8,SPY_Table[[#This Row],[Growth]])</f>
        <v>1.0590340423661353</v>
      </c>
      <c r="G9" s="8">
        <f>SPY_Table[[#This Row],[Growth]]/SPY_Table[[#This Row],[High Water Mark]]-1</f>
        <v>-4.9684462402493912E-3</v>
      </c>
    </row>
    <row r="10" spans="2:7" x14ac:dyDescent="0.2">
      <c r="B10" s="22">
        <v>42644</v>
      </c>
      <c r="C10" s="23">
        <v>182.44</v>
      </c>
      <c r="D10" s="2">
        <f>SPY_Table[[#This Row],[Price/NAV]]/C9-1</f>
        <v>-1.2352883888071098E-2</v>
      </c>
      <c r="E10" s="33">
        <f>E9*(1+SPY_Table[[#This Row],[Monthly Return]])</f>
        <v>1.0407551619337607</v>
      </c>
      <c r="F10" s="33">
        <f>MAX(F9,SPY_Table[[#This Row],[Growth]])</f>
        <v>1.0590340423661353</v>
      </c>
      <c r="G10" s="8">
        <f>SPY_Table[[#This Row],[Growth]]/SPY_Table[[#This Row],[High Water Mark]]-1</f>
        <v>-1.7259955488810541E-2</v>
      </c>
    </row>
    <row r="11" spans="2:7" x14ac:dyDescent="0.2">
      <c r="B11" s="22">
        <v>42675</v>
      </c>
      <c r="C11" s="23">
        <v>189.15690612792969</v>
      </c>
      <c r="D11" s="2">
        <f>SPY_Table[[#This Row],[Price/NAV]]/C10-1</f>
        <v>3.6817069326516627E-2</v>
      </c>
      <c r="E11" s="33">
        <f>E10*(1+SPY_Table[[#This Row],[Monthly Return]])</f>
        <v>1.079072716882606</v>
      </c>
      <c r="F11" s="33">
        <f>MAX(F10,SPY_Table[[#This Row],[Growth]])</f>
        <v>1.079072716882606</v>
      </c>
      <c r="G11" s="8">
        <f>SPY_Table[[#This Row],[Growth]]/SPY_Table[[#This Row],[High Water Mark]]-1</f>
        <v>0</v>
      </c>
    </row>
    <row r="12" spans="2:7" x14ac:dyDescent="0.2">
      <c r="B12" s="22">
        <v>42705</v>
      </c>
      <c r="C12" s="23">
        <v>191.86</v>
      </c>
      <c r="D12" s="2">
        <f>SPY_Table[[#This Row],[Price/NAV]]/C11-1</f>
        <v>1.4290220364685968E-2</v>
      </c>
      <c r="E12" s="33">
        <f>E11*(1+SPY_Table[[#This Row],[Monthly Return]])</f>
        <v>1.0944929037963789</v>
      </c>
      <c r="F12" s="33">
        <f>MAX(F11,SPY_Table[[#This Row],[Growth]])</f>
        <v>1.0944929037963789</v>
      </c>
      <c r="G12" s="8">
        <f>SPY_Table[[#This Row],[Growth]]/SPY_Table[[#This Row],[High Water Mark]]-1</f>
        <v>0</v>
      </c>
    </row>
    <row r="13" spans="2:7" x14ac:dyDescent="0.2">
      <c r="B13" s="22">
        <v>42736</v>
      </c>
      <c r="C13" s="23">
        <v>196.44499206542969</v>
      </c>
      <c r="D13" s="2">
        <f>SPY_Table[[#This Row],[Price/NAV]]/C12-1</f>
        <v>2.3897592335190732E-2</v>
      </c>
      <c r="E13" s="33">
        <f>E12*(1+SPY_Table[[#This Row],[Monthly Return]])</f>
        <v>1.1206486490250638</v>
      </c>
      <c r="F13" s="33">
        <f>MAX(F12,SPY_Table[[#This Row],[Growth]])</f>
        <v>1.1206486490250638</v>
      </c>
      <c r="G13" s="8">
        <f>SPY_Table[[#This Row],[Growth]]/SPY_Table[[#This Row],[High Water Mark]]-1</f>
        <v>0</v>
      </c>
    </row>
    <row r="14" spans="2:7" x14ac:dyDescent="0.2">
      <c r="B14" s="22">
        <v>42767</v>
      </c>
      <c r="C14" s="23">
        <v>204.16363525390619</v>
      </c>
      <c r="D14" s="2">
        <f>SPY_Table[[#This Row],[Price/NAV]]/C13-1</f>
        <v>3.9291626156118475E-2</v>
      </c>
      <c r="E14" s="33">
        <f>E13*(1+SPY_Table[[#This Row],[Monthly Return]])</f>
        <v>1.1646807567949158</v>
      </c>
      <c r="F14" s="33">
        <f>MAX(F13,SPY_Table[[#This Row],[Growth]])</f>
        <v>1.1646807567949158</v>
      </c>
      <c r="G14" s="8">
        <f>SPY_Table[[#This Row],[Growth]]/SPY_Table[[#This Row],[High Water Mark]]-1</f>
        <v>0</v>
      </c>
    </row>
    <row r="15" spans="2:7" x14ac:dyDescent="0.2">
      <c r="B15" s="22">
        <v>42795</v>
      </c>
      <c r="C15" s="23">
        <v>203.53334045410159</v>
      </c>
      <c r="D15" s="2">
        <f>SPY_Table[[#This Row],[Price/NAV]]/C14-1</f>
        <v>-3.0872040411150659E-3</v>
      </c>
      <c r="E15" s="33">
        <f>E14*(1+SPY_Table[[#This Row],[Monthly Return]])</f>
        <v>1.1610851496559296</v>
      </c>
      <c r="F15" s="33">
        <f>MAX(F14,SPY_Table[[#This Row],[Growth]])</f>
        <v>1.1646807567949158</v>
      </c>
      <c r="G15" s="8">
        <f>SPY_Table[[#This Row],[Growth]]/SPY_Table[[#This Row],[High Water Mark]]-1</f>
        <v>-3.0872040411150659E-3</v>
      </c>
    </row>
    <row r="16" spans="2:7" x14ac:dyDescent="0.2">
      <c r="B16" s="22">
        <v>42826</v>
      </c>
      <c r="C16" s="23">
        <v>206.44792175292969</v>
      </c>
      <c r="D16" s="2">
        <f>SPY_Table[[#This Row],[Price/NAV]]/C15-1</f>
        <v>1.4319920718273371E-2</v>
      </c>
      <c r="E16" s="33">
        <f>E15*(1+SPY_Table[[#This Row],[Monthly Return]])</f>
        <v>1.177711796946167</v>
      </c>
      <c r="F16" s="33">
        <f>MAX(F15,SPY_Table[[#This Row],[Growth]])</f>
        <v>1.177711796946167</v>
      </c>
      <c r="G16" s="8">
        <f>SPY_Table[[#This Row],[Growth]]/SPY_Table[[#This Row],[High Water Mark]]-1</f>
        <v>0</v>
      </c>
    </row>
    <row r="17" spans="2:7" x14ac:dyDescent="0.2">
      <c r="B17" s="22">
        <v>42856</v>
      </c>
      <c r="C17" s="23">
        <v>209.36146545410159</v>
      </c>
      <c r="D17" s="2">
        <f>SPY_Table[[#This Row],[Price/NAV]]/C16-1</f>
        <v>1.4112729624174758E-2</v>
      </c>
      <c r="E17" s="33">
        <f>E16*(1+SPY_Table[[#This Row],[Monthly Return]])</f>
        <v>1.1943325251116692</v>
      </c>
      <c r="F17" s="33">
        <f>MAX(F16,SPY_Table[[#This Row],[Growth]])</f>
        <v>1.1943325251116692</v>
      </c>
      <c r="G17" s="8">
        <f>SPY_Table[[#This Row],[Growth]]/SPY_Table[[#This Row],[High Water Mark]]-1</f>
        <v>0</v>
      </c>
    </row>
    <row r="18" spans="2:7" x14ac:dyDescent="0.2">
      <c r="B18" s="22">
        <v>42887</v>
      </c>
      <c r="C18" s="23">
        <v>209.67366027832031</v>
      </c>
      <c r="D18" s="2">
        <f>SPY_Table[[#This Row],[Price/NAV]]/C17-1</f>
        <v>1.4911761509768251E-3</v>
      </c>
      <c r="E18" s="33">
        <f>E17*(1+SPY_Table[[#This Row],[Monthly Return]])</f>
        <v>1.1961134852894517</v>
      </c>
      <c r="F18" s="33">
        <f>MAX(F17,SPY_Table[[#This Row],[Growth]])</f>
        <v>1.1961134852894517</v>
      </c>
      <c r="G18" s="8">
        <f>SPY_Table[[#This Row],[Growth]]/SPY_Table[[#This Row],[High Water Mark]]-1</f>
        <v>0</v>
      </c>
    </row>
    <row r="19" spans="2:7" x14ac:dyDescent="0.2">
      <c r="B19" s="22">
        <v>42917</v>
      </c>
      <c r="C19" s="23">
        <v>215.02684020996091</v>
      </c>
      <c r="D19" s="2">
        <f>SPY_Table[[#This Row],[Price/NAV]]/C18-1</f>
        <v>2.5531008160656787E-2</v>
      </c>
      <c r="E19" s="33">
        <f>E18*(1+SPY_Table[[#This Row],[Monthly Return]])</f>
        <v>1.2266514684434484</v>
      </c>
      <c r="F19" s="33">
        <f>MAX(F18,SPY_Table[[#This Row],[Growth]])</f>
        <v>1.2266514684434484</v>
      </c>
      <c r="G19" s="8">
        <f>SPY_Table[[#This Row],[Growth]]/SPY_Table[[#This Row],[High Water Mark]]-1</f>
        <v>0</v>
      </c>
    </row>
    <row r="20" spans="2:7" x14ac:dyDescent="0.2">
      <c r="B20" s="22">
        <v>42948</v>
      </c>
      <c r="C20" s="23">
        <v>215.65423583984369</v>
      </c>
      <c r="D20" s="2">
        <f>SPY_Table[[#This Row],[Price/NAV]]/C19-1</f>
        <v>2.9177549615209131E-3</v>
      </c>
      <c r="E20" s="33">
        <f>E19*(1+SPY_Table[[#This Row],[Monthly Return]])</f>
        <v>1.2302305368515563</v>
      </c>
      <c r="F20" s="33">
        <f>MAX(F19,SPY_Table[[#This Row],[Growth]])</f>
        <v>1.2302305368515563</v>
      </c>
      <c r="G20" s="8">
        <f>SPY_Table[[#This Row],[Growth]]/SPY_Table[[#This Row],[High Water Mark]]-1</f>
        <v>0</v>
      </c>
    </row>
    <row r="21" spans="2:7" x14ac:dyDescent="0.2">
      <c r="B21" s="22">
        <v>42979</v>
      </c>
      <c r="C21" s="23">
        <v>218.91316223144531</v>
      </c>
      <c r="D21" s="2">
        <f>SPY_Table[[#This Row],[Price/NAV]]/C20-1</f>
        <v>1.5111812568438854E-2</v>
      </c>
      <c r="E21" s="33">
        <f>E20*(1+SPY_Table[[#This Row],[Monthly Return]])</f>
        <v>1.248821550140427</v>
      </c>
      <c r="F21" s="33">
        <f>MAX(F20,SPY_Table[[#This Row],[Growth]])</f>
        <v>1.248821550140427</v>
      </c>
      <c r="G21" s="8">
        <f>SPY_Table[[#This Row],[Growth]]/SPY_Table[[#This Row],[High Water Mark]]-1</f>
        <v>0</v>
      </c>
    </row>
    <row r="22" spans="2:7" x14ac:dyDescent="0.2">
      <c r="B22" s="22">
        <v>43009</v>
      </c>
      <c r="C22" s="23">
        <v>225.18360900878901</v>
      </c>
      <c r="D22" s="2">
        <f>SPY_Table[[#This Row],[Price/NAV]]/C21-1</f>
        <v>2.8643534785333102E-2</v>
      </c>
      <c r="E22" s="33">
        <f>E21*(1+SPY_Table[[#This Row],[Monthly Return]])</f>
        <v>1.2845922136525478</v>
      </c>
      <c r="F22" s="33">
        <f>MAX(F21,SPY_Table[[#This Row],[Growth]])</f>
        <v>1.2845922136525478</v>
      </c>
      <c r="G22" s="8">
        <f>SPY_Table[[#This Row],[Growth]]/SPY_Table[[#This Row],[High Water Mark]]-1</f>
        <v>0</v>
      </c>
    </row>
    <row r="23" spans="2:7" x14ac:dyDescent="0.2">
      <c r="B23" s="22">
        <v>43040</v>
      </c>
      <c r="C23" s="23">
        <v>232.06651306152341</v>
      </c>
      <c r="D23" s="2">
        <f>SPY_Table[[#This Row],[Price/NAV]]/C22-1</f>
        <v>3.0565741809679192E-2</v>
      </c>
      <c r="E23" s="33">
        <f>E22*(1+SPY_Table[[#This Row],[Monthly Return]])</f>
        <v>1.3238567275857758</v>
      </c>
      <c r="F23" s="33">
        <f>MAX(F22,SPY_Table[[#This Row],[Growth]])</f>
        <v>1.3238567275857758</v>
      </c>
      <c r="G23" s="8">
        <f>SPY_Table[[#This Row],[Growth]]/SPY_Table[[#This Row],[High Water Mark]]-1</f>
        <v>0</v>
      </c>
    </row>
    <row r="24" spans="2:7" x14ac:dyDescent="0.2">
      <c r="B24" s="22">
        <v>43070</v>
      </c>
      <c r="C24" s="23">
        <v>233.68658447265619</v>
      </c>
      <c r="D24" s="2">
        <f>SPY_Table[[#This Row],[Price/NAV]]/C23-1</f>
        <v>6.9810649962378513E-3</v>
      </c>
      <c r="E24" s="33">
        <f>E23*(1+SPY_Table[[#This Row],[Monthly Return]])</f>
        <v>1.3330986574467589</v>
      </c>
      <c r="F24" s="33">
        <f>MAX(F23,SPY_Table[[#This Row],[Growth]])</f>
        <v>1.3330986574467589</v>
      </c>
      <c r="G24" s="8">
        <f>SPY_Table[[#This Row],[Growth]]/SPY_Table[[#This Row],[High Water Mark]]-1</f>
        <v>0</v>
      </c>
    </row>
    <row r="25" spans="2:7" x14ac:dyDescent="0.2">
      <c r="B25" s="22">
        <v>43101</v>
      </c>
      <c r="C25" s="23">
        <v>248.11875915527341</v>
      </c>
      <c r="D25" s="2">
        <f>SPY_Table[[#This Row],[Price/NAV]]/C24-1</f>
        <v>6.1758678681471002E-2</v>
      </c>
      <c r="E25" s="33">
        <f>E24*(1+SPY_Table[[#This Row],[Monthly Return]])</f>
        <v>1.4154290690827136</v>
      </c>
      <c r="F25" s="33">
        <f>MAX(F24,SPY_Table[[#This Row],[Growth]])</f>
        <v>1.4154290690827136</v>
      </c>
      <c r="G25" s="8">
        <f>SPY_Table[[#This Row],[Growth]]/SPY_Table[[#This Row],[High Water Mark]]-1</f>
        <v>0</v>
      </c>
    </row>
    <row r="26" spans="2:7" x14ac:dyDescent="0.2">
      <c r="B26" s="22">
        <v>43132</v>
      </c>
      <c r="C26" s="23">
        <v>239.09703063964841</v>
      </c>
      <c r="D26" s="2">
        <f>SPY_Table[[#This Row],[Price/NAV]]/C25-1</f>
        <v>-3.6360525686730427E-2</v>
      </c>
      <c r="E26" s="33">
        <f>E25*(1+SPY_Table[[#This Row],[Monthly Return]])</f>
        <v>1.3639633240585867</v>
      </c>
      <c r="F26" s="33">
        <f>MAX(F25,SPY_Table[[#This Row],[Growth]])</f>
        <v>1.4154290690827136</v>
      </c>
      <c r="G26" s="8">
        <f>SPY_Table[[#This Row],[Growth]]/SPY_Table[[#This Row],[High Water Mark]]-1</f>
        <v>-3.6360525686730427E-2</v>
      </c>
    </row>
    <row r="27" spans="2:7" x14ac:dyDescent="0.2">
      <c r="B27" s="22">
        <v>43160</v>
      </c>
      <c r="C27" s="23">
        <v>231.61561584472659</v>
      </c>
      <c r="D27" s="2">
        <f>SPY_Table[[#This Row],[Price/NAV]]/C26-1</f>
        <v>-3.1290287357007451E-2</v>
      </c>
      <c r="E27" s="33">
        <f>E26*(1+SPY_Table[[#This Row],[Monthly Return]])</f>
        <v>1.3212845197043743</v>
      </c>
      <c r="F27" s="33">
        <f>MAX(F26,SPY_Table[[#This Row],[Growth]])</f>
        <v>1.4154290690827136</v>
      </c>
      <c r="G27" s="8">
        <f>SPY_Table[[#This Row],[Growth]]/SPY_Table[[#This Row],[High Water Mark]]-1</f>
        <v>-6.6513081746548242E-2</v>
      </c>
    </row>
    <row r="28" spans="2:7" x14ac:dyDescent="0.2">
      <c r="B28" s="22">
        <v>43191</v>
      </c>
      <c r="C28" s="23">
        <v>233.75</v>
      </c>
      <c r="D28" s="2">
        <f>SPY_Table[[#This Row],[Price/NAV]]/C27-1</f>
        <v>9.2151997070193392E-3</v>
      </c>
      <c r="E28" s="33">
        <f>E27*(1+SPY_Table[[#This Row],[Monthly Return]])</f>
        <v>1.3334604204232432</v>
      </c>
      <c r="F28" s="33">
        <f>MAX(F27,SPY_Table[[#This Row],[Growth]])</f>
        <v>1.4154290690827136</v>
      </c>
      <c r="G28" s="8">
        <f>SPY_Table[[#This Row],[Growth]]/SPY_Table[[#This Row],[High Water Mark]]-1</f>
        <v>-5.7910813370952718E-2</v>
      </c>
    </row>
    <row r="29" spans="2:7" x14ac:dyDescent="0.2">
      <c r="B29" s="22">
        <v>43221</v>
      </c>
      <c r="C29" s="23">
        <v>239.42723083496091</v>
      </c>
      <c r="D29" s="2">
        <f>SPY_Table[[#This Row],[Price/NAV]]/C28-1</f>
        <v>2.4287618545287382E-2</v>
      </c>
      <c r="E29" s="33">
        <f>E28*(1+SPY_Table[[#This Row],[Monthly Return]])</f>
        <v>1.3658469984597215</v>
      </c>
      <c r="F29" s="33">
        <f>MAX(F28,SPY_Table[[#This Row],[Growth]])</f>
        <v>1.4154290690827136</v>
      </c>
      <c r="G29" s="8">
        <f>SPY_Table[[#This Row],[Growth]]/SPY_Table[[#This Row],[High Water Mark]]-1</f>
        <v>-3.5029710570466444E-2</v>
      </c>
    </row>
    <row r="30" spans="2:7" x14ac:dyDescent="0.2">
      <c r="B30" s="22">
        <v>43252</v>
      </c>
      <c r="C30" s="23">
        <v>239.7276611328125</v>
      </c>
      <c r="D30" s="2">
        <f>SPY_Table[[#This Row],[Price/NAV]]/C29-1</f>
        <v>1.2547875060153757E-3</v>
      </c>
      <c r="E30" s="33">
        <f>E29*(1+SPY_Table[[#This Row],[Monthly Return]])</f>
        <v>1.3675608462085174</v>
      </c>
      <c r="F30" s="33">
        <f>MAX(F29,SPY_Table[[#This Row],[Growth]])</f>
        <v>1.4154290690827136</v>
      </c>
      <c r="G30" s="8">
        <f>SPY_Table[[#This Row],[Growth]]/SPY_Table[[#This Row],[High Water Mark]]-1</f>
        <v>-3.3818877907614175E-2</v>
      </c>
    </row>
    <row r="31" spans="2:7" x14ac:dyDescent="0.2">
      <c r="B31" s="22">
        <v>43282</v>
      </c>
      <c r="C31" s="23">
        <v>249.72511291503901</v>
      </c>
      <c r="D31" s="2">
        <f>SPY_Table[[#This Row],[Price/NAV]]/C30-1</f>
        <v>4.1703371796914857E-2</v>
      </c>
      <c r="E31" s="33">
        <f>E30*(1+SPY_Table[[#This Row],[Monthly Return]])</f>
        <v>1.4245927446328546</v>
      </c>
      <c r="F31" s="33">
        <f>MAX(F30,SPY_Table[[#This Row],[Growth]])</f>
        <v>1.4245927446328546</v>
      </c>
      <c r="G31" s="8">
        <f>SPY_Table[[#This Row],[Growth]]/SPY_Table[[#This Row],[High Water Mark]]-1</f>
        <v>0</v>
      </c>
    </row>
    <row r="32" spans="2:7" x14ac:dyDescent="0.2">
      <c r="B32" s="22">
        <v>43313</v>
      </c>
      <c r="C32" s="23">
        <v>257.69625854492188</v>
      </c>
      <c r="D32" s="2">
        <f>SPY_Table[[#This Row],[Price/NAV]]/C31-1</f>
        <v>3.1919679750409324E-2</v>
      </c>
      <c r="E32" s="33">
        <f>E31*(1+SPY_Table[[#This Row],[Monthly Return]])</f>
        <v>1.4700652888162919</v>
      </c>
      <c r="F32" s="33">
        <f>MAX(F31,SPY_Table[[#This Row],[Growth]])</f>
        <v>1.4700652888162919</v>
      </c>
      <c r="G32" s="8">
        <f>SPY_Table[[#This Row],[Growth]]/SPY_Table[[#This Row],[High Water Mark]]-1</f>
        <v>0</v>
      </c>
    </row>
    <row r="33" spans="2:7" x14ac:dyDescent="0.2">
      <c r="B33" s="22">
        <v>43344</v>
      </c>
      <c r="C33" s="23">
        <v>258.06</v>
      </c>
      <c r="D33" s="2">
        <f>SPY_Table[[#This Row],[Price/NAV]]/C32-1</f>
        <v>1.4115123639435456E-3</v>
      </c>
      <c r="E33" s="33">
        <f>E32*(1+SPY_Table[[#This Row],[Monthly Return]])</f>
        <v>1.4721403041472605</v>
      </c>
      <c r="F33" s="33">
        <f>MAX(F32,SPY_Table[[#This Row],[Growth]])</f>
        <v>1.4721403041472605</v>
      </c>
      <c r="G33" s="8">
        <f>SPY_Table[[#This Row],[Growth]]/SPY_Table[[#This Row],[High Water Mark]]-1</f>
        <v>0</v>
      </c>
    </row>
    <row r="34" spans="2:7" x14ac:dyDescent="0.2">
      <c r="B34" s="22">
        <v>43374</v>
      </c>
      <c r="C34" s="23">
        <v>241.31460571289071</v>
      </c>
      <c r="D34" s="2">
        <f>SPY_Table[[#This Row],[Price/NAV]]/C33-1</f>
        <v>-6.4889538429470983E-2</v>
      </c>
      <c r="E34" s="33">
        <f>E33*(1+SPY_Table[[#This Row],[Monthly Return]])</f>
        <v>1.3766137993077237</v>
      </c>
      <c r="F34" s="33">
        <f>MAX(F33,SPY_Table[[#This Row],[Growth]])</f>
        <v>1.4721403041472605</v>
      </c>
      <c r="G34" s="8">
        <f>SPY_Table[[#This Row],[Growth]]/SPY_Table[[#This Row],[High Water Mark]]-1</f>
        <v>-6.4889538429470983E-2</v>
      </c>
    </row>
    <row r="35" spans="2:7" x14ac:dyDescent="0.2">
      <c r="B35" s="22">
        <v>43405</v>
      </c>
      <c r="C35" s="23">
        <v>245.79081726074219</v>
      </c>
      <c r="D35" s="2">
        <f>SPY_Table[[#This Row],[Price/NAV]]/C34-1</f>
        <v>1.8549277341203041E-2</v>
      </c>
      <c r="E35" s="33">
        <f>E34*(1+SPY_Table[[#This Row],[Monthly Return]])</f>
        <v>1.4021489904628099</v>
      </c>
      <c r="F35" s="33">
        <f>MAX(F34,SPY_Table[[#This Row],[Growth]])</f>
        <v>1.4721403041472605</v>
      </c>
      <c r="G35" s="8">
        <f>SPY_Table[[#This Row],[Growth]]/SPY_Table[[#This Row],[High Water Mark]]-1</f>
        <v>-4.7543915133138825E-2</v>
      </c>
    </row>
    <row r="36" spans="2:7" x14ac:dyDescent="0.2">
      <c r="B36" s="22">
        <v>43435</v>
      </c>
      <c r="C36" s="23">
        <v>222.84799194335929</v>
      </c>
      <c r="D36" s="2">
        <f>SPY_Table[[#This Row],[Price/NAV]]/C35-1</f>
        <v>-9.3342890401981404E-2</v>
      </c>
      <c r="E36" s="33">
        <f>E35*(1+SPY_Table[[#This Row],[Monthly Return]])</f>
        <v>1.271268350918791</v>
      </c>
      <c r="F36" s="33">
        <f>MAX(F35,SPY_Table[[#This Row],[Growth]])</f>
        <v>1.4721403041472605</v>
      </c>
      <c r="G36" s="8">
        <f>SPY_Table[[#This Row],[Growth]]/SPY_Table[[#This Row],[High Water Mark]]-1</f>
        <v>-0.13644891907556655</v>
      </c>
    </row>
    <row r="37" spans="2:7" x14ac:dyDescent="0.2">
      <c r="B37" s="22">
        <v>43466</v>
      </c>
      <c r="C37" s="23">
        <v>242.09602355957031</v>
      </c>
      <c r="D37" s="2">
        <f>SPY_Table[[#This Row],[Price/NAV]]/C36-1</f>
        <v>8.637291926374302E-2</v>
      </c>
      <c r="E37" s="33">
        <f>E36*(1+SPY_Table[[#This Row],[Monthly Return]])</f>
        <v>1.3810715095552515</v>
      </c>
      <c r="F37" s="33">
        <f>MAX(F36,SPY_Table[[#This Row],[Growth]])</f>
        <v>1.4721403041472605</v>
      </c>
      <c r="G37" s="8">
        <f>SPY_Table[[#This Row],[Growth]]/SPY_Table[[#This Row],[High Water Mark]]-1</f>
        <v>-6.1861491282762415E-2</v>
      </c>
    </row>
    <row r="38" spans="2:7" x14ac:dyDescent="0.2">
      <c r="B38" s="22">
        <v>43497</v>
      </c>
      <c r="C38" s="23">
        <v>249.9437255859375</v>
      </c>
      <c r="D38" s="2">
        <f>SPY_Table[[#This Row],[Price/NAV]]/C37-1</f>
        <v>3.2415658510128953E-2</v>
      </c>
      <c r="E38" s="33">
        <f>E37*(1+SPY_Table[[#This Row],[Monthly Return]])</f>
        <v>1.4258398519870628</v>
      </c>
      <c r="F38" s="33">
        <f>MAX(F37,SPY_Table[[#This Row],[Growth]])</f>
        <v>1.4721403041472605</v>
      </c>
      <c r="G38" s="8">
        <f>SPY_Table[[#This Row],[Growth]]/SPY_Table[[#This Row],[High Water Mark]]-1</f>
        <v>-3.1451113748982906E-2</v>
      </c>
    </row>
    <row r="39" spans="2:7" x14ac:dyDescent="0.2">
      <c r="B39" s="22">
        <v>43525</v>
      </c>
      <c r="C39" s="23">
        <v>253.35191345214841</v>
      </c>
      <c r="D39" s="2">
        <f>SPY_Table[[#This Row],[Price/NAV]]/C38-1</f>
        <v>1.3635820856159331E-2</v>
      </c>
      <c r="E39" s="33">
        <f>E38*(1+SPY_Table[[#This Row],[Monthly Return]])</f>
        <v>1.4452823487783311</v>
      </c>
      <c r="F39" s="33">
        <f>MAX(F38,SPY_Table[[#This Row],[Growth]])</f>
        <v>1.4721403041472605</v>
      </c>
      <c r="G39" s="8">
        <f>SPY_Table[[#This Row],[Growth]]/SPY_Table[[#This Row],[High Water Mark]]-1</f>
        <v>-1.8244154645631339E-2</v>
      </c>
    </row>
    <row r="40" spans="2:7" x14ac:dyDescent="0.2">
      <c r="B40" s="22">
        <v>43556</v>
      </c>
      <c r="C40" s="23">
        <v>264.86361694335938</v>
      </c>
      <c r="D40" s="2">
        <f>SPY_Table[[#This Row],[Price/NAV]]/C39-1</f>
        <v>4.5437602323004533E-2</v>
      </c>
      <c r="E40" s="33">
        <f>E39*(1+SPY_Table[[#This Row],[Monthly Return]])</f>
        <v>1.5109525133865789</v>
      </c>
      <c r="F40" s="33">
        <f>MAX(F39,SPY_Table[[#This Row],[Growth]])</f>
        <v>1.5109525133865789</v>
      </c>
      <c r="G40" s="8">
        <f>SPY_Table[[#This Row],[Growth]]/SPY_Table[[#This Row],[High Water Mark]]-1</f>
        <v>0</v>
      </c>
    </row>
    <row r="41" spans="2:7" x14ac:dyDescent="0.2">
      <c r="B41" s="22">
        <v>43586</v>
      </c>
      <c r="C41" s="23">
        <v>247.97282409667969</v>
      </c>
      <c r="D41" s="2">
        <f>SPY_Table[[#This Row],[Price/NAV]]/C40-1</f>
        <v>-6.377166121042499E-2</v>
      </c>
      <c r="E41" s="33">
        <f>E40*(1+SPY_Table[[#This Row],[Monthly Return]])</f>
        <v>1.4145965615978497</v>
      </c>
      <c r="F41" s="33">
        <f>MAX(F40,SPY_Table[[#This Row],[Growth]])</f>
        <v>1.5109525133865789</v>
      </c>
      <c r="G41" s="8">
        <f>SPY_Table[[#This Row],[Growth]]/SPY_Table[[#This Row],[High Water Mark]]-1</f>
        <v>-6.3771661210425101E-2</v>
      </c>
    </row>
    <row r="42" spans="2:7" x14ac:dyDescent="0.2">
      <c r="B42" s="22">
        <v>43617</v>
      </c>
      <c r="C42" s="23">
        <v>263.94461059570312</v>
      </c>
      <c r="D42" s="2">
        <f>SPY_Table[[#This Row],[Price/NAV]]/C41-1</f>
        <v>6.4409422916425596E-2</v>
      </c>
      <c r="E42" s="33">
        <f>E41*(1+SPY_Table[[#This Row],[Monthly Return]])</f>
        <v>1.5057099097899271</v>
      </c>
      <c r="F42" s="33">
        <f>MAX(F41,SPY_Table[[#This Row],[Growth]])</f>
        <v>1.5109525133865789</v>
      </c>
      <c r="G42" s="8">
        <f>SPY_Table[[#This Row],[Growth]]/SPY_Table[[#This Row],[High Water Mark]]-1</f>
        <v>-3.4697341909847301E-3</v>
      </c>
    </row>
    <row r="43" spans="2:7" x14ac:dyDescent="0.2">
      <c r="B43" s="22">
        <v>43647</v>
      </c>
      <c r="C43" s="23">
        <v>269.23858642578119</v>
      </c>
      <c r="D43" s="2">
        <f>SPY_Table[[#This Row],[Price/NAV]]/C42-1</f>
        <v>2.0057146907186185E-2</v>
      </c>
      <c r="E43" s="33">
        <f>E42*(1+SPY_Table[[#This Row],[Monthly Return]])</f>
        <v>1.5359101546501899</v>
      </c>
      <c r="F43" s="33">
        <f>MAX(F42,SPY_Table[[#This Row],[Growth]])</f>
        <v>1.5359101546501899</v>
      </c>
      <c r="G43" s="8">
        <f>SPY_Table[[#This Row],[Growth]]/SPY_Table[[#This Row],[High Water Mark]]-1</f>
        <v>0</v>
      </c>
    </row>
    <row r="44" spans="2:7" x14ac:dyDescent="0.2">
      <c r="B44" s="22">
        <v>43678</v>
      </c>
      <c r="C44" s="23">
        <v>264.73</v>
      </c>
      <c r="D44" s="2">
        <f>SPY_Table[[#This Row],[Price/NAV]]/C43-1</f>
        <v>-1.6745691936783436E-2</v>
      </c>
      <c r="E44" s="33">
        <f>E43*(1+SPY_Table[[#This Row],[Monthly Return]])</f>
        <v>1.5101902763578403</v>
      </c>
      <c r="F44" s="33">
        <f>MAX(F43,SPY_Table[[#This Row],[Growth]])</f>
        <v>1.5359101546501899</v>
      </c>
      <c r="G44" s="8">
        <f>SPY_Table[[#This Row],[Growth]]/SPY_Table[[#This Row],[High Water Mark]]-1</f>
        <v>-1.6745691936783436E-2</v>
      </c>
    </row>
    <row r="45" spans="2:7" x14ac:dyDescent="0.2">
      <c r="B45" s="22">
        <v>43709</v>
      </c>
      <c r="C45" s="23">
        <v>268.64108276367188</v>
      </c>
      <c r="D45" s="2">
        <f>SPY_Table[[#This Row],[Price/NAV]]/C44-1</f>
        <v>1.4773855489260246E-2</v>
      </c>
      <c r="E45" s="33">
        <f>E44*(1+SPY_Table[[#This Row],[Monthly Return]])</f>
        <v>1.5325016092620369</v>
      </c>
      <c r="F45" s="33">
        <f>MAX(F44,SPY_Table[[#This Row],[Growth]])</f>
        <v>1.5359101546501899</v>
      </c>
      <c r="G45" s="8">
        <f>SPY_Table[[#This Row],[Growth]]/SPY_Table[[#This Row],[High Water Mark]]-1</f>
        <v>-2.2192348802649864E-3</v>
      </c>
    </row>
    <row r="46" spans="2:7" x14ac:dyDescent="0.2">
      <c r="B46" s="22">
        <v>43739</v>
      </c>
      <c r="C46" s="23">
        <v>275.84725952148438</v>
      </c>
      <c r="D46" s="2">
        <f>SPY_Table[[#This Row],[Price/NAV]]/C45-1</f>
        <v>2.6824552237797228E-2</v>
      </c>
      <c r="E46" s="33">
        <f>E45*(1+SPY_Table[[#This Row],[Monthly Return]])</f>
        <v>1.5736102787341948</v>
      </c>
      <c r="F46" s="33">
        <f>MAX(F45,SPY_Table[[#This Row],[Growth]])</f>
        <v>1.5736102787341948</v>
      </c>
      <c r="G46" s="8">
        <f>SPY_Table[[#This Row],[Growth]]/SPY_Table[[#This Row],[High Water Mark]]-1</f>
        <v>0</v>
      </c>
    </row>
    <row r="47" spans="2:7" x14ac:dyDescent="0.2">
      <c r="B47" s="22">
        <v>43770</v>
      </c>
      <c r="C47" s="23">
        <v>285.83248901367188</v>
      </c>
      <c r="D47" s="2">
        <f>SPY_Table[[#This Row],[Price/NAV]]/C46-1</f>
        <v>3.6198400192588354E-2</v>
      </c>
      <c r="E47" s="33">
        <f>E46*(1+SPY_Table[[#This Row],[Monthly Return]])</f>
        <v>1.6305724533509858</v>
      </c>
      <c r="F47" s="33">
        <f>MAX(F46,SPY_Table[[#This Row],[Growth]])</f>
        <v>1.6305724533509858</v>
      </c>
      <c r="G47" s="8">
        <f>SPY_Table[[#This Row],[Growth]]/SPY_Table[[#This Row],[High Water Mark]]-1</f>
        <v>0</v>
      </c>
    </row>
    <row r="48" spans="2:7" x14ac:dyDescent="0.2">
      <c r="B48" s="22">
        <v>43800</v>
      </c>
      <c r="C48" s="23">
        <v>292.6983642578125</v>
      </c>
      <c r="D48" s="2">
        <f>SPY_Table[[#This Row],[Price/NAV]]/C47-1</f>
        <v>2.4020625744235247E-2</v>
      </c>
      <c r="E48" s="33">
        <f>E47*(1+SPY_Table[[#This Row],[Monthly Return]])</f>
        <v>1.6697398240017893</v>
      </c>
      <c r="F48" s="33">
        <f>MAX(F47,SPY_Table[[#This Row],[Growth]])</f>
        <v>1.6697398240017893</v>
      </c>
      <c r="G48" s="8">
        <f>SPY_Table[[#This Row],[Growth]]/SPY_Table[[#This Row],[High Water Mark]]-1</f>
        <v>0</v>
      </c>
    </row>
    <row r="49" spans="2:7" x14ac:dyDescent="0.2">
      <c r="B49" s="22">
        <v>43831</v>
      </c>
      <c r="C49" s="23">
        <v>294.01864624023438</v>
      </c>
      <c r="D49" s="2">
        <f>SPY_Table[[#This Row],[Price/NAV]]/C48-1</f>
        <v>4.510725523764636E-3</v>
      </c>
      <c r="E49" s="33">
        <f>E48*(1+SPY_Table[[#This Row],[Monthly Return]])</f>
        <v>1.6772715620439604</v>
      </c>
      <c r="F49" s="33">
        <f>MAX(F48,SPY_Table[[#This Row],[Growth]])</f>
        <v>1.6772715620439604</v>
      </c>
      <c r="G49" s="8">
        <f>SPY_Table[[#This Row],[Growth]]/SPY_Table[[#This Row],[High Water Mark]]-1</f>
        <v>0</v>
      </c>
    </row>
    <row r="50" spans="2:7" x14ac:dyDescent="0.2">
      <c r="B50" s="22">
        <v>43862</v>
      </c>
      <c r="C50" s="23">
        <v>270.74246215820312</v>
      </c>
      <c r="D50" s="2">
        <f>SPY_Table[[#This Row],[Price/NAV]]/C49-1</f>
        <v>-7.9165673264861347E-2</v>
      </c>
      <c r="E50" s="33">
        <f>E49*(1+SPY_Table[[#This Row],[Monthly Return]])</f>
        <v>1.5444892295867447</v>
      </c>
      <c r="F50" s="33">
        <f>MAX(F49,SPY_Table[[#This Row],[Growth]])</f>
        <v>1.6772715620439604</v>
      </c>
      <c r="G50" s="8">
        <f>SPY_Table[[#This Row],[Growth]]/SPY_Table[[#This Row],[High Water Mark]]-1</f>
        <v>-7.9165673264861347E-2</v>
      </c>
    </row>
    <row r="51" spans="2:7" x14ac:dyDescent="0.2">
      <c r="B51" s="22">
        <v>43891</v>
      </c>
      <c r="C51" s="23">
        <v>235.54936218261719</v>
      </c>
      <c r="D51" s="2">
        <f>SPY_Table[[#This Row],[Price/NAV]]/C50-1</f>
        <v>-0.12998736768162189</v>
      </c>
      <c r="E51" s="33">
        <f>E50*(1+SPY_Table[[#This Row],[Monthly Return]])</f>
        <v>1.3437251402201476</v>
      </c>
      <c r="F51" s="33">
        <f>MAX(F50,SPY_Table[[#This Row],[Growth]])</f>
        <v>1.6772715620439604</v>
      </c>
      <c r="G51" s="8">
        <f>SPY_Table[[#This Row],[Growth]]/SPY_Table[[#This Row],[High Water Mark]]-1</f>
        <v>-0.19886250346804057</v>
      </c>
    </row>
    <row r="52" spans="2:7" x14ac:dyDescent="0.2">
      <c r="B52" s="22">
        <v>43922</v>
      </c>
      <c r="C52" s="23">
        <v>267.02</v>
      </c>
      <c r="D52" s="2">
        <f>SPY_Table[[#This Row],[Price/NAV]]/C51-1</f>
        <v>0.13360527715198889</v>
      </c>
      <c r="E52" s="33">
        <f>E51*(1+SPY_Table[[#This Row],[Monthly Return]])</f>
        <v>1.5232539099953555</v>
      </c>
      <c r="F52" s="33">
        <f>MAX(F51,SPY_Table[[#This Row],[Growth]])</f>
        <v>1.6772715620439604</v>
      </c>
      <c r="G52" s="8">
        <f>SPY_Table[[#This Row],[Growth]]/SPY_Table[[#This Row],[High Water Mark]]-1</f>
        <v>-9.1826306207037578E-2</v>
      </c>
    </row>
    <row r="53" spans="2:7" x14ac:dyDescent="0.2">
      <c r="B53" s="22">
        <v>43952</v>
      </c>
      <c r="C53" s="23">
        <v>279.74349975585938</v>
      </c>
      <c r="D53" s="2">
        <f>SPY_Table[[#This Row],[Price/NAV]]/C52-1</f>
        <v>4.764998785057073E-2</v>
      </c>
      <c r="E53" s="33">
        <f>E52*(1+SPY_Table[[#This Row],[Monthly Return]])</f>
        <v>1.5958369402999686</v>
      </c>
      <c r="F53" s="33">
        <f>MAX(F52,SPY_Table[[#This Row],[Growth]])</f>
        <v>1.6772715620439604</v>
      </c>
      <c r="G53" s="8">
        <f>SPY_Table[[#This Row],[Growth]]/SPY_Table[[#This Row],[High Water Mark]]-1</f>
        <v>-4.8551840731594909E-2</v>
      </c>
    </row>
    <row r="54" spans="2:7" x14ac:dyDescent="0.2">
      <c r="B54" s="22">
        <v>43983</v>
      </c>
      <c r="C54" s="23">
        <v>283.45999999999998</v>
      </c>
      <c r="D54" s="2">
        <f>SPY_Table[[#This Row],[Price/NAV]]/C53-1</f>
        <v>1.3285385531331739E-2</v>
      </c>
      <c r="E54" s="33">
        <f>E53*(1+SPY_Table[[#This Row],[Monthly Return]])</f>
        <v>1.6170382492969946</v>
      </c>
      <c r="F54" s="33">
        <f>MAX(F53,SPY_Table[[#This Row],[Growth]])</f>
        <v>1.6772715620439604</v>
      </c>
      <c r="G54" s="8">
        <f>SPY_Table[[#This Row],[Growth]]/SPY_Table[[#This Row],[High Water Mark]]-1</f>
        <v>-3.5911485122638198E-2</v>
      </c>
    </row>
    <row r="55" spans="2:7" x14ac:dyDescent="0.2">
      <c r="B55" s="22">
        <v>44013</v>
      </c>
      <c r="C55" s="23">
        <v>301.47152709960938</v>
      </c>
      <c r="D55" s="2">
        <f>SPY_Table[[#This Row],[Price/NAV]]/C54-1</f>
        <v>6.3541688773052218E-2</v>
      </c>
      <c r="E55" s="33">
        <f>E54*(1+SPY_Table[[#This Row],[Monthly Return]])</f>
        <v>1.7197875904679454</v>
      </c>
      <c r="F55" s="33">
        <f>MAX(F54,SPY_Table[[#This Row],[Growth]])</f>
        <v>1.7197875904679454</v>
      </c>
      <c r="G55" s="8">
        <f>SPY_Table[[#This Row],[Growth]]/SPY_Table[[#This Row],[High Water Mark]]-1</f>
        <v>0</v>
      </c>
    </row>
    <row r="56" spans="2:7" x14ac:dyDescent="0.2">
      <c r="B56" s="22">
        <v>44044</v>
      </c>
      <c r="C56" s="23">
        <v>322.51</v>
      </c>
      <c r="D56" s="2">
        <f>SPY_Table[[#This Row],[Price/NAV]]/C55-1</f>
        <v>6.9785936677991156E-2</v>
      </c>
      <c r="E56" s="33">
        <f>E55*(1+SPY_Table[[#This Row],[Monthly Return]])</f>
        <v>1.8398045783559365</v>
      </c>
      <c r="F56" s="33">
        <f>MAX(F55,SPY_Table[[#This Row],[Growth]])</f>
        <v>1.8398045783559365</v>
      </c>
      <c r="G56" s="8">
        <f>SPY_Table[[#This Row],[Growth]]/SPY_Table[[#This Row],[High Water Mark]]-1</f>
        <v>0</v>
      </c>
    </row>
    <row r="57" spans="2:7" x14ac:dyDescent="0.2">
      <c r="B57" s="22">
        <v>44075</v>
      </c>
      <c r="C57" s="23">
        <v>309.2</v>
      </c>
      <c r="D57" s="2">
        <f>SPY_Table[[#This Row],[Price/NAV]]/C56-1</f>
        <v>-4.1270038138352283E-2</v>
      </c>
      <c r="E57" s="33">
        <f>E56*(1+SPY_Table[[#This Row],[Monthly Return]])</f>
        <v>1.7638757732400718</v>
      </c>
      <c r="F57" s="33">
        <f>MAX(F56,SPY_Table[[#This Row],[Growth]])</f>
        <v>1.8398045783559365</v>
      </c>
      <c r="G57" s="8">
        <f>SPY_Table[[#This Row],[Growth]]/SPY_Table[[#This Row],[High Water Mark]]-1</f>
        <v>-4.1270038138352283E-2</v>
      </c>
    </row>
    <row r="58" spans="2:7" x14ac:dyDescent="0.2">
      <c r="B58" s="22">
        <v>44105</v>
      </c>
      <c r="C58" s="23">
        <v>302.69686889648438</v>
      </c>
      <c r="D58" s="2">
        <f>SPY_Table[[#This Row],[Price/NAV]]/C57-1</f>
        <v>-2.1032118704772396E-2</v>
      </c>
      <c r="E58" s="33">
        <f>E57*(1+SPY_Table[[#This Row],[Monthly Return]])</f>
        <v>1.7267777285968144</v>
      </c>
      <c r="F58" s="33">
        <f>MAX(F57,SPY_Table[[#This Row],[Growth]])</f>
        <v>1.8398045783559365</v>
      </c>
      <c r="G58" s="8">
        <f>SPY_Table[[#This Row],[Growth]]/SPY_Table[[#This Row],[High Water Mark]]-1</f>
        <v>-6.1434160502048418E-2</v>
      </c>
    </row>
    <row r="59" spans="2:7" x14ac:dyDescent="0.2">
      <c r="B59" s="22">
        <v>44136</v>
      </c>
      <c r="C59" s="23">
        <v>335.62332153320312</v>
      </c>
      <c r="D59" s="2">
        <f>SPY_Table[[#This Row],[Price/NAV]]/C58-1</f>
        <v>0.10877698456794693</v>
      </c>
      <c r="E59" s="33">
        <f>E58*(1+SPY_Table[[#This Row],[Monthly Return]])</f>
        <v>1.9146114029326646</v>
      </c>
      <c r="F59" s="33">
        <f>MAX(F58,SPY_Table[[#This Row],[Growth]])</f>
        <v>1.9146114029326646</v>
      </c>
      <c r="G59" s="8">
        <f>SPY_Table[[#This Row],[Growth]]/SPY_Table[[#This Row],[High Water Mark]]-1</f>
        <v>0</v>
      </c>
    </row>
    <row r="60" spans="2:7" x14ac:dyDescent="0.2">
      <c r="B60" s="22">
        <v>44166</v>
      </c>
      <c r="C60" s="23">
        <v>346.58023071289062</v>
      </c>
      <c r="D60" s="2">
        <f>SPY_Table[[#This Row],[Price/NAV]]/C59-1</f>
        <v>3.2646447599749218E-2</v>
      </c>
      <c r="E60" s="33">
        <f>E59*(1+SPY_Table[[#This Row],[Monthly Return]])</f>
        <v>1.9771166637723883</v>
      </c>
      <c r="F60" s="33">
        <f>MAX(F59,SPY_Table[[#This Row],[Growth]])</f>
        <v>1.9771166637723883</v>
      </c>
      <c r="G60" s="8">
        <f>SPY_Table[[#This Row],[Growth]]/SPY_Table[[#This Row],[High Water Mark]]-1</f>
        <v>0</v>
      </c>
    </row>
    <row r="61" spans="2:7" x14ac:dyDescent="0.2">
      <c r="B61" s="22">
        <v>44197</v>
      </c>
      <c r="C61" s="23">
        <v>344.51071166992188</v>
      </c>
      <c r="D61" s="2">
        <f>SPY_Table[[#This Row],[Price/NAV]]/C60-1</f>
        <v>-5.9712553099520171E-3</v>
      </c>
      <c r="E61" s="33">
        <f>E60*(1+SPY_Table[[#This Row],[Monthly Return]])</f>
        <v>1.9653107953954427</v>
      </c>
      <c r="F61" s="33">
        <f>MAX(F60,SPY_Table[[#This Row],[Growth]])</f>
        <v>1.9771166637723883</v>
      </c>
      <c r="G61" s="8">
        <f>SPY_Table[[#This Row],[Growth]]/SPY_Table[[#This Row],[High Water Mark]]-1</f>
        <v>-5.9712553099520171E-3</v>
      </c>
    </row>
    <row r="62" spans="2:7" x14ac:dyDescent="0.2">
      <c r="B62" s="22">
        <v>44228</v>
      </c>
      <c r="C62" s="23">
        <v>354.08999633789062</v>
      </c>
      <c r="D62" s="2">
        <f>SPY_Table[[#This Row],[Price/NAV]]/C61-1</f>
        <v>2.7805476995289347E-2</v>
      </c>
      <c r="E62" s="33">
        <f>E61*(1+SPY_Table[[#This Row],[Monthly Return]])</f>
        <v>2.0199571995054044</v>
      </c>
      <c r="F62" s="33">
        <f>MAX(F61,SPY_Table[[#This Row],[Growth]])</f>
        <v>2.0199571995054044</v>
      </c>
      <c r="G62" s="8">
        <f>SPY_Table[[#This Row],[Growth]]/SPY_Table[[#This Row],[High Water Mark]]-1</f>
        <v>0</v>
      </c>
    </row>
    <row r="63" spans="2:7" x14ac:dyDescent="0.2">
      <c r="B63" s="22">
        <v>44256</v>
      </c>
      <c r="C63" s="23">
        <v>368.95706176757812</v>
      </c>
      <c r="D63" s="2">
        <f>SPY_Table[[#This Row],[Price/NAV]]/C62-1</f>
        <v>4.1986685824076719E-2</v>
      </c>
      <c r="E63" s="33">
        <f>E62*(1+SPY_Table[[#This Row],[Monthly Return]])</f>
        <v>2.1047685078191196</v>
      </c>
      <c r="F63" s="33">
        <f>MAX(F62,SPY_Table[[#This Row],[Growth]])</f>
        <v>2.1047685078191196</v>
      </c>
      <c r="G63" s="8">
        <f>SPY_Table[[#This Row],[Growth]]/SPY_Table[[#This Row],[High Water Mark]]-1</f>
        <v>0</v>
      </c>
    </row>
    <row r="64" spans="2:7" x14ac:dyDescent="0.2">
      <c r="B64" s="22">
        <v>44287</v>
      </c>
      <c r="C64" s="23">
        <v>389.75100708007812</v>
      </c>
      <c r="D64" s="2">
        <f>SPY_Table[[#This Row],[Price/NAV]]/C63-1</f>
        <v>5.6358713430992635E-2</v>
      </c>
      <c r="E64" s="33">
        <f>E63*(1+SPY_Table[[#This Row],[Monthly Return]])</f>
        <v>2.2233905529898754</v>
      </c>
      <c r="F64" s="33">
        <f>MAX(F63,SPY_Table[[#This Row],[Growth]])</f>
        <v>2.2233905529898754</v>
      </c>
      <c r="G64" s="8">
        <f>SPY_Table[[#This Row],[Growth]]/SPY_Table[[#This Row],[High Water Mark]]-1</f>
        <v>0</v>
      </c>
    </row>
    <row r="65" spans="2:7" x14ac:dyDescent="0.2">
      <c r="B65" s="22">
        <v>44317</v>
      </c>
      <c r="C65" s="23">
        <v>392.31021118164062</v>
      </c>
      <c r="D65" s="2">
        <f>SPY_Table[[#This Row],[Price/NAV]]/C64-1</f>
        <v>6.5662539802922026E-3</v>
      </c>
      <c r="E65" s="33">
        <f>E64*(1+SPY_Table[[#This Row],[Monthly Return]])</f>
        <v>2.2379899000581891</v>
      </c>
      <c r="F65" s="33">
        <f>MAX(F64,SPY_Table[[#This Row],[Growth]])</f>
        <v>2.2379899000581891</v>
      </c>
      <c r="G65" s="8">
        <f>SPY_Table[[#This Row],[Growth]]/SPY_Table[[#This Row],[High Water Mark]]-1</f>
        <v>0</v>
      </c>
    </row>
    <row r="66" spans="2:7" x14ac:dyDescent="0.2">
      <c r="B66" s="22">
        <v>44348</v>
      </c>
      <c r="C66" s="23">
        <v>399.8</v>
      </c>
      <c r="D66" s="2">
        <f>SPY_Table[[#This Row],[Price/NAV]]/C65-1</f>
        <v>1.9091495976615303E-2</v>
      </c>
      <c r="E66" s="33">
        <f>E65*(1+SPY_Table[[#This Row],[Monthly Return]])</f>
        <v>2.2807164752308555</v>
      </c>
      <c r="F66" s="33">
        <f>MAX(F65,SPY_Table[[#This Row],[Growth]])</f>
        <v>2.2807164752308555</v>
      </c>
      <c r="G66" s="8">
        <f>SPY_Table[[#This Row],[Growth]]/SPY_Table[[#This Row],[High Water Mark]]-1</f>
        <v>0</v>
      </c>
    </row>
    <row r="67" spans="2:7" x14ac:dyDescent="0.2">
      <c r="B67" s="22">
        <v>44378</v>
      </c>
      <c r="C67" s="23">
        <v>410.90078735351562</v>
      </c>
      <c r="D67" s="2">
        <f>SPY_Table[[#This Row],[Price/NAV]]/C66-1</f>
        <v>2.7765851309443645E-2</v>
      </c>
      <c r="E67" s="33">
        <f>E66*(1+SPY_Table[[#This Row],[Monthly Return]])</f>
        <v>2.3440425097611137</v>
      </c>
      <c r="F67" s="33">
        <f>MAX(F66,SPY_Table[[#This Row],[Growth]])</f>
        <v>2.3440425097611137</v>
      </c>
      <c r="G67" s="8">
        <f>SPY_Table[[#This Row],[Growth]]/SPY_Table[[#This Row],[High Water Mark]]-1</f>
        <v>0</v>
      </c>
    </row>
    <row r="68" spans="2:7" x14ac:dyDescent="0.2">
      <c r="B68" s="22">
        <v>44409</v>
      </c>
      <c r="C68" s="23">
        <v>423.13</v>
      </c>
      <c r="D68" s="2">
        <f>SPY_Table[[#This Row],[Price/NAV]]/C67-1</f>
        <v>2.9761959633246127E-2</v>
      </c>
      <c r="E68" s="33">
        <f>E67*(1+SPY_Table[[#This Row],[Monthly Return]])</f>
        <v>2.4138058083152369</v>
      </c>
      <c r="F68" s="33">
        <f>MAX(F67,SPY_Table[[#This Row],[Growth]])</f>
        <v>2.4138058083152369</v>
      </c>
      <c r="G68" s="8">
        <f>SPY_Table[[#This Row],[Growth]]/SPY_Table[[#This Row],[High Water Mark]]-1</f>
        <v>0</v>
      </c>
    </row>
    <row r="69" spans="2:7" x14ac:dyDescent="0.2">
      <c r="B69" s="22">
        <v>44440</v>
      </c>
      <c r="C69" s="23">
        <v>402.1207275390625</v>
      </c>
      <c r="D69" s="2">
        <f>SPY_Table[[#This Row],[Price/NAV]]/C68-1</f>
        <v>-4.9652051286690813E-2</v>
      </c>
      <c r="E69" s="33">
        <f>E68*(1+SPY_Table[[#This Row],[Monthly Return]])</f>
        <v>2.2939553985246568</v>
      </c>
      <c r="F69" s="33">
        <f>MAX(F68,SPY_Table[[#This Row],[Growth]])</f>
        <v>2.4138058083152369</v>
      </c>
      <c r="G69" s="8">
        <f>SPY_Table[[#This Row],[Growth]]/SPY_Table[[#This Row],[High Water Mark]]-1</f>
        <v>-4.9652051286690702E-2</v>
      </c>
    </row>
    <row r="70" spans="2:7" x14ac:dyDescent="0.2">
      <c r="B70" s="22">
        <v>44470</v>
      </c>
      <c r="C70" s="23">
        <v>431.71</v>
      </c>
      <c r="D70" s="2">
        <f>SPY_Table[[#This Row],[Price/NAV]]/C69-1</f>
        <v>7.3583057113272288E-2</v>
      </c>
      <c r="E70" s="33">
        <f>E69*(1+SPY_Table[[#This Row],[Monthly Return]])</f>
        <v>2.4627516496295958</v>
      </c>
      <c r="F70" s="33">
        <f>MAX(F69,SPY_Table[[#This Row],[Growth]])</f>
        <v>2.4627516496295958</v>
      </c>
      <c r="G70" s="8">
        <f>SPY_Table[[#This Row],[Growth]]/SPY_Table[[#This Row],[High Water Mark]]-1</f>
        <v>0</v>
      </c>
    </row>
    <row r="71" spans="2:7" x14ac:dyDescent="0.2">
      <c r="B71" s="22">
        <v>44501</v>
      </c>
      <c r="C71" s="23">
        <v>428.24</v>
      </c>
      <c r="D71" s="2">
        <f>SPY_Table[[#This Row],[Price/NAV]]/C70-1</f>
        <v>-8.0378031548955509E-3</v>
      </c>
      <c r="E71" s="33">
        <f>E70*(1+SPY_Table[[#This Row],[Monthly Return]])</f>
        <v>2.4429565366504788</v>
      </c>
      <c r="F71" s="33">
        <f>MAX(F70,SPY_Table[[#This Row],[Growth]])</f>
        <v>2.4627516496295958</v>
      </c>
      <c r="G71" s="8">
        <f>SPY_Table[[#This Row],[Growth]]/SPY_Table[[#This Row],[High Water Mark]]-1</f>
        <v>-8.0378031548955509E-3</v>
      </c>
    </row>
    <row r="72" spans="2:7" x14ac:dyDescent="0.2">
      <c r="B72" s="22">
        <v>44531</v>
      </c>
      <c r="C72" s="23">
        <v>446.48159790039062</v>
      </c>
      <c r="D72" s="2">
        <f>SPY_Table[[#This Row],[Price/NAV]]/C71-1</f>
        <v>4.2596669858935732E-2</v>
      </c>
      <c r="E72" s="33">
        <f>E71*(1+SPY_Table[[#This Row],[Monthly Return]])</f>
        <v>2.5470183497219083</v>
      </c>
      <c r="F72" s="33">
        <f>MAX(F71,SPY_Table[[#This Row],[Growth]])</f>
        <v>2.5470183497219083</v>
      </c>
      <c r="G72" s="8">
        <f>SPY_Table[[#This Row],[Growth]]/SPY_Table[[#This Row],[High Water Mark]]-1</f>
        <v>0</v>
      </c>
    </row>
    <row r="73" spans="2:7" x14ac:dyDescent="0.2">
      <c r="B73" s="22">
        <v>44562</v>
      </c>
      <c r="C73" s="23">
        <v>424.41952514648438</v>
      </c>
      <c r="D73" s="2">
        <f>SPY_Table[[#This Row],[Price/NAV]]/C72-1</f>
        <v>-4.9413173706720714E-2</v>
      </c>
      <c r="E73" s="33">
        <f>E72*(1+SPY_Table[[#This Row],[Monthly Return]])</f>
        <v>2.4211620895728947</v>
      </c>
      <c r="F73" s="33">
        <f>MAX(F72,SPY_Table[[#This Row],[Growth]])</f>
        <v>2.5470183497219083</v>
      </c>
      <c r="G73" s="8">
        <f>SPY_Table[[#This Row],[Growth]]/SPY_Table[[#This Row],[High Water Mark]]-1</f>
        <v>-4.9413173706720603E-2</v>
      </c>
    </row>
    <row r="74" spans="2:7" x14ac:dyDescent="0.2">
      <c r="B74" s="22">
        <v>44593</v>
      </c>
      <c r="C74" s="23">
        <v>411.8919677734375</v>
      </c>
      <c r="D74" s="2">
        <f>SPY_Table[[#This Row],[Price/NAV]]/C73-1</f>
        <v>-2.9516920477970721E-2</v>
      </c>
      <c r="E74" s="33">
        <f>E73*(1+SPY_Table[[#This Row],[Monthly Return]])</f>
        <v>2.3496968407106942</v>
      </c>
      <c r="F74" s="33">
        <f>MAX(F73,SPY_Table[[#This Row],[Growth]])</f>
        <v>2.5470183497219083</v>
      </c>
      <c r="G74" s="8">
        <f>SPY_Table[[#This Row],[Growth]]/SPY_Table[[#This Row],[High Water Mark]]-1</f>
        <v>-7.7471569465825896E-2</v>
      </c>
    </row>
    <row r="75" spans="2:7" x14ac:dyDescent="0.2">
      <c r="B75" s="22">
        <v>44621</v>
      </c>
      <c r="C75" s="23">
        <v>426.05145263671881</v>
      </c>
      <c r="D75" s="2">
        <f>SPY_Table[[#This Row],[Price/NAV]]/C74-1</f>
        <v>3.4376695762782683E-2</v>
      </c>
      <c r="E75" s="33">
        <f>E74*(1+SPY_Table[[#This Row],[Monthly Return]])</f>
        <v>2.4304716541385774</v>
      </c>
      <c r="F75" s="33">
        <f>MAX(F74,SPY_Table[[#This Row],[Growth]])</f>
        <v>2.5470183497219083</v>
      </c>
      <c r="G75" s="8">
        <f>SPY_Table[[#This Row],[Growth]]/SPY_Table[[#This Row],[High Water Mark]]-1</f>
        <v>-4.5758090276835195E-2</v>
      </c>
    </row>
    <row r="76" spans="2:7" x14ac:dyDescent="0.2">
      <c r="B76" s="22">
        <v>44652</v>
      </c>
      <c r="C76" s="23">
        <v>389.86</v>
      </c>
      <c r="D76" s="2">
        <f>SPY_Table[[#This Row],[Price/NAV]]/C75-1</f>
        <v>-8.4946201715167424E-2</v>
      </c>
      <c r="E76" s="33">
        <f>E75*(1+SPY_Table[[#This Row],[Monthly Return]])</f>
        <v>2.2240123187431253</v>
      </c>
      <c r="F76" s="33">
        <f>MAX(F75,SPY_Table[[#This Row],[Growth]])</f>
        <v>2.5470183497219083</v>
      </c>
      <c r="G76" s="8">
        <f>SPY_Table[[#This Row],[Growth]]/SPY_Table[[#This Row],[High Water Mark]]-1</f>
        <v>-0.12681731602524571</v>
      </c>
    </row>
    <row r="77" spans="2:7" x14ac:dyDescent="0.2">
      <c r="B77" s="22">
        <v>44682</v>
      </c>
      <c r="C77" s="23">
        <v>390.74481201171881</v>
      </c>
      <c r="D77" s="2">
        <f>SPY_Table[[#This Row],[Price/NAV]]/C76-1</f>
        <v>2.269563463086266E-3</v>
      </c>
      <c r="E77" s="33">
        <f>E76*(1+SPY_Table[[#This Row],[Monthly Return]])</f>
        <v>2.2290598558431984</v>
      </c>
      <c r="F77" s="33">
        <f>MAX(F76,SPY_Table[[#This Row],[Growth]])</f>
        <v>2.5470183497219083</v>
      </c>
      <c r="G77" s="8">
        <f>SPY_Table[[#This Row],[Growth]]/SPY_Table[[#This Row],[High Water Mark]]-1</f>
        <v>-0.12483557250909705</v>
      </c>
    </row>
    <row r="78" spans="2:7" x14ac:dyDescent="0.2">
      <c r="B78" s="22">
        <v>44713</v>
      </c>
      <c r="C78" s="23">
        <v>356.98171997070312</v>
      </c>
      <c r="D78" s="2">
        <f>SPY_Table[[#This Row],[Price/NAV]]/C77-1</f>
        <v>-8.6407012973989561E-2</v>
      </c>
      <c r="E78" s="33">
        <f>E77*(1+SPY_Table[[#This Row],[Monthly Return]])</f>
        <v>2.0364534519595558</v>
      </c>
      <c r="F78" s="33">
        <f>MAX(F77,SPY_Table[[#This Row],[Growth]])</f>
        <v>2.5470183497219083</v>
      </c>
      <c r="G78" s="8">
        <f>SPY_Table[[#This Row],[Growth]]/SPY_Table[[#This Row],[High Water Mark]]-1</f>
        <v>-0.20045591654967765</v>
      </c>
    </row>
    <row r="79" spans="2:7" x14ac:dyDescent="0.2">
      <c r="B79" s="22">
        <v>44743</v>
      </c>
      <c r="C79" s="23">
        <v>391.5394287109375</v>
      </c>
      <c r="D79" s="2">
        <f>SPY_Table[[#This Row],[Price/NAV]]/C78-1</f>
        <v>9.6805261465686465E-2</v>
      </c>
      <c r="E79" s="33">
        <f>E78*(1+SPY_Table[[#This Row],[Monthly Return]])</f>
        <v>2.2335928608392006</v>
      </c>
      <c r="F79" s="33">
        <f>MAX(F78,SPY_Table[[#This Row],[Growth]])</f>
        <v>2.5470183497219083</v>
      </c>
      <c r="G79" s="8">
        <f>SPY_Table[[#This Row],[Growth]]/SPY_Table[[#This Row],[High Water Mark]]-1</f>
        <v>-0.12305584249792645</v>
      </c>
    </row>
    <row r="80" spans="2:7" x14ac:dyDescent="0.2">
      <c r="B80" s="22">
        <v>44774</v>
      </c>
      <c r="C80" s="23">
        <v>375.56381225585938</v>
      </c>
      <c r="D80" s="2">
        <f>SPY_Table[[#This Row],[Price/NAV]]/C79-1</f>
        <v>-4.080206304553935E-2</v>
      </c>
      <c r="E80" s="33">
        <f>E79*(1+SPY_Table[[#This Row],[Monthly Return]])</f>
        <v>2.1424576641131727</v>
      </c>
      <c r="F80" s="33">
        <f>MAX(F79,SPY_Table[[#This Row],[Growth]])</f>
        <v>2.5470183497219083</v>
      </c>
      <c r="G80" s="8">
        <f>SPY_Table[[#This Row],[Growth]]/SPY_Table[[#This Row],[High Water Mark]]-1</f>
        <v>-0.15883697329974356</v>
      </c>
    </row>
    <row r="81" spans="2:7" x14ac:dyDescent="0.2">
      <c r="B81" s="22">
        <v>44805</v>
      </c>
      <c r="C81" s="23">
        <v>339.45004272460938</v>
      </c>
      <c r="D81" s="2">
        <f>SPY_Table[[#This Row],[Price/NAV]]/C80-1</f>
        <v>-9.6158810707371534E-2</v>
      </c>
      <c r="E81" s="33">
        <f>E80*(1+SPY_Table[[#This Row],[Monthly Return]])</f>
        <v>1.9364414831411567</v>
      </c>
      <c r="F81" s="33">
        <f>MAX(F80,SPY_Table[[#This Row],[Growth]])</f>
        <v>2.5470183497219083</v>
      </c>
      <c r="G81" s="8">
        <f>SPY_Table[[#This Row],[Growth]]/SPY_Table[[#This Row],[High Water Mark]]-1</f>
        <v>-0.23972220955825319</v>
      </c>
    </row>
    <row r="82" spans="2:7" x14ac:dyDescent="0.2">
      <c r="B82" s="22">
        <v>44835</v>
      </c>
      <c r="C82" s="23">
        <v>368.54678344726562</v>
      </c>
      <c r="D82" s="2">
        <f>SPY_Table[[#This Row],[Price/NAV]]/C81-1</f>
        <v>8.5717298749206527E-2</v>
      </c>
      <c r="E82" s="33">
        <f>E81*(1+SPY_Table[[#This Row],[Monthly Return]])</f>
        <v>2.102428016261924</v>
      </c>
      <c r="F82" s="33">
        <f>MAX(F81,SPY_Table[[#This Row],[Growth]])</f>
        <v>2.5470183497219083</v>
      </c>
      <c r="G82" s="8">
        <f>SPY_Table[[#This Row],[Growth]]/SPY_Table[[#This Row],[High Water Mark]]-1</f>
        <v>-0.17455325106257136</v>
      </c>
    </row>
    <row r="83" spans="2:7" x14ac:dyDescent="0.2">
      <c r="B83" s="22">
        <v>44866</v>
      </c>
      <c r="C83" s="23">
        <v>389.03488159179688</v>
      </c>
      <c r="D83" s="2">
        <f>SPY_Table[[#This Row],[Price/NAV]]/C82-1</f>
        <v>5.5591580403693497E-2</v>
      </c>
      <c r="E83" s="33">
        <f>E82*(1+SPY_Table[[#This Row],[Monthly Return]])</f>
        <v>2.2193053123709268</v>
      </c>
      <c r="F83" s="33">
        <f>MAX(F82,SPY_Table[[#This Row],[Growth]])</f>
        <v>2.5470183497219083</v>
      </c>
      <c r="G83" s="8">
        <f>SPY_Table[[#This Row],[Growth]]/SPY_Table[[#This Row],[High Water Mark]]-1</f>
        <v>-0.12866536175004872</v>
      </c>
    </row>
    <row r="84" spans="2:7" x14ac:dyDescent="0.2">
      <c r="B84" s="22">
        <v>44896</v>
      </c>
      <c r="C84" s="23">
        <v>364.93966674804688</v>
      </c>
      <c r="D84" s="2">
        <f>SPY_Table[[#This Row],[Price/NAV]]/C83-1</f>
        <v>-6.1935872549938598E-2</v>
      </c>
      <c r="E84" s="33">
        <f>E83*(1+SPY_Table[[#This Row],[Monthly Return]])</f>
        <v>2.0818507013945196</v>
      </c>
      <c r="F84" s="33">
        <f>MAX(F83,SPY_Table[[#This Row],[Growth]])</f>
        <v>2.5470183497219083</v>
      </c>
      <c r="G84" s="8">
        <f>SPY_Table[[#This Row],[Growth]]/SPY_Table[[#This Row],[High Water Mark]]-1</f>
        <v>-0.18263223285304453</v>
      </c>
    </row>
    <row r="85" spans="2:7" x14ac:dyDescent="0.2">
      <c r="B85" s="22">
        <v>44927</v>
      </c>
      <c r="C85" s="23">
        <v>389.67</v>
      </c>
      <c r="D85" s="2">
        <f>SPY_Table[[#This Row],[Price/NAV]]/C84-1</f>
        <v>6.776553908848415E-2</v>
      </c>
      <c r="E85" s="33">
        <f>E84*(1+SPY_Table[[#This Row],[Monthly Return]])</f>
        <v>2.2229284364762578</v>
      </c>
      <c r="F85" s="33">
        <f>MAX(F84,SPY_Table[[#This Row],[Growth]])</f>
        <v>2.5470183497219083</v>
      </c>
      <c r="G85" s="8">
        <f>SPY_Table[[#This Row],[Growth]]/SPY_Table[[#This Row],[High Water Mark]]-1</f>
        <v>-0.12724286547878061</v>
      </c>
    </row>
    <row r="86" spans="2:7" x14ac:dyDescent="0.2">
      <c r="B86" s="22">
        <v>44958</v>
      </c>
      <c r="C86" s="23">
        <v>379.87</v>
      </c>
      <c r="D86" s="2">
        <f>SPY_Table[[#This Row],[Price/NAV]]/C85-1</f>
        <v>-2.5149485462057641E-2</v>
      </c>
      <c r="E86" s="33">
        <f>E85*(1+SPY_Table[[#This Row],[Monthly Return]])</f>
        <v>2.1670229300799035</v>
      </c>
      <c r="F86" s="33">
        <f>MAX(F85,SPY_Table[[#This Row],[Growth]])</f>
        <v>2.5470183497219083</v>
      </c>
      <c r="G86" s="8">
        <f>SPY_Table[[#This Row],[Growth]]/SPY_Table[[#This Row],[High Water Mark]]-1</f>
        <v>-0.14919225834532912</v>
      </c>
    </row>
    <row r="87" spans="2:7" x14ac:dyDescent="0.2">
      <c r="B87" s="22">
        <v>44986</v>
      </c>
      <c r="C87" s="23">
        <v>392.4605712890625</v>
      </c>
      <c r="D87" s="2">
        <f>SPY_Table[[#This Row],[Price/NAV]]/C86-1</f>
        <v>3.3144421220582032E-2</v>
      </c>
      <c r="E87" s="33">
        <f>E86*(1+SPY_Table[[#This Row],[Monthly Return]])</f>
        <v>2.2388476508691317</v>
      </c>
      <c r="F87" s="33">
        <f>MAX(F86,SPY_Table[[#This Row],[Growth]])</f>
        <v>2.5470183497219083</v>
      </c>
      <c r="G87" s="8">
        <f>SPY_Table[[#This Row],[Growth]]/SPY_Table[[#This Row],[High Water Mark]]-1</f>
        <v>-0.12099272817819462</v>
      </c>
    </row>
    <row r="88" spans="2:7" x14ac:dyDescent="0.2">
      <c r="B88" s="22">
        <v>45017</v>
      </c>
      <c r="C88" s="23">
        <v>400.25189208984381</v>
      </c>
      <c r="D88" s="2">
        <f>SPY_Table[[#This Row],[Price/NAV]]/C87-1</f>
        <v>1.985249314393589E-2</v>
      </c>
      <c r="E88" s="33">
        <f>E87*(1+SPY_Table[[#This Row],[Monthly Return]])</f>
        <v>2.2832943585083281</v>
      </c>
      <c r="F88" s="33">
        <f>MAX(F87,SPY_Table[[#This Row],[Growth]])</f>
        <v>2.5470183497219083</v>
      </c>
      <c r="G88" s="8">
        <f>SPY_Table[[#This Row],[Growth]]/SPY_Table[[#This Row],[High Water Mark]]-1</f>
        <v>-0.10354224234088238</v>
      </c>
    </row>
    <row r="89" spans="2:7" x14ac:dyDescent="0.2">
      <c r="B89" s="22">
        <v>45047</v>
      </c>
      <c r="C89" s="23">
        <v>402.09957885742188</v>
      </c>
      <c r="D89" s="2">
        <f>SPY_Table[[#This Row],[Price/NAV]]/C88-1</f>
        <v>4.6163098890819043E-3</v>
      </c>
      <c r="E89" s="33">
        <f>E88*(1+SPY_Table[[#This Row],[Monthly Return]])</f>
        <v>2.293834752835195</v>
      </c>
      <c r="F89" s="33">
        <f>MAX(F88,SPY_Table[[#This Row],[Growth]])</f>
        <v>2.5470183497219083</v>
      </c>
      <c r="G89" s="8">
        <f>SPY_Table[[#This Row],[Growth]]/SPY_Table[[#This Row],[High Water Mark]]-1</f>
        <v>-9.9403915529056475E-2</v>
      </c>
    </row>
    <row r="90" spans="2:7" x14ac:dyDescent="0.2">
      <c r="B90" s="22">
        <v>45078</v>
      </c>
      <c r="C90" s="23">
        <v>426.57101440429688</v>
      </c>
      <c r="D90" s="2">
        <f>SPY_Table[[#This Row],[Price/NAV]]/C89-1</f>
        <v>6.0859142445290004E-2</v>
      </c>
      <c r="E90" s="33">
        <f>E89*(1+SPY_Table[[#This Row],[Monthly Return]])</f>
        <v>2.4334355688039486</v>
      </c>
      <c r="F90" s="33">
        <f>MAX(F89,SPY_Table[[#This Row],[Growth]])</f>
        <v>2.5470183497219083</v>
      </c>
      <c r="G90" s="8">
        <f>SPY_Table[[#This Row],[Growth]]/SPY_Table[[#This Row],[High Water Mark]]-1</f>
        <v>-4.4594410138568907E-2</v>
      </c>
    </row>
    <row r="91" spans="2:7" x14ac:dyDescent="0.2">
      <c r="B91" s="22">
        <v>45108</v>
      </c>
      <c r="C91" s="23">
        <v>442.17044067382812</v>
      </c>
      <c r="D91" s="2">
        <f>SPY_Table[[#This Row],[Price/NAV]]/C90-1</f>
        <v>3.6569353619386735E-2</v>
      </c>
      <c r="E91" s="33">
        <f>E90*(1+SPY_Table[[#This Row],[Monthly Return]])</f>
        <v>2.5224247346295336</v>
      </c>
      <c r="F91" s="33">
        <f>MAX(F90,SPY_Table[[#This Row],[Growth]])</f>
        <v>2.5470183497219083</v>
      </c>
      <c r="G91" s="8">
        <f>SPY_Table[[#This Row],[Growth]]/SPY_Table[[#This Row],[High Water Mark]]-1</f>
        <v>-9.6558452729874622E-3</v>
      </c>
    </row>
    <row r="92" spans="2:7" x14ac:dyDescent="0.2">
      <c r="B92" s="22">
        <v>45139</v>
      </c>
      <c r="C92" s="23">
        <v>434.9842529296875</v>
      </c>
      <c r="D92" s="2">
        <f>SPY_Table[[#This Row],[Price/NAV]]/C91-1</f>
        <v>-1.6252076310640629E-2</v>
      </c>
      <c r="E92" s="33">
        <f>E91*(1+SPY_Table[[#This Row],[Monthly Return]])</f>
        <v>2.481430095354487</v>
      </c>
      <c r="F92" s="33">
        <f>MAX(F91,SPY_Table[[#This Row],[Growth]])</f>
        <v>2.5470183497219083</v>
      </c>
      <c r="G92" s="8">
        <f>SPY_Table[[#This Row],[Growth]]/SPY_Table[[#This Row],[High Water Mark]]-1</f>
        <v>-2.5750994049407838E-2</v>
      </c>
    </row>
    <row r="93" spans="2:7" x14ac:dyDescent="0.2">
      <c r="B93" s="22">
        <v>45170</v>
      </c>
      <c r="C93" s="23">
        <v>412.89462280273438</v>
      </c>
      <c r="D93" s="2">
        <f>SPY_Table[[#This Row],[Price/NAV]]/C92-1</f>
        <v>-5.0782597250764838E-2</v>
      </c>
      <c r="E93" s="33">
        <f>E92*(1+SPY_Table[[#This Row],[Monthly Return]])</f>
        <v>2.355416630216173</v>
      </c>
      <c r="F93" s="33">
        <f>MAX(F92,SPY_Table[[#This Row],[Growth]])</f>
        <v>2.5470183497219083</v>
      </c>
      <c r="G93" s="8">
        <f>SPY_Table[[#This Row],[Growth]]/SPY_Table[[#This Row],[High Water Mark]]-1</f>
        <v>-7.5225888940554708E-2</v>
      </c>
    </row>
    <row r="94" spans="2:7" x14ac:dyDescent="0.2">
      <c r="B94" s="22">
        <v>45200</v>
      </c>
      <c r="C94" s="23">
        <v>405.3560791015625</v>
      </c>
      <c r="D94" s="2">
        <f>SPY_Table[[#This Row],[Price/NAV]]/C93-1</f>
        <v>-1.8257790934646079E-2</v>
      </c>
      <c r="E94" s="33">
        <f>E93*(1+SPY_Table[[#This Row],[Monthly Return]])</f>
        <v>2.3124119258176976</v>
      </c>
      <c r="F94" s="33">
        <f>MAX(F93,SPY_Table[[#This Row],[Growth]])</f>
        <v>2.5470183497219083</v>
      </c>
      <c r="G94" s="8">
        <f>SPY_Table[[#This Row],[Growth]]/SPY_Table[[#This Row],[High Water Mark]]-1</f>
        <v>-9.2110221322051267E-2</v>
      </c>
    </row>
    <row r="95" spans="2:7" x14ac:dyDescent="0.2">
      <c r="B95" s="22">
        <v>45231</v>
      </c>
      <c r="C95" s="23">
        <v>442.38284301757812</v>
      </c>
      <c r="D95" s="2">
        <f>SPY_Table[[#This Row],[Price/NAV]]/C94-1</f>
        <v>9.1343798267642384E-2</v>
      </c>
      <c r="E95" s="33">
        <f>E94*(1+SPY_Table[[#This Row],[Monthly Return]])</f>
        <v>2.5236364142812797</v>
      </c>
      <c r="F95" s="33">
        <f>MAX(F94,SPY_Table[[#This Row],[Growth]])</f>
        <v>2.5470183497219083</v>
      </c>
      <c r="G95" s="8">
        <f>SPY_Table[[#This Row],[Growth]]/SPY_Table[[#This Row],[High Water Mark]]-1</f>
        <v>-9.1801205292382226E-3</v>
      </c>
    </row>
    <row r="96" spans="2:7" x14ac:dyDescent="0.2">
      <c r="B96" s="22">
        <v>45261</v>
      </c>
      <c r="C96" s="23">
        <v>460.71206665039062</v>
      </c>
      <c r="D96" s="2">
        <f>SPY_Table[[#This Row],[Price/NAV]]/C95-1</f>
        <v>4.1432944161634566E-2</v>
      </c>
      <c r="E96" s="33">
        <f>E95*(1+SPY_Table[[#This Row],[Monthly Return]])</f>
        <v>2.6281981009184636</v>
      </c>
      <c r="F96" s="33">
        <f>MAX(F95,SPY_Table[[#This Row],[Growth]])</f>
        <v>2.6281981009184636</v>
      </c>
      <c r="G96" s="8">
        <f>SPY_Table[[#This Row],[Growth]]/SPY_Table[[#This Row],[High Water Mark]]-1</f>
        <v>0</v>
      </c>
    </row>
    <row r="97" spans="2:7" x14ac:dyDescent="0.2">
      <c r="B97" s="22">
        <v>45292</v>
      </c>
      <c r="C97" s="23">
        <v>469.94723510742188</v>
      </c>
      <c r="D97" s="2">
        <f>SPY_Table[[#This Row],[Price/NAV]]/C96-1</f>
        <v>2.0045423433719955E-2</v>
      </c>
      <c r="E97" s="33">
        <f>E96*(1+SPY_Table[[#This Row],[Monthly Return]])</f>
        <v>2.680881444719073</v>
      </c>
      <c r="F97" s="33">
        <f>MAX(F96,SPY_Table[[#This Row],[Growth]])</f>
        <v>2.680881444719073</v>
      </c>
      <c r="G97" s="8">
        <f>SPY_Table[[#This Row],[Growth]]/SPY_Table[[#This Row],[High Water Mark]]-1</f>
        <v>0</v>
      </c>
    </row>
    <row r="98" spans="2:7" x14ac:dyDescent="0.2">
      <c r="B98" s="22">
        <v>45323</v>
      </c>
      <c r="C98" s="23">
        <v>494.47235107421881</v>
      </c>
      <c r="D98" s="2">
        <f>SPY_Table[[#This Row],[Price/NAV]]/C97-1</f>
        <v>5.2186956608417878E-2</v>
      </c>
      <c r="E98" s="33">
        <f>E97*(1+SPY_Table[[#This Row],[Monthly Return]])</f>
        <v>2.8207884883469401</v>
      </c>
      <c r="F98" s="33">
        <f>MAX(F97,SPY_Table[[#This Row],[Growth]])</f>
        <v>2.8207884883469401</v>
      </c>
      <c r="G98" s="8">
        <f>SPY_Table[[#This Row],[Growth]]/SPY_Table[[#This Row],[High Water Mark]]-1</f>
        <v>0</v>
      </c>
    </row>
    <row r="99" spans="2:7" x14ac:dyDescent="0.2">
      <c r="B99" s="22">
        <v>45352</v>
      </c>
      <c r="C99" s="23">
        <v>509.06</v>
      </c>
      <c r="D99" s="2">
        <f>SPY_Table[[#This Row],[Price/NAV]]/C98-1</f>
        <v>2.9501445114353153E-2</v>
      </c>
      <c r="E99" s="33">
        <f>E98*(1+SPY_Table[[#This Row],[Monthly Return]])</f>
        <v>2.9040058251151066</v>
      </c>
      <c r="F99" s="33">
        <f>MAX(F98,SPY_Table[[#This Row],[Growth]])</f>
        <v>2.9040058251151066</v>
      </c>
      <c r="G99" s="8">
        <f>SPY_Table[[#This Row],[Growth]]/SPY_Table[[#This Row],[High Water Mark]]-1</f>
        <v>0</v>
      </c>
    </row>
    <row r="100" spans="2:7" x14ac:dyDescent="0.2">
      <c r="B100" s="22">
        <v>45383</v>
      </c>
      <c r="C100" s="23">
        <v>490.0535888671875</v>
      </c>
      <c r="D100" s="2">
        <f>SPY_Table[[#This Row],[Price/NAV]]/C99-1</f>
        <v>-3.7336288714125088E-2</v>
      </c>
      <c r="E100" s="33">
        <f>E99*(1+SPY_Table[[#This Row],[Monthly Return]])</f>
        <v>2.7955810252011082</v>
      </c>
      <c r="F100" s="33">
        <f>MAX(F99,SPY_Table[[#This Row],[Growth]])</f>
        <v>2.9040058251151066</v>
      </c>
      <c r="G100" s="8">
        <f>SPY_Table[[#This Row],[Growth]]/SPY_Table[[#This Row],[High Water Mark]]-1</f>
        <v>-3.7336288714124977E-2</v>
      </c>
    </row>
    <row r="101" spans="2:7" x14ac:dyDescent="0.2">
      <c r="B101" s="22">
        <v>45413</v>
      </c>
      <c r="C101" s="23">
        <v>514.84</v>
      </c>
      <c r="D101" s="2">
        <f>SPY_Table[[#This Row],[Price/NAV]]/C100-1</f>
        <v>5.0578980943918772E-2</v>
      </c>
      <c r="E101" s="33">
        <f>E100*(1+SPY_Table[[#This Row],[Monthly Return]])</f>
        <v>2.936978664601936</v>
      </c>
      <c r="F101" s="33">
        <f>MAX(F100,SPY_Table[[#This Row],[Growth]])</f>
        <v>2.936978664601936</v>
      </c>
      <c r="G101" s="8">
        <f>SPY_Table[[#This Row],[Growth]]/SPY_Table[[#This Row],[High Water Mark]]-1</f>
        <v>0</v>
      </c>
    </row>
    <row r="102" spans="2:7" x14ac:dyDescent="0.2">
      <c r="B102" s="22">
        <v>45444</v>
      </c>
      <c r="C102" s="23">
        <v>531.29</v>
      </c>
      <c r="D102" s="2">
        <f>SPY_Table[[#This Row],[Price/NAV]]/C101-1</f>
        <v>3.1951674306580635E-2</v>
      </c>
      <c r="E102" s="33">
        <f>E101*(1+SPY_Table[[#This Row],[Monthly Return]])</f>
        <v>3.0308200503386731</v>
      </c>
      <c r="F102" s="33">
        <f>MAX(F101,SPY_Table[[#This Row],[Growth]])</f>
        <v>3.0308200503386731</v>
      </c>
      <c r="G102" s="8">
        <f>SPY_Table[[#This Row],[Growth]]/SPY_Table[[#This Row],[High Water Mark]]-1</f>
        <v>0</v>
      </c>
    </row>
    <row r="103" spans="2:7" x14ac:dyDescent="0.2">
      <c r="B103" s="22">
        <v>45474</v>
      </c>
      <c r="C103" s="23">
        <v>539.45819091796875</v>
      </c>
      <c r="D103" s="2">
        <f>SPY_Table[[#This Row],[Price/NAV]]/C102-1</f>
        <v>1.5374260607142531E-2</v>
      </c>
      <c r="E103" s="33">
        <f>E102*(1+SPY_Table[[#This Row],[Monthly Return]])</f>
        <v>3.0774166676459327</v>
      </c>
      <c r="F103" s="33">
        <f>MAX(F102,SPY_Table[[#This Row],[Growth]])</f>
        <v>3.0774166676459327</v>
      </c>
      <c r="G103" s="8">
        <f>SPY_Table[[#This Row],[Growth]]/SPY_Table[[#This Row],[High Water Mark]]-1</f>
        <v>0</v>
      </c>
    </row>
    <row r="104" spans="2:7" x14ac:dyDescent="0.2">
      <c r="B104" s="22">
        <v>45505</v>
      </c>
      <c r="C104" s="23">
        <v>552.06292724609375</v>
      </c>
      <c r="D104" s="2">
        <f>SPY_Table[[#This Row],[Price/NAV]]/C103-1</f>
        <v>2.3365548137615821E-2</v>
      </c>
      <c r="E104" s="33">
        <f>E103*(1+SPY_Table[[#This Row],[Monthly Return]])</f>
        <v>3.149322194933315</v>
      </c>
      <c r="F104" s="33">
        <f>MAX(F103,SPY_Table[[#This Row],[Growth]])</f>
        <v>3.149322194933315</v>
      </c>
      <c r="G104" s="8">
        <f>SPY_Table[[#This Row],[Growth]]/SPY_Table[[#This Row],[High Water Mark]]-1</f>
        <v>0</v>
      </c>
    </row>
    <row r="105" spans="2:7" x14ac:dyDescent="0.2">
      <c r="B105" s="22">
        <v>45536</v>
      </c>
      <c r="C105" s="23">
        <v>561.94000000000005</v>
      </c>
      <c r="D105" s="2">
        <f>SPY_Table[[#This Row],[Price/NAV]]/C104-1</f>
        <v>1.7891208169287909E-2</v>
      </c>
      <c r="E105" s="33">
        <f>E104*(1+SPY_Table[[#This Row],[Monthly Return]])</f>
        <v>3.2056673739150257</v>
      </c>
      <c r="F105" s="33">
        <f>MAX(F104,SPY_Table[[#This Row],[Growth]])</f>
        <v>3.2056673739150257</v>
      </c>
      <c r="G105" s="8">
        <f>SPY_Table[[#This Row],[Growth]]/SPY_Table[[#This Row],[High Water Mark]]-1</f>
        <v>0</v>
      </c>
    </row>
    <row r="106" spans="2:7" x14ac:dyDescent="0.2">
      <c r="B106" s="22">
        <v>45566</v>
      </c>
      <c r="C106" s="23">
        <v>558.6290283203125</v>
      </c>
      <c r="D106" s="2">
        <f>SPY_Table[[#This Row],[Price/NAV]]/C105-1</f>
        <v>-5.8920377258916412E-3</v>
      </c>
      <c r="E106" s="33">
        <f>E105*(1+SPY_Table[[#This Row],[Monthly Return]])</f>
        <v>3.1867794608112585</v>
      </c>
      <c r="F106" s="33">
        <f>MAX(F105,SPY_Table[[#This Row],[Growth]])</f>
        <v>3.2056673739150257</v>
      </c>
      <c r="G106" s="8">
        <f>SPY_Table[[#This Row],[Growth]]/SPY_Table[[#This Row],[High Water Mark]]-1</f>
        <v>-5.8920377258916412E-3</v>
      </c>
    </row>
    <row r="107" spans="2:7" x14ac:dyDescent="0.2">
      <c r="B107" s="22">
        <v>45597</v>
      </c>
      <c r="C107" s="23">
        <v>591.94195556640625</v>
      </c>
      <c r="D107" s="2">
        <f>SPY_Table[[#This Row],[Price/NAV]]/C106-1</f>
        <v>5.963336231606009E-2</v>
      </c>
      <c r="E107" s="33">
        <f>E106*(1+SPY_Table[[#This Row],[Monthly Return]])</f>
        <v>3.3768178350191951</v>
      </c>
      <c r="F107" s="33">
        <f>MAX(F106,SPY_Table[[#This Row],[Growth]])</f>
        <v>3.3768178350191951</v>
      </c>
      <c r="G107" s="8">
        <f>SPY_Table[[#This Row],[Growth]]/SPY_Table[[#This Row],[High Water Mark]]-1</f>
        <v>0</v>
      </c>
    </row>
    <row r="108" spans="2:7" x14ac:dyDescent="0.2">
      <c r="B108" s="22">
        <v>45627</v>
      </c>
      <c r="C108" s="23">
        <v>575.76202392578125</v>
      </c>
      <c r="D108" s="2">
        <f>SPY_Table[[#This Row],[Price/NAV]]/C107-1</f>
        <v>-2.7333645619261882E-2</v>
      </c>
      <c r="E108" s="33">
        <f>E107*(1+SPY_Table[[#This Row],[Monthly Return]])</f>
        <v>3.2845170929959773</v>
      </c>
      <c r="F108" s="33">
        <f>MAX(F107,SPY_Table[[#This Row],[Growth]])</f>
        <v>3.3768178350191951</v>
      </c>
      <c r="G108" s="8">
        <f>SPY_Table[[#This Row],[Growth]]/SPY_Table[[#This Row],[High Water Mark]]-1</f>
        <v>-2.7333645619261882E-2</v>
      </c>
    </row>
    <row r="109" spans="2:7" x14ac:dyDescent="0.2">
      <c r="B109" s="22">
        <v>45658</v>
      </c>
      <c r="C109" s="23">
        <v>593.21466064453125</v>
      </c>
      <c r="D109" s="2">
        <f>SPY_Table[[#This Row],[Price/NAV]]/C108-1</f>
        <v>3.031224011571787E-2</v>
      </c>
      <c r="E109" s="33">
        <f>E108*(1+SPY_Table[[#This Row],[Monthly Return]])</f>
        <v>3.3840781637830508</v>
      </c>
      <c r="F109" s="33">
        <f>MAX(F108,SPY_Table[[#This Row],[Growth]])</f>
        <v>3.3840781637830508</v>
      </c>
      <c r="G109" s="8">
        <f>SPY_Table[[#This Row],[Growth]]/SPY_Table[[#This Row],[High Water Mark]]-1</f>
        <v>0</v>
      </c>
    </row>
    <row r="110" spans="2:7" x14ac:dyDescent="0.2">
      <c r="B110" s="22">
        <v>45689</v>
      </c>
      <c r="C110" s="23">
        <v>585.68389892578125</v>
      </c>
      <c r="D110" s="2">
        <f>SPY_Table[[#This Row],[Price/NAV]]/C109-1</f>
        <v>-1.2694834127274901E-2</v>
      </c>
      <c r="E110" s="33">
        <f>E109*(1+SPY_Table[[#This Row],[Monthly Return]])</f>
        <v>3.341117852820092</v>
      </c>
      <c r="F110" s="33">
        <f>MAX(F109,SPY_Table[[#This Row],[Growth]])</f>
        <v>3.3840781637830508</v>
      </c>
      <c r="G110" s="8">
        <f>SPY_Table[[#This Row],[Growth]]/SPY_Table[[#This Row],[High Water Mark]]-1</f>
        <v>-1.2694834127274901E-2</v>
      </c>
    </row>
    <row r="111" spans="2:7" x14ac:dyDescent="0.2">
      <c r="B111" s="22">
        <v>45717</v>
      </c>
      <c r="C111" s="23">
        <v>551.39</v>
      </c>
      <c r="D111" s="2">
        <f>SPY_Table[[#This Row],[Price/NAV]]/C110-1</f>
        <v>-5.8553596895322912E-2</v>
      </c>
      <c r="E111" s="33">
        <f>E110*(1+SPY_Table[[#This Row],[Monthly Return]])</f>
        <v>3.1454833848862975</v>
      </c>
      <c r="F111" s="33">
        <f>MAX(F110,SPY_Table[[#This Row],[Growth]])</f>
        <v>3.3840781637830508</v>
      </c>
      <c r="G111" s="8">
        <f>SPY_Table[[#This Row],[Growth]]/SPY_Table[[#This Row],[High Water Mark]]-1</f>
        <v>-7.0505102822456367E-2</v>
      </c>
    </row>
    <row r="112" spans="2:7" x14ac:dyDescent="0.2">
      <c r="B112" s="22">
        <v>45748</v>
      </c>
      <c r="C112" s="23">
        <v>548.2550048828125</v>
      </c>
      <c r="D112" s="2">
        <f>SPY_Table[[#This Row],[Price/NAV]]/C111-1</f>
        <v>-5.6856220047288852E-3</v>
      </c>
      <c r="E112" s="33">
        <f>E111*(1+SPY_Table[[#This Row],[Monthly Return]])</f>
        <v>3.1275993553376789</v>
      </c>
      <c r="F112" s="33">
        <f>MAX(F111,SPY_Table[[#This Row],[Growth]])</f>
        <v>3.3840781637830508</v>
      </c>
      <c r="G112" s="8">
        <f>SPY_Table[[#This Row],[Growth]]/SPY_Table[[#This Row],[High Water Mark]]-1</f>
        <v>-7.5789859463132214E-2</v>
      </c>
    </row>
    <row r="113" spans="2:7" x14ac:dyDescent="0.2">
      <c r="B113" s="22">
        <v>45778</v>
      </c>
      <c r="C113" s="23">
        <v>582.7100830078125</v>
      </c>
      <c r="D113" s="2">
        <f>SPY_Table[[#This Row],[Price/NAV]]/C112-1</f>
        <v>6.2844986034126027E-2</v>
      </c>
      <c r="E113" s="33">
        <f>E112*(1+SPY_Table[[#This Row],[Monthly Return]])</f>
        <v>3.3241532931442168</v>
      </c>
      <c r="F113" s="33">
        <f>MAX(F112,SPY_Table[[#This Row],[Growth]])</f>
        <v>3.3840781637830508</v>
      </c>
      <c r="G113" s="8">
        <f>SPY_Table[[#This Row],[Growth]]/SPY_Table[[#This Row],[High Water Mark]]-1</f>
        <v>-1.7707886088495162E-2</v>
      </c>
    </row>
    <row r="114" spans="2:7" x14ac:dyDescent="0.2">
      <c r="B114" s="22">
        <v>45809</v>
      </c>
      <c r="C114" s="23">
        <v>610.8475341796875</v>
      </c>
      <c r="D114" s="2">
        <f>SPY_Table[[#This Row],[Price/NAV]]/C113-1</f>
        <v>4.8287222054981704E-2</v>
      </c>
      <c r="E114" s="33">
        <f>E113*(1+SPY_Table[[#This Row],[Monthly Return]])</f>
        <v>3.4846674213550703</v>
      </c>
      <c r="F114" s="33">
        <f>MAX(F113,SPY_Table[[#This Row],[Growth]])</f>
        <v>3.4846674213550703</v>
      </c>
      <c r="G114" s="8">
        <f>SPY_Table[[#This Row],[Growth]]/SPY_Table[[#This Row],[High Water Mark]]-1</f>
        <v>0</v>
      </c>
    </row>
    <row r="115" spans="2:7" x14ac:dyDescent="0.2">
      <c r="B115" s="22">
        <v>45839</v>
      </c>
      <c r="C115" s="23">
        <v>626.76</v>
      </c>
      <c r="D115" s="2">
        <f>SPY_Table[[#This Row],[Price/NAV]]/C114-1</f>
        <v>2.6049815919583663E-2</v>
      </c>
      <c r="E115" s="33">
        <f>E114*(1+SPY_Table[[#This Row],[Monthly Return]])</f>
        <v>3.5754423662223402</v>
      </c>
      <c r="F115" s="33">
        <f>MAX(F114,SPY_Table[[#This Row],[Growth]])</f>
        <v>3.5754423662223402</v>
      </c>
      <c r="G115" s="8">
        <f>SPY_Table[[#This Row],[Growth]]/SPY_Table[[#This Row],[High Water Mark]]-1</f>
        <v>0</v>
      </c>
    </row>
    <row r="116" spans="2:7" x14ac:dyDescent="0.2">
      <c r="B116" s="22">
        <v>45870</v>
      </c>
      <c r="C116" s="23">
        <v>639.62457275390625</v>
      </c>
      <c r="D116" s="2">
        <f>SPY_Table[[#This Row],[Price/NAV]]/C115-1</f>
        <v>2.0525516551640699E-2</v>
      </c>
      <c r="E116" s="33">
        <f>E115*(1+SPY_Table[[#This Row],[Monthly Return]])</f>
        <v>3.6488301676896744</v>
      </c>
      <c r="F116" s="33">
        <f>MAX(F115,SPY_Table[[#This Row],[Growth]])</f>
        <v>3.6488301676896744</v>
      </c>
      <c r="G116" s="8">
        <f>SPY_Table[[#This Row],[Growth]]/SPY_Table[[#This Row],[High Water Mark]]-1</f>
        <v>0</v>
      </c>
    </row>
    <row r="117" spans="2:7" x14ac:dyDescent="0.2">
      <c r="B117" s="22">
        <v>45901</v>
      </c>
      <c r="C117" s="23">
        <v>660.5767822265625</v>
      </c>
      <c r="D117" s="2">
        <f>SPY_Table[[#This Row],[Price/NAV]]/C116-1</f>
        <v>3.2757042748446041E-2</v>
      </c>
      <c r="E117" s="33">
        <f>E116*(1+SPY_Table[[#This Row],[Monthly Return]])</f>
        <v>3.7683550534745045</v>
      </c>
      <c r="F117" s="33">
        <f>MAX(F116,SPY_Table[[#This Row],[Growth]])</f>
        <v>3.7683550534745045</v>
      </c>
      <c r="G117" s="8">
        <f>SPY_Table[[#This Row],[Growth]]/SPY_Table[[#This Row],[High Water Mark]]-1</f>
        <v>0</v>
      </c>
    </row>
    <row r="118" spans="2:7" x14ac:dyDescent="0.2">
      <c r="B118" s="22">
        <v>45931</v>
      </c>
      <c r="C118" s="23">
        <v>678.19830322265625</v>
      </c>
      <c r="D118" s="2">
        <f>SPY_Table[[#This Row],[Price/NAV]]/C117-1</f>
        <v>2.6675961781003066E-2</v>
      </c>
      <c r="E118" s="33">
        <f>E117*(1+SPY_Table[[#This Row],[Monthly Return]])</f>
        <v>3.8688795488582404</v>
      </c>
      <c r="F118" s="33">
        <f>MAX(F117,SPY_Table[[#This Row],[Growth]])</f>
        <v>3.8688795488582404</v>
      </c>
      <c r="G118" s="8">
        <f>SPY_Table[[#This Row],[Growth]]/SPY_Table[[#This Row],[High Water Mark]]-1</f>
        <v>0</v>
      </c>
    </row>
    <row r="119" spans="2:7" x14ac:dyDescent="0.2">
      <c r="B119" s="22">
        <v>45962</v>
      </c>
      <c r="C119" s="23">
        <v>679.52081298828125</v>
      </c>
      <c r="D119" s="2">
        <f>SPY_Table[[#This Row],[Price/NAV]]/C118-1</f>
        <v>1.9500340229998692E-3</v>
      </c>
      <c r="E119" s="33">
        <f>E118*(1+SPY_Table[[#This Row],[Monthly Return]])</f>
        <v>3.8764239956094024</v>
      </c>
      <c r="F119" s="33">
        <f>MAX(F118,SPY_Table[[#This Row],[Growth]])</f>
        <v>3.8764239956094024</v>
      </c>
      <c r="G119" s="8">
        <f>SPY_Table[[#This Row],[Growth]]/SPY_Table[[#This Row],[High Water Mark]]-1</f>
        <v>0</v>
      </c>
    </row>
    <row r="120" spans="2:7" x14ac:dyDescent="0.2">
      <c r="B120" s="24">
        <v>45992</v>
      </c>
      <c r="C120" s="25">
        <v>678.05914306640625</v>
      </c>
      <c r="D120" s="2">
        <f>SPY_Table[[#This Row],[Price/NAV]]/C119-1</f>
        <v>-2.1510303936785879E-3</v>
      </c>
      <c r="E120" s="33">
        <f>E119*(1+SPY_Table[[#This Row],[Monthly Return]])</f>
        <v>3.8680856897760618</v>
      </c>
      <c r="F120" s="33">
        <f>MAX(F119,SPY_Table[[#This Row],[Growth]])</f>
        <v>3.8764239956094024</v>
      </c>
      <c r="G120" s="8">
        <f>SPY_Table[[#This Row],[Growth]]/SPY_Table[[#This Row],[High Water Mark]]-1</f>
        <v>-2.1510303936785879E-3</v>
      </c>
    </row>
  </sheetData>
  <mergeCells count="1">
    <mergeCell ref="B1:G1"/>
  </mergeCells>
  <pageMargins left="0.7" right="0.7" top="0.75" bottom="0.75" header="0.3" footer="0.3"/>
  <pageSetup orientation="portrait" verticalDpi="0" r:id="rId1"/>
  <ignoredErrors>
    <ignoredError sqref="E4 D6:G120 D5:F5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A00D-DFC0-436C-BAAE-16C98479A0F1}">
  <dimension ref="B1:G120"/>
  <sheetViews>
    <sheetView workbookViewId="0">
      <selection activeCell="K57" sqref="K57"/>
    </sheetView>
  </sheetViews>
  <sheetFormatPr baseColWidth="10" defaultColWidth="8.83203125" defaultRowHeight="15" x14ac:dyDescent="0.2"/>
  <cols>
    <col min="1" max="1" width="3.5" customWidth="1"/>
    <col min="2" max="7" width="15.5" customWidth="1"/>
  </cols>
  <sheetData>
    <row r="1" spans="2:7" x14ac:dyDescent="0.2">
      <c r="B1" s="199" t="s">
        <v>613</v>
      </c>
      <c r="C1" s="200"/>
      <c r="D1" s="200"/>
      <c r="E1" s="200"/>
      <c r="F1" s="200"/>
      <c r="G1" s="201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>
        <v>42461</v>
      </c>
      <c r="C4" s="23">
        <v>84.136146550000007</v>
      </c>
      <c r="D4" s="32">
        <v>0</v>
      </c>
      <c r="E4" s="32">
        <v>1</v>
      </c>
      <c r="F4" s="33">
        <f>MAX(F3,AGG_Table[[#This Row],[Growth]])</f>
        <v>1</v>
      </c>
      <c r="G4" s="8">
        <f>AGG_Table[[#This Row],[Growth]]/AGG_Table[[#This Row],[High Water Mark]]-1</f>
        <v>0</v>
      </c>
    </row>
    <row r="5" spans="2:7" x14ac:dyDescent="0.2">
      <c r="B5" s="22">
        <v>42491</v>
      </c>
      <c r="C5" s="23">
        <v>84.160568240000003</v>
      </c>
      <c r="D5" s="33">
        <f>AGG_Table[[#This Row],[Price/NAV]]/C4-1</f>
        <v>2.9026394720244042E-4</v>
      </c>
      <c r="E5" s="33">
        <f>E4*(1+AGG_Table[[#This Row],[Monthly Return]])</f>
        <v>1.0002902639472024</v>
      </c>
      <c r="F5" s="33">
        <f>MAX(F4,AGG_Table[[#This Row],[Growth]])</f>
        <v>1.0002902639472024</v>
      </c>
      <c r="G5" s="8">
        <f>AGG_Table[[#This Row],[Growth]]/AGG_Table[[#This Row],[High Water Mark]]-1</f>
        <v>0</v>
      </c>
    </row>
    <row r="6" spans="2:7" x14ac:dyDescent="0.2">
      <c r="B6" s="22">
        <v>42522</v>
      </c>
      <c r="C6" s="23">
        <v>85.778862000000004</v>
      </c>
      <c r="D6" s="33">
        <f>AGG_Table[[#This Row],[Price/NAV]]/C5-1</f>
        <v>1.922864583548356E-2</v>
      </c>
      <c r="E6" s="33">
        <f>E5*(1+AGG_Table[[#This Row],[Monthly Return]])</f>
        <v>1.0195244911653256</v>
      </c>
      <c r="F6" s="33">
        <f>MAX(F5,AGG_Table[[#This Row],[Growth]])</f>
        <v>1.0195244911653256</v>
      </c>
      <c r="G6" s="8">
        <f>AGG_Table[[#This Row],[Growth]]/AGG_Table[[#This Row],[High Water Mark]]-1</f>
        <v>0</v>
      </c>
    </row>
    <row r="7" spans="2:7" x14ac:dyDescent="0.2">
      <c r="B7" s="22">
        <v>42552</v>
      </c>
      <c r="C7" s="23">
        <v>86.253356929999995</v>
      </c>
      <c r="D7" s="33">
        <f>AGG_Table[[#This Row],[Price/NAV]]/C6-1</f>
        <v>5.5316067261417246E-3</v>
      </c>
      <c r="E7" s="33">
        <f>E6*(1+AGG_Table[[#This Row],[Monthly Return]])</f>
        <v>1.0251640996981219</v>
      </c>
      <c r="F7" s="33">
        <f>MAX(F6,AGG_Table[[#This Row],[Growth]])</f>
        <v>1.0251640996981219</v>
      </c>
      <c r="G7" s="8">
        <f>AGG_Table[[#This Row],[Growth]]/AGG_Table[[#This Row],[High Water Mark]]-1</f>
        <v>0</v>
      </c>
    </row>
    <row r="8" spans="2:7" x14ac:dyDescent="0.2">
      <c r="B8" s="22">
        <v>42583</v>
      </c>
      <c r="C8" s="23">
        <v>86.07189941</v>
      </c>
      <c r="D8" s="33">
        <f>AGG_Table[[#This Row],[Price/NAV]]/C7-1</f>
        <v>-2.1037734235348493E-3</v>
      </c>
      <c r="E8" s="33">
        <f>E7*(1+AGG_Table[[#This Row],[Monthly Return]])</f>
        <v>1.023007386710415</v>
      </c>
      <c r="F8" s="33">
        <f>MAX(F7,AGG_Table[[#This Row],[Growth]])</f>
        <v>1.0251640996981219</v>
      </c>
      <c r="G8" s="8">
        <f>AGG_Table[[#This Row],[Growth]]/AGG_Table[[#This Row],[High Water Mark]]-1</f>
        <v>-2.1037734235348493E-3</v>
      </c>
    </row>
    <row r="9" spans="2:7" x14ac:dyDescent="0.2">
      <c r="B9" s="22">
        <v>42614</v>
      </c>
      <c r="C9" s="23">
        <v>86.114959720000002</v>
      </c>
      <c r="D9" s="33">
        <f>AGG_Table[[#This Row],[Price/NAV]]/C8-1</f>
        <v>5.0028302262616897E-4</v>
      </c>
      <c r="E9" s="33">
        <f>E8*(1+AGG_Table[[#This Row],[Monthly Return]])</f>
        <v>1.0235191799380075</v>
      </c>
      <c r="F9" s="33">
        <f>MAX(F8,AGG_Table[[#This Row],[Growth]])</f>
        <v>1.0251640996981219</v>
      </c>
      <c r="G9" s="8">
        <f>AGG_Table[[#This Row],[Growth]]/AGG_Table[[#This Row],[High Water Mark]]-1</f>
        <v>-1.6045428830359088E-3</v>
      </c>
    </row>
    <row r="10" spans="2:7" x14ac:dyDescent="0.2">
      <c r="B10" s="22">
        <v>42644</v>
      </c>
      <c r="C10" s="23">
        <v>85.414863589999996</v>
      </c>
      <c r="D10" s="33">
        <f>AGG_Table[[#This Row],[Price/NAV]]/C9-1</f>
        <v>-8.1297852577106866E-3</v>
      </c>
      <c r="E10" s="33">
        <f>E9*(1+AGG_Table[[#This Row],[Monthly Return]])</f>
        <v>1.0151981887979633</v>
      </c>
      <c r="F10" s="33">
        <f>MAX(F9,AGG_Table[[#This Row],[Growth]])</f>
        <v>1.0251640996981219</v>
      </c>
      <c r="G10" s="8">
        <f>AGG_Table[[#This Row],[Growth]]/AGG_Table[[#This Row],[High Water Mark]]-1</f>
        <v>-9.7212835516706786E-3</v>
      </c>
    </row>
    <row r="11" spans="2:7" x14ac:dyDescent="0.2">
      <c r="B11" s="22">
        <v>42675</v>
      </c>
      <c r="C11" s="23">
        <v>83.216789250000005</v>
      </c>
      <c r="D11" s="33">
        <f>AGG_Table[[#This Row],[Price/NAV]]/C10-1</f>
        <v>-2.5734096474718582E-2</v>
      </c>
      <c r="E11" s="33">
        <f>E10*(1+AGG_Table[[#This Row],[Monthly Return]])</f>
        <v>0.98907298066647698</v>
      </c>
      <c r="F11" s="33">
        <f>MAX(F10,AGG_Table[[#This Row],[Growth]])</f>
        <v>1.0251640996981219</v>
      </c>
      <c r="G11" s="8">
        <f>AGG_Table[[#This Row],[Growth]]/AGG_Table[[#This Row],[High Water Mark]]-1</f>
        <v>-3.5205211577612472E-2</v>
      </c>
    </row>
    <row r="12" spans="2:7" x14ac:dyDescent="0.2">
      <c r="B12" s="22">
        <v>42705</v>
      </c>
      <c r="C12" s="23">
        <v>83.23548126</v>
      </c>
      <c r="D12" s="33">
        <f>AGG_Table[[#This Row],[Price/NAV]]/C11-1</f>
        <v>2.2461825514374922E-4</v>
      </c>
      <c r="E12" s="33">
        <f>E11*(1+AGG_Table[[#This Row],[Monthly Return]])</f>
        <v>0.98929514451360412</v>
      </c>
      <c r="F12" s="33">
        <f>MAX(F11,AGG_Table[[#This Row],[Growth]])</f>
        <v>1.0251640996981219</v>
      </c>
      <c r="G12" s="8">
        <f>AGG_Table[[#This Row],[Growth]]/AGG_Table[[#This Row],[High Water Mark]]-1</f>
        <v>-3.49885010556652E-2</v>
      </c>
    </row>
    <row r="13" spans="2:7" x14ac:dyDescent="0.2">
      <c r="B13" s="22">
        <v>42736</v>
      </c>
      <c r="C13" s="23">
        <v>83.76389313</v>
      </c>
      <c r="D13" s="33">
        <f>AGG_Table[[#This Row],[Price/NAV]]/C12-1</f>
        <v>6.3483968855710948E-3</v>
      </c>
      <c r="E13" s="33">
        <f>E12*(1+AGG_Table[[#This Row],[Monthly Return]])</f>
        <v>0.99557558272794489</v>
      </c>
      <c r="F13" s="33">
        <f>MAX(F12,AGG_Table[[#This Row],[Growth]])</f>
        <v>1.0251640996981219</v>
      </c>
      <c r="G13" s="8">
        <f>AGG_Table[[#This Row],[Growth]]/AGG_Table[[#This Row],[High Water Mark]]-1</f>
        <v>-2.8862225061226709E-2</v>
      </c>
    </row>
    <row r="14" spans="2:7" x14ac:dyDescent="0.2">
      <c r="B14" s="22">
        <v>42767</v>
      </c>
      <c r="C14" s="23">
        <v>84.135215759999994</v>
      </c>
      <c r="D14" s="33">
        <f>AGG_Table[[#This Row],[Price/NAV]]/C13-1</f>
        <v>4.4329676681063024E-3</v>
      </c>
      <c r="E14" s="33">
        <f>E13*(1+AGG_Table[[#This Row],[Monthly Return]])</f>
        <v>0.99998893709733394</v>
      </c>
      <c r="F14" s="33">
        <f>MAX(F13,AGG_Table[[#This Row],[Growth]])</f>
        <v>1.0251640996981219</v>
      </c>
      <c r="G14" s="8">
        <f>AGG_Table[[#This Row],[Growth]]/AGG_Table[[#This Row],[High Water Mark]]-1</f>
        <v>-2.4557202703646475E-2</v>
      </c>
    </row>
    <row r="15" spans="2:7" x14ac:dyDescent="0.2">
      <c r="B15" s="22">
        <v>42795</v>
      </c>
      <c r="C15" s="23">
        <v>84.087875370000006</v>
      </c>
      <c r="D15" s="33">
        <f>AGG_Table[[#This Row],[Price/NAV]]/C14-1</f>
        <v>-5.6267033456036675E-4</v>
      </c>
      <c r="E15" s="33">
        <f>E14*(1+AGG_Table[[#This Row],[Monthly Return]])</f>
        <v>0.99942627298754072</v>
      </c>
      <c r="F15" s="33">
        <f>MAX(F14,AGG_Table[[#This Row],[Growth]])</f>
        <v>1.0251640996981219</v>
      </c>
      <c r="G15" s="8">
        <f>AGG_Table[[#This Row],[Growth]]/AGG_Table[[#This Row],[High Water Mark]]-1</f>
        <v>-2.5106055428745666E-2</v>
      </c>
    </row>
    <row r="16" spans="2:7" x14ac:dyDescent="0.2">
      <c r="B16" s="22">
        <v>42826</v>
      </c>
      <c r="C16" s="23">
        <v>84.848579409999999</v>
      </c>
      <c r="D16" s="33">
        <f>AGG_Table[[#This Row],[Price/NAV]]/C15-1</f>
        <v>9.0465365744201165E-3</v>
      </c>
      <c r="E16" s="33">
        <f>E15*(1+AGG_Table[[#This Row],[Monthly Return]])</f>
        <v>1.008467619319559</v>
      </c>
      <c r="F16" s="33">
        <f>MAX(F15,AGG_Table[[#This Row],[Growth]])</f>
        <v>1.0251640996981219</v>
      </c>
      <c r="G16" s="8">
        <f>AGG_Table[[#This Row],[Growth]]/AGG_Table[[#This Row],[High Water Mark]]-1</f>
        <v>-1.6286641703001092E-2</v>
      </c>
    </row>
    <row r="17" spans="2:7" x14ac:dyDescent="0.2">
      <c r="B17" s="22">
        <v>42856</v>
      </c>
      <c r="C17" s="23">
        <v>85.419456479999994</v>
      </c>
      <c r="D17" s="33">
        <f>AGG_Table[[#This Row],[Price/NAV]]/C16-1</f>
        <v>6.7281865408899133E-3</v>
      </c>
      <c r="E17" s="33">
        <f>E16*(1+AGG_Table[[#This Row],[Monthly Return]])</f>
        <v>1.0152527775827882</v>
      </c>
      <c r="F17" s="33">
        <f>MAX(F16,AGG_Table[[#This Row],[Growth]])</f>
        <v>1.0251640996981219</v>
      </c>
      <c r="G17" s="8">
        <f>AGG_Table[[#This Row],[Growth]]/AGG_Table[[#This Row],[High Water Mark]]-1</f>
        <v>-9.6680347256135057E-3</v>
      </c>
    </row>
    <row r="18" spans="2:7" x14ac:dyDescent="0.2">
      <c r="B18" s="22">
        <v>42887</v>
      </c>
      <c r="C18" s="23">
        <v>85.411682130000003</v>
      </c>
      <c r="D18" s="33">
        <f>AGG_Table[[#This Row],[Price/NAV]]/C17-1</f>
        <v>-9.1013807864803731E-5</v>
      </c>
      <c r="E18" s="33">
        <f>E17*(1+AGG_Table[[#This Row],[Monthly Return]])</f>
        <v>1.015160375561555</v>
      </c>
      <c r="F18" s="33">
        <f>MAX(F17,AGG_Table[[#This Row],[Growth]])</f>
        <v>1.0251640996981219</v>
      </c>
      <c r="G18" s="8">
        <f>AGG_Table[[#This Row],[Growth]]/AGG_Table[[#This Row],[High Water Mark]]-1</f>
        <v>-9.7581686088233921E-3</v>
      </c>
    </row>
    <row r="19" spans="2:7" x14ac:dyDescent="0.2">
      <c r="B19" s="22">
        <v>42917</v>
      </c>
      <c r="C19" s="23">
        <v>85.700477599999999</v>
      </c>
      <c r="D19" s="33">
        <f>AGG_Table[[#This Row],[Price/NAV]]/C18-1</f>
        <v>3.3812174493934588E-3</v>
      </c>
      <c r="E19" s="33">
        <f>E18*(1+AGG_Table[[#This Row],[Monthly Return]])</f>
        <v>1.0185928535373365</v>
      </c>
      <c r="F19" s="33">
        <f>MAX(F18,AGG_Table[[#This Row],[Growth]])</f>
        <v>1.0251640996981219</v>
      </c>
      <c r="G19" s="8">
        <f>AGG_Table[[#This Row],[Growth]]/AGG_Table[[#This Row],[High Water Mark]]-1</f>
        <v>-6.4099456494042251E-3</v>
      </c>
    </row>
    <row r="20" spans="2:7" x14ac:dyDescent="0.2">
      <c r="B20" s="22">
        <v>42948</v>
      </c>
      <c r="C20" s="23">
        <v>86.503486629999998</v>
      </c>
      <c r="D20" s="33">
        <f>AGG_Table[[#This Row],[Price/NAV]]/C19-1</f>
        <v>9.3699481320044242E-3</v>
      </c>
      <c r="E20" s="33">
        <f>E19*(1+AGG_Table[[#This Row],[Monthly Return]])</f>
        <v>1.0281370157426117</v>
      </c>
      <c r="F20" s="33">
        <f>MAX(F19,AGG_Table[[#This Row],[Growth]])</f>
        <v>1.0281370157426117</v>
      </c>
      <c r="G20" s="8">
        <f>AGG_Table[[#This Row],[Growth]]/AGG_Table[[#This Row],[High Water Mark]]-1</f>
        <v>0</v>
      </c>
    </row>
    <row r="21" spans="2:7" x14ac:dyDescent="0.2">
      <c r="B21" s="22">
        <v>42979</v>
      </c>
      <c r="C21" s="23">
        <v>86.010391240000004</v>
      </c>
      <c r="D21" s="33">
        <f>AGG_Table[[#This Row],[Price/NAV]]/C20-1</f>
        <v>-5.7002949731853603E-3</v>
      </c>
      <c r="E21" s="33">
        <f>E20*(1+AGG_Table[[#This Row],[Monthly Return]])</f>
        <v>1.0222763314800283</v>
      </c>
      <c r="F21" s="33">
        <f>MAX(F20,AGG_Table[[#This Row],[Growth]])</f>
        <v>1.0281370157426117</v>
      </c>
      <c r="G21" s="8">
        <f>AGG_Table[[#This Row],[Growth]]/AGG_Table[[#This Row],[High Water Mark]]-1</f>
        <v>-5.7002949731853603E-3</v>
      </c>
    </row>
    <row r="22" spans="2:7" x14ac:dyDescent="0.2">
      <c r="B22" s="22">
        <v>43009</v>
      </c>
      <c r="C22" s="23">
        <v>86.095489499999999</v>
      </c>
      <c r="D22" s="33">
        <f>AGG_Table[[#This Row],[Price/NAV]]/C21-1</f>
        <v>9.8939510416284904E-4</v>
      </c>
      <c r="E22" s="33">
        <f>E21*(1+AGG_Table[[#This Row],[Monthly Return]])</f>
        <v>1.0232877666774962</v>
      </c>
      <c r="F22" s="33">
        <f>MAX(F21,AGG_Table[[#This Row],[Growth]])</f>
        <v>1.0281370157426117</v>
      </c>
      <c r="G22" s="8">
        <f>AGG_Table[[#This Row],[Growth]]/AGG_Table[[#This Row],[High Water Mark]]-1</f>
        <v>-4.7165397129612652E-3</v>
      </c>
    </row>
    <row r="23" spans="2:7" x14ac:dyDescent="0.2">
      <c r="B23" s="22">
        <v>43040</v>
      </c>
      <c r="C23" s="23">
        <v>85.966827390000006</v>
      </c>
      <c r="D23" s="33">
        <f>AGG_Table[[#This Row],[Price/NAV]]/C22-1</f>
        <v>-1.4944117368655974E-3</v>
      </c>
      <c r="E23" s="33">
        <f>E22*(1+AGG_Table[[#This Row],[Monthly Return]])</f>
        <v>1.0217585534287823</v>
      </c>
      <c r="F23" s="33">
        <f>MAX(F22,AGG_Table[[#This Row],[Growth]])</f>
        <v>1.0281370157426117</v>
      </c>
      <c r="G23" s="8">
        <f>AGG_Table[[#This Row],[Growth]]/AGG_Table[[#This Row],[High Water Mark]]-1</f>
        <v>-6.2039029975224924E-3</v>
      </c>
    </row>
    <row r="24" spans="2:7" x14ac:dyDescent="0.2">
      <c r="B24" s="22">
        <v>43070</v>
      </c>
      <c r="C24" s="23">
        <v>86.343673710000004</v>
      </c>
      <c r="D24" s="33">
        <f>AGG_Table[[#This Row],[Price/NAV]]/C23-1</f>
        <v>4.3836248404327538E-3</v>
      </c>
      <c r="E24" s="33">
        <f>E23*(1+AGG_Table[[#This Row],[Monthly Return]])</f>
        <v>1.0262375596045175</v>
      </c>
      <c r="F24" s="33">
        <f>MAX(F23,AGG_Table[[#This Row],[Growth]])</f>
        <v>1.0281370157426117</v>
      </c>
      <c r="G24" s="8">
        <f>AGG_Table[[#This Row],[Growth]]/AGG_Table[[#This Row],[High Water Mark]]-1</f>
        <v>-1.8474737403771924E-3</v>
      </c>
    </row>
    <row r="25" spans="2:7" x14ac:dyDescent="0.2">
      <c r="B25" s="22">
        <v>43101</v>
      </c>
      <c r="C25" s="23">
        <v>85.581802370000005</v>
      </c>
      <c r="D25" s="33">
        <f>AGG_Table[[#This Row],[Price/NAV]]/C24-1</f>
        <v>-8.8237077166634093E-3</v>
      </c>
      <c r="E25" s="33">
        <f>E24*(1+AGG_Table[[#This Row],[Monthly Return]])</f>
        <v>1.0171823393307053</v>
      </c>
      <c r="F25" s="33">
        <f>MAX(F24,AGG_Table[[#This Row],[Growth]])</f>
        <v>1.0281370157426117</v>
      </c>
      <c r="G25" s="8">
        <f>AGG_Table[[#This Row],[Growth]]/AGG_Table[[#This Row],[High Water Mark]]-1</f>
        <v>-1.0654879888741253E-2</v>
      </c>
    </row>
    <row r="26" spans="2:7" x14ac:dyDescent="0.2">
      <c r="B26" s="22">
        <v>43132</v>
      </c>
      <c r="C26" s="23">
        <v>84.528823849999995</v>
      </c>
      <c r="D26" s="33">
        <f>AGG_Table[[#This Row],[Price/NAV]]/C25-1</f>
        <v>-1.2303766581680753E-2</v>
      </c>
      <c r="E26" s="33">
        <f>E25*(1+AGG_Table[[#This Row],[Monthly Return]])</f>
        <v>1.0046671652565724</v>
      </c>
      <c r="F26" s="33">
        <f>MAX(F25,AGG_Table[[#This Row],[Growth]])</f>
        <v>1.0281370157426117</v>
      </c>
      <c r="G26" s="8">
        <f>AGG_Table[[#This Row],[Growth]]/AGG_Table[[#This Row],[High Water Mark]]-1</f>
        <v>-2.2827551315314998E-2</v>
      </c>
    </row>
    <row r="27" spans="2:7" x14ac:dyDescent="0.2">
      <c r="B27" s="22">
        <v>43160</v>
      </c>
      <c r="C27" s="23">
        <v>85.099357600000005</v>
      </c>
      <c r="D27" s="33">
        <f>AGG_Table[[#This Row],[Price/NAV]]/C26-1</f>
        <v>6.7495763458444991E-3</v>
      </c>
      <c r="E27" s="33">
        <f>E26*(1+AGG_Table[[#This Row],[Monthly Return]])</f>
        <v>1.0114482429906348</v>
      </c>
      <c r="F27" s="33">
        <f>MAX(F26,AGG_Table[[#This Row],[Growth]])</f>
        <v>1.0281370157426117</v>
      </c>
      <c r="G27" s="8">
        <f>AGG_Table[[#This Row],[Growth]]/AGG_Table[[#This Row],[High Water Mark]]-1</f>
        <v>-1.6232051269861936E-2</v>
      </c>
    </row>
    <row r="28" spans="2:7" x14ac:dyDescent="0.2">
      <c r="B28" s="22">
        <v>43191</v>
      </c>
      <c r="C28" s="23">
        <v>84.293037409999997</v>
      </c>
      <c r="D28" s="33">
        <f>AGG_Table[[#This Row],[Price/NAV]]/C27-1</f>
        <v>-9.4750443803586215E-3</v>
      </c>
      <c r="E28" s="33">
        <f>E27*(1+AGG_Table[[#This Row],[Monthly Return]])</f>
        <v>1.0018647259998628</v>
      </c>
      <c r="F28" s="33">
        <f>MAX(F27,AGG_Table[[#This Row],[Growth]])</f>
        <v>1.0281370157426117</v>
      </c>
      <c r="G28" s="8">
        <f>AGG_Table[[#This Row],[Growth]]/AGG_Table[[#This Row],[High Water Mark]]-1</f>
        <v>-2.5553296244054446E-2</v>
      </c>
    </row>
    <row r="29" spans="2:7" x14ac:dyDescent="0.2">
      <c r="B29" s="22">
        <v>43221</v>
      </c>
      <c r="C29" s="23">
        <v>84.851104739999997</v>
      </c>
      <c r="D29" s="33">
        <f>AGG_Table[[#This Row],[Price/NAV]]/C28-1</f>
        <v>6.6205625891206932E-3</v>
      </c>
      <c r="E29" s="33">
        <f>E28*(1+AGG_Table[[#This Row],[Monthly Return]])</f>
        <v>1.0084976341241771</v>
      </c>
      <c r="F29" s="33">
        <f>MAX(F28,AGG_Table[[#This Row],[Growth]])</f>
        <v>1.0281370157426117</v>
      </c>
      <c r="G29" s="8">
        <f>AGG_Table[[#This Row],[Growth]]/AGG_Table[[#This Row],[High Water Mark]]-1</f>
        <v>-1.9101910852075799E-2</v>
      </c>
    </row>
    <row r="30" spans="2:7" x14ac:dyDescent="0.2">
      <c r="B30" s="22">
        <v>43252</v>
      </c>
      <c r="C30" s="23">
        <v>84.931831360000004</v>
      </c>
      <c r="D30" s="33">
        <f>AGG_Table[[#This Row],[Price/NAV]]/C29-1</f>
        <v>9.5139150217748991E-4</v>
      </c>
      <c r="E30" s="33">
        <f>E29*(1+AGG_Table[[#This Row],[Monthly Return]])</f>
        <v>1.009457110203249</v>
      </c>
      <c r="F30" s="33">
        <f>MAX(F29,AGG_Table[[#This Row],[Growth]])</f>
        <v>1.0281370157426117</v>
      </c>
      <c r="G30" s="8">
        <f>AGG_Table[[#This Row],[Growth]]/AGG_Table[[#This Row],[High Water Mark]]-1</f>
        <v>-1.8168692745558324E-2</v>
      </c>
    </row>
    <row r="31" spans="2:7" x14ac:dyDescent="0.2">
      <c r="B31" s="22">
        <v>43282</v>
      </c>
      <c r="C31" s="23">
        <v>84.922752380000006</v>
      </c>
      <c r="D31" s="33">
        <f>AGG_Table[[#This Row],[Price/NAV]]/C30-1</f>
        <v>-1.0689725930335126E-4</v>
      </c>
      <c r="E31" s="33">
        <f>E30*(1+AGG_Table[[#This Row],[Monthly Return]])</f>
        <v>1.0093492020047841</v>
      </c>
      <c r="F31" s="33">
        <f>MAX(F30,AGG_Table[[#This Row],[Growth]])</f>
        <v>1.0281370157426117</v>
      </c>
      <c r="G31" s="8">
        <f>AGG_Table[[#This Row],[Growth]]/AGG_Table[[#This Row],[High Water Mark]]-1</f>
        <v>-1.827364782140195E-2</v>
      </c>
    </row>
    <row r="32" spans="2:7" x14ac:dyDescent="0.2">
      <c r="B32" s="22">
        <v>43313</v>
      </c>
      <c r="C32" s="23">
        <v>85.386939999999996</v>
      </c>
      <c r="D32" s="33">
        <f>AGG_Table[[#This Row],[Price/NAV]]/C31-1</f>
        <v>5.4659982983467081E-3</v>
      </c>
      <c r="E32" s="33">
        <f>E31*(1+AGG_Table[[#This Row],[Monthly Return]])</f>
        <v>1.0148663030253797</v>
      </c>
      <c r="F32" s="33">
        <f>MAX(F31,AGG_Table[[#This Row],[Growth]])</f>
        <v>1.0281370157426117</v>
      </c>
      <c r="G32" s="8">
        <f>AGG_Table[[#This Row],[Growth]]/AGG_Table[[#This Row],[High Water Mark]]-1</f>
        <v>-1.290753325095173E-2</v>
      </c>
    </row>
    <row r="33" spans="2:7" x14ac:dyDescent="0.2">
      <c r="B33" s="22">
        <v>43344</v>
      </c>
      <c r="C33" s="23">
        <v>84.873550420000001</v>
      </c>
      <c r="D33" s="33">
        <f>AGG_Table[[#This Row],[Price/NAV]]/C32-1</f>
        <v>-6.0125070648976431E-3</v>
      </c>
      <c r="E33" s="33">
        <f>E32*(1+AGG_Table[[#This Row],[Monthly Return]])</f>
        <v>1.0087644122085131</v>
      </c>
      <c r="F33" s="33">
        <f>MAX(F32,AGG_Table[[#This Row],[Growth]])</f>
        <v>1.0281370157426117</v>
      </c>
      <c r="G33" s="8">
        <f>AGG_Table[[#This Row],[Growth]]/AGG_Table[[#This Row],[High Water Mark]]-1</f>
        <v>-1.8842433680987591E-2</v>
      </c>
    </row>
    <row r="34" spans="2:7" x14ac:dyDescent="0.2">
      <c r="B34" s="22">
        <v>43374</v>
      </c>
      <c r="C34" s="23">
        <v>84.30936432</v>
      </c>
      <c r="D34" s="33">
        <f>AGG_Table[[#This Row],[Price/NAV]]/C33-1</f>
        <v>-6.6473724406261869E-3</v>
      </c>
      <c r="E34" s="33">
        <f>E33*(1+AGG_Table[[#This Row],[Monthly Return]])</f>
        <v>1.0020587794557136</v>
      </c>
      <c r="F34" s="33">
        <f>MAX(F33,AGG_Table[[#This Row],[Growth]])</f>
        <v>1.0281370157426117</v>
      </c>
      <c r="G34" s="8">
        <f>AGG_Table[[#This Row],[Growth]]/AGG_Table[[#This Row],[High Water Mark]]-1</f>
        <v>-2.5364553447248528E-2</v>
      </c>
    </row>
    <row r="35" spans="2:7" x14ac:dyDescent="0.2">
      <c r="B35" s="22">
        <v>43405</v>
      </c>
      <c r="C35" s="23">
        <v>84.745513919999993</v>
      </c>
      <c r="D35" s="33">
        <f>AGG_Table[[#This Row],[Price/NAV]]/C34-1</f>
        <v>5.1732047029149353E-3</v>
      </c>
      <c r="E35" s="33">
        <f>E34*(1+AGG_Table[[#This Row],[Monthly Return]])</f>
        <v>1.0072426346461911</v>
      </c>
      <c r="F35" s="33">
        <f>MAX(F34,AGG_Table[[#This Row],[Growth]])</f>
        <v>1.0281370157426117</v>
      </c>
      <c r="G35" s="8">
        <f>AGG_Table[[#This Row],[Growth]]/AGG_Table[[#This Row],[High Water Mark]]-1</f>
        <v>-2.0322564771514284E-2</v>
      </c>
    </row>
    <row r="36" spans="2:7" x14ac:dyDescent="0.2">
      <c r="B36" s="22">
        <v>43435</v>
      </c>
      <c r="C36" s="23">
        <v>86.470588680000006</v>
      </c>
      <c r="D36" s="33">
        <f>AGG_Table[[#This Row],[Price/NAV]]/C35-1</f>
        <v>2.035594192783452E-2</v>
      </c>
      <c r="E36" s="33">
        <f>E35*(1+AGG_Table[[#This Row],[Monthly Return]])</f>
        <v>1.0277460072242881</v>
      </c>
      <c r="F36" s="33">
        <f>MAX(F35,AGG_Table[[#This Row],[Growth]])</f>
        <v>1.0281370157426117</v>
      </c>
      <c r="G36" s="8">
        <f>AGG_Table[[#This Row],[Growth]]/AGG_Table[[#This Row],[High Water Mark]]-1</f>
        <v>-3.8030779199327291E-4</v>
      </c>
    </row>
    <row r="37" spans="2:7" x14ac:dyDescent="0.2">
      <c r="B37" s="22">
        <v>43466</v>
      </c>
      <c r="C37" s="23">
        <v>87.6415863</v>
      </c>
      <c r="D37" s="33">
        <f>AGG_Table[[#This Row],[Price/NAV]]/C36-1</f>
        <v>1.3542149277293358E-2</v>
      </c>
      <c r="E37" s="33">
        <f>E36*(1+AGG_Table[[#This Row],[Monthly Return]])</f>
        <v>1.0416638970732617</v>
      </c>
      <c r="F37" s="33">
        <f>MAX(F36,AGG_Table[[#This Row],[Growth]])</f>
        <v>1.0416638970732617</v>
      </c>
      <c r="G37" s="8">
        <f>AGG_Table[[#This Row],[Growth]]/AGG_Table[[#This Row],[High Water Mark]]-1</f>
        <v>0</v>
      </c>
    </row>
    <row r="38" spans="2:7" x14ac:dyDescent="0.2">
      <c r="B38" s="22">
        <v>43497</v>
      </c>
      <c r="C38" s="23">
        <v>87.323554990000005</v>
      </c>
      <c r="D38" s="33">
        <f>AGG_Table[[#This Row],[Price/NAV]]/C37-1</f>
        <v>-3.6287717215816029E-3</v>
      </c>
      <c r="E38" s="33">
        <f>E37*(1+AGG_Table[[#This Row],[Monthly Return]])</f>
        <v>1.0378839365801698</v>
      </c>
      <c r="F38" s="33">
        <f>MAX(F37,AGG_Table[[#This Row],[Growth]])</f>
        <v>1.0416638970732617</v>
      </c>
      <c r="G38" s="8">
        <f>AGG_Table[[#This Row],[Growth]]/AGG_Table[[#This Row],[High Water Mark]]-1</f>
        <v>-3.6287717215816029E-3</v>
      </c>
    </row>
    <row r="39" spans="2:7" x14ac:dyDescent="0.2">
      <c r="B39" s="22">
        <v>43525</v>
      </c>
      <c r="C39" s="23">
        <v>89.177055359999997</v>
      </c>
      <c r="D39" s="33">
        <f>AGG_Table[[#This Row],[Price/NAV]]/C38-1</f>
        <v>2.1225663226975167E-2</v>
      </c>
      <c r="E39" s="33">
        <f>E38*(1+AGG_Table[[#This Row],[Monthly Return]])</f>
        <v>1.0599137114867077</v>
      </c>
      <c r="F39" s="33">
        <f>MAX(F38,AGG_Table[[#This Row],[Growth]])</f>
        <v>1.0599137114867077</v>
      </c>
      <c r="G39" s="8">
        <f>AGG_Table[[#This Row],[Growth]]/AGG_Table[[#This Row],[High Water Mark]]-1</f>
        <v>0</v>
      </c>
    </row>
    <row r="40" spans="2:7" x14ac:dyDescent="0.2">
      <c r="B40" s="22">
        <v>43556</v>
      </c>
      <c r="C40" s="23">
        <v>89.00656128</v>
      </c>
      <c r="D40" s="33">
        <f>AGG_Table[[#This Row],[Price/NAV]]/C39-1</f>
        <v>-1.911860391798359E-3</v>
      </c>
      <c r="E40" s="33">
        <f>E39*(1+AGG_Table[[#This Row],[Monthly Return]])</f>
        <v>1.0578873044429922</v>
      </c>
      <c r="F40" s="33">
        <f>MAX(F39,AGG_Table[[#This Row],[Growth]])</f>
        <v>1.0599137114867077</v>
      </c>
      <c r="G40" s="8">
        <f>AGG_Table[[#This Row],[Growth]]/AGG_Table[[#This Row],[High Water Mark]]-1</f>
        <v>-1.911860391798359E-3</v>
      </c>
    </row>
    <row r="41" spans="2:7" x14ac:dyDescent="0.2">
      <c r="B41" s="22">
        <v>43586</v>
      </c>
      <c r="C41" s="23">
        <v>90.70809174</v>
      </c>
      <c r="D41" s="33">
        <f>AGG_Table[[#This Row],[Price/NAV]]/C40-1</f>
        <v>1.9116910433684353E-2</v>
      </c>
      <c r="E41" s="33">
        <f>E40*(1+AGG_Table[[#This Row],[Monthly Return]])</f>
        <v>1.0781108412909606</v>
      </c>
      <c r="F41" s="33">
        <f>MAX(F40,AGG_Table[[#This Row],[Growth]])</f>
        <v>1.0781108412909606</v>
      </c>
      <c r="G41" s="8">
        <f>AGG_Table[[#This Row],[Growth]]/AGG_Table[[#This Row],[High Water Mark]]-1</f>
        <v>0</v>
      </c>
    </row>
    <row r="42" spans="2:7" x14ac:dyDescent="0.2">
      <c r="B42" s="22">
        <v>43617</v>
      </c>
      <c r="C42" s="23">
        <v>91.708190920000007</v>
      </c>
      <c r="D42" s="33">
        <f>AGG_Table[[#This Row],[Price/NAV]]/C41-1</f>
        <v>1.1025468189393983E-2</v>
      </c>
      <c r="E42" s="33">
        <f>E41*(1+AGG_Table[[#This Row],[Monthly Return]])</f>
        <v>1.0899975180762549</v>
      </c>
      <c r="F42" s="33">
        <f>MAX(F41,AGG_Table[[#This Row],[Growth]])</f>
        <v>1.0899975180762549</v>
      </c>
      <c r="G42" s="8">
        <f>AGG_Table[[#This Row],[Growth]]/AGG_Table[[#This Row],[High Water Mark]]-1</f>
        <v>0</v>
      </c>
    </row>
    <row r="43" spans="2:7" x14ac:dyDescent="0.2">
      <c r="B43" s="22">
        <v>43647</v>
      </c>
      <c r="C43" s="23">
        <v>91.883415220000003</v>
      </c>
      <c r="D43" s="33">
        <f>AGG_Table[[#This Row],[Price/NAV]]/C42-1</f>
        <v>1.9106722991935055E-3</v>
      </c>
      <c r="E43" s="33">
        <f>E42*(1+AGG_Table[[#This Row],[Monthly Return]])</f>
        <v>1.092080146140233</v>
      </c>
      <c r="F43" s="33">
        <f>MAX(F42,AGG_Table[[#This Row],[Growth]])</f>
        <v>1.092080146140233</v>
      </c>
      <c r="G43" s="8">
        <f>AGG_Table[[#This Row],[Growth]]/AGG_Table[[#This Row],[High Water Mark]]-1</f>
        <v>0</v>
      </c>
    </row>
    <row r="44" spans="2:7" x14ac:dyDescent="0.2">
      <c r="B44" s="22">
        <v>43678</v>
      </c>
      <c r="C44" s="23">
        <v>94.433456419999999</v>
      </c>
      <c r="D44" s="33">
        <f>AGG_Table[[#This Row],[Price/NAV]]/C43-1</f>
        <v>2.775300846071449E-2</v>
      </c>
      <c r="E44" s="33">
        <f>E43*(1+AGG_Table[[#This Row],[Monthly Return]])</f>
        <v>1.1223886556758411</v>
      </c>
      <c r="F44" s="33">
        <f>MAX(F43,AGG_Table[[#This Row],[Growth]])</f>
        <v>1.1223886556758411</v>
      </c>
      <c r="G44" s="8">
        <f>AGG_Table[[#This Row],[Growth]]/AGG_Table[[#This Row],[High Water Mark]]-1</f>
        <v>0</v>
      </c>
    </row>
    <row r="45" spans="2:7" x14ac:dyDescent="0.2">
      <c r="B45" s="22">
        <v>43709</v>
      </c>
      <c r="C45" s="23">
        <v>93.858345029999995</v>
      </c>
      <c r="D45" s="33">
        <f>AGG_Table[[#This Row],[Price/NAV]]/C44-1</f>
        <v>-6.0901232656586091E-3</v>
      </c>
      <c r="E45" s="33">
        <f>E44*(1+AGG_Table[[#This Row],[Monthly Return]])</f>
        <v>1.1155531704107984</v>
      </c>
      <c r="F45" s="33">
        <f>MAX(F44,AGG_Table[[#This Row],[Growth]])</f>
        <v>1.1223886556758411</v>
      </c>
      <c r="G45" s="8">
        <f>AGG_Table[[#This Row],[Growth]]/AGG_Table[[#This Row],[High Water Mark]]-1</f>
        <v>-6.0901232656586091E-3</v>
      </c>
    </row>
    <row r="46" spans="2:7" x14ac:dyDescent="0.2">
      <c r="B46" s="22">
        <v>43739</v>
      </c>
      <c r="C46" s="23">
        <v>94.058479309999996</v>
      </c>
      <c r="D46" s="33">
        <f>AGG_Table[[#This Row],[Price/NAV]]/C45-1</f>
        <v>2.13230139457532E-3</v>
      </c>
      <c r="E46" s="33">
        <f>E45*(1+AGG_Table[[#This Row],[Monthly Return]])</f>
        <v>1.1179318659917883</v>
      </c>
      <c r="F46" s="33">
        <f>MAX(F45,AGG_Table[[#This Row],[Growth]])</f>
        <v>1.1223886556758411</v>
      </c>
      <c r="G46" s="8">
        <f>AGG_Table[[#This Row],[Growth]]/AGG_Table[[#This Row],[High Water Mark]]-1</f>
        <v>-3.9708078494157251E-3</v>
      </c>
    </row>
    <row r="47" spans="2:7" x14ac:dyDescent="0.2">
      <c r="B47" s="22">
        <v>43770</v>
      </c>
      <c r="C47" s="23">
        <v>94.029289250000005</v>
      </c>
      <c r="D47" s="33">
        <f>AGG_Table[[#This Row],[Price/NAV]]/C46-1</f>
        <v>-3.103394846921681E-4</v>
      </c>
      <c r="E47" s="33">
        <f>E46*(1+AGG_Table[[#This Row],[Monthly Return]])</f>
        <v>1.1175849275925755</v>
      </c>
      <c r="F47" s="33">
        <f>MAX(F46,AGG_Table[[#This Row],[Growth]])</f>
        <v>1.1223886556758411</v>
      </c>
      <c r="G47" s="8">
        <f>AGG_Table[[#This Row],[Growth]]/AGG_Table[[#This Row],[High Water Mark]]-1</f>
        <v>-4.2799150356460647E-3</v>
      </c>
    </row>
    <row r="48" spans="2:7" x14ac:dyDescent="0.2">
      <c r="B48" s="22">
        <v>43800</v>
      </c>
      <c r="C48" s="23">
        <v>93.829193119999999</v>
      </c>
      <c r="D48" s="33">
        <f>AGG_Table[[#This Row],[Price/NAV]]/C47-1</f>
        <v>-2.1280191693037187E-3</v>
      </c>
      <c r="E48" s="33">
        <f>E47*(1+AGG_Table[[#This Row],[Monthly Return]])</f>
        <v>1.1152066854433336</v>
      </c>
      <c r="F48" s="33">
        <f>MAX(F47,AGG_Table[[#This Row],[Growth]])</f>
        <v>1.1223886556758411</v>
      </c>
      <c r="G48" s="8">
        <f>AGG_Table[[#This Row],[Growth]]/AGG_Table[[#This Row],[High Water Mark]]-1</f>
        <v>-6.3988264637109271E-3</v>
      </c>
    </row>
    <row r="49" spans="2:7" x14ac:dyDescent="0.2">
      <c r="B49" s="22">
        <v>43831</v>
      </c>
      <c r="C49" s="23">
        <v>96.105491639999997</v>
      </c>
      <c r="D49" s="33">
        <f>AGG_Table[[#This Row],[Price/NAV]]/C48-1</f>
        <v>2.4260024458366614E-2</v>
      </c>
      <c r="E49" s="33">
        <f>E48*(1+AGG_Table[[#This Row],[Monthly Return]])</f>
        <v>1.1422616269083228</v>
      </c>
      <c r="F49" s="33">
        <f>MAX(F48,AGG_Table[[#This Row],[Growth]])</f>
        <v>1.1422616269083228</v>
      </c>
      <c r="G49" s="8">
        <f>AGG_Table[[#This Row],[Growth]]/AGG_Table[[#This Row],[High Water Mark]]-1</f>
        <v>0</v>
      </c>
    </row>
    <row r="50" spans="2:7" x14ac:dyDescent="0.2">
      <c r="B50" s="22">
        <v>43862</v>
      </c>
      <c r="C50" s="23">
        <v>97.421569820000002</v>
      </c>
      <c r="D50" s="33">
        <f>AGG_Table[[#This Row],[Price/NAV]]/C49-1</f>
        <v>1.3694099655926939E-2</v>
      </c>
      <c r="E50" s="33">
        <f>E49*(1+AGG_Table[[#This Row],[Monthly Return]])</f>
        <v>1.1579038714603467</v>
      </c>
      <c r="F50" s="33">
        <f>MAX(F49,AGG_Table[[#This Row],[Growth]])</f>
        <v>1.1579038714603467</v>
      </c>
      <c r="G50" s="8">
        <f>AGG_Table[[#This Row],[Growth]]/AGG_Table[[#This Row],[High Water Mark]]-1</f>
        <v>0</v>
      </c>
    </row>
    <row r="51" spans="2:7" x14ac:dyDescent="0.2">
      <c r="B51" s="22">
        <v>43891</v>
      </c>
      <c r="C51" s="23">
        <v>96.914421079999997</v>
      </c>
      <c r="D51" s="33">
        <f>AGG_Table[[#This Row],[Price/NAV]]/C50-1</f>
        <v>-5.2057130770633009E-3</v>
      </c>
      <c r="E51" s="33">
        <f>E50*(1+AGG_Table[[#This Row],[Monthly Return]])</f>
        <v>1.1518761561347033</v>
      </c>
      <c r="F51" s="33">
        <f>MAX(F50,AGG_Table[[#This Row],[Growth]])</f>
        <v>1.1579038714603467</v>
      </c>
      <c r="G51" s="8">
        <f>AGG_Table[[#This Row],[Growth]]/AGG_Table[[#This Row],[High Water Mark]]-1</f>
        <v>-5.2057130770633009E-3</v>
      </c>
    </row>
    <row r="52" spans="2:7" x14ac:dyDescent="0.2">
      <c r="B52" s="22">
        <v>43922</v>
      </c>
      <c r="C52" s="23">
        <v>98.570381159999997</v>
      </c>
      <c r="D52" s="33">
        <f>AGG_Table[[#This Row],[Price/NAV]]/C51-1</f>
        <v>1.7086828374417662E-2</v>
      </c>
      <c r="E52" s="33">
        <f>E51*(1+AGG_Table[[#This Row],[Monthly Return]])</f>
        <v>1.1715580663231608</v>
      </c>
      <c r="F52" s="33">
        <f>MAX(F51,AGG_Table[[#This Row],[Growth]])</f>
        <v>1.1715580663231608</v>
      </c>
      <c r="G52" s="8">
        <f>AGG_Table[[#This Row],[Growth]]/AGG_Table[[#This Row],[High Water Mark]]-1</f>
        <v>0</v>
      </c>
    </row>
    <row r="53" spans="2:7" x14ac:dyDescent="0.2">
      <c r="B53" s="22">
        <v>43952</v>
      </c>
      <c r="C53" s="23">
        <v>99.247573849999995</v>
      </c>
      <c r="D53" s="33">
        <f>AGG_Table[[#This Row],[Price/NAV]]/C52-1</f>
        <v>6.8701437696663259E-3</v>
      </c>
      <c r="E53" s="33">
        <f>E52*(1+AGG_Table[[#This Row],[Monthly Return]])</f>
        <v>1.1796068386733132</v>
      </c>
      <c r="F53" s="33">
        <f>MAX(F52,AGG_Table[[#This Row],[Growth]])</f>
        <v>1.1796068386733132</v>
      </c>
      <c r="G53" s="8">
        <f>AGG_Table[[#This Row],[Growth]]/AGG_Table[[#This Row],[High Water Mark]]-1</f>
        <v>0</v>
      </c>
    </row>
    <row r="54" spans="2:7" x14ac:dyDescent="0.2">
      <c r="B54" s="22">
        <v>43983</v>
      </c>
      <c r="C54" s="23">
        <v>99.921348570000006</v>
      </c>
      <c r="D54" s="33">
        <f>AGG_Table[[#This Row],[Price/NAV]]/C53-1</f>
        <v>6.7888281180388255E-3</v>
      </c>
      <c r="E54" s="33">
        <f>E53*(1+AGG_Table[[#This Row],[Monthly Return]])</f>
        <v>1.1876149867479295</v>
      </c>
      <c r="F54" s="33">
        <f>MAX(F53,AGG_Table[[#This Row],[Growth]])</f>
        <v>1.1876149867479295</v>
      </c>
      <c r="G54" s="8">
        <f>AGG_Table[[#This Row],[Growth]]/AGG_Table[[#This Row],[High Water Mark]]-1</f>
        <v>0</v>
      </c>
    </row>
    <row r="55" spans="2:7" x14ac:dyDescent="0.2">
      <c r="B55" s="22">
        <v>44013</v>
      </c>
      <c r="C55" s="23">
        <v>101.2466354</v>
      </c>
      <c r="D55" s="33">
        <f>AGG_Table[[#This Row],[Price/NAV]]/C54-1</f>
        <v>1.3263300075174289E-2</v>
      </c>
      <c r="E55" s="33">
        <f>E54*(1+AGG_Table[[#This Row],[Monthly Return]])</f>
        <v>1.2033666806909415</v>
      </c>
      <c r="F55" s="33">
        <f>MAX(F54,AGG_Table[[#This Row],[Growth]])</f>
        <v>1.2033666806909415</v>
      </c>
      <c r="G55" s="8">
        <f>AGG_Table[[#This Row],[Growth]]/AGG_Table[[#This Row],[High Water Mark]]-1</f>
        <v>0</v>
      </c>
    </row>
    <row r="56" spans="2:7" x14ac:dyDescent="0.2">
      <c r="B56" s="22">
        <v>44044</v>
      </c>
      <c r="C56" s="23">
        <v>100.4284286</v>
      </c>
      <c r="D56" s="33">
        <f>AGG_Table[[#This Row],[Price/NAV]]/C55-1</f>
        <v>-8.081323362178594E-3</v>
      </c>
      <c r="E56" s="33">
        <f>E55*(1+AGG_Table[[#This Row],[Monthly Return]])</f>
        <v>1.1936418854210065</v>
      </c>
      <c r="F56" s="33">
        <f>MAX(F55,AGG_Table[[#This Row],[Growth]])</f>
        <v>1.2033666806909415</v>
      </c>
      <c r="G56" s="8">
        <f>AGG_Table[[#This Row],[Growth]]/AGG_Table[[#This Row],[High Water Mark]]-1</f>
        <v>-8.0813233621787051E-3</v>
      </c>
    </row>
    <row r="57" spans="2:7" x14ac:dyDescent="0.2">
      <c r="B57" s="22">
        <v>44075</v>
      </c>
      <c r="C57" s="23">
        <v>100.33908839999999</v>
      </c>
      <c r="D57" s="33">
        <f>AGG_Table[[#This Row],[Price/NAV]]/C56-1</f>
        <v>-8.8959073885186424E-4</v>
      </c>
      <c r="E57" s="33">
        <f>E56*(1+AGG_Table[[#This Row],[Monthly Return]])</f>
        <v>1.1925800326542302</v>
      </c>
      <c r="F57" s="33">
        <f>MAX(F56,AGG_Table[[#This Row],[Growth]])</f>
        <v>1.2033666806909415</v>
      </c>
      <c r="G57" s="8">
        <f>AGG_Table[[#This Row],[Growth]]/AGG_Table[[#This Row],[High Water Mark]]-1</f>
        <v>-8.963725030609937E-3</v>
      </c>
    </row>
    <row r="58" spans="2:7" x14ac:dyDescent="0.2">
      <c r="B58" s="22">
        <v>44105</v>
      </c>
      <c r="C58" s="23">
        <v>99.772537229999998</v>
      </c>
      <c r="D58" s="33">
        <f>AGG_Table[[#This Row],[Price/NAV]]/C57-1</f>
        <v>-5.646365529467956E-3</v>
      </c>
      <c r="E58" s="33">
        <f>E57*(1+AGG_Table[[#This Row],[Monthly Return]])</f>
        <v>1.1858462898667195</v>
      </c>
      <c r="F58" s="33">
        <f>MAX(F57,AGG_Table[[#This Row],[Growth]])</f>
        <v>1.2033666806909415</v>
      </c>
      <c r="G58" s="8">
        <f>AGG_Table[[#This Row],[Growth]]/AGG_Table[[#This Row],[High Water Mark]]-1</f>
        <v>-1.4559478092049494E-2</v>
      </c>
    </row>
    <row r="59" spans="2:7" x14ac:dyDescent="0.2">
      <c r="B59" s="22">
        <v>44136</v>
      </c>
      <c r="C59" s="23">
        <v>100.9839096</v>
      </c>
      <c r="D59" s="33">
        <f>AGG_Table[[#This Row],[Price/NAV]]/C58-1</f>
        <v>1.2141340729939554E-2</v>
      </c>
      <c r="E59" s="33">
        <f>E58*(1+AGG_Table[[#This Row],[Monthly Return]])</f>
        <v>1.2002440537253261</v>
      </c>
      <c r="F59" s="33">
        <f>MAX(F58,AGG_Table[[#This Row],[Growth]])</f>
        <v>1.2033666806909415</v>
      </c>
      <c r="G59" s="8">
        <f>AGG_Table[[#This Row],[Growth]]/AGG_Table[[#This Row],[High Water Mark]]-1</f>
        <v>-2.594908946475516E-3</v>
      </c>
    </row>
    <row r="60" spans="2:7" x14ac:dyDescent="0.2">
      <c r="B60" s="22">
        <v>44166</v>
      </c>
      <c r="C60" s="23">
        <v>100.9531631</v>
      </c>
      <c r="D60" s="33">
        <f>AGG_Table[[#This Row],[Price/NAV]]/C59-1</f>
        <v>-3.0446929735439276E-4</v>
      </c>
      <c r="E60" s="33">
        <f>E59*(1+AGG_Table[[#This Row],[Monthly Return]])</f>
        <v>1.1998786162616346</v>
      </c>
      <c r="F60" s="33">
        <f>MAX(F59,AGG_Table[[#This Row],[Growth]])</f>
        <v>1.2033666806909415</v>
      </c>
      <c r="G60" s="8">
        <f>AGG_Table[[#This Row],[Growth]]/AGG_Table[[#This Row],[High Water Mark]]-1</f>
        <v>-2.8985881737262353E-3</v>
      </c>
    </row>
    <row r="61" spans="2:7" x14ac:dyDescent="0.2">
      <c r="B61" s="22">
        <v>44197</v>
      </c>
      <c r="C61" s="23">
        <v>100.4825745</v>
      </c>
      <c r="D61" s="33">
        <f>AGG_Table[[#This Row],[Price/NAV]]/C60-1</f>
        <v>-4.6614547335565026E-3</v>
      </c>
      <c r="E61" s="33">
        <f>E60*(1+AGG_Table[[#This Row],[Monthly Return]])</f>
        <v>1.1942854364061686</v>
      </c>
      <c r="F61" s="33">
        <f>MAX(F60,AGG_Table[[#This Row],[Growth]])</f>
        <v>1.2033666806909415</v>
      </c>
      <c r="G61" s="8">
        <f>AGG_Table[[#This Row],[Growth]]/AGG_Table[[#This Row],[High Water Mark]]-1</f>
        <v>-7.546531269719714E-3</v>
      </c>
    </row>
    <row r="62" spans="2:7" x14ac:dyDescent="0.2">
      <c r="B62" s="22">
        <v>44228</v>
      </c>
      <c r="C62" s="23">
        <v>98.795173649999995</v>
      </c>
      <c r="D62" s="33">
        <f>AGG_Table[[#This Row],[Price/NAV]]/C61-1</f>
        <v>-1.6792969909424471E-2</v>
      </c>
      <c r="E62" s="33">
        <f>E61*(1+AGG_Table[[#This Row],[Monthly Return]])</f>
        <v>1.1742298370093358</v>
      </c>
      <c r="F62" s="33">
        <f>MAX(F61,AGG_Table[[#This Row],[Growth]])</f>
        <v>1.2033666806909415</v>
      </c>
      <c r="G62" s="8">
        <f>AGG_Table[[#This Row],[Growth]]/AGG_Table[[#This Row],[High Water Mark]]-1</f>
        <v>-2.4212772506611357E-2</v>
      </c>
    </row>
    <row r="63" spans="2:7" x14ac:dyDescent="0.2">
      <c r="B63" s="22">
        <v>44256</v>
      </c>
      <c r="C63" s="23">
        <v>97.661621089999997</v>
      </c>
      <c r="D63" s="33">
        <f>AGG_Table[[#This Row],[Price/NAV]]/C62-1</f>
        <v>-1.14737645384968E-2</v>
      </c>
      <c r="E63" s="33">
        <f>E62*(1+AGG_Table[[#This Row],[Monthly Return]])</f>
        <v>1.1607570003454133</v>
      </c>
      <c r="F63" s="33">
        <f>MAX(F62,AGG_Table[[#This Row],[Growth]])</f>
        <v>1.2033666806909415</v>
      </c>
      <c r="G63" s="8">
        <f>AGG_Table[[#This Row],[Growth]]/AGG_Table[[#This Row],[High Water Mark]]-1</f>
        <v>-3.5408725394542984E-2</v>
      </c>
    </row>
    <row r="64" spans="2:7" x14ac:dyDescent="0.2">
      <c r="B64" s="22">
        <v>44287</v>
      </c>
      <c r="C64" s="23">
        <v>98.389915470000005</v>
      </c>
      <c r="D64" s="33">
        <f>AGG_Table[[#This Row],[Price/NAV]]/C63-1</f>
        <v>7.457324298649981E-3</v>
      </c>
      <c r="E64" s="33">
        <f>E63*(1+AGG_Table[[#This Row],[Monthly Return]])</f>
        <v>1.1694131417289173</v>
      </c>
      <c r="F64" s="33">
        <f>MAX(F63,AGG_Table[[#This Row],[Growth]])</f>
        <v>1.2033666806909415</v>
      </c>
      <c r="G64" s="8">
        <f>AGG_Table[[#This Row],[Growth]]/AGG_Table[[#This Row],[High Water Mark]]-1</f>
        <v>-2.821545544416193E-2</v>
      </c>
    </row>
    <row r="65" spans="2:7" x14ac:dyDescent="0.2">
      <c r="B65" s="22">
        <v>44317</v>
      </c>
      <c r="C65" s="23">
        <v>98.590476989999999</v>
      </c>
      <c r="D65" s="33">
        <f>AGG_Table[[#This Row],[Price/NAV]]/C64-1</f>
        <v>2.0384357384792828E-3</v>
      </c>
      <c r="E65" s="33">
        <f>E64*(1+AGG_Table[[#This Row],[Monthly Return]])</f>
        <v>1.1717969152700649</v>
      </c>
      <c r="F65" s="33">
        <f>MAX(F64,AGG_Table[[#This Row],[Growth]])</f>
        <v>1.2033666806909415</v>
      </c>
      <c r="G65" s="8">
        <f>AGG_Table[[#This Row],[Growth]]/AGG_Table[[#This Row],[High Water Mark]]-1</f>
        <v>-2.6234535098437428E-2</v>
      </c>
    </row>
    <row r="66" spans="2:7" x14ac:dyDescent="0.2">
      <c r="B66" s="22">
        <v>44348</v>
      </c>
      <c r="C66" s="23">
        <v>99.412010190000004</v>
      </c>
      <c r="D66" s="33">
        <f>AGG_Table[[#This Row],[Price/NAV]]/C65-1</f>
        <v>8.332784515114211E-3</v>
      </c>
      <c r="E66" s="33">
        <f>E65*(1+AGG_Table[[#This Row],[Monthly Return]])</f>
        <v>1.1815612464604859</v>
      </c>
      <c r="F66" s="33">
        <f>MAX(F65,AGG_Table[[#This Row],[Growth]])</f>
        <v>1.2033666806909415</v>
      </c>
      <c r="G66" s="8">
        <f>AGG_Table[[#This Row],[Growth]]/AGG_Table[[#This Row],[High Water Mark]]-1</f>
        <v>-1.8120357311152691E-2</v>
      </c>
    </row>
    <row r="67" spans="2:7" x14ac:dyDescent="0.2">
      <c r="B67" s="22">
        <v>44378</v>
      </c>
      <c r="C67" s="23">
        <v>100.53260040000001</v>
      </c>
      <c r="D67" s="33">
        <f>AGG_Table[[#This Row],[Price/NAV]]/C66-1</f>
        <v>1.1272181377866675E-2</v>
      </c>
      <c r="E67" s="33">
        <f>E66*(1+AGG_Table[[#This Row],[Monthly Return]])</f>
        <v>1.1948800191396467</v>
      </c>
      <c r="F67" s="33">
        <f>MAX(F66,AGG_Table[[#This Row],[Growth]])</f>
        <v>1.2033666806909415</v>
      </c>
      <c r="G67" s="8">
        <f>AGG_Table[[#This Row],[Growth]]/AGG_Table[[#This Row],[High Water Mark]]-1</f>
        <v>-7.0524318875291314E-3</v>
      </c>
    </row>
    <row r="68" spans="2:7" x14ac:dyDescent="0.2">
      <c r="B68" s="22">
        <v>44409</v>
      </c>
      <c r="C68" s="23">
        <v>100.3230362</v>
      </c>
      <c r="D68" s="33">
        <f>AGG_Table[[#This Row],[Price/NAV]]/C67-1</f>
        <v>-2.0845397330436777E-3</v>
      </c>
      <c r="E68" s="33">
        <f>E67*(1+AGG_Table[[#This Row],[Monthly Return]])</f>
        <v>1.1923892442635302</v>
      </c>
      <c r="F68" s="33">
        <f>MAX(F67,AGG_Table[[#This Row],[Growth]])</f>
        <v>1.2033666806909415</v>
      </c>
      <c r="G68" s="8">
        <f>AGG_Table[[#This Row],[Growth]]/AGG_Table[[#This Row],[High Water Mark]]-1</f>
        <v>-9.1222705460886067E-3</v>
      </c>
    </row>
    <row r="69" spans="2:7" x14ac:dyDescent="0.2">
      <c r="B69" s="22">
        <v>44440</v>
      </c>
      <c r="C69" s="23">
        <v>99.402320860000003</v>
      </c>
      <c r="D69" s="33">
        <f>AGG_Table[[#This Row],[Price/NAV]]/C68-1</f>
        <v>-9.1775067310014835E-3</v>
      </c>
      <c r="E69" s="33">
        <f>E68*(1+AGG_Table[[#This Row],[Monthly Return]])</f>
        <v>1.1814460839483278</v>
      </c>
      <c r="F69" s="33">
        <f>MAX(F68,AGG_Table[[#This Row],[Growth]])</f>
        <v>1.2033666806909415</v>
      </c>
      <c r="G69" s="8">
        <f>AGG_Table[[#This Row],[Growth]]/AGG_Table[[#This Row],[High Water Mark]]-1</f>
        <v>-1.8216057577751354E-2</v>
      </c>
    </row>
    <row r="70" spans="2:7" x14ac:dyDescent="0.2">
      <c r="B70" s="22">
        <v>44470</v>
      </c>
      <c r="C70" s="23">
        <v>99.380866999999995</v>
      </c>
      <c r="D70" s="33">
        <f>AGG_Table[[#This Row],[Price/NAV]]/C69-1</f>
        <v>-2.1582856229507286E-4</v>
      </c>
      <c r="E70" s="33">
        <f>E69*(1+AGG_Table[[#This Row],[Monthly Return]])</f>
        <v>1.1811910941386001</v>
      </c>
      <c r="F70" s="33">
        <f>MAX(F69,AGG_Table[[#This Row],[Growth]])</f>
        <v>1.2033666806909415</v>
      </c>
      <c r="G70" s="8">
        <f>AGG_Table[[#This Row],[Growth]]/AGG_Table[[#This Row],[High Water Mark]]-1</f>
        <v>-1.8427954594528728E-2</v>
      </c>
    </row>
    <row r="71" spans="2:7" x14ac:dyDescent="0.2">
      <c r="B71" s="22">
        <v>44501</v>
      </c>
      <c r="C71" s="23">
        <v>99.649765009999996</v>
      </c>
      <c r="D71" s="33">
        <f>AGG_Table[[#This Row],[Price/NAV]]/C70-1</f>
        <v>2.7057321808230395E-3</v>
      </c>
      <c r="E71" s="33">
        <f>E70*(1+AGG_Table[[#This Row],[Monthly Return]])</f>
        <v>1.1843870808937125</v>
      </c>
      <c r="F71" s="33">
        <f>MAX(F70,AGG_Table[[#This Row],[Growth]])</f>
        <v>1.2033666806909415</v>
      </c>
      <c r="G71" s="8">
        <f>AGG_Table[[#This Row],[Growth]]/AGG_Table[[#This Row],[High Water Mark]]-1</f>
        <v>-1.5772083523478919E-2</v>
      </c>
    </row>
    <row r="72" spans="2:7" x14ac:dyDescent="0.2">
      <c r="B72" s="22">
        <v>44531</v>
      </c>
      <c r="C72" s="23">
        <v>99.206428529999997</v>
      </c>
      <c r="D72" s="33">
        <f>AGG_Table[[#This Row],[Price/NAV]]/C71-1</f>
        <v>-4.4489465675660034E-3</v>
      </c>
      <c r="E72" s="33">
        <f>E71*(1+AGG_Table[[#This Row],[Monthly Return]])</f>
        <v>1.179117806055501</v>
      </c>
      <c r="F72" s="33">
        <f>MAX(F71,AGG_Table[[#This Row],[Growth]])</f>
        <v>1.2033666806909415</v>
      </c>
      <c r="G72" s="8">
        <f>AGG_Table[[#This Row],[Growth]]/AGG_Table[[#This Row],[High Water Mark]]-1</f>
        <v>-2.0150860934189607E-2</v>
      </c>
    </row>
    <row r="73" spans="2:7" x14ac:dyDescent="0.2">
      <c r="B73" s="22">
        <v>44562</v>
      </c>
      <c r="C73" s="23">
        <v>97.460845950000007</v>
      </c>
      <c r="D73" s="33">
        <f>AGG_Table[[#This Row],[Price/NAV]]/C72-1</f>
        <v>-1.7595458337381076E-2</v>
      </c>
      <c r="E73" s="33">
        <f>E72*(1+AGG_Table[[#This Row],[Monthly Return]])</f>
        <v>1.1583706878241873</v>
      </c>
      <c r="F73" s="33">
        <f>MAX(F72,AGG_Table[[#This Row],[Growth]])</f>
        <v>1.2033666806909415</v>
      </c>
      <c r="G73" s="8">
        <f>AGG_Table[[#This Row],[Growth]]/AGG_Table[[#This Row],[High Water Mark]]-1</f>
        <v>-3.7391755637540824E-2</v>
      </c>
    </row>
    <row r="74" spans="2:7" x14ac:dyDescent="0.2">
      <c r="B74" s="22">
        <v>44593</v>
      </c>
      <c r="C74" s="23">
        <v>96.205558780000004</v>
      </c>
      <c r="D74" s="33">
        <f>AGG_Table[[#This Row],[Price/NAV]]/C73-1</f>
        <v>-1.2879912520398218E-2</v>
      </c>
      <c r="E74" s="33">
        <f>E73*(1+AGG_Table[[#This Row],[Monthly Return]])</f>
        <v>1.1434509746988182</v>
      </c>
      <c r="F74" s="33">
        <f>MAX(F73,AGG_Table[[#This Row],[Growth]])</f>
        <v>1.2033666806909415</v>
      </c>
      <c r="G74" s="8">
        <f>AGG_Table[[#This Row],[Growth]]/AGG_Table[[#This Row],[High Water Mark]]-1</f>
        <v>-4.9790065616343471E-2</v>
      </c>
    </row>
    <row r="75" spans="2:7" x14ac:dyDescent="0.2">
      <c r="B75" s="22">
        <v>44621</v>
      </c>
      <c r="C75" s="23">
        <v>93.498367310000006</v>
      </c>
      <c r="D75" s="33">
        <f>AGG_Table[[#This Row],[Price/NAV]]/C74-1</f>
        <v>-2.8139657461901169E-2</v>
      </c>
      <c r="E75" s="33">
        <f>E74*(1+AGG_Table[[#This Row],[Monthly Return]])</f>
        <v>1.1112746559463165</v>
      </c>
      <c r="F75" s="33">
        <f>MAX(F74,AGG_Table[[#This Row],[Growth]])</f>
        <v>1.2033666806909415</v>
      </c>
      <c r="G75" s="8">
        <f>AGG_Table[[#This Row],[Growth]]/AGG_Table[[#This Row],[High Water Mark]]-1</f>
        <v>-7.6528647686795015E-2</v>
      </c>
    </row>
    <row r="76" spans="2:7" x14ac:dyDescent="0.2">
      <c r="B76" s="22">
        <v>44652</v>
      </c>
      <c r="C76" s="23">
        <v>89.936744689999998</v>
      </c>
      <c r="D76" s="33">
        <f>AGG_Table[[#This Row],[Price/NAV]]/C75-1</f>
        <v>-3.8092885709877788E-2</v>
      </c>
      <c r="E76" s="33">
        <f>E75*(1+AGG_Table[[#This Row],[Monthly Return]])</f>
        <v>1.0689429974850697</v>
      </c>
      <c r="F76" s="33">
        <f>MAX(F75,AGG_Table[[#This Row],[Growth]])</f>
        <v>1.2033666806909415</v>
      </c>
      <c r="G76" s="8">
        <f>AGG_Table[[#This Row],[Growth]]/AGG_Table[[#This Row],[High Water Mark]]-1</f>
        <v>-0.11170633636680827</v>
      </c>
    </row>
    <row r="77" spans="2:7" x14ac:dyDescent="0.2">
      <c r="B77" s="22">
        <v>44682</v>
      </c>
      <c r="C77" s="23">
        <v>90.596664430000004</v>
      </c>
      <c r="D77" s="33">
        <f>AGG_Table[[#This Row],[Price/NAV]]/C76-1</f>
        <v>7.3375986897754597E-3</v>
      </c>
      <c r="E77" s="33">
        <f>E76*(1+AGG_Table[[#This Row],[Monthly Return]])</f>
        <v>1.0767864722228608</v>
      </c>
      <c r="F77" s="33">
        <f>MAX(F76,AGG_Table[[#This Row],[Growth]])</f>
        <v>1.2033666806909415</v>
      </c>
      <c r="G77" s="8">
        <f>AGG_Table[[#This Row],[Growth]]/AGG_Table[[#This Row],[High Water Mark]]-1</f>
        <v>-0.1051883939443975</v>
      </c>
    </row>
    <row r="78" spans="2:7" x14ac:dyDescent="0.2">
      <c r="B78" s="22">
        <v>44713</v>
      </c>
      <c r="C78" s="23">
        <v>89.186271669999996</v>
      </c>
      <c r="D78" s="33">
        <f>AGG_Table[[#This Row],[Price/NAV]]/C77-1</f>
        <v>-1.5567822158505162E-2</v>
      </c>
      <c r="E78" s="33">
        <f>E77*(1+AGG_Table[[#This Row],[Monthly Return]])</f>
        <v>1.0600232519206112</v>
      </c>
      <c r="F78" s="33">
        <f>MAX(F77,AGG_Table[[#This Row],[Growth]])</f>
        <v>1.2033666806909415</v>
      </c>
      <c r="G78" s="8">
        <f>AGG_Table[[#This Row],[Growth]]/AGG_Table[[#This Row],[High Water Mark]]-1</f>
        <v>-0.11911866189283749</v>
      </c>
    </row>
    <row r="79" spans="2:7" x14ac:dyDescent="0.2">
      <c r="B79" s="22">
        <v>44743</v>
      </c>
      <c r="C79" s="23">
        <v>91.447013850000005</v>
      </c>
      <c r="D79" s="33">
        <f>AGG_Table[[#This Row],[Price/NAV]]/C78-1</f>
        <v>2.5348544542427298E-2</v>
      </c>
      <c r="E79" s="33">
        <f>E78*(1+AGG_Table[[#This Row],[Monthly Return]])</f>
        <v>1.0868932985379294</v>
      </c>
      <c r="F79" s="33">
        <f>MAX(F78,AGG_Table[[#This Row],[Growth]])</f>
        <v>1.2033666806909415</v>
      </c>
      <c r="G79" s="8">
        <f>AGG_Table[[#This Row],[Growth]]/AGG_Table[[#This Row],[High Water Mark]]-1</f>
        <v>-9.6789602057235191E-2</v>
      </c>
    </row>
    <row r="80" spans="2:7" x14ac:dyDescent="0.2">
      <c r="B80" s="22">
        <v>44774</v>
      </c>
      <c r="C80" s="23">
        <v>88.656715390000002</v>
      </c>
      <c r="D80" s="33">
        <f>AGG_Table[[#This Row],[Price/NAV]]/C79-1</f>
        <v>-3.0512734560987576E-2</v>
      </c>
      <c r="E80" s="33">
        <f>E79*(1+AGG_Table[[#This Row],[Monthly Return]])</f>
        <v>1.0537292118235253</v>
      </c>
      <c r="F80" s="33">
        <f>MAX(F79,AGG_Table[[#This Row],[Growth]])</f>
        <v>1.2033666806909415</v>
      </c>
      <c r="G80" s="8">
        <f>AGG_Table[[#This Row],[Growth]]/AGG_Table[[#This Row],[High Water Mark]]-1</f>
        <v>-0.12434902118238667</v>
      </c>
    </row>
    <row r="81" spans="2:7" x14ac:dyDescent="0.2">
      <c r="B81" s="22">
        <v>44805</v>
      </c>
      <c r="C81" s="23">
        <v>84.973037719999994</v>
      </c>
      <c r="D81" s="33">
        <f>AGG_Table[[#This Row],[Price/NAV]]/C80-1</f>
        <v>-4.1549900126522266E-2</v>
      </c>
      <c r="E81" s="33">
        <f>E80*(1+AGG_Table[[#This Row],[Monthly Return]])</f>
        <v>1.0099468683118589</v>
      </c>
      <c r="F81" s="33">
        <f>MAX(F80,AGG_Table[[#This Row],[Growth]])</f>
        <v>1.2033666806909415</v>
      </c>
      <c r="G81" s="8">
        <f>AGG_Table[[#This Row],[Growth]]/AGG_Table[[#This Row],[High Water Mark]]-1</f>
        <v>-0.16073223189794994</v>
      </c>
    </row>
    <row r="82" spans="2:7" x14ac:dyDescent="0.2">
      <c r="B82" s="22">
        <v>44835</v>
      </c>
      <c r="C82" s="23">
        <v>83.872863769999995</v>
      </c>
      <c r="D82" s="33">
        <f>AGG_Table[[#This Row],[Price/NAV]]/C81-1</f>
        <v>-1.2947329876863423E-2</v>
      </c>
      <c r="E82" s="33">
        <f>E81*(1+AGG_Table[[#This Row],[Monthly Return]])</f>
        <v>0.99687075304972006</v>
      </c>
      <c r="F82" s="33">
        <f>MAX(F81,AGG_Table[[#This Row],[Growth]])</f>
        <v>1.2033666806909415</v>
      </c>
      <c r="G82" s="8">
        <f>AGG_Table[[#This Row],[Growth]]/AGG_Table[[#This Row],[High Water Mark]]-1</f>
        <v>-0.17159850854658609</v>
      </c>
    </row>
    <row r="83" spans="2:7" x14ac:dyDescent="0.2">
      <c r="B83" s="22">
        <v>44866</v>
      </c>
      <c r="C83" s="23">
        <v>87.059585569999996</v>
      </c>
      <c r="D83" s="33">
        <f>AGG_Table[[#This Row],[Price/NAV]]/C82-1</f>
        <v>3.7994670227772032E-2</v>
      </c>
      <c r="E83" s="33">
        <f>E82*(1+AGG_Table[[#This Row],[Monthly Return]])</f>
        <v>1.0347465285715549</v>
      </c>
      <c r="F83" s="33">
        <f>MAX(F82,AGG_Table[[#This Row],[Growth]])</f>
        <v>1.2033666806909415</v>
      </c>
      <c r="G83" s="8">
        <f>AGG_Table[[#This Row],[Growth]]/AGG_Table[[#This Row],[High Water Mark]]-1</f>
        <v>-0.14012366706261914</v>
      </c>
    </row>
    <row r="84" spans="2:7" x14ac:dyDescent="0.2">
      <c r="B84" s="22">
        <v>44896</v>
      </c>
      <c r="C84" s="23">
        <v>86.104103089999995</v>
      </c>
      <c r="D84" s="33">
        <f>AGG_Table[[#This Row],[Price/NAV]]/C83-1</f>
        <v>-1.0975040528210966E-2</v>
      </c>
      <c r="E84" s="33">
        <f>E83*(1+AGG_Table[[#This Row],[Monthly Return]])</f>
        <v>1.0233901434840564</v>
      </c>
      <c r="F84" s="33">
        <f>MAX(F83,AGG_Table[[#This Row],[Growth]])</f>
        <v>1.2033666806909415</v>
      </c>
      <c r="G84" s="8">
        <f>AGG_Table[[#This Row],[Growth]]/AGG_Table[[#This Row],[High Water Mark]]-1</f>
        <v>-0.1495608446658564</v>
      </c>
    </row>
    <row r="85" spans="2:7" x14ac:dyDescent="0.2">
      <c r="B85" s="22">
        <v>44927</v>
      </c>
      <c r="C85" s="23">
        <v>89.379234310000001</v>
      </c>
      <c r="D85" s="33">
        <f>AGG_Table[[#This Row],[Price/NAV]]/C84-1</f>
        <v>3.803687748279172E-2</v>
      </c>
      <c r="E85" s="33">
        <f>E84*(1+AGG_Table[[#This Row],[Monthly Return]])</f>
        <v>1.0623167089888561</v>
      </c>
      <c r="F85" s="33">
        <f>MAX(F84,AGG_Table[[#This Row],[Growth]])</f>
        <v>1.2033666806909415</v>
      </c>
      <c r="G85" s="8">
        <f>AGG_Table[[#This Row],[Growth]]/AGG_Table[[#This Row],[High Water Mark]]-1</f>
        <v>-0.11721279470784274</v>
      </c>
    </row>
    <row r="86" spans="2:7" x14ac:dyDescent="0.2">
      <c r="B86" s="22">
        <v>44958</v>
      </c>
      <c r="C86" s="23">
        <v>86.784034730000002</v>
      </c>
      <c r="D86" s="33">
        <f>AGG_Table[[#This Row],[Price/NAV]]/C85-1</f>
        <v>-2.9035822470786621E-2</v>
      </c>
      <c r="E86" s="33">
        <f>E85*(1+AGG_Table[[#This Row],[Monthly Return]])</f>
        <v>1.0314714696189053</v>
      </c>
      <c r="F86" s="33">
        <f>MAX(F85,AGG_Table[[#This Row],[Growth]])</f>
        <v>1.2033666806909415</v>
      </c>
      <c r="G86" s="8">
        <f>AGG_Table[[#This Row],[Growth]]/AGG_Table[[#This Row],[High Water Mark]]-1</f>
        <v>-0.14284524728018766</v>
      </c>
    </row>
    <row r="87" spans="2:7" x14ac:dyDescent="0.2">
      <c r="B87" s="22">
        <v>44986</v>
      </c>
      <c r="C87" s="23">
        <v>89.079750059999995</v>
      </c>
      <c r="D87" s="33">
        <f>AGG_Table[[#This Row],[Price/NAV]]/C86-1</f>
        <v>2.6453198876295048E-2</v>
      </c>
      <c r="E87" s="33">
        <f>E86*(1+AGG_Table[[#This Row],[Monthly Return]])</f>
        <v>1.0587571895399586</v>
      </c>
      <c r="F87" s="33">
        <f>MAX(F86,AGG_Table[[#This Row],[Growth]])</f>
        <v>1.2033666806909415</v>
      </c>
      <c r="G87" s="8">
        <f>AGG_Table[[#This Row],[Growth]]/AGG_Table[[#This Row],[High Water Mark]]-1</f>
        <v>-0.12017076213872901</v>
      </c>
    </row>
    <row r="88" spans="2:7" x14ac:dyDescent="0.2">
      <c r="B88" s="22">
        <v>45017</v>
      </c>
      <c r="C88" s="23">
        <v>89.581268309999999</v>
      </c>
      <c r="D88" s="33">
        <f>AGG_Table[[#This Row],[Price/NAV]]/C87-1</f>
        <v>5.6299916609803269E-3</v>
      </c>
      <c r="E88" s="33">
        <f>E87*(1+AGG_Table[[#This Row],[Monthly Return]])</f>
        <v>1.0647179836880716</v>
      </c>
      <c r="F88" s="33">
        <f>MAX(F87,AGG_Table[[#This Row],[Growth]])</f>
        <v>1.2033666806909415</v>
      </c>
      <c r="G88" s="8">
        <f>AGG_Table[[#This Row],[Growth]]/AGG_Table[[#This Row],[High Water Mark]]-1</f>
        <v>-0.11521733086648334</v>
      </c>
    </row>
    <row r="89" spans="2:7" x14ac:dyDescent="0.2">
      <c r="B89" s="22">
        <v>45047</v>
      </c>
      <c r="C89" s="23">
        <v>88.55955505</v>
      </c>
      <c r="D89" s="33">
        <f>AGG_Table[[#This Row],[Price/NAV]]/C88-1</f>
        <v>-1.1405434185909447E-2</v>
      </c>
      <c r="E89" s="33">
        <f>E88*(1+AGG_Table[[#This Row],[Monthly Return]])</f>
        <v>1.052574412798563</v>
      </c>
      <c r="F89" s="33">
        <f>MAX(F88,AGG_Table[[#This Row],[Growth]])</f>
        <v>1.2033666806909415</v>
      </c>
      <c r="G89" s="8">
        <f>AGG_Table[[#This Row],[Growth]]/AGG_Table[[#This Row],[High Water Mark]]-1</f>
        <v>-0.12530866136811891</v>
      </c>
    </row>
    <row r="90" spans="2:7" x14ac:dyDescent="0.2">
      <c r="B90" s="22">
        <v>45078</v>
      </c>
      <c r="C90" s="23">
        <v>88.222282410000005</v>
      </c>
      <c r="D90" s="33">
        <f>AGG_Table[[#This Row],[Price/NAV]]/C89-1</f>
        <v>-3.8084274453453748E-3</v>
      </c>
      <c r="E90" s="33">
        <f>E89*(1+AGG_Table[[#This Row],[Monthly Return]])</f>
        <v>1.0485657595165927</v>
      </c>
      <c r="F90" s="33">
        <f>MAX(F89,AGG_Table[[#This Row],[Growth]])</f>
        <v>1.2033666806909415</v>
      </c>
      <c r="G90" s="8">
        <f>AGG_Table[[#This Row],[Growth]]/AGG_Table[[#This Row],[High Water Mark]]-1</f>
        <v>-0.12863985986837045</v>
      </c>
    </row>
    <row r="91" spans="2:7" x14ac:dyDescent="0.2">
      <c r="B91" s="22">
        <v>45108</v>
      </c>
      <c r="C91" s="23">
        <v>88.209999080000003</v>
      </c>
      <c r="D91" s="33">
        <f>AGG_Table[[#This Row],[Price/NAV]]/C90-1</f>
        <v>-1.3923160526407852E-4</v>
      </c>
      <c r="E91" s="33">
        <f>E90*(1+AGG_Table[[#This Row],[Monthly Return]])</f>
        <v>1.0484197660226702</v>
      </c>
      <c r="F91" s="33">
        <f>MAX(F90,AGG_Table[[#This Row],[Growth]])</f>
        <v>1.2033666806909415</v>
      </c>
      <c r="G91" s="8">
        <f>AGG_Table[[#This Row],[Growth]]/AGG_Table[[#This Row],[High Water Mark]]-1</f>
        <v>-0.1287611807394442</v>
      </c>
    </row>
    <row r="92" spans="2:7" x14ac:dyDescent="0.2">
      <c r="B92" s="22">
        <v>45139</v>
      </c>
      <c r="C92" s="23">
        <v>87.643463130000001</v>
      </c>
      <c r="D92" s="33">
        <f>AGG_Table[[#This Row],[Price/NAV]]/C91-1</f>
        <v>-6.4225819737986356E-3</v>
      </c>
      <c r="E92" s="33">
        <f>E91*(1+AGG_Table[[#This Row],[Monthly Return]])</f>
        <v>1.0416862041324388</v>
      </c>
      <c r="F92" s="33">
        <f>MAX(F91,AGG_Table[[#This Row],[Growth]])</f>
        <v>1.2033666806909415</v>
      </c>
      <c r="G92" s="8">
        <f>AGG_Table[[#This Row],[Growth]]/AGG_Table[[#This Row],[High Water Mark]]-1</f>
        <v>-0.13435678347490065</v>
      </c>
    </row>
    <row r="93" spans="2:7" x14ac:dyDescent="0.2">
      <c r="B93" s="22">
        <v>45170</v>
      </c>
      <c r="C93" s="23">
        <v>85.376182560000004</v>
      </c>
      <c r="D93" s="33">
        <f>AGG_Table[[#This Row],[Price/NAV]]/C92-1</f>
        <v>-2.586936308800325E-2</v>
      </c>
      <c r="E93" s="33">
        <f>E92*(1+AGG_Table[[#This Row],[Monthly Return]])</f>
        <v>1.014738445493973</v>
      </c>
      <c r="F93" s="33">
        <f>MAX(F92,AGG_Table[[#This Row],[Growth]])</f>
        <v>1.2033666806909415</v>
      </c>
      <c r="G93" s="8">
        <f>AGG_Table[[#This Row],[Growth]]/AGG_Table[[#This Row],[High Water Mark]]-1</f>
        <v>-0.15675042214785539</v>
      </c>
    </row>
    <row r="94" spans="2:7" x14ac:dyDescent="0.2">
      <c r="B94" s="22">
        <v>45200</v>
      </c>
      <c r="C94" s="23">
        <v>84.031257629999999</v>
      </c>
      <c r="D94" s="33">
        <f>AGG_Table[[#This Row],[Price/NAV]]/C93-1</f>
        <v>-1.5752928857586612E-2</v>
      </c>
      <c r="E94" s="33">
        <f>E93*(1+AGG_Table[[#This Row],[Monthly Return]])</f>
        <v>0.99875334295304841</v>
      </c>
      <c r="F94" s="33">
        <f>MAX(F93,AGG_Table[[#This Row],[Growth]])</f>
        <v>1.2033666806909415</v>
      </c>
      <c r="G94" s="8">
        <f>AGG_Table[[#This Row],[Growth]]/AGG_Table[[#This Row],[High Water Mark]]-1</f>
        <v>-0.17003407275695015</v>
      </c>
    </row>
    <row r="95" spans="2:7" x14ac:dyDescent="0.2">
      <c r="B95" s="22">
        <v>45231</v>
      </c>
      <c r="C95" s="23">
        <v>87.867118840000003</v>
      </c>
      <c r="D95" s="33">
        <f>AGG_Table[[#This Row],[Price/NAV]]/C94-1</f>
        <v>4.5648028105086391E-2</v>
      </c>
      <c r="E95" s="33">
        <f>E94*(1+AGG_Table[[#This Row],[Monthly Return]])</f>
        <v>1.0443444636222181</v>
      </c>
      <c r="F95" s="33">
        <f>MAX(F94,AGG_Table[[#This Row],[Growth]])</f>
        <v>1.2033666806909415</v>
      </c>
      <c r="G95" s="8">
        <f>AGG_Table[[#This Row],[Growth]]/AGG_Table[[#This Row],[High Water Mark]]-1</f>
        <v>-0.13214776478389534</v>
      </c>
    </row>
    <row r="96" spans="2:7" x14ac:dyDescent="0.2">
      <c r="B96" s="22">
        <v>45261</v>
      </c>
      <c r="C96" s="23">
        <v>90.869087219999997</v>
      </c>
      <c r="D96" s="33">
        <f>AGG_Table[[#This Row],[Price/NAV]]/C95-1</f>
        <v>3.4164866444140074E-2</v>
      </c>
      <c r="E96" s="33">
        <f>E95*(1+AGG_Table[[#This Row],[Monthly Return]])</f>
        <v>1.0800243527435482</v>
      </c>
      <c r="F96" s="33">
        <f>MAX(F95,AGG_Table[[#This Row],[Growth]])</f>
        <v>1.2033666806909415</v>
      </c>
      <c r="G96" s="8">
        <f>AGG_Table[[#This Row],[Growth]]/AGG_Table[[#This Row],[High Water Mark]]-1</f>
        <v>-0.10249770907448874</v>
      </c>
    </row>
    <row r="97" spans="2:7" x14ac:dyDescent="0.2">
      <c r="B97" s="22">
        <v>45292</v>
      </c>
      <c r="C97" s="23">
        <v>91.252258299999994</v>
      </c>
      <c r="D97" s="33">
        <f>AGG_Table[[#This Row],[Price/NAV]]/C96-1</f>
        <v>4.2167374155779314E-3</v>
      </c>
      <c r="E97" s="33">
        <f>E96*(1+AGG_Table[[#This Row],[Monthly Return]])</f>
        <v>1.0845785318414973</v>
      </c>
      <c r="F97" s="33">
        <f>MAX(F96,AGG_Table[[#This Row],[Growth]])</f>
        <v>1.2033666806909415</v>
      </c>
      <c r="G97" s="8">
        <f>AGG_Table[[#This Row],[Growth]]/AGG_Table[[#This Row],[High Water Mark]]-1</f>
        <v>-9.8713177583776179E-2</v>
      </c>
    </row>
    <row r="98" spans="2:7" x14ac:dyDescent="0.2">
      <c r="B98" s="22">
        <v>45323</v>
      </c>
      <c r="C98" s="23">
        <v>89.640838619999997</v>
      </c>
      <c r="D98" s="33">
        <f>AGG_Table[[#This Row],[Price/NAV]]/C97-1</f>
        <v>-1.7658956720855157E-2</v>
      </c>
      <c r="E98" s="33">
        <f>E97*(1+AGG_Table[[#This Row],[Monthly Return]])</f>
        <v>1.0654260064873398</v>
      </c>
      <c r="F98" s="33">
        <f>MAX(F97,AGG_Table[[#This Row],[Growth]])</f>
        <v>1.2033666806909415</v>
      </c>
      <c r="G98" s="8">
        <f>AGG_Table[[#This Row],[Growth]]/AGG_Table[[#This Row],[High Water Mark]]-1</f>
        <v>-0.11462896257390132</v>
      </c>
    </row>
    <row r="99" spans="2:7" x14ac:dyDescent="0.2">
      <c r="B99" s="22">
        <v>45352</v>
      </c>
      <c r="C99" s="23">
        <v>90.451545719999999</v>
      </c>
      <c r="D99" s="33">
        <f>AGG_Table[[#This Row],[Price/NAV]]/C98-1</f>
        <v>9.0439481879092121E-3</v>
      </c>
      <c r="E99" s="33">
        <f>E98*(1+AGG_Table[[#This Row],[Monthly Return]])</f>
        <v>1.0750616640880624</v>
      </c>
      <c r="F99" s="33">
        <f>MAX(F98,AGG_Table[[#This Row],[Growth]])</f>
        <v>1.2033666806909415</v>
      </c>
      <c r="G99" s="8">
        <f>AGG_Table[[#This Row],[Growth]]/AGG_Table[[#This Row],[High Water Mark]]-1</f>
        <v>-0.10662171278434418</v>
      </c>
    </row>
    <row r="100" spans="2:7" x14ac:dyDescent="0.2">
      <c r="B100" s="22">
        <v>45383</v>
      </c>
      <c r="C100" s="23">
        <v>88.207916260000005</v>
      </c>
      <c r="D100" s="33">
        <f>AGG_Table[[#This Row],[Price/NAV]]/C99-1</f>
        <v>-2.4804766376744225E-2</v>
      </c>
      <c r="E100" s="33">
        <f>E99*(1+AGG_Table[[#This Row],[Monthly Return]])</f>
        <v>1.0483950106697641</v>
      </c>
      <c r="F100" s="33">
        <f>MAX(F99,AGG_Table[[#This Row],[Growth]])</f>
        <v>1.2033666806909415</v>
      </c>
      <c r="G100" s="8">
        <f>AGG_Table[[#This Row],[Growth]]/AGG_Table[[#This Row],[High Water Mark]]-1</f>
        <v>-0.12878175248478441</v>
      </c>
    </row>
    <row r="101" spans="2:7" x14ac:dyDescent="0.2">
      <c r="B101" s="22">
        <v>45413</v>
      </c>
      <c r="C101" s="23">
        <v>89.668281559999997</v>
      </c>
      <c r="D101" s="33">
        <f>AGG_Table[[#This Row],[Price/NAV]]/C100-1</f>
        <v>1.6555943751073832E-2</v>
      </c>
      <c r="E101" s="33">
        <f>E100*(1+AGG_Table[[#This Row],[Monthly Return]])</f>
        <v>1.0657521794953193</v>
      </c>
      <c r="F101" s="33">
        <f>MAX(F100,AGG_Table[[#This Row],[Growth]])</f>
        <v>1.2033666806909415</v>
      </c>
      <c r="G101" s="8">
        <f>AGG_Table[[#This Row],[Growth]]/AGG_Table[[#This Row],[High Water Mark]]-1</f>
        <v>-0.11435791218401326</v>
      </c>
    </row>
    <row r="102" spans="2:7" x14ac:dyDescent="0.2">
      <c r="B102" s="22">
        <v>45444</v>
      </c>
      <c r="C102" s="23">
        <v>90.459457400000005</v>
      </c>
      <c r="D102" s="33">
        <f>AGG_Table[[#This Row],[Price/NAV]]/C101-1</f>
        <v>8.8233634707342024E-3</v>
      </c>
      <c r="E102" s="33">
        <f>E101*(1+AGG_Table[[#This Row],[Monthly Return]])</f>
        <v>1.0751556983447337</v>
      </c>
      <c r="F102" s="33">
        <f>MAX(F101,AGG_Table[[#This Row],[Growth]])</f>
        <v>1.2033666806909415</v>
      </c>
      <c r="G102" s="8">
        <f>AGG_Table[[#This Row],[Growth]]/AGG_Table[[#This Row],[High Water Mark]]-1</f>
        <v>-0.1065435701382329</v>
      </c>
    </row>
    <row r="103" spans="2:7" x14ac:dyDescent="0.2">
      <c r="B103" s="22">
        <v>45474</v>
      </c>
      <c r="C103" s="23">
        <v>92.650413510000007</v>
      </c>
      <c r="D103" s="33">
        <f>AGG_Table[[#This Row],[Price/NAV]]/C102-1</f>
        <v>2.4220310103252984E-2</v>
      </c>
      <c r="E103" s="33">
        <f>E102*(1+AGG_Table[[#This Row],[Monthly Return]])</f>
        <v>1.1011963027679226</v>
      </c>
      <c r="F103" s="33">
        <f>MAX(F102,AGG_Table[[#This Row],[Growth]])</f>
        <v>1.2033666806909415</v>
      </c>
      <c r="G103" s="8">
        <f>AGG_Table[[#This Row],[Growth]]/AGG_Table[[#This Row],[High Water Mark]]-1</f>
        <v>-8.4903778343235703E-2</v>
      </c>
    </row>
    <row r="104" spans="2:7" x14ac:dyDescent="0.2">
      <c r="B104" s="22">
        <v>45505</v>
      </c>
      <c r="C104" s="23">
        <v>94.007629390000005</v>
      </c>
      <c r="D104" s="33">
        <f>AGG_Table[[#This Row],[Price/NAV]]/C103-1</f>
        <v>1.4648783837899471E-2</v>
      </c>
      <c r="E104" s="33">
        <f>E103*(1+AGG_Table[[#This Row],[Monthly Return]])</f>
        <v>1.117327489370264</v>
      </c>
      <c r="F104" s="33">
        <f>MAX(F103,AGG_Table[[#This Row],[Growth]])</f>
        <v>1.2033666806909415</v>
      </c>
      <c r="G104" s="8">
        <f>AGG_Table[[#This Row],[Growth]]/AGG_Table[[#This Row],[High Water Mark]]-1</f>
        <v>-7.1498731601307153E-2</v>
      </c>
    </row>
    <row r="105" spans="2:7" x14ac:dyDescent="0.2">
      <c r="B105" s="22">
        <v>45536</v>
      </c>
      <c r="C105" s="23">
        <v>95.256294249999996</v>
      </c>
      <c r="D105" s="33">
        <f>AGG_Table[[#This Row],[Price/NAV]]/C104-1</f>
        <v>1.3282590658889815E-2</v>
      </c>
      <c r="E105" s="33">
        <f>E104*(1+AGG_Table[[#This Row],[Monthly Return]])</f>
        <v>1.1321684930434943</v>
      </c>
      <c r="F105" s="33">
        <f>MAX(F104,AGG_Table[[#This Row],[Growth]])</f>
        <v>1.2033666806909415</v>
      </c>
      <c r="G105" s="8">
        <f>AGG_Table[[#This Row],[Growth]]/AGG_Table[[#This Row],[High Water Mark]]-1</f>
        <v>-5.9165829326907282E-2</v>
      </c>
    </row>
    <row r="106" spans="2:7" x14ac:dyDescent="0.2">
      <c r="B106" s="22">
        <v>45566</v>
      </c>
      <c r="C106" s="23">
        <v>92.864562989999996</v>
      </c>
      <c r="D106" s="33">
        <f>AGG_Table[[#This Row],[Price/NAV]]/C105-1</f>
        <v>-2.5108380279028175E-2</v>
      </c>
      <c r="E106" s="33">
        <f>E105*(1+AGG_Table[[#This Row],[Monthly Return]])</f>
        <v>1.103741575980224</v>
      </c>
      <c r="F106" s="33">
        <f>MAX(F105,AGG_Table[[#This Row],[Growth]])</f>
        <v>1.2033666806909415</v>
      </c>
      <c r="G106" s="8">
        <f>AGG_Table[[#This Row],[Growth]]/AGG_Table[[#This Row],[High Water Mark]]-1</f>
        <v>-8.2788651463671425E-2</v>
      </c>
    </row>
    <row r="107" spans="2:7" x14ac:dyDescent="0.2">
      <c r="B107" s="22">
        <v>45597</v>
      </c>
      <c r="C107" s="23">
        <v>93.885147090000004</v>
      </c>
      <c r="D107" s="33">
        <f>AGG_Table[[#This Row],[Price/NAV]]/C106-1</f>
        <v>1.0990027488848586E-2</v>
      </c>
      <c r="E107" s="33">
        <f>E106*(1+AGG_Table[[#This Row],[Monthly Return]])</f>
        <v>1.1158717262408318</v>
      </c>
      <c r="F107" s="33">
        <f>MAX(F106,AGG_Table[[#This Row],[Growth]])</f>
        <v>1.2033666806909415</v>
      </c>
      <c r="G107" s="8">
        <f>AGG_Table[[#This Row],[Growth]]/AGG_Table[[#This Row],[High Water Mark]]-1</f>
        <v>-7.270847353017329E-2</v>
      </c>
    </row>
    <row r="108" spans="2:7" x14ac:dyDescent="0.2">
      <c r="B108" s="22">
        <v>45627</v>
      </c>
      <c r="C108" s="23">
        <v>91.998138429999997</v>
      </c>
      <c r="D108" s="33">
        <f>AGG_Table[[#This Row],[Price/NAV]]/C107-1</f>
        <v>-2.00991181085447E-2</v>
      </c>
      <c r="E108" s="33">
        <f>E107*(1+AGG_Table[[#This Row],[Monthly Return]])</f>
        <v>1.0934436886211316</v>
      </c>
      <c r="F108" s="33">
        <f>MAX(F107,AGG_Table[[#This Row],[Growth]])</f>
        <v>1.2033666806909415</v>
      </c>
      <c r="G108" s="8">
        <f>AGG_Table[[#This Row],[Growth]]/AGG_Table[[#This Row],[High Water Mark]]-1</f>
        <v>-9.1346215441743039E-2</v>
      </c>
    </row>
    <row r="109" spans="2:7" x14ac:dyDescent="0.2">
      <c r="B109" s="22">
        <v>45658</v>
      </c>
      <c r="C109" s="23">
        <v>93.064643860000004</v>
      </c>
      <c r="D109" s="33">
        <f>AGG_Table[[#This Row],[Price/NAV]]/C108-1</f>
        <v>1.1592684897765659E-2</v>
      </c>
      <c r="E109" s="33">
        <f>E108*(1+AGG_Table[[#This Row],[Monthly Return]])</f>
        <v>1.1061196367567669</v>
      </c>
      <c r="F109" s="33">
        <f>MAX(F108,AGG_Table[[#This Row],[Growth]])</f>
        <v>1.2033666806909415</v>
      </c>
      <c r="G109" s="8">
        <f>AGG_Table[[#This Row],[Growth]]/AGG_Table[[#This Row],[High Water Mark]]-1</f>
        <v>-8.0812478436196988E-2</v>
      </c>
    </row>
    <row r="110" spans="2:7" x14ac:dyDescent="0.2">
      <c r="B110" s="22">
        <v>45689</v>
      </c>
      <c r="C110" s="23">
        <v>94.832305910000002</v>
      </c>
      <c r="D110" s="33">
        <f>AGG_Table[[#This Row],[Price/NAV]]/C109-1</f>
        <v>1.8993916235892305E-2</v>
      </c>
      <c r="E110" s="33">
        <f>E109*(1+AGG_Table[[#This Row],[Monthly Return]])</f>
        <v>1.1271291804842005</v>
      </c>
      <c r="F110" s="33">
        <f>MAX(F109,AGG_Table[[#This Row],[Growth]])</f>
        <v>1.2033666806909415</v>
      </c>
      <c r="G110" s="8">
        <f>AGG_Table[[#This Row],[Growth]]/AGG_Table[[#This Row],[High Water Mark]]-1</f>
        <v>-6.3353507646536689E-2</v>
      </c>
    </row>
    <row r="111" spans="2:7" x14ac:dyDescent="0.2">
      <c r="B111" s="22">
        <v>45717</v>
      </c>
      <c r="C111" s="23">
        <v>94.830505369999997</v>
      </c>
      <c r="D111" s="33">
        <f>AGG_Table[[#This Row],[Price/NAV]]/C110-1</f>
        <v>-1.8986567739021076E-5</v>
      </c>
      <c r="E111" s="33">
        <f>E110*(1+AGG_Table[[#This Row],[Monthly Return]])</f>
        <v>1.1271077801696647</v>
      </c>
      <c r="F111" s="33">
        <f>MAX(F110,AGG_Table[[#This Row],[Growth]])</f>
        <v>1.2033666806909415</v>
      </c>
      <c r="G111" s="8">
        <f>AGG_Table[[#This Row],[Growth]]/AGG_Table[[#This Row],[High Water Mark]]-1</f>
        <v>-6.3371291348611192E-2</v>
      </c>
    </row>
    <row r="112" spans="2:7" x14ac:dyDescent="0.2">
      <c r="B112" s="22">
        <v>45748</v>
      </c>
      <c r="C112" s="23">
        <v>95.218032840000006</v>
      </c>
      <c r="D112" s="33">
        <f>AGG_Table[[#This Row],[Price/NAV]]/C111-1</f>
        <v>4.0865275207380147E-3</v>
      </c>
      <c r="E112" s="33">
        <f>E111*(1+AGG_Table[[#This Row],[Monthly Return]])</f>
        <v>1.1317137371321659</v>
      </c>
      <c r="F112" s="33">
        <f>MAX(F111,AGG_Table[[#This Row],[Growth]])</f>
        <v>1.2033666806909415</v>
      </c>
      <c r="G112" s="8">
        <f>AGG_Table[[#This Row],[Growth]]/AGG_Table[[#This Row],[High Water Mark]]-1</f>
        <v>-5.9543732353994017E-2</v>
      </c>
    </row>
    <row r="113" spans="2:7" x14ac:dyDescent="0.2">
      <c r="B113" s="22">
        <v>45778</v>
      </c>
      <c r="C113" s="23">
        <v>94.644294740000007</v>
      </c>
      <c r="D113" s="33">
        <f>AGG_Table[[#This Row],[Price/NAV]]/C112-1</f>
        <v>-6.0255193568646837E-3</v>
      </c>
      <c r="E113" s="33">
        <f>E112*(1+AGG_Table[[#This Row],[Monthly Return]])</f>
        <v>1.1248945741026464</v>
      </c>
      <c r="F113" s="33">
        <f>MAX(F112,AGG_Table[[#This Row],[Growth]])</f>
        <v>1.2033666806909415</v>
      </c>
      <c r="G113" s="8">
        <f>AGG_Table[[#This Row],[Growth]]/AGG_Table[[#This Row],[High Water Mark]]-1</f>
        <v>-6.521046979897982E-2</v>
      </c>
    </row>
    <row r="114" spans="2:7" x14ac:dyDescent="0.2">
      <c r="B114" s="22">
        <v>45809</v>
      </c>
      <c r="C114" s="23">
        <v>96.016799930000005</v>
      </c>
      <c r="D114" s="33">
        <f>AGG_Table[[#This Row],[Price/NAV]]/C113-1</f>
        <v>1.4501721353309627E-2</v>
      </c>
      <c r="E114" s="33">
        <f>E113*(1+AGG_Table[[#This Row],[Monthly Return]])</f>
        <v>1.1412074817681328</v>
      </c>
      <c r="F114" s="33">
        <f>MAX(F113,AGG_Table[[#This Row],[Growth]])</f>
        <v>1.2033666806909415</v>
      </c>
      <c r="G114" s="8">
        <f>AGG_Table[[#This Row],[Growth]]/AGG_Table[[#This Row],[High Water Mark]]-1</f>
        <v>-5.1654412508013392E-2</v>
      </c>
    </row>
    <row r="115" spans="2:7" x14ac:dyDescent="0.2">
      <c r="B115" s="22">
        <v>45839</v>
      </c>
      <c r="C115" s="23">
        <v>95.770774840000001</v>
      </c>
      <c r="D115" s="33">
        <f>AGG_Table[[#This Row],[Price/NAV]]/C114-1</f>
        <v>-2.5623129512686305E-3</v>
      </c>
      <c r="E115" s="33">
        <f>E114*(1+AGG_Table[[#This Row],[Monthly Return]])</f>
        <v>1.1382833510575137</v>
      </c>
      <c r="F115" s="33">
        <f>MAX(F114,AGG_Table[[#This Row],[Growth]])</f>
        <v>1.2033666806909415</v>
      </c>
      <c r="G115" s="8">
        <f>AGG_Table[[#This Row],[Growth]]/AGG_Table[[#This Row],[High Water Mark]]-1</f>
        <v>-5.408437068912253E-2</v>
      </c>
    </row>
    <row r="116" spans="2:7" x14ac:dyDescent="0.2">
      <c r="B116" s="22">
        <v>45870</v>
      </c>
      <c r="C116" s="23">
        <v>96.898086550000002</v>
      </c>
      <c r="D116" s="33">
        <f>AGG_Table[[#This Row],[Price/NAV]]/C115-1</f>
        <v>1.1770936508380014E-2</v>
      </c>
      <c r="E116" s="33">
        <f>E115*(1+AGG_Table[[#This Row],[Monthly Return]])</f>
        <v>1.1516820121113578</v>
      </c>
      <c r="F116" s="33">
        <f>MAX(F115,AGG_Table[[#This Row],[Growth]])</f>
        <v>1.2033666806909415</v>
      </c>
      <c r="G116" s="8">
        <f>AGG_Table[[#This Row],[Growth]]/AGG_Table[[#This Row],[High Water Mark]]-1</f>
        <v>-4.2950057874219794E-2</v>
      </c>
    </row>
    <row r="117" spans="2:7" x14ac:dyDescent="0.2">
      <c r="B117" s="22">
        <v>45901</v>
      </c>
      <c r="C117" s="23">
        <v>97.995643619999996</v>
      </c>
      <c r="D117" s="33">
        <f>AGG_Table[[#This Row],[Price/NAV]]/C116-1</f>
        <v>1.1326922017532715E-2</v>
      </c>
      <c r="E117" s="33">
        <f>E116*(1+AGG_Table[[#This Row],[Monthly Return]])</f>
        <v>1.1647270244515382</v>
      </c>
      <c r="F117" s="33">
        <f>MAX(F116,AGG_Table[[#This Row],[Growth]])</f>
        <v>1.2033666806909415</v>
      </c>
      <c r="G117" s="8">
        <f>AGG_Table[[#This Row],[Growth]]/AGG_Table[[#This Row],[High Water Mark]]-1</f>
        <v>-3.2109627812876962E-2</v>
      </c>
    </row>
    <row r="118" spans="2:7" x14ac:dyDescent="0.2">
      <c r="B118" s="22">
        <v>45931</v>
      </c>
      <c r="C118" s="23">
        <v>98.603317259999997</v>
      </c>
      <c r="D118" s="33">
        <f>AGG_Table[[#This Row],[Price/NAV]]/C117-1</f>
        <v>6.2010270819423674E-3</v>
      </c>
      <c r="E118" s="33">
        <f>E117*(1+AGG_Table[[#This Row],[Monthly Return]])</f>
        <v>1.1719495282732324</v>
      </c>
      <c r="F118" s="33">
        <f>MAX(F117,AGG_Table[[#This Row],[Growth]])</f>
        <v>1.2033666806909415</v>
      </c>
      <c r="G118" s="8">
        <f>AGG_Table[[#This Row],[Growth]]/AGG_Table[[#This Row],[High Water Mark]]-1</f>
        <v>-2.6107713402593324E-2</v>
      </c>
    </row>
    <row r="119" spans="2:7" x14ac:dyDescent="0.2">
      <c r="B119" s="22">
        <v>45962</v>
      </c>
      <c r="C119" s="23">
        <v>99.19950867</v>
      </c>
      <c r="D119" s="33">
        <f>AGG_Table[[#This Row],[Price/NAV]]/C118-1</f>
        <v>6.0463626028721684E-3</v>
      </c>
      <c r="E119" s="33">
        <f>E118*(1+AGG_Table[[#This Row],[Monthly Return]])</f>
        <v>1.1790355600734375</v>
      </c>
      <c r="F119" s="33">
        <f>MAX(F118,AGG_Table[[#This Row],[Growth]])</f>
        <v>1.2033666806909415</v>
      </c>
      <c r="G119" s="8">
        <f>AGG_Table[[#This Row],[Growth]]/AGG_Table[[#This Row],[High Water Mark]]-1</f>
        <v>-2.0219207501685044E-2</v>
      </c>
    </row>
    <row r="120" spans="2:7" x14ac:dyDescent="0.2">
      <c r="B120" s="24">
        <v>45992</v>
      </c>
      <c r="C120" s="25">
        <v>98.59529114</v>
      </c>
      <c r="D120" s="33">
        <f>AGG_Table[[#This Row],[Price/NAV]]/C119-1</f>
        <v>-6.0909326880842496E-3</v>
      </c>
      <c r="E120" s="33">
        <f>E119*(1+AGG_Table[[#This Row],[Monthly Return]])</f>
        <v>1.1718541338401725</v>
      </c>
      <c r="F120" s="33">
        <f>MAX(F119,AGG_Table[[#This Row],[Growth]])</f>
        <v>1.2033666806909415</v>
      </c>
      <c r="G120" s="8">
        <f>AGG_Table[[#This Row],[Growth]]/AGG_Table[[#This Row],[High Water Mark]]-1</f>
        <v>-2.618698635787009E-2</v>
      </c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027E-FEF0-4BEF-9D42-2CFF5A8318B7}">
  <dimension ref="B1:G120"/>
  <sheetViews>
    <sheetView workbookViewId="0">
      <selection activeCell="B3" sqref="B3:D120"/>
    </sheetView>
  </sheetViews>
  <sheetFormatPr baseColWidth="10" defaultColWidth="8.83203125" defaultRowHeight="15" x14ac:dyDescent="0.2"/>
  <cols>
    <col min="1" max="1" width="3.5" customWidth="1"/>
    <col min="2" max="7" width="15.5" customWidth="1"/>
  </cols>
  <sheetData>
    <row r="1" spans="2:7" x14ac:dyDescent="0.2">
      <c r="B1" s="202" t="s">
        <v>614</v>
      </c>
      <c r="C1" s="203"/>
      <c r="D1" s="203"/>
      <c r="E1" s="203"/>
      <c r="F1" s="203"/>
      <c r="G1" s="204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>
        <v>42461</v>
      </c>
      <c r="C4" s="23">
        <v>123.6500015</v>
      </c>
      <c r="D4" s="32">
        <v>0</v>
      </c>
      <c r="E4" s="32">
        <v>1</v>
      </c>
      <c r="F4" s="33">
        <f>MAX(F3,GLD_Table[[#This Row],[Growth]])</f>
        <v>1</v>
      </c>
      <c r="G4" s="8">
        <f>GLD_Table[[#This Row],[Growth]]/GLD_Table[[#This Row],[High Water Mark]]-1</f>
        <v>0</v>
      </c>
    </row>
    <row r="5" spans="2:7" x14ac:dyDescent="0.2">
      <c r="B5" s="22">
        <v>42491</v>
      </c>
      <c r="C5" s="23">
        <v>116.0599976</v>
      </c>
      <c r="D5" s="33">
        <f>GLD_Table[[#This Row],[Price/NAV]]/C4-1</f>
        <v>-6.1382966501621894E-2</v>
      </c>
      <c r="E5" s="33">
        <f>E4*(1+GLD_Table[[#This Row],[Monthly Return]])</f>
        <v>0.93861703349837811</v>
      </c>
      <c r="F5" s="33">
        <f>MAX(F4,GLD_Table[[#This Row],[Growth]])</f>
        <v>1</v>
      </c>
      <c r="G5" s="8">
        <f>GLD_Table[[#This Row],[Growth]]/GLD_Table[[#This Row],[High Water Mark]]-1</f>
        <v>-6.1382966501621894E-2</v>
      </c>
    </row>
    <row r="6" spans="2:7" x14ac:dyDescent="0.2">
      <c r="B6" s="22">
        <v>42522</v>
      </c>
      <c r="C6" s="23">
        <v>126.4700012</v>
      </c>
      <c r="D6" s="33">
        <f>GLD_Table[[#This Row],[Price/NAV]]/C5-1</f>
        <v>8.9695018225642187E-2</v>
      </c>
      <c r="E6" s="33">
        <f>E5*(1+GLD_Table[[#This Row],[Monthly Return]])</f>
        <v>1.0228063054249132</v>
      </c>
      <c r="F6" s="33">
        <f>MAX(F5,GLD_Table[[#This Row],[Growth]])</f>
        <v>1.0228063054249132</v>
      </c>
      <c r="G6" s="8">
        <f>GLD_Table[[#This Row],[Growth]]/GLD_Table[[#This Row],[High Water Mark]]-1</f>
        <v>0</v>
      </c>
    </row>
    <row r="7" spans="2:7" x14ac:dyDescent="0.2">
      <c r="B7" s="22">
        <v>42552</v>
      </c>
      <c r="C7" s="23">
        <v>128.97999569999999</v>
      </c>
      <c r="D7" s="33">
        <f>GLD_Table[[#This Row],[Price/NAV]]/C6-1</f>
        <v>1.9846560260805779E-2</v>
      </c>
      <c r="E7" s="33">
        <f>E6*(1+GLD_Table[[#This Row],[Monthly Return]])</f>
        <v>1.0431054924006609</v>
      </c>
      <c r="F7" s="33">
        <f>MAX(F6,GLD_Table[[#This Row],[Growth]])</f>
        <v>1.0431054924006609</v>
      </c>
      <c r="G7" s="8">
        <f>GLD_Table[[#This Row],[Growth]]/GLD_Table[[#This Row],[High Water Mark]]-1</f>
        <v>0</v>
      </c>
    </row>
    <row r="8" spans="2:7" x14ac:dyDescent="0.2">
      <c r="B8" s="22">
        <v>42583</v>
      </c>
      <c r="C8" s="23">
        <v>124.7799988</v>
      </c>
      <c r="D8" s="33">
        <f>GLD_Table[[#This Row],[Price/NAV]]/C7-1</f>
        <v>-3.2563165142049932E-2</v>
      </c>
      <c r="E8" s="33">
        <f>E7*(1+GLD_Table[[#This Row],[Monthly Return]])</f>
        <v>1.0091386759910388</v>
      </c>
      <c r="F8" s="33">
        <f>MAX(F7,GLD_Table[[#This Row],[Growth]])</f>
        <v>1.0431054924006609</v>
      </c>
      <c r="G8" s="8">
        <f>GLD_Table[[#This Row],[Growth]]/GLD_Table[[#This Row],[High Water Mark]]-1</f>
        <v>-3.2563165142049932E-2</v>
      </c>
    </row>
    <row r="9" spans="2:7" x14ac:dyDescent="0.2">
      <c r="B9" s="22">
        <v>42614</v>
      </c>
      <c r="C9" s="23">
        <v>125.63999939999999</v>
      </c>
      <c r="D9" s="33">
        <f>GLD_Table[[#This Row],[Price/NAV]]/C8-1</f>
        <v>6.8921350238062562E-3</v>
      </c>
      <c r="E9" s="33">
        <f>E8*(1+GLD_Table[[#This Row],[Monthly Return]])</f>
        <v>1.0160937960037142</v>
      </c>
      <c r="F9" s="33">
        <f>MAX(F8,GLD_Table[[#This Row],[Growth]])</f>
        <v>1.0431054924006609</v>
      </c>
      <c r="G9" s="8">
        <f>GLD_Table[[#This Row],[Growth]]/GLD_Table[[#This Row],[High Water Mark]]-1</f>
        <v>-2.589545984920516E-2</v>
      </c>
    </row>
    <row r="10" spans="2:7" x14ac:dyDescent="0.2">
      <c r="B10" s="22">
        <v>42644</v>
      </c>
      <c r="C10" s="23">
        <v>121.9400024</v>
      </c>
      <c r="D10" s="33">
        <f>GLD_Table[[#This Row],[Price/NAV]]/C9-1</f>
        <v>-2.9449196256522758E-2</v>
      </c>
      <c r="E10" s="33">
        <f>E9*(1+GLD_Table[[#This Row],[Monthly Return]])</f>
        <v>0.9861706503901656</v>
      </c>
      <c r="F10" s="33">
        <f>MAX(F9,GLD_Table[[#This Row],[Growth]])</f>
        <v>1.0431054924006609</v>
      </c>
      <c r="G10" s="8">
        <f>GLD_Table[[#This Row],[Growth]]/GLD_Table[[#This Row],[High Water Mark]]-1</f>
        <v>-5.4582055626475778E-2</v>
      </c>
    </row>
    <row r="11" spans="2:7" x14ac:dyDescent="0.2">
      <c r="B11" s="22">
        <v>42675</v>
      </c>
      <c r="C11" s="23">
        <v>111.75</v>
      </c>
      <c r="D11" s="33">
        <f>GLD_Table[[#This Row],[Price/NAV]]/C10-1</f>
        <v>-8.3565706080386271E-2</v>
      </c>
      <c r="E11" s="33">
        <f>E10*(1+GLD_Table[[#This Row],[Monthly Return]])</f>
        <v>0.90376060367455768</v>
      </c>
      <c r="F11" s="33">
        <f>MAX(F10,GLD_Table[[#This Row],[Growth]])</f>
        <v>1.0431054924006609</v>
      </c>
      <c r="G11" s="8">
        <f>GLD_Table[[#This Row],[Growth]]/GLD_Table[[#This Row],[High Water Mark]]-1</f>
        <v>-0.13358657368911664</v>
      </c>
    </row>
    <row r="12" spans="2:7" x14ac:dyDescent="0.2">
      <c r="B12" s="22">
        <v>42705</v>
      </c>
      <c r="C12" s="23">
        <v>109.61000060000001</v>
      </c>
      <c r="D12" s="33">
        <f>GLD_Table[[#This Row],[Price/NAV]]/C11-1</f>
        <v>-1.9149882774049165E-2</v>
      </c>
      <c r="E12" s="33">
        <f>E11*(1+GLD_Table[[#This Row],[Monthly Return]])</f>
        <v>0.88645369405838603</v>
      </c>
      <c r="F12" s="33">
        <f>MAX(F11,GLD_Table[[#This Row],[Growth]])</f>
        <v>1.0431054924006609</v>
      </c>
      <c r="G12" s="8">
        <f>GLD_Table[[#This Row],[Growth]]/GLD_Table[[#This Row],[High Water Mark]]-1</f>
        <v>-0.1501782892368323</v>
      </c>
    </row>
    <row r="13" spans="2:7" x14ac:dyDescent="0.2">
      <c r="B13" s="22">
        <v>42736</v>
      </c>
      <c r="C13" s="23">
        <v>115.5500031</v>
      </c>
      <c r="D13" s="33">
        <f>GLD_Table[[#This Row],[Price/NAV]]/C12-1</f>
        <v>5.4192158265529589E-2</v>
      </c>
      <c r="E13" s="33">
        <f>E12*(1+GLD_Table[[#This Row],[Monthly Return]])</f>
        <v>0.93449253294186141</v>
      </c>
      <c r="F13" s="33">
        <f>MAX(F12,GLD_Table[[#This Row],[Growth]])</f>
        <v>1.0431054924006609</v>
      </c>
      <c r="G13" s="8">
        <f>GLD_Table[[#This Row],[Growth]]/GLD_Table[[#This Row],[High Water Mark]]-1</f>
        <v>-0.10412461658967165</v>
      </c>
    </row>
    <row r="14" spans="2:7" x14ac:dyDescent="0.2">
      <c r="B14" s="22">
        <v>42767</v>
      </c>
      <c r="C14" s="23">
        <v>119.2300034</v>
      </c>
      <c r="D14" s="33">
        <f>GLD_Table[[#This Row],[Price/NAV]]/C13-1</f>
        <v>3.1847686726717228E-2</v>
      </c>
      <c r="E14" s="33">
        <f>E13*(1+GLD_Table[[#This Row],[Monthly Return]])</f>
        <v>0.96425395837945027</v>
      </c>
      <c r="F14" s="33">
        <f>MAX(F13,GLD_Table[[#This Row],[Growth]])</f>
        <v>1.0431054924006609</v>
      </c>
      <c r="G14" s="8">
        <f>GLD_Table[[#This Row],[Growth]]/GLD_Table[[#This Row],[High Water Mark]]-1</f>
        <v>-7.5593058032641824E-2</v>
      </c>
    </row>
    <row r="15" spans="2:7" x14ac:dyDescent="0.2">
      <c r="B15" s="22">
        <v>42795</v>
      </c>
      <c r="C15" s="23">
        <v>118.7200012</v>
      </c>
      <c r="D15" s="33">
        <f>GLD_Table[[#This Row],[Price/NAV]]/C14-1</f>
        <v>-4.2774652810251279E-3</v>
      </c>
      <c r="E15" s="33">
        <f>E14*(1+GLD_Table[[#This Row],[Monthly Return]])</f>
        <v>0.96012939555039112</v>
      </c>
      <c r="F15" s="33">
        <f>MAX(F14,GLD_Table[[#This Row],[Growth]])</f>
        <v>1.0431054924006609</v>
      </c>
      <c r="G15" s="8">
        <f>GLD_Table[[#This Row],[Growth]]/GLD_Table[[#This Row],[High Water Mark]]-1</f>
        <v>-7.9547176632445815E-2</v>
      </c>
    </row>
    <row r="16" spans="2:7" x14ac:dyDescent="0.2">
      <c r="B16" s="22">
        <v>42826</v>
      </c>
      <c r="C16" s="23">
        <v>120.7699966</v>
      </c>
      <c r="D16" s="33">
        <f>GLD_Table[[#This Row],[Price/NAV]]/C15-1</f>
        <v>1.7267481294466203E-2</v>
      </c>
      <c r="E16" s="33">
        <f>E15*(1+GLD_Table[[#This Row],[Monthly Return]])</f>
        <v>0.97670841192832469</v>
      </c>
      <c r="F16" s="33">
        <f>MAX(F15,GLD_Table[[#This Row],[Growth]])</f>
        <v>1.0431054924006609</v>
      </c>
      <c r="G16" s="8">
        <f>GLD_Table[[#This Row],[Growth]]/GLD_Table[[#This Row],[High Water Mark]]-1</f>
        <v>-6.3653274722507924E-2</v>
      </c>
    </row>
    <row r="17" spans="2:7" x14ac:dyDescent="0.2">
      <c r="B17" s="22">
        <v>42856</v>
      </c>
      <c r="C17" s="23">
        <v>120.6200027</v>
      </c>
      <c r="D17" s="33">
        <f>GLD_Table[[#This Row],[Price/NAV]]/C16-1</f>
        <v>-1.2419798312720554E-3</v>
      </c>
      <c r="E17" s="33">
        <f>E16*(1+GLD_Table[[#This Row],[Monthly Return]])</f>
        <v>0.97549535977967594</v>
      </c>
      <c r="F17" s="33">
        <f>MAX(F16,GLD_Table[[#This Row],[Growth]])</f>
        <v>1.0431054924006609</v>
      </c>
      <c r="G17" s="8">
        <f>GLD_Table[[#This Row],[Growth]]/GLD_Table[[#This Row],[High Water Mark]]-1</f>
        <v>-6.4816198470380226E-2</v>
      </c>
    </row>
    <row r="18" spans="2:7" x14ac:dyDescent="0.2">
      <c r="B18" s="22">
        <v>42887</v>
      </c>
      <c r="C18" s="23">
        <v>118.0199966</v>
      </c>
      <c r="D18" s="33">
        <f>GLD_Table[[#This Row],[Price/NAV]]/C17-1</f>
        <v>-2.155534771845935E-2</v>
      </c>
      <c r="E18" s="33">
        <f>E17*(1+GLD_Table[[#This Row],[Monthly Return]])</f>
        <v>0.95446821810188143</v>
      </c>
      <c r="F18" s="33">
        <f>MAX(F17,GLD_Table[[#This Row],[Growth]])</f>
        <v>1.0431054924006609</v>
      </c>
      <c r="G18" s="8">
        <f>GLD_Table[[#This Row],[Growth]]/GLD_Table[[#This Row],[High Water Mark]]-1</f>
        <v>-8.497441049302179E-2</v>
      </c>
    </row>
    <row r="19" spans="2:7" x14ac:dyDescent="0.2">
      <c r="B19" s="22">
        <v>42917</v>
      </c>
      <c r="C19" s="23">
        <v>120.75</v>
      </c>
      <c r="D19" s="33">
        <f>GLD_Table[[#This Row],[Price/NAV]]/C18-1</f>
        <v>2.3131702072934912E-2</v>
      </c>
      <c r="E19" s="33">
        <f>E18*(1+GLD_Table[[#This Row],[Monthly Return]])</f>
        <v>0.97654669256109916</v>
      </c>
      <c r="F19" s="33">
        <f>MAX(F18,GLD_Table[[#This Row],[Growth]])</f>
        <v>1.0431054924006609</v>
      </c>
      <c r="G19" s="8">
        <f>GLD_Table[[#This Row],[Growth]]/GLD_Table[[#This Row],[High Water Mark]]-1</f>
        <v>-6.3808311167434795E-2</v>
      </c>
    </row>
    <row r="20" spans="2:7" x14ac:dyDescent="0.2">
      <c r="B20" s="22">
        <v>42948</v>
      </c>
      <c r="C20" s="23">
        <v>125.8199997</v>
      </c>
      <c r="D20" s="33">
        <f>GLD_Table[[#This Row],[Price/NAV]]/C19-1</f>
        <v>4.19875751552794E-2</v>
      </c>
      <c r="E20" s="33">
        <f>E19*(1+GLD_Table[[#This Row],[Monthly Return]])</f>
        <v>1.0175495202076479</v>
      </c>
      <c r="F20" s="33">
        <f>MAX(F19,GLD_Table[[#This Row],[Growth]])</f>
        <v>1.0431054924006609</v>
      </c>
      <c r="G20" s="8">
        <f>GLD_Table[[#This Row],[Growth]]/GLD_Table[[#This Row],[High Water Mark]]-1</f>
        <v>-2.449989227282956E-2</v>
      </c>
    </row>
    <row r="21" spans="2:7" x14ac:dyDescent="0.2">
      <c r="B21" s="22">
        <v>42979</v>
      </c>
      <c r="C21" s="23">
        <v>121.58000180000001</v>
      </c>
      <c r="D21" s="33">
        <f>GLD_Table[[#This Row],[Price/NAV]]/C20-1</f>
        <v>-3.3698918376328657E-2</v>
      </c>
      <c r="E21" s="33">
        <f>E20*(1+GLD_Table[[#This Row],[Monthly Return]])</f>
        <v>0.98325920198229799</v>
      </c>
      <c r="F21" s="33">
        <f>MAX(F20,GLD_Table[[#This Row],[Growth]])</f>
        <v>1.0431054924006609</v>
      </c>
      <c r="G21" s="8">
        <f>GLD_Table[[#This Row],[Growth]]/GLD_Table[[#This Row],[High Water Mark]]-1</f>
        <v>-5.7373190779227201E-2</v>
      </c>
    </row>
    <row r="22" spans="2:7" x14ac:dyDescent="0.2">
      <c r="B22" s="22">
        <v>43009</v>
      </c>
      <c r="C22" s="23">
        <v>120.66999819999999</v>
      </c>
      <c r="D22" s="33">
        <f>GLD_Table[[#This Row],[Price/NAV]]/C21-1</f>
        <v>-7.4848131808467055E-3</v>
      </c>
      <c r="E22" s="33">
        <f>E21*(1+GLD_Table[[#This Row],[Monthly Return]])</f>
        <v>0.97589969054711212</v>
      </c>
      <c r="F22" s="33">
        <f>MAX(F21,GLD_Table[[#This Row],[Growth]])</f>
        <v>1.0431054924006609</v>
      </c>
      <c r="G22" s="8">
        <f>GLD_Table[[#This Row],[Growth]]/GLD_Table[[#This Row],[High Water Mark]]-1</f>
        <v>-6.4428576345502253E-2</v>
      </c>
    </row>
    <row r="23" spans="2:7" x14ac:dyDescent="0.2">
      <c r="B23" s="22">
        <v>43040</v>
      </c>
      <c r="C23" s="23">
        <v>121.0999985</v>
      </c>
      <c r="D23" s="33">
        <f>GLD_Table[[#This Row],[Price/NAV]]/C22-1</f>
        <v>3.5634400133768285E-3</v>
      </c>
      <c r="E23" s="33">
        <f>E22*(1+GLD_Table[[#This Row],[Monthly Return]])</f>
        <v>0.97937725055344982</v>
      </c>
      <c r="F23" s="33">
        <f>MAX(F22,GLD_Table[[#This Row],[Growth]])</f>
        <v>1.0431054924006609</v>
      </c>
      <c r="G23" s="8">
        <f>GLD_Table[[#This Row],[Growth]]/GLD_Table[[#This Row],[High Water Mark]]-1</f>
        <v>-6.1094723699079867E-2</v>
      </c>
    </row>
    <row r="24" spans="2:7" x14ac:dyDescent="0.2">
      <c r="B24" s="22">
        <v>43070</v>
      </c>
      <c r="C24" s="23">
        <v>123.6500015</v>
      </c>
      <c r="D24" s="33">
        <f>GLD_Table[[#This Row],[Price/NAV]]/C23-1</f>
        <v>2.1057002738113173E-2</v>
      </c>
      <c r="E24" s="33">
        <f>E23*(1+GLD_Table[[#This Row],[Monthly Return]])</f>
        <v>0.99999999999999956</v>
      </c>
      <c r="F24" s="33">
        <f>MAX(F23,GLD_Table[[#This Row],[Growth]])</f>
        <v>1.0431054924006609</v>
      </c>
      <c r="G24" s="8">
        <f>GLD_Table[[#This Row],[Growth]]/GLD_Table[[#This Row],[High Water Mark]]-1</f>
        <v>-4.1324192725182507E-2</v>
      </c>
    </row>
    <row r="25" spans="2:7" x14ac:dyDescent="0.2">
      <c r="B25" s="22">
        <v>43101</v>
      </c>
      <c r="C25" s="23">
        <v>127.6500015</v>
      </c>
      <c r="D25" s="33">
        <f>GLD_Table[[#This Row],[Price/NAV]]/C24-1</f>
        <v>3.2349372838462953E-2</v>
      </c>
      <c r="E25" s="33">
        <f>E24*(1+GLD_Table[[#This Row],[Monthly Return]])</f>
        <v>1.0323493728384625</v>
      </c>
      <c r="F25" s="33">
        <f>MAX(F24,GLD_Table[[#This Row],[Growth]])</f>
        <v>1.0431054924006609</v>
      </c>
      <c r="G25" s="8">
        <f>GLD_Table[[#This Row],[Growth]]/GLD_Table[[#This Row],[High Water Mark]]-1</f>
        <v>-1.0311631604434934E-2</v>
      </c>
    </row>
    <row r="26" spans="2:7" x14ac:dyDescent="0.2">
      <c r="B26" s="22">
        <v>43132</v>
      </c>
      <c r="C26" s="23">
        <v>125</v>
      </c>
      <c r="D26" s="33">
        <f>GLD_Table[[#This Row],[Price/NAV]]/C25-1</f>
        <v>-2.0759901832041905E-2</v>
      </c>
      <c r="E26" s="33">
        <f>E25*(1+GLD_Table[[#This Row],[Monthly Return]])</f>
        <v>1.010917901201966</v>
      </c>
      <c r="F26" s="33">
        <f>MAX(F25,GLD_Table[[#This Row],[Growth]])</f>
        <v>1.0431054924006609</v>
      </c>
      <c r="G26" s="8">
        <f>GLD_Table[[#This Row],[Growth]]/GLD_Table[[#This Row],[High Water Mark]]-1</f>
        <v>-3.0857464976640658E-2</v>
      </c>
    </row>
    <row r="27" spans="2:7" x14ac:dyDescent="0.2">
      <c r="B27" s="22">
        <v>43160</v>
      </c>
      <c r="C27" s="23">
        <v>125.7900009</v>
      </c>
      <c r="D27" s="33">
        <f>GLD_Table[[#This Row],[Price/NAV]]/C26-1</f>
        <v>6.3200072000000329E-3</v>
      </c>
      <c r="E27" s="33">
        <f>E26*(1+GLD_Table[[#This Row],[Monthly Return]])</f>
        <v>1.0173069096161713</v>
      </c>
      <c r="F27" s="33">
        <f>MAX(F26,GLD_Table[[#This Row],[Growth]])</f>
        <v>1.0431054924006609</v>
      </c>
      <c r="G27" s="8">
        <f>GLD_Table[[#This Row],[Growth]]/GLD_Table[[#This Row],[High Water Mark]]-1</f>
        <v>-2.4732477177466738E-2</v>
      </c>
    </row>
    <row r="28" spans="2:7" x14ac:dyDescent="0.2">
      <c r="B28" s="22">
        <v>43191</v>
      </c>
      <c r="C28" s="23">
        <v>124.5899963</v>
      </c>
      <c r="D28" s="33">
        <f>GLD_Table[[#This Row],[Price/NAV]]/C27-1</f>
        <v>-9.5397455395042074E-3</v>
      </c>
      <c r="E28" s="33">
        <f>E27*(1+GLD_Table[[#This Row],[Monthly Return]])</f>
        <v>1.0076020605628537</v>
      </c>
      <c r="F28" s="33">
        <f>MAX(F27,GLD_Table[[#This Row],[Growth]])</f>
        <v>1.0431054924006609</v>
      </c>
      <c r="G28" s="8">
        <f>GLD_Table[[#This Row],[Growth]]/GLD_Table[[#This Row],[High Water Mark]]-1</f>
        <v>-3.4036281178136174E-2</v>
      </c>
    </row>
    <row r="29" spans="2:7" x14ac:dyDescent="0.2">
      <c r="B29" s="22">
        <v>43221</v>
      </c>
      <c r="C29" s="23">
        <v>123.0999985</v>
      </c>
      <c r="D29" s="33">
        <f>GLD_Table[[#This Row],[Price/NAV]]/C28-1</f>
        <v>-1.1959208959379297E-2</v>
      </c>
      <c r="E29" s="33">
        <f>E28*(1+GLD_Table[[#This Row],[Monthly Return]])</f>
        <v>0.99555193697268141</v>
      </c>
      <c r="F29" s="33">
        <f>MAX(F28,GLD_Table[[#This Row],[Growth]])</f>
        <v>1.0431054924006609</v>
      </c>
      <c r="G29" s="8">
        <f>GLD_Table[[#This Row],[Growth]]/GLD_Table[[#This Row],[High Water Mark]]-1</f>
        <v>-4.5588443138706025E-2</v>
      </c>
    </row>
    <row r="30" spans="2:7" x14ac:dyDescent="0.2">
      <c r="B30" s="22">
        <v>43252</v>
      </c>
      <c r="C30" s="23">
        <v>118.6500015</v>
      </c>
      <c r="D30" s="33">
        <f>GLD_Table[[#This Row],[Price/NAV]]/C29-1</f>
        <v>-3.6149448044063059E-2</v>
      </c>
      <c r="E30" s="33">
        <f>E29*(1+GLD_Table[[#This Row],[Monthly Return]])</f>
        <v>0.95956328395192114</v>
      </c>
      <c r="F30" s="33">
        <f>MAX(F29,GLD_Table[[#This Row],[Growth]])</f>
        <v>1.0431054924006609</v>
      </c>
      <c r="G30" s="8">
        <f>GLD_Table[[#This Row],[Growth]]/GLD_Table[[#This Row],[High Water Mark]]-1</f>
        <v>-8.0089894126116667E-2</v>
      </c>
    </row>
    <row r="31" spans="2:7" x14ac:dyDescent="0.2">
      <c r="B31" s="22">
        <v>43282</v>
      </c>
      <c r="C31" s="23">
        <v>115.98999790000001</v>
      </c>
      <c r="D31" s="33">
        <f>GLD_Table[[#This Row],[Price/NAV]]/C30-1</f>
        <v>-2.2418909113962382E-2</v>
      </c>
      <c r="E31" s="33">
        <f>E30*(1+GLD_Table[[#This Row],[Monthly Return]])</f>
        <v>0.9380509218999078</v>
      </c>
      <c r="F31" s="33">
        <f>MAX(F30,GLD_Table[[#This Row],[Growth]])</f>
        <v>1.0431054924006609</v>
      </c>
      <c r="G31" s="8">
        <f>GLD_Table[[#This Row],[Growth]]/GLD_Table[[#This Row],[High Water Mark]]-1</f>
        <v>-0.10071327518271866</v>
      </c>
    </row>
    <row r="32" spans="2:7" x14ac:dyDescent="0.2">
      <c r="B32" s="22">
        <v>43313</v>
      </c>
      <c r="C32" s="23">
        <v>113.51000209999999</v>
      </c>
      <c r="D32" s="33">
        <f>GLD_Table[[#This Row],[Price/NAV]]/C31-1</f>
        <v>-2.1381117724806997E-2</v>
      </c>
      <c r="E32" s="33">
        <f>E31*(1+GLD_Table[[#This Row],[Monthly Return]])</f>
        <v>0.91799434470690211</v>
      </c>
      <c r="F32" s="33">
        <f>MAX(F31,GLD_Table[[#This Row],[Growth]])</f>
        <v>1.0431054924006609</v>
      </c>
      <c r="G32" s="8">
        <f>GLD_Table[[#This Row],[Growth]]/GLD_Table[[#This Row],[High Water Mark]]-1</f>
        <v>-0.1199410305143932</v>
      </c>
    </row>
    <row r="33" spans="2:7" x14ac:dyDescent="0.2">
      <c r="B33" s="22">
        <v>43344</v>
      </c>
      <c r="C33" s="23">
        <v>112.76000209999999</v>
      </c>
      <c r="D33" s="33">
        <f>GLD_Table[[#This Row],[Price/NAV]]/C32-1</f>
        <v>-6.6073472480360218E-3</v>
      </c>
      <c r="E33" s="33">
        <f>E32*(1+GLD_Table[[#This Row],[Monthly Return]])</f>
        <v>0.91192883729969032</v>
      </c>
      <c r="F33" s="33">
        <f>MAX(F32,GLD_Table[[#This Row],[Growth]])</f>
        <v>1.0431054924006609</v>
      </c>
      <c r="G33" s="8">
        <f>GLD_Table[[#This Row],[Growth]]/GLD_Table[[#This Row],[High Water Mark]]-1</f>
        <v>-0.12575588572453333</v>
      </c>
    </row>
    <row r="34" spans="2:7" x14ac:dyDescent="0.2">
      <c r="B34" s="22">
        <v>43374</v>
      </c>
      <c r="C34" s="23">
        <v>115.1500015</v>
      </c>
      <c r="D34" s="33">
        <f>GLD_Table[[#This Row],[Price/NAV]]/C33-1</f>
        <v>2.1195453666987829E-2</v>
      </c>
      <c r="E34" s="33">
        <f>E33*(1+GLD_Table[[#This Row],[Monthly Return]])</f>
        <v>0.93125758271826597</v>
      </c>
      <c r="F34" s="33">
        <f>MAX(F33,GLD_Table[[#This Row],[Growth]])</f>
        <v>1.0431054924006609</v>
      </c>
      <c r="G34" s="8">
        <f>GLD_Table[[#This Row],[Growth]]/GLD_Table[[#This Row],[High Water Mark]]-1</f>
        <v>-0.10722588510677089</v>
      </c>
    </row>
    <row r="35" spans="2:7" x14ac:dyDescent="0.2">
      <c r="B35" s="22">
        <v>43405</v>
      </c>
      <c r="C35" s="23">
        <v>115.5400009</v>
      </c>
      <c r="D35" s="33">
        <f>GLD_Table[[#This Row],[Price/NAV]]/C34-1</f>
        <v>3.3868814148474424E-3</v>
      </c>
      <c r="E35" s="33">
        <f>E34*(1+GLD_Table[[#This Row],[Monthly Return]])</f>
        <v>0.93441164171761026</v>
      </c>
      <c r="F35" s="33">
        <f>MAX(F34,GLD_Table[[#This Row],[Growth]])</f>
        <v>1.0431054924006609</v>
      </c>
      <c r="G35" s="8">
        <f>GLD_Table[[#This Row],[Growth]]/GLD_Table[[#This Row],[High Water Mark]]-1</f>
        <v>-0.10420216504938207</v>
      </c>
    </row>
    <row r="36" spans="2:7" x14ac:dyDescent="0.2">
      <c r="B36" s="22">
        <v>43435</v>
      </c>
      <c r="C36" s="23">
        <v>121.25</v>
      </c>
      <c r="D36" s="33">
        <f>GLD_Table[[#This Row],[Price/NAV]]/C35-1</f>
        <v>4.9420106071680125E-2</v>
      </c>
      <c r="E36" s="33">
        <f>E35*(1+GLD_Table[[#This Row],[Monthly Return]])</f>
        <v>0.98059036416590728</v>
      </c>
      <c r="F36" s="33">
        <f>MAX(F35,GLD_Table[[#This Row],[Growth]])</f>
        <v>1.0431054924006609</v>
      </c>
      <c r="G36" s="8">
        <f>GLD_Table[[#This Row],[Growth]]/GLD_Table[[#This Row],[High Water Mark]]-1</f>
        <v>-5.9931741027341112E-2</v>
      </c>
    </row>
    <row r="37" spans="2:7" x14ac:dyDescent="0.2">
      <c r="B37" s="22">
        <v>43466</v>
      </c>
      <c r="C37" s="23">
        <v>124.75</v>
      </c>
      <c r="D37" s="33">
        <f>GLD_Table[[#This Row],[Price/NAV]]/C36-1</f>
        <v>2.8865979381443196E-2</v>
      </c>
      <c r="E37" s="33">
        <f>E36*(1+GLD_Table[[#This Row],[Monthly Return]])</f>
        <v>1.0088960653995622</v>
      </c>
      <c r="F37" s="33">
        <f>MAX(F36,GLD_Table[[#This Row],[Growth]])</f>
        <v>1.0431054924006609</v>
      </c>
      <c r="G37" s="8">
        <f>GLD_Table[[#This Row],[Growth]]/GLD_Table[[#This Row],[High Water Mark]]-1</f>
        <v>-3.2795750046687222E-2</v>
      </c>
    </row>
    <row r="38" spans="2:7" x14ac:dyDescent="0.2">
      <c r="B38" s="22">
        <v>43497</v>
      </c>
      <c r="C38" s="23">
        <v>123.98999790000001</v>
      </c>
      <c r="D38" s="33">
        <f>GLD_Table[[#This Row],[Price/NAV]]/C37-1</f>
        <v>-6.0922012024047234E-3</v>
      </c>
      <c r="E38" s="33">
        <f>E37*(1+GLD_Table[[#This Row],[Monthly Return]])</f>
        <v>1.0027496675768337</v>
      </c>
      <c r="F38" s="33">
        <f>MAX(F37,GLD_Table[[#This Row],[Growth]])</f>
        <v>1.0431054924006609</v>
      </c>
      <c r="G38" s="8">
        <f>GLD_Table[[#This Row],[Growth]]/GLD_Table[[#This Row],[High Water Mark]]-1</f>
        <v>-3.868815294122363E-2</v>
      </c>
    </row>
    <row r="39" spans="2:7" x14ac:dyDescent="0.2">
      <c r="B39" s="22">
        <v>43525</v>
      </c>
      <c r="C39" s="23">
        <v>122.01000209999999</v>
      </c>
      <c r="D39" s="33">
        <f>GLD_Table[[#This Row],[Price/NAV]]/C38-1</f>
        <v>-1.5968996157229687E-2</v>
      </c>
      <c r="E39" s="33">
        <f>E38*(1+GLD_Table[[#This Row],[Monthly Return]])</f>
        <v>0.98673676198863591</v>
      </c>
      <c r="F39" s="33">
        <f>MAX(F38,GLD_Table[[#This Row],[Growth]])</f>
        <v>1.0431054924006609</v>
      </c>
      <c r="G39" s="8">
        <f>GLD_Table[[#This Row],[Growth]]/GLD_Table[[#This Row],[High Water Mark]]-1</f>
        <v>-5.4039338132804593E-2</v>
      </c>
    </row>
    <row r="40" spans="2:7" x14ac:dyDescent="0.2">
      <c r="B40" s="22">
        <v>43556</v>
      </c>
      <c r="C40" s="23">
        <v>121.1999969</v>
      </c>
      <c r="D40" s="33">
        <f>GLD_Table[[#This Row],[Price/NAV]]/C39-1</f>
        <v>-6.6388426035441928E-3</v>
      </c>
      <c r="E40" s="33">
        <f>E39*(1+GLD_Table[[#This Row],[Monthly Return]])</f>
        <v>0.9801859719346625</v>
      </c>
      <c r="F40" s="33">
        <f>MAX(F39,GLD_Table[[#This Row],[Growth]])</f>
        <v>1.0431054924006609</v>
      </c>
      <c r="G40" s="8">
        <f>GLD_Table[[#This Row],[Growth]]/GLD_Table[[#This Row],[High Water Mark]]-1</f>
        <v>-6.0319422076085427E-2</v>
      </c>
    </row>
    <row r="41" spans="2:7" x14ac:dyDescent="0.2">
      <c r="B41" s="22">
        <v>43586</v>
      </c>
      <c r="C41" s="23">
        <v>123.33000180000001</v>
      </c>
      <c r="D41" s="33">
        <f>GLD_Table[[#This Row],[Price/NAV]]/C40-1</f>
        <v>1.7574298304293023E-2</v>
      </c>
      <c r="E41" s="33">
        <f>E40*(1+GLD_Table[[#This Row],[Monthly Return]])</f>
        <v>0.99741205259912569</v>
      </c>
      <c r="F41" s="33">
        <f>MAX(F40,GLD_Table[[#This Row],[Growth]])</f>
        <v>1.0431054924006609</v>
      </c>
      <c r="G41" s="8">
        <f>GLD_Table[[#This Row],[Growth]]/GLD_Table[[#This Row],[High Water Mark]]-1</f>
        <v>-4.3805195288900034E-2</v>
      </c>
    </row>
    <row r="42" spans="2:7" x14ac:dyDescent="0.2">
      <c r="B42" s="22">
        <v>43617</v>
      </c>
      <c r="C42" s="23">
        <v>133.1999969</v>
      </c>
      <c r="D42" s="33">
        <f>GLD_Table[[#This Row],[Price/NAV]]/C41-1</f>
        <v>8.0029149079279494E-2</v>
      </c>
      <c r="E42" s="33">
        <f>E41*(1+GLD_Table[[#This Row],[Monthly Return]])</f>
        <v>1.0772340904500513</v>
      </c>
      <c r="F42" s="33">
        <f>MAX(F41,GLD_Table[[#This Row],[Growth]])</f>
        <v>1.0772340904500513</v>
      </c>
      <c r="G42" s="8">
        <f>GLD_Table[[#This Row],[Growth]]/GLD_Table[[#This Row],[High Water Mark]]-1</f>
        <v>0</v>
      </c>
    </row>
    <row r="43" spans="2:7" x14ac:dyDescent="0.2">
      <c r="B43" s="22">
        <v>43647</v>
      </c>
      <c r="C43" s="23">
        <v>133.21000670000001</v>
      </c>
      <c r="D43" s="33">
        <f>GLD_Table[[#This Row],[Price/NAV]]/C42-1</f>
        <v>7.5148650397593997E-5</v>
      </c>
      <c r="E43" s="33">
        <f>E42*(1+GLD_Table[[#This Row],[Monthly Return]])</f>
        <v>1.0773150431381109</v>
      </c>
      <c r="F43" s="33">
        <f>MAX(F42,GLD_Table[[#This Row],[Growth]])</f>
        <v>1.0773150431381109</v>
      </c>
      <c r="G43" s="8">
        <f>GLD_Table[[#This Row],[Growth]]/GLD_Table[[#This Row],[High Water Mark]]-1</f>
        <v>0</v>
      </c>
    </row>
    <row r="44" spans="2:7" x14ac:dyDescent="0.2">
      <c r="B44" s="22">
        <v>43678</v>
      </c>
      <c r="C44" s="23">
        <v>143.75</v>
      </c>
      <c r="D44" s="33">
        <f>GLD_Table[[#This Row],[Price/NAV]]/C43-1</f>
        <v>7.9123134673635631E-2</v>
      </c>
      <c r="E44" s="33">
        <f>E43*(1+GLD_Table[[#This Row],[Monthly Return]])</f>
        <v>1.1625555863822612</v>
      </c>
      <c r="F44" s="33">
        <f>MAX(F43,GLD_Table[[#This Row],[Growth]])</f>
        <v>1.1625555863822612</v>
      </c>
      <c r="G44" s="8">
        <f>GLD_Table[[#This Row],[Growth]]/GLD_Table[[#This Row],[High Water Mark]]-1</f>
        <v>0</v>
      </c>
    </row>
    <row r="45" spans="2:7" x14ac:dyDescent="0.2">
      <c r="B45" s="22">
        <v>43709</v>
      </c>
      <c r="C45" s="23">
        <v>138.86999510000001</v>
      </c>
      <c r="D45" s="33">
        <f>GLD_Table[[#This Row],[Price/NAV]]/C44-1</f>
        <v>-3.3947860173912936E-2</v>
      </c>
      <c r="E45" s="33">
        <f>E44*(1+GLD_Table[[#This Row],[Monthly Return]])</f>
        <v>1.1230893118913547</v>
      </c>
      <c r="F45" s="33">
        <f>MAX(F44,GLD_Table[[#This Row],[Growth]])</f>
        <v>1.1625555863822612</v>
      </c>
      <c r="G45" s="8">
        <f>GLD_Table[[#This Row],[Growth]]/GLD_Table[[#This Row],[High Water Mark]]-1</f>
        <v>-3.3947860173913047E-2</v>
      </c>
    </row>
    <row r="46" spans="2:7" x14ac:dyDescent="0.2">
      <c r="B46" s="22">
        <v>43739</v>
      </c>
      <c r="C46" s="23">
        <v>142.42999270000001</v>
      </c>
      <c r="D46" s="33">
        <f>GLD_Table[[#This Row],[Price/NAV]]/C45-1</f>
        <v>2.5635470048345876E-2</v>
      </c>
      <c r="E46" s="33">
        <f>E45*(1+GLD_Table[[#This Row],[Monthly Return]])</f>
        <v>1.151880234307963</v>
      </c>
      <c r="F46" s="33">
        <f>MAX(F45,GLD_Table[[#This Row],[Growth]])</f>
        <v>1.1625555863822612</v>
      </c>
      <c r="G46" s="8">
        <f>GLD_Table[[#This Row],[Growth]]/GLD_Table[[#This Row],[High Water Mark]]-1</f>
        <v>-9.1826594782608018E-3</v>
      </c>
    </row>
    <row r="47" spans="2:7" x14ac:dyDescent="0.2">
      <c r="B47" s="22">
        <v>43770</v>
      </c>
      <c r="C47" s="23">
        <v>137.86000060000001</v>
      </c>
      <c r="D47" s="33">
        <f>GLD_Table[[#This Row],[Price/NAV]]/C46-1</f>
        <v>-3.2085883130147819E-2</v>
      </c>
      <c r="E47" s="33">
        <f>E46*(1+GLD_Table[[#This Row],[Monthly Return]])</f>
        <v>1.1149211397300305</v>
      </c>
      <c r="F47" s="33">
        <f>MAX(F46,GLD_Table[[#This Row],[Growth]])</f>
        <v>1.1625555863822612</v>
      </c>
      <c r="G47" s="8">
        <f>GLD_Table[[#This Row],[Growth]]/GLD_Table[[#This Row],[High Water Mark]]-1</f>
        <v>-4.0973908869565201E-2</v>
      </c>
    </row>
    <row r="48" spans="2:7" x14ac:dyDescent="0.2">
      <c r="B48" s="22">
        <v>43800</v>
      </c>
      <c r="C48" s="23">
        <v>142.8999939</v>
      </c>
      <c r="D48" s="33">
        <f>GLD_Table[[#This Row],[Price/NAV]]/C47-1</f>
        <v>3.6558779037173306E-2</v>
      </c>
      <c r="E48" s="33">
        <f>E47*(1+GLD_Table[[#This Row],[Monthly Return]])</f>
        <v>1.155681295321294</v>
      </c>
      <c r="F48" s="33">
        <f>MAX(F47,GLD_Table[[#This Row],[Growth]])</f>
        <v>1.1625555863822612</v>
      </c>
      <c r="G48" s="8">
        <f>GLD_Table[[#This Row],[Growth]]/GLD_Table[[#This Row],[High Water Mark]]-1</f>
        <v>-5.9130859130436253E-3</v>
      </c>
    </row>
    <row r="49" spans="2:7" x14ac:dyDescent="0.2">
      <c r="B49" s="22">
        <v>43831</v>
      </c>
      <c r="C49" s="23">
        <v>149.33000179999999</v>
      </c>
      <c r="D49" s="33">
        <f>GLD_Table[[#This Row],[Price/NAV]]/C48-1</f>
        <v>4.4996558253876717E-2</v>
      </c>
      <c r="E49" s="33">
        <f>E48*(1+GLD_Table[[#This Row],[Monthly Return]])</f>
        <v>1.2076829760491343</v>
      </c>
      <c r="F49" s="33">
        <f>MAX(F48,GLD_Table[[#This Row],[Growth]])</f>
        <v>1.2076829760491343</v>
      </c>
      <c r="G49" s="8">
        <f>GLD_Table[[#This Row],[Growth]]/GLD_Table[[#This Row],[High Water Mark]]-1</f>
        <v>0</v>
      </c>
    </row>
    <row r="50" spans="2:7" x14ac:dyDescent="0.2">
      <c r="B50" s="22">
        <v>43862</v>
      </c>
      <c r="C50" s="23">
        <v>148.38000489999999</v>
      </c>
      <c r="D50" s="33">
        <f>GLD_Table[[#This Row],[Price/NAV]]/C49-1</f>
        <v>-6.3617283101110589E-3</v>
      </c>
      <c r="E50" s="33">
        <f>E49*(1+GLD_Table[[#This Row],[Monthly Return]])</f>
        <v>1.2000000250707634</v>
      </c>
      <c r="F50" s="33">
        <f>MAX(F49,GLD_Table[[#This Row],[Growth]])</f>
        <v>1.2076829760491343</v>
      </c>
      <c r="G50" s="8">
        <f>GLD_Table[[#This Row],[Growth]]/GLD_Table[[#This Row],[High Water Mark]]-1</f>
        <v>-6.3617283101110589E-3</v>
      </c>
    </row>
    <row r="51" spans="2:7" x14ac:dyDescent="0.2">
      <c r="B51" s="22">
        <v>43891</v>
      </c>
      <c r="C51" s="23">
        <v>148.0500031</v>
      </c>
      <c r="D51" s="33">
        <f>GLD_Table[[#This Row],[Price/NAV]]/C50-1</f>
        <v>-2.2240314671939654E-3</v>
      </c>
      <c r="E51" s="33">
        <f>E50*(1+GLD_Table[[#This Row],[Monthly Return]])</f>
        <v>1.1973311872543726</v>
      </c>
      <c r="F51" s="33">
        <f>MAX(F50,GLD_Table[[#This Row],[Growth]])</f>
        <v>1.2076829760491343</v>
      </c>
      <c r="G51" s="8">
        <f>GLD_Table[[#This Row],[Growth]]/GLD_Table[[#This Row],[High Water Mark]]-1</f>
        <v>-8.5716110933574674E-3</v>
      </c>
    </row>
    <row r="52" spans="2:7" x14ac:dyDescent="0.2">
      <c r="B52" s="22">
        <v>43922</v>
      </c>
      <c r="C52" s="23">
        <v>158.8000031</v>
      </c>
      <c r="D52" s="33">
        <f>GLD_Table[[#This Row],[Price/NAV]]/C51-1</f>
        <v>7.2610603005114127E-2</v>
      </c>
      <c r="E52" s="33">
        <f>E51*(1+GLD_Table[[#This Row],[Monthly Return]])</f>
        <v>1.2842701267577419</v>
      </c>
      <c r="F52" s="33">
        <f>MAX(F51,GLD_Table[[#This Row],[Growth]])</f>
        <v>1.2842701267577419</v>
      </c>
      <c r="G52" s="8">
        <f>GLD_Table[[#This Row],[Growth]]/GLD_Table[[#This Row],[High Water Mark]]-1</f>
        <v>0</v>
      </c>
    </row>
    <row r="53" spans="2:7" x14ac:dyDescent="0.2">
      <c r="B53" s="22">
        <v>43952</v>
      </c>
      <c r="C53" s="23">
        <v>162.9100037</v>
      </c>
      <c r="D53" s="33">
        <f>GLD_Table[[#This Row],[Price/NAV]]/C52-1</f>
        <v>2.5881615363771981E-2</v>
      </c>
      <c r="E53" s="33">
        <f>E52*(1+GLD_Table[[#This Row],[Monthly Return]])</f>
        <v>1.3175091122016684</v>
      </c>
      <c r="F53" s="33">
        <f>MAX(F52,GLD_Table[[#This Row],[Growth]])</f>
        <v>1.3175091122016684</v>
      </c>
      <c r="G53" s="8">
        <f>GLD_Table[[#This Row],[Growth]]/GLD_Table[[#This Row],[High Water Mark]]-1</f>
        <v>0</v>
      </c>
    </row>
    <row r="54" spans="2:7" x14ac:dyDescent="0.2">
      <c r="B54" s="22">
        <v>43983</v>
      </c>
      <c r="C54" s="23">
        <v>167.36999510000001</v>
      </c>
      <c r="D54" s="33">
        <f>GLD_Table[[#This Row],[Price/NAV]]/C53-1</f>
        <v>2.7377025957307843E-2</v>
      </c>
      <c r="E54" s="33">
        <f>E53*(1+GLD_Table[[#This Row],[Monthly Return]])</f>
        <v>1.3535785933654032</v>
      </c>
      <c r="F54" s="33">
        <f>MAX(F53,GLD_Table[[#This Row],[Growth]])</f>
        <v>1.3535785933654032</v>
      </c>
      <c r="G54" s="8">
        <f>GLD_Table[[#This Row],[Growth]]/GLD_Table[[#This Row],[High Water Mark]]-1</f>
        <v>0</v>
      </c>
    </row>
    <row r="55" spans="2:7" x14ac:dyDescent="0.2">
      <c r="B55" s="22">
        <v>44013</v>
      </c>
      <c r="C55" s="23">
        <v>185.42999270000001</v>
      </c>
      <c r="D55" s="33">
        <f>GLD_Table[[#This Row],[Price/NAV]]/C54-1</f>
        <v>0.10790463122861138</v>
      </c>
      <c r="E55" s="33">
        <f>E54*(1+GLD_Table[[#This Row],[Monthly Return]])</f>
        <v>1.4996359923214395</v>
      </c>
      <c r="F55" s="33">
        <f>MAX(F54,GLD_Table[[#This Row],[Growth]])</f>
        <v>1.4996359923214395</v>
      </c>
      <c r="G55" s="8">
        <f>GLD_Table[[#This Row],[Growth]]/GLD_Table[[#This Row],[High Water Mark]]-1</f>
        <v>0</v>
      </c>
    </row>
    <row r="56" spans="2:7" x14ac:dyDescent="0.2">
      <c r="B56" s="22">
        <v>44044</v>
      </c>
      <c r="C56" s="23">
        <v>184.83000179999999</v>
      </c>
      <c r="D56" s="33">
        <f>GLD_Table[[#This Row],[Price/NAV]]/C55-1</f>
        <v>-3.235673427279484E-3</v>
      </c>
      <c r="E56" s="33">
        <f>E55*(1+GLD_Table[[#This Row],[Monthly Return]])</f>
        <v>1.4947836599904931</v>
      </c>
      <c r="F56" s="33">
        <f>MAX(F55,GLD_Table[[#This Row],[Growth]])</f>
        <v>1.4996359923214395</v>
      </c>
      <c r="G56" s="8">
        <f>GLD_Table[[#This Row],[Growth]]/GLD_Table[[#This Row],[High Water Mark]]-1</f>
        <v>-3.235673427279484E-3</v>
      </c>
    </row>
    <row r="57" spans="2:7" x14ac:dyDescent="0.2">
      <c r="B57" s="22">
        <v>44075</v>
      </c>
      <c r="C57" s="23">
        <v>177.11999510000001</v>
      </c>
      <c r="D57" s="33">
        <f>GLD_Table[[#This Row],[Price/NAV]]/C56-1</f>
        <v>-4.1714043309607263E-2</v>
      </c>
      <c r="E57" s="33">
        <f>E56*(1+GLD_Table[[#This Row],[Monthly Return]])</f>
        <v>1.4324301896591565</v>
      </c>
      <c r="F57" s="33">
        <f>MAX(F56,GLD_Table[[#This Row],[Growth]])</f>
        <v>1.4996359923214395</v>
      </c>
      <c r="G57" s="8">
        <f>GLD_Table[[#This Row],[Growth]]/GLD_Table[[#This Row],[High Water Mark]]-1</f>
        <v>-4.4814743715405392E-2</v>
      </c>
    </row>
    <row r="58" spans="2:7" x14ac:dyDescent="0.2">
      <c r="B58" s="22">
        <v>44105</v>
      </c>
      <c r="C58" s="23">
        <v>176.1999969</v>
      </c>
      <c r="D58" s="33">
        <f>GLD_Table[[#This Row],[Price/NAV]]/C57-1</f>
        <v>-5.1942085899482349E-3</v>
      </c>
      <c r="E58" s="33">
        <f>E57*(1+GLD_Table[[#This Row],[Monthly Return]])</f>
        <v>1.4249898484635277</v>
      </c>
      <c r="F58" s="33">
        <f>MAX(F57,GLD_Table[[#This Row],[Growth]])</f>
        <v>1.4996359923214395</v>
      </c>
      <c r="G58" s="8">
        <f>GLD_Table[[#This Row],[Growth]]/GLD_Table[[#This Row],[High Water Mark]]-1</f>
        <v>-4.9776175178590787E-2</v>
      </c>
    </row>
    <row r="59" spans="2:7" x14ac:dyDescent="0.2">
      <c r="B59" s="22">
        <v>44136</v>
      </c>
      <c r="C59" s="23">
        <v>166.66999820000001</v>
      </c>
      <c r="D59" s="33">
        <f>GLD_Table[[#This Row],[Price/NAV]]/C58-1</f>
        <v>-5.4086259180859186E-2</v>
      </c>
      <c r="E59" s="33">
        <f>E58*(1+GLD_Table[[#This Row],[Monthly Return]])</f>
        <v>1.3479174781894361</v>
      </c>
      <c r="F59" s="33">
        <f>MAX(F58,GLD_Table[[#This Row],[Growth]])</f>
        <v>1.4996359923214395</v>
      </c>
      <c r="G59" s="8">
        <f>GLD_Table[[#This Row],[Growth]]/GLD_Table[[#This Row],[High Water Mark]]-1</f>
        <v>-0.10117022724770885</v>
      </c>
    </row>
    <row r="60" spans="2:7" x14ac:dyDescent="0.2">
      <c r="B60" s="22">
        <v>44166</v>
      </c>
      <c r="C60" s="23">
        <v>178.36000060000001</v>
      </c>
      <c r="D60" s="33">
        <f>GLD_Table[[#This Row],[Price/NAV]]/C59-1</f>
        <v>7.013861238524921E-2</v>
      </c>
      <c r="E60" s="33">
        <f>E59*(1+GLD_Table[[#This Row],[Monthly Return]])</f>
        <v>1.4424585397194676</v>
      </c>
      <c r="F60" s="33">
        <f>MAX(F59,GLD_Table[[#This Row],[Growth]])</f>
        <v>1.4996359923214395</v>
      </c>
      <c r="G60" s="8">
        <f>GLD_Table[[#This Row],[Growth]]/GLD_Table[[#This Row],[High Water Mark]]-1</f>
        <v>-3.8127554216314308E-2</v>
      </c>
    </row>
    <row r="61" spans="2:7" x14ac:dyDescent="0.2">
      <c r="B61" s="22">
        <v>44197</v>
      </c>
      <c r="C61" s="23">
        <v>172.61000060000001</v>
      </c>
      <c r="D61" s="33">
        <f>GLD_Table[[#This Row],[Price/NAV]]/C60-1</f>
        <v>-3.223816988482342E-2</v>
      </c>
      <c r="E61" s="33">
        <f>E60*(1+GLD_Table[[#This Row],[Monthly Return]])</f>
        <v>1.395956316264177</v>
      </c>
      <c r="F61" s="33">
        <f>MAX(F60,GLD_Table[[#This Row],[Growth]])</f>
        <v>1.4996359923214395</v>
      </c>
      <c r="G61" s="8">
        <f>GLD_Table[[#This Row],[Growth]]/GLD_Table[[#This Row],[High Water Mark]]-1</f>
        <v>-6.9136561531019325E-2</v>
      </c>
    </row>
    <row r="62" spans="2:7" x14ac:dyDescent="0.2">
      <c r="B62" s="22">
        <v>44228</v>
      </c>
      <c r="C62" s="23">
        <v>161.8099976</v>
      </c>
      <c r="D62" s="33">
        <f>GLD_Table[[#This Row],[Price/NAV]]/C61-1</f>
        <v>-6.2568813872074136E-2</v>
      </c>
      <c r="E62" s="33">
        <f>E61*(1+GLD_Table[[#This Row],[Monthly Return]])</f>
        <v>1.3086129853382975</v>
      </c>
      <c r="F62" s="33">
        <f>MAX(F61,GLD_Table[[#This Row],[Growth]])</f>
        <v>1.4996359923214395</v>
      </c>
      <c r="G62" s="8">
        <f>GLD_Table[[#This Row],[Growth]]/GLD_Table[[#This Row],[High Water Mark]]-1</f>
        <v>-0.12737958275290395</v>
      </c>
    </row>
    <row r="63" spans="2:7" x14ac:dyDescent="0.2">
      <c r="B63" s="22">
        <v>44256</v>
      </c>
      <c r="C63" s="23">
        <v>159.96000670000001</v>
      </c>
      <c r="D63" s="33">
        <f>GLD_Table[[#This Row],[Price/NAV]]/C62-1</f>
        <v>-1.1433106281685035E-2</v>
      </c>
      <c r="E63" s="33">
        <f>E62*(1+GLD_Table[[#This Row],[Monthly Return]])</f>
        <v>1.2936514739953315</v>
      </c>
      <c r="F63" s="33">
        <f>MAX(F62,GLD_Table[[#This Row],[Growth]])</f>
        <v>1.4996359923214395</v>
      </c>
      <c r="G63" s="8">
        <f>GLD_Table[[#This Row],[Growth]]/GLD_Table[[#This Row],[High Water Mark]]-1</f>
        <v>-0.13735634472685843</v>
      </c>
    </row>
    <row r="64" spans="2:7" x14ac:dyDescent="0.2">
      <c r="B64" s="22">
        <v>44287</v>
      </c>
      <c r="C64" s="23">
        <v>165.6600037</v>
      </c>
      <c r="D64" s="33">
        <f>GLD_Table[[#This Row],[Price/NAV]]/C63-1</f>
        <v>3.5633888229888333E-2</v>
      </c>
      <c r="E64" s="33">
        <f>E63*(1+GLD_Table[[#This Row],[Monthly Return]])</f>
        <v>1.3397493060281114</v>
      </c>
      <c r="F64" s="33">
        <f>MAX(F63,GLD_Table[[#This Row],[Growth]])</f>
        <v>1.4996359923214395</v>
      </c>
      <c r="G64" s="8">
        <f>GLD_Table[[#This Row],[Growth]]/GLD_Table[[#This Row],[High Water Mark]]-1</f>
        <v>-0.10661699713263295</v>
      </c>
    </row>
    <row r="65" spans="2:7" x14ac:dyDescent="0.2">
      <c r="B65" s="22">
        <v>44317</v>
      </c>
      <c r="C65" s="23">
        <v>178.38000489999999</v>
      </c>
      <c r="D65" s="33">
        <f>GLD_Table[[#This Row],[Price/NAV]]/C64-1</f>
        <v>7.6783779523723394E-2</v>
      </c>
      <c r="E65" s="33">
        <f>E64*(1+GLD_Table[[#This Row],[Monthly Return]])</f>
        <v>1.4426203213592352</v>
      </c>
      <c r="F65" s="33">
        <f>MAX(F64,GLD_Table[[#This Row],[Growth]])</f>
        <v>1.4996359923214395</v>
      </c>
      <c r="G65" s="8">
        <f>GLD_Table[[#This Row],[Growth]]/GLD_Table[[#This Row],[High Water Mark]]-1</f>
        <v>-3.8019673610223181E-2</v>
      </c>
    </row>
    <row r="66" spans="2:7" x14ac:dyDescent="0.2">
      <c r="B66" s="22">
        <v>44348</v>
      </c>
      <c r="C66" s="23">
        <v>165.63000489999999</v>
      </c>
      <c r="D66" s="33">
        <f>GLD_Table[[#This Row],[Price/NAV]]/C65-1</f>
        <v>-7.1476620976368199E-2</v>
      </c>
      <c r="E66" s="33">
        <f>E65*(1+GLD_Table[[#This Row],[Monthly Return]])</f>
        <v>1.3395066954366346</v>
      </c>
      <c r="F66" s="33">
        <f>MAX(F65,GLD_Table[[#This Row],[Growth]])</f>
        <v>1.4996359923214395</v>
      </c>
      <c r="G66" s="8">
        <f>GLD_Table[[#This Row],[Growth]]/GLD_Table[[#This Row],[High Water Mark]]-1</f>
        <v>-0.10677877678630832</v>
      </c>
    </row>
    <row r="67" spans="2:7" x14ac:dyDescent="0.2">
      <c r="B67" s="22">
        <v>44378</v>
      </c>
      <c r="C67" s="23">
        <v>169.82000729999999</v>
      </c>
      <c r="D67" s="33">
        <f>GLD_Table[[#This Row],[Price/NAV]]/C66-1</f>
        <v>2.5297363255708083E-2</v>
      </c>
      <c r="E67" s="33">
        <f>E66*(1+GLD_Table[[#This Row],[Monthly Return]])</f>
        <v>1.3733926828945482</v>
      </c>
      <c r="F67" s="33">
        <f>MAX(F66,GLD_Table[[#This Row],[Growth]])</f>
        <v>1.4996359923214395</v>
      </c>
      <c r="G67" s="8">
        <f>GLD_Table[[#This Row],[Growth]]/GLD_Table[[#This Row],[High Water Mark]]-1</f>
        <v>-8.4182635034963704E-2</v>
      </c>
    </row>
    <row r="68" spans="2:7" x14ac:dyDescent="0.2">
      <c r="B68" s="22">
        <v>44409</v>
      </c>
      <c r="C68" s="23">
        <v>169.6900024</v>
      </c>
      <c r="D68" s="33">
        <f>GLD_Table[[#This Row],[Price/NAV]]/C67-1</f>
        <v>-7.6554525033278864E-4</v>
      </c>
      <c r="E68" s="33">
        <f>E67*(1+GLD_Table[[#This Row],[Monthly Return]])</f>
        <v>1.3723412886493165</v>
      </c>
      <c r="F68" s="33">
        <f>MAX(F67,GLD_Table[[#This Row],[Growth]])</f>
        <v>1.4996359923214395</v>
      </c>
      <c r="G68" s="8">
        <f>GLD_Table[[#This Row],[Growth]]/GLD_Table[[#This Row],[High Water Mark]]-1</f>
        <v>-8.488373466888488E-2</v>
      </c>
    </row>
    <row r="69" spans="2:7" x14ac:dyDescent="0.2">
      <c r="B69" s="22">
        <v>44440</v>
      </c>
      <c r="C69" s="23">
        <v>164.22000120000001</v>
      </c>
      <c r="D69" s="33">
        <f>GLD_Table[[#This Row],[Price/NAV]]/C68-1</f>
        <v>-3.2235259135101391E-2</v>
      </c>
      <c r="E69" s="33">
        <f>E68*(1+GLD_Table[[#This Row],[Monthly Return]])</f>
        <v>1.3281035115879067</v>
      </c>
      <c r="F69" s="33">
        <f>MAX(F68,GLD_Table[[#This Row],[Growth]])</f>
        <v>1.4996359923214395</v>
      </c>
      <c r="G69" s="8">
        <f>GLD_Table[[#This Row],[Growth]]/GLD_Table[[#This Row],[High Water Mark]]-1</f>
        <v>-0.11438274462057962</v>
      </c>
    </row>
    <row r="70" spans="2:7" x14ac:dyDescent="0.2">
      <c r="B70" s="22">
        <v>44470</v>
      </c>
      <c r="C70" s="23">
        <v>166.6499939</v>
      </c>
      <c r="D70" s="33">
        <f>GLD_Table[[#This Row],[Price/NAV]]/C69-1</f>
        <v>1.4797178676430267E-2</v>
      </c>
      <c r="E70" s="33">
        <f>E69*(1+GLD_Table[[#This Row],[Monthly Return]])</f>
        <v>1.3477556965496675</v>
      </c>
      <c r="F70" s="33">
        <f>MAX(F69,GLD_Table[[#This Row],[Growth]])</f>
        <v>1.4996359923214395</v>
      </c>
      <c r="G70" s="8">
        <f>GLD_Table[[#This Row],[Growth]]/GLD_Table[[#This Row],[High Water Mark]]-1</f>
        <v>-0.10127810785380054</v>
      </c>
    </row>
    <row r="71" spans="2:7" x14ac:dyDescent="0.2">
      <c r="B71" s="22">
        <v>44501</v>
      </c>
      <c r="C71" s="23">
        <v>165.5</v>
      </c>
      <c r="D71" s="33">
        <f>GLD_Table[[#This Row],[Price/NAV]]/C70-1</f>
        <v>-6.9006537179356897E-3</v>
      </c>
      <c r="E71" s="33">
        <f>E70*(1+GLD_Table[[#This Row],[Monthly Return]])</f>
        <v>1.3384553011914031</v>
      </c>
      <c r="F71" s="33">
        <f>MAX(F70,GLD_Table[[#This Row],[Growth]])</f>
        <v>1.4996359923214395</v>
      </c>
      <c r="G71" s="8">
        <f>GLD_Table[[#This Row],[Growth]]/GLD_Table[[#This Row],[High Water Mark]]-1</f>
        <v>-0.10747987642022938</v>
      </c>
    </row>
    <row r="72" spans="2:7" x14ac:dyDescent="0.2">
      <c r="B72" s="22">
        <v>44531</v>
      </c>
      <c r="C72" s="23">
        <v>170.96000670000001</v>
      </c>
      <c r="D72" s="33">
        <f>GLD_Table[[#This Row],[Price/NAV]]/C71-1</f>
        <v>3.2990977039274894E-2</v>
      </c>
      <c r="E72" s="33">
        <f>E71*(1+GLD_Table[[#This Row],[Monthly Return]])</f>
        <v>1.3826122493011044</v>
      </c>
      <c r="F72" s="33">
        <f>MAX(F71,GLD_Table[[#This Row],[Growth]])</f>
        <v>1.4996359923214395</v>
      </c>
      <c r="G72" s="8">
        <f>GLD_Table[[#This Row],[Growth]]/GLD_Table[[#This Row],[High Water Mark]]-1</f>
        <v>-7.8034765516118432E-2</v>
      </c>
    </row>
    <row r="73" spans="2:7" x14ac:dyDescent="0.2">
      <c r="B73" s="22">
        <v>44562</v>
      </c>
      <c r="C73" s="23">
        <v>168.0899963</v>
      </c>
      <c r="D73" s="33">
        <f>GLD_Table[[#This Row],[Price/NAV]]/C72-1</f>
        <v>-1.6787612818922604E-2</v>
      </c>
      <c r="E73" s="33">
        <f>E72*(1+GLD_Table[[#This Row],[Monthly Return]])</f>
        <v>1.3594014901811378</v>
      </c>
      <c r="F73" s="33">
        <f>MAX(F72,GLD_Table[[#This Row],[Growth]])</f>
        <v>1.4996359923214395</v>
      </c>
      <c r="G73" s="8">
        <f>GLD_Table[[#This Row],[Growth]]/GLD_Table[[#This Row],[High Water Mark]]-1</f>
        <v>-9.3512360905141034E-2</v>
      </c>
    </row>
    <row r="74" spans="2:7" x14ac:dyDescent="0.2">
      <c r="B74" s="22">
        <v>44593</v>
      </c>
      <c r="C74" s="23">
        <v>178.38000489999999</v>
      </c>
      <c r="D74" s="33">
        <f>GLD_Table[[#This Row],[Price/NAV]]/C73-1</f>
        <v>6.1217257579295969E-2</v>
      </c>
      <c r="E74" s="33">
        <f>E73*(1+GLD_Table[[#This Row],[Monthly Return]])</f>
        <v>1.4426203213592352</v>
      </c>
      <c r="F74" s="33">
        <f>MAX(F73,GLD_Table[[#This Row],[Growth]])</f>
        <v>1.4996359923214395</v>
      </c>
      <c r="G74" s="8">
        <f>GLD_Table[[#This Row],[Growth]]/GLD_Table[[#This Row],[High Water Mark]]-1</f>
        <v>-3.8019673610223181E-2</v>
      </c>
    </row>
    <row r="75" spans="2:7" x14ac:dyDescent="0.2">
      <c r="B75" s="22">
        <v>44621</v>
      </c>
      <c r="C75" s="23">
        <v>180.6499939</v>
      </c>
      <c r="D75" s="33">
        <f>GLD_Table[[#This Row],[Price/NAV]]/C74-1</f>
        <v>1.2725579872433501E-2</v>
      </c>
      <c r="E75" s="33">
        <f>E74*(1+GLD_Table[[#This Row],[Monthly Return]])</f>
        <v>1.4609785014842878</v>
      </c>
      <c r="F75" s="33">
        <f>MAX(F74,GLD_Table[[#This Row],[Growth]])</f>
        <v>1.4996359923214395</v>
      </c>
      <c r="G75" s="8">
        <f>GLD_Table[[#This Row],[Growth]]/GLD_Table[[#This Row],[High Water Mark]]-1</f>
        <v>-2.5777916131040524E-2</v>
      </c>
    </row>
    <row r="76" spans="2:7" x14ac:dyDescent="0.2">
      <c r="B76" s="22">
        <v>44652</v>
      </c>
      <c r="C76" s="23">
        <v>176.9100037</v>
      </c>
      <c r="D76" s="33">
        <f>GLD_Table[[#This Row],[Price/NAV]]/C75-1</f>
        <v>-2.0702963334005342E-2</v>
      </c>
      <c r="E76" s="33">
        <f>E75*(1+GLD_Table[[#This Row],[Monthly Return]])</f>
        <v>1.4307319171362884</v>
      </c>
      <c r="F76" s="33">
        <f>MAX(F75,GLD_Table[[#This Row],[Growth]])</f>
        <v>1.4996359923214395</v>
      </c>
      <c r="G76" s="8">
        <f>GLD_Table[[#This Row],[Growth]]/GLD_Table[[#This Row],[High Water Mark]]-1</f>
        <v>-4.5947200212557826E-2</v>
      </c>
    </row>
    <row r="77" spans="2:7" x14ac:dyDescent="0.2">
      <c r="B77" s="22">
        <v>44682</v>
      </c>
      <c r="C77" s="23">
        <v>171.13999939999999</v>
      </c>
      <c r="D77" s="33">
        <f>GLD_Table[[#This Row],[Price/NAV]]/C76-1</f>
        <v>-3.2615477809749271E-2</v>
      </c>
      <c r="E77" s="33">
        <f>E76*(1+GLD_Table[[#This Row],[Monthly Return]])</f>
        <v>1.3840679120412298</v>
      </c>
      <c r="F77" s="33">
        <f>MAX(F76,GLD_Table[[#This Row],[Growth]])</f>
        <v>1.4996359923214395</v>
      </c>
      <c r="G77" s="8">
        <f>GLD_Table[[#This Row],[Growth]]/GLD_Table[[#This Row],[High Water Mark]]-1</f>
        <v>-7.7064088133354303E-2</v>
      </c>
    </row>
    <row r="78" spans="2:7" x14ac:dyDescent="0.2">
      <c r="B78" s="22">
        <v>44713</v>
      </c>
      <c r="C78" s="23">
        <v>168.46000670000001</v>
      </c>
      <c r="D78" s="33">
        <f>GLD_Table[[#This Row],[Price/NAV]]/C77-1</f>
        <v>-1.5659651217691861E-2</v>
      </c>
      <c r="E78" s="33">
        <f>E77*(1+GLD_Table[[#This Row],[Monthly Return]])</f>
        <v>1.3623938912770652</v>
      </c>
      <c r="F78" s="33">
        <f>MAX(F77,GLD_Table[[#This Row],[Growth]])</f>
        <v>1.4996359923214395</v>
      </c>
      <c r="G78" s="8">
        <f>GLD_Table[[#This Row],[Growth]]/GLD_Table[[#This Row],[High Water Mark]]-1</f>
        <v>-9.1516942609468299E-2</v>
      </c>
    </row>
    <row r="79" spans="2:7" x14ac:dyDescent="0.2">
      <c r="B79" s="22">
        <v>44743</v>
      </c>
      <c r="C79" s="23">
        <v>164.1000061</v>
      </c>
      <c r="D79" s="33">
        <f>GLD_Table[[#This Row],[Price/NAV]]/C78-1</f>
        <v>-2.5881517431994738E-2</v>
      </c>
      <c r="E79" s="33">
        <f>E78*(1+GLD_Table[[#This Row],[Monthly Return]])</f>
        <v>1.3271330700307347</v>
      </c>
      <c r="F79" s="33">
        <f>MAX(F78,GLD_Table[[#This Row],[Growth]])</f>
        <v>1.4996359923214395</v>
      </c>
      <c r="G79" s="8">
        <f>GLD_Table[[#This Row],[Growth]]/GLD_Table[[#This Row],[High Water Mark]]-1</f>
        <v>-0.11502986269599336</v>
      </c>
    </row>
    <row r="80" spans="2:7" x14ac:dyDescent="0.2">
      <c r="B80" s="22">
        <v>44774</v>
      </c>
      <c r="C80" s="23">
        <v>159.27000430000001</v>
      </c>
      <c r="D80" s="33">
        <f>GLD_Table[[#This Row],[Price/NAV]]/C79-1</f>
        <v>-2.9433282269695105E-2</v>
      </c>
      <c r="E80" s="33">
        <f>E79*(1+GLD_Table[[#This Row],[Monthly Return]])</f>
        <v>1.2880711877710731</v>
      </c>
      <c r="F80" s="33">
        <f>MAX(F79,GLD_Table[[#This Row],[Growth]])</f>
        <v>1.4996359923214395</v>
      </c>
      <c r="G80" s="8">
        <f>GLD_Table[[#This Row],[Growth]]/GLD_Table[[#This Row],[High Water Mark]]-1</f>
        <v>-0.14107743854751287</v>
      </c>
    </row>
    <row r="81" spans="2:7" x14ac:dyDescent="0.2">
      <c r="B81" s="22">
        <v>44805</v>
      </c>
      <c r="C81" s="23">
        <v>154.66999820000001</v>
      </c>
      <c r="D81" s="33">
        <f>GLD_Table[[#This Row],[Price/NAV]]/C80-1</f>
        <v>-2.8881810609708181E-2</v>
      </c>
      <c r="E81" s="33">
        <f>E80*(1+GLD_Table[[#This Row],[Monthly Return]])</f>
        <v>1.250869359674047</v>
      </c>
      <c r="F81" s="33">
        <f>MAX(F80,GLD_Table[[#This Row],[Growth]])</f>
        <v>1.4996359923214395</v>
      </c>
      <c r="G81" s="8">
        <f>GLD_Table[[#This Row],[Growth]]/GLD_Table[[#This Row],[High Water Mark]]-1</f>
        <v>-0.16588467729578915</v>
      </c>
    </row>
    <row r="82" spans="2:7" x14ac:dyDescent="0.2">
      <c r="B82" s="22">
        <v>44835</v>
      </c>
      <c r="C82" s="23">
        <v>151.9100037</v>
      </c>
      <c r="D82" s="33">
        <f>GLD_Table[[#This Row],[Price/NAV]]/C81-1</f>
        <v>-1.7844407655782879E-2</v>
      </c>
      <c r="E82" s="33">
        <f>E81*(1+GLD_Table[[#This Row],[Monthly Return]])</f>
        <v>1.2285483368958952</v>
      </c>
      <c r="F82" s="33">
        <f>MAX(F81,GLD_Table[[#This Row],[Growth]])</f>
        <v>1.4996359923214395</v>
      </c>
      <c r="G82" s="8">
        <f>GLD_Table[[#This Row],[Growth]]/GLD_Table[[#This Row],[High Water Mark]]-1</f>
        <v>-0.18076897114605806</v>
      </c>
    </row>
    <row r="83" spans="2:7" x14ac:dyDescent="0.2">
      <c r="B83" s="22">
        <v>44866</v>
      </c>
      <c r="C83" s="23">
        <v>164.8099976</v>
      </c>
      <c r="D83" s="33">
        <f>GLD_Table[[#This Row],[Price/NAV]]/C82-1</f>
        <v>8.491865963926637E-2</v>
      </c>
      <c r="E83" s="33">
        <f>E82*(1+GLD_Table[[#This Row],[Monthly Return]])</f>
        <v>1.3328750149671444</v>
      </c>
      <c r="F83" s="33">
        <f>MAX(F82,GLD_Table[[#This Row],[Growth]])</f>
        <v>1.4996359923214395</v>
      </c>
      <c r="G83" s="8">
        <f>GLD_Table[[#This Row],[Growth]]/GLD_Table[[#This Row],[High Water Mark]]-1</f>
        <v>-0.11120097024088405</v>
      </c>
    </row>
    <row r="84" spans="2:7" x14ac:dyDescent="0.2">
      <c r="B84" s="22">
        <v>44896</v>
      </c>
      <c r="C84" s="23">
        <v>169.63999939999999</v>
      </c>
      <c r="D84" s="33">
        <f>GLD_Table[[#This Row],[Price/NAV]]/C83-1</f>
        <v>2.93064854701508E-2</v>
      </c>
      <c r="E84" s="33">
        <f>E83*(1+GLD_Table[[#This Row],[Monthly Return]])</f>
        <v>1.371936897226806</v>
      </c>
      <c r="F84" s="33">
        <f>MAX(F83,GLD_Table[[#This Row],[Growth]])</f>
        <v>1.4996359923214395</v>
      </c>
      <c r="G84" s="8">
        <f>GLD_Table[[#This Row],[Growth]]/GLD_Table[[#This Row],[High Water Mark]]-1</f>
        <v>-8.5153394389364534E-2</v>
      </c>
    </row>
    <row r="85" spans="2:7" x14ac:dyDescent="0.2">
      <c r="B85" s="22">
        <v>44927</v>
      </c>
      <c r="C85" s="23">
        <v>179.4100037</v>
      </c>
      <c r="D85" s="33">
        <f>GLD_Table[[#This Row],[Price/NAV]]/C84-1</f>
        <v>5.7592574478634528E-2</v>
      </c>
      <c r="E85" s="33">
        <f>E84*(1+GLD_Table[[#This Row],[Monthly Return]])</f>
        <v>1.4509502751603276</v>
      </c>
      <c r="F85" s="33">
        <f>MAX(F84,GLD_Table[[#This Row],[Growth]])</f>
        <v>1.4996359923214395</v>
      </c>
      <c r="G85" s="8">
        <f>GLD_Table[[#This Row],[Growth]]/GLD_Table[[#This Row],[High Water Mark]]-1</f>
        <v>-3.2465023119207959E-2</v>
      </c>
    </row>
    <row r="86" spans="2:7" x14ac:dyDescent="0.2">
      <c r="B86" s="22">
        <v>44958</v>
      </c>
      <c r="C86" s="23">
        <v>169.77999879999999</v>
      </c>
      <c r="D86" s="33">
        <f>GLD_Table[[#This Row],[Price/NAV]]/C85-1</f>
        <v>-5.3675964000885923E-2</v>
      </c>
      <c r="E86" s="33">
        <f>E85*(1+GLD_Table[[#This Row],[Monthly Return]])</f>
        <v>1.3730691204237464</v>
      </c>
      <c r="F86" s="33">
        <f>MAX(F85,GLD_Table[[#This Row],[Growth]])</f>
        <v>1.4996359923214395</v>
      </c>
      <c r="G86" s="8">
        <f>GLD_Table[[#This Row],[Growth]]/GLD_Table[[#This Row],[High Water Mark]]-1</f>
        <v>-8.4398395707859342E-2</v>
      </c>
    </row>
    <row r="87" spans="2:7" x14ac:dyDescent="0.2">
      <c r="B87" s="22">
        <v>44986</v>
      </c>
      <c r="C87" s="23">
        <v>183.22000120000001</v>
      </c>
      <c r="D87" s="33">
        <f>GLD_Table[[#This Row],[Price/NAV]]/C86-1</f>
        <v>7.9161282218126683E-2</v>
      </c>
      <c r="E87" s="33">
        <f>E86*(1+GLD_Table[[#This Row],[Monthly Return]])</f>
        <v>1.4817630325706055</v>
      </c>
      <c r="F87" s="33">
        <f>MAX(F86,GLD_Table[[#This Row],[Growth]])</f>
        <v>1.4996359923214395</v>
      </c>
      <c r="G87" s="8">
        <f>GLD_Table[[#This Row],[Growth]]/GLD_Table[[#This Row],[High Water Mark]]-1</f>
        <v>-1.1918198711119654E-2</v>
      </c>
    </row>
    <row r="88" spans="2:7" x14ac:dyDescent="0.2">
      <c r="B88" s="22">
        <v>45017</v>
      </c>
      <c r="C88" s="23">
        <v>184.8000031</v>
      </c>
      <c r="D88" s="33">
        <f>GLD_Table[[#This Row],[Price/NAV]]/C87-1</f>
        <v>8.6235230305193866E-3</v>
      </c>
      <c r="E88" s="33">
        <f>E87*(1+GLD_Table[[#This Row],[Monthly Return]])</f>
        <v>1.4945410502077503</v>
      </c>
      <c r="F88" s="33">
        <f>MAX(F87,GLD_Table[[#This Row],[Growth]])</f>
        <v>1.4996359923214395</v>
      </c>
      <c r="G88" s="8">
        <f>GLD_Table[[#This Row],[Growth]]/GLD_Table[[#This Row],[High Water Mark]]-1</f>
        <v>-3.3974525416679002E-3</v>
      </c>
    </row>
    <row r="89" spans="2:7" x14ac:dyDescent="0.2">
      <c r="B89" s="22">
        <v>45047</v>
      </c>
      <c r="C89" s="23">
        <v>182.32000729999999</v>
      </c>
      <c r="D89" s="33">
        <f>GLD_Table[[#This Row],[Price/NAV]]/C88-1</f>
        <v>-1.3419890467523565E-2</v>
      </c>
      <c r="E89" s="33">
        <f>E88*(1+GLD_Table[[#This Row],[Monthly Return]])</f>
        <v>1.4744844730147446</v>
      </c>
      <c r="F89" s="33">
        <f>MAX(F88,GLD_Table[[#This Row],[Growth]])</f>
        <v>1.4996359923214395</v>
      </c>
      <c r="G89" s="8">
        <f>GLD_Table[[#This Row],[Growth]]/GLD_Table[[#This Row],[High Water Mark]]-1</f>
        <v>-1.6771749568213701E-2</v>
      </c>
    </row>
    <row r="90" spans="2:7" x14ac:dyDescent="0.2">
      <c r="B90" s="22">
        <v>45078</v>
      </c>
      <c r="C90" s="23">
        <v>178.27000430000001</v>
      </c>
      <c r="D90" s="33">
        <f>GLD_Table[[#This Row],[Price/NAV]]/C89-1</f>
        <v>-2.2213705780166348E-2</v>
      </c>
      <c r="E90" s="33">
        <f>E89*(1+GLD_Table[[#This Row],[Monthly Return]])</f>
        <v>1.4417307087537714</v>
      </c>
      <c r="F90" s="33">
        <f>MAX(F89,GLD_Table[[#This Row],[Growth]])</f>
        <v>1.4996359923214395</v>
      </c>
      <c r="G90" s="8">
        <f>GLD_Table[[#This Row],[Growth]]/GLD_Table[[#This Row],[High Water Mark]]-1</f>
        <v>-3.8612892638053231E-2</v>
      </c>
    </row>
    <row r="91" spans="2:7" x14ac:dyDescent="0.2">
      <c r="B91" s="22">
        <v>45108</v>
      </c>
      <c r="C91" s="23">
        <v>182.3500061</v>
      </c>
      <c r="D91" s="33">
        <f>GLD_Table[[#This Row],[Price/NAV]]/C90-1</f>
        <v>2.288664218089087E-2</v>
      </c>
      <c r="E91" s="33">
        <f>E90*(1+GLD_Table[[#This Row],[Monthly Return]])</f>
        <v>1.4747270836062212</v>
      </c>
      <c r="F91" s="33">
        <f>MAX(F90,GLD_Table[[#This Row],[Growth]])</f>
        <v>1.4996359923214395</v>
      </c>
      <c r="G91" s="8">
        <f>GLD_Table[[#This Row],[Growth]]/GLD_Table[[#This Row],[High Water Mark]]-1</f>
        <v>-1.6609969914538558E-2</v>
      </c>
    </row>
    <row r="92" spans="2:7" x14ac:dyDescent="0.2">
      <c r="B92" s="22">
        <v>45139</v>
      </c>
      <c r="C92" s="23">
        <v>180.02000430000001</v>
      </c>
      <c r="D92" s="33">
        <f>GLD_Table[[#This Row],[Price/NAV]]/C91-1</f>
        <v>-1.2777634889259204E-2</v>
      </c>
      <c r="E92" s="33">
        <f>E91*(1+GLD_Table[[#This Row],[Monthly Return]])</f>
        <v>1.4558835593705988</v>
      </c>
      <c r="F92" s="33">
        <f>MAX(F91,GLD_Table[[#This Row],[Growth]])</f>
        <v>1.4996359923214395</v>
      </c>
      <c r="G92" s="8">
        <f>GLD_Table[[#This Row],[Growth]]/GLD_Table[[#This Row],[High Water Mark]]-1</f>
        <v>-2.9175368672708313E-2</v>
      </c>
    </row>
    <row r="93" spans="2:7" x14ac:dyDescent="0.2">
      <c r="B93" s="22">
        <v>45170</v>
      </c>
      <c r="C93" s="23">
        <v>171.4499969</v>
      </c>
      <c r="D93" s="33">
        <f>GLD_Table[[#This Row],[Price/NAV]]/C92-1</f>
        <v>-4.760586154479951E-2</v>
      </c>
      <c r="E93" s="33">
        <f>E92*(1+GLD_Table[[#This Row],[Monthly Return]])</f>
        <v>1.3865749682178521</v>
      </c>
      <c r="F93" s="33">
        <f>MAX(F92,GLD_Table[[#This Row],[Growth]])</f>
        <v>1.4996359923214395</v>
      </c>
      <c r="G93" s="8">
        <f>GLD_Table[[#This Row],[Growth]]/GLD_Table[[#This Row],[High Water Mark]]-1</f>
        <v>-7.539231165595639E-2</v>
      </c>
    </row>
    <row r="94" spans="2:7" x14ac:dyDescent="0.2">
      <c r="B94" s="22">
        <v>45200</v>
      </c>
      <c r="C94" s="23">
        <v>184.0899963</v>
      </c>
      <c r="D94" s="33">
        <f>GLD_Table[[#This Row],[Price/NAV]]/C93-1</f>
        <v>7.37241156520545E-2</v>
      </c>
      <c r="E94" s="33">
        <f>E93*(1+GLD_Table[[#This Row],[Monthly Return]])</f>
        <v>1.4887989815349889</v>
      </c>
      <c r="F94" s="33">
        <f>MAX(F93,GLD_Table[[#This Row],[Growth]])</f>
        <v>1.4996359923214395</v>
      </c>
      <c r="G94" s="8">
        <f>GLD_Table[[#This Row],[Growth]]/GLD_Table[[#This Row],[High Water Mark]]-1</f>
        <v>-7.2264275077013052E-3</v>
      </c>
    </row>
    <row r="95" spans="2:7" x14ac:dyDescent="0.2">
      <c r="B95" s="22">
        <v>45231</v>
      </c>
      <c r="C95" s="23">
        <v>188.75</v>
      </c>
      <c r="D95" s="33">
        <f>GLD_Table[[#This Row],[Price/NAV]]/C94-1</f>
        <v>2.5313725860507397E-2</v>
      </c>
      <c r="E95" s="33">
        <f>E94*(1+GLD_Table[[#This Row],[Monthly Return]])</f>
        <v>1.5264860308149681</v>
      </c>
      <c r="F95" s="33">
        <f>MAX(F94,GLD_Table[[#This Row],[Growth]])</f>
        <v>1.5264860308149681</v>
      </c>
      <c r="G95" s="8">
        <f>GLD_Table[[#This Row],[Growth]]/GLD_Table[[#This Row],[High Water Mark]]-1</f>
        <v>0</v>
      </c>
    </row>
    <row r="96" spans="2:7" x14ac:dyDescent="0.2">
      <c r="B96" s="22">
        <v>45261</v>
      </c>
      <c r="C96" s="23">
        <v>191.16999820000001</v>
      </c>
      <c r="D96" s="33">
        <f>GLD_Table[[#This Row],[Price/NAV]]/C95-1</f>
        <v>1.2821182516556284E-2</v>
      </c>
      <c r="E96" s="33">
        <f>E95*(1+GLD_Table[[#This Row],[Monthly Return]])</f>
        <v>1.5460573868250205</v>
      </c>
      <c r="F96" s="33">
        <f>MAX(F95,GLD_Table[[#This Row],[Growth]])</f>
        <v>1.5460573868250205</v>
      </c>
      <c r="G96" s="8">
        <f>GLD_Table[[#This Row],[Growth]]/GLD_Table[[#This Row],[High Water Mark]]-1</f>
        <v>0</v>
      </c>
    </row>
    <row r="97" spans="2:7" x14ac:dyDescent="0.2">
      <c r="B97" s="22">
        <v>45292</v>
      </c>
      <c r="C97" s="23">
        <v>188.4499969</v>
      </c>
      <c r="D97" s="33">
        <f>GLD_Table[[#This Row],[Price/NAV]]/C96-1</f>
        <v>-1.4228180810852864E-2</v>
      </c>
      <c r="E97" s="33">
        <f>E96*(1+GLD_Table[[#This Row],[Monthly Return]])</f>
        <v>1.5240598027813195</v>
      </c>
      <c r="F97" s="33">
        <f>MAX(F96,GLD_Table[[#This Row],[Growth]])</f>
        <v>1.5460573868250205</v>
      </c>
      <c r="G97" s="8">
        <f>GLD_Table[[#This Row],[Growth]]/GLD_Table[[#This Row],[High Water Mark]]-1</f>
        <v>-1.4228180810852864E-2</v>
      </c>
    </row>
    <row r="98" spans="2:7" x14ac:dyDescent="0.2">
      <c r="B98" s="22">
        <v>45323</v>
      </c>
      <c r="C98" s="23">
        <v>189.3099976</v>
      </c>
      <c r="D98" s="33">
        <f>GLD_Table[[#This Row],[Price/NAV]]/C97-1</f>
        <v>4.56354849640217E-3</v>
      </c>
      <c r="E98" s="33">
        <f>E97*(1+GLD_Table[[#This Row],[Monthly Return]])</f>
        <v>1.5310149236027291</v>
      </c>
      <c r="F98" s="33">
        <f>MAX(F97,GLD_Table[[#This Row],[Growth]])</f>
        <v>1.5460573868250205</v>
      </c>
      <c r="G98" s="8">
        <f>GLD_Table[[#This Row],[Growth]]/GLD_Table[[#This Row],[High Water Mark]]-1</f>
        <v>-9.729563307596556E-3</v>
      </c>
    </row>
    <row r="99" spans="2:7" x14ac:dyDescent="0.2">
      <c r="B99" s="22">
        <v>45352</v>
      </c>
      <c r="C99" s="23">
        <v>205.72000120000001</v>
      </c>
      <c r="D99" s="33">
        <f>GLD_Table[[#This Row],[Price/NAV]]/C98-1</f>
        <v>8.6683238117583716E-2</v>
      </c>
      <c r="E99" s="33">
        <f>E98*(1+GLD_Table[[#This Row],[Monthly Return]])</f>
        <v>1.6637282547869587</v>
      </c>
      <c r="F99" s="33">
        <f>MAX(F98,GLD_Table[[#This Row],[Growth]])</f>
        <v>1.6637282547869587</v>
      </c>
      <c r="G99" s="8">
        <f>GLD_Table[[#This Row],[Growth]]/GLD_Table[[#This Row],[High Water Mark]]-1</f>
        <v>0</v>
      </c>
    </row>
    <row r="100" spans="2:7" x14ac:dyDescent="0.2">
      <c r="B100" s="22">
        <v>45383</v>
      </c>
      <c r="C100" s="23">
        <v>211.86999510000001</v>
      </c>
      <c r="D100" s="33">
        <f>GLD_Table[[#This Row],[Price/NAV]]/C99-1</f>
        <v>2.9894973090249133E-2</v>
      </c>
      <c r="E100" s="33">
        <f>E99*(1+GLD_Table[[#This Row],[Monthly Return]])</f>
        <v>1.7134653661933019</v>
      </c>
      <c r="F100" s="33">
        <f>MAX(F99,GLD_Table[[#This Row],[Growth]])</f>
        <v>1.7134653661933019</v>
      </c>
      <c r="G100" s="8">
        <f>GLD_Table[[#This Row],[Growth]]/GLD_Table[[#This Row],[High Water Mark]]-1</f>
        <v>0</v>
      </c>
    </row>
    <row r="101" spans="2:7" x14ac:dyDescent="0.2">
      <c r="B101" s="22">
        <v>45413</v>
      </c>
      <c r="C101" s="23">
        <v>215.3000031</v>
      </c>
      <c r="D101" s="33">
        <f>GLD_Table[[#This Row],[Price/NAV]]/C100-1</f>
        <v>1.6189210739260496E-2</v>
      </c>
      <c r="E101" s="33">
        <f>E100*(1+GLD_Table[[#This Row],[Monthly Return]])</f>
        <v>1.7412050181010295</v>
      </c>
      <c r="F101" s="33">
        <f>MAX(F100,GLD_Table[[#This Row],[Growth]])</f>
        <v>1.7412050181010295</v>
      </c>
      <c r="G101" s="8">
        <f>GLD_Table[[#This Row],[Growth]]/GLD_Table[[#This Row],[High Water Mark]]-1</f>
        <v>0</v>
      </c>
    </row>
    <row r="102" spans="2:7" x14ac:dyDescent="0.2">
      <c r="B102" s="22">
        <v>45444</v>
      </c>
      <c r="C102" s="23">
        <v>215.0099945</v>
      </c>
      <c r="D102" s="33">
        <f>GLD_Table[[#This Row],[Price/NAV]]/C101-1</f>
        <v>-1.3469976582642929E-3</v>
      </c>
      <c r="E102" s="33">
        <f>E101*(1+GLD_Table[[#This Row],[Monthly Return]])</f>
        <v>1.7388596190190893</v>
      </c>
      <c r="F102" s="33">
        <f>MAX(F101,GLD_Table[[#This Row],[Growth]])</f>
        <v>1.7412050181010295</v>
      </c>
      <c r="G102" s="8">
        <f>GLD_Table[[#This Row],[Growth]]/GLD_Table[[#This Row],[High Water Mark]]-1</f>
        <v>-1.3469976582642929E-3</v>
      </c>
    </row>
    <row r="103" spans="2:7" x14ac:dyDescent="0.2">
      <c r="B103" s="22">
        <v>45474</v>
      </c>
      <c r="C103" s="23">
        <v>226.5500031</v>
      </c>
      <c r="D103" s="33">
        <f>GLD_Table[[#This Row],[Price/NAV]]/C102-1</f>
        <v>5.3671963607254458E-2</v>
      </c>
      <c r="E103" s="33">
        <f>E102*(1+GLD_Table[[#This Row],[Monthly Return]])</f>
        <v>1.8321876292092061</v>
      </c>
      <c r="F103" s="33">
        <f>MAX(F102,GLD_Table[[#This Row],[Growth]])</f>
        <v>1.8321876292092061</v>
      </c>
      <c r="G103" s="8">
        <f>GLD_Table[[#This Row],[Growth]]/GLD_Table[[#This Row],[High Water Mark]]-1</f>
        <v>0</v>
      </c>
    </row>
    <row r="104" spans="2:7" x14ac:dyDescent="0.2">
      <c r="B104" s="22">
        <v>45505</v>
      </c>
      <c r="C104" s="23">
        <v>231.28999329999999</v>
      </c>
      <c r="D104" s="33">
        <f>GLD_Table[[#This Row],[Price/NAV]]/C103-1</f>
        <v>2.0922490113177039E-2</v>
      </c>
      <c r="E104" s="33">
        <f>E103*(1+GLD_Table[[#This Row],[Monthly Return]])</f>
        <v>1.870521556766821</v>
      </c>
      <c r="F104" s="33">
        <f>MAX(F103,GLD_Table[[#This Row],[Growth]])</f>
        <v>1.870521556766821</v>
      </c>
      <c r="G104" s="8">
        <f>GLD_Table[[#This Row],[Growth]]/GLD_Table[[#This Row],[High Water Mark]]-1</f>
        <v>0</v>
      </c>
    </row>
    <row r="105" spans="2:7" x14ac:dyDescent="0.2">
      <c r="B105" s="22">
        <v>45536</v>
      </c>
      <c r="C105" s="23">
        <v>243.0599976</v>
      </c>
      <c r="D105" s="33">
        <f>GLD_Table[[#This Row],[Price/NAV]]/C104-1</f>
        <v>5.0888515028548742E-2</v>
      </c>
      <c r="E105" s="33">
        <f>E104*(1+GLD_Table[[#This Row],[Monthly Return]])</f>
        <v>1.9657096211195737</v>
      </c>
      <c r="F105" s="33">
        <f>MAX(F104,GLD_Table[[#This Row],[Growth]])</f>
        <v>1.9657096211195737</v>
      </c>
      <c r="G105" s="8">
        <f>GLD_Table[[#This Row],[Growth]]/GLD_Table[[#This Row],[High Water Mark]]-1</f>
        <v>0</v>
      </c>
    </row>
    <row r="106" spans="2:7" x14ac:dyDescent="0.2">
      <c r="B106" s="22">
        <v>45566</v>
      </c>
      <c r="C106" s="23">
        <v>253.5099945</v>
      </c>
      <c r="D106" s="33">
        <f>GLD_Table[[#This Row],[Price/NAV]]/C105-1</f>
        <v>4.2993487217906523E-2</v>
      </c>
      <c r="E106" s="33">
        <f>E105*(1+GLD_Table[[#This Row],[Monthly Return]])</f>
        <v>2.0502223325892941</v>
      </c>
      <c r="F106" s="33">
        <f>MAX(F105,GLD_Table[[#This Row],[Growth]])</f>
        <v>2.0502223325892941</v>
      </c>
      <c r="G106" s="8">
        <f>GLD_Table[[#This Row],[Growth]]/GLD_Table[[#This Row],[High Water Mark]]-1</f>
        <v>0</v>
      </c>
    </row>
    <row r="107" spans="2:7" x14ac:dyDescent="0.2">
      <c r="B107" s="22">
        <v>45597</v>
      </c>
      <c r="C107" s="23">
        <v>245.5899963</v>
      </c>
      <c r="D107" s="33">
        <f>GLD_Table[[#This Row],[Price/NAV]]/C106-1</f>
        <v>-3.1241364726549259E-2</v>
      </c>
      <c r="E107" s="33">
        <f>E106*(1+GLD_Table[[#This Row],[Monthly Return]])</f>
        <v>1.9861705889263555</v>
      </c>
      <c r="F107" s="33">
        <f>MAX(F106,GLD_Table[[#This Row],[Growth]])</f>
        <v>2.0502223325892941</v>
      </c>
      <c r="G107" s="8">
        <f>GLD_Table[[#This Row],[Growth]]/GLD_Table[[#This Row],[High Water Mark]]-1</f>
        <v>-3.1241364726549259E-2</v>
      </c>
    </row>
    <row r="108" spans="2:7" x14ac:dyDescent="0.2">
      <c r="B108" s="22">
        <v>45627</v>
      </c>
      <c r="C108" s="23">
        <v>242.13000489999999</v>
      </c>
      <c r="D108" s="33">
        <f>GLD_Table[[#This Row],[Price/NAV]]/C107-1</f>
        <v>-1.4088486714147197E-2</v>
      </c>
      <c r="E108" s="33">
        <f>E107*(1+GLD_Table[[#This Row],[Monthly Return]])</f>
        <v>1.9581884509722365</v>
      </c>
      <c r="F108" s="33">
        <f>MAX(F107,GLD_Table[[#This Row],[Growth]])</f>
        <v>2.0502223325892941</v>
      </c>
      <c r="G108" s="8">
        <f>GLD_Table[[#This Row],[Growth]]/GLD_Table[[#This Row],[High Water Mark]]-1</f>
        <v>-4.4889707888814634E-2</v>
      </c>
    </row>
    <row r="109" spans="2:7" x14ac:dyDescent="0.2">
      <c r="B109" s="22">
        <v>45658</v>
      </c>
      <c r="C109" s="23">
        <v>258.55999759999997</v>
      </c>
      <c r="D109" s="33">
        <f>GLD_Table[[#This Row],[Price/NAV]]/C108-1</f>
        <v>6.7856078831640909E-2</v>
      </c>
      <c r="E109" s="33">
        <f>E108*(1+GLD_Table[[#This Row],[Monthly Return]])</f>
        <v>2.0910634408686173</v>
      </c>
      <c r="F109" s="33">
        <f>MAX(F108,GLD_Table[[#This Row],[Growth]])</f>
        <v>2.0910634408686173</v>
      </c>
      <c r="G109" s="8">
        <f>GLD_Table[[#This Row],[Growth]]/GLD_Table[[#This Row],[High Water Mark]]-1</f>
        <v>0</v>
      </c>
    </row>
    <row r="110" spans="2:7" x14ac:dyDescent="0.2">
      <c r="B110" s="22">
        <v>45689</v>
      </c>
      <c r="C110" s="23">
        <v>263.26998900000001</v>
      </c>
      <c r="D110" s="33">
        <f>GLD_Table[[#This Row],[Price/NAV]]/C109-1</f>
        <v>1.8216241660423238E-2</v>
      </c>
      <c r="E110" s="33">
        <f>E109*(1+GLD_Table[[#This Row],[Monthly Return]])</f>
        <v>2.1291547578347561</v>
      </c>
      <c r="F110" s="33">
        <f>MAX(F109,GLD_Table[[#This Row],[Growth]])</f>
        <v>2.1291547578347561</v>
      </c>
      <c r="G110" s="8">
        <f>GLD_Table[[#This Row],[Growth]]/GLD_Table[[#This Row],[High Water Mark]]-1</f>
        <v>0</v>
      </c>
    </row>
    <row r="111" spans="2:7" x14ac:dyDescent="0.2">
      <c r="B111" s="22">
        <v>45717</v>
      </c>
      <c r="C111" s="23">
        <v>288.14001459999997</v>
      </c>
      <c r="D111" s="33">
        <f>GLD_Table[[#This Row],[Price/NAV]]/C110-1</f>
        <v>9.4465858772835531E-2</v>
      </c>
      <c r="E111" s="33">
        <f>E110*(1+GLD_Table[[#This Row],[Monthly Return]])</f>
        <v>2.3302871904938849</v>
      </c>
      <c r="F111" s="33">
        <f>MAX(F110,GLD_Table[[#This Row],[Growth]])</f>
        <v>2.3302871904938849</v>
      </c>
      <c r="G111" s="8">
        <f>GLD_Table[[#This Row],[Growth]]/GLD_Table[[#This Row],[High Water Mark]]-1</f>
        <v>0</v>
      </c>
    </row>
    <row r="112" spans="2:7" x14ac:dyDescent="0.2">
      <c r="B112" s="22">
        <v>45748</v>
      </c>
      <c r="C112" s="23">
        <v>303.76998900000001</v>
      </c>
      <c r="D112" s="33">
        <f>GLD_Table[[#This Row],[Price/NAV]]/C111-1</f>
        <v>5.4244372902173321E-2</v>
      </c>
      <c r="E112" s="33">
        <f>E111*(1+GLD_Table[[#This Row],[Monthly Return]])</f>
        <v>2.4566921578241931</v>
      </c>
      <c r="F112" s="33">
        <f>MAX(F111,GLD_Table[[#This Row],[Growth]])</f>
        <v>2.4566921578241931</v>
      </c>
      <c r="G112" s="8">
        <f>GLD_Table[[#This Row],[Growth]]/GLD_Table[[#This Row],[High Water Mark]]-1</f>
        <v>0</v>
      </c>
    </row>
    <row r="113" spans="2:7" x14ac:dyDescent="0.2">
      <c r="B113" s="22">
        <v>45778</v>
      </c>
      <c r="C113" s="23">
        <v>303.60000609999997</v>
      </c>
      <c r="D113" s="33">
        <f>GLD_Table[[#This Row],[Price/NAV]]/C112-1</f>
        <v>-5.5957766124170583E-4</v>
      </c>
      <c r="E113" s="33">
        <f>E112*(1+GLD_Table[[#This Row],[Monthly Return]])</f>
        <v>2.4553174477721269</v>
      </c>
      <c r="F113" s="33">
        <f>MAX(F112,GLD_Table[[#This Row],[Growth]])</f>
        <v>2.4566921578241931</v>
      </c>
      <c r="G113" s="8">
        <f>GLD_Table[[#This Row],[Growth]]/GLD_Table[[#This Row],[High Water Mark]]-1</f>
        <v>-5.5957766124181685E-4</v>
      </c>
    </row>
    <row r="114" spans="2:7" x14ac:dyDescent="0.2">
      <c r="B114" s="22">
        <v>45809</v>
      </c>
      <c r="C114" s="23">
        <v>304.82998659999998</v>
      </c>
      <c r="D114" s="33">
        <f>GLD_Table[[#This Row],[Price/NAV]]/C113-1</f>
        <v>4.0513190885604899E-3</v>
      </c>
      <c r="E114" s="33">
        <f>E113*(1+GLD_Table[[#This Row],[Monthly Return]])</f>
        <v>2.4652647222167619</v>
      </c>
      <c r="F114" s="33">
        <f>MAX(F113,GLD_Table[[#This Row],[Growth]])</f>
        <v>2.4652647222167619</v>
      </c>
      <c r="G114" s="8">
        <f>GLD_Table[[#This Row],[Growth]]/GLD_Table[[#This Row],[High Water Mark]]-1</f>
        <v>0</v>
      </c>
    </row>
    <row r="115" spans="2:7" x14ac:dyDescent="0.2">
      <c r="B115" s="22">
        <v>45839</v>
      </c>
      <c r="C115" s="23">
        <v>302.9599915</v>
      </c>
      <c r="D115" s="33">
        <f>GLD_Table[[#This Row],[Price/NAV]]/C114-1</f>
        <v>-6.1345510028637529E-3</v>
      </c>
      <c r="E115" s="33">
        <f>E114*(1+GLD_Table[[#This Row],[Monthly Return]])</f>
        <v>2.4501414300427622</v>
      </c>
      <c r="F115" s="33">
        <f>MAX(F114,GLD_Table[[#This Row],[Growth]])</f>
        <v>2.4652647222167619</v>
      </c>
      <c r="G115" s="8">
        <f>GLD_Table[[#This Row],[Growth]]/GLD_Table[[#This Row],[High Water Mark]]-1</f>
        <v>-6.1345510028638639E-3</v>
      </c>
    </row>
    <row r="116" spans="2:7" x14ac:dyDescent="0.2">
      <c r="B116" s="22">
        <v>45870</v>
      </c>
      <c r="C116" s="23">
        <v>318.07000729999999</v>
      </c>
      <c r="D116" s="33">
        <f>GLD_Table[[#This Row],[Price/NAV]]/C115-1</f>
        <v>4.9874624451855976E-2</v>
      </c>
      <c r="E116" s="33">
        <f>E115*(1+GLD_Table[[#This Row],[Monthly Return]])</f>
        <v>2.5723413137200781</v>
      </c>
      <c r="F116" s="33">
        <f>MAX(F115,GLD_Table[[#This Row],[Growth]])</f>
        <v>2.5723413137200781</v>
      </c>
      <c r="G116" s="8">
        <f>GLD_Table[[#This Row],[Growth]]/GLD_Table[[#This Row],[High Water Mark]]-1</f>
        <v>0</v>
      </c>
    </row>
    <row r="117" spans="2:7" x14ac:dyDescent="0.2">
      <c r="B117" s="22">
        <v>45901</v>
      </c>
      <c r="C117" s="23">
        <v>355.47000120000001</v>
      </c>
      <c r="D117" s="33">
        <f>GLD_Table[[#This Row],[Price/NAV]]/C116-1</f>
        <v>0.1175841577062775</v>
      </c>
      <c r="E117" s="33">
        <f>E116*(1+GLD_Table[[#This Row],[Monthly Return]])</f>
        <v>2.8748079004269127</v>
      </c>
      <c r="F117" s="33">
        <f>MAX(F116,GLD_Table[[#This Row],[Growth]])</f>
        <v>2.8748079004269127</v>
      </c>
      <c r="G117" s="8">
        <f>GLD_Table[[#This Row],[Growth]]/GLD_Table[[#This Row],[High Water Mark]]-1</f>
        <v>0</v>
      </c>
    </row>
    <row r="118" spans="2:7" x14ac:dyDescent="0.2">
      <c r="B118" s="22">
        <v>45931</v>
      </c>
      <c r="C118" s="23">
        <v>368.11999509999998</v>
      </c>
      <c r="D118" s="33">
        <f>GLD_Table[[#This Row],[Price/NAV]]/C117-1</f>
        <v>3.5586670766297956E-2</v>
      </c>
      <c r="E118" s="33">
        <f>E117*(1+GLD_Table[[#This Row],[Monthly Return]])</f>
        <v>2.9771127426957573</v>
      </c>
      <c r="F118" s="33">
        <f>MAX(F117,GLD_Table[[#This Row],[Growth]])</f>
        <v>2.9771127426957573</v>
      </c>
      <c r="G118" s="8">
        <f>GLD_Table[[#This Row],[Growth]]/GLD_Table[[#This Row],[High Water Mark]]-1</f>
        <v>0</v>
      </c>
    </row>
    <row r="119" spans="2:7" x14ac:dyDescent="0.2">
      <c r="B119" s="22">
        <v>45962</v>
      </c>
      <c r="C119" s="23">
        <v>387.88000490000002</v>
      </c>
      <c r="D119" s="33">
        <f>GLD_Table[[#This Row],[Price/NAV]]/C118-1</f>
        <v>5.3678175766117331E-2</v>
      </c>
      <c r="E119" s="33">
        <f>E118*(1+GLD_Table[[#This Row],[Monthly Return]])</f>
        <v>3.1369187237737277</v>
      </c>
      <c r="F119" s="33">
        <f>MAX(F118,GLD_Table[[#This Row],[Growth]])</f>
        <v>3.1369187237737277</v>
      </c>
      <c r="G119" s="8">
        <f>GLD_Table[[#This Row],[Growth]]/GLD_Table[[#This Row],[High Water Mark]]-1</f>
        <v>0</v>
      </c>
    </row>
    <row r="120" spans="2:7" x14ac:dyDescent="0.2">
      <c r="B120" s="24">
        <v>45992</v>
      </c>
      <c r="C120" s="25">
        <v>396.30999759999997</v>
      </c>
      <c r="D120" s="33">
        <f>GLD_Table[[#This Row],[Price/NAV]]/C119-1</f>
        <v>2.1733506737923625E-2</v>
      </c>
      <c r="E120" s="33">
        <f>E119*(1+GLD_Table[[#This Row],[Monthly Return]])</f>
        <v>3.2050949679931828</v>
      </c>
      <c r="F120" s="33">
        <f>MAX(F119,GLD_Table[[#This Row],[Growth]])</f>
        <v>3.2050949679931828</v>
      </c>
      <c r="G120" s="8">
        <f>GLD_Table[[#This Row],[Growth]]/GLD_Table[[#This Row],[High Water Mark]]-1</f>
        <v>0</v>
      </c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FB92-60BA-49C1-9C22-31D845FF43EF}">
  <dimension ref="B1:G120"/>
  <sheetViews>
    <sheetView workbookViewId="0">
      <selection sqref="A1:G1"/>
    </sheetView>
  </sheetViews>
  <sheetFormatPr baseColWidth="10" defaultColWidth="8.83203125" defaultRowHeight="15" x14ac:dyDescent="0.2"/>
  <cols>
    <col min="1" max="1" width="3.5" customWidth="1"/>
    <col min="2" max="7" width="15.5" customWidth="1"/>
  </cols>
  <sheetData>
    <row r="1" spans="2:7" x14ac:dyDescent="0.2">
      <c r="B1" s="202" t="s">
        <v>615</v>
      </c>
      <c r="C1" s="203"/>
      <c r="D1" s="203"/>
      <c r="E1" s="203"/>
      <c r="F1" s="203"/>
      <c r="G1" s="204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>
        <v>42461</v>
      </c>
      <c r="C4" s="23">
        <v>55.623714450000001</v>
      </c>
      <c r="D4" s="32">
        <v>0</v>
      </c>
      <c r="E4" s="32">
        <v>1</v>
      </c>
      <c r="F4" s="33">
        <f>MAX(F3,VNQ_Table[[#This Row],[Growth]])</f>
        <v>1</v>
      </c>
      <c r="G4" s="8">
        <f>VNQ_Table[[#This Row],[Growth]]/VNQ_Table[[#This Row],[High Water Mark]]-1</f>
        <v>0</v>
      </c>
    </row>
    <row r="5" spans="2:7" x14ac:dyDescent="0.2">
      <c r="B5" s="22">
        <v>42491</v>
      </c>
      <c r="C5" s="23">
        <v>56.874435419999998</v>
      </c>
      <c r="D5" s="33">
        <f>VNQ_Table[[#This Row],[Price/NAV]]/C4-1</f>
        <v>2.2485391030911295E-2</v>
      </c>
      <c r="E5" s="33">
        <f>E4*(1+VNQ_Table[[#This Row],[Monthly Return]])</f>
        <v>1.0224853910309113</v>
      </c>
      <c r="F5" s="33">
        <f>MAX(F4,VNQ_Table[[#This Row],[Growth]])</f>
        <v>1.0224853910309113</v>
      </c>
      <c r="G5" s="8">
        <f>VNQ_Table[[#This Row],[Growth]]/VNQ_Table[[#This Row],[High Water Mark]]-1</f>
        <v>0</v>
      </c>
    </row>
    <row r="6" spans="2:7" x14ac:dyDescent="0.2">
      <c r="B6" s="22">
        <v>42522</v>
      </c>
      <c r="C6" s="23">
        <v>60.273197170000003</v>
      </c>
      <c r="D6" s="33">
        <f>VNQ_Table[[#This Row],[Price/NAV]]/C5-1</f>
        <v>5.975904156060996E-2</v>
      </c>
      <c r="E6" s="33">
        <f>E5*(1+VNQ_Table[[#This Row],[Monthly Return]])</f>
        <v>1.0835881380086441</v>
      </c>
      <c r="F6" s="33">
        <f>MAX(F5,VNQ_Table[[#This Row],[Growth]])</f>
        <v>1.0835881380086441</v>
      </c>
      <c r="G6" s="8">
        <f>VNQ_Table[[#This Row],[Growth]]/VNQ_Table[[#This Row],[High Water Mark]]-1</f>
        <v>0</v>
      </c>
    </row>
    <row r="7" spans="2:7" x14ac:dyDescent="0.2">
      <c r="B7" s="22">
        <v>42552</v>
      </c>
      <c r="C7" s="23">
        <v>63.407497409999998</v>
      </c>
      <c r="D7" s="33">
        <f>VNQ_Table[[#This Row],[Price/NAV]]/C6-1</f>
        <v>5.2001559352488513E-2</v>
      </c>
      <c r="E7" s="33">
        <f>E6*(1+VNQ_Table[[#This Row],[Monthly Return]])</f>
        <v>1.1399364108809531</v>
      </c>
      <c r="F7" s="33">
        <f>MAX(F6,VNQ_Table[[#This Row],[Growth]])</f>
        <v>1.1399364108809531</v>
      </c>
      <c r="G7" s="8">
        <f>VNQ_Table[[#This Row],[Growth]]/VNQ_Table[[#This Row],[High Water Mark]]-1</f>
        <v>0</v>
      </c>
    </row>
    <row r="8" spans="2:7" x14ac:dyDescent="0.2">
      <c r="B8" s="22">
        <v>42583</v>
      </c>
      <c r="C8" s="23">
        <v>61.020698549999999</v>
      </c>
      <c r="D8" s="33">
        <f>VNQ_Table[[#This Row],[Price/NAV]]/C7-1</f>
        <v>-3.7642218310031894E-2</v>
      </c>
      <c r="E8" s="33">
        <f>E7*(1+VNQ_Table[[#This Row],[Monthly Return]])</f>
        <v>1.097026675643018</v>
      </c>
      <c r="F8" s="33">
        <f>MAX(F7,VNQ_Table[[#This Row],[Growth]])</f>
        <v>1.1399364108809531</v>
      </c>
      <c r="G8" s="8">
        <f>VNQ_Table[[#This Row],[Growth]]/VNQ_Table[[#This Row],[High Water Mark]]-1</f>
        <v>-3.7642218310031894E-2</v>
      </c>
    </row>
    <row r="9" spans="2:7" x14ac:dyDescent="0.2">
      <c r="B9" s="22">
        <v>42614</v>
      </c>
      <c r="C9" s="23">
        <v>59.491249080000003</v>
      </c>
      <c r="D9" s="33">
        <f>VNQ_Table[[#This Row],[Price/NAV]]/C8-1</f>
        <v>-2.5064437253971672E-2</v>
      </c>
      <c r="E9" s="33">
        <f>E8*(1+VNQ_Table[[#This Row],[Monthly Return]])</f>
        <v>1.0695303193654304</v>
      </c>
      <c r="F9" s="33">
        <f>MAX(F8,VNQ_Table[[#This Row],[Growth]])</f>
        <v>1.1399364108809531</v>
      </c>
      <c r="G9" s="8">
        <f>VNQ_Table[[#This Row],[Growth]]/VNQ_Table[[#This Row],[High Water Mark]]-1</f>
        <v>-6.176317454507152E-2</v>
      </c>
    </row>
    <row r="10" spans="2:7" x14ac:dyDescent="0.2">
      <c r="B10" s="22">
        <v>42644</v>
      </c>
      <c r="C10" s="23">
        <v>56.463298799999997</v>
      </c>
      <c r="D10" s="33">
        <f>VNQ_Table[[#This Row],[Price/NAV]]/C9-1</f>
        <v>-5.0897406371955833E-2</v>
      </c>
      <c r="E10" s="33">
        <f>E9*(1+VNQ_Table[[#This Row],[Monthly Return]])</f>
        <v>1.0150940000735604</v>
      </c>
      <c r="F10" s="33">
        <f>MAX(F9,VNQ_Table[[#This Row],[Growth]])</f>
        <v>1.1399364108809531</v>
      </c>
      <c r="G10" s="8">
        <f>VNQ_Table[[#This Row],[Growth]]/VNQ_Table[[#This Row],[High Water Mark]]-1</f>
        <v>-0.10951699552338479</v>
      </c>
    </row>
    <row r="11" spans="2:7" x14ac:dyDescent="0.2">
      <c r="B11" s="22">
        <v>42675</v>
      </c>
      <c r="C11" s="23">
        <v>55.517162319999997</v>
      </c>
      <c r="D11" s="33">
        <f>VNQ_Table[[#This Row],[Price/NAV]]/C10-1</f>
        <v>-1.675666317958735E-2</v>
      </c>
      <c r="E11" s="33">
        <f>E10*(1+VNQ_Table[[#This Row],[Monthly Return]])</f>
        <v>0.99808441181870777</v>
      </c>
      <c r="F11" s="33">
        <f>MAX(F10,VNQ_Table[[#This Row],[Growth]])</f>
        <v>1.1399364108809531</v>
      </c>
      <c r="G11" s="8">
        <f>VNQ_Table[[#This Row],[Growth]]/VNQ_Table[[#This Row],[High Water Mark]]-1</f>
        <v>-0.12443851929654637</v>
      </c>
    </row>
    <row r="12" spans="2:7" x14ac:dyDescent="0.2">
      <c r="B12" s="22">
        <v>42705</v>
      </c>
      <c r="C12" s="23">
        <v>56.995056150000003</v>
      </c>
      <c r="D12" s="33">
        <f>VNQ_Table[[#This Row],[Price/NAV]]/C11-1</f>
        <v>2.6620485778459768E-2</v>
      </c>
      <c r="E12" s="33">
        <f>E11*(1+VNQ_Table[[#This Row],[Monthly Return]])</f>
        <v>1.0246539037092302</v>
      </c>
      <c r="F12" s="33">
        <f>MAX(F11,VNQ_Table[[#This Row],[Growth]])</f>
        <v>1.1399364108809531</v>
      </c>
      <c r="G12" s="8">
        <f>VNQ_Table[[#This Row],[Growth]]/VNQ_Table[[#This Row],[High Water Mark]]-1</f>
        <v>-0.10113064735131283</v>
      </c>
    </row>
    <row r="13" spans="2:7" x14ac:dyDescent="0.2">
      <c r="B13" s="22">
        <v>42736</v>
      </c>
      <c r="C13" s="23">
        <v>58.078689580000002</v>
      </c>
      <c r="D13" s="33">
        <f>VNQ_Table[[#This Row],[Price/NAV]]/C12-1</f>
        <v>1.9012761863907768E-2</v>
      </c>
      <c r="E13" s="33">
        <f>E12*(1+VNQ_Table[[#This Row],[Monthly Return]])</f>
        <v>1.0441354043733773</v>
      </c>
      <c r="F13" s="33">
        <f>MAX(F12,VNQ_Table[[#This Row],[Growth]])</f>
        <v>1.1399364108809531</v>
      </c>
      <c r="G13" s="8">
        <f>VNQ_Table[[#This Row],[Growth]]/VNQ_Table[[#This Row],[High Water Mark]]-1</f>
        <v>-8.4040658402638413E-2</v>
      </c>
    </row>
    <row r="14" spans="2:7" x14ac:dyDescent="0.2">
      <c r="B14" s="22">
        <v>42767</v>
      </c>
      <c r="C14" s="23">
        <v>60.116405489999998</v>
      </c>
      <c r="D14" s="33">
        <f>VNQ_Table[[#This Row],[Price/NAV]]/C13-1</f>
        <v>3.5085431932708522E-2</v>
      </c>
      <c r="E14" s="33">
        <f>E13*(1+VNQ_Table[[#This Row],[Monthly Return]])</f>
        <v>1.0807693460320504</v>
      </c>
      <c r="F14" s="33">
        <f>MAX(F13,VNQ_Table[[#This Row],[Growth]])</f>
        <v>1.1399364108809531</v>
      </c>
      <c r="G14" s="8">
        <f>VNQ_Table[[#This Row],[Growth]]/VNQ_Table[[#This Row],[High Water Mark]]-1</f>
        <v>-5.1903829269895674E-2</v>
      </c>
    </row>
    <row r="15" spans="2:7" x14ac:dyDescent="0.2">
      <c r="B15" s="22">
        <v>42795</v>
      </c>
      <c r="C15" s="23">
        <v>58.233802799999999</v>
      </c>
      <c r="D15" s="33">
        <f>VNQ_Table[[#This Row],[Price/NAV]]/C14-1</f>
        <v>-3.1315955680569774E-2</v>
      </c>
      <c r="E15" s="33">
        <f>E14*(1+VNQ_Table[[#This Row],[Monthly Return]])</f>
        <v>1.0469240210907924</v>
      </c>
      <c r="F15" s="33">
        <f>MAX(F14,VNQ_Table[[#This Row],[Growth]])</f>
        <v>1.1399364108809531</v>
      </c>
      <c r="G15" s="8">
        <f>VNQ_Table[[#This Row],[Growth]]/VNQ_Table[[#This Row],[High Water Mark]]-1</f>
        <v>-8.15943669333975E-2</v>
      </c>
    </row>
    <row r="16" spans="2:7" x14ac:dyDescent="0.2">
      <c r="B16" s="22">
        <v>42826</v>
      </c>
      <c r="C16" s="23">
        <v>58.801418300000002</v>
      </c>
      <c r="D16" s="33">
        <f>VNQ_Table[[#This Row],[Price/NAV]]/C15-1</f>
        <v>9.7471824388566386E-3</v>
      </c>
      <c r="E16" s="33">
        <f>E15*(1+VNQ_Table[[#This Row],[Monthly Return]])</f>
        <v>1.0571285805239858</v>
      </c>
      <c r="F16" s="33">
        <f>MAX(F15,VNQ_Table[[#This Row],[Growth]])</f>
        <v>1.1399364108809531</v>
      </c>
      <c r="G16" s="8">
        <f>VNQ_Table[[#This Row],[Growth]]/VNQ_Table[[#This Row],[High Water Mark]]-1</f>
        <v>-7.2642499675023675E-2</v>
      </c>
    </row>
    <row r="17" spans="2:7" x14ac:dyDescent="0.2">
      <c r="B17" s="22">
        <v>42856</v>
      </c>
      <c r="C17" s="23">
        <v>58.37528992</v>
      </c>
      <c r="D17" s="33">
        <f>VNQ_Table[[#This Row],[Price/NAV]]/C16-1</f>
        <v>-7.2469064917095594E-3</v>
      </c>
      <c r="E17" s="33">
        <f>E16*(1+VNQ_Table[[#This Row],[Monthly Return]])</f>
        <v>1.0494676685512148</v>
      </c>
      <c r="F17" s="33">
        <f>MAX(F16,VNQ_Table[[#This Row],[Growth]])</f>
        <v>1.1399364108809531</v>
      </c>
      <c r="G17" s="8">
        <f>VNQ_Table[[#This Row],[Growth]]/VNQ_Table[[#This Row],[High Water Mark]]-1</f>
        <v>-7.9362972764264406E-2</v>
      </c>
    </row>
    <row r="18" spans="2:7" x14ac:dyDescent="0.2">
      <c r="B18" s="22">
        <v>42887</v>
      </c>
      <c r="C18" s="23">
        <v>59.113937380000003</v>
      </c>
      <c r="D18" s="33">
        <f>VNQ_Table[[#This Row],[Price/NAV]]/C17-1</f>
        <v>1.2653426835434578E-2</v>
      </c>
      <c r="E18" s="33">
        <f>E17*(1+VNQ_Table[[#This Row],[Monthly Return]])</f>
        <v>1.0627470309113816</v>
      </c>
      <c r="F18" s="33">
        <f>MAX(F17,VNQ_Table[[#This Row],[Growth]])</f>
        <v>1.1399364108809531</v>
      </c>
      <c r="G18" s="8">
        <f>VNQ_Table[[#This Row],[Growth]]/VNQ_Table[[#This Row],[High Water Mark]]-1</f>
        <v>-6.7713759498145065E-2</v>
      </c>
    </row>
    <row r="19" spans="2:7" x14ac:dyDescent="0.2">
      <c r="B19" s="22">
        <v>42917</v>
      </c>
      <c r="C19" s="23">
        <v>60.417129520000003</v>
      </c>
      <c r="D19" s="33">
        <f>VNQ_Table[[#This Row],[Price/NAV]]/C18-1</f>
        <v>2.2045429517285164E-2</v>
      </c>
      <c r="E19" s="33">
        <f>E18*(1+VNQ_Table[[#This Row],[Monthly Return]])</f>
        <v>1.0861757456760426</v>
      </c>
      <c r="F19" s="33">
        <f>MAX(F18,VNQ_Table[[#This Row],[Growth]])</f>
        <v>1.1399364108809531</v>
      </c>
      <c r="G19" s="8">
        <f>VNQ_Table[[#This Row],[Growth]]/VNQ_Table[[#This Row],[High Water Mark]]-1</f>
        <v>-4.7161108893226555E-2</v>
      </c>
    </row>
    <row r="20" spans="2:7" x14ac:dyDescent="0.2">
      <c r="B20" s="22">
        <v>42948</v>
      </c>
      <c r="C20" s="23">
        <v>60.259387969999999</v>
      </c>
      <c r="D20" s="33">
        <f>VNQ_Table[[#This Row],[Price/NAV]]/C19-1</f>
        <v>-2.610874618725223E-3</v>
      </c>
      <c r="E20" s="33">
        <f>E19*(1+VNQ_Table[[#This Row],[Monthly Return]])</f>
        <v>1.0833398769901821</v>
      </c>
      <c r="F20" s="33">
        <f>MAX(F19,VNQ_Table[[#This Row],[Growth]])</f>
        <v>1.1399364108809531</v>
      </c>
      <c r="G20" s="8">
        <f>VNQ_Table[[#This Row],[Growth]]/VNQ_Table[[#This Row],[High Water Mark]]-1</f>
        <v>-4.9648851769751534E-2</v>
      </c>
    </row>
    <row r="21" spans="2:7" x14ac:dyDescent="0.2">
      <c r="B21" s="22">
        <v>42979</v>
      </c>
      <c r="C21" s="23">
        <v>59.57819748</v>
      </c>
      <c r="D21" s="33">
        <f>VNQ_Table[[#This Row],[Price/NAV]]/C20-1</f>
        <v>-1.1304304821999289E-2</v>
      </c>
      <c r="E21" s="33">
        <f>E20*(1+VNQ_Table[[#This Row],[Monthly Return]])</f>
        <v>1.0710934727948578</v>
      </c>
      <c r="F21" s="33">
        <f>MAX(F20,VNQ_Table[[#This Row],[Growth]])</f>
        <v>1.1399364108809531</v>
      </c>
      <c r="G21" s="8">
        <f>VNQ_Table[[#This Row],[Growth]]/VNQ_Table[[#This Row],[High Water Mark]]-1</f>
        <v>-6.0391910837283347E-2</v>
      </c>
    </row>
    <row r="22" spans="2:7" x14ac:dyDescent="0.2">
      <c r="B22" s="22">
        <v>43009</v>
      </c>
      <c r="C22" s="23">
        <v>59.545928959999998</v>
      </c>
      <c r="D22" s="33">
        <f>VNQ_Table[[#This Row],[Price/NAV]]/C21-1</f>
        <v>-5.4161625166382343E-4</v>
      </c>
      <c r="E22" s="33">
        <f>E21*(1+VNQ_Table[[#This Row],[Monthly Return]])</f>
        <v>1.070513351162941</v>
      </c>
      <c r="F22" s="33">
        <f>MAX(F21,VNQ_Table[[#This Row],[Growth]])</f>
        <v>1.1399364108809531</v>
      </c>
      <c r="G22" s="8">
        <f>VNQ_Table[[#This Row],[Growth]]/VNQ_Table[[#This Row],[High Water Mark]]-1</f>
        <v>-6.0900817848568711E-2</v>
      </c>
    </row>
    <row r="23" spans="2:7" x14ac:dyDescent="0.2">
      <c r="B23" s="22">
        <v>43040</v>
      </c>
      <c r="C23" s="23">
        <v>61.132389070000002</v>
      </c>
      <c r="D23" s="33">
        <f>VNQ_Table[[#This Row],[Price/NAV]]/C22-1</f>
        <v>2.6642629273039065E-2</v>
      </c>
      <c r="E23" s="33">
        <f>E22*(1+VNQ_Table[[#This Row],[Monthly Return]])</f>
        <v>1.099034641509814</v>
      </c>
      <c r="F23" s="33">
        <f>MAX(F22,VNQ_Table[[#This Row],[Growth]])</f>
        <v>1.1399364108809531</v>
      </c>
      <c r="G23" s="8">
        <f>VNQ_Table[[#This Row],[Growth]]/VNQ_Table[[#This Row],[High Water Mark]]-1</f>
        <v>-3.5880746487893855E-2</v>
      </c>
    </row>
    <row r="24" spans="2:7" x14ac:dyDescent="0.2">
      <c r="B24" s="22">
        <v>43070</v>
      </c>
      <c r="C24" s="23">
        <v>60.110980990000002</v>
      </c>
      <c r="D24" s="33">
        <f>VNQ_Table[[#This Row],[Price/NAV]]/C23-1</f>
        <v>-1.6708132882397808E-2</v>
      </c>
      <c r="E24" s="33">
        <f>E23*(1+VNQ_Table[[#This Row],[Monthly Return]])</f>
        <v>1.0806718246771096</v>
      </c>
      <c r="F24" s="33">
        <f>MAX(F23,VNQ_Table[[#This Row],[Growth]])</f>
        <v>1.1399364108809531</v>
      </c>
      <c r="G24" s="8">
        <f>VNQ_Table[[#This Row],[Growth]]/VNQ_Table[[#This Row],[High Water Mark]]-1</f>
        <v>-5.1989379090052301E-2</v>
      </c>
    </row>
    <row r="25" spans="2:7" x14ac:dyDescent="0.2">
      <c r="B25" s="22">
        <v>43101</v>
      </c>
      <c r="C25" s="23">
        <v>58.445484159999999</v>
      </c>
      <c r="D25" s="33">
        <f>VNQ_Table[[#This Row],[Price/NAV]]/C24-1</f>
        <v>-2.7707031270660432E-2</v>
      </c>
      <c r="E25" s="33">
        <f>E24*(1+VNQ_Table[[#This Row],[Monthly Return]])</f>
        <v>1.0507296166374593</v>
      </c>
      <c r="F25" s="33">
        <f>MAX(F24,VNQ_Table[[#This Row],[Growth]])</f>
        <v>1.1399364108809531</v>
      </c>
      <c r="G25" s="8">
        <f>VNQ_Table[[#This Row],[Growth]]/VNQ_Table[[#This Row],[High Water Mark]]-1</f>
        <v>-7.8255939008522346E-2</v>
      </c>
    </row>
    <row r="26" spans="2:7" x14ac:dyDescent="0.2">
      <c r="B26" s="22">
        <v>43132</v>
      </c>
      <c r="C26" s="23">
        <v>53.958187100000004</v>
      </c>
      <c r="D26" s="33">
        <f>VNQ_Table[[#This Row],[Price/NAV]]/C25-1</f>
        <v>-7.6777481177426776E-2</v>
      </c>
      <c r="E26" s="33">
        <f>E25*(1+VNQ_Table[[#This Row],[Monthly Return]])</f>
        <v>0.97005724327351195</v>
      </c>
      <c r="F26" s="33">
        <f>MAX(F25,VNQ_Table[[#This Row],[Growth]])</f>
        <v>1.1399364108809531</v>
      </c>
      <c r="G26" s="8">
        <f>VNQ_Table[[#This Row],[Growth]]/VNQ_Table[[#This Row],[High Water Mark]]-1</f>
        <v>-0.14902512630170051</v>
      </c>
    </row>
    <row r="27" spans="2:7" x14ac:dyDescent="0.2">
      <c r="B27" s="22">
        <v>43160</v>
      </c>
      <c r="C27" s="23">
        <v>55.517715449999997</v>
      </c>
      <c r="D27" s="33">
        <f>VNQ_Table[[#This Row],[Price/NAV]]/C26-1</f>
        <v>2.8902534236551425E-2</v>
      </c>
      <c r="E27" s="33">
        <f>E26*(1+VNQ_Table[[#This Row],[Monthly Return]])</f>
        <v>0.99809435595863927</v>
      </c>
      <c r="F27" s="33">
        <f>MAX(F26,VNQ_Table[[#This Row],[Growth]])</f>
        <v>1.1399364108809531</v>
      </c>
      <c r="G27" s="8">
        <f>VNQ_Table[[#This Row],[Growth]]/VNQ_Table[[#This Row],[High Water Mark]]-1</f>
        <v>-0.12442979588019043</v>
      </c>
    </row>
    <row r="28" spans="2:7" x14ac:dyDescent="0.2">
      <c r="B28" s="22">
        <v>43191</v>
      </c>
      <c r="C28" s="23">
        <v>56.518074040000002</v>
      </c>
      <c r="D28" s="33">
        <f>VNQ_Table[[#This Row],[Price/NAV]]/C27-1</f>
        <v>1.8018727569958148E-2</v>
      </c>
      <c r="E28" s="33">
        <f>E27*(1+VNQ_Table[[#This Row],[Monthly Return]])</f>
        <v>1.0160787462477707</v>
      </c>
      <c r="F28" s="33">
        <f>MAX(F27,VNQ_Table[[#This Row],[Growth]])</f>
        <v>1.1399364108809531</v>
      </c>
      <c r="G28" s="8">
        <f>VNQ_Table[[#This Row],[Growth]]/VNQ_Table[[#This Row],[High Water Mark]]-1</f>
        <v>-0.10865313490378292</v>
      </c>
    </row>
    <row r="29" spans="2:7" x14ac:dyDescent="0.2">
      <c r="B29" s="22">
        <v>43221</v>
      </c>
      <c r="C29" s="23">
        <v>58.597862239999998</v>
      </c>
      <c r="D29" s="33">
        <f>VNQ_Table[[#This Row],[Price/NAV]]/C28-1</f>
        <v>3.679863893677715E-2</v>
      </c>
      <c r="E29" s="33">
        <f>E28*(1+VNQ_Table[[#This Row],[Monthly Return]])</f>
        <v>1.0534690611622757</v>
      </c>
      <c r="F29" s="33">
        <f>MAX(F28,VNQ_Table[[#This Row],[Growth]])</f>
        <v>1.1399364108809531</v>
      </c>
      <c r="G29" s="8">
        <f>VNQ_Table[[#This Row],[Growth]]/VNQ_Table[[#This Row],[High Water Mark]]-1</f>
        <v>-7.5852783447679095E-2</v>
      </c>
    </row>
    <row r="30" spans="2:7" x14ac:dyDescent="0.2">
      <c r="B30" s="22">
        <v>43252</v>
      </c>
      <c r="C30" s="23">
        <v>60.499366760000001</v>
      </c>
      <c r="D30" s="33">
        <f>VNQ_Table[[#This Row],[Price/NAV]]/C29-1</f>
        <v>3.24500663899987E-2</v>
      </c>
      <c r="E30" s="33">
        <f>E29*(1+VNQ_Table[[#This Row],[Monthly Return]])</f>
        <v>1.0876542021368012</v>
      </c>
      <c r="F30" s="33">
        <f>MAX(F29,VNQ_Table[[#This Row],[Growth]])</f>
        <v>1.1399364108809531</v>
      </c>
      <c r="G30" s="8">
        <f>VNQ_Table[[#This Row],[Growth]]/VNQ_Table[[#This Row],[High Water Mark]]-1</f>
        <v>-4.5864144916423655E-2</v>
      </c>
    </row>
    <row r="31" spans="2:7" x14ac:dyDescent="0.2">
      <c r="B31" s="22">
        <v>43282</v>
      </c>
      <c r="C31" s="23">
        <v>61.427600859999998</v>
      </c>
      <c r="D31" s="33">
        <f>VNQ_Table[[#This Row],[Price/NAV]]/C30-1</f>
        <v>1.5342872987122114E-2</v>
      </c>
      <c r="E31" s="33">
        <f>E30*(1+VNQ_Table[[#This Row],[Monthly Return]])</f>
        <v>1.1043419424140957</v>
      </c>
      <c r="F31" s="33">
        <f>MAX(F30,VNQ_Table[[#This Row],[Growth]])</f>
        <v>1.1399364108809531</v>
      </c>
      <c r="G31" s="8">
        <f>VNQ_Table[[#This Row],[Growth]]/VNQ_Table[[#This Row],[High Water Mark]]-1</f>
        <v>-3.1224959679417297E-2</v>
      </c>
    </row>
    <row r="32" spans="2:7" x14ac:dyDescent="0.2">
      <c r="B32" s="22">
        <v>43313</v>
      </c>
      <c r="C32" s="23">
        <v>63.009368899999998</v>
      </c>
      <c r="D32" s="33">
        <f>VNQ_Table[[#This Row],[Price/NAV]]/C31-1</f>
        <v>2.5750119129754445E-2</v>
      </c>
      <c r="E32" s="33">
        <f>E31*(1+VNQ_Table[[#This Row],[Monthly Return]])</f>
        <v>1.132778878991243</v>
      </c>
      <c r="F32" s="33">
        <f>MAX(F31,VNQ_Table[[#This Row],[Growth]])</f>
        <v>1.1399364108809531</v>
      </c>
      <c r="G32" s="8">
        <f>VNQ_Table[[#This Row],[Growth]]/VNQ_Table[[#This Row],[High Water Mark]]-1</f>
        <v>-6.2788869812296921E-3</v>
      </c>
    </row>
    <row r="33" spans="2:7" x14ac:dyDescent="0.2">
      <c r="B33" s="22">
        <v>43344</v>
      </c>
      <c r="C33" s="23">
        <v>60.483013149999998</v>
      </c>
      <c r="D33" s="33">
        <f>VNQ_Table[[#This Row],[Price/NAV]]/C32-1</f>
        <v>-4.0094922296547542E-2</v>
      </c>
      <c r="E33" s="33">
        <f>E32*(1+VNQ_Table[[#This Row],[Monthly Return]])</f>
        <v>1.0873601978589189</v>
      </c>
      <c r="F33" s="33">
        <f>MAX(F32,VNQ_Table[[#This Row],[Growth]])</f>
        <v>1.1399364108809531</v>
      </c>
      <c r="G33" s="8">
        <f>VNQ_Table[[#This Row],[Growth]]/VNQ_Table[[#This Row],[High Water Mark]]-1</f>
        <v>-4.6122057792155946E-2</v>
      </c>
    </row>
    <row r="34" spans="2:7" x14ac:dyDescent="0.2">
      <c r="B34" s="22">
        <v>43374</v>
      </c>
      <c r="C34" s="23">
        <v>59.53657913</v>
      </c>
      <c r="D34" s="33">
        <f>VNQ_Table[[#This Row],[Price/NAV]]/C33-1</f>
        <v>-1.564793105880502E-2</v>
      </c>
      <c r="E34" s="33">
        <f>E33*(1+VNQ_Table[[#This Row],[Monthly Return]])</f>
        <v>1.0703452604467341</v>
      </c>
      <c r="F34" s="33">
        <f>MAX(F33,VNQ_Table[[#This Row],[Growth]])</f>
        <v>1.1399364108809531</v>
      </c>
      <c r="G34" s="8">
        <f>VNQ_Table[[#This Row],[Growth]]/VNQ_Table[[#This Row],[High Water Mark]]-1</f>
        <v>-6.1048274070339081E-2</v>
      </c>
    </row>
    <row r="35" spans="2:7" x14ac:dyDescent="0.2">
      <c r="B35" s="22">
        <v>43405</v>
      </c>
      <c r="C35" s="23">
        <v>62.318809510000001</v>
      </c>
      <c r="D35" s="33">
        <f>VNQ_Table[[#This Row],[Price/NAV]]/C34-1</f>
        <v>4.67314451158658E-2</v>
      </c>
      <c r="E35" s="33">
        <f>E34*(1+VNQ_Table[[#This Row],[Monthly Return]])</f>
        <v>1.1203640412403277</v>
      </c>
      <c r="F35" s="33">
        <f>MAX(F34,VNQ_Table[[#This Row],[Growth]])</f>
        <v>1.1399364108809531</v>
      </c>
      <c r="G35" s="8">
        <f>VNQ_Table[[#This Row],[Growth]]/VNQ_Table[[#This Row],[High Water Mark]]-1</f>
        <v>-1.7169703023609539E-2</v>
      </c>
    </row>
    <row r="36" spans="2:7" x14ac:dyDescent="0.2">
      <c r="B36" s="22">
        <v>43435</v>
      </c>
      <c r="C36" s="23">
        <v>56.685939789999999</v>
      </c>
      <c r="D36" s="33">
        <f>VNQ_Table[[#This Row],[Price/NAV]]/C35-1</f>
        <v>-9.0387954524325798E-2</v>
      </c>
      <c r="E36" s="33">
        <f>E35*(1+VNQ_Table[[#This Row],[Monthly Return]])</f>
        <v>1.019096627230007</v>
      </c>
      <c r="F36" s="33">
        <f>MAX(F35,VNQ_Table[[#This Row],[Growth]])</f>
        <v>1.1399364108809531</v>
      </c>
      <c r="G36" s="8">
        <f>VNQ_Table[[#This Row],[Growth]]/VNQ_Table[[#This Row],[High Water Mark]]-1</f>
        <v>-0.10600572321184121</v>
      </c>
    </row>
    <row r="37" spans="2:7" x14ac:dyDescent="0.2">
      <c r="B37" s="22">
        <v>43466</v>
      </c>
      <c r="C37" s="23">
        <v>64.163490300000007</v>
      </c>
      <c r="D37" s="33">
        <f>VNQ_Table[[#This Row],[Price/NAV]]/C36-1</f>
        <v>0.13191190862675128</v>
      </c>
      <c r="E37" s="33">
        <f>E36*(1+VNQ_Table[[#This Row],[Monthly Return]])</f>
        <v>1.1535276084030022</v>
      </c>
      <c r="F37" s="33">
        <f>MAX(F36,VNQ_Table[[#This Row],[Growth]])</f>
        <v>1.1535276084030022</v>
      </c>
      <c r="G37" s="8">
        <f>VNQ_Table[[#This Row],[Growth]]/VNQ_Table[[#This Row],[High Water Mark]]-1</f>
        <v>0</v>
      </c>
    </row>
    <row r="38" spans="2:7" x14ac:dyDescent="0.2">
      <c r="B38" s="22">
        <v>43497</v>
      </c>
      <c r="C38" s="23">
        <v>64.609626770000006</v>
      </c>
      <c r="D38" s="33">
        <f>VNQ_Table[[#This Row],[Price/NAV]]/C37-1</f>
        <v>6.9531203479433756E-3</v>
      </c>
      <c r="E38" s="33">
        <f>E37*(1+VNQ_Table[[#This Row],[Monthly Return]])</f>
        <v>1.1615482246889035</v>
      </c>
      <c r="F38" s="33">
        <f>MAX(F37,VNQ_Table[[#This Row],[Growth]])</f>
        <v>1.1615482246889035</v>
      </c>
      <c r="G38" s="8">
        <f>VNQ_Table[[#This Row],[Growth]]/VNQ_Table[[#This Row],[High Water Mark]]-1</f>
        <v>0</v>
      </c>
    </row>
    <row r="39" spans="2:7" x14ac:dyDescent="0.2">
      <c r="B39" s="22">
        <v>43525</v>
      </c>
      <c r="C39" s="23">
        <v>66.855880740000003</v>
      </c>
      <c r="D39" s="33">
        <f>VNQ_Table[[#This Row],[Price/NAV]]/C38-1</f>
        <v>3.4766552328127531E-2</v>
      </c>
      <c r="E39" s="33">
        <f>E38*(1+VNQ_Table[[#This Row],[Monthly Return]])</f>
        <v>1.2019312518241938</v>
      </c>
      <c r="F39" s="33">
        <f>MAX(F38,VNQ_Table[[#This Row],[Growth]])</f>
        <v>1.2019312518241938</v>
      </c>
      <c r="G39" s="8">
        <f>VNQ_Table[[#This Row],[Growth]]/VNQ_Table[[#This Row],[High Water Mark]]-1</f>
        <v>0</v>
      </c>
    </row>
    <row r="40" spans="2:7" x14ac:dyDescent="0.2">
      <c r="B40" s="22">
        <v>43556</v>
      </c>
      <c r="C40" s="23">
        <v>67.225395199999994</v>
      </c>
      <c r="D40" s="33">
        <f>VNQ_Table[[#This Row],[Price/NAV]]/C39-1</f>
        <v>5.5270300220413571E-3</v>
      </c>
      <c r="E40" s="33">
        <f>E39*(1+VNQ_Table[[#This Row],[Monthly Return]])</f>
        <v>1.2085743619374558</v>
      </c>
      <c r="F40" s="33">
        <f>MAX(F39,VNQ_Table[[#This Row],[Growth]])</f>
        <v>1.2085743619374558</v>
      </c>
      <c r="G40" s="8">
        <f>VNQ_Table[[#This Row],[Growth]]/VNQ_Table[[#This Row],[High Water Mark]]-1</f>
        <v>0</v>
      </c>
    </row>
    <row r="41" spans="2:7" x14ac:dyDescent="0.2">
      <c r="B41" s="22">
        <v>43586</v>
      </c>
      <c r="C41" s="23">
        <v>67.318382260000007</v>
      </c>
      <c r="D41" s="33">
        <f>VNQ_Table[[#This Row],[Price/NAV]]/C40-1</f>
        <v>1.3832132890163606E-3</v>
      </c>
      <c r="E41" s="33">
        <f>E40*(1+VNQ_Table[[#This Row],[Monthly Return]])</f>
        <v>1.2102460780556521</v>
      </c>
      <c r="F41" s="33">
        <f>MAX(F40,VNQ_Table[[#This Row],[Growth]])</f>
        <v>1.2102460780556521</v>
      </c>
      <c r="G41" s="8">
        <f>VNQ_Table[[#This Row],[Growth]]/VNQ_Table[[#This Row],[High Water Mark]]-1</f>
        <v>0</v>
      </c>
    </row>
    <row r="42" spans="2:7" x14ac:dyDescent="0.2">
      <c r="B42" s="22">
        <v>43617</v>
      </c>
      <c r="C42" s="23">
        <v>67.713523859999995</v>
      </c>
      <c r="D42" s="33">
        <f>VNQ_Table[[#This Row],[Price/NAV]]/C41-1</f>
        <v>5.8697429548122404E-3</v>
      </c>
      <c r="E42" s="33">
        <f>E41*(1+VNQ_Table[[#This Row],[Monthly Return]])</f>
        <v>1.2173499114459083</v>
      </c>
      <c r="F42" s="33">
        <f>MAX(F41,VNQ_Table[[#This Row],[Growth]])</f>
        <v>1.2173499114459083</v>
      </c>
      <c r="G42" s="8">
        <f>VNQ_Table[[#This Row],[Growth]]/VNQ_Table[[#This Row],[High Water Mark]]-1</f>
        <v>0</v>
      </c>
    </row>
    <row r="43" spans="2:7" x14ac:dyDescent="0.2">
      <c r="B43" s="22">
        <v>43647</v>
      </c>
      <c r="C43" s="23">
        <v>69.530220029999995</v>
      </c>
      <c r="D43" s="33">
        <f>VNQ_Table[[#This Row],[Price/NAV]]/C42-1</f>
        <v>2.6829148247491608E-2</v>
      </c>
      <c r="E43" s="33">
        <f>E42*(1+VNQ_Table[[#This Row],[Monthly Return]])</f>
        <v>1.2500103726891614</v>
      </c>
      <c r="F43" s="33">
        <f>MAX(F42,VNQ_Table[[#This Row],[Growth]])</f>
        <v>1.2500103726891614</v>
      </c>
      <c r="G43" s="8">
        <f>VNQ_Table[[#This Row],[Growth]]/VNQ_Table[[#This Row],[High Water Mark]]-1</f>
        <v>0</v>
      </c>
    </row>
    <row r="44" spans="2:7" x14ac:dyDescent="0.2">
      <c r="B44" s="22">
        <v>43678</v>
      </c>
      <c r="C44" s="23">
        <v>72.134956360000004</v>
      </c>
      <c r="D44" s="33">
        <f>VNQ_Table[[#This Row],[Price/NAV]]/C43-1</f>
        <v>3.7461931356986167E-2</v>
      </c>
      <c r="E44" s="33">
        <f>E43*(1+VNQ_Table[[#This Row],[Monthly Return]])</f>
        <v>1.2968381754663634</v>
      </c>
      <c r="F44" s="33">
        <f>MAX(F43,VNQ_Table[[#This Row],[Growth]])</f>
        <v>1.2968381754663634</v>
      </c>
      <c r="G44" s="8">
        <f>VNQ_Table[[#This Row],[Growth]]/VNQ_Table[[#This Row],[High Water Mark]]-1</f>
        <v>0</v>
      </c>
    </row>
    <row r="45" spans="2:7" x14ac:dyDescent="0.2">
      <c r="B45" s="22">
        <v>43709</v>
      </c>
      <c r="C45" s="23">
        <v>72.940620420000002</v>
      </c>
      <c r="D45" s="33">
        <f>VNQ_Table[[#This Row],[Price/NAV]]/C44-1</f>
        <v>1.11688437985491E-2</v>
      </c>
      <c r="E45" s="33">
        <f>E44*(1+VNQ_Table[[#This Row],[Monthly Return]])</f>
        <v>1.3113223584801426</v>
      </c>
      <c r="F45" s="33">
        <f>MAX(F44,VNQ_Table[[#This Row],[Growth]])</f>
        <v>1.3113223584801426</v>
      </c>
      <c r="G45" s="8">
        <f>VNQ_Table[[#This Row],[Growth]]/VNQ_Table[[#This Row],[High Water Mark]]-1</f>
        <v>0</v>
      </c>
    </row>
    <row r="46" spans="2:7" x14ac:dyDescent="0.2">
      <c r="B46" s="22">
        <v>43739</v>
      </c>
      <c r="C46" s="23">
        <v>74.352951050000001</v>
      </c>
      <c r="D46" s="33">
        <f>VNQ_Table[[#This Row],[Price/NAV]]/C45-1</f>
        <v>1.9362744954288136E-2</v>
      </c>
      <c r="E46" s="33">
        <f>E45*(1+VNQ_Table[[#This Row],[Monthly Return]])</f>
        <v>1.3367131588602492</v>
      </c>
      <c r="F46" s="33">
        <f>MAX(F45,VNQ_Table[[#This Row],[Growth]])</f>
        <v>1.3367131588602492</v>
      </c>
      <c r="G46" s="8">
        <f>VNQ_Table[[#This Row],[Growth]]/VNQ_Table[[#This Row],[High Water Mark]]-1</f>
        <v>0</v>
      </c>
    </row>
    <row r="47" spans="2:7" x14ac:dyDescent="0.2">
      <c r="B47" s="22">
        <v>43770</v>
      </c>
      <c r="C47" s="23">
        <v>73.383125309999997</v>
      </c>
      <c r="D47" s="33">
        <f>VNQ_Table[[#This Row],[Price/NAV]]/C46-1</f>
        <v>-1.3043540657153296E-2</v>
      </c>
      <c r="E47" s="33">
        <f>E46*(1+VNQ_Table[[#This Row],[Monthly Return]])</f>
        <v>1.3192776864257036</v>
      </c>
      <c r="F47" s="33">
        <f>MAX(F46,VNQ_Table[[#This Row],[Growth]])</f>
        <v>1.3367131588602492</v>
      </c>
      <c r="G47" s="8">
        <f>VNQ_Table[[#This Row],[Growth]]/VNQ_Table[[#This Row],[High Water Mark]]-1</f>
        <v>-1.3043540657153407E-2</v>
      </c>
    </row>
    <row r="48" spans="2:7" x14ac:dyDescent="0.2">
      <c r="B48" s="22">
        <v>43800</v>
      </c>
      <c r="C48" s="23">
        <v>73.162353519999996</v>
      </c>
      <c r="D48" s="33">
        <f>VNQ_Table[[#This Row],[Price/NAV]]/C47-1</f>
        <v>-3.0084817056696966E-3</v>
      </c>
      <c r="E48" s="33">
        <f>E47*(1+VNQ_Table[[#This Row],[Monthly Return]])</f>
        <v>1.3153086636413938</v>
      </c>
      <c r="F48" s="33">
        <f>MAX(F47,VNQ_Table[[#This Row],[Growth]])</f>
        <v>1.3367131588602492</v>
      </c>
      <c r="G48" s="8">
        <f>VNQ_Table[[#This Row],[Growth]]/VNQ_Table[[#This Row],[High Water Mark]]-1</f>
        <v>-1.601278110937876E-2</v>
      </c>
    </row>
    <row r="49" spans="2:7" x14ac:dyDescent="0.2">
      <c r="B49" s="22">
        <v>43831</v>
      </c>
      <c r="C49" s="23">
        <v>74.855957029999999</v>
      </c>
      <c r="D49" s="33">
        <f>VNQ_Table[[#This Row],[Price/NAV]]/C48-1</f>
        <v>2.3148565191209114E-2</v>
      </c>
      <c r="E49" s="33">
        <f>E48*(1+VNQ_Table[[#This Row],[Monthly Return]])</f>
        <v>1.3457561719882587</v>
      </c>
      <c r="F49" s="33">
        <f>MAX(F48,VNQ_Table[[#This Row],[Growth]])</f>
        <v>1.3457561719882587</v>
      </c>
      <c r="G49" s="8">
        <f>VNQ_Table[[#This Row],[Growth]]/VNQ_Table[[#This Row],[High Water Mark]]-1</f>
        <v>0</v>
      </c>
    </row>
    <row r="50" spans="2:7" x14ac:dyDescent="0.2">
      <c r="B50" s="22">
        <v>43862</v>
      </c>
      <c r="C50" s="23">
        <v>69.596199040000002</v>
      </c>
      <c r="D50" s="33">
        <f>VNQ_Table[[#This Row],[Price/NAV]]/C49-1</f>
        <v>-7.0265055697464995E-2</v>
      </c>
      <c r="E50" s="33">
        <f>E49*(1+VNQ_Table[[#This Row],[Monthly Return]])</f>
        <v>1.2511965396082965</v>
      </c>
      <c r="F50" s="33">
        <f>MAX(F49,VNQ_Table[[#This Row],[Growth]])</f>
        <v>1.3457561719882587</v>
      </c>
      <c r="G50" s="8">
        <f>VNQ_Table[[#This Row],[Growth]]/VNQ_Table[[#This Row],[High Water Mark]]-1</f>
        <v>-7.0265055697464995E-2</v>
      </c>
    </row>
    <row r="51" spans="2:7" x14ac:dyDescent="0.2">
      <c r="B51" s="22">
        <v>43891</v>
      </c>
      <c r="C51" s="23">
        <v>55.665798189999997</v>
      </c>
      <c r="D51" s="33">
        <f>VNQ_Table[[#This Row],[Price/NAV]]/C50-1</f>
        <v>-0.20016036855681718</v>
      </c>
      <c r="E51" s="33">
        <f>E50*(1+VNQ_Table[[#This Row],[Monthly Return]])</f>
        <v>1.0007565791032855</v>
      </c>
      <c r="F51" s="33">
        <f>MAX(F50,VNQ_Table[[#This Row],[Growth]])</f>
        <v>1.3457561719882587</v>
      </c>
      <c r="G51" s="8">
        <f>VNQ_Table[[#This Row],[Growth]]/VNQ_Table[[#This Row],[High Water Mark]]-1</f>
        <v>-0.25636114480921224</v>
      </c>
    </row>
    <row r="52" spans="2:7" x14ac:dyDescent="0.2">
      <c r="B52" s="22">
        <v>43922</v>
      </c>
      <c r="C52" s="23">
        <v>61.127967830000003</v>
      </c>
      <c r="D52" s="33">
        <f>VNQ_Table[[#This Row],[Price/NAV]]/C51-1</f>
        <v>9.812433877901805E-2</v>
      </c>
      <c r="E52" s="33">
        <f>E51*(1+VNQ_Table[[#This Row],[Monthly Return]])</f>
        <v>1.0989551567065474</v>
      </c>
      <c r="F52" s="33">
        <f>MAX(F51,VNQ_Table[[#This Row],[Growth]])</f>
        <v>1.3457561719882587</v>
      </c>
      <c r="G52" s="8">
        <f>VNQ_Table[[#This Row],[Growth]]/VNQ_Table[[#This Row],[High Water Mark]]-1</f>
        <v>-0.18339207385323031</v>
      </c>
    </row>
    <row r="53" spans="2:7" x14ac:dyDescent="0.2">
      <c r="B53" s="22">
        <v>43952</v>
      </c>
      <c r="C53" s="23">
        <v>62.18812561</v>
      </c>
      <c r="D53" s="33">
        <f>VNQ_Table[[#This Row],[Price/NAV]]/C52-1</f>
        <v>1.7343252485480187E-2</v>
      </c>
      <c r="E53" s="33">
        <f>E52*(1+VNQ_Table[[#This Row],[Monthly Return]])</f>
        <v>1.1180146134595295</v>
      </c>
      <c r="F53" s="33">
        <f>MAX(F52,VNQ_Table[[#This Row],[Growth]])</f>
        <v>1.3457561719882587</v>
      </c>
      <c r="G53" s="8">
        <f>VNQ_Table[[#This Row],[Growth]]/VNQ_Table[[#This Row],[High Water Mark]]-1</f>
        <v>-0.16922943640842258</v>
      </c>
    </row>
    <row r="54" spans="2:7" x14ac:dyDescent="0.2">
      <c r="B54" s="22">
        <v>43983</v>
      </c>
      <c r="C54" s="23">
        <v>63.071567539999997</v>
      </c>
      <c r="D54" s="33">
        <f>VNQ_Table[[#This Row],[Price/NAV]]/C53-1</f>
        <v>1.4205958474135638E-2</v>
      </c>
      <c r="E54" s="33">
        <f>E53*(1+VNQ_Table[[#This Row],[Monthly Return]])</f>
        <v>1.1338970826318124</v>
      </c>
      <c r="F54" s="33">
        <f>MAX(F53,VNQ_Table[[#This Row],[Growth]])</f>
        <v>1.3457561719882587</v>
      </c>
      <c r="G54" s="8">
        <f>VNQ_Table[[#This Row],[Growth]]/VNQ_Table[[#This Row],[High Water Mark]]-1</f>
        <v>-0.15742754428050632</v>
      </c>
    </row>
    <row r="55" spans="2:7" x14ac:dyDescent="0.2">
      <c r="B55" s="22">
        <v>44013</v>
      </c>
      <c r="C55" s="23">
        <v>66.015892030000003</v>
      </c>
      <c r="D55" s="33">
        <f>VNQ_Table[[#This Row],[Price/NAV]]/C54-1</f>
        <v>4.6682278637402153E-2</v>
      </c>
      <c r="E55" s="33">
        <f>E54*(1+VNQ_Table[[#This Row],[Monthly Return]])</f>
        <v>1.1868299821893682</v>
      </c>
      <c r="F55" s="33">
        <f>MAX(F54,VNQ_Table[[#This Row],[Growth]])</f>
        <v>1.3457561719882587</v>
      </c>
      <c r="G55" s="8">
        <f>VNQ_Table[[#This Row],[Growth]]/VNQ_Table[[#This Row],[High Water Mark]]-1</f>
        <v>-0.1180943421304087</v>
      </c>
    </row>
    <row r="56" spans="2:7" x14ac:dyDescent="0.2">
      <c r="B56" s="22">
        <v>44044</v>
      </c>
      <c r="C56" s="23">
        <v>66.307891850000004</v>
      </c>
      <c r="D56" s="33">
        <f>VNQ_Table[[#This Row],[Price/NAV]]/C55-1</f>
        <v>4.4231746481182554E-3</v>
      </c>
      <c r="E56" s="33">
        <f>E55*(1+VNQ_Table[[#This Row],[Monthly Return]])</f>
        <v>1.1920795384782148</v>
      </c>
      <c r="F56" s="33">
        <f>MAX(F55,VNQ_Table[[#This Row],[Growth]])</f>
        <v>1.3457561719882587</v>
      </c>
      <c r="G56" s="8">
        <f>VNQ_Table[[#This Row],[Growth]]/VNQ_Table[[#This Row],[High Water Mark]]-1</f>
        <v>-0.1141935193824879</v>
      </c>
    </row>
    <row r="57" spans="2:7" x14ac:dyDescent="0.2">
      <c r="B57" s="22">
        <v>44075</v>
      </c>
      <c r="C57" s="23">
        <v>64.044891359999994</v>
      </c>
      <c r="D57" s="33">
        <f>VNQ_Table[[#This Row],[Price/NAV]]/C56-1</f>
        <v>-3.4128674986671492E-2</v>
      </c>
      <c r="E57" s="33">
        <f>E56*(1+VNQ_Table[[#This Row],[Monthly Return]])</f>
        <v>1.1513954433512303</v>
      </c>
      <c r="F57" s="33">
        <f>MAX(F56,VNQ_Table[[#This Row],[Growth]])</f>
        <v>1.3457561719882587</v>
      </c>
      <c r="G57" s="8">
        <f>VNQ_Table[[#This Row],[Growth]]/VNQ_Table[[#This Row],[High Water Mark]]-1</f>
        <v>-0.14442492086057035</v>
      </c>
    </row>
    <row r="58" spans="2:7" x14ac:dyDescent="0.2">
      <c r="B58" s="22">
        <v>44105</v>
      </c>
      <c r="C58" s="23">
        <v>62.604019170000001</v>
      </c>
      <c r="D58" s="33">
        <f>VNQ_Table[[#This Row],[Price/NAV]]/C57-1</f>
        <v>-2.2497847359920886E-2</v>
      </c>
      <c r="E58" s="33">
        <f>E57*(1+VNQ_Table[[#This Row],[Monthly Return]])</f>
        <v>1.1254915244158059</v>
      </c>
      <c r="F58" s="33">
        <f>MAX(F57,VNQ_Table[[#This Row],[Growth]])</f>
        <v>1.3457561719882587</v>
      </c>
      <c r="G58" s="8">
        <f>VNQ_Table[[#This Row],[Growth]]/VNQ_Table[[#This Row],[High Water Mark]]-1</f>
        <v>-0.16367351839600153</v>
      </c>
    </row>
    <row r="59" spans="2:7" x14ac:dyDescent="0.2">
      <c r="B59" s="22">
        <v>44136</v>
      </c>
      <c r="C59" s="23">
        <v>68.660888670000006</v>
      </c>
      <c r="D59" s="33">
        <f>VNQ_Table[[#This Row],[Price/NAV]]/C58-1</f>
        <v>9.6748892168611267E-2</v>
      </c>
      <c r="E59" s="33">
        <f>E58*(1+VNQ_Table[[#This Row],[Monthly Return]])</f>
        <v>1.2343815825481965</v>
      </c>
      <c r="F59" s="33">
        <f>MAX(F58,VNQ_Table[[#This Row],[Growth]])</f>
        <v>1.3457561719882587</v>
      </c>
      <c r="G59" s="8">
        <f>VNQ_Table[[#This Row],[Growth]]/VNQ_Table[[#This Row],[High Water Mark]]-1</f>
        <v>-8.2759857809542203E-2</v>
      </c>
    </row>
    <row r="60" spans="2:7" x14ac:dyDescent="0.2">
      <c r="B60" s="22">
        <v>44166</v>
      </c>
      <c r="C60" s="23">
        <v>69.421081540000003</v>
      </c>
      <c r="D60" s="33">
        <f>VNQ_Table[[#This Row],[Price/NAV]]/C59-1</f>
        <v>1.1071701586235827E-2</v>
      </c>
      <c r="E60" s="33">
        <f>E59*(1+VNQ_Table[[#This Row],[Monthly Return]])</f>
        <v>1.2480482870737157</v>
      </c>
      <c r="F60" s="33">
        <f>MAX(F59,VNQ_Table[[#This Row],[Growth]])</f>
        <v>1.3457561719882587</v>
      </c>
      <c r="G60" s="8">
        <f>VNQ_Table[[#This Row],[Growth]]/VNQ_Table[[#This Row],[High Water Mark]]-1</f>
        <v>-7.2604448672292987E-2</v>
      </c>
    </row>
    <row r="61" spans="2:7" x14ac:dyDescent="0.2">
      <c r="B61" s="22">
        <v>44197</v>
      </c>
      <c r="C61" s="23">
        <v>70.563041690000006</v>
      </c>
      <c r="D61" s="33">
        <f>VNQ_Table[[#This Row],[Price/NAV]]/C60-1</f>
        <v>1.6449760284158232E-2</v>
      </c>
      <c r="E61" s="33">
        <f>E60*(1+VNQ_Table[[#This Row],[Monthly Return]])</f>
        <v>1.2685783822191325</v>
      </c>
      <c r="F61" s="33">
        <f>MAX(F60,VNQ_Table[[#This Row],[Growth]])</f>
        <v>1.3457561719882587</v>
      </c>
      <c r="G61" s="8">
        <f>VNQ_Table[[#This Row],[Growth]]/VNQ_Table[[#This Row],[High Water Mark]]-1</f>
        <v>-5.7349014164357448E-2</v>
      </c>
    </row>
    <row r="62" spans="2:7" x14ac:dyDescent="0.2">
      <c r="B62" s="22">
        <v>44228</v>
      </c>
      <c r="C62" s="23">
        <v>72.979919429999995</v>
      </c>
      <c r="D62" s="33">
        <f>VNQ_Table[[#This Row],[Price/NAV]]/C61-1</f>
        <v>3.4251325936570209E-2</v>
      </c>
      <c r="E62" s="33">
        <f>E61*(1+VNQ_Table[[#This Row],[Monthly Return]])</f>
        <v>1.3120288738646071</v>
      </c>
      <c r="F62" s="33">
        <f>MAX(F61,VNQ_Table[[#This Row],[Growth]])</f>
        <v>1.3457561719882587</v>
      </c>
      <c r="G62" s="8">
        <f>VNQ_Table[[#This Row],[Growth]]/VNQ_Table[[#This Row],[High Water Mark]]-1</f>
        <v>-2.5061968004071566E-2</v>
      </c>
    </row>
    <row r="63" spans="2:7" x14ac:dyDescent="0.2">
      <c r="B63" s="22">
        <v>44256</v>
      </c>
      <c r="C63" s="23">
        <v>76.293807979999997</v>
      </c>
      <c r="D63" s="33">
        <f>VNQ_Table[[#This Row],[Price/NAV]]/C62-1</f>
        <v>4.5408224288032706E-2</v>
      </c>
      <c r="E63" s="33">
        <f>E62*(1+VNQ_Table[[#This Row],[Monthly Return]])</f>
        <v>1.3716057752414261</v>
      </c>
      <c r="F63" s="33">
        <f>MAX(F62,VNQ_Table[[#This Row],[Growth]])</f>
        <v>1.3716057752414261</v>
      </c>
      <c r="G63" s="8">
        <f>VNQ_Table[[#This Row],[Growth]]/VNQ_Table[[#This Row],[High Water Mark]]-1</f>
        <v>0</v>
      </c>
    </row>
    <row r="64" spans="2:7" x14ac:dyDescent="0.2">
      <c r="B64" s="22">
        <v>44287</v>
      </c>
      <c r="C64" s="23">
        <v>82.771476750000005</v>
      </c>
      <c r="D64" s="33">
        <f>VNQ_Table[[#This Row],[Price/NAV]]/C63-1</f>
        <v>8.4904252933581281E-2</v>
      </c>
      <c r="E64" s="33">
        <f>E63*(1+VNQ_Table[[#This Row],[Monthly Return]])</f>
        <v>1.4880609389076851</v>
      </c>
      <c r="F64" s="33">
        <f>MAX(F63,VNQ_Table[[#This Row],[Growth]])</f>
        <v>1.4880609389076851</v>
      </c>
      <c r="G64" s="8">
        <f>VNQ_Table[[#This Row],[Growth]]/VNQ_Table[[#This Row],[High Water Mark]]-1</f>
        <v>0</v>
      </c>
    </row>
    <row r="65" spans="2:7" x14ac:dyDescent="0.2">
      <c r="B65" s="22">
        <v>44317</v>
      </c>
      <c r="C65" s="23">
        <v>83.439788820000004</v>
      </c>
      <c r="D65" s="33">
        <f>VNQ_Table[[#This Row],[Price/NAV]]/C64-1</f>
        <v>8.0741832360746724E-3</v>
      </c>
      <c r="E65" s="33">
        <f>E64*(1+VNQ_Table[[#This Row],[Monthly Return]])</f>
        <v>1.500075815594871</v>
      </c>
      <c r="F65" s="33">
        <f>MAX(F64,VNQ_Table[[#This Row],[Growth]])</f>
        <v>1.500075815594871</v>
      </c>
      <c r="G65" s="8">
        <f>VNQ_Table[[#This Row],[Growth]]/VNQ_Table[[#This Row],[High Water Mark]]-1</f>
        <v>0</v>
      </c>
    </row>
    <row r="66" spans="2:7" x14ac:dyDescent="0.2">
      <c r="B66" s="22">
        <v>44348</v>
      </c>
      <c r="C66" s="23">
        <v>85.035392759999993</v>
      </c>
      <c r="D66" s="33">
        <f>VNQ_Table[[#This Row],[Price/NAV]]/C65-1</f>
        <v>1.9122818532560037E-2</v>
      </c>
      <c r="E66" s="33">
        <f>E65*(1+VNQ_Table[[#This Row],[Monthly Return]])</f>
        <v>1.5287614932015738</v>
      </c>
      <c r="F66" s="33">
        <f>MAX(F65,VNQ_Table[[#This Row],[Growth]])</f>
        <v>1.5287614932015738</v>
      </c>
      <c r="G66" s="8">
        <f>VNQ_Table[[#This Row],[Growth]]/VNQ_Table[[#This Row],[High Water Mark]]-1</f>
        <v>0</v>
      </c>
    </row>
    <row r="67" spans="2:7" x14ac:dyDescent="0.2">
      <c r="B67" s="22">
        <v>44378</v>
      </c>
      <c r="C67" s="23">
        <v>89.426597599999994</v>
      </c>
      <c r="D67" s="33">
        <f>VNQ_Table[[#This Row],[Price/NAV]]/C66-1</f>
        <v>5.1639731380950238E-2</v>
      </c>
      <c r="E67" s="33">
        <f>E66*(1+VNQ_Table[[#This Row],[Monthly Return]])</f>
        <v>1.6077063260560436</v>
      </c>
      <c r="F67" s="33">
        <f>MAX(F66,VNQ_Table[[#This Row],[Growth]])</f>
        <v>1.6077063260560436</v>
      </c>
      <c r="G67" s="8">
        <f>VNQ_Table[[#This Row],[Growth]]/VNQ_Table[[#This Row],[High Water Mark]]-1</f>
        <v>0</v>
      </c>
    </row>
    <row r="68" spans="2:7" x14ac:dyDescent="0.2">
      <c r="B68" s="22">
        <v>44409</v>
      </c>
      <c r="C68" s="23">
        <v>91.353279110000003</v>
      </c>
      <c r="D68" s="33">
        <f>VNQ_Table[[#This Row],[Price/NAV]]/C67-1</f>
        <v>2.1544837461198618E-2</v>
      </c>
      <c r="E68" s="33">
        <f>E67*(1+VNQ_Table[[#This Row],[Monthly Return]])</f>
        <v>1.6423440975362618</v>
      </c>
      <c r="F68" s="33">
        <f>MAX(F67,VNQ_Table[[#This Row],[Growth]])</f>
        <v>1.6423440975362618</v>
      </c>
      <c r="G68" s="8">
        <f>VNQ_Table[[#This Row],[Growth]]/VNQ_Table[[#This Row],[High Water Mark]]-1</f>
        <v>0</v>
      </c>
    </row>
    <row r="69" spans="2:7" x14ac:dyDescent="0.2">
      <c r="B69" s="22">
        <v>44440</v>
      </c>
      <c r="C69" s="23">
        <v>85.632110600000004</v>
      </c>
      <c r="D69" s="33">
        <f>VNQ_Table[[#This Row],[Price/NAV]]/C68-1</f>
        <v>-6.26268544023586E-2</v>
      </c>
      <c r="E69" s="33">
        <f>E68*(1+VNQ_Table[[#This Row],[Monthly Return]])</f>
        <v>1.5394892528612854</v>
      </c>
      <c r="F69" s="33">
        <f>MAX(F68,VNQ_Table[[#This Row],[Growth]])</f>
        <v>1.6423440975362618</v>
      </c>
      <c r="G69" s="8">
        <f>VNQ_Table[[#This Row],[Growth]]/VNQ_Table[[#This Row],[High Water Mark]]-1</f>
        <v>-6.26268544023586E-2</v>
      </c>
    </row>
    <row r="70" spans="2:7" x14ac:dyDescent="0.2">
      <c r="B70" s="22">
        <v>44470</v>
      </c>
      <c r="C70" s="23">
        <v>92.309112549999995</v>
      </c>
      <c r="D70" s="33">
        <f>VNQ_Table[[#This Row],[Price/NAV]]/C69-1</f>
        <v>7.7973109657301753E-2</v>
      </c>
      <c r="E70" s="33">
        <f>E69*(1+VNQ_Table[[#This Row],[Monthly Return]])</f>
        <v>1.6595280171908759</v>
      </c>
      <c r="F70" s="33">
        <f>MAX(F69,VNQ_Table[[#This Row],[Growth]])</f>
        <v>1.6595280171908759</v>
      </c>
      <c r="G70" s="8">
        <f>VNQ_Table[[#This Row],[Growth]]/VNQ_Table[[#This Row],[High Water Mark]]-1</f>
        <v>0</v>
      </c>
    </row>
    <row r="71" spans="2:7" x14ac:dyDescent="0.2">
      <c r="B71" s="22">
        <v>44501</v>
      </c>
      <c r="C71" s="23">
        <v>90.362007140000003</v>
      </c>
      <c r="D71" s="33">
        <f>VNQ_Table[[#This Row],[Price/NAV]]/C70-1</f>
        <v>-2.1093317400763922E-2</v>
      </c>
      <c r="E71" s="33">
        <f>E70*(1+VNQ_Table[[#This Row],[Monthly Return]])</f>
        <v>1.6245230659888084</v>
      </c>
      <c r="F71" s="33">
        <f>MAX(F70,VNQ_Table[[#This Row],[Growth]])</f>
        <v>1.6595280171908759</v>
      </c>
      <c r="G71" s="8">
        <f>VNQ_Table[[#This Row],[Growth]]/VNQ_Table[[#This Row],[High Water Mark]]-1</f>
        <v>-2.1093317400763922E-2</v>
      </c>
    </row>
    <row r="72" spans="2:7" x14ac:dyDescent="0.2">
      <c r="B72" s="22">
        <v>44531</v>
      </c>
      <c r="C72" s="23">
        <v>98.209640500000006</v>
      </c>
      <c r="D72" s="33">
        <f>VNQ_Table[[#This Row],[Price/NAV]]/C71-1</f>
        <v>8.6846602995897193E-2</v>
      </c>
      <c r="E72" s="33">
        <f>E71*(1+VNQ_Table[[#This Row],[Monthly Return]])</f>
        <v>1.7656073757584161</v>
      </c>
      <c r="F72" s="33">
        <f>MAX(F71,VNQ_Table[[#This Row],[Growth]])</f>
        <v>1.7656073757584161</v>
      </c>
      <c r="G72" s="8">
        <f>VNQ_Table[[#This Row],[Growth]]/VNQ_Table[[#This Row],[High Water Mark]]-1</f>
        <v>0</v>
      </c>
    </row>
    <row r="73" spans="2:7" x14ac:dyDescent="0.2">
      <c r="B73" s="22">
        <v>44562</v>
      </c>
      <c r="C73" s="23">
        <v>90.783576969999999</v>
      </c>
      <c r="D73" s="33">
        <f>VNQ_Table[[#This Row],[Price/NAV]]/C72-1</f>
        <v>-7.5614404982981331E-2</v>
      </c>
      <c r="E73" s="33">
        <f>E72*(1+VNQ_Table[[#This Row],[Monthly Return]])</f>
        <v>1.6321020246068803</v>
      </c>
      <c r="F73" s="33">
        <f>MAX(F72,VNQ_Table[[#This Row],[Growth]])</f>
        <v>1.7656073757584161</v>
      </c>
      <c r="G73" s="8">
        <f>VNQ_Table[[#This Row],[Growth]]/VNQ_Table[[#This Row],[High Water Mark]]-1</f>
        <v>-7.5614404982981331E-2</v>
      </c>
    </row>
    <row r="74" spans="2:7" x14ac:dyDescent="0.2">
      <c r="B74" s="22">
        <v>44593</v>
      </c>
      <c r="C74" s="23">
        <v>87.621879579999998</v>
      </c>
      <c r="D74" s="33">
        <f>VNQ_Table[[#This Row],[Price/NAV]]/C73-1</f>
        <v>-3.4826754965215811E-2</v>
      </c>
      <c r="E74" s="33">
        <f>E73*(1+VNQ_Table[[#This Row],[Monthly Return]])</f>
        <v>1.5752612073176637</v>
      </c>
      <c r="F74" s="33">
        <f>MAX(F73,VNQ_Table[[#This Row],[Growth]])</f>
        <v>1.7656073757584161</v>
      </c>
      <c r="G74" s="8">
        <f>VNQ_Table[[#This Row],[Growth]]/VNQ_Table[[#This Row],[High Water Mark]]-1</f>
        <v>-0.10780775559401434</v>
      </c>
    </row>
    <row r="75" spans="2:7" x14ac:dyDescent="0.2">
      <c r="B75" s="22">
        <v>44621</v>
      </c>
      <c r="C75" s="23">
        <v>92.603706360000004</v>
      </c>
      <c r="D75" s="33">
        <f>VNQ_Table[[#This Row],[Price/NAV]]/C74-1</f>
        <v>5.6855967982877287E-2</v>
      </c>
      <c r="E75" s="33">
        <f>E74*(1+VNQ_Table[[#This Row],[Monthly Return]])</f>
        <v>1.6648242080855855</v>
      </c>
      <c r="F75" s="33">
        <f>MAX(F74,VNQ_Table[[#This Row],[Growth]])</f>
        <v>1.7656073757584161</v>
      </c>
      <c r="G75" s="8">
        <f>VNQ_Table[[#This Row],[Growth]]/VNQ_Table[[#This Row],[High Water Mark]]-1</f>
        <v>-5.7081301911496185E-2</v>
      </c>
    </row>
    <row r="76" spans="2:7" x14ac:dyDescent="0.2">
      <c r="B76" s="22">
        <v>44652</v>
      </c>
      <c r="C76" s="23">
        <v>89.304244999999995</v>
      </c>
      <c r="D76" s="33">
        <f>VNQ_Table[[#This Row],[Price/NAV]]/C75-1</f>
        <v>-3.5629906077120133E-2</v>
      </c>
      <c r="E76" s="33">
        <f>E75*(1+VNQ_Table[[#This Row],[Monthly Return]])</f>
        <v>1.6055066779165803</v>
      </c>
      <c r="F76" s="33">
        <f>MAX(F75,VNQ_Table[[#This Row],[Growth]])</f>
        <v>1.7656073757584161</v>
      </c>
      <c r="G76" s="8">
        <f>VNQ_Table[[#This Row],[Growth]]/VNQ_Table[[#This Row],[High Water Mark]]-1</f>
        <v>-9.0677406562749918E-2</v>
      </c>
    </row>
    <row r="77" spans="2:7" x14ac:dyDescent="0.2">
      <c r="B77" s="22">
        <v>44682</v>
      </c>
      <c r="C77" s="23">
        <v>85.119972230000002</v>
      </c>
      <c r="D77" s="33">
        <f>VNQ_Table[[#This Row],[Price/NAV]]/C76-1</f>
        <v>-4.6854130730291654E-2</v>
      </c>
      <c r="E77" s="33">
        <f>E76*(1+VNQ_Table[[#This Row],[Monthly Return]])</f>
        <v>1.5302820581411205</v>
      </c>
      <c r="F77" s="33">
        <f>MAX(F76,VNQ_Table[[#This Row],[Growth]])</f>
        <v>1.7656073757584161</v>
      </c>
      <c r="G77" s="8">
        <f>VNQ_Table[[#This Row],[Growth]]/VNQ_Table[[#This Row],[High Water Mark]]-1</f>
        <v>-0.13328292623166671</v>
      </c>
    </row>
    <row r="78" spans="2:7" x14ac:dyDescent="0.2">
      <c r="B78" s="22">
        <v>44713</v>
      </c>
      <c r="C78" s="23">
        <v>78.280822749999999</v>
      </c>
      <c r="D78" s="33">
        <f>VNQ_Table[[#This Row],[Price/NAV]]/C77-1</f>
        <v>-8.0347177058753605E-2</v>
      </c>
      <c r="E78" s="33">
        <f>E77*(1+VNQ_Table[[#This Row],[Monthly Return]])</f>
        <v>1.4073282146658219</v>
      </c>
      <c r="F78" s="33">
        <f>MAX(F77,VNQ_Table[[#This Row],[Growth]])</f>
        <v>1.7656073757584161</v>
      </c>
      <c r="G78" s="8">
        <f>VNQ_Table[[#This Row],[Growth]]/VNQ_Table[[#This Row],[High Water Mark]]-1</f>
        <v>-0.20292119641757578</v>
      </c>
    </row>
    <row r="79" spans="2:7" x14ac:dyDescent="0.2">
      <c r="B79" s="22">
        <v>44743</v>
      </c>
      <c r="C79" s="23">
        <v>85.567092900000006</v>
      </c>
      <c r="D79" s="33">
        <f>VNQ_Table[[#This Row],[Price/NAV]]/C78-1</f>
        <v>9.3078609728843187E-2</v>
      </c>
      <c r="E79" s="33">
        <f>E78*(1+VNQ_Table[[#This Row],[Monthly Return]])</f>
        <v>1.5383203683190916</v>
      </c>
      <c r="F79" s="33">
        <f>MAX(F78,VNQ_Table[[#This Row],[Growth]])</f>
        <v>1.7656073757584161</v>
      </c>
      <c r="G79" s="8">
        <f>VNQ_Table[[#This Row],[Growth]]/VNQ_Table[[#This Row],[High Water Mark]]-1</f>
        <v>-0.12873020953579417</v>
      </c>
    </row>
    <row r="80" spans="2:7" x14ac:dyDescent="0.2">
      <c r="B80" s="22">
        <v>44774</v>
      </c>
      <c r="C80" s="23">
        <v>80.422325130000004</v>
      </c>
      <c r="D80" s="33">
        <f>VNQ_Table[[#This Row],[Price/NAV]]/C79-1</f>
        <v>-6.0125541205572564E-2</v>
      </c>
      <c r="E80" s="33">
        <f>E79*(1+VNQ_Table[[#This Row],[Monthly Return]])</f>
        <v>1.4458280236263505</v>
      </c>
      <c r="F80" s="33">
        <f>MAX(F79,VNQ_Table[[#This Row],[Growth]])</f>
        <v>1.7656073757584161</v>
      </c>
      <c r="G80" s="8">
        <f>VNQ_Table[[#This Row],[Growth]]/VNQ_Table[[#This Row],[High Water Mark]]-1</f>
        <v>-0.18111577722352024</v>
      </c>
    </row>
    <row r="81" spans="2:7" x14ac:dyDescent="0.2">
      <c r="B81" s="22">
        <v>44805</v>
      </c>
      <c r="C81" s="23">
        <v>69.320060729999994</v>
      </c>
      <c r="D81" s="33">
        <f>VNQ_Table[[#This Row],[Price/NAV]]/C80-1</f>
        <v>-0.13804953266463726</v>
      </c>
      <c r="E81" s="33">
        <f>E80*(1+VNQ_Table[[#This Row],[Monthly Return]])</f>
        <v>1.2462321406512966</v>
      </c>
      <c r="F81" s="33">
        <f>MAX(F80,VNQ_Table[[#This Row],[Growth]])</f>
        <v>1.7656073757584161</v>
      </c>
      <c r="G81" s="8">
        <f>VNQ_Table[[#This Row],[Growth]]/VNQ_Table[[#This Row],[High Water Mark]]-1</f>
        <v>-0.29416236148425812</v>
      </c>
    </row>
    <row r="82" spans="2:7" x14ac:dyDescent="0.2">
      <c r="B82" s="22">
        <v>44835</v>
      </c>
      <c r="C82" s="23">
        <v>72.526969910000005</v>
      </c>
      <c r="D82" s="33">
        <f>VNQ_Table[[#This Row],[Price/NAV]]/C81-1</f>
        <v>4.6262353873157247E-2</v>
      </c>
      <c r="E82" s="33">
        <f>E81*(1+VNQ_Table[[#This Row],[Monthly Return]])</f>
        <v>1.3038857729502091</v>
      </c>
      <c r="F82" s="33">
        <f>MAX(F81,VNQ_Table[[#This Row],[Growth]])</f>
        <v>1.7656073757584161</v>
      </c>
      <c r="G82" s="8">
        <f>VNQ_Table[[#This Row],[Growth]]/VNQ_Table[[#This Row],[High Water Mark]]-1</f>
        <v>-0.26150865087424924</v>
      </c>
    </row>
    <row r="83" spans="2:7" x14ac:dyDescent="0.2">
      <c r="B83" s="22">
        <v>44866</v>
      </c>
      <c r="C83" s="23">
        <v>76.984527589999999</v>
      </c>
      <c r="D83" s="33">
        <f>VNQ_Table[[#This Row],[Price/NAV]]/C82-1</f>
        <v>6.1460690906175452E-2</v>
      </c>
      <c r="E83" s="33">
        <f>E82*(1+VNQ_Table[[#This Row],[Monthly Return]])</f>
        <v>1.3840234934184616</v>
      </c>
      <c r="F83" s="33">
        <f>MAX(F82,VNQ_Table[[#This Row],[Growth]])</f>
        <v>1.7656073757584161</v>
      </c>
      <c r="G83" s="8">
        <f>VNQ_Table[[#This Row],[Growth]]/VNQ_Table[[#This Row],[High Water Mark]]-1</f>
        <v>-0.21612046232874693</v>
      </c>
    </row>
    <row r="84" spans="2:7" x14ac:dyDescent="0.2">
      <c r="B84" s="22">
        <v>44896</v>
      </c>
      <c r="C84" s="23">
        <v>72.089942930000007</v>
      </c>
      <c r="D84" s="33">
        <f>VNQ_Table[[#This Row],[Price/NAV]]/C83-1</f>
        <v>-6.3578810096326155E-2</v>
      </c>
      <c r="E84" s="33">
        <f>E83*(1+VNQ_Table[[#This Row],[Monthly Return]])</f>
        <v>1.2960289265615554</v>
      </c>
      <c r="F84" s="33">
        <f>MAX(F83,VNQ_Table[[#This Row],[Growth]])</f>
        <v>1.7656073757584161</v>
      </c>
      <c r="G84" s="8">
        <f>VNQ_Table[[#This Row],[Growth]]/VNQ_Table[[#This Row],[High Water Mark]]-1</f>
        <v>-0.2659585905927434</v>
      </c>
    </row>
    <row r="85" spans="2:7" x14ac:dyDescent="0.2">
      <c r="B85" s="22">
        <v>44927</v>
      </c>
      <c r="C85" s="23">
        <v>80.714012150000002</v>
      </c>
      <c r="D85" s="33">
        <f>VNQ_Table[[#This Row],[Price/NAV]]/C84-1</f>
        <v>0.11962929736779015</v>
      </c>
      <c r="E85" s="33">
        <f>E84*(1+VNQ_Table[[#This Row],[Monthly Return]])</f>
        <v>1.4510719564144456</v>
      </c>
      <c r="F85" s="33">
        <f>MAX(F84,VNQ_Table[[#This Row],[Growth]])</f>
        <v>1.7656073757584161</v>
      </c>
      <c r="G85" s="8">
        <f>VNQ_Table[[#This Row],[Growth]]/VNQ_Table[[#This Row],[High Water Mark]]-1</f>
        <v>-0.17814573254649091</v>
      </c>
    </row>
    <row r="86" spans="2:7" x14ac:dyDescent="0.2">
      <c r="B86" s="22">
        <v>44958</v>
      </c>
      <c r="C86" s="23">
        <v>75.980720520000006</v>
      </c>
      <c r="D86" s="33">
        <f>VNQ_Table[[#This Row],[Price/NAV]]/C85-1</f>
        <v>-5.8642749925546855E-2</v>
      </c>
      <c r="E86" s="33">
        <f>E85*(1+VNQ_Table[[#This Row],[Monthly Return]])</f>
        <v>1.3659771065504593</v>
      </c>
      <c r="F86" s="33">
        <f>MAX(F85,VNQ_Table[[#This Row],[Growth]])</f>
        <v>1.7656073757584161</v>
      </c>
      <c r="G86" s="8">
        <f>VNQ_Table[[#This Row],[Growth]]/VNQ_Table[[#This Row],[High Water Mark]]-1</f>
        <v>-0.22634152682801045</v>
      </c>
    </row>
    <row r="87" spans="2:7" x14ac:dyDescent="0.2">
      <c r="B87" s="22">
        <v>44986</v>
      </c>
      <c r="C87" s="23">
        <v>73.605232240000007</v>
      </c>
      <c r="D87" s="33">
        <f>VNQ_Table[[#This Row],[Price/NAV]]/C86-1</f>
        <v>-3.12643557963459E-2</v>
      </c>
      <c r="E87" s="33">
        <f>E86*(1+VNQ_Table[[#This Row],[Monthly Return]])</f>
        <v>1.3232707122816028</v>
      </c>
      <c r="F87" s="33">
        <f>MAX(F86,VNQ_Table[[#This Row],[Growth]])</f>
        <v>1.7656073757584161</v>
      </c>
      <c r="G87" s="8">
        <f>VNQ_Table[[#This Row],[Growth]]/VNQ_Table[[#This Row],[High Water Mark]]-1</f>
        <v>-0.25052946059811732</v>
      </c>
    </row>
    <row r="88" spans="2:7" x14ac:dyDescent="0.2">
      <c r="B88" s="22">
        <v>45017</v>
      </c>
      <c r="C88" s="23">
        <v>74.575767519999999</v>
      </c>
      <c r="D88" s="33">
        <f>VNQ_Table[[#This Row],[Price/NAV]]/C87-1</f>
        <v>1.3185683279083094E-2</v>
      </c>
      <c r="E88" s="33">
        <f>E87*(1+VNQ_Table[[#This Row],[Monthly Return]])</f>
        <v>1.3407189407862348</v>
      </c>
      <c r="F88" s="33">
        <f>MAX(F87,VNQ_Table[[#This Row],[Growth]])</f>
        <v>1.7656073757584161</v>
      </c>
      <c r="G88" s="8">
        <f>VNQ_Table[[#This Row],[Growth]]/VNQ_Table[[#This Row],[High Water Mark]]-1</f>
        <v>-0.2406471794385604</v>
      </c>
    </row>
    <row r="89" spans="2:7" x14ac:dyDescent="0.2">
      <c r="B89" s="22">
        <v>45047</v>
      </c>
      <c r="C89" s="23">
        <v>71.621376040000001</v>
      </c>
      <c r="D89" s="33">
        <f>VNQ_Table[[#This Row],[Price/NAV]]/C88-1</f>
        <v>-3.9615971491110402E-2</v>
      </c>
      <c r="E89" s="33">
        <f>E88*(1+VNQ_Table[[#This Row],[Monthly Return]])</f>
        <v>1.2876050574504556</v>
      </c>
      <c r="F89" s="33">
        <f>MAX(F88,VNQ_Table[[#This Row],[Growth]])</f>
        <v>1.7656073757584161</v>
      </c>
      <c r="G89" s="8">
        <f>VNQ_Table[[#This Row],[Growth]]/VNQ_Table[[#This Row],[High Water Mark]]-1</f>
        <v>-0.27072967912961665</v>
      </c>
    </row>
    <row r="90" spans="2:7" x14ac:dyDescent="0.2">
      <c r="B90" s="22">
        <v>45078</v>
      </c>
      <c r="C90" s="23">
        <v>74.808532709999994</v>
      </c>
      <c r="D90" s="33">
        <f>VNQ_Table[[#This Row],[Price/NAV]]/C89-1</f>
        <v>4.4500075902199843E-2</v>
      </c>
      <c r="E90" s="33">
        <f>E89*(1+VNQ_Table[[#This Row],[Monthly Return]])</f>
        <v>1.3449035802390572</v>
      </c>
      <c r="F90" s="33">
        <f>MAX(F89,VNQ_Table[[#This Row],[Growth]])</f>
        <v>1.7656073757584161</v>
      </c>
      <c r="G90" s="8">
        <f>VNQ_Table[[#This Row],[Growth]]/VNQ_Table[[#This Row],[High Water Mark]]-1</f>
        <v>-0.23827709449766299</v>
      </c>
    </row>
    <row r="91" spans="2:7" x14ac:dyDescent="0.2">
      <c r="B91" s="22">
        <v>45108</v>
      </c>
      <c r="C91" s="23">
        <v>77.192420960000007</v>
      </c>
      <c r="D91" s="33">
        <f>VNQ_Table[[#This Row],[Price/NAV]]/C90-1</f>
        <v>3.1866528638401448E-2</v>
      </c>
      <c r="E91" s="33">
        <f>E90*(1+VNQ_Table[[#This Row],[Monthly Return]])</f>
        <v>1.3877609886946338</v>
      </c>
      <c r="F91" s="33">
        <f>MAX(F90,VNQ_Table[[#This Row],[Growth]])</f>
        <v>1.7656073757584161</v>
      </c>
      <c r="G91" s="8">
        <f>VNQ_Table[[#This Row],[Growth]]/VNQ_Table[[#This Row],[High Water Mark]]-1</f>
        <v>-0.21400362971494635</v>
      </c>
    </row>
    <row r="92" spans="2:7" x14ac:dyDescent="0.2">
      <c r="B92" s="22">
        <v>45139</v>
      </c>
      <c r="C92" s="23">
        <v>74.584938050000005</v>
      </c>
      <c r="D92" s="33">
        <f>VNQ_Table[[#This Row],[Price/NAV]]/C91-1</f>
        <v>-3.3779001585546364E-2</v>
      </c>
      <c r="E92" s="33">
        <f>E91*(1+VNQ_Table[[#This Row],[Monthly Return]])</f>
        <v>1.3408838080571583</v>
      </c>
      <c r="F92" s="33">
        <f>MAX(F91,VNQ_Table[[#This Row],[Growth]])</f>
        <v>1.7656073757584161</v>
      </c>
      <c r="G92" s="8">
        <f>VNQ_Table[[#This Row],[Growth]]/VNQ_Table[[#This Row],[High Water Mark]]-1</f>
        <v>-0.24055380235303891</v>
      </c>
    </row>
    <row r="93" spans="2:7" x14ac:dyDescent="0.2">
      <c r="B93" s="22">
        <v>45170</v>
      </c>
      <c r="C93" s="23">
        <v>68.500801089999996</v>
      </c>
      <c r="D93" s="33">
        <f>VNQ_Table[[#This Row],[Price/NAV]]/C92-1</f>
        <v>-8.1573265582406851E-2</v>
      </c>
      <c r="E93" s="33">
        <f>E92*(1+VNQ_Table[[#This Row],[Monthly Return]])</f>
        <v>1.2315035370673628</v>
      </c>
      <c r="F93" s="33">
        <f>MAX(F92,VNQ_Table[[#This Row],[Growth]])</f>
        <v>1.7656073757584161</v>
      </c>
      <c r="G93" s="8">
        <f>VNQ_Table[[#This Row],[Growth]]/VNQ_Table[[#This Row],[High Water Mark]]-1</f>
        <v>-0.3025043087292435</v>
      </c>
    </row>
    <row r="94" spans="2:7" x14ac:dyDescent="0.2">
      <c r="B94" s="22">
        <v>45200</v>
      </c>
      <c r="C94" s="23">
        <v>66.662391659999997</v>
      </c>
      <c r="D94" s="33">
        <f>VNQ_Table[[#This Row],[Price/NAV]]/C93-1</f>
        <v>-2.6837780007632261E-2</v>
      </c>
      <c r="E94" s="33">
        <f>E93*(1+VNQ_Table[[#This Row],[Monthly Return]])</f>
        <v>1.198452716060928</v>
      </c>
      <c r="F94" s="33">
        <f>MAX(F93,VNQ_Table[[#This Row],[Growth]])</f>
        <v>1.7656073757584161</v>
      </c>
      <c r="G94" s="8">
        <f>VNQ_Table[[#This Row],[Growth]]/VNQ_Table[[#This Row],[High Water Mark]]-1</f>
        <v>-0.32122354464783942</v>
      </c>
    </row>
    <row r="95" spans="2:7" x14ac:dyDescent="0.2">
      <c r="B95" s="22">
        <v>45231</v>
      </c>
      <c r="C95" s="23">
        <v>74.716369630000003</v>
      </c>
      <c r="D95" s="33">
        <f>VNQ_Table[[#This Row],[Price/NAV]]/C94-1</f>
        <v>0.12081741697894555</v>
      </c>
      <c r="E95" s="33">
        <f>E94*(1+VNQ_Table[[#This Row],[Monthly Return]])</f>
        <v>1.3432466775868108</v>
      </c>
      <c r="F95" s="33">
        <f>MAX(F94,VNQ_Table[[#This Row],[Growth]])</f>
        <v>1.7656073757584161</v>
      </c>
      <c r="G95" s="8">
        <f>VNQ_Table[[#This Row],[Growth]]/VNQ_Table[[#This Row],[High Water Mark]]-1</f>
        <v>-0.23921552660606682</v>
      </c>
    </row>
    <row r="96" spans="2:7" x14ac:dyDescent="0.2">
      <c r="B96" s="22">
        <v>45261</v>
      </c>
      <c r="C96" s="23">
        <v>80.777412409999997</v>
      </c>
      <c r="D96" s="33">
        <f>VNQ_Table[[#This Row],[Price/NAV]]/C95-1</f>
        <v>8.1120680916573429E-2</v>
      </c>
      <c r="E96" s="33">
        <f>E95*(1+VNQ_Table[[#This Row],[Monthly Return]])</f>
        <v>1.4522117627115778</v>
      </c>
      <c r="F96" s="33">
        <f>MAX(F95,VNQ_Table[[#This Row],[Growth]])</f>
        <v>1.7656073757584161</v>
      </c>
      <c r="G96" s="8">
        <f>VNQ_Table[[#This Row],[Growth]]/VNQ_Table[[#This Row],[High Water Mark]]-1</f>
        <v>-0.17750017209359426</v>
      </c>
    </row>
    <row r="97" spans="2:7" x14ac:dyDescent="0.2">
      <c r="B97" s="22">
        <v>45292</v>
      </c>
      <c r="C97" s="23">
        <v>77.636787409999997</v>
      </c>
      <c r="D97" s="33">
        <f>VNQ_Table[[#This Row],[Price/NAV]]/C96-1</f>
        <v>-3.8879990164319755E-2</v>
      </c>
      <c r="E97" s="33">
        <f>E96*(1+VNQ_Table[[#This Row],[Monthly Return]])</f>
        <v>1.3957497836608421</v>
      </c>
      <c r="F97" s="33">
        <f>MAX(F96,VNQ_Table[[#This Row],[Growth]])</f>
        <v>1.7656073757584161</v>
      </c>
      <c r="G97" s="8">
        <f>VNQ_Table[[#This Row],[Growth]]/VNQ_Table[[#This Row],[High Water Mark]]-1</f>
        <v>-0.20947895731275012</v>
      </c>
    </row>
    <row r="98" spans="2:7" x14ac:dyDescent="0.2">
      <c r="B98" s="22">
        <v>45323</v>
      </c>
      <c r="C98" s="23">
        <v>79.173049930000005</v>
      </c>
      <c r="D98" s="33">
        <f>VNQ_Table[[#This Row],[Price/NAV]]/C97-1</f>
        <v>1.9787816720017171E-2</v>
      </c>
      <c r="E98" s="33">
        <f>E97*(1+VNQ_Table[[#This Row],[Monthly Return]])</f>
        <v>1.4233686245669266</v>
      </c>
      <c r="F98" s="33">
        <f>MAX(F97,VNQ_Table[[#This Row],[Growth]])</f>
        <v>1.7656073757584161</v>
      </c>
      <c r="G98" s="8">
        <f>VNQ_Table[[#This Row],[Growth]]/VNQ_Table[[#This Row],[High Water Mark]]-1</f>
        <v>-0.1938362718067379</v>
      </c>
    </row>
    <row r="99" spans="2:7" x14ac:dyDescent="0.2">
      <c r="B99" s="22">
        <v>45352</v>
      </c>
      <c r="C99" s="23">
        <v>80.033721920000005</v>
      </c>
      <c r="D99" s="33">
        <f>VNQ_Table[[#This Row],[Price/NAV]]/C98-1</f>
        <v>1.0870769671762703E-2</v>
      </c>
      <c r="E99" s="33">
        <f>E98*(1+VNQ_Table[[#This Row],[Monthly Return]])</f>
        <v>1.4388417370426074</v>
      </c>
      <c r="F99" s="33">
        <f>MAX(F98,VNQ_Table[[#This Row],[Growth]])</f>
        <v>1.7656073757584161</v>
      </c>
      <c r="G99" s="8">
        <f>VNQ_Table[[#This Row],[Growth]]/VNQ_Table[[#This Row],[High Water Mark]]-1</f>
        <v>-0.18507265159981934</v>
      </c>
    </row>
    <row r="100" spans="2:7" x14ac:dyDescent="0.2">
      <c r="B100" s="22">
        <v>45383</v>
      </c>
      <c r="C100" s="23">
        <v>74.305496219999995</v>
      </c>
      <c r="D100" s="33">
        <f>VNQ_Table[[#This Row],[Price/NAV]]/C99-1</f>
        <v>-7.1572651659581932E-2</v>
      </c>
      <c r="E100" s="33">
        <f>E99*(1+VNQ_Table[[#This Row],[Monthly Return]])</f>
        <v>1.3358600186039891</v>
      </c>
      <c r="F100" s="33">
        <f>MAX(F99,VNQ_Table[[#This Row],[Growth]])</f>
        <v>1.7656073757584161</v>
      </c>
      <c r="G100" s="8">
        <f>VNQ_Table[[#This Row],[Growth]]/VNQ_Table[[#This Row],[High Water Mark]]-1</f>
        <v>-0.24339916283473229</v>
      </c>
    </row>
    <row r="101" spans="2:7" x14ac:dyDescent="0.2">
      <c r="B101" s="22">
        <v>45413</v>
      </c>
      <c r="C101" s="23">
        <v>77.69361877</v>
      </c>
      <c r="D101" s="33">
        <f>VNQ_Table[[#This Row],[Price/NAV]]/C100-1</f>
        <v>4.559719970066034E-2</v>
      </c>
      <c r="E101" s="33">
        <f>E100*(1+VNQ_Table[[#This Row],[Monthly Return]])</f>
        <v>1.396771494644403</v>
      </c>
      <c r="F101" s="33">
        <f>MAX(F100,VNQ_Table[[#This Row],[Growth]])</f>
        <v>1.7656073757584161</v>
      </c>
      <c r="G101" s="8">
        <f>VNQ_Table[[#This Row],[Growth]]/VNQ_Table[[#This Row],[High Water Mark]]-1</f>
        <v>-0.20890028336882072</v>
      </c>
    </row>
    <row r="102" spans="2:7" x14ac:dyDescent="0.2">
      <c r="B102" s="22">
        <v>45444</v>
      </c>
      <c r="C102" s="23">
        <v>78.178985600000004</v>
      </c>
      <c r="D102" s="33">
        <f>VNQ_Table[[#This Row],[Price/NAV]]/C101-1</f>
        <v>6.2471904087368912E-3</v>
      </c>
      <c r="E102" s="33">
        <f>E101*(1+VNQ_Table[[#This Row],[Monthly Return]])</f>
        <v>1.4054973921289426</v>
      </c>
      <c r="F102" s="33">
        <f>MAX(F101,VNQ_Table[[#This Row],[Growth]])</f>
        <v>1.7656073757584161</v>
      </c>
      <c r="G102" s="8">
        <f>VNQ_Table[[#This Row],[Growth]]/VNQ_Table[[#This Row],[High Water Mark]]-1</f>
        <v>-0.20395813280672792</v>
      </c>
    </row>
    <row r="103" spans="2:7" x14ac:dyDescent="0.2">
      <c r="B103" s="22">
        <v>45474</v>
      </c>
      <c r="C103" s="23">
        <v>85.434906010000006</v>
      </c>
      <c r="D103" s="33">
        <f>VNQ_Table[[#This Row],[Price/NAV]]/C102-1</f>
        <v>9.2811646944674697E-2</v>
      </c>
      <c r="E103" s="33">
        <f>E102*(1+VNQ_Table[[#This Row],[Monthly Return]])</f>
        <v>1.5359439198688751</v>
      </c>
      <c r="F103" s="33">
        <f>MAX(F102,VNQ_Table[[#This Row],[Growth]])</f>
        <v>1.7656073757584161</v>
      </c>
      <c r="G103" s="8">
        <f>VNQ_Table[[#This Row],[Growth]]/VNQ_Table[[#This Row],[High Water Mark]]-1</f>
        <v>-0.13007617607560629</v>
      </c>
    </row>
    <row r="104" spans="2:7" x14ac:dyDescent="0.2">
      <c r="B104" s="22">
        <v>45505</v>
      </c>
      <c r="C104" s="23">
        <v>89.895164489999999</v>
      </c>
      <c r="D104" s="33">
        <f>VNQ_Table[[#This Row],[Price/NAV]]/C103-1</f>
        <v>5.2206512399954219E-2</v>
      </c>
      <c r="E104" s="33">
        <f>E103*(1+VNQ_Table[[#This Row],[Monthly Return]])</f>
        <v>1.6161301951671438</v>
      </c>
      <c r="F104" s="33">
        <f>MAX(F103,VNQ_Table[[#This Row],[Growth]])</f>
        <v>1.7656073757584161</v>
      </c>
      <c r="G104" s="8">
        <f>VNQ_Table[[#This Row],[Growth]]/VNQ_Table[[#This Row],[High Water Mark]]-1</f>
        <v>-8.4660487174881838E-2</v>
      </c>
    </row>
    <row r="105" spans="2:7" x14ac:dyDescent="0.2">
      <c r="B105" s="22">
        <v>45536</v>
      </c>
      <c r="C105" s="23">
        <v>92.059158330000002</v>
      </c>
      <c r="D105" s="33">
        <f>VNQ_Table[[#This Row],[Price/NAV]]/C104-1</f>
        <v>2.4072416489551385E-2</v>
      </c>
      <c r="E105" s="33">
        <f>E104*(1+VNQ_Table[[#This Row],[Monthly Return]])</f>
        <v>1.6550343543265473</v>
      </c>
      <c r="F105" s="33">
        <f>MAX(F104,VNQ_Table[[#This Row],[Growth]])</f>
        <v>1.7656073757584161</v>
      </c>
      <c r="G105" s="8">
        <f>VNQ_Table[[#This Row],[Growth]]/VNQ_Table[[#This Row],[High Water Mark]]-1</f>
        <v>-6.2626053192812559E-2</v>
      </c>
    </row>
    <row r="106" spans="2:7" x14ac:dyDescent="0.2">
      <c r="B106" s="22">
        <v>45566</v>
      </c>
      <c r="C106" s="23">
        <v>89.718368530000006</v>
      </c>
      <c r="D106" s="33">
        <f>VNQ_Table[[#This Row],[Price/NAV]]/C105-1</f>
        <v>-2.542701717529372E-2</v>
      </c>
      <c r="E106" s="33">
        <f>E105*(1+VNQ_Table[[#This Row],[Monthly Return]])</f>
        <v>1.6129517673733851</v>
      </c>
      <c r="F106" s="33">
        <f>MAX(F105,VNQ_Table[[#This Row],[Growth]])</f>
        <v>1.7656073757584161</v>
      </c>
      <c r="G106" s="8">
        <f>VNQ_Table[[#This Row],[Growth]]/VNQ_Table[[#This Row],[High Water Mark]]-1</f>
        <v>-8.6460676637951761E-2</v>
      </c>
    </row>
    <row r="107" spans="2:7" x14ac:dyDescent="0.2">
      <c r="B107" s="22">
        <v>45597</v>
      </c>
      <c r="C107" s="23">
        <v>93.539619450000004</v>
      </c>
      <c r="D107" s="33">
        <f>VNQ_Table[[#This Row],[Price/NAV]]/C106-1</f>
        <v>4.2591622904090576E-2</v>
      </c>
      <c r="E107" s="33">
        <f>E106*(1+VNQ_Table[[#This Row],[Monthly Return]])</f>
        <v>1.6816500008118387</v>
      </c>
      <c r="F107" s="33">
        <f>MAX(F106,VNQ_Table[[#This Row],[Growth]])</f>
        <v>1.7656073757584161</v>
      </c>
      <c r="G107" s="8">
        <f>VNQ_Table[[#This Row],[Growth]]/VNQ_Table[[#This Row],[High Water Mark]]-1</f>
        <v>-4.755155426925739E-2</v>
      </c>
    </row>
    <row r="108" spans="2:7" x14ac:dyDescent="0.2">
      <c r="B108" s="22">
        <v>45627</v>
      </c>
      <c r="C108" s="23">
        <v>84.887016299999999</v>
      </c>
      <c r="D108" s="33">
        <f>VNQ_Table[[#This Row],[Price/NAV]]/C107-1</f>
        <v>-9.2502013594625621E-2</v>
      </c>
      <c r="E108" s="33">
        <f>E107*(1+VNQ_Table[[#This Row],[Monthly Return]])</f>
        <v>1.5260939895753398</v>
      </c>
      <c r="F108" s="33">
        <f>MAX(F107,VNQ_Table[[#This Row],[Growth]])</f>
        <v>1.7656073757584161</v>
      </c>
      <c r="G108" s="8">
        <f>VNQ_Table[[#This Row],[Growth]]/VNQ_Table[[#This Row],[High Water Mark]]-1</f>
        <v>-0.13565495334442257</v>
      </c>
    </row>
    <row r="109" spans="2:7" x14ac:dyDescent="0.2">
      <c r="B109" s="22">
        <v>45658</v>
      </c>
      <c r="C109" s="23">
        <v>87.122673030000001</v>
      </c>
      <c r="D109" s="33">
        <f>VNQ_Table[[#This Row],[Price/NAV]]/C108-1</f>
        <v>2.6336851351906887E-2</v>
      </c>
      <c r="E109" s="33">
        <f>E108*(1+VNQ_Table[[#This Row],[Monthly Return]])</f>
        <v>1.5662865001278241</v>
      </c>
      <c r="F109" s="33">
        <f>MAX(F108,VNQ_Table[[#This Row],[Growth]])</f>
        <v>1.7656073757584161</v>
      </c>
      <c r="G109" s="8">
        <f>VNQ_Table[[#This Row],[Growth]]/VNQ_Table[[#This Row],[High Water Mark]]-1</f>
        <v>-0.11289082633389758</v>
      </c>
    </row>
    <row r="110" spans="2:7" x14ac:dyDescent="0.2">
      <c r="B110" s="22">
        <v>45689</v>
      </c>
      <c r="C110" s="23">
        <v>90.345863339999994</v>
      </c>
      <c r="D110" s="33">
        <f>VNQ_Table[[#This Row],[Price/NAV]]/C109-1</f>
        <v>3.6995998835918531E-2</v>
      </c>
      <c r="E110" s="33">
        <f>E109*(1+VNQ_Table[[#This Row],[Monthly Return]])</f>
        <v>1.6242328336632681</v>
      </c>
      <c r="F110" s="33">
        <f>MAX(F109,VNQ_Table[[#This Row],[Growth]])</f>
        <v>1.7656073757584161</v>
      </c>
      <c r="G110" s="8">
        <f>VNQ_Table[[#This Row],[Growth]]/VNQ_Table[[#This Row],[High Water Mark]]-1</f>
        <v>-8.0071336377613767E-2</v>
      </c>
    </row>
    <row r="111" spans="2:7" x14ac:dyDescent="0.2">
      <c r="B111" s="22">
        <v>45717</v>
      </c>
      <c r="C111" s="23">
        <v>87.113044740000007</v>
      </c>
      <c r="D111" s="33">
        <f>VNQ_Table[[#This Row],[Price/NAV]]/C110-1</f>
        <v>-3.5782696412273718E-2</v>
      </c>
      <c r="E111" s="33">
        <f>E110*(1+VNQ_Table[[#This Row],[Monthly Return]])</f>
        <v>1.5661134032734483</v>
      </c>
      <c r="F111" s="33">
        <f>MAX(F110,VNQ_Table[[#This Row],[Growth]])</f>
        <v>1.7656073757584161</v>
      </c>
      <c r="G111" s="8">
        <f>VNQ_Table[[#This Row],[Growth]]/VNQ_Table[[#This Row],[High Water Mark]]-1</f>
        <v>-0.11298886446896228</v>
      </c>
    </row>
    <row r="112" spans="2:7" x14ac:dyDescent="0.2">
      <c r="B112" s="22">
        <v>45748</v>
      </c>
      <c r="C112" s="23">
        <v>85.859718319999999</v>
      </c>
      <c r="D112" s="33">
        <f>VNQ_Table[[#This Row],[Price/NAV]]/C111-1</f>
        <v>-1.4387356379755967E-2</v>
      </c>
      <c r="E112" s="33">
        <f>E111*(1+VNQ_Table[[#This Row],[Monthly Return]])</f>
        <v>1.5435811716094407</v>
      </c>
      <c r="F112" s="33">
        <f>MAX(F111,VNQ_Table[[#This Row],[Growth]])</f>
        <v>1.7656073757584161</v>
      </c>
      <c r="G112" s="8">
        <f>VNQ_Table[[#This Row],[Growth]]/VNQ_Table[[#This Row],[High Water Mark]]-1</f>
        <v>-0.12575060978865926</v>
      </c>
    </row>
    <row r="113" spans="2:7" x14ac:dyDescent="0.2">
      <c r="B113" s="22">
        <v>45778</v>
      </c>
      <c r="C113" s="23">
        <v>86.822029110000003</v>
      </c>
      <c r="D113" s="33">
        <f>VNQ_Table[[#This Row],[Price/NAV]]/C112-1</f>
        <v>1.1207942546625382E-2</v>
      </c>
      <c r="E113" s="33">
        <f>E112*(1+VNQ_Table[[#This Row],[Monthly Return]])</f>
        <v>1.5608815406968921</v>
      </c>
      <c r="F113" s="33">
        <f>MAX(F112,VNQ_Table[[#This Row],[Growth]])</f>
        <v>1.7656073757584161</v>
      </c>
      <c r="G113" s="8">
        <f>VNQ_Table[[#This Row],[Growth]]/VNQ_Table[[#This Row],[High Water Mark]]-1</f>
        <v>-0.11595207285174824</v>
      </c>
    </row>
    <row r="114" spans="2:7" x14ac:dyDescent="0.2">
      <c r="B114" s="22">
        <v>45809</v>
      </c>
      <c r="C114" s="23">
        <v>86.569297789999993</v>
      </c>
      <c r="D114" s="33">
        <f>VNQ_Table[[#This Row],[Price/NAV]]/C113-1</f>
        <v>-2.9109123869911491E-3</v>
      </c>
      <c r="E114" s="33">
        <f>E113*(1+VNQ_Table[[#This Row],[Monthly Return]])</f>
        <v>1.5563379512854516</v>
      </c>
      <c r="F114" s="33">
        <f>MAX(F113,VNQ_Table[[#This Row],[Growth]])</f>
        <v>1.7656073757584161</v>
      </c>
      <c r="G114" s="8">
        <f>VNQ_Table[[#This Row],[Growth]]/VNQ_Table[[#This Row],[High Water Mark]]-1</f>
        <v>-0.11852545891357802</v>
      </c>
    </row>
    <row r="115" spans="2:7" x14ac:dyDescent="0.2">
      <c r="B115" s="22">
        <v>45839</v>
      </c>
      <c r="C115" s="23">
        <v>87.498313899999999</v>
      </c>
      <c r="D115" s="33">
        <f>VNQ_Table[[#This Row],[Price/NAV]]/C114-1</f>
        <v>1.0731473325030549E-2</v>
      </c>
      <c r="E115" s="33">
        <f>E114*(1+VNQ_Table[[#This Row],[Monthly Return]])</f>
        <v>1.573039750494404</v>
      </c>
      <c r="F115" s="33">
        <f>MAX(F114,VNQ_Table[[#This Row],[Growth]])</f>
        <v>1.7656073757584161</v>
      </c>
      <c r="G115" s="8">
        <f>VNQ_Table[[#This Row],[Growth]]/VNQ_Table[[#This Row],[High Water Mark]]-1</f>
        <v>-0.10906593838921563</v>
      </c>
    </row>
    <row r="116" spans="2:7" x14ac:dyDescent="0.2">
      <c r="B116" s="22">
        <v>45870</v>
      </c>
      <c r="C116" s="23">
        <v>90.541221620000002</v>
      </c>
      <c r="D116" s="33">
        <f>VNQ_Table[[#This Row],[Price/NAV]]/C115-1</f>
        <v>3.4776758366768856E-2</v>
      </c>
      <c r="E116" s="33">
        <f>E115*(1+VNQ_Table[[#This Row],[Monthly Return]])</f>
        <v>1.6277449737986702</v>
      </c>
      <c r="F116" s="33">
        <f>MAX(F115,VNQ_Table[[#This Row],[Growth]])</f>
        <v>1.7656073757584161</v>
      </c>
      <c r="G116" s="8">
        <f>VNQ_Table[[#This Row],[Growth]]/VNQ_Table[[#This Row],[High Water Mark]]-1</f>
        <v>-7.808213980785339E-2</v>
      </c>
    </row>
    <row r="117" spans="2:7" x14ac:dyDescent="0.2">
      <c r="B117" s="22">
        <v>45901</v>
      </c>
      <c r="C117" s="23">
        <v>89.736320500000005</v>
      </c>
      <c r="D117" s="33">
        <f>VNQ_Table[[#This Row],[Price/NAV]]/C116-1</f>
        <v>-8.8898857956450916E-3</v>
      </c>
      <c r="E117" s="33">
        <f>E116*(1+VNQ_Table[[#This Row],[Monthly Return]])</f>
        <v>1.6132745068771648</v>
      </c>
      <c r="F117" s="33">
        <f>MAX(F116,VNQ_Table[[#This Row],[Growth]])</f>
        <v>1.7656073757584161</v>
      </c>
      <c r="G117" s="8">
        <f>VNQ_Table[[#This Row],[Growth]]/VNQ_Table[[#This Row],[High Water Mark]]-1</f>
        <v>-8.6277884297927043E-2</v>
      </c>
    </row>
    <row r="118" spans="2:7" x14ac:dyDescent="0.2">
      <c r="B118" s="22">
        <v>45931</v>
      </c>
      <c r="C118" s="23">
        <v>88.373664860000005</v>
      </c>
      <c r="D118" s="33">
        <f>VNQ_Table[[#This Row],[Price/NAV]]/C117-1</f>
        <v>-1.5185107127275166E-2</v>
      </c>
      <c r="E118" s="33">
        <f>E117*(1+VNQ_Table[[#This Row],[Monthly Return]])</f>
        <v>1.5887767606645331</v>
      </c>
      <c r="F118" s="33">
        <f>MAX(F117,VNQ_Table[[#This Row],[Growth]])</f>
        <v>1.7656073757584161</v>
      </c>
      <c r="G118" s="8">
        <f>VNQ_Table[[#This Row],[Growth]]/VNQ_Table[[#This Row],[High Water Mark]]-1</f>
        <v>-0.10015285250942352</v>
      </c>
    </row>
    <row r="119" spans="2:7" x14ac:dyDescent="0.2">
      <c r="B119" s="22">
        <v>45962</v>
      </c>
      <c r="C119" s="23">
        <v>90.514129639999993</v>
      </c>
      <c r="D119" s="33">
        <f>VNQ_Table[[#This Row],[Price/NAV]]/C118-1</f>
        <v>2.4220618024508589E-2</v>
      </c>
      <c r="E119" s="33">
        <f>E118*(1+VNQ_Table[[#This Row],[Monthly Return]])</f>
        <v>1.6272579157108049</v>
      </c>
      <c r="F119" s="33">
        <f>MAX(F118,VNQ_Table[[#This Row],[Growth]])</f>
        <v>1.7656073757584161</v>
      </c>
      <c r="G119" s="8">
        <f>VNQ_Table[[#This Row],[Growth]]/VNQ_Table[[#This Row],[High Water Mark]]-1</f>
        <v>-7.8357998469610557E-2</v>
      </c>
    </row>
    <row r="120" spans="2:7" x14ac:dyDescent="0.2">
      <c r="B120" s="24">
        <v>45992</v>
      </c>
      <c r="C120" s="25">
        <v>87.689903259999994</v>
      </c>
      <c r="D120" s="33">
        <f>VNQ_Table[[#This Row],[Price/NAV]]/C119-1</f>
        <v>-3.1202049793029429E-2</v>
      </c>
      <c r="E120" s="33">
        <f>E119*(1+VNQ_Table[[#This Row],[Monthly Return]])</f>
        <v>1.5764841331986952</v>
      </c>
      <c r="F120" s="33">
        <f>MAX(F119,VNQ_Table[[#This Row],[Growth]])</f>
        <v>1.7656073757584161</v>
      </c>
      <c r="G120" s="8">
        <f>VNQ_Table[[#This Row],[Growth]]/VNQ_Table[[#This Row],[High Water Mark]]-1</f>
        <v>-0.10711511809270913</v>
      </c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23"/>
  <sheetViews>
    <sheetView workbookViewId="0">
      <selection activeCell="J27" sqref="J27"/>
    </sheetView>
  </sheetViews>
  <sheetFormatPr baseColWidth="10" defaultColWidth="8.83203125" defaultRowHeight="15" x14ac:dyDescent="0.2"/>
  <cols>
    <col min="1" max="1" width="3.5" customWidth="1"/>
    <col min="2" max="7" width="15.5" customWidth="1"/>
    <col min="9" max="10" width="15.5" customWidth="1"/>
  </cols>
  <sheetData>
    <row r="1" spans="2:10" x14ac:dyDescent="0.2">
      <c r="B1" s="202" t="s">
        <v>616</v>
      </c>
      <c r="C1" s="203"/>
      <c r="D1" s="203"/>
      <c r="E1" s="203"/>
      <c r="F1" s="203"/>
      <c r="G1" s="204"/>
    </row>
    <row r="2" spans="2:10" x14ac:dyDescent="0.2">
      <c r="B2" s="36"/>
      <c r="C2" s="36"/>
      <c r="D2" s="36"/>
      <c r="E2" s="36"/>
      <c r="F2" s="36"/>
      <c r="G2" s="36"/>
      <c r="I2" s="190" t="s">
        <v>656</v>
      </c>
      <c r="J2" s="191"/>
    </row>
    <row r="3" spans="2:10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  <c r="I3" s="10" t="s">
        <v>4</v>
      </c>
      <c r="J3" s="12" t="s">
        <v>657</v>
      </c>
    </row>
    <row r="4" spans="2:10" x14ac:dyDescent="0.2">
      <c r="B4" s="22">
        <v>42370</v>
      </c>
      <c r="C4" s="23">
        <v>100</v>
      </c>
      <c r="D4" s="32">
        <v>0</v>
      </c>
      <c r="E4" s="32">
        <v>1</v>
      </c>
      <c r="F4" s="33">
        <f>MAX(F3,PE_Table[[#This Row],[Growth]])</f>
        <v>1</v>
      </c>
      <c r="G4" s="8">
        <f>PE_Table[[#This Row],[Growth]]/PE_Table[[#This Row],[High Water Mark]]-1</f>
        <v>0</v>
      </c>
      <c r="I4" s="97">
        <v>42370</v>
      </c>
      <c r="J4" s="98">
        <v>-25</v>
      </c>
    </row>
    <row r="5" spans="2:10" x14ac:dyDescent="0.2">
      <c r="B5" s="22">
        <v>42401</v>
      </c>
      <c r="C5" s="23">
        <v>100.3234714</v>
      </c>
      <c r="D5" s="33">
        <f>PE_Table[[#This Row],[Price/NAV]]/C4-1</f>
        <v>3.2347139999999719E-3</v>
      </c>
      <c r="E5" s="33">
        <f>E4*(1+PE_Table[[#This Row],[Monthly Return]])</f>
        <v>1.003234714</v>
      </c>
      <c r="F5" s="33">
        <f>MAX(F4,PE_Table[[#This Row],[Growth]])</f>
        <v>1.003234714</v>
      </c>
      <c r="G5" s="8">
        <f>PE_Table[[#This Row],[Growth]]/PE_Table[[#This Row],[High Water Mark]]-1</f>
        <v>0</v>
      </c>
      <c r="I5" s="97">
        <v>42552</v>
      </c>
      <c r="J5" s="98">
        <v>-15</v>
      </c>
    </row>
    <row r="6" spans="2:10" x14ac:dyDescent="0.2">
      <c r="B6" s="22">
        <v>42430</v>
      </c>
      <c r="C6" s="23">
        <v>102.2249795</v>
      </c>
      <c r="D6" s="33">
        <f>PE_Table[[#This Row],[Price/NAV]]/C5-1</f>
        <v>1.8953770971685158E-2</v>
      </c>
      <c r="E6" s="33">
        <f>E5*(1+PE_Table[[#This Row],[Monthly Return]])</f>
        <v>1.022249795</v>
      </c>
      <c r="F6" s="33">
        <f>MAX(F5,PE_Table[[#This Row],[Growth]])</f>
        <v>1.022249795</v>
      </c>
      <c r="G6" s="8">
        <f>PE_Table[[#This Row],[Growth]]/PE_Table[[#This Row],[High Water Mark]]-1</f>
        <v>0</v>
      </c>
      <c r="I6" s="97">
        <v>42795</v>
      </c>
      <c r="J6" s="98">
        <v>-20</v>
      </c>
    </row>
    <row r="7" spans="2:10" x14ac:dyDescent="0.2">
      <c r="B7" s="22">
        <v>42461</v>
      </c>
      <c r="C7" s="23">
        <v>105.9521633</v>
      </c>
      <c r="D7" s="33">
        <f>PE_Table[[#This Row],[Price/NAV]]/C6-1</f>
        <v>3.6460597187011334E-2</v>
      </c>
      <c r="E7" s="33">
        <f>E6*(1+PE_Table[[#This Row],[Monthly Return]])</f>
        <v>1.0595216329999999</v>
      </c>
      <c r="F7" s="33">
        <f>MAX(F6,PE_Table[[#This Row],[Growth]])</f>
        <v>1.0595216329999999</v>
      </c>
      <c r="G7" s="8">
        <f>PE_Table[[#This Row],[Growth]]/PE_Table[[#This Row],[High Water Mark]]-1</f>
        <v>0</v>
      </c>
      <c r="I7" s="97">
        <v>43101</v>
      </c>
      <c r="J7" s="98">
        <v>-10</v>
      </c>
    </row>
    <row r="8" spans="2:10" x14ac:dyDescent="0.2">
      <c r="B8" s="22">
        <v>42491</v>
      </c>
      <c r="C8" s="23">
        <v>106.0916951</v>
      </c>
      <c r="D8" s="33">
        <f>PE_Table[[#This Row],[Price/NAV]]/C7-1</f>
        <v>1.3169320536186024E-3</v>
      </c>
      <c r="E8" s="33">
        <f>E7*(1+PE_Table[[#This Row],[Monthly Return]])</f>
        <v>1.0609169509999998</v>
      </c>
      <c r="F8" s="33">
        <f>MAX(F7,PE_Table[[#This Row],[Growth]])</f>
        <v>1.0609169509999998</v>
      </c>
      <c r="G8" s="8">
        <f>PE_Table[[#This Row],[Growth]]/PE_Table[[#This Row],[High Water Mark]]-1</f>
        <v>0</v>
      </c>
      <c r="I8" s="97">
        <v>43617</v>
      </c>
      <c r="J8" s="98">
        <v>-5</v>
      </c>
    </row>
    <row r="9" spans="2:10" x14ac:dyDescent="0.2">
      <c r="B9" s="22">
        <v>42522</v>
      </c>
      <c r="C9" s="23">
        <v>106.2314456</v>
      </c>
      <c r="D9" s="33">
        <f>PE_Table[[#This Row],[Price/NAV]]/C8-1</f>
        <v>1.3172614488652368E-3</v>
      </c>
      <c r="E9" s="33">
        <f>E8*(1+PE_Table[[#This Row],[Monthly Return]])</f>
        <v>1.0623144559999997</v>
      </c>
      <c r="F9" s="33">
        <f>MAX(F8,PE_Table[[#This Row],[Growth]])</f>
        <v>1.0623144559999997</v>
      </c>
      <c r="G9" s="8">
        <f>PE_Table[[#This Row],[Growth]]/PE_Table[[#This Row],[High Water Mark]]-1</f>
        <v>0</v>
      </c>
      <c r="I9" s="97">
        <v>44256</v>
      </c>
      <c r="J9" s="98">
        <v>8</v>
      </c>
    </row>
    <row r="10" spans="2:10" x14ac:dyDescent="0.2">
      <c r="B10" s="22">
        <v>42552</v>
      </c>
      <c r="C10" s="23">
        <v>110.2240754</v>
      </c>
      <c r="D10" s="33">
        <f>PE_Table[[#This Row],[Price/NAV]]/C9-1</f>
        <v>3.7584255560577651E-2</v>
      </c>
      <c r="E10" s="33">
        <f>E9*(1+PE_Table[[#This Row],[Monthly Return]])</f>
        <v>1.1022407539999997</v>
      </c>
      <c r="F10" s="33">
        <f>MAX(F9,PE_Table[[#This Row],[Growth]])</f>
        <v>1.1022407539999997</v>
      </c>
      <c r="G10" s="8">
        <f>PE_Table[[#This Row],[Growth]]/PE_Table[[#This Row],[High Water Mark]]-1</f>
        <v>0</v>
      </c>
      <c r="I10" s="97">
        <v>44805</v>
      </c>
      <c r="J10" s="98">
        <v>15</v>
      </c>
    </row>
    <row r="11" spans="2:10" x14ac:dyDescent="0.2">
      <c r="B11" s="22">
        <v>42583</v>
      </c>
      <c r="C11" s="23">
        <v>112.5772156</v>
      </c>
      <c r="D11" s="33">
        <f>PE_Table[[#This Row],[Price/NAV]]/C10-1</f>
        <v>2.1348695296018683E-2</v>
      </c>
      <c r="E11" s="33">
        <f>E10*(1+PE_Table[[#This Row],[Monthly Return]])</f>
        <v>1.1257721559999996</v>
      </c>
      <c r="F11" s="33">
        <f>MAX(F10,PE_Table[[#This Row],[Growth]])</f>
        <v>1.1257721559999996</v>
      </c>
      <c r="G11" s="8">
        <f>PE_Table[[#This Row],[Growth]]/PE_Table[[#This Row],[High Water Mark]]-1</f>
        <v>0</v>
      </c>
      <c r="I11" s="97">
        <v>45261</v>
      </c>
      <c r="J11" s="98">
        <v>25</v>
      </c>
    </row>
    <row r="12" spans="2:10" x14ac:dyDescent="0.2">
      <c r="B12" s="22">
        <v>42614</v>
      </c>
      <c r="C12" s="23">
        <v>112.19563650000001</v>
      </c>
      <c r="D12" s="33">
        <f>PE_Table[[#This Row],[Price/NAV]]/C11-1</f>
        <v>-3.3894878103557513E-3</v>
      </c>
      <c r="E12" s="33">
        <f>E11*(1+PE_Table[[#This Row],[Monthly Return]])</f>
        <v>1.1219563649999997</v>
      </c>
      <c r="F12" s="33">
        <f>MAX(F11,PE_Table[[#This Row],[Growth]])</f>
        <v>1.1257721559999996</v>
      </c>
      <c r="G12" s="8">
        <f>PE_Table[[#This Row],[Growth]]/PE_Table[[#This Row],[High Water Mark]]-1</f>
        <v>-3.3894878103556403E-3</v>
      </c>
      <c r="I12" s="97">
        <v>45444</v>
      </c>
      <c r="J12" s="98">
        <v>35</v>
      </c>
    </row>
    <row r="13" spans="2:10" x14ac:dyDescent="0.2">
      <c r="B13" s="22">
        <v>42644</v>
      </c>
      <c r="C13" s="23">
        <v>114.08626769999999</v>
      </c>
      <c r="D13" s="33">
        <f>PE_Table[[#This Row],[Price/NAV]]/C12-1</f>
        <v>1.6851200804052446E-2</v>
      </c>
      <c r="E13" s="33">
        <f>E12*(1+PE_Table[[#This Row],[Monthly Return]])</f>
        <v>1.1408626769999994</v>
      </c>
      <c r="F13" s="33">
        <f>MAX(F12,PE_Table[[#This Row],[Growth]])</f>
        <v>1.1408626769999994</v>
      </c>
      <c r="G13" s="8">
        <f>PE_Table[[#This Row],[Growth]]/PE_Table[[#This Row],[High Water Mark]]-1</f>
        <v>0</v>
      </c>
      <c r="I13" s="99">
        <v>45992</v>
      </c>
      <c r="J13" s="100">
        <v>50</v>
      </c>
    </row>
    <row r="14" spans="2:10" x14ac:dyDescent="0.2">
      <c r="B14" s="22">
        <v>42675</v>
      </c>
      <c r="C14" s="23">
        <v>113.7133934</v>
      </c>
      <c r="D14" s="33">
        <f>PE_Table[[#This Row],[Price/NAV]]/C13-1</f>
        <v>-3.2683539177607024E-3</v>
      </c>
      <c r="E14" s="33">
        <f>E13*(1+PE_Table[[#This Row],[Monthly Return]])</f>
        <v>1.1371339339999995</v>
      </c>
      <c r="F14" s="33">
        <f>MAX(F13,PE_Table[[#This Row],[Growth]])</f>
        <v>1.1408626769999994</v>
      </c>
      <c r="G14" s="8">
        <f>PE_Table[[#This Row],[Growth]]/PE_Table[[#This Row],[High Water Mark]]-1</f>
        <v>-3.2683539177607024E-3</v>
      </c>
    </row>
    <row r="15" spans="2:10" x14ac:dyDescent="0.2">
      <c r="B15" s="22">
        <v>42705</v>
      </c>
      <c r="C15" s="23">
        <v>113.3364795</v>
      </c>
      <c r="D15" s="33">
        <f>PE_Table[[#This Row],[Price/NAV]]/C14-1</f>
        <v>-3.3145954819426837E-3</v>
      </c>
      <c r="E15" s="33">
        <f>E14*(1+PE_Table[[#This Row],[Monthly Return]])</f>
        <v>1.1333647949999994</v>
      </c>
      <c r="F15" s="33">
        <f>MAX(F14,PE_Table[[#This Row],[Growth]])</f>
        <v>1.1408626769999994</v>
      </c>
      <c r="G15" s="8">
        <f>PE_Table[[#This Row],[Growth]]/PE_Table[[#This Row],[High Water Mark]]-1</f>
        <v>-6.5721161285742236E-3</v>
      </c>
      <c r="I15" s="205" t="s">
        <v>664</v>
      </c>
      <c r="J15" s="53">
        <f>XIRR(J4:J13,I4:I13)</f>
        <v>7.8779545426368738E-2</v>
      </c>
    </row>
    <row r="16" spans="2:10" x14ac:dyDescent="0.2">
      <c r="B16" s="22">
        <v>42736</v>
      </c>
      <c r="C16" s="23">
        <v>114.5649614</v>
      </c>
      <c r="D16" s="33">
        <f>PE_Table[[#This Row],[Price/NAV]]/C15-1</f>
        <v>1.0839245275833687E-2</v>
      </c>
      <c r="E16" s="33">
        <f>E15*(1+PE_Table[[#This Row],[Monthly Return]])</f>
        <v>1.1456496139999994</v>
      </c>
      <c r="F16" s="33">
        <f>MAX(F15,PE_Table[[#This Row],[Growth]])</f>
        <v>1.1456496139999994</v>
      </c>
      <c r="G16" s="8">
        <f>PE_Table[[#This Row],[Growth]]/PE_Table[[#This Row],[High Water Mark]]-1</f>
        <v>0</v>
      </c>
      <c r="I16" s="191"/>
    </row>
    <row r="17" spans="2:9" ht="14.5" customHeight="1" x14ac:dyDescent="0.2">
      <c r="B17" s="22">
        <v>42767</v>
      </c>
      <c r="C17" s="23">
        <v>110.8684537</v>
      </c>
      <c r="D17" s="33">
        <f>PE_Table[[#This Row],[Price/NAV]]/C16-1</f>
        <v>-3.226560420243807E-2</v>
      </c>
      <c r="E17" s="33">
        <f>E16*(1+PE_Table[[#This Row],[Monthly Return]])</f>
        <v>1.1086845369999996</v>
      </c>
      <c r="F17" s="33">
        <f>MAX(F16,PE_Table[[#This Row],[Growth]])</f>
        <v>1.1456496139999994</v>
      </c>
      <c r="G17" s="8">
        <f>PE_Table[[#This Row],[Growth]]/PE_Table[[#This Row],[High Water Mark]]-1</f>
        <v>-3.2265604202437959E-2</v>
      </c>
      <c r="I17" s="191"/>
    </row>
    <row r="18" spans="2:9" x14ac:dyDescent="0.2">
      <c r="B18" s="22">
        <v>42795</v>
      </c>
      <c r="C18" s="23">
        <v>107.7088849</v>
      </c>
      <c r="D18" s="33">
        <f>PE_Table[[#This Row],[Price/NAV]]/C17-1</f>
        <v>-2.8498357238295302E-2</v>
      </c>
      <c r="E18" s="33">
        <f>E17*(1+PE_Table[[#This Row],[Monthly Return]])</f>
        <v>1.0770888489999995</v>
      </c>
      <c r="F18" s="33">
        <f>MAX(F17,PE_Table[[#This Row],[Growth]])</f>
        <v>1.1456496139999994</v>
      </c>
      <c r="G18" s="8">
        <f>PE_Table[[#This Row],[Growth]]/PE_Table[[#This Row],[High Water Mark]]-1</f>
        <v>-5.984444472566286E-2</v>
      </c>
    </row>
    <row r="19" spans="2:9" x14ac:dyDescent="0.2">
      <c r="B19" s="22">
        <v>42826</v>
      </c>
      <c r="C19" s="23">
        <v>107.143871</v>
      </c>
      <c r="D19" s="33">
        <f>PE_Table[[#This Row],[Price/NAV]]/C18-1</f>
        <v>-5.2457501581654187E-3</v>
      </c>
      <c r="E19" s="33">
        <f>E18*(1+PE_Table[[#This Row],[Monthly Return]])</f>
        <v>1.0714387099999996</v>
      </c>
      <c r="F19" s="33">
        <f>MAX(F18,PE_Table[[#This Row],[Growth]])</f>
        <v>1.1456496139999994</v>
      </c>
      <c r="G19" s="8">
        <f>PE_Table[[#This Row],[Growth]]/PE_Table[[#This Row],[High Water Mark]]-1</f>
        <v>-6.4776265878443207E-2</v>
      </c>
    </row>
    <row r="20" spans="2:9" x14ac:dyDescent="0.2">
      <c r="B20" s="22">
        <v>42856</v>
      </c>
      <c r="C20" s="23">
        <v>105.61636129999999</v>
      </c>
      <c r="D20" s="33">
        <f>PE_Table[[#This Row],[Price/NAV]]/C19-1</f>
        <v>-1.4256622294335553E-2</v>
      </c>
      <c r="E20" s="33">
        <f>E19*(1+PE_Table[[#This Row],[Monthly Return]])</f>
        <v>1.0561636129999994</v>
      </c>
      <c r="F20" s="33">
        <f>MAX(F19,PE_Table[[#This Row],[Growth]])</f>
        <v>1.1456496139999994</v>
      </c>
      <c r="G20" s="8">
        <f>PE_Table[[#This Row],[Growth]]/PE_Table[[#This Row],[High Water Mark]]-1</f>
        <v>-7.810939741651246E-2</v>
      </c>
    </row>
    <row r="21" spans="2:9" x14ac:dyDescent="0.2">
      <c r="B21" s="22">
        <v>42887</v>
      </c>
      <c r="C21" s="23">
        <v>106.9138526</v>
      </c>
      <c r="D21" s="33">
        <f>PE_Table[[#This Row],[Price/NAV]]/C20-1</f>
        <v>1.2284946044623934E-2</v>
      </c>
      <c r="E21" s="33">
        <f>E20*(1+PE_Table[[#This Row],[Monthly Return]])</f>
        <v>1.0691385259999995</v>
      </c>
      <c r="F21" s="33">
        <f>MAX(F20,PE_Table[[#This Row],[Growth]])</f>
        <v>1.1456496139999994</v>
      </c>
      <c r="G21" s="8">
        <f>PE_Table[[#This Row],[Growth]]/PE_Table[[#This Row],[High Water Mark]]-1</f>
        <v>-6.6784021104728475E-2</v>
      </c>
    </row>
    <row r="22" spans="2:9" x14ac:dyDescent="0.2">
      <c r="B22" s="22">
        <v>42917</v>
      </c>
      <c r="C22" s="23">
        <v>105.6137287</v>
      </c>
      <c r="D22" s="33">
        <f>PE_Table[[#This Row],[Price/NAV]]/C21-1</f>
        <v>-1.2160481250864663E-2</v>
      </c>
      <c r="E22" s="33">
        <f>E21*(1+PE_Table[[#This Row],[Monthly Return]])</f>
        <v>1.0561372869999994</v>
      </c>
      <c r="F22" s="33">
        <f>MAX(F21,PE_Table[[#This Row],[Growth]])</f>
        <v>1.1456496139999994</v>
      </c>
      <c r="G22" s="8">
        <f>PE_Table[[#This Row],[Growth]]/PE_Table[[#This Row],[High Water Mark]]-1</f>
        <v>-7.8132376519091662E-2</v>
      </c>
    </row>
    <row r="23" spans="2:9" x14ac:dyDescent="0.2">
      <c r="B23" s="22">
        <v>42948</v>
      </c>
      <c r="C23" s="23">
        <v>103.2642379</v>
      </c>
      <c r="D23" s="33">
        <f>PE_Table[[#This Row],[Price/NAV]]/C22-1</f>
        <v>-2.2246073772036024E-2</v>
      </c>
      <c r="E23" s="33">
        <f>E22*(1+PE_Table[[#This Row],[Monthly Return]])</f>
        <v>1.0326423789999994</v>
      </c>
      <c r="F23" s="33">
        <f>MAX(F22,PE_Table[[#This Row],[Growth]])</f>
        <v>1.1456496139999994</v>
      </c>
      <c r="G23" s="8">
        <f>PE_Table[[#This Row],[Growth]]/PE_Table[[#This Row],[High Water Mark]]-1</f>
        <v>-9.8640311679099479E-2</v>
      </c>
    </row>
    <row r="24" spans="2:9" x14ac:dyDescent="0.2">
      <c r="B24" s="22">
        <v>42979</v>
      </c>
      <c r="C24" s="23">
        <v>106.9108054</v>
      </c>
      <c r="D24" s="33">
        <f>PE_Table[[#This Row],[Price/NAV]]/C23-1</f>
        <v>3.5312975471056163E-2</v>
      </c>
      <c r="E24" s="33">
        <f>E23*(1+PE_Table[[#This Row],[Monthly Return]])</f>
        <v>1.0691080539999995</v>
      </c>
      <c r="F24" s="33">
        <f>MAX(F23,PE_Table[[#This Row],[Growth]])</f>
        <v>1.1456496139999994</v>
      </c>
      <c r="G24" s="8">
        <f>PE_Table[[#This Row],[Growth]]/PE_Table[[#This Row],[High Water Mark]]-1</f>
        <v>-6.6810619114824665E-2</v>
      </c>
    </row>
    <row r="25" spans="2:9" x14ac:dyDescent="0.2">
      <c r="B25" s="22">
        <v>43009</v>
      </c>
      <c r="C25" s="23">
        <v>107.06951170000001</v>
      </c>
      <c r="D25" s="33">
        <f>PE_Table[[#This Row],[Price/NAV]]/C24-1</f>
        <v>1.4844738977151106E-3</v>
      </c>
      <c r="E25" s="33">
        <f>E24*(1+PE_Table[[#This Row],[Monthly Return]])</f>
        <v>1.0706951169999994</v>
      </c>
      <c r="F25" s="33">
        <f>MAX(F24,PE_Table[[#This Row],[Growth]])</f>
        <v>1.1456496139999994</v>
      </c>
      <c r="G25" s="8">
        <f>PE_Table[[#This Row],[Growth]]/PE_Table[[#This Row],[High Water Mark]]-1</f>
        <v>-6.5425323837275839E-2</v>
      </c>
    </row>
    <row r="26" spans="2:9" x14ac:dyDescent="0.2">
      <c r="B26" s="22">
        <v>43040</v>
      </c>
      <c r="C26" s="23">
        <v>107.856533</v>
      </c>
      <c r="D26" s="33">
        <f>PE_Table[[#This Row],[Price/NAV]]/C25-1</f>
        <v>7.3505640168152198E-3</v>
      </c>
      <c r="E26" s="33">
        <f>E25*(1+PE_Table[[#This Row],[Monthly Return]])</f>
        <v>1.0785653299999993</v>
      </c>
      <c r="F26" s="33">
        <f>MAX(F25,PE_Table[[#This Row],[Growth]])</f>
        <v>1.1456496139999994</v>
      </c>
      <c r="G26" s="8">
        <f>PE_Table[[#This Row],[Growth]]/PE_Table[[#This Row],[High Water Mark]]-1</f>
        <v>-5.8555672851647422E-2</v>
      </c>
    </row>
    <row r="27" spans="2:9" x14ac:dyDescent="0.2">
      <c r="B27" s="22">
        <v>43070</v>
      </c>
      <c r="C27" s="23">
        <v>105.43030419999999</v>
      </c>
      <c r="D27" s="33">
        <f>PE_Table[[#This Row],[Price/NAV]]/C26-1</f>
        <v>-2.2494963749669195E-2</v>
      </c>
      <c r="E27" s="33">
        <f>E26*(1+PE_Table[[#This Row],[Monthly Return]])</f>
        <v>1.0543030419999992</v>
      </c>
      <c r="F27" s="33">
        <f>MAX(F26,PE_Table[[#This Row],[Growth]])</f>
        <v>1.1456496139999994</v>
      </c>
      <c r="G27" s="8">
        <f>PE_Table[[#This Row],[Growth]]/PE_Table[[#This Row],[High Water Mark]]-1</f>
        <v>-7.9733428863181355E-2</v>
      </c>
    </row>
    <row r="28" spans="2:9" x14ac:dyDescent="0.2">
      <c r="B28" s="22">
        <v>43101</v>
      </c>
      <c r="C28" s="23">
        <v>104.9149973</v>
      </c>
      <c r="D28" s="33">
        <f>PE_Table[[#This Row],[Price/NAV]]/C27-1</f>
        <v>-4.8876544927961563E-3</v>
      </c>
      <c r="E28" s="33">
        <f>E27*(1+PE_Table[[#This Row],[Monthly Return]])</f>
        <v>1.0491499729999993</v>
      </c>
      <c r="F28" s="33">
        <f>MAX(F27,PE_Table[[#This Row],[Growth]])</f>
        <v>1.1456496139999994</v>
      </c>
      <c r="G28" s="8">
        <f>PE_Table[[#This Row],[Growth]]/PE_Table[[#This Row],[High Water Mark]]-1</f>
        <v>-8.423137390416835E-2</v>
      </c>
    </row>
    <row r="29" spans="2:9" x14ac:dyDescent="0.2">
      <c r="B29" s="22">
        <v>43132</v>
      </c>
      <c r="C29" s="23">
        <v>105.7772361</v>
      </c>
      <c r="D29" s="33">
        <f>PE_Table[[#This Row],[Price/NAV]]/C28-1</f>
        <v>8.218451338605659E-3</v>
      </c>
      <c r="E29" s="33">
        <f>E28*(1+PE_Table[[#This Row],[Monthly Return]])</f>
        <v>1.0577723609999994</v>
      </c>
      <c r="F29" s="33">
        <f>MAX(F28,PE_Table[[#This Row],[Growth]])</f>
        <v>1.1456496139999994</v>
      </c>
      <c r="G29" s="8">
        <f>PE_Table[[#This Row],[Growth]]/PE_Table[[#This Row],[High Water Mark]]-1</f>
        <v>-7.670517401317789E-2</v>
      </c>
    </row>
    <row r="30" spans="2:9" x14ac:dyDescent="0.2">
      <c r="B30" s="22">
        <v>43160</v>
      </c>
      <c r="C30" s="23">
        <v>103.97692120000001</v>
      </c>
      <c r="D30" s="33">
        <f>PE_Table[[#This Row],[Price/NAV]]/C29-1</f>
        <v>-1.7019870875601306E-2</v>
      </c>
      <c r="E30" s="33">
        <f>E29*(1+PE_Table[[#This Row],[Monthly Return]])</f>
        <v>1.0397692119999995</v>
      </c>
      <c r="F30" s="33">
        <f>MAX(F29,PE_Table[[#This Row],[Growth]])</f>
        <v>1.1456496139999994</v>
      </c>
      <c r="G30" s="8">
        <f>PE_Table[[#This Row],[Growth]]/PE_Table[[#This Row],[High Water Mark]]-1</f>
        <v>-9.241953273158432E-2</v>
      </c>
    </row>
    <row r="31" spans="2:9" x14ac:dyDescent="0.2">
      <c r="B31" s="22">
        <v>43191</v>
      </c>
      <c r="C31" s="23">
        <v>105.3820612</v>
      </c>
      <c r="D31" s="33">
        <f>PE_Table[[#This Row],[Price/NAV]]/C30-1</f>
        <v>1.3513960442213868E-2</v>
      </c>
      <c r="E31" s="33">
        <f>E30*(1+PE_Table[[#This Row],[Monthly Return]])</f>
        <v>1.0538206119999993</v>
      </c>
      <c r="F31" s="33">
        <f>MAX(F30,PE_Table[[#This Row],[Growth]])</f>
        <v>1.1456496139999994</v>
      </c>
      <c r="G31" s="8">
        <f>PE_Table[[#This Row],[Growth]]/PE_Table[[#This Row],[High Water Mark]]-1</f>
        <v>-8.0154526198793041E-2</v>
      </c>
    </row>
    <row r="32" spans="2:9" x14ac:dyDescent="0.2">
      <c r="B32" s="22">
        <v>43221</v>
      </c>
      <c r="C32" s="23">
        <v>104.74842270000001</v>
      </c>
      <c r="D32" s="33">
        <f>PE_Table[[#This Row],[Price/NAV]]/C31-1</f>
        <v>-6.0127738325163049E-3</v>
      </c>
      <c r="E32" s="33">
        <f>E31*(1+PE_Table[[#This Row],[Monthly Return]])</f>
        <v>1.0474842269999993</v>
      </c>
      <c r="F32" s="33">
        <f>MAX(F31,PE_Table[[#This Row],[Growth]])</f>
        <v>1.1456496139999994</v>
      </c>
      <c r="G32" s="8">
        <f>PE_Table[[#This Row],[Growth]]/PE_Table[[#This Row],[High Water Mark]]-1</f>
        <v>-8.5685348993623567E-2</v>
      </c>
    </row>
    <row r="33" spans="2:7" x14ac:dyDescent="0.2">
      <c r="B33" s="22">
        <v>43252</v>
      </c>
      <c r="C33" s="23">
        <v>104.76582399999999</v>
      </c>
      <c r="D33" s="33">
        <f>PE_Table[[#This Row],[Price/NAV]]/C32-1</f>
        <v>1.6612469716914546E-4</v>
      </c>
      <c r="E33" s="33">
        <f>E32*(1+PE_Table[[#This Row],[Monthly Return]])</f>
        <v>1.0476582399999992</v>
      </c>
      <c r="F33" s="33">
        <f>MAX(F32,PE_Table[[#This Row],[Growth]])</f>
        <v>1.1456496139999994</v>
      </c>
      <c r="G33" s="8">
        <f>PE_Table[[#This Row],[Growth]]/PE_Table[[#This Row],[High Water Mark]]-1</f>
        <v>-8.5533458749107782E-2</v>
      </c>
    </row>
    <row r="34" spans="2:7" x14ac:dyDescent="0.2">
      <c r="B34" s="22">
        <v>43282</v>
      </c>
      <c r="C34" s="23">
        <v>104.1336532</v>
      </c>
      <c r="D34" s="33">
        <f>PE_Table[[#This Row],[Price/NAV]]/C33-1</f>
        <v>-6.0341318940039246E-3</v>
      </c>
      <c r="E34" s="33">
        <f>E33*(1+PE_Table[[#This Row],[Monthly Return]])</f>
        <v>1.0413365319999992</v>
      </c>
      <c r="F34" s="33">
        <f>MAX(F33,PE_Table[[#This Row],[Growth]])</f>
        <v>1.1456496139999994</v>
      </c>
      <c r="G34" s="8">
        <f>PE_Table[[#This Row],[Growth]]/PE_Table[[#This Row],[High Water Mark]]-1</f>
        <v>-9.1051470471669282E-2</v>
      </c>
    </row>
    <row r="35" spans="2:7" x14ac:dyDescent="0.2">
      <c r="B35" s="22">
        <v>43313</v>
      </c>
      <c r="C35" s="23">
        <v>108.616145</v>
      </c>
      <c r="D35" s="33">
        <f>PE_Table[[#This Row],[Price/NAV]]/C34-1</f>
        <v>4.3045563679504184E-2</v>
      </c>
      <c r="E35" s="33">
        <f>E34*(1+PE_Table[[#This Row],[Monthly Return]])</f>
        <v>1.0861614499999992</v>
      </c>
      <c r="F35" s="33">
        <f>MAX(F34,PE_Table[[#This Row],[Growth]])</f>
        <v>1.1456496139999994</v>
      </c>
      <c r="G35" s="8">
        <f>PE_Table[[#This Row],[Growth]]/PE_Table[[#This Row],[High Water Mark]]-1</f>
        <v>-5.1925268662465829E-2</v>
      </c>
    </row>
    <row r="36" spans="2:7" x14ac:dyDescent="0.2">
      <c r="B36" s="22">
        <v>43344</v>
      </c>
      <c r="C36" s="23">
        <v>109.2385215</v>
      </c>
      <c r="D36" s="33">
        <f>PE_Table[[#This Row],[Price/NAV]]/C35-1</f>
        <v>5.7300551405135014E-3</v>
      </c>
      <c r="E36" s="33">
        <f>E35*(1+PE_Table[[#This Row],[Monthly Return]])</f>
        <v>1.0923852149999993</v>
      </c>
      <c r="F36" s="33">
        <f>MAX(F35,PE_Table[[#This Row],[Growth]])</f>
        <v>1.1456496139999994</v>
      </c>
      <c r="G36" s="8">
        <f>PE_Table[[#This Row],[Growth]]/PE_Table[[#This Row],[High Water Mark]]-1</f>
        <v>-4.6492748174574161E-2</v>
      </c>
    </row>
    <row r="37" spans="2:7" x14ac:dyDescent="0.2">
      <c r="B37" s="22">
        <v>43374</v>
      </c>
      <c r="C37" s="23">
        <v>107.5830971</v>
      </c>
      <c r="D37" s="33">
        <f>PE_Table[[#This Row],[Price/NAV]]/C36-1</f>
        <v>-1.5154218285533982E-2</v>
      </c>
      <c r="E37" s="33">
        <f>E36*(1+PE_Table[[#This Row],[Monthly Return]])</f>
        <v>1.0758309709999994</v>
      </c>
      <c r="F37" s="33">
        <f>MAX(F36,PE_Table[[#This Row],[Growth]])</f>
        <v>1.1456496139999994</v>
      </c>
      <c r="G37" s="8">
        <f>PE_Table[[#This Row],[Growth]]/PE_Table[[#This Row],[High Water Mark]]-1</f>
        <v>-6.0942405205576367E-2</v>
      </c>
    </row>
    <row r="38" spans="2:7" x14ac:dyDescent="0.2">
      <c r="B38" s="22">
        <v>43405</v>
      </c>
      <c r="C38" s="23">
        <v>109.99843420000001</v>
      </c>
      <c r="D38" s="33">
        <f>PE_Table[[#This Row],[Price/NAV]]/C37-1</f>
        <v>2.2450897632691369E-2</v>
      </c>
      <c r="E38" s="33">
        <f>E37*(1+PE_Table[[#This Row],[Monthly Return]])</f>
        <v>1.0999843419999993</v>
      </c>
      <c r="F38" s="33">
        <f>MAX(F37,PE_Table[[#This Row],[Growth]])</f>
        <v>1.1456496139999994</v>
      </c>
      <c r="G38" s="8">
        <f>PE_Table[[#This Row],[Growth]]/PE_Table[[#This Row],[High Water Mark]]-1</f>
        <v>-3.98597192736454E-2</v>
      </c>
    </row>
    <row r="39" spans="2:7" x14ac:dyDescent="0.2">
      <c r="B39" s="22">
        <v>43435</v>
      </c>
      <c r="C39" s="23">
        <v>107.972607</v>
      </c>
      <c r="D39" s="33">
        <f>PE_Table[[#This Row],[Price/NAV]]/C38-1</f>
        <v>-1.8416873064907802E-2</v>
      </c>
      <c r="E39" s="33">
        <f>E38*(1+PE_Table[[#This Row],[Monthly Return]])</f>
        <v>1.0797260699999991</v>
      </c>
      <c r="F39" s="33">
        <f>MAX(F38,PE_Table[[#This Row],[Growth]])</f>
        <v>1.1456496139999994</v>
      </c>
      <c r="G39" s="8">
        <f>PE_Table[[#This Row],[Growth]]/PE_Table[[#This Row],[High Water Mark]]-1</f>
        <v>-5.7542500948287612E-2</v>
      </c>
    </row>
    <row r="40" spans="2:7" x14ac:dyDescent="0.2">
      <c r="B40" s="22">
        <v>43466</v>
      </c>
      <c r="C40" s="23">
        <v>109.0714736</v>
      </c>
      <c r="D40" s="33">
        <f>PE_Table[[#This Row],[Price/NAV]]/C39-1</f>
        <v>1.0177272092726231E-2</v>
      </c>
      <c r="E40" s="33">
        <f>E39*(1+PE_Table[[#This Row],[Monthly Return]])</f>
        <v>1.0907147359999991</v>
      </c>
      <c r="F40" s="33">
        <f>MAX(F39,PE_Table[[#This Row],[Growth]])</f>
        <v>1.1456496139999994</v>
      </c>
      <c r="G40" s="8">
        <f>PE_Table[[#This Row],[Growth]]/PE_Table[[#This Row],[High Water Mark]]-1</f>
        <v>-4.7950854544608013E-2</v>
      </c>
    </row>
    <row r="41" spans="2:7" x14ac:dyDescent="0.2">
      <c r="B41" s="22">
        <v>43497</v>
      </c>
      <c r="C41" s="23">
        <v>105.4510203</v>
      </c>
      <c r="D41" s="33">
        <f>PE_Table[[#This Row],[Price/NAV]]/C40-1</f>
        <v>-3.319340227562495E-2</v>
      </c>
      <c r="E41" s="33">
        <f>E40*(1+PE_Table[[#This Row],[Monthly Return]])</f>
        <v>1.0545102029999991</v>
      </c>
      <c r="F41" s="33">
        <f>MAX(F40,PE_Table[[#This Row],[Growth]])</f>
        <v>1.1456496139999994</v>
      </c>
      <c r="G41" s="8">
        <f>PE_Table[[#This Row],[Growth]]/PE_Table[[#This Row],[High Water Mark]]-1</f>
        <v>-7.9552604815873784E-2</v>
      </c>
    </row>
    <row r="42" spans="2:7" x14ac:dyDescent="0.2">
      <c r="B42" s="22">
        <v>43525</v>
      </c>
      <c r="C42" s="23">
        <v>103.28255489999999</v>
      </c>
      <c r="D42" s="33">
        <f>PE_Table[[#This Row],[Price/NAV]]/C41-1</f>
        <v>-2.0563721373495381E-2</v>
      </c>
      <c r="E42" s="33">
        <f>E41*(1+PE_Table[[#This Row],[Monthly Return]])</f>
        <v>1.0328255489999991</v>
      </c>
      <c r="F42" s="33">
        <f>MAX(F41,PE_Table[[#This Row],[Growth]])</f>
        <v>1.1456496139999994</v>
      </c>
      <c r="G42" s="8">
        <f>PE_Table[[#This Row],[Growth]]/PE_Table[[#This Row],[High Water Mark]]-1</f>
        <v>-9.848042858939976E-2</v>
      </c>
    </row>
    <row r="43" spans="2:7" x14ac:dyDescent="0.2">
      <c r="B43" s="22">
        <v>43556</v>
      </c>
      <c r="C43" s="23">
        <v>104.30889689999999</v>
      </c>
      <c r="D43" s="33">
        <f>PE_Table[[#This Row],[Price/NAV]]/C42-1</f>
        <v>9.9372251295848368E-3</v>
      </c>
      <c r="E43" s="33">
        <f>E42*(1+PE_Table[[#This Row],[Monthly Return]])</f>
        <v>1.0430889689999991</v>
      </c>
      <c r="F43" s="33">
        <f>MAX(F42,PE_Table[[#This Row],[Growth]])</f>
        <v>1.1456496139999994</v>
      </c>
      <c r="G43" s="8">
        <f>PE_Table[[#This Row],[Growth]]/PE_Table[[#This Row],[High Water Mark]]-1</f>
        <v>-8.9521825649565789E-2</v>
      </c>
    </row>
    <row r="44" spans="2:7" x14ac:dyDescent="0.2">
      <c r="B44" s="22">
        <v>43586</v>
      </c>
      <c r="C44" s="23">
        <v>106.475323</v>
      </c>
      <c r="D44" s="33">
        <f>PE_Table[[#This Row],[Price/NAV]]/C43-1</f>
        <v>2.0769331901543842E-2</v>
      </c>
      <c r="E44" s="33">
        <f>E43*(1+PE_Table[[#This Row],[Monthly Return]])</f>
        <v>1.0647532299999993</v>
      </c>
      <c r="F44" s="33">
        <f>MAX(F43,PE_Table[[#This Row],[Growth]])</f>
        <v>1.1456496139999994</v>
      </c>
      <c r="G44" s="8">
        <f>PE_Table[[#This Row],[Growth]]/PE_Table[[#This Row],[High Water Mark]]-1</f>
        <v>-7.0611802257369849E-2</v>
      </c>
    </row>
    <row r="45" spans="2:7" x14ac:dyDescent="0.2">
      <c r="B45" s="22">
        <v>43617</v>
      </c>
      <c r="C45" s="23">
        <v>107.4791048</v>
      </c>
      <c r="D45" s="33">
        <f>PE_Table[[#This Row],[Price/NAV]]/C44-1</f>
        <v>9.4273656253665017E-3</v>
      </c>
      <c r="E45" s="33">
        <f>E44*(1+PE_Table[[#This Row],[Monthly Return]])</f>
        <v>1.0747910479999994</v>
      </c>
      <c r="F45" s="33">
        <f>MAX(F44,PE_Table[[#This Row],[Growth]])</f>
        <v>1.1456496139999994</v>
      </c>
      <c r="G45" s="8">
        <f>PE_Table[[#This Row],[Growth]]/PE_Table[[#This Row],[High Water Mark]]-1</f>
        <v>-6.1850119909349632E-2</v>
      </c>
    </row>
    <row r="46" spans="2:7" x14ac:dyDescent="0.2">
      <c r="B46" s="22">
        <v>43647</v>
      </c>
      <c r="C46" s="23">
        <v>107.8753839</v>
      </c>
      <c r="D46" s="33">
        <f>PE_Table[[#This Row],[Price/NAV]]/C45-1</f>
        <v>3.6870338726529006E-3</v>
      </c>
      <c r="E46" s="33">
        <f>E45*(1+PE_Table[[#This Row],[Monthly Return]])</f>
        <v>1.0787538389999995</v>
      </c>
      <c r="F46" s="33">
        <f>MAX(F45,PE_Table[[#This Row],[Growth]])</f>
        <v>1.1456496139999994</v>
      </c>
      <c r="G46" s="8">
        <f>PE_Table[[#This Row],[Growth]]/PE_Table[[#This Row],[High Water Mark]]-1</f>
        <v>-5.8391129523830076E-2</v>
      </c>
    </row>
    <row r="47" spans="2:7" x14ac:dyDescent="0.2">
      <c r="B47" s="22">
        <v>43678</v>
      </c>
      <c r="C47" s="23">
        <v>107.8730027</v>
      </c>
      <c r="D47" s="33">
        <f>PE_Table[[#This Row],[Price/NAV]]/C46-1</f>
        <v>-2.2073617853446414E-5</v>
      </c>
      <c r="E47" s="33">
        <f>E46*(1+PE_Table[[#This Row],[Monthly Return]])</f>
        <v>1.0787300269999995</v>
      </c>
      <c r="F47" s="33">
        <f>MAX(F46,PE_Table[[#This Row],[Growth]])</f>
        <v>1.1456496139999994</v>
      </c>
      <c r="G47" s="8">
        <f>PE_Table[[#This Row],[Growth]]/PE_Table[[#This Row],[High Water Mark]]-1</f>
        <v>-5.8411914238204354E-2</v>
      </c>
    </row>
    <row r="48" spans="2:7" x14ac:dyDescent="0.2">
      <c r="B48" s="22">
        <v>43709</v>
      </c>
      <c r="C48" s="23">
        <v>105.33038860000001</v>
      </c>
      <c r="D48" s="33">
        <f>PE_Table[[#This Row],[Price/NAV]]/C47-1</f>
        <v>-2.3570439649956976E-2</v>
      </c>
      <c r="E48" s="33">
        <f>E47*(1+PE_Table[[#This Row],[Monthly Return]])</f>
        <v>1.0533038859999997</v>
      </c>
      <c r="F48" s="33">
        <f>MAX(F47,PE_Table[[#This Row],[Growth]])</f>
        <v>1.1456496139999994</v>
      </c>
      <c r="G48" s="8">
        <f>PE_Table[[#This Row],[Growth]]/PE_Table[[#This Row],[High Water Mark]]-1</f>
        <v>-8.0605559388771231E-2</v>
      </c>
    </row>
    <row r="49" spans="2:7" x14ac:dyDescent="0.2">
      <c r="B49" s="22">
        <v>43739</v>
      </c>
      <c r="C49" s="23">
        <v>104.4459415</v>
      </c>
      <c r="D49" s="33">
        <f>PE_Table[[#This Row],[Price/NAV]]/C48-1</f>
        <v>-8.3968844296089529E-3</v>
      </c>
      <c r="E49" s="33">
        <f>E48*(1+PE_Table[[#This Row],[Monthly Return]])</f>
        <v>1.0444594149999997</v>
      </c>
      <c r="F49" s="33">
        <f>MAX(F48,PE_Table[[#This Row],[Growth]])</f>
        <v>1.1456496139999994</v>
      </c>
      <c r="G49" s="8">
        <f>PE_Table[[#This Row],[Growth]]/PE_Table[[#This Row],[High Water Mark]]-1</f>
        <v>-8.8325608251808574E-2</v>
      </c>
    </row>
    <row r="50" spans="2:7" x14ac:dyDescent="0.2">
      <c r="B50" s="22">
        <v>43770</v>
      </c>
      <c r="C50" s="23">
        <v>104.1103801</v>
      </c>
      <c r="D50" s="33">
        <f>PE_Table[[#This Row],[Price/NAV]]/C49-1</f>
        <v>-3.21277586453661E-3</v>
      </c>
      <c r="E50" s="33">
        <f>E49*(1+PE_Table[[#This Row],[Monthly Return]])</f>
        <v>1.0411038009999998</v>
      </c>
      <c r="F50" s="33">
        <f>MAX(F49,PE_Table[[#This Row],[Growth]])</f>
        <v>1.1456496139999994</v>
      </c>
      <c r="G50" s="8">
        <f>PE_Table[[#This Row],[Growth]]/PE_Table[[#This Row],[High Water Mark]]-1</f>
        <v>-9.1254613733933287E-2</v>
      </c>
    </row>
    <row r="51" spans="2:7" x14ac:dyDescent="0.2">
      <c r="B51" s="22">
        <v>43800</v>
      </c>
      <c r="C51" s="23">
        <v>106.9361904</v>
      </c>
      <c r="D51" s="33">
        <f>PE_Table[[#This Row],[Price/NAV]]/C50-1</f>
        <v>2.714244532856136E-2</v>
      </c>
      <c r="E51" s="33">
        <f>E50*(1+PE_Table[[#This Row],[Monthly Return]])</f>
        <v>1.0693619039999998</v>
      </c>
      <c r="F51" s="33">
        <f>MAX(F50,PE_Table[[#This Row],[Growth]])</f>
        <v>1.1456496139999994</v>
      </c>
      <c r="G51" s="8">
        <f>PE_Table[[#This Row],[Growth]]/PE_Table[[#This Row],[High Water Mark]]-1</f>
        <v>-6.6589041769624102E-2</v>
      </c>
    </row>
    <row r="52" spans="2:7" x14ac:dyDescent="0.2">
      <c r="B52" s="22">
        <v>43831</v>
      </c>
      <c r="C52" s="23">
        <v>108.3127121</v>
      </c>
      <c r="D52" s="33">
        <f>PE_Table[[#This Row],[Price/NAV]]/C51-1</f>
        <v>1.2872365238101757E-2</v>
      </c>
      <c r="E52" s="33">
        <f>E51*(1+PE_Table[[#This Row],[Monthly Return]])</f>
        <v>1.0831271209999997</v>
      </c>
      <c r="F52" s="33">
        <f>MAX(F51,PE_Table[[#This Row],[Growth]])</f>
        <v>1.1456496139999994</v>
      </c>
      <c r="G52" s="8">
        <f>PE_Table[[#This Row],[Growth]]/PE_Table[[#This Row],[High Water Mark]]-1</f>
        <v>-5.457383499803603E-2</v>
      </c>
    </row>
    <row r="53" spans="2:7" x14ac:dyDescent="0.2">
      <c r="B53" s="22">
        <v>43862</v>
      </c>
      <c r="C53" s="23">
        <v>105.1433952</v>
      </c>
      <c r="D53" s="33">
        <f>PE_Table[[#This Row],[Price/NAV]]/C52-1</f>
        <v>-2.9260802712371525E-2</v>
      </c>
      <c r="E53" s="33">
        <f>E52*(1+PE_Table[[#This Row],[Monthly Return]])</f>
        <v>1.0514339519999998</v>
      </c>
      <c r="F53" s="33">
        <f>MAX(F52,PE_Table[[#This Row],[Growth]])</f>
        <v>1.1456496139999994</v>
      </c>
      <c r="G53" s="8">
        <f>PE_Table[[#This Row],[Growth]]/PE_Table[[#This Row],[High Water Mark]]-1</f>
        <v>-8.2237763491272542E-2</v>
      </c>
    </row>
    <row r="54" spans="2:7" x14ac:dyDescent="0.2">
      <c r="B54" s="22">
        <v>43891</v>
      </c>
      <c r="C54" s="23">
        <v>106.45576130000001</v>
      </c>
      <c r="D54" s="33">
        <f>PE_Table[[#This Row],[Price/NAV]]/C53-1</f>
        <v>1.2481678925277961E-2</v>
      </c>
      <c r="E54" s="33">
        <f>E53*(1+PE_Table[[#This Row],[Monthly Return]])</f>
        <v>1.0645576129999998</v>
      </c>
      <c r="F54" s="33">
        <f>MAX(F53,PE_Table[[#This Row],[Growth]])</f>
        <v>1.1456496139999994</v>
      </c>
      <c r="G54" s="8">
        <f>PE_Table[[#This Row],[Growth]]/PE_Table[[#This Row],[High Water Mark]]-1</f>
        <v>-7.0782549925425653E-2</v>
      </c>
    </row>
    <row r="55" spans="2:7" x14ac:dyDescent="0.2">
      <c r="B55" s="22">
        <v>43922</v>
      </c>
      <c r="C55" s="23">
        <v>106.2746113</v>
      </c>
      <c r="D55" s="33">
        <f>PE_Table[[#This Row],[Price/NAV]]/C54-1</f>
        <v>-1.7016458084359032E-3</v>
      </c>
      <c r="E55" s="33">
        <f>E54*(1+PE_Table[[#This Row],[Monthly Return]])</f>
        <v>1.0627461129999998</v>
      </c>
      <c r="F55" s="33">
        <f>MAX(F54,PE_Table[[#This Row],[Growth]])</f>
        <v>1.1456496139999994</v>
      </c>
      <c r="G55" s="8">
        <f>PE_Table[[#This Row],[Growth]]/PE_Table[[#This Row],[High Water Mark]]-1</f>
        <v>-7.2363748904470615E-2</v>
      </c>
    </row>
    <row r="56" spans="2:7" x14ac:dyDescent="0.2">
      <c r="B56" s="22">
        <v>43952</v>
      </c>
      <c r="C56" s="23">
        <v>105.47346659999999</v>
      </c>
      <c r="D56" s="33">
        <f>PE_Table[[#This Row],[Price/NAV]]/C55-1</f>
        <v>-7.5384392396268263E-3</v>
      </c>
      <c r="E56" s="33">
        <f>E55*(1+PE_Table[[#This Row],[Monthly Return]])</f>
        <v>1.0547346659999997</v>
      </c>
      <c r="F56" s="33">
        <f>MAX(F55,PE_Table[[#This Row],[Growth]])</f>
        <v>1.1456496139999994</v>
      </c>
      <c r="G56" s="8">
        <f>PE_Table[[#This Row],[Growth]]/PE_Table[[#This Row],[High Water Mark]]-1</f>
        <v>-7.9356678419829518E-2</v>
      </c>
    </row>
    <row r="57" spans="2:7" x14ac:dyDescent="0.2">
      <c r="B57" s="22">
        <v>43983</v>
      </c>
      <c r="C57" s="23">
        <v>107.3966197</v>
      </c>
      <c r="D57" s="33">
        <f>PE_Table[[#This Row],[Price/NAV]]/C56-1</f>
        <v>1.8233525093978464E-2</v>
      </c>
      <c r="E57" s="33">
        <f>E56*(1+PE_Table[[#This Row],[Monthly Return]])</f>
        <v>1.0739661969999996</v>
      </c>
      <c r="F57" s="33">
        <f>MAX(F56,PE_Table[[#This Row],[Growth]])</f>
        <v>1.1456496139999994</v>
      </c>
      <c r="G57" s="8">
        <f>PE_Table[[#This Row],[Growth]]/PE_Table[[#This Row],[High Water Mark]]-1</f>
        <v>-6.2570105313193847E-2</v>
      </c>
    </row>
    <row r="58" spans="2:7" x14ac:dyDescent="0.2">
      <c r="B58" s="22">
        <v>44013</v>
      </c>
      <c r="C58" s="23">
        <v>110.2555167</v>
      </c>
      <c r="D58" s="33">
        <f>PE_Table[[#This Row],[Price/NAV]]/C57-1</f>
        <v>2.6619990535884597E-2</v>
      </c>
      <c r="E58" s="33">
        <f>E57*(1+PE_Table[[#This Row],[Monthly Return]])</f>
        <v>1.1025551669999996</v>
      </c>
      <c r="F58" s="33">
        <f>MAX(F57,PE_Table[[#This Row],[Growth]])</f>
        <v>1.1456496139999994</v>
      </c>
      <c r="G58" s="8">
        <f>PE_Table[[#This Row],[Growth]]/PE_Table[[#This Row],[High Water Mark]]-1</f>
        <v>-3.7615730388575797E-2</v>
      </c>
    </row>
    <row r="59" spans="2:7" x14ac:dyDescent="0.2">
      <c r="B59" s="22">
        <v>44044</v>
      </c>
      <c r="C59" s="23">
        <v>112.9706252</v>
      </c>
      <c r="D59" s="33">
        <f>PE_Table[[#This Row],[Price/NAV]]/C58-1</f>
        <v>2.4625602248889544E-2</v>
      </c>
      <c r="E59" s="33">
        <f>E58*(1+PE_Table[[#This Row],[Monthly Return]])</f>
        <v>1.1297062519999996</v>
      </c>
      <c r="F59" s="33">
        <f>MAX(F58,PE_Table[[#This Row],[Growth]])</f>
        <v>1.1456496139999994</v>
      </c>
      <c r="G59" s="8">
        <f>PE_Table[[#This Row],[Growth]]/PE_Table[[#This Row],[High Water Mark]]-1</f>
        <v>-1.3916438154536692E-2</v>
      </c>
    </row>
    <row r="60" spans="2:7" x14ac:dyDescent="0.2">
      <c r="B60" s="22">
        <v>44075</v>
      </c>
      <c r="C60" s="23">
        <v>111.7523104</v>
      </c>
      <c r="D60" s="33">
        <f>PE_Table[[#This Row],[Price/NAV]]/C59-1</f>
        <v>-1.0784350337471604E-2</v>
      </c>
      <c r="E60" s="33">
        <f>E59*(1+PE_Table[[#This Row],[Monthly Return]])</f>
        <v>1.1175231039999995</v>
      </c>
      <c r="F60" s="33">
        <f>MAX(F59,PE_Table[[#This Row],[Growth]])</f>
        <v>1.1456496139999994</v>
      </c>
      <c r="G60" s="8">
        <f>PE_Table[[#This Row],[Growth]]/PE_Table[[#This Row],[High Water Mark]]-1</f>
        <v>-2.4550708747500094E-2</v>
      </c>
    </row>
    <row r="61" spans="2:7" x14ac:dyDescent="0.2">
      <c r="B61" s="22">
        <v>44105</v>
      </c>
      <c r="C61" s="23">
        <v>111.73172030000001</v>
      </c>
      <c r="D61" s="33">
        <f>PE_Table[[#This Row],[Price/NAV]]/C60-1</f>
        <v>-1.8424764487012801E-4</v>
      </c>
      <c r="E61" s="33">
        <f>E60*(1+PE_Table[[#This Row],[Monthly Return]])</f>
        <v>1.1173172029999996</v>
      </c>
      <c r="F61" s="33">
        <f>MAX(F60,PE_Table[[#This Row],[Growth]])</f>
        <v>1.1456496139999994</v>
      </c>
      <c r="G61" s="8">
        <f>PE_Table[[#This Row],[Growth]]/PE_Table[[#This Row],[High Water Mark]]-1</f>
        <v>-2.4730432982103645E-2</v>
      </c>
    </row>
    <row r="62" spans="2:7" x14ac:dyDescent="0.2">
      <c r="B62" s="22">
        <v>44136</v>
      </c>
      <c r="C62" s="23">
        <v>113.1423633</v>
      </c>
      <c r="D62" s="33">
        <f>PE_Table[[#This Row],[Price/NAV]]/C61-1</f>
        <v>1.2625268779648424E-2</v>
      </c>
      <c r="E62" s="33">
        <f>E61*(1+PE_Table[[#This Row],[Monthly Return]])</f>
        <v>1.1314236329999996</v>
      </c>
      <c r="F62" s="33">
        <f>MAX(F61,PE_Table[[#This Row],[Growth]])</f>
        <v>1.1456496139999994</v>
      </c>
      <c r="G62" s="8">
        <f>PE_Table[[#This Row],[Growth]]/PE_Table[[#This Row],[High Water Mark]]-1</f>
        <v>-1.241739256589125E-2</v>
      </c>
    </row>
    <row r="63" spans="2:7" x14ac:dyDescent="0.2">
      <c r="B63" s="22">
        <v>44166</v>
      </c>
      <c r="C63" s="23">
        <v>116.0287271</v>
      </c>
      <c r="D63" s="33">
        <f>PE_Table[[#This Row],[Price/NAV]]/C62-1</f>
        <v>2.5510902510907707E-2</v>
      </c>
      <c r="E63" s="33">
        <f>E62*(1+PE_Table[[#This Row],[Monthly Return]])</f>
        <v>1.1602872709999996</v>
      </c>
      <c r="F63" s="33">
        <f>MAX(F62,PE_Table[[#This Row],[Growth]])</f>
        <v>1.1602872709999996</v>
      </c>
      <c r="G63" s="8">
        <f>PE_Table[[#This Row],[Growth]]/PE_Table[[#This Row],[High Water Mark]]-1</f>
        <v>0</v>
      </c>
    </row>
    <row r="64" spans="2:7" x14ac:dyDescent="0.2">
      <c r="B64" s="22">
        <v>44197</v>
      </c>
      <c r="C64" s="23">
        <v>115.6129399</v>
      </c>
      <c r="D64" s="33">
        <f>PE_Table[[#This Row],[Price/NAV]]/C63-1</f>
        <v>-3.5834849730072005E-3</v>
      </c>
      <c r="E64" s="33">
        <f>E63*(1+PE_Table[[#This Row],[Monthly Return]])</f>
        <v>1.1561293989999997</v>
      </c>
      <c r="F64" s="33">
        <f>MAX(F63,PE_Table[[#This Row],[Growth]])</f>
        <v>1.1602872709999996</v>
      </c>
      <c r="G64" s="8">
        <f>PE_Table[[#This Row],[Growth]]/PE_Table[[#This Row],[High Water Mark]]-1</f>
        <v>-3.5834849730070895E-3</v>
      </c>
    </row>
    <row r="65" spans="2:7" x14ac:dyDescent="0.2">
      <c r="B65" s="22">
        <v>44228</v>
      </c>
      <c r="C65" s="23">
        <v>115.877326</v>
      </c>
      <c r="D65" s="33">
        <f>PE_Table[[#This Row],[Price/NAV]]/C64-1</f>
        <v>2.2868210100761566E-3</v>
      </c>
      <c r="E65" s="33">
        <f>E64*(1+PE_Table[[#This Row],[Monthly Return]])</f>
        <v>1.1587732599999996</v>
      </c>
      <c r="F65" s="33">
        <f>MAX(F64,PE_Table[[#This Row],[Growth]])</f>
        <v>1.1602872709999996</v>
      </c>
      <c r="G65" s="8">
        <f>PE_Table[[#This Row],[Growth]]/PE_Table[[#This Row],[High Water Mark]]-1</f>
        <v>-1.3048587516565346E-3</v>
      </c>
    </row>
    <row r="66" spans="2:7" x14ac:dyDescent="0.2">
      <c r="B66" s="22">
        <v>44256</v>
      </c>
      <c r="C66" s="23">
        <v>114.0086072</v>
      </c>
      <c r="D66" s="33">
        <f>PE_Table[[#This Row],[Price/NAV]]/C65-1</f>
        <v>-1.6126699368261166E-2</v>
      </c>
      <c r="E66" s="33">
        <f>E65*(1+PE_Table[[#This Row],[Monthly Return]])</f>
        <v>1.1400860719999997</v>
      </c>
      <c r="F66" s="33">
        <f>MAX(F65,PE_Table[[#This Row],[Growth]])</f>
        <v>1.1602872709999996</v>
      </c>
      <c r="G66" s="8">
        <f>PE_Table[[#This Row],[Growth]]/PE_Table[[#This Row],[High Water Mark]]-1</f>
        <v>-1.7410515055111708E-2</v>
      </c>
    </row>
    <row r="67" spans="2:7" x14ac:dyDescent="0.2">
      <c r="B67" s="22">
        <v>44287</v>
      </c>
      <c r="C67" s="23">
        <v>111.9651018</v>
      </c>
      <c r="D67" s="33">
        <f>PE_Table[[#This Row],[Price/NAV]]/C66-1</f>
        <v>-1.7924132661450543E-2</v>
      </c>
      <c r="E67" s="33">
        <f>E66*(1+PE_Table[[#This Row],[Monthly Return]])</f>
        <v>1.1196510179999997</v>
      </c>
      <c r="F67" s="33">
        <f>MAX(F66,PE_Table[[#This Row],[Growth]])</f>
        <v>1.1602872709999996</v>
      </c>
      <c r="G67" s="8">
        <f>PE_Table[[#This Row],[Growth]]/PE_Table[[#This Row],[High Water Mark]]-1</f>
        <v>-3.5022579335010184E-2</v>
      </c>
    </row>
    <row r="68" spans="2:7" x14ac:dyDescent="0.2">
      <c r="B68" s="22">
        <v>44317</v>
      </c>
      <c r="C68" s="23">
        <v>114.4563831</v>
      </c>
      <c r="D68" s="33">
        <f>PE_Table[[#This Row],[Price/NAV]]/C67-1</f>
        <v>2.2250516097864992E-2</v>
      </c>
      <c r="E68" s="33">
        <f>E67*(1+PE_Table[[#This Row],[Monthly Return]])</f>
        <v>1.1445638309999995</v>
      </c>
      <c r="F68" s="33">
        <f>MAX(F67,PE_Table[[#This Row],[Growth]])</f>
        <v>1.1602872709999996</v>
      </c>
      <c r="G68" s="8">
        <f>PE_Table[[#This Row],[Growth]]/PE_Table[[#This Row],[High Water Mark]]-1</f>
        <v>-1.355133370242767E-2</v>
      </c>
    </row>
    <row r="69" spans="2:7" x14ac:dyDescent="0.2">
      <c r="B69" s="22">
        <v>44348</v>
      </c>
      <c r="C69" s="23">
        <v>118.247728</v>
      </c>
      <c r="D69" s="33">
        <f>PE_Table[[#This Row],[Price/NAV]]/C68-1</f>
        <v>3.3124800883210792E-2</v>
      </c>
      <c r="E69" s="33">
        <f>E68*(1+PE_Table[[#This Row],[Monthly Return]])</f>
        <v>1.1824772799999994</v>
      </c>
      <c r="F69" s="33">
        <f>MAX(F68,PE_Table[[#This Row],[Growth]])</f>
        <v>1.1824772799999994</v>
      </c>
      <c r="G69" s="8">
        <f>PE_Table[[#This Row],[Growth]]/PE_Table[[#This Row],[High Water Mark]]-1</f>
        <v>0</v>
      </c>
    </row>
    <row r="70" spans="2:7" x14ac:dyDescent="0.2">
      <c r="B70" s="22">
        <v>44378</v>
      </c>
      <c r="C70" s="23">
        <v>118.7869137</v>
      </c>
      <c r="D70" s="33">
        <f>PE_Table[[#This Row],[Price/NAV]]/C69-1</f>
        <v>4.5597975463851359E-3</v>
      </c>
      <c r="E70" s="33">
        <f>E69*(1+PE_Table[[#This Row],[Monthly Return]])</f>
        <v>1.1878691369999996</v>
      </c>
      <c r="F70" s="33">
        <f>MAX(F69,PE_Table[[#This Row],[Growth]])</f>
        <v>1.1878691369999996</v>
      </c>
      <c r="G70" s="8">
        <f>PE_Table[[#This Row],[Growth]]/PE_Table[[#This Row],[High Water Mark]]-1</f>
        <v>0</v>
      </c>
    </row>
    <row r="71" spans="2:7" x14ac:dyDescent="0.2">
      <c r="B71" s="22">
        <v>44409</v>
      </c>
      <c r="C71" s="23">
        <v>121.8837667</v>
      </c>
      <c r="D71" s="33">
        <f>PE_Table[[#This Row],[Price/NAV]]/C70-1</f>
        <v>2.6070657983598977E-2</v>
      </c>
      <c r="E71" s="33">
        <f>E70*(1+PE_Table[[#This Row],[Monthly Return]])</f>
        <v>1.2188376669999994</v>
      </c>
      <c r="F71" s="33">
        <f>MAX(F70,PE_Table[[#This Row],[Growth]])</f>
        <v>1.2188376669999994</v>
      </c>
      <c r="G71" s="8">
        <f>PE_Table[[#This Row],[Growth]]/PE_Table[[#This Row],[High Water Mark]]-1</f>
        <v>0</v>
      </c>
    </row>
    <row r="72" spans="2:7" x14ac:dyDescent="0.2">
      <c r="B72" s="22">
        <v>44440</v>
      </c>
      <c r="C72" s="23">
        <v>123.49662050000001</v>
      </c>
      <c r="D72" s="33">
        <f>PE_Table[[#This Row],[Price/NAV]]/C71-1</f>
        <v>1.3232720350445204E-2</v>
      </c>
      <c r="E72" s="33">
        <f>E71*(1+PE_Table[[#This Row],[Monthly Return]])</f>
        <v>1.2349662049999994</v>
      </c>
      <c r="F72" s="33">
        <f>MAX(F71,PE_Table[[#This Row],[Growth]])</f>
        <v>1.2349662049999994</v>
      </c>
      <c r="G72" s="8">
        <f>PE_Table[[#This Row],[Growth]]/PE_Table[[#This Row],[High Water Mark]]-1</f>
        <v>0</v>
      </c>
    </row>
    <row r="73" spans="2:7" x14ac:dyDescent="0.2">
      <c r="B73" s="22">
        <v>44470</v>
      </c>
      <c r="C73" s="23">
        <v>122.6441981</v>
      </c>
      <c r="D73" s="33">
        <f>PE_Table[[#This Row],[Price/NAV]]/C72-1</f>
        <v>-6.9023945477115767E-3</v>
      </c>
      <c r="E73" s="33">
        <f>E72*(1+PE_Table[[#This Row],[Monthly Return]])</f>
        <v>1.2264419809999993</v>
      </c>
      <c r="F73" s="33">
        <f>MAX(F72,PE_Table[[#This Row],[Growth]])</f>
        <v>1.2349662049999994</v>
      </c>
      <c r="G73" s="8">
        <f>PE_Table[[#This Row],[Growth]]/PE_Table[[#This Row],[High Water Mark]]-1</f>
        <v>-6.9023945477115767E-3</v>
      </c>
    </row>
    <row r="74" spans="2:7" x14ac:dyDescent="0.2">
      <c r="B74" s="22">
        <v>44501</v>
      </c>
      <c r="C74" s="23">
        <v>124.26652470000001</v>
      </c>
      <c r="D74" s="33">
        <f>PE_Table[[#This Row],[Price/NAV]]/C73-1</f>
        <v>1.3227911512595281E-2</v>
      </c>
      <c r="E74" s="33">
        <f>E73*(1+PE_Table[[#This Row],[Monthly Return]])</f>
        <v>1.2426652469999995</v>
      </c>
      <c r="F74" s="33">
        <f>MAX(F73,PE_Table[[#This Row],[Growth]])</f>
        <v>1.2426652469999995</v>
      </c>
      <c r="G74" s="8">
        <f>PE_Table[[#This Row],[Growth]]/PE_Table[[#This Row],[High Water Mark]]-1</f>
        <v>0</v>
      </c>
    </row>
    <row r="75" spans="2:7" x14ac:dyDescent="0.2">
      <c r="B75" s="22">
        <v>44531</v>
      </c>
      <c r="C75" s="23">
        <v>128.8346531</v>
      </c>
      <c r="D75" s="33">
        <f>PE_Table[[#This Row],[Price/NAV]]/C74-1</f>
        <v>3.6760731910932654E-2</v>
      </c>
      <c r="E75" s="33">
        <f>E74*(1+PE_Table[[#This Row],[Monthly Return]])</f>
        <v>1.2883465309999993</v>
      </c>
      <c r="F75" s="33">
        <f>MAX(F74,PE_Table[[#This Row],[Growth]])</f>
        <v>1.2883465309999993</v>
      </c>
      <c r="G75" s="8">
        <f>PE_Table[[#This Row],[Growth]]/PE_Table[[#This Row],[High Water Mark]]-1</f>
        <v>0</v>
      </c>
    </row>
    <row r="76" spans="2:7" x14ac:dyDescent="0.2">
      <c r="B76" s="22">
        <v>44562</v>
      </c>
      <c r="C76" s="23">
        <v>129.5153483</v>
      </c>
      <c r="D76" s="33">
        <f>PE_Table[[#This Row],[Price/NAV]]/C75-1</f>
        <v>5.2834791232112543E-3</v>
      </c>
      <c r="E76" s="33">
        <f>E75*(1+PE_Table[[#This Row],[Monthly Return]])</f>
        <v>1.2951534829999993</v>
      </c>
      <c r="F76" s="33">
        <f>MAX(F75,PE_Table[[#This Row],[Growth]])</f>
        <v>1.2951534829999993</v>
      </c>
      <c r="G76" s="8">
        <f>PE_Table[[#This Row],[Growth]]/PE_Table[[#This Row],[High Water Mark]]-1</f>
        <v>0</v>
      </c>
    </row>
    <row r="77" spans="2:7" x14ac:dyDescent="0.2">
      <c r="B77" s="22">
        <v>44593</v>
      </c>
      <c r="C77" s="23">
        <v>134.34534769999999</v>
      </c>
      <c r="D77" s="33">
        <f>PE_Table[[#This Row],[Price/NAV]]/C76-1</f>
        <v>3.7292872724336235E-2</v>
      </c>
      <c r="E77" s="33">
        <f>E76*(1+PE_Table[[#This Row],[Monthly Return]])</f>
        <v>1.3434534769999991</v>
      </c>
      <c r="F77" s="33">
        <f>MAX(F76,PE_Table[[#This Row],[Growth]])</f>
        <v>1.3434534769999991</v>
      </c>
      <c r="G77" s="8">
        <f>PE_Table[[#This Row],[Growth]]/PE_Table[[#This Row],[High Water Mark]]-1</f>
        <v>0</v>
      </c>
    </row>
    <row r="78" spans="2:7" x14ac:dyDescent="0.2">
      <c r="B78" s="22">
        <v>44621</v>
      </c>
      <c r="C78" s="23">
        <v>128.11240849999999</v>
      </c>
      <c r="D78" s="33">
        <f>PE_Table[[#This Row],[Price/NAV]]/C77-1</f>
        <v>-4.6394901697068613E-2</v>
      </c>
      <c r="E78" s="33">
        <f>E77*(1+PE_Table[[#This Row],[Monthly Return]])</f>
        <v>1.281124084999999</v>
      </c>
      <c r="F78" s="33">
        <f>MAX(F77,PE_Table[[#This Row],[Growth]])</f>
        <v>1.3434534769999991</v>
      </c>
      <c r="G78" s="8">
        <f>PE_Table[[#This Row],[Growth]]/PE_Table[[#This Row],[High Water Mark]]-1</f>
        <v>-4.6394901697068724E-2</v>
      </c>
    </row>
    <row r="79" spans="2:7" x14ac:dyDescent="0.2">
      <c r="B79" s="22">
        <v>44652</v>
      </c>
      <c r="C79" s="23">
        <v>130.98700109999999</v>
      </c>
      <c r="D79" s="33">
        <f>PE_Table[[#This Row],[Price/NAV]]/C78-1</f>
        <v>2.2438049785005854E-2</v>
      </c>
      <c r="E79" s="33">
        <f>E78*(1+PE_Table[[#This Row],[Monthly Return]])</f>
        <v>1.309870010999999</v>
      </c>
      <c r="F79" s="33">
        <f>MAX(F78,PE_Table[[#This Row],[Growth]])</f>
        <v>1.3434534769999991</v>
      </c>
      <c r="G79" s="8">
        <f>PE_Table[[#This Row],[Growth]]/PE_Table[[#This Row],[High Water Mark]]-1</f>
        <v>-2.4997863026112177E-2</v>
      </c>
    </row>
    <row r="80" spans="2:7" x14ac:dyDescent="0.2">
      <c r="B80" s="22">
        <v>44682</v>
      </c>
      <c r="C80" s="23">
        <v>132.00096379999999</v>
      </c>
      <c r="D80" s="33">
        <f>PE_Table[[#This Row],[Price/NAV]]/C79-1</f>
        <v>7.7409414024671719E-3</v>
      </c>
      <c r="E80" s="33">
        <f>E79*(1+PE_Table[[#This Row],[Monthly Return]])</f>
        <v>1.320009637999999</v>
      </c>
      <c r="F80" s="33">
        <f>MAX(F79,PE_Table[[#This Row],[Growth]])</f>
        <v>1.3434534769999991</v>
      </c>
      <c r="G80" s="8">
        <f>PE_Table[[#This Row],[Growth]]/PE_Table[[#This Row],[High Water Mark]]-1</f>
        <v>-1.7450428616517022E-2</v>
      </c>
    </row>
    <row r="81" spans="2:7" x14ac:dyDescent="0.2">
      <c r="B81" s="22">
        <v>44713</v>
      </c>
      <c r="C81" s="23">
        <v>132.00358439999999</v>
      </c>
      <c r="D81" s="33">
        <f>PE_Table[[#This Row],[Price/NAV]]/C80-1</f>
        <v>1.9852885346782756E-5</v>
      </c>
      <c r="E81" s="33">
        <f>E80*(1+PE_Table[[#This Row],[Monthly Return]])</f>
        <v>1.3200358439999988</v>
      </c>
      <c r="F81" s="33">
        <f>MAX(F80,PE_Table[[#This Row],[Growth]])</f>
        <v>1.3434534769999991</v>
      </c>
      <c r="G81" s="8">
        <f>PE_Table[[#This Row],[Growth]]/PE_Table[[#This Row],[High Water Mark]]-1</f>
        <v>-1.743092217252884E-2</v>
      </c>
    </row>
    <row r="82" spans="2:7" x14ac:dyDescent="0.2">
      <c r="B82" s="22">
        <v>44743</v>
      </c>
      <c r="C82" s="23">
        <v>133.0378609</v>
      </c>
      <c r="D82" s="33">
        <f>PE_Table[[#This Row],[Price/NAV]]/C81-1</f>
        <v>7.8352152685938758E-3</v>
      </c>
      <c r="E82" s="33">
        <f>E81*(1+PE_Table[[#This Row],[Monthly Return]])</f>
        <v>1.3303786089999989</v>
      </c>
      <c r="F82" s="33">
        <f>MAX(F81,PE_Table[[#This Row],[Growth]])</f>
        <v>1.3434534769999991</v>
      </c>
      <c r="G82" s="8">
        <f>PE_Table[[#This Row],[Growth]]/PE_Table[[#This Row],[High Water Mark]]-1</f>
        <v>-9.7322819314867859E-3</v>
      </c>
    </row>
    <row r="83" spans="2:7" x14ac:dyDescent="0.2">
      <c r="B83" s="22">
        <v>44774</v>
      </c>
      <c r="C83" s="23">
        <v>128.54764979999999</v>
      </c>
      <c r="D83" s="33">
        <f>PE_Table[[#This Row],[Price/NAV]]/C82-1</f>
        <v>-3.3751377762869739E-2</v>
      </c>
      <c r="E83" s="33">
        <f>E82*(1+PE_Table[[#This Row],[Monthly Return]])</f>
        <v>1.2854764979999989</v>
      </c>
      <c r="F83" s="33">
        <f>MAX(F82,PE_Table[[#This Row],[Growth]])</f>
        <v>1.3434534769999991</v>
      </c>
      <c r="G83" s="8">
        <f>PE_Table[[#This Row],[Growth]]/PE_Table[[#This Row],[High Water Mark]]-1</f>
        <v>-4.3155181770392126E-2</v>
      </c>
    </row>
    <row r="84" spans="2:7" x14ac:dyDescent="0.2">
      <c r="B84" s="22">
        <v>44805</v>
      </c>
      <c r="C84" s="23">
        <v>128.75416960000001</v>
      </c>
      <c r="D84" s="33">
        <f>PE_Table[[#This Row],[Price/NAV]]/C83-1</f>
        <v>1.6065622383709677E-3</v>
      </c>
      <c r="E84" s="33">
        <f>E83*(1+PE_Table[[#This Row],[Monthly Return]])</f>
        <v>1.287541695999999</v>
      </c>
      <c r="F84" s="33">
        <f>MAX(F83,PE_Table[[#This Row],[Growth]])</f>
        <v>1.3434534769999991</v>
      </c>
      <c r="G84" s="8">
        <f>PE_Table[[#This Row],[Growth]]/PE_Table[[#This Row],[High Water Mark]]-1</f>
        <v>-4.1617951017443477E-2</v>
      </c>
    </row>
    <row r="85" spans="2:7" x14ac:dyDescent="0.2">
      <c r="B85" s="22">
        <v>44835</v>
      </c>
      <c r="C85" s="23">
        <v>130.4462892</v>
      </c>
      <c r="D85" s="33">
        <f>PE_Table[[#This Row],[Price/NAV]]/C84-1</f>
        <v>1.3142250889869311E-2</v>
      </c>
      <c r="E85" s="33">
        <f>E84*(1+PE_Table[[#This Row],[Monthly Return]])</f>
        <v>1.3044628919999988</v>
      </c>
      <c r="F85" s="33">
        <f>MAX(F84,PE_Table[[#This Row],[Growth]])</f>
        <v>1.3434534769999991</v>
      </c>
      <c r="G85" s="8">
        <f>PE_Table[[#This Row],[Growth]]/PE_Table[[#This Row],[High Water Mark]]-1</f>
        <v>-2.9022653681367694E-2</v>
      </c>
    </row>
    <row r="86" spans="2:7" x14ac:dyDescent="0.2">
      <c r="B86" s="22">
        <v>44866</v>
      </c>
      <c r="C86" s="23">
        <v>135.08468289999999</v>
      </c>
      <c r="D86" s="33">
        <f>PE_Table[[#This Row],[Price/NAV]]/C85-1</f>
        <v>3.5557881549918458E-2</v>
      </c>
      <c r="E86" s="33">
        <f>E85*(1+PE_Table[[#This Row],[Monthly Return]])</f>
        <v>1.3508468289999989</v>
      </c>
      <c r="F86" s="33">
        <f>MAX(F85,PE_Table[[#This Row],[Growth]])</f>
        <v>1.3508468289999989</v>
      </c>
      <c r="G86" s="8">
        <f>PE_Table[[#This Row],[Growth]]/PE_Table[[#This Row],[High Water Mark]]-1</f>
        <v>0</v>
      </c>
    </row>
    <row r="87" spans="2:7" x14ac:dyDescent="0.2">
      <c r="B87" s="22">
        <v>44896</v>
      </c>
      <c r="C87" s="23">
        <v>134.49498360000001</v>
      </c>
      <c r="D87" s="33">
        <f>PE_Table[[#This Row],[Price/NAV]]/C86-1</f>
        <v>-4.3654046287137094E-3</v>
      </c>
      <c r="E87" s="33">
        <f>E86*(1+PE_Table[[#This Row],[Monthly Return]])</f>
        <v>1.344949835999999</v>
      </c>
      <c r="F87" s="33">
        <f>MAX(F86,PE_Table[[#This Row],[Growth]])</f>
        <v>1.3508468289999989</v>
      </c>
      <c r="G87" s="8">
        <f>PE_Table[[#This Row],[Growth]]/PE_Table[[#This Row],[High Water Mark]]-1</f>
        <v>-4.3654046287137094E-3</v>
      </c>
    </row>
    <row r="88" spans="2:7" x14ac:dyDescent="0.2">
      <c r="B88" s="22">
        <v>44927</v>
      </c>
      <c r="C88" s="23">
        <v>133.1271868</v>
      </c>
      <c r="D88" s="33">
        <f>PE_Table[[#This Row],[Price/NAV]]/C87-1</f>
        <v>-1.0169872239012001E-2</v>
      </c>
      <c r="E88" s="33">
        <f>E87*(1+PE_Table[[#This Row],[Monthly Return]])</f>
        <v>1.3312718679999989</v>
      </c>
      <c r="F88" s="33">
        <f>MAX(F87,PE_Table[[#This Row],[Growth]])</f>
        <v>1.3508468289999989</v>
      </c>
      <c r="G88" s="8">
        <f>PE_Table[[#This Row],[Growth]]/PE_Table[[#This Row],[High Water Mark]]-1</f>
        <v>-1.4490881260380117E-2</v>
      </c>
    </row>
    <row r="89" spans="2:7" x14ac:dyDescent="0.2">
      <c r="B89" s="22">
        <v>44958</v>
      </c>
      <c r="C89" s="23">
        <v>132.58999990000001</v>
      </c>
      <c r="D89" s="33">
        <f>PE_Table[[#This Row],[Price/NAV]]/C88-1</f>
        <v>-4.035140476655763E-3</v>
      </c>
      <c r="E89" s="33">
        <f>E88*(1+PE_Table[[#This Row],[Monthly Return]])</f>
        <v>1.3258999989999989</v>
      </c>
      <c r="F89" s="33">
        <f>MAX(F88,PE_Table[[#This Row],[Growth]])</f>
        <v>1.3508468289999989</v>
      </c>
      <c r="G89" s="8">
        <f>PE_Table[[#This Row],[Growth]]/PE_Table[[#This Row],[High Water Mark]]-1</f>
        <v>-1.8467548995519723E-2</v>
      </c>
    </row>
    <row r="90" spans="2:7" x14ac:dyDescent="0.2">
      <c r="B90" s="22">
        <v>44986</v>
      </c>
      <c r="C90" s="23">
        <v>135.8130032</v>
      </c>
      <c r="D90" s="33">
        <f>PE_Table[[#This Row],[Price/NAV]]/C89-1</f>
        <v>2.4308042102954897E-2</v>
      </c>
      <c r="E90" s="33">
        <f>E89*(1+PE_Table[[#This Row],[Monthly Return]])</f>
        <v>1.3581300319999987</v>
      </c>
      <c r="F90" s="33">
        <f>MAX(F89,PE_Table[[#This Row],[Growth]])</f>
        <v>1.3581300319999987</v>
      </c>
      <c r="G90" s="8">
        <f>PE_Table[[#This Row],[Growth]]/PE_Table[[#This Row],[High Water Mark]]-1</f>
        <v>0</v>
      </c>
    </row>
    <row r="91" spans="2:7" x14ac:dyDescent="0.2">
      <c r="B91" s="22">
        <v>45017</v>
      </c>
      <c r="C91" s="23">
        <v>137.5208547</v>
      </c>
      <c r="D91" s="33">
        <f>PE_Table[[#This Row],[Price/NAV]]/C90-1</f>
        <v>1.2575021976982459E-2</v>
      </c>
      <c r="E91" s="33">
        <f>E90*(1+PE_Table[[#This Row],[Monthly Return]])</f>
        <v>1.3752085469999986</v>
      </c>
      <c r="F91" s="33">
        <f>MAX(F90,PE_Table[[#This Row],[Growth]])</f>
        <v>1.3752085469999986</v>
      </c>
      <c r="G91" s="8">
        <f>PE_Table[[#This Row],[Growth]]/PE_Table[[#This Row],[High Water Mark]]-1</f>
        <v>0</v>
      </c>
    </row>
    <row r="92" spans="2:7" x14ac:dyDescent="0.2">
      <c r="B92" s="22">
        <v>45047</v>
      </c>
      <c r="C92" s="23">
        <v>136.8889183</v>
      </c>
      <c r="D92" s="33">
        <f>PE_Table[[#This Row],[Price/NAV]]/C91-1</f>
        <v>-4.5952041337916638E-3</v>
      </c>
      <c r="E92" s="33">
        <f>E91*(1+PE_Table[[#This Row],[Monthly Return]])</f>
        <v>1.3688891829999985</v>
      </c>
      <c r="F92" s="33">
        <f>MAX(F91,PE_Table[[#This Row],[Growth]])</f>
        <v>1.3752085469999986</v>
      </c>
      <c r="G92" s="8">
        <f>PE_Table[[#This Row],[Growth]]/PE_Table[[#This Row],[High Water Mark]]-1</f>
        <v>-4.5952041337917748E-3</v>
      </c>
    </row>
    <row r="93" spans="2:7" x14ac:dyDescent="0.2">
      <c r="B93" s="22">
        <v>45078</v>
      </c>
      <c r="C93" s="23">
        <v>139.11546430000001</v>
      </c>
      <c r="D93" s="33">
        <f>PE_Table[[#This Row],[Price/NAV]]/C92-1</f>
        <v>1.6265348778053745E-2</v>
      </c>
      <c r="E93" s="33">
        <f>E92*(1+PE_Table[[#This Row],[Monthly Return]])</f>
        <v>1.3911546429999986</v>
      </c>
      <c r="F93" s="33">
        <f>MAX(F92,PE_Table[[#This Row],[Growth]])</f>
        <v>1.3911546429999986</v>
      </c>
      <c r="G93" s="8">
        <f>PE_Table[[#This Row],[Growth]]/PE_Table[[#This Row],[High Water Mark]]-1</f>
        <v>0</v>
      </c>
    </row>
    <row r="94" spans="2:7" x14ac:dyDescent="0.2">
      <c r="B94" s="22">
        <v>45108</v>
      </c>
      <c r="C94" s="23">
        <v>140.22025690000001</v>
      </c>
      <c r="D94" s="33">
        <f>PE_Table[[#This Row],[Price/NAV]]/C93-1</f>
        <v>7.941551326152485E-3</v>
      </c>
      <c r="E94" s="33">
        <f>E93*(1+PE_Table[[#This Row],[Monthly Return]])</f>
        <v>1.4022025689999984</v>
      </c>
      <c r="F94" s="33">
        <f>MAX(F93,PE_Table[[#This Row],[Growth]])</f>
        <v>1.4022025689999984</v>
      </c>
      <c r="G94" s="8">
        <f>PE_Table[[#This Row],[Growth]]/PE_Table[[#This Row],[High Water Mark]]-1</f>
        <v>0</v>
      </c>
    </row>
    <row r="95" spans="2:7" x14ac:dyDescent="0.2">
      <c r="B95" s="22">
        <v>45139</v>
      </c>
      <c r="C95" s="23">
        <v>143.77805140000001</v>
      </c>
      <c r="D95" s="33">
        <f>PE_Table[[#This Row],[Price/NAV]]/C94-1</f>
        <v>2.5372899598502974E-2</v>
      </c>
      <c r="E95" s="33">
        <f>E94*(1+PE_Table[[#This Row],[Monthly Return]])</f>
        <v>1.4377805139999984</v>
      </c>
      <c r="F95" s="33">
        <f>MAX(F94,PE_Table[[#This Row],[Growth]])</f>
        <v>1.4377805139999984</v>
      </c>
      <c r="G95" s="8">
        <f>PE_Table[[#This Row],[Growth]]/PE_Table[[#This Row],[High Water Mark]]-1</f>
        <v>0</v>
      </c>
    </row>
    <row r="96" spans="2:7" x14ac:dyDescent="0.2">
      <c r="B96" s="22">
        <v>45170</v>
      </c>
      <c r="C96" s="23">
        <v>142.6219232</v>
      </c>
      <c r="D96" s="33">
        <f>PE_Table[[#This Row],[Price/NAV]]/C95-1</f>
        <v>-8.0410618223193397E-3</v>
      </c>
      <c r="E96" s="33">
        <f>E95*(1+PE_Table[[#This Row],[Monthly Return]])</f>
        <v>1.4262192319999982</v>
      </c>
      <c r="F96" s="33">
        <f>MAX(F95,PE_Table[[#This Row],[Growth]])</f>
        <v>1.4377805139999984</v>
      </c>
      <c r="G96" s="8">
        <f>PE_Table[[#This Row],[Growth]]/PE_Table[[#This Row],[High Water Mark]]-1</f>
        <v>-8.0410618223194508E-3</v>
      </c>
    </row>
    <row r="97" spans="2:7" x14ac:dyDescent="0.2">
      <c r="B97" s="22">
        <v>45200</v>
      </c>
      <c r="C97" s="23">
        <v>142.54301860000001</v>
      </c>
      <c r="D97" s="33">
        <f>PE_Table[[#This Row],[Price/NAV]]/C96-1</f>
        <v>-5.5324313562465921E-4</v>
      </c>
      <c r="E97" s="33">
        <f>E96*(1+PE_Table[[#This Row],[Monthly Return]])</f>
        <v>1.4254301859999983</v>
      </c>
      <c r="F97" s="33">
        <f>MAX(F96,PE_Table[[#This Row],[Growth]])</f>
        <v>1.4377805139999984</v>
      </c>
      <c r="G97" s="8">
        <f>PE_Table[[#This Row],[Growth]]/PE_Table[[#This Row],[High Water Mark]]-1</f>
        <v>-8.5898562956877589E-3</v>
      </c>
    </row>
    <row r="98" spans="2:7" x14ac:dyDescent="0.2">
      <c r="B98" s="22">
        <v>45231</v>
      </c>
      <c r="C98" s="23">
        <v>142.28043109999999</v>
      </c>
      <c r="D98" s="33">
        <f>PE_Table[[#This Row],[Price/NAV]]/C97-1</f>
        <v>-1.8421631769767188E-3</v>
      </c>
      <c r="E98" s="33">
        <f>E97*(1+PE_Table[[#This Row],[Monthly Return]])</f>
        <v>1.4228043109999979</v>
      </c>
      <c r="F98" s="33">
        <f>MAX(F97,PE_Table[[#This Row],[Growth]])</f>
        <v>1.4377805139999984</v>
      </c>
      <c r="G98" s="8">
        <f>PE_Table[[#This Row],[Growth]]/PE_Table[[#This Row],[High Water Mark]]-1</f>
        <v>-1.0416195555701169E-2</v>
      </c>
    </row>
    <row r="99" spans="2:7" x14ac:dyDescent="0.2">
      <c r="B99" s="22">
        <v>45261</v>
      </c>
      <c r="C99" s="23">
        <v>138.96952300000001</v>
      </c>
      <c r="D99" s="33">
        <f>PE_Table[[#This Row],[Price/NAV]]/C98-1</f>
        <v>-2.3270298483091811E-2</v>
      </c>
      <c r="E99" s="33">
        <f>E98*(1+PE_Table[[#This Row],[Monthly Return]])</f>
        <v>1.3896952299999983</v>
      </c>
      <c r="F99" s="33">
        <f>MAX(F98,PE_Table[[#This Row],[Growth]])</f>
        <v>1.4377805139999984</v>
      </c>
      <c r="G99" s="8">
        <f>PE_Table[[#This Row],[Growth]]/PE_Table[[#This Row],[High Water Mark]]-1</f>
        <v>-3.3444106059153489E-2</v>
      </c>
    </row>
    <row r="100" spans="2:7" x14ac:dyDescent="0.2">
      <c r="B100" s="22">
        <v>45292</v>
      </c>
      <c r="C100" s="23">
        <v>140.626374</v>
      </c>
      <c r="D100" s="33">
        <f>PE_Table[[#This Row],[Price/NAV]]/C99-1</f>
        <v>1.1922405461519681E-2</v>
      </c>
      <c r="E100" s="33">
        <f>E99*(1+PE_Table[[#This Row],[Monthly Return]])</f>
        <v>1.4062637399999982</v>
      </c>
      <c r="F100" s="33">
        <f>MAX(F99,PE_Table[[#This Row],[Growth]])</f>
        <v>1.4377805139999984</v>
      </c>
      <c r="G100" s="8">
        <f>PE_Table[[#This Row],[Growth]]/PE_Table[[#This Row],[High Water Mark]]-1</f>
        <v>-2.1920434790368981E-2</v>
      </c>
    </row>
    <row r="101" spans="2:7" x14ac:dyDescent="0.2">
      <c r="B101" s="22">
        <v>45323</v>
      </c>
      <c r="C101" s="23">
        <v>142.2043573</v>
      </c>
      <c r="D101" s="33">
        <f>PE_Table[[#This Row],[Price/NAV]]/C100-1</f>
        <v>1.1221104940101867E-2</v>
      </c>
      <c r="E101" s="33">
        <f>E100*(1+PE_Table[[#This Row],[Monthly Return]])</f>
        <v>1.4220435729999983</v>
      </c>
      <c r="F101" s="33">
        <f>MAX(F100,PE_Table[[#This Row],[Growth]])</f>
        <v>1.4377805139999984</v>
      </c>
      <c r="G101" s="8">
        <f>PE_Table[[#This Row],[Growth]]/PE_Table[[#This Row],[High Water Mark]]-1</f>
        <v>-1.0945301349382541E-2</v>
      </c>
    </row>
    <row r="102" spans="2:7" x14ac:dyDescent="0.2">
      <c r="B102" s="22">
        <v>45352</v>
      </c>
      <c r="C102" s="23">
        <v>143.07212659999999</v>
      </c>
      <c r="D102" s="33">
        <f>PE_Table[[#This Row],[Price/NAV]]/C101-1</f>
        <v>6.1022694133718858E-3</v>
      </c>
      <c r="E102" s="33">
        <f>E101*(1+PE_Table[[#This Row],[Monthly Return]])</f>
        <v>1.4307212659999982</v>
      </c>
      <c r="F102" s="33">
        <f>MAX(F101,PE_Table[[#This Row],[Growth]])</f>
        <v>1.4377805139999984</v>
      </c>
      <c r="G102" s="8">
        <f>PE_Table[[#This Row],[Growth]]/PE_Table[[#This Row],[High Water Mark]]-1</f>
        <v>-4.9098231136551762E-3</v>
      </c>
    </row>
    <row r="103" spans="2:7" x14ac:dyDescent="0.2">
      <c r="B103" s="22">
        <v>45383</v>
      </c>
      <c r="C103" s="23">
        <v>143.2593018</v>
      </c>
      <c r="D103" s="33">
        <f>PE_Table[[#This Row],[Price/NAV]]/C102-1</f>
        <v>1.3082576211600472E-3</v>
      </c>
      <c r="E103" s="33">
        <f>E102*(1+PE_Table[[#This Row],[Monthly Return]])</f>
        <v>1.4325930179999984</v>
      </c>
      <c r="F103" s="33">
        <f>MAX(F102,PE_Table[[#This Row],[Growth]])</f>
        <v>1.4377805139999984</v>
      </c>
      <c r="G103" s="8">
        <f>PE_Table[[#This Row],[Growth]]/PE_Table[[#This Row],[High Water Mark]]-1</f>
        <v>-3.6079888060021048E-3</v>
      </c>
    </row>
    <row r="104" spans="2:7" x14ac:dyDescent="0.2">
      <c r="B104" s="22">
        <v>45413</v>
      </c>
      <c r="C104" s="23">
        <v>140.0635571</v>
      </c>
      <c r="D104" s="33">
        <f>PE_Table[[#This Row],[Price/NAV]]/C103-1</f>
        <v>-2.2307415014918064E-2</v>
      </c>
      <c r="E104" s="33">
        <f>E103*(1+PE_Table[[#This Row],[Monthly Return]])</f>
        <v>1.4006355709999985</v>
      </c>
      <c r="F104" s="33">
        <f>MAX(F103,PE_Table[[#This Row],[Growth]])</f>
        <v>1.4377805139999984</v>
      </c>
      <c r="G104" s="8">
        <f>PE_Table[[#This Row],[Growth]]/PE_Table[[#This Row],[High Water Mark]]-1</f>
        <v>-2.5834918917255534E-2</v>
      </c>
    </row>
    <row r="105" spans="2:7" x14ac:dyDescent="0.2">
      <c r="B105" s="22">
        <v>45444</v>
      </c>
      <c r="C105" s="23">
        <v>139.72559680000001</v>
      </c>
      <c r="D105" s="33">
        <f>PE_Table[[#This Row],[Price/NAV]]/C104-1</f>
        <v>-2.412906733181841E-3</v>
      </c>
      <c r="E105" s="33">
        <f>E104*(1+PE_Table[[#This Row],[Monthly Return]])</f>
        <v>1.3972559679999985</v>
      </c>
      <c r="F105" s="33">
        <f>MAX(F104,PE_Table[[#This Row],[Growth]])</f>
        <v>1.4377805139999984</v>
      </c>
      <c r="G105" s="8">
        <f>PE_Table[[#This Row],[Growth]]/PE_Table[[#This Row],[High Water Mark]]-1</f>
        <v>-2.8185488400630732E-2</v>
      </c>
    </row>
    <row r="106" spans="2:7" x14ac:dyDescent="0.2">
      <c r="B106" s="22">
        <v>45474</v>
      </c>
      <c r="C106" s="23">
        <v>139.6062306</v>
      </c>
      <c r="D106" s="33">
        <f>PE_Table[[#This Row],[Price/NAV]]/C105-1</f>
        <v>-8.5429014249160939E-4</v>
      </c>
      <c r="E106" s="33">
        <f>E105*(1+PE_Table[[#This Row],[Monthly Return]])</f>
        <v>1.3960623059999986</v>
      </c>
      <c r="F106" s="33">
        <f>MAX(F105,PE_Table[[#This Row],[Growth]])</f>
        <v>1.4377805139999984</v>
      </c>
      <c r="G106" s="8">
        <f>PE_Table[[#This Row],[Growth]]/PE_Table[[#This Row],[High Water Mark]]-1</f>
        <v>-2.9015699958220398E-2</v>
      </c>
    </row>
    <row r="107" spans="2:7" x14ac:dyDescent="0.2">
      <c r="B107" s="22">
        <v>45505</v>
      </c>
      <c r="C107" s="23">
        <v>138.20380990000001</v>
      </c>
      <c r="D107" s="33">
        <f>PE_Table[[#This Row],[Price/NAV]]/C106-1</f>
        <v>-1.0045545202192363E-2</v>
      </c>
      <c r="E107" s="33">
        <f>E106*(1+PE_Table[[#This Row],[Monthly Return]])</f>
        <v>1.3820380989999987</v>
      </c>
      <c r="F107" s="33">
        <f>MAX(F106,PE_Table[[#This Row],[Growth]])</f>
        <v>1.4377805139999984</v>
      </c>
      <c r="G107" s="8">
        <f>PE_Table[[#This Row],[Growth]]/PE_Table[[#This Row],[High Water Mark]]-1</f>
        <v>-3.8769766634909164E-2</v>
      </c>
    </row>
    <row r="108" spans="2:7" x14ac:dyDescent="0.2">
      <c r="B108" s="22">
        <v>45536</v>
      </c>
      <c r="C108" s="23">
        <v>138.5872267</v>
      </c>
      <c r="D108" s="33">
        <f>PE_Table[[#This Row],[Price/NAV]]/C107-1</f>
        <v>2.7742853129548717E-3</v>
      </c>
      <c r="E108" s="33">
        <f>E107*(1+PE_Table[[#This Row],[Monthly Return]])</f>
        <v>1.3858722669999985</v>
      </c>
      <c r="F108" s="33">
        <f>MAX(F107,PE_Table[[#This Row],[Growth]])</f>
        <v>1.4377805139999984</v>
      </c>
      <c r="G108" s="8">
        <f>PE_Table[[#This Row],[Growth]]/PE_Table[[#This Row],[High Water Mark]]-1</f>
        <v>-3.610303971611617E-2</v>
      </c>
    </row>
    <row r="109" spans="2:7" x14ac:dyDescent="0.2">
      <c r="B109" s="22">
        <v>45566</v>
      </c>
      <c r="C109" s="23">
        <v>140.53867589999999</v>
      </c>
      <c r="D109" s="33">
        <f>PE_Table[[#This Row],[Price/NAV]]/C108-1</f>
        <v>1.4081017756595093E-2</v>
      </c>
      <c r="E109" s="33">
        <f>E108*(1+PE_Table[[#This Row],[Monthly Return]])</f>
        <v>1.4053867589999982</v>
      </c>
      <c r="F109" s="33">
        <f>MAX(F108,PE_Table[[#This Row],[Growth]])</f>
        <v>1.4377805139999984</v>
      </c>
      <c r="G109" s="8">
        <f>PE_Table[[#This Row],[Growth]]/PE_Table[[#This Row],[High Water Mark]]-1</f>
        <v>-2.2530389502830817E-2</v>
      </c>
    </row>
    <row r="110" spans="2:7" x14ac:dyDescent="0.2">
      <c r="B110" s="22">
        <v>45597</v>
      </c>
      <c r="C110" s="23">
        <v>146.68354930000001</v>
      </c>
      <c r="D110" s="33">
        <f>PE_Table[[#This Row],[Price/NAV]]/C109-1</f>
        <v>4.3723717764157621E-2</v>
      </c>
      <c r="E110" s="33">
        <f>E109*(1+PE_Table[[#This Row],[Monthly Return]])</f>
        <v>1.4668354929999983</v>
      </c>
      <c r="F110" s="33">
        <f>MAX(F109,PE_Table[[#This Row],[Growth]])</f>
        <v>1.4668354929999983</v>
      </c>
      <c r="G110" s="8">
        <f>PE_Table[[#This Row],[Growth]]/PE_Table[[#This Row],[High Water Mark]]-1</f>
        <v>0</v>
      </c>
    </row>
    <row r="111" spans="2:7" x14ac:dyDescent="0.2">
      <c r="B111" s="22">
        <v>45627</v>
      </c>
      <c r="C111" s="23">
        <v>148.0758045</v>
      </c>
      <c r="D111" s="33">
        <f>PE_Table[[#This Row],[Price/NAV]]/C110-1</f>
        <v>9.4915565286228798E-3</v>
      </c>
      <c r="E111" s="33">
        <f>E110*(1+PE_Table[[#This Row],[Monthly Return]])</f>
        <v>1.4807580449999982</v>
      </c>
      <c r="F111" s="33">
        <f>MAX(F110,PE_Table[[#This Row],[Growth]])</f>
        <v>1.4807580449999982</v>
      </c>
      <c r="G111" s="8">
        <f>PE_Table[[#This Row],[Growth]]/PE_Table[[#This Row],[High Water Mark]]-1</f>
        <v>0</v>
      </c>
    </row>
    <row r="112" spans="2:7" x14ac:dyDescent="0.2">
      <c r="B112" s="22">
        <v>45658</v>
      </c>
      <c r="C112" s="23">
        <v>149.72699890000001</v>
      </c>
      <c r="D112" s="33">
        <f>PE_Table[[#This Row],[Price/NAV]]/C111-1</f>
        <v>1.1151007455779238E-2</v>
      </c>
      <c r="E112" s="33">
        <f>E111*(1+PE_Table[[#This Row],[Monthly Return]])</f>
        <v>1.4972699889999983</v>
      </c>
      <c r="F112" s="33">
        <f>MAX(F111,PE_Table[[#This Row],[Growth]])</f>
        <v>1.4972699889999983</v>
      </c>
      <c r="G112" s="8">
        <f>PE_Table[[#This Row],[Growth]]/PE_Table[[#This Row],[High Water Mark]]-1</f>
        <v>0</v>
      </c>
    </row>
    <row r="113" spans="2:7" x14ac:dyDescent="0.2">
      <c r="B113" s="22">
        <v>45689</v>
      </c>
      <c r="C113" s="23">
        <v>150.4024296</v>
      </c>
      <c r="D113" s="33">
        <f>PE_Table[[#This Row],[Price/NAV]]/C112-1</f>
        <v>4.511081534807948E-3</v>
      </c>
      <c r="E113" s="33">
        <f>E112*(1+PE_Table[[#This Row],[Monthly Return]])</f>
        <v>1.5040242959999983</v>
      </c>
      <c r="F113" s="33">
        <f>MAX(F112,PE_Table[[#This Row],[Growth]])</f>
        <v>1.5040242959999983</v>
      </c>
      <c r="G113" s="8">
        <f>PE_Table[[#This Row],[Growth]]/PE_Table[[#This Row],[High Water Mark]]-1</f>
        <v>0</v>
      </c>
    </row>
    <row r="114" spans="2:7" x14ac:dyDescent="0.2">
      <c r="B114" s="22">
        <v>45717</v>
      </c>
      <c r="C114" s="23">
        <v>145.53308720000001</v>
      </c>
      <c r="D114" s="33">
        <f>PE_Table[[#This Row],[Price/NAV]]/C113-1</f>
        <v>-3.2375423807648351E-2</v>
      </c>
      <c r="E114" s="33">
        <f>E113*(1+PE_Table[[#This Row],[Monthly Return]])</f>
        <v>1.4553308719999984</v>
      </c>
      <c r="F114" s="33">
        <f>MAX(F113,PE_Table[[#This Row],[Growth]])</f>
        <v>1.5040242959999983</v>
      </c>
      <c r="G114" s="8">
        <f>PE_Table[[#This Row],[Growth]]/PE_Table[[#This Row],[High Water Mark]]-1</f>
        <v>-3.2375423807648351E-2</v>
      </c>
    </row>
    <row r="115" spans="2:7" x14ac:dyDescent="0.2">
      <c r="B115" s="22">
        <v>45748</v>
      </c>
      <c r="C115" s="23">
        <v>146.32911279999999</v>
      </c>
      <c r="D115" s="33">
        <f>PE_Table[[#This Row],[Price/NAV]]/C114-1</f>
        <v>5.4697224893336394E-3</v>
      </c>
      <c r="E115" s="33">
        <f>E114*(1+PE_Table[[#This Row],[Monthly Return]])</f>
        <v>1.4632911279999983</v>
      </c>
      <c r="F115" s="33">
        <f>MAX(F114,PE_Table[[#This Row],[Growth]])</f>
        <v>1.5040242959999983</v>
      </c>
      <c r="G115" s="8">
        <f>PE_Table[[#This Row],[Growth]]/PE_Table[[#This Row],[High Water Mark]]-1</f>
        <v>-2.7082785902017181E-2</v>
      </c>
    </row>
    <row r="116" spans="2:7" x14ac:dyDescent="0.2">
      <c r="B116" s="22">
        <v>45778</v>
      </c>
      <c r="C116" s="23">
        <v>147.38335609999999</v>
      </c>
      <c r="D116" s="33">
        <f>PE_Table[[#This Row],[Price/NAV]]/C115-1</f>
        <v>7.2046039221254077E-3</v>
      </c>
      <c r="E116" s="33">
        <f>E115*(1+PE_Table[[#This Row],[Monthly Return]])</f>
        <v>1.4738335609999984</v>
      </c>
      <c r="F116" s="33">
        <f>MAX(F115,PE_Table[[#This Row],[Growth]])</f>
        <v>1.5040242959999983</v>
      </c>
      <c r="G116" s="8">
        <f>PE_Table[[#This Row],[Growth]]/PE_Table[[#This Row],[High Water Mark]]-1</f>
        <v>-2.0073302725423514E-2</v>
      </c>
    </row>
    <row r="117" spans="2:7" x14ac:dyDescent="0.2">
      <c r="B117" s="22">
        <v>45809</v>
      </c>
      <c r="C117" s="23">
        <v>155.52847399999999</v>
      </c>
      <c r="D117" s="33">
        <f>PE_Table[[#This Row],[Price/NAV]]/C116-1</f>
        <v>5.5264842079410403E-2</v>
      </c>
      <c r="E117" s="33">
        <f>E116*(1+PE_Table[[#This Row],[Monthly Return]])</f>
        <v>1.5552847399999985</v>
      </c>
      <c r="F117" s="33">
        <f>MAX(F116,PE_Table[[#This Row],[Growth]])</f>
        <v>1.5552847399999985</v>
      </c>
      <c r="G117" s="8">
        <f>PE_Table[[#This Row],[Growth]]/PE_Table[[#This Row],[High Water Mark]]-1</f>
        <v>0</v>
      </c>
    </row>
    <row r="118" spans="2:7" x14ac:dyDescent="0.2">
      <c r="B118" s="22">
        <v>45839</v>
      </c>
      <c r="C118" s="23">
        <v>155.86329269999999</v>
      </c>
      <c r="D118" s="33">
        <f>PE_Table[[#This Row],[Price/NAV]]/C117-1</f>
        <v>2.1527807184682501E-3</v>
      </c>
      <c r="E118" s="33">
        <f>E117*(1+PE_Table[[#This Row],[Monthly Return]])</f>
        <v>1.5586329269999983</v>
      </c>
      <c r="F118" s="33">
        <f>MAX(F117,PE_Table[[#This Row],[Growth]])</f>
        <v>1.5586329269999983</v>
      </c>
      <c r="G118" s="8">
        <f>PE_Table[[#This Row],[Growth]]/PE_Table[[#This Row],[High Water Mark]]-1</f>
        <v>0</v>
      </c>
    </row>
    <row r="119" spans="2:7" x14ac:dyDescent="0.2">
      <c r="B119" s="22">
        <v>45870</v>
      </c>
      <c r="C119" s="23">
        <v>157.73847570000001</v>
      </c>
      <c r="D119" s="33">
        <f>PE_Table[[#This Row],[Price/NAV]]/C118-1</f>
        <v>1.2030946911979479E-2</v>
      </c>
      <c r="E119" s="33">
        <f>E118*(1+PE_Table[[#This Row],[Monthly Return]])</f>
        <v>1.5773847569999986</v>
      </c>
      <c r="F119" s="33">
        <f>MAX(F118,PE_Table[[#This Row],[Growth]])</f>
        <v>1.5773847569999986</v>
      </c>
      <c r="G119" s="8">
        <f>PE_Table[[#This Row],[Growth]]/PE_Table[[#This Row],[High Water Mark]]-1</f>
        <v>0</v>
      </c>
    </row>
    <row r="120" spans="2:7" x14ac:dyDescent="0.2">
      <c r="B120" s="22">
        <v>45901</v>
      </c>
      <c r="C120" s="23">
        <v>158.57539890000001</v>
      </c>
      <c r="D120" s="33">
        <f>PE_Table[[#This Row],[Price/NAV]]/C119-1</f>
        <v>5.3057644705007956E-3</v>
      </c>
      <c r="E120" s="33">
        <f>E119*(1+PE_Table[[#This Row],[Monthly Return]])</f>
        <v>1.5857539889999988</v>
      </c>
      <c r="F120" s="33">
        <f>MAX(F119,PE_Table[[#This Row],[Growth]])</f>
        <v>1.5857539889999988</v>
      </c>
      <c r="G120" s="8">
        <f>PE_Table[[#This Row],[Growth]]/PE_Table[[#This Row],[High Water Mark]]-1</f>
        <v>0</v>
      </c>
    </row>
    <row r="121" spans="2:7" x14ac:dyDescent="0.2">
      <c r="B121" s="22">
        <v>45931</v>
      </c>
      <c r="C121" s="23">
        <v>155.8203796</v>
      </c>
      <c r="D121" s="33">
        <f>PE_Table[[#This Row],[Price/NAV]]/C120-1</f>
        <v>-1.7373560584497572E-2</v>
      </c>
      <c r="E121" s="33">
        <f>E120*(1+PE_Table[[#This Row],[Monthly Return]])</f>
        <v>1.5582037959999986</v>
      </c>
      <c r="F121" s="33">
        <f>MAX(F120,PE_Table[[#This Row],[Growth]])</f>
        <v>1.5857539889999988</v>
      </c>
      <c r="G121" s="8">
        <f>PE_Table[[#This Row],[Growth]]/PE_Table[[#This Row],[High Water Mark]]-1</f>
        <v>-1.7373560584497572E-2</v>
      </c>
    </row>
    <row r="122" spans="2:7" x14ac:dyDescent="0.2">
      <c r="B122" s="22">
        <v>45962</v>
      </c>
      <c r="C122" s="23">
        <v>160.31680359999999</v>
      </c>
      <c r="D122" s="33">
        <f>PE_Table[[#This Row],[Price/NAV]]/C121-1</f>
        <v>2.8856456463157043E-2</v>
      </c>
      <c r="E122" s="33">
        <f>E121*(1+PE_Table[[#This Row],[Monthly Return]])</f>
        <v>1.6031680359999987</v>
      </c>
      <c r="F122" s="33">
        <f>MAX(F121,PE_Table[[#This Row],[Growth]])</f>
        <v>1.6031680359999987</v>
      </c>
      <c r="G122" s="8">
        <f>PE_Table[[#This Row],[Growth]]/PE_Table[[#This Row],[High Water Mark]]-1</f>
        <v>0</v>
      </c>
    </row>
    <row r="123" spans="2:7" x14ac:dyDescent="0.2">
      <c r="B123" s="24">
        <v>45992</v>
      </c>
      <c r="C123" s="25">
        <v>163.68965439999999</v>
      </c>
      <c r="D123" s="33">
        <f>PE_Table[[#This Row],[Price/NAV]]/C122-1</f>
        <v>2.1038660478881921E-2</v>
      </c>
      <c r="E123" s="33">
        <f>E122*(1+PE_Table[[#This Row],[Monthly Return]])</f>
        <v>1.6368965439999985</v>
      </c>
      <c r="F123" s="33">
        <f>MAX(F122,PE_Table[[#This Row],[Growth]])</f>
        <v>1.6368965439999985</v>
      </c>
      <c r="G123" s="8">
        <f>PE_Table[[#This Row],[Growth]]/PE_Table[[#This Row],[High Water Mark]]-1</f>
        <v>0</v>
      </c>
    </row>
  </sheetData>
  <mergeCells count="3">
    <mergeCell ref="I2:J2"/>
    <mergeCell ref="B1:G1"/>
    <mergeCell ref="I15:I17"/>
  </mergeCells>
  <pageMargins left="0.7" right="0.7" top="0.75" bottom="0.75" header="0.3" footer="0.3"/>
  <pageSetup orientation="portrait" verticalDpi="0" r:id="rId1"/>
  <ignoredErrors>
    <ignoredError sqref="D7:G123 E4 D5 F5:G5 D6 F6:G6" calculatedColumn="1"/>
  </ignoredErrors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AA69-4C02-4B42-B2D5-777F9A109844}">
  <dimension ref="B1:C124"/>
  <sheetViews>
    <sheetView topLeftCell="B23" workbookViewId="0"/>
  </sheetViews>
  <sheetFormatPr baseColWidth="10" defaultColWidth="8.83203125" defaultRowHeight="15" x14ac:dyDescent="0.2"/>
  <cols>
    <col min="1" max="1" width="3.5" customWidth="1"/>
    <col min="2" max="3" width="15.5" customWidth="1"/>
  </cols>
  <sheetData>
    <row r="1" spans="2:3" x14ac:dyDescent="0.2">
      <c r="B1" s="206" t="s">
        <v>620</v>
      </c>
      <c r="C1" s="207"/>
    </row>
    <row r="2" spans="2:3" x14ac:dyDescent="0.2">
      <c r="B2" s="36"/>
    </row>
    <row r="3" spans="2:3" ht="16" x14ac:dyDescent="0.2">
      <c r="B3" s="10" t="s">
        <v>4</v>
      </c>
      <c r="C3" s="12" t="s">
        <v>618</v>
      </c>
    </row>
    <row r="4" spans="2:3" x14ac:dyDescent="0.2">
      <c r="B4" s="22">
        <v>42401</v>
      </c>
      <c r="C4" s="37">
        <v>3.0999999999999999E-3</v>
      </c>
    </row>
    <row r="5" spans="2:3" x14ac:dyDescent="0.2">
      <c r="B5" s="22">
        <v>42430</v>
      </c>
      <c r="C5" s="37">
        <v>2.8999999999999998E-3</v>
      </c>
    </row>
    <row r="6" spans="2:3" x14ac:dyDescent="0.2">
      <c r="B6" s="22">
        <v>42461</v>
      </c>
      <c r="C6" s="37">
        <v>2.3E-3</v>
      </c>
    </row>
    <row r="7" spans="2:3" x14ac:dyDescent="0.2">
      <c r="B7" s="22">
        <v>42491</v>
      </c>
      <c r="C7" s="37">
        <v>2.7000000000000001E-3</v>
      </c>
    </row>
    <row r="8" spans="2:3" x14ac:dyDescent="0.2">
      <c r="B8" s="22">
        <v>42522</v>
      </c>
      <c r="C8" s="37">
        <v>2.7000000000000001E-3</v>
      </c>
    </row>
    <row r="9" spans="2:3" x14ac:dyDescent="0.2">
      <c r="B9" s="22">
        <v>42552</v>
      </c>
      <c r="C9" s="37">
        <v>3.0000000000000001E-3</v>
      </c>
    </row>
    <row r="10" spans="2:3" x14ac:dyDescent="0.2">
      <c r="B10" s="22">
        <v>42583</v>
      </c>
      <c r="C10" s="37">
        <v>3.0000000000000001E-3</v>
      </c>
    </row>
    <row r="11" spans="2:3" x14ac:dyDescent="0.2">
      <c r="B11" s="22">
        <v>42614</v>
      </c>
      <c r="C11" s="37">
        <v>2.8999999999999998E-3</v>
      </c>
    </row>
    <row r="12" spans="2:3" x14ac:dyDescent="0.2">
      <c r="B12" s="22">
        <v>42644</v>
      </c>
      <c r="C12" s="37">
        <v>3.3E-3</v>
      </c>
    </row>
    <row r="13" spans="2:3" x14ac:dyDescent="0.2">
      <c r="B13" s="22">
        <v>42675</v>
      </c>
      <c r="C13" s="37">
        <v>4.5000000000000005E-3</v>
      </c>
    </row>
    <row r="14" spans="2:3" x14ac:dyDescent="0.2">
      <c r="B14" s="22">
        <v>42705</v>
      </c>
      <c r="C14" s="37">
        <v>5.1000000000000004E-3</v>
      </c>
    </row>
    <row r="15" spans="2:3" x14ac:dyDescent="0.2">
      <c r="B15" s="22">
        <v>42736</v>
      </c>
      <c r="C15" s="37">
        <v>5.1000000000000004E-3</v>
      </c>
    </row>
    <row r="16" spans="2:3" x14ac:dyDescent="0.2">
      <c r="B16" s="22">
        <v>42767</v>
      </c>
      <c r="C16" s="37">
        <v>5.1999999999999998E-3</v>
      </c>
    </row>
    <row r="17" spans="2:3" x14ac:dyDescent="0.2">
      <c r="B17" s="22">
        <v>42795</v>
      </c>
      <c r="C17" s="37">
        <v>7.4000000000000003E-3</v>
      </c>
    </row>
    <row r="18" spans="2:3" x14ac:dyDescent="0.2">
      <c r="B18" s="22">
        <v>42826</v>
      </c>
      <c r="C18" s="37">
        <v>8.0000000000000002E-3</v>
      </c>
    </row>
    <row r="19" spans="2:3" x14ac:dyDescent="0.2">
      <c r="B19" s="22">
        <v>42856</v>
      </c>
      <c r="C19" s="37">
        <v>8.8999999999999999E-3</v>
      </c>
    </row>
    <row r="20" spans="2:3" x14ac:dyDescent="0.2">
      <c r="B20" s="22">
        <v>42887</v>
      </c>
      <c r="C20" s="37">
        <v>9.7999999999999997E-3</v>
      </c>
    </row>
    <row r="21" spans="2:3" x14ac:dyDescent="0.2">
      <c r="B21" s="22">
        <v>42917</v>
      </c>
      <c r="C21" s="37">
        <v>1.0700000000000001E-2</v>
      </c>
    </row>
    <row r="22" spans="2:3" x14ac:dyDescent="0.2">
      <c r="B22" s="22">
        <v>42948</v>
      </c>
      <c r="C22" s="37">
        <v>1.01E-2</v>
      </c>
    </row>
    <row r="23" spans="2:3" x14ac:dyDescent="0.2">
      <c r="B23" s="22">
        <v>42979</v>
      </c>
      <c r="C23" s="37">
        <v>1.03E-2</v>
      </c>
    </row>
    <row r="24" spans="2:3" x14ac:dyDescent="0.2">
      <c r="B24" s="22">
        <v>43009</v>
      </c>
      <c r="C24" s="37">
        <v>1.0700000000000001E-2</v>
      </c>
    </row>
    <row r="25" spans="2:3" x14ac:dyDescent="0.2">
      <c r="B25" s="22">
        <v>43040</v>
      </c>
      <c r="C25" s="37">
        <v>1.23E-2</v>
      </c>
    </row>
    <row r="26" spans="2:3" x14ac:dyDescent="0.2">
      <c r="B26" s="22">
        <v>43070</v>
      </c>
      <c r="C26" s="37">
        <v>1.32E-2</v>
      </c>
    </row>
    <row r="27" spans="2:3" x14ac:dyDescent="0.2">
      <c r="B27" s="22">
        <v>43101</v>
      </c>
      <c r="C27" s="37">
        <v>1.41E-2</v>
      </c>
    </row>
    <row r="28" spans="2:3" x14ac:dyDescent="0.2">
      <c r="B28" s="22">
        <v>43132</v>
      </c>
      <c r="C28" s="37">
        <v>1.5700000000000002E-2</v>
      </c>
    </row>
    <row r="29" spans="2:3" x14ac:dyDescent="0.2">
      <c r="B29" s="22">
        <v>43160</v>
      </c>
      <c r="C29" s="37">
        <v>1.7000000000000001E-2</v>
      </c>
    </row>
    <row r="30" spans="2:3" x14ac:dyDescent="0.2">
      <c r="B30" s="22">
        <v>43191</v>
      </c>
      <c r="C30" s="37">
        <v>1.7600000000000001E-2</v>
      </c>
    </row>
    <row r="31" spans="2:3" x14ac:dyDescent="0.2">
      <c r="B31" s="22">
        <v>43221</v>
      </c>
      <c r="C31" s="37">
        <v>1.8600000000000002E-2</v>
      </c>
    </row>
    <row r="32" spans="2:3" x14ac:dyDescent="0.2">
      <c r="B32" s="22">
        <v>43252</v>
      </c>
      <c r="C32" s="37">
        <v>1.9E-2</v>
      </c>
    </row>
    <row r="33" spans="2:3" x14ac:dyDescent="0.2">
      <c r="B33" s="22">
        <v>43282</v>
      </c>
      <c r="C33" s="37">
        <v>1.9599999999999999E-2</v>
      </c>
    </row>
    <row r="34" spans="2:3" x14ac:dyDescent="0.2">
      <c r="B34" s="22">
        <v>43313</v>
      </c>
      <c r="C34" s="37">
        <v>2.0299999999999999E-2</v>
      </c>
    </row>
    <row r="35" spans="2:3" x14ac:dyDescent="0.2">
      <c r="B35" s="22">
        <v>43344</v>
      </c>
      <c r="C35" s="37">
        <v>2.1299999999999999E-2</v>
      </c>
    </row>
    <row r="36" spans="2:3" x14ac:dyDescent="0.2">
      <c r="B36" s="22">
        <v>43374</v>
      </c>
      <c r="C36" s="37">
        <v>2.2499999999999999E-2</v>
      </c>
    </row>
    <row r="37" spans="2:3" x14ac:dyDescent="0.2">
      <c r="B37" s="22">
        <v>43405</v>
      </c>
      <c r="C37" s="37">
        <v>2.3300000000000001E-2</v>
      </c>
    </row>
    <row r="38" spans="2:3" x14ac:dyDescent="0.2">
      <c r="B38" s="22">
        <v>43435</v>
      </c>
      <c r="C38" s="37">
        <v>2.3700000000000002E-2</v>
      </c>
    </row>
    <row r="39" spans="2:3" x14ac:dyDescent="0.2">
      <c r="B39" s="24">
        <v>43466</v>
      </c>
      <c r="C39" s="38">
        <v>2.3700000000000002E-2</v>
      </c>
    </row>
    <row r="40" spans="2:3" x14ac:dyDescent="0.2">
      <c r="B40" s="22">
        <v>43497</v>
      </c>
      <c r="C40" s="37">
        <v>2.3900000000000001E-2</v>
      </c>
    </row>
    <row r="41" spans="2:3" x14ac:dyDescent="0.2">
      <c r="B41" s="22">
        <v>43525</v>
      </c>
      <c r="C41" s="37">
        <v>2.4E-2</v>
      </c>
    </row>
    <row r="42" spans="2:3" x14ac:dyDescent="0.2">
      <c r="B42" s="22">
        <v>43556</v>
      </c>
      <c r="C42" s="37">
        <v>2.3799999999999998E-2</v>
      </c>
    </row>
    <row r="43" spans="2:3" x14ac:dyDescent="0.2">
      <c r="B43" s="22">
        <v>43586</v>
      </c>
      <c r="C43" s="37">
        <v>2.35E-2</v>
      </c>
    </row>
    <row r="44" spans="2:3" x14ac:dyDescent="0.2">
      <c r="B44" s="22">
        <v>43617</v>
      </c>
      <c r="C44" s="37">
        <v>2.1700000000000001E-2</v>
      </c>
    </row>
    <row r="45" spans="2:3" x14ac:dyDescent="0.2">
      <c r="B45" s="22">
        <v>43647</v>
      </c>
      <c r="C45" s="37">
        <v>2.1000000000000001E-2</v>
      </c>
    </row>
    <row r="46" spans="2:3" x14ac:dyDescent="0.2">
      <c r="B46" s="22">
        <v>43678</v>
      </c>
      <c r="C46" s="37">
        <v>1.95E-2</v>
      </c>
    </row>
    <row r="47" spans="2:3" x14ac:dyDescent="0.2">
      <c r="B47" s="22">
        <v>43709</v>
      </c>
      <c r="C47" s="37">
        <v>1.89E-2</v>
      </c>
    </row>
    <row r="48" spans="2:3" x14ac:dyDescent="0.2">
      <c r="B48" s="22">
        <v>43739</v>
      </c>
      <c r="C48" s="37">
        <v>1.6500000000000001E-2</v>
      </c>
    </row>
    <row r="49" spans="2:3" x14ac:dyDescent="0.2">
      <c r="B49" s="22">
        <v>43770</v>
      </c>
      <c r="C49" s="37">
        <v>1.54E-2</v>
      </c>
    </row>
    <row r="50" spans="2:3" x14ac:dyDescent="0.2">
      <c r="B50" s="22">
        <v>43800</v>
      </c>
      <c r="C50" s="37">
        <v>1.54E-2</v>
      </c>
    </row>
    <row r="51" spans="2:3" x14ac:dyDescent="0.2">
      <c r="B51" s="22">
        <v>43831</v>
      </c>
      <c r="C51" s="37">
        <v>1.52E-2</v>
      </c>
    </row>
    <row r="52" spans="2:3" x14ac:dyDescent="0.2">
      <c r="B52" s="22">
        <v>43862</v>
      </c>
      <c r="C52" s="37">
        <v>1.52E-2</v>
      </c>
    </row>
    <row r="53" spans="2:3" x14ac:dyDescent="0.2">
      <c r="B53" s="22">
        <v>43891</v>
      </c>
      <c r="C53" s="37">
        <v>2.8999999999999998E-3</v>
      </c>
    </row>
    <row r="54" spans="2:3" x14ac:dyDescent="0.2">
      <c r="B54" s="22">
        <v>43922</v>
      </c>
      <c r="C54" s="37">
        <v>1.4000000000000002E-3</v>
      </c>
    </row>
    <row r="55" spans="2:3" x14ac:dyDescent="0.2">
      <c r="B55" s="22">
        <v>43952</v>
      </c>
      <c r="C55" s="37">
        <v>1.2999999999999999E-3</v>
      </c>
    </row>
    <row r="56" spans="2:3" x14ac:dyDescent="0.2">
      <c r="B56" s="22">
        <v>43983</v>
      </c>
      <c r="C56" s="37">
        <v>1.6000000000000001E-3</v>
      </c>
    </row>
    <row r="57" spans="2:3" x14ac:dyDescent="0.2">
      <c r="B57" s="22">
        <v>44013</v>
      </c>
      <c r="C57" s="37">
        <v>1.2999999999999999E-3</v>
      </c>
    </row>
    <row r="58" spans="2:3" x14ac:dyDescent="0.2">
      <c r="B58" s="22">
        <v>44044</v>
      </c>
      <c r="C58" s="37">
        <v>1E-3</v>
      </c>
    </row>
    <row r="59" spans="2:3" x14ac:dyDescent="0.2">
      <c r="B59" s="22">
        <v>44075</v>
      </c>
      <c r="C59" s="37">
        <v>1.1000000000000001E-3</v>
      </c>
    </row>
    <row r="60" spans="2:3" x14ac:dyDescent="0.2">
      <c r="B60" s="22">
        <v>44105</v>
      </c>
      <c r="C60" s="37">
        <v>1E-3</v>
      </c>
    </row>
    <row r="61" spans="2:3" x14ac:dyDescent="0.2">
      <c r="B61" s="22">
        <v>44136</v>
      </c>
      <c r="C61" s="37">
        <v>8.9999999999999998E-4</v>
      </c>
    </row>
    <row r="62" spans="2:3" x14ac:dyDescent="0.2">
      <c r="B62" s="22">
        <v>44166</v>
      </c>
      <c r="C62" s="37">
        <v>8.9999999999999998E-4</v>
      </c>
    </row>
    <row r="63" spans="2:3" x14ac:dyDescent="0.2">
      <c r="B63" s="22">
        <v>44197</v>
      </c>
      <c r="C63" s="37">
        <v>8.0000000000000004E-4</v>
      </c>
    </row>
    <row r="64" spans="2:3" x14ac:dyDescent="0.2">
      <c r="B64" s="22">
        <v>44228</v>
      </c>
      <c r="C64" s="37">
        <v>4.0000000000000002E-4</v>
      </c>
    </row>
    <row r="65" spans="2:3" x14ac:dyDescent="0.2">
      <c r="B65" s="22">
        <v>44256</v>
      </c>
      <c r="C65" s="37">
        <v>2.9999999999999997E-4</v>
      </c>
    </row>
    <row r="66" spans="2:3" x14ac:dyDescent="0.2">
      <c r="B66" s="22">
        <v>44287</v>
      </c>
      <c r="C66" s="37">
        <v>2.0000000000000001E-4</v>
      </c>
    </row>
    <row r="67" spans="2:3" x14ac:dyDescent="0.2">
      <c r="B67" s="22">
        <v>44317</v>
      </c>
      <c r="C67" s="37">
        <v>2.0000000000000001E-4</v>
      </c>
    </row>
    <row r="68" spans="2:3" x14ac:dyDescent="0.2">
      <c r="B68" s="22">
        <v>44348</v>
      </c>
      <c r="C68" s="37">
        <v>4.0000000000000002E-4</v>
      </c>
    </row>
    <row r="69" spans="2:3" x14ac:dyDescent="0.2">
      <c r="B69" s="22">
        <v>44378</v>
      </c>
      <c r="C69" s="37">
        <v>5.0000000000000001E-4</v>
      </c>
    </row>
    <row r="70" spans="2:3" x14ac:dyDescent="0.2">
      <c r="B70" s="22">
        <v>44409</v>
      </c>
      <c r="C70" s="37">
        <v>5.0000000000000001E-4</v>
      </c>
    </row>
    <row r="71" spans="2:3" x14ac:dyDescent="0.2">
      <c r="B71" s="22">
        <v>44440</v>
      </c>
      <c r="C71" s="37">
        <v>4.0000000000000002E-4</v>
      </c>
    </row>
    <row r="72" spans="2:3" x14ac:dyDescent="0.2">
      <c r="B72" s="22">
        <v>44470</v>
      </c>
      <c r="C72" s="37">
        <v>5.0000000000000001E-4</v>
      </c>
    </row>
    <row r="73" spans="2:3" x14ac:dyDescent="0.2">
      <c r="B73" s="22">
        <v>44501</v>
      </c>
      <c r="C73" s="37">
        <v>5.0000000000000001E-4</v>
      </c>
    </row>
    <row r="74" spans="2:3" x14ac:dyDescent="0.2">
      <c r="B74" s="22">
        <v>44531</v>
      </c>
      <c r="C74" s="37">
        <v>5.9999999999999995E-4</v>
      </c>
    </row>
    <row r="75" spans="2:3" x14ac:dyDescent="0.2">
      <c r="B75" s="22">
        <v>44562</v>
      </c>
      <c r="C75" s="37">
        <v>1.5E-3</v>
      </c>
    </row>
    <row r="76" spans="2:3" x14ac:dyDescent="0.2">
      <c r="B76" s="22">
        <v>44593</v>
      </c>
      <c r="C76" s="37">
        <v>3.3E-3</v>
      </c>
    </row>
    <row r="77" spans="2:3" x14ac:dyDescent="0.2">
      <c r="B77" s="22">
        <v>44621</v>
      </c>
      <c r="C77" s="37">
        <v>4.4000000000000003E-3</v>
      </c>
    </row>
    <row r="78" spans="2:3" x14ac:dyDescent="0.2">
      <c r="B78" s="22">
        <v>44652</v>
      </c>
      <c r="C78" s="37">
        <v>7.6E-3</v>
      </c>
    </row>
    <row r="79" spans="2:3" x14ac:dyDescent="0.2">
      <c r="B79" s="22">
        <v>44682</v>
      </c>
      <c r="C79" s="37">
        <v>9.7999999999999997E-3</v>
      </c>
    </row>
    <row r="80" spans="2:3" x14ac:dyDescent="0.2">
      <c r="B80" s="22">
        <v>44713</v>
      </c>
      <c r="C80" s="37">
        <v>1.49E-2</v>
      </c>
    </row>
    <row r="81" spans="2:3" x14ac:dyDescent="0.2">
      <c r="B81" s="22">
        <v>44743</v>
      </c>
      <c r="C81" s="37">
        <v>2.23E-2</v>
      </c>
    </row>
    <row r="82" spans="2:3" x14ac:dyDescent="0.2">
      <c r="B82" s="22">
        <v>44774</v>
      </c>
      <c r="C82" s="37">
        <v>2.63E-2</v>
      </c>
    </row>
    <row r="83" spans="2:3" x14ac:dyDescent="0.2">
      <c r="B83" s="22">
        <v>44805</v>
      </c>
      <c r="C83" s="37">
        <v>3.1300000000000001E-2</v>
      </c>
    </row>
    <row r="84" spans="2:3" x14ac:dyDescent="0.2">
      <c r="B84" s="22">
        <v>44835</v>
      </c>
      <c r="C84" s="37">
        <v>3.7200000000000004E-2</v>
      </c>
    </row>
    <row r="85" spans="2:3" x14ac:dyDescent="0.2">
      <c r="B85" s="22">
        <v>44866</v>
      </c>
      <c r="C85" s="37">
        <v>4.1500000000000002E-2</v>
      </c>
    </row>
    <row r="86" spans="2:3" x14ac:dyDescent="0.2">
      <c r="B86" s="22">
        <v>44896</v>
      </c>
      <c r="C86" s="37">
        <v>4.2500000000000003E-2</v>
      </c>
    </row>
    <row r="87" spans="2:3" x14ac:dyDescent="0.2">
      <c r="B87" s="22">
        <v>44927</v>
      </c>
      <c r="C87" s="37">
        <v>4.5400000000000003E-2</v>
      </c>
    </row>
    <row r="88" spans="2:3" x14ac:dyDescent="0.2">
      <c r="B88" s="22">
        <v>44958</v>
      </c>
      <c r="C88" s="37">
        <v>4.6500000000000007E-2</v>
      </c>
    </row>
    <row r="89" spans="2:3" x14ac:dyDescent="0.2">
      <c r="B89" s="22">
        <v>44986</v>
      </c>
      <c r="C89" s="37">
        <v>4.6900000000000004E-2</v>
      </c>
    </row>
    <row r="90" spans="2:3" x14ac:dyDescent="0.2">
      <c r="B90" s="22">
        <v>45017</v>
      </c>
      <c r="C90" s="37">
        <v>4.9200000000000001E-2</v>
      </c>
    </row>
    <row r="91" spans="2:3" x14ac:dyDescent="0.2">
      <c r="B91" s="22">
        <v>45047</v>
      </c>
      <c r="C91" s="37">
        <v>5.1399999999999994E-2</v>
      </c>
    </row>
    <row r="92" spans="2:3" x14ac:dyDescent="0.2">
      <c r="B92" s="22">
        <v>45078</v>
      </c>
      <c r="C92" s="37">
        <v>5.16E-2</v>
      </c>
    </row>
    <row r="93" spans="2:3" x14ac:dyDescent="0.2">
      <c r="B93" s="22">
        <v>45108</v>
      </c>
      <c r="C93" s="37">
        <v>5.2499999999999998E-2</v>
      </c>
    </row>
    <row r="94" spans="2:3" x14ac:dyDescent="0.2">
      <c r="B94" s="22">
        <v>45139</v>
      </c>
      <c r="C94" s="37">
        <v>5.2999999999999999E-2</v>
      </c>
    </row>
    <row r="95" spans="2:3" x14ac:dyDescent="0.2">
      <c r="B95" s="22">
        <v>45170</v>
      </c>
      <c r="C95" s="37">
        <v>5.3200000000000004E-2</v>
      </c>
    </row>
    <row r="96" spans="2:3" x14ac:dyDescent="0.2">
      <c r="B96" s="22">
        <v>45200</v>
      </c>
      <c r="C96" s="37">
        <v>5.3399999999999996E-2</v>
      </c>
    </row>
    <row r="97" spans="2:3" x14ac:dyDescent="0.2">
      <c r="B97" s="22">
        <v>45231</v>
      </c>
      <c r="C97" s="37">
        <v>5.2699999999999997E-2</v>
      </c>
    </row>
    <row r="98" spans="2:3" x14ac:dyDescent="0.2">
      <c r="B98" s="22">
        <v>45261</v>
      </c>
      <c r="C98" s="37">
        <v>5.2400000000000002E-2</v>
      </c>
    </row>
    <row r="99" spans="2:3" x14ac:dyDescent="0.2">
      <c r="B99" s="22">
        <v>45292</v>
      </c>
      <c r="C99" s="37">
        <v>5.2199999999999996E-2</v>
      </c>
    </row>
    <row r="100" spans="2:3" x14ac:dyDescent="0.2">
      <c r="B100" s="22">
        <v>45323</v>
      </c>
      <c r="C100" s="37">
        <v>5.2400000000000002E-2</v>
      </c>
    </row>
    <row r="101" spans="2:3" x14ac:dyDescent="0.2">
      <c r="B101" s="22">
        <v>45352</v>
      </c>
      <c r="C101" s="37">
        <v>5.2400000000000002E-2</v>
      </c>
    </row>
    <row r="102" spans="2:3" x14ac:dyDescent="0.2">
      <c r="B102" s="22">
        <v>45383</v>
      </c>
      <c r="C102" s="37">
        <v>5.2400000000000002E-2</v>
      </c>
    </row>
    <row r="103" spans="2:3" x14ac:dyDescent="0.2">
      <c r="B103" s="22">
        <v>45413</v>
      </c>
      <c r="C103" s="37">
        <v>5.2499999999999998E-2</v>
      </c>
    </row>
    <row r="104" spans="2:3" x14ac:dyDescent="0.2">
      <c r="B104" s="22">
        <v>45444</v>
      </c>
      <c r="C104" s="37">
        <v>5.2400000000000002E-2</v>
      </c>
    </row>
    <row r="105" spans="2:3" x14ac:dyDescent="0.2">
      <c r="B105" s="22">
        <v>45474</v>
      </c>
      <c r="C105" s="37">
        <v>5.2000000000000005E-2</v>
      </c>
    </row>
    <row r="106" spans="2:3" x14ac:dyDescent="0.2">
      <c r="B106" s="22">
        <v>45505</v>
      </c>
      <c r="C106" s="37">
        <v>5.0499999999999996E-2</v>
      </c>
    </row>
    <row r="107" spans="2:3" x14ac:dyDescent="0.2">
      <c r="B107" s="22">
        <v>45536</v>
      </c>
      <c r="C107" s="37">
        <v>4.7199999999999999E-2</v>
      </c>
    </row>
    <row r="108" spans="2:3" x14ac:dyDescent="0.2">
      <c r="B108" s="22">
        <v>45566</v>
      </c>
      <c r="C108" s="37">
        <v>4.5100000000000001E-2</v>
      </c>
    </row>
    <row r="109" spans="2:3" x14ac:dyDescent="0.2">
      <c r="B109" s="22">
        <v>45597</v>
      </c>
      <c r="C109" s="37">
        <v>4.4199999999999996E-2</v>
      </c>
    </row>
    <row r="110" spans="2:3" x14ac:dyDescent="0.2">
      <c r="B110" s="22">
        <v>45627</v>
      </c>
      <c r="C110" s="37">
        <v>4.2699999999999995E-2</v>
      </c>
    </row>
    <row r="111" spans="2:3" x14ac:dyDescent="0.2">
      <c r="B111" s="22">
        <v>45658</v>
      </c>
      <c r="C111" s="37">
        <v>4.2099999999999999E-2</v>
      </c>
    </row>
    <row r="112" spans="2:3" x14ac:dyDescent="0.2">
      <c r="B112" s="22">
        <v>45689</v>
      </c>
      <c r="C112" s="37">
        <v>4.2199999999999994E-2</v>
      </c>
    </row>
    <row r="113" spans="2:3" x14ac:dyDescent="0.2">
      <c r="B113" s="22">
        <v>45717</v>
      </c>
      <c r="C113" s="37">
        <v>4.2000000000000003E-2</v>
      </c>
    </row>
    <row r="114" spans="2:3" x14ac:dyDescent="0.2">
      <c r="B114" s="22">
        <v>45748</v>
      </c>
      <c r="C114" s="37">
        <v>4.2099999999999999E-2</v>
      </c>
    </row>
    <row r="115" spans="2:3" x14ac:dyDescent="0.2">
      <c r="B115" s="22">
        <v>45778</v>
      </c>
      <c r="C115" s="37">
        <v>4.2500000000000003E-2</v>
      </c>
    </row>
    <row r="116" spans="2:3" x14ac:dyDescent="0.2">
      <c r="B116" s="22">
        <v>45809</v>
      </c>
      <c r="C116" s="37">
        <v>4.2300000000000004E-2</v>
      </c>
    </row>
    <row r="117" spans="2:3" x14ac:dyDescent="0.2">
      <c r="B117" s="22">
        <v>45839</v>
      </c>
      <c r="C117" s="37">
        <v>4.2500000000000003E-2</v>
      </c>
    </row>
    <row r="118" spans="2:3" x14ac:dyDescent="0.2">
      <c r="B118" s="22">
        <v>45870</v>
      </c>
      <c r="C118" s="37">
        <v>4.1200000000000001E-2</v>
      </c>
    </row>
    <row r="119" spans="2:3" x14ac:dyDescent="0.2">
      <c r="B119" s="22">
        <v>45901</v>
      </c>
      <c r="C119" s="37">
        <v>3.9199999999999999E-2</v>
      </c>
    </row>
    <row r="120" spans="2:3" x14ac:dyDescent="0.2">
      <c r="B120" s="22">
        <v>45931</v>
      </c>
      <c r="C120" s="37">
        <v>3.8199999999999998E-2</v>
      </c>
    </row>
    <row r="121" spans="2:3" x14ac:dyDescent="0.2">
      <c r="B121" s="22">
        <v>45962</v>
      </c>
      <c r="C121" s="37">
        <v>3.78E-2</v>
      </c>
    </row>
    <row r="122" spans="2:3" x14ac:dyDescent="0.2">
      <c r="B122" s="22">
        <v>45992</v>
      </c>
      <c r="C122" s="37">
        <v>3.5900000000000001E-2</v>
      </c>
    </row>
    <row r="123" spans="2:3" x14ac:dyDescent="0.2">
      <c r="B123" s="22">
        <v>46023</v>
      </c>
      <c r="C123" s="37">
        <v>3.5699999999999996E-2</v>
      </c>
    </row>
    <row r="124" spans="2:3" x14ac:dyDescent="0.2">
      <c r="B124" s="22">
        <v>46054</v>
      </c>
      <c r="C124" s="37">
        <v>3.6000000000000004E-2</v>
      </c>
    </row>
  </sheetData>
  <mergeCells count="1">
    <mergeCell ref="B1:C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0766-4FD9-4F4D-B16C-DD4BA2CF1B16}">
  <dimension ref="B1:H119"/>
  <sheetViews>
    <sheetView workbookViewId="0">
      <selection activeCell="H4" sqref="H4"/>
    </sheetView>
  </sheetViews>
  <sheetFormatPr baseColWidth="10" defaultColWidth="8.83203125" defaultRowHeight="15" x14ac:dyDescent="0.2"/>
  <cols>
    <col min="1" max="1" width="3.5" customWidth="1"/>
    <col min="2" max="8" width="15.5" customWidth="1"/>
  </cols>
  <sheetData>
    <row r="1" spans="2:8" x14ac:dyDescent="0.2">
      <c r="B1" s="190" t="s">
        <v>653</v>
      </c>
      <c r="C1" s="191"/>
      <c r="D1" s="191"/>
      <c r="E1" s="191"/>
      <c r="F1" s="191"/>
      <c r="G1" s="191"/>
      <c r="H1" s="191"/>
    </row>
    <row r="2" spans="2:8" x14ac:dyDescent="0.2">
      <c r="B2" s="103"/>
    </row>
    <row r="3" spans="2:8" ht="16" x14ac:dyDescent="0.2">
      <c r="B3" s="10" t="s">
        <v>4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12</v>
      </c>
      <c r="H3" s="11" t="s">
        <v>37</v>
      </c>
    </row>
    <row r="4" spans="2:8" x14ac:dyDescent="0.2">
      <c r="B4" s="5" cm="1">
        <f t="array" ref="B4">IF(EDATE(StartDate,ROW(AssetMonthlyReturns[#This Row])-ROW(AssetMonthlyReturns[#Headers])-1)&lt;=EndDate,EDATE(StartDate,ROW(AssetMonthlyReturns[#This Row])-ROW(AssetMonthlyReturns[#Headers])),"")</f>
        <v>42491</v>
      </c>
      <c r="C4" s="2">
        <f>_xlfn.XLOOKUP(AssetMonthlyReturns[[#This Row],[Date]],SPY_Table[Date],SPY_Table[Monthly Return])</f>
        <v>1.7011651535903782E-2</v>
      </c>
      <c r="D4" s="2">
        <f>_xlfn.XLOOKUP(AssetMonthlyReturns[[#This Row],[Date]],AGG_Table[Date],AGG_Table[Monthly Return])</f>
        <v>2.9026394720244042E-4</v>
      </c>
      <c r="E4" s="2">
        <f>_xlfn.XLOOKUP(AssetMonthlyReturns[[#This Row],[Date]],GLD_Table[Date],GLD_Table[Monthly Return])</f>
        <v>-6.1382966501621894E-2</v>
      </c>
      <c r="F4" s="2">
        <f>_xlfn.XLOOKUP(AssetMonthlyReturns[[#This Row],[Date]],VNQ_Table[Date],VNQ_Table[Monthly Return])</f>
        <v>2.2485391030911295E-2</v>
      </c>
      <c r="G4" s="6">
        <f>_xlfn.XLOOKUP(AssetMonthlyReturns[[#This Row],[Date]],PE_Table[Date],PE_Table[Monthly Return])</f>
        <v>1.3169320536186024E-3</v>
      </c>
      <c r="H4" s="93">
        <f>SUMPRODUCT(_xlfn.TOROW(OptimizePortfolio[Weight]),AssetMonthlyReturns[[#This Row],[SPY]:[PE]])</f>
        <v>-3.7670501568628388E-3</v>
      </c>
    </row>
    <row r="5" spans="2:8" x14ac:dyDescent="0.2">
      <c r="B5" s="5" cm="1">
        <f t="array" ref="B5">IF(EDATE(StartDate,ROW(AssetMonthlyReturns[#This Row])-ROW(AssetMonthlyReturns[#Headers])-1)&lt;=EndDate,EDATE(StartDate,ROW(AssetMonthlyReturns[#This Row])-ROW(AssetMonthlyReturns[#Headers])),"")</f>
        <v>42522</v>
      </c>
      <c r="C5" s="2">
        <f>_xlfn.XLOOKUP(AssetMonthlyReturns[[#This Row],[Date]],SPY_Table[Date],SPY_Table[Monthly Return])</f>
        <v>-1.7157356565408177E-3</v>
      </c>
      <c r="D5" s="2">
        <f>_xlfn.XLOOKUP(AssetMonthlyReturns[[#This Row],[Date]],AGG_Table[Date],AGG_Table[Monthly Return])</f>
        <v>1.922864583548356E-2</v>
      </c>
      <c r="E5" s="2">
        <f>_xlfn.XLOOKUP(AssetMonthlyReturns[[#This Row],[Date]],GLD_Table[Date],GLD_Table[Monthly Return])</f>
        <v>8.9695018225642187E-2</v>
      </c>
      <c r="F5" s="2">
        <f>_xlfn.XLOOKUP(AssetMonthlyReturns[[#This Row],[Date]],VNQ_Table[Date],VNQ_Table[Monthly Return])</f>
        <v>5.975904156060996E-2</v>
      </c>
      <c r="G5" s="6">
        <f>_xlfn.XLOOKUP(AssetMonthlyReturns[[#This Row],[Date]],PE_Table[Date],PE_Table[Monthly Return])</f>
        <v>1.3172614488652368E-3</v>
      </c>
      <c r="H5" s="93">
        <f>SUMPRODUCT(_xlfn.TOROW(OptimizePortfolio[Weight]),AssetMonthlyReturns[[#This Row],[SPY]:[PE]])</f>
        <v>2.6462149486495726E-2</v>
      </c>
    </row>
    <row r="6" spans="2:8" x14ac:dyDescent="0.2">
      <c r="B6" s="5" cm="1">
        <f t="array" ref="B6">IF(EDATE(StartDate,ROW(AssetMonthlyReturns[#This Row])-ROW(AssetMonthlyReturns[#Headers])-1)&lt;=EndDate,EDATE(StartDate,ROW(AssetMonthlyReturns[#This Row])-ROW(AssetMonthlyReturns[#Headers])),"")</f>
        <v>42552</v>
      </c>
      <c r="C6" s="2">
        <f>_xlfn.XLOOKUP(AssetMonthlyReturns[[#This Row],[Date]],SPY_Table[Date],SPY_Table[Monthly Return])</f>
        <v>4.1861446904944977E-2</v>
      </c>
      <c r="D6" s="2">
        <f>_xlfn.XLOOKUP(AssetMonthlyReturns[[#This Row],[Date]],AGG_Table[Date],AGG_Table[Monthly Return])</f>
        <v>5.5316067261417246E-3</v>
      </c>
      <c r="E6" s="2">
        <f>_xlfn.XLOOKUP(AssetMonthlyReturns[[#This Row],[Date]],GLD_Table[Date],GLD_Table[Monthly Return])</f>
        <v>1.9846560260805779E-2</v>
      </c>
      <c r="F6" s="2">
        <f>_xlfn.XLOOKUP(AssetMonthlyReturns[[#This Row],[Date]],VNQ_Table[Date],VNQ_Table[Monthly Return])</f>
        <v>5.2001559352488513E-2</v>
      </c>
      <c r="G6" s="6">
        <f>_xlfn.XLOOKUP(AssetMonthlyReturns[[#This Row],[Date]],PE_Table[Date],PE_Table[Monthly Return])</f>
        <v>3.7584255560577651E-2</v>
      </c>
      <c r="H6" s="93">
        <f>SUMPRODUCT(_xlfn.TOROW(OptimizePortfolio[Weight]),AssetMonthlyReturns[[#This Row],[SPY]:[PE]])</f>
        <v>3.2167566525177535E-2</v>
      </c>
    </row>
    <row r="7" spans="2:8" x14ac:dyDescent="0.2">
      <c r="B7" s="5" cm="1">
        <f t="array" ref="B7">IF(EDATE(StartDate,ROW(AssetMonthlyReturns[#This Row])-ROW(AssetMonthlyReturns[#Headers])-1)&lt;=EndDate,EDATE(StartDate,ROW(AssetMonthlyReturns[#This Row])-ROW(AssetMonthlyReturns[#Headers])),"")</f>
        <v>42583</v>
      </c>
      <c r="C7" s="2">
        <f>_xlfn.XLOOKUP(AssetMonthlyReturns[[#This Row],[Date]],SPY_Table[Date],SPY_Table[Monthly Return])</f>
        <v>1.1975977931220072E-3</v>
      </c>
      <c r="D7" s="2">
        <f>_xlfn.XLOOKUP(AssetMonthlyReturns[[#This Row],[Date]],AGG_Table[Date],AGG_Table[Monthly Return])</f>
        <v>-2.1037734235348493E-3</v>
      </c>
      <c r="E7" s="2">
        <f>_xlfn.XLOOKUP(AssetMonthlyReturns[[#This Row],[Date]],GLD_Table[Date],GLD_Table[Monthly Return])</f>
        <v>-3.2563165142049932E-2</v>
      </c>
      <c r="F7" s="2">
        <f>_xlfn.XLOOKUP(AssetMonthlyReturns[[#This Row],[Date]],VNQ_Table[Date],VNQ_Table[Monthly Return])</f>
        <v>-3.7642218310031894E-2</v>
      </c>
      <c r="G7" s="6">
        <f>_xlfn.XLOOKUP(AssetMonthlyReturns[[#This Row],[Date]],PE_Table[Date],PE_Table[Monthly Return])</f>
        <v>2.1348695296018683E-2</v>
      </c>
      <c r="H7" s="93">
        <f>SUMPRODUCT(_xlfn.TOROW(OptimizePortfolio[Weight]),AssetMonthlyReturns[[#This Row],[SPY]:[PE]])</f>
        <v>-5.9035225861469648E-3</v>
      </c>
    </row>
    <row r="8" spans="2:8" x14ac:dyDescent="0.2">
      <c r="B8" s="5" cm="1">
        <f t="array" ref="B8">IF(EDATE(StartDate,ROW(AssetMonthlyReturns[#This Row])-ROW(AssetMonthlyReturns[#Headers])-1)&lt;=EndDate,EDATE(StartDate,ROW(AssetMonthlyReturns[#This Row])-ROW(AssetMonthlyReturns[#Headers])),"")</f>
        <v>42614</v>
      </c>
      <c r="C8" s="2">
        <f>_xlfn.XLOOKUP(AssetMonthlyReturns[[#This Row],[Date]],SPY_Table[Date],SPY_Table[Monthly Return])</f>
        <v>-4.9684462402495022E-3</v>
      </c>
      <c r="D8" s="2">
        <f>_xlfn.XLOOKUP(AssetMonthlyReturns[[#This Row],[Date]],AGG_Table[Date],AGG_Table[Monthly Return])</f>
        <v>5.0028302262616897E-4</v>
      </c>
      <c r="E8" s="2">
        <f>_xlfn.XLOOKUP(AssetMonthlyReturns[[#This Row],[Date]],GLD_Table[Date],GLD_Table[Monthly Return])</f>
        <v>6.8921350238062562E-3</v>
      </c>
      <c r="F8" s="2">
        <f>_xlfn.XLOOKUP(AssetMonthlyReturns[[#This Row],[Date]],VNQ_Table[Date],VNQ_Table[Monthly Return])</f>
        <v>-2.5064437253971672E-2</v>
      </c>
      <c r="G8" s="6">
        <f>_xlfn.XLOOKUP(AssetMonthlyReturns[[#This Row],[Date]],PE_Table[Date],PE_Table[Monthly Return])</f>
        <v>-3.3894878103557513E-3</v>
      </c>
      <c r="H8" s="93">
        <f>SUMPRODUCT(_xlfn.TOROW(OptimizePortfolio[Weight]),AssetMonthlyReturns[[#This Row],[SPY]:[PE]])</f>
        <v>-3.4698280134004668E-3</v>
      </c>
    </row>
    <row r="9" spans="2:8" x14ac:dyDescent="0.2">
      <c r="B9" s="5" cm="1">
        <f t="array" ref="B9">IF(EDATE(StartDate,ROW(AssetMonthlyReturns[#This Row])-ROW(AssetMonthlyReturns[#Headers])-1)&lt;=EndDate,EDATE(StartDate,ROW(AssetMonthlyReturns[#This Row])-ROW(AssetMonthlyReturns[#Headers])),"")</f>
        <v>42644</v>
      </c>
      <c r="C9" s="2">
        <f>_xlfn.XLOOKUP(AssetMonthlyReturns[[#This Row],[Date]],SPY_Table[Date],SPY_Table[Monthly Return])</f>
        <v>-1.2352883888071098E-2</v>
      </c>
      <c r="D9" s="2">
        <f>_xlfn.XLOOKUP(AssetMonthlyReturns[[#This Row],[Date]],AGG_Table[Date],AGG_Table[Monthly Return])</f>
        <v>-8.1297852577106866E-3</v>
      </c>
      <c r="E9" s="2">
        <f>_xlfn.XLOOKUP(AssetMonthlyReturns[[#This Row],[Date]],GLD_Table[Date],GLD_Table[Monthly Return])</f>
        <v>-2.9449196256522758E-2</v>
      </c>
      <c r="F9" s="2">
        <f>_xlfn.XLOOKUP(AssetMonthlyReturns[[#This Row],[Date]],VNQ_Table[Date],VNQ_Table[Monthly Return])</f>
        <v>-5.0897406371955833E-2</v>
      </c>
      <c r="G9" s="6">
        <f>_xlfn.XLOOKUP(AssetMonthlyReturns[[#This Row],[Date]],PE_Table[Date],PE_Table[Monthly Return])</f>
        <v>1.6851200804052446E-2</v>
      </c>
      <c r="H9" s="93">
        <f>SUMPRODUCT(_xlfn.TOROW(OptimizePortfolio[Weight]),AssetMonthlyReturns[[#This Row],[SPY]:[PE]])</f>
        <v>-1.3152316877171132E-2</v>
      </c>
    </row>
    <row r="10" spans="2:8" x14ac:dyDescent="0.2">
      <c r="B10" s="5" cm="1">
        <f t="array" ref="B10">IF(EDATE(StartDate,ROW(AssetMonthlyReturns[#This Row])-ROW(AssetMonthlyReturns[#Headers])-1)&lt;=EndDate,EDATE(StartDate,ROW(AssetMonthlyReturns[#This Row])-ROW(AssetMonthlyReturns[#Headers])),"")</f>
        <v>42675</v>
      </c>
      <c r="C10" s="2">
        <f>_xlfn.XLOOKUP(AssetMonthlyReturns[[#This Row],[Date]],SPY_Table[Date],SPY_Table[Monthly Return])</f>
        <v>3.6817069326516627E-2</v>
      </c>
      <c r="D10" s="2">
        <f>_xlfn.XLOOKUP(AssetMonthlyReturns[[#This Row],[Date]],AGG_Table[Date],AGG_Table[Monthly Return])</f>
        <v>-2.5734096474718582E-2</v>
      </c>
      <c r="E10" s="2">
        <f>_xlfn.XLOOKUP(AssetMonthlyReturns[[#This Row],[Date]],GLD_Table[Date],GLD_Table[Monthly Return])</f>
        <v>-8.3565706080386271E-2</v>
      </c>
      <c r="F10" s="2">
        <f>_xlfn.XLOOKUP(AssetMonthlyReturns[[#This Row],[Date]],VNQ_Table[Date],VNQ_Table[Monthly Return])</f>
        <v>-1.675666317958735E-2</v>
      </c>
      <c r="G10" s="6">
        <f>_xlfn.XLOOKUP(AssetMonthlyReturns[[#This Row],[Date]],PE_Table[Date],PE_Table[Monthly Return])</f>
        <v>-3.2683539177607024E-3</v>
      </c>
      <c r="H10" s="93">
        <f>SUMPRODUCT(_xlfn.TOROW(OptimizePortfolio[Weight]),AssetMonthlyReturns[[#This Row],[SPY]:[PE]])</f>
        <v>-1.0016618524515098E-2</v>
      </c>
    </row>
    <row r="11" spans="2:8" x14ac:dyDescent="0.2">
      <c r="B11" s="5" cm="1">
        <f t="array" ref="B11">IF(EDATE(StartDate,ROW(AssetMonthlyReturns[#This Row])-ROW(AssetMonthlyReturns[#Headers])-1)&lt;=EndDate,EDATE(StartDate,ROW(AssetMonthlyReturns[#This Row])-ROW(AssetMonthlyReturns[#Headers])),"")</f>
        <v>42705</v>
      </c>
      <c r="C11" s="2">
        <f>_xlfn.XLOOKUP(AssetMonthlyReturns[[#This Row],[Date]],SPY_Table[Date],SPY_Table[Monthly Return])</f>
        <v>1.4290220364685968E-2</v>
      </c>
      <c r="D11" s="2">
        <f>_xlfn.XLOOKUP(AssetMonthlyReturns[[#This Row],[Date]],AGG_Table[Date],AGG_Table[Monthly Return])</f>
        <v>2.2461825514374922E-4</v>
      </c>
      <c r="E11" s="2">
        <f>_xlfn.XLOOKUP(AssetMonthlyReturns[[#This Row],[Date]],GLD_Table[Date],GLD_Table[Monthly Return])</f>
        <v>-1.9149882774049165E-2</v>
      </c>
      <c r="F11" s="2">
        <f>_xlfn.XLOOKUP(AssetMonthlyReturns[[#This Row],[Date]],VNQ_Table[Date],VNQ_Table[Monthly Return])</f>
        <v>2.6620485778459768E-2</v>
      </c>
      <c r="G11" s="6">
        <f>_xlfn.XLOOKUP(AssetMonthlyReturns[[#This Row],[Date]],PE_Table[Date],PE_Table[Monthly Return])</f>
        <v>-3.3145954819426837E-3</v>
      </c>
      <c r="H11" s="93">
        <f>SUMPRODUCT(_xlfn.TOROW(OptimizePortfolio[Weight]),AssetMonthlyReturns[[#This Row],[SPY]:[PE]])</f>
        <v>3.204422792559258E-3</v>
      </c>
    </row>
    <row r="12" spans="2:8" x14ac:dyDescent="0.2">
      <c r="B12" s="5" cm="1">
        <f t="array" ref="B12">IF(EDATE(StartDate,ROW(AssetMonthlyReturns[#This Row])-ROW(AssetMonthlyReturns[#Headers])-1)&lt;=EndDate,EDATE(StartDate,ROW(AssetMonthlyReturns[#This Row])-ROW(AssetMonthlyReturns[#Headers])),"")</f>
        <v>42736</v>
      </c>
      <c r="C12" s="2">
        <f>_xlfn.XLOOKUP(AssetMonthlyReturns[[#This Row],[Date]],SPY_Table[Date],SPY_Table[Monthly Return])</f>
        <v>2.3897592335190732E-2</v>
      </c>
      <c r="D12" s="2">
        <f>_xlfn.XLOOKUP(AssetMonthlyReturns[[#This Row],[Date]],AGG_Table[Date],AGG_Table[Monthly Return])</f>
        <v>6.3483968855710948E-3</v>
      </c>
      <c r="E12" s="2">
        <f>_xlfn.XLOOKUP(AssetMonthlyReturns[[#This Row],[Date]],GLD_Table[Date],GLD_Table[Monthly Return])</f>
        <v>5.4192158265529589E-2</v>
      </c>
      <c r="F12" s="2">
        <f>_xlfn.XLOOKUP(AssetMonthlyReturns[[#This Row],[Date]],VNQ_Table[Date],VNQ_Table[Monthly Return])</f>
        <v>1.9012761863907768E-2</v>
      </c>
      <c r="G12" s="6">
        <f>_xlfn.XLOOKUP(AssetMonthlyReturns[[#This Row],[Date]],PE_Table[Date],PE_Table[Monthly Return])</f>
        <v>1.0839245275833687E-2</v>
      </c>
      <c r="H12" s="93">
        <f>SUMPRODUCT(_xlfn.TOROW(OptimizePortfolio[Weight]),AssetMonthlyReturns[[#This Row],[SPY]:[PE]])</f>
        <v>2.4223973744815858E-2</v>
      </c>
    </row>
    <row r="13" spans="2:8" x14ac:dyDescent="0.2">
      <c r="B13" s="5" cm="1">
        <f t="array" ref="B13">IF(EDATE(StartDate,ROW(AssetMonthlyReturns[#This Row])-ROW(AssetMonthlyReturns[#Headers])-1)&lt;=EndDate,EDATE(StartDate,ROW(AssetMonthlyReturns[#This Row])-ROW(AssetMonthlyReturns[#Headers])),"")</f>
        <v>42767</v>
      </c>
      <c r="C13" s="2">
        <f>_xlfn.XLOOKUP(AssetMonthlyReturns[[#This Row],[Date]],SPY_Table[Date],SPY_Table[Monthly Return])</f>
        <v>3.9291626156118475E-2</v>
      </c>
      <c r="D13" s="2">
        <f>_xlfn.XLOOKUP(AssetMonthlyReturns[[#This Row],[Date]],AGG_Table[Date],AGG_Table[Monthly Return])</f>
        <v>4.4329676681063024E-3</v>
      </c>
      <c r="E13" s="2">
        <f>_xlfn.XLOOKUP(AssetMonthlyReturns[[#This Row],[Date]],GLD_Table[Date],GLD_Table[Monthly Return])</f>
        <v>3.1847686726717228E-2</v>
      </c>
      <c r="F13" s="2">
        <f>_xlfn.XLOOKUP(AssetMonthlyReturns[[#This Row],[Date]],VNQ_Table[Date],VNQ_Table[Monthly Return])</f>
        <v>3.5085431932708522E-2</v>
      </c>
      <c r="G13" s="6">
        <f>_xlfn.XLOOKUP(AssetMonthlyReturns[[#This Row],[Date]],PE_Table[Date],PE_Table[Monthly Return])</f>
        <v>-3.226560420243807E-2</v>
      </c>
      <c r="H13" s="93">
        <f>SUMPRODUCT(_xlfn.TOROW(OptimizePortfolio[Weight]),AssetMonthlyReturns[[#This Row],[SPY]:[PE]])</f>
        <v>1.7841974002984099E-2</v>
      </c>
    </row>
    <row r="14" spans="2:8" x14ac:dyDescent="0.2">
      <c r="B14" s="5" cm="1">
        <f t="array" ref="B14">IF(EDATE(StartDate,ROW(AssetMonthlyReturns[#This Row])-ROW(AssetMonthlyReturns[#Headers])-1)&lt;=EndDate,EDATE(StartDate,ROW(AssetMonthlyReturns[#This Row])-ROW(AssetMonthlyReturns[#Headers])),"")</f>
        <v>42795</v>
      </c>
      <c r="C14" s="2">
        <f>_xlfn.XLOOKUP(AssetMonthlyReturns[[#This Row],[Date]],SPY_Table[Date],SPY_Table[Monthly Return])</f>
        <v>-3.0872040411150659E-3</v>
      </c>
      <c r="D14" s="2">
        <f>_xlfn.XLOOKUP(AssetMonthlyReturns[[#This Row],[Date]],AGG_Table[Date],AGG_Table[Monthly Return])</f>
        <v>-5.6267033456036675E-4</v>
      </c>
      <c r="E14" s="2">
        <f>_xlfn.XLOOKUP(AssetMonthlyReturns[[#This Row],[Date]],GLD_Table[Date],GLD_Table[Monthly Return])</f>
        <v>-4.2774652810251279E-3</v>
      </c>
      <c r="F14" s="2">
        <f>_xlfn.XLOOKUP(AssetMonthlyReturns[[#This Row],[Date]],VNQ_Table[Date],VNQ_Table[Monthly Return])</f>
        <v>-3.1315955680569774E-2</v>
      </c>
      <c r="G14" s="6">
        <f>_xlfn.XLOOKUP(AssetMonthlyReturns[[#This Row],[Date]],PE_Table[Date],PE_Table[Monthly Return])</f>
        <v>-2.8498357238295302E-2</v>
      </c>
      <c r="H14" s="93">
        <f>SUMPRODUCT(_xlfn.TOROW(OptimizePortfolio[Weight]),AssetMonthlyReturns[[#This Row],[SPY]:[PE]])</f>
        <v>-1.0851682036495391E-2</v>
      </c>
    </row>
    <row r="15" spans="2:8" x14ac:dyDescent="0.2">
      <c r="B15" s="5" cm="1">
        <f t="array" ref="B15">IF(EDATE(StartDate,ROW(AssetMonthlyReturns[#This Row])-ROW(AssetMonthlyReturns[#Headers])-1)&lt;=EndDate,EDATE(StartDate,ROW(AssetMonthlyReturns[#This Row])-ROW(AssetMonthlyReturns[#Headers])),"")</f>
        <v>42826</v>
      </c>
      <c r="C15" s="2">
        <f>_xlfn.XLOOKUP(AssetMonthlyReturns[[#This Row],[Date]],SPY_Table[Date],SPY_Table[Monthly Return])</f>
        <v>1.4319920718273371E-2</v>
      </c>
      <c r="D15" s="2">
        <f>_xlfn.XLOOKUP(AssetMonthlyReturns[[#This Row],[Date]],AGG_Table[Date],AGG_Table[Monthly Return])</f>
        <v>9.0465365744201165E-3</v>
      </c>
      <c r="E15" s="2">
        <f>_xlfn.XLOOKUP(AssetMonthlyReturns[[#This Row],[Date]],GLD_Table[Date],GLD_Table[Monthly Return])</f>
        <v>1.7267481294466203E-2</v>
      </c>
      <c r="F15" s="2">
        <f>_xlfn.XLOOKUP(AssetMonthlyReturns[[#This Row],[Date]],VNQ_Table[Date],VNQ_Table[Monthly Return])</f>
        <v>9.7471824388566386E-3</v>
      </c>
      <c r="G15" s="6">
        <f>_xlfn.XLOOKUP(AssetMonthlyReturns[[#This Row],[Date]],PE_Table[Date],PE_Table[Monthly Return])</f>
        <v>-5.2457501581654187E-3</v>
      </c>
      <c r="H15" s="93">
        <f>SUMPRODUCT(_xlfn.TOROW(OptimizePortfolio[Weight]),AssetMonthlyReturns[[#This Row],[SPY]:[PE]])</f>
        <v>9.7480172087045184E-3</v>
      </c>
    </row>
    <row r="16" spans="2:8" x14ac:dyDescent="0.2">
      <c r="B16" s="5" cm="1">
        <f t="array" ref="B16">IF(EDATE(StartDate,ROW(AssetMonthlyReturns[#This Row])-ROW(AssetMonthlyReturns[#Headers])-1)&lt;=EndDate,EDATE(StartDate,ROW(AssetMonthlyReturns[#This Row])-ROW(AssetMonthlyReturns[#Headers])),"")</f>
        <v>42856</v>
      </c>
      <c r="C16" s="2">
        <f>_xlfn.XLOOKUP(AssetMonthlyReturns[[#This Row],[Date]],SPY_Table[Date],SPY_Table[Monthly Return])</f>
        <v>1.4112729624174758E-2</v>
      </c>
      <c r="D16" s="2">
        <f>_xlfn.XLOOKUP(AssetMonthlyReturns[[#This Row],[Date]],AGG_Table[Date],AGG_Table[Monthly Return])</f>
        <v>6.7281865408899133E-3</v>
      </c>
      <c r="E16" s="2">
        <f>_xlfn.XLOOKUP(AssetMonthlyReturns[[#This Row],[Date]],GLD_Table[Date],GLD_Table[Monthly Return])</f>
        <v>-1.2419798312720554E-3</v>
      </c>
      <c r="F16" s="2">
        <f>_xlfn.XLOOKUP(AssetMonthlyReturns[[#This Row],[Date]],VNQ_Table[Date],VNQ_Table[Monthly Return])</f>
        <v>-7.2469064917095594E-3</v>
      </c>
      <c r="G16" s="6">
        <f>_xlfn.XLOOKUP(AssetMonthlyReturns[[#This Row],[Date]],PE_Table[Date],PE_Table[Monthly Return])</f>
        <v>-1.4256622294335553E-2</v>
      </c>
      <c r="H16" s="93">
        <f>SUMPRODUCT(_xlfn.TOROW(OptimizePortfolio[Weight]),AssetMonthlyReturns[[#This Row],[SPY]:[PE]])</f>
        <v>2.1242722753021743E-3</v>
      </c>
    </row>
    <row r="17" spans="2:8" x14ac:dyDescent="0.2">
      <c r="B17" s="5" cm="1">
        <f t="array" ref="B17">IF(EDATE(StartDate,ROW(AssetMonthlyReturns[#This Row])-ROW(AssetMonthlyReturns[#Headers])-1)&lt;=EndDate,EDATE(StartDate,ROW(AssetMonthlyReturns[#This Row])-ROW(AssetMonthlyReturns[#Headers])),"")</f>
        <v>42887</v>
      </c>
      <c r="C17" s="2">
        <f>_xlfn.XLOOKUP(AssetMonthlyReturns[[#This Row],[Date]],SPY_Table[Date],SPY_Table[Monthly Return])</f>
        <v>1.4911761509768251E-3</v>
      </c>
      <c r="D17" s="2">
        <f>_xlfn.XLOOKUP(AssetMonthlyReturns[[#This Row],[Date]],AGG_Table[Date],AGG_Table[Monthly Return])</f>
        <v>-9.1013807864803731E-5</v>
      </c>
      <c r="E17" s="2">
        <f>_xlfn.XLOOKUP(AssetMonthlyReturns[[#This Row],[Date]],GLD_Table[Date],GLD_Table[Monthly Return])</f>
        <v>-2.155534771845935E-2</v>
      </c>
      <c r="F17" s="2">
        <f>_xlfn.XLOOKUP(AssetMonthlyReturns[[#This Row],[Date]],VNQ_Table[Date],VNQ_Table[Monthly Return])</f>
        <v>1.2653426835434578E-2</v>
      </c>
      <c r="G17" s="6">
        <f>_xlfn.XLOOKUP(AssetMonthlyReturns[[#This Row],[Date]],PE_Table[Date],PE_Table[Monthly Return])</f>
        <v>1.2284946044623934E-2</v>
      </c>
      <c r="H17" s="93">
        <f>SUMPRODUCT(_xlfn.TOROW(OptimizePortfolio[Weight]),AssetMonthlyReturns[[#This Row],[SPY]:[PE]])</f>
        <v>-8.0478069561457002E-5</v>
      </c>
    </row>
    <row r="18" spans="2:8" x14ac:dyDescent="0.2">
      <c r="B18" s="5" cm="1">
        <f t="array" ref="B18">IF(EDATE(StartDate,ROW(AssetMonthlyReturns[#This Row])-ROW(AssetMonthlyReturns[#Headers])-1)&lt;=EndDate,EDATE(StartDate,ROW(AssetMonthlyReturns[#This Row])-ROW(AssetMonthlyReturns[#Headers])),"")</f>
        <v>42917</v>
      </c>
      <c r="C18" s="2">
        <f>_xlfn.XLOOKUP(AssetMonthlyReturns[[#This Row],[Date]],SPY_Table[Date],SPY_Table[Monthly Return])</f>
        <v>2.5531008160656787E-2</v>
      </c>
      <c r="D18" s="2">
        <f>_xlfn.XLOOKUP(AssetMonthlyReturns[[#This Row],[Date]],AGG_Table[Date],AGG_Table[Monthly Return])</f>
        <v>3.3812174493934588E-3</v>
      </c>
      <c r="E18" s="2">
        <f>_xlfn.XLOOKUP(AssetMonthlyReturns[[#This Row],[Date]],GLD_Table[Date],GLD_Table[Monthly Return])</f>
        <v>2.3131702072934912E-2</v>
      </c>
      <c r="F18" s="2">
        <f>_xlfn.XLOOKUP(AssetMonthlyReturns[[#This Row],[Date]],VNQ_Table[Date],VNQ_Table[Monthly Return])</f>
        <v>2.2045429517285164E-2</v>
      </c>
      <c r="G18" s="6">
        <f>_xlfn.XLOOKUP(AssetMonthlyReturns[[#This Row],[Date]],PE_Table[Date],PE_Table[Monthly Return])</f>
        <v>-1.2160481250864663E-2</v>
      </c>
      <c r="H18" s="93">
        <f>SUMPRODUCT(_xlfn.TOROW(OptimizePortfolio[Weight]),AssetMonthlyReturns[[#This Row],[SPY]:[PE]])</f>
        <v>1.384182258978146E-2</v>
      </c>
    </row>
    <row r="19" spans="2:8" x14ac:dyDescent="0.2">
      <c r="B19" s="5" cm="1">
        <f t="array" ref="B19">IF(EDATE(StartDate,ROW(AssetMonthlyReturns[#This Row])-ROW(AssetMonthlyReturns[#Headers])-1)&lt;=EndDate,EDATE(StartDate,ROW(AssetMonthlyReturns[#This Row])-ROW(AssetMonthlyReturns[#Headers])),"")</f>
        <v>42948</v>
      </c>
      <c r="C19" s="2">
        <f>_xlfn.XLOOKUP(AssetMonthlyReturns[[#This Row],[Date]],SPY_Table[Date],SPY_Table[Monthly Return])</f>
        <v>2.9177549615209131E-3</v>
      </c>
      <c r="D19" s="2">
        <f>_xlfn.XLOOKUP(AssetMonthlyReturns[[#This Row],[Date]],AGG_Table[Date],AGG_Table[Monthly Return])</f>
        <v>9.3699481320044242E-3</v>
      </c>
      <c r="E19" s="2">
        <f>_xlfn.XLOOKUP(AssetMonthlyReturns[[#This Row],[Date]],GLD_Table[Date],GLD_Table[Monthly Return])</f>
        <v>4.19875751552794E-2</v>
      </c>
      <c r="F19" s="2">
        <f>_xlfn.XLOOKUP(AssetMonthlyReturns[[#This Row],[Date]],VNQ_Table[Date],VNQ_Table[Monthly Return])</f>
        <v>-2.610874618725223E-3</v>
      </c>
      <c r="G19" s="6">
        <f>_xlfn.XLOOKUP(AssetMonthlyReturns[[#This Row],[Date]],PE_Table[Date],PE_Table[Monthly Return])</f>
        <v>-2.2246073772036024E-2</v>
      </c>
      <c r="H19" s="93">
        <f>SUMPRODUCT(_xlfn.TOROW(OptimizePortfolio[Weight]),AssetMonthlyReturns[[#This Row],[SPY]:[PE]])</f>
        <v>6.1139192711091341E-3</v>
      </c>
    </row>
    <row r="20" spans="2:8" x14ac:dyDescent="0.2">
      <c r="B20" s="5" cm="1">
        <f t="array" ref="B20">IF(EDATE(StartDate,ROW(AssetMonthlyReturns[#This Row])-ROW(AssetMonthlyReturns[#Headers])-1)&lt;=EndDate,EDATE(StartDate,ROW(AssetMonthlyReturns[#This Row])-ROW(AssetMonthlyReturns[#Headers])),"")</f>
        <v>42979</v>
      </c>
      <c r="C20" s="2">
        <f>_xlfn.XLOOKUP(AssetMonthlyReturns[[#This Row],[Date]],SPY_Table[Date],SPY_Table[Monthly Return])</f>
        <v>1.5111812568438854E-2</v>
      </c>
      <c r="D20" s="2">
        <f>_xlfn.XLOOKUP(AssetMonthlyReturns[[#This Row],[Date]],AGG_Table[Date],AGG_Table[Monthly Return])</f>
        <v>-5.7002949731853603E-3</v>
      </c>
      <c r="E20" s="2">
        <f>_xlfn.XLOOKUP(AssetMonthlyReturns[[#This Row],[Date]],GLD_Table[Date],GLD_Table[Monthly Return])</f>
        <v>-3.3698918376328657E-2</v>
      </c>
      <c r="F20" s="2">
        <f>_xlfn.XLOOKUP(AssetMonthlyReturns[[#This Row],[Date]],VNQ_Table[Date],VNQ_Table[Monthly Return])</f>
        <v>-1.1304304821999289E-2</v>
      </c>
      <c r="G20" s="6">
        <f>_xlfn.XLOOKUP(AssetMonthlyReturns[[#This Row],[Date]],PE_Table[Date],PE_Table[Monthly Return])</f>
        <v>3.5312975471056163E-2</v>
      </c>
      <c r="H20" s="93">
        <f>SUMPRODUCT(_xlfn.TOROW(OptimizePortfolio[Weight]),AssetMonthlyReturns[[#This Row],[SPY]:[PE]])</f>
        <v>3.6264710897213667E-3</v>
      </c>
    </row>
    <row r="21" spans="2:8" x14ac:dyDescent="0.2">
      <c r="B21" s="5" cm="1">
        <f t="array" ref="B21">IF(EDATE(StartDate,ROW(AssetMonthlyReturns[#This Row])-ROW(AssetMonthlyReturns[#Headers])-1)&lt;=EndDate,EDATE(StartDate,ROW(AssetMonthlyReturns[#This Row])-ROW(AssetMonthlyReturns[#Headers])),"")</f>
        <v>43009</v>
      </c>
      <c r="C21" s="2">
        <f>_xlfn.XLOOKUP(AssetMonthlyReturns[[#This Row],[Date]],SPY_Table[Date],SPY_Table[Monthly Return])</f>
        <v>2.8643534785333102E-2</v>
      </c>
      <c r="D21" s="2">
        <f>_xlfn.XLOOKUP(AssetMonthlyReturns[[#This Row],[Date]],AGG_Table[Date],AGG_Table[Monthly Return])</f>
        <v>9.8939510416284904E-4</v>
      </c>
      <c r="E21" s="2">
        <f>_xlfn.XLOOKUP(AssetMonthlyReturns[[#This Row],[Date]],GLD_Table[Date],GLD_Table[Monthly Return])</f>
        <v>-7.4848131808467055E-3</v>
      </c>
      <c r="F21" s="2">
        <f>_xlfn.XLOOKUP(AssetMonthlyReturns[[#This Row],[Date]],VNQ_Table[Date],VNQ_Table[Monthly Return])</f>
        <v>-5.4161625166382343E-4</v>
      </c>
      <c r="G21" s="6">
        <f>_xlfn.XLOOKUP(AssetMonthlyReturns[[#This Row],[Date]],PE_Table[Date],PE_Table[Monthly Return])</f>
        <v>1.4844738977151106E-3</v>
      </c>
      <c r="H21" s="93">
        <f>SUMPRODUCT(_xlfn.TOROW(OptimizePortfolio[Weight]),AssetMonthlyReturns[[#This Row],[SPY]:[PE]])</f>
        <v>8.9194169586983129E-3</v>
      </c>
    </row>
    <row r="22" spans="2:8" x14ac:dyDescent="0.2">
      <c r="B22" s="5" cm="1">
        <f t="array" ref="B22">IF(EDATE(StartDate,ROW(AssetMonthlyReturns[#This Row])-ROW(AssetMonthlyReturns[#Headers])-1)&lt;=EndDate,EDATE(StartDate,ROW(AssetMonthlyReturns[#This Row])-ROW(AssetMonthlyReturns[#Headers])),"")</f>
        <v>43040</v>
      </c>
      <c r="C22" s="2">
        <f>_xlfn.XLOOKUP(AssetMonthlyReturns[[#This Row],[Date]],SPY_Table[Date],SPY_Table[Monthly Return])</f>
        <v>3.0565741809679192E-2</v>
      </c>
      <c r="D22" s="2">
        <f>_xlfn.XLOOKUP(AssetMonthlyReturns[[#This Row],[Date]],AGG_Table[Date],AGG_Table[Monthly Return])</f>
        <v>-1.4944117368655974E-3</v>
      </c>
      <c r="E22" s="2">
        <f>_xlfn.XLOOKUP(AssetMonthlyReturns[[#This Row],[Date]],GLD_Table[Date],GLD_Table[Monthly Return])</f>
        <v>3.5634400133768285E-3</v>
      </c>
      <c r="F22" s="2">
        <f>_xlfn.XLOOKUP(AssetMonthlyReturns[[#This Row],[Date]],VNQ_Table[Date],VNQ_Table[Monthly Return])</f>
        <v>2.6642629273039065E-2</v>
      </c>
      <c r="G22" s="6">
        <f>_xlfn.XLOOKUP(AssetMonthlyReturns[[#This Row],[Date]],PE_Table[Date],PE_Table[Monthly Return])</f>
        <v>7.3505640168152198E-3</v>
      </c>
      <c r="H22" s="93">
        <f>SUMPRODUCT(_xlfn.TOROW(OptimizePortfolio[Weight]),AssetMonthlyReturns[[#This Row],[SPY]:[PE]])</f>
        <v>1.5320911606200194E-2</v>
      </c>
    </row>
    <row r="23" spans="2:8" x14ac:dyDescent="0.2">
      <c r="B23" s="5" cm="1">
        <f t="array" ref="B23">IF(EDATE(StartDate,ROW(AssetMonthlyReturns[#This Row])-ROW(AssetMonthlyReturns[#Headers])-1)&lt;=EndDate,EDATE(StartDate,ROW(AssetMonthlyReturns[#This Row])-ROW(AssetMonthlyReturns[#Headers])),"")</f>
        <v>43070</v>
      </c>
      <c r="C23" s="2">
        <f>_xlfn.XLOOKUP(AssetMonthlyReturns[[#This Row],[Date]],SPY_Table[Date],SPY_Table[Monthly Return])</f>
        <v>6.9810649962378513E-3</v>
      </c>
      <c r="D23" s="2">
        <f>_xlfn.XLOOKUP(AssetMonthlyReturns[[#This Row],[Date]],AGG_Table[Date],AGG_Table[Monthly Return])</f>
        <v>4.3836248404327538E-3</v>
      </c>
      <c r="E23" s="2">
        <f>_xlfn.XLOOKUP(AssetMonthlyReturns[[#This Row],[Date]],GLD_Table[Date],GLD_Table[Monthly Return])</f>
        <v>2.1057002738113173E-2</v>
      </c>
      <c r="F23" s="2">
        <f>_xlfn.XLOOKUP(AssetMonthlyReturns[[#This Row],[Date]],VNQ_Table[Date],VNQ_Table[Monthly Return])</f>
        <v>-1.6708132882397808E-2</v>
      </c>
      <c r="G23" s="6">
        <f>_xlfn.XLOOKUP(AssetMonthlyReturns[[#This Row],[Date]],PE_Table[Date],PE_Table[Monthly Return])</f>
        <v>-2.2494963749669195E-2</v>
      </c>
      <c r="H23" s="93">
        <f>SUMPRODUCT(_xlfn.TOROW(OptimizePortfolio[Weight]),AssetMonthlyReturns[[#This Row],[SPY]:[PE]])</f>
        <v>1.1425109841971745E-3</v>
      </c>
    </row>
    <row r="24" spans="2:8" x14ac:dyDescent="0.2">
      <c r="B24" s="5" cm="1">
        <f t="array" ref="B24">IF(EDATE(StartDate,ROW(AssetMonthlyReturns[#This Row])-ROW(AssetMonthlyReturns[#Headers])-1)&lt;=EndDate,EDATE(StartDate,ROW(AssetMonthlyReturns[#This Row])-ROW(AssetMonthlyReturns[#Headers])),"")</f>
        <v>43101</v>
      </c>
      <c r="C24" s="2">
        <f>_xlfn.XLOOKUP(AssetMonthlyReturns[[#This Row],[Date]],SPY_Table[Date],SPY_Table[Monthly Return])</f>
        <v>6.1758678681471002E-2</v>
      </c>
      <c r="D24" s="2">
        <f>_xlfn.XLOOKUP(AssetMonthlyReturns[[#This Row],[Date]],AGG_Table[Date],AGG_Table[Monthly Return])</f>
        <v>-8.8237077166634093E-3</v>
      </c>
      <c r="E24" s="2">
        <f>_xlfn.XLOOKUP(AssetMonthlyReturns[[#This Row],[Date]],GLD_Table[Date],GLD_Table[Monthly Return])</f>
        <v>3.2349372838462953E-2</v>
      </c>
      <c r="F24" s="2">
        <f>_xlfn.XLOOKUP(AssetMonthlyReturns[[#This Row],[Date]],VNQ_Table[Date],VNQ_Table[Monthly Return])</f>
        <v>-2.7707031270660432E-2</v>
      </c>
      <c r="G24" s="6">
        <f>_xlfn.XLOOKUP(AssetMonthlyReturns[[#This Row],[Date]],PE_Table[Date],PE_Table[Monthly Return])</f>
        <v>-4.8876544927961563E-3</v>
      </c>
      <c r="H24" s="93">
        <f>SUMPRODUCT(_xlfn.TOROW(OptimizePortfolio[Weight]),AssetMonthlyReturns[[#This Row],[SPY]:[PE]])</f>
        <v>2.3013621923082653E-2</v>
      </c>
    </row>
    <row r="25" spans="2:8" x14ac:dyDescent="0.2">
      <c r="B25" s="5" cm="1">
        <f t="array" ref="B25">IF(EDATE(StartDate,ROW(AssetMonthlyReturns[#This Row])-ROW(AssetMonthlyReturns[#Headers])-1)&lt;=EndDate,EDATE(StartDate,ROW(AssetMonthlyReturns[#This Row])-ROW(AssetMonthlyReturns[#Headers])),"")</f>
        <v>43132</v>
      </c>
      <c r="C25" s="2">
        <f>_xlfn.XLOOKUP(AssetMonthlyReturns[[#This Row],[Date]],SPY_Table[Date],SPY_Table[Monthly Return])</f>
        <v>-3.6360525686730427E-2</v>
      </c>
      <c r="D25" s="2">
        <f>_xlfn.XLOOKUP(AssetMonthlyReturns[[#This Row],[Date]],AGG_Table[Date],AGG_Table[Monthly Return])</f>
        <v>-1.2303766581680753E-2</v>
      </c>
      <c r="E25" s="2">
        <f>_xlfn.XLOOKUP(AssetMonthlyReturns[[#This Row],[Date]],GLD_Table[Date],GLD_Table[Monthly Return])</f>
        <v>-2.0759901832041905E-2</v>
      </c>
      <c r="F25" s="2">
        <f>_xlfn.XLOOKUP(AssetMonthlyReturns[[#This Row],[Date]],VNQ_Table[Date],VNQ_Table[Monthly Return])</f>
        <v>-7.6777481177426776E-2</v>
      </c>
      <c r="G25" s="6">
        <f>_xlfn.XLOOKUP(AssetMonthlyReturns[[#This Row],[Date]],PE_Table[Date],PE_Table[Monthly Return])</f>
        <v>8.218451338605659E-3</v>
      </c>
      <c r="H25" s="93">
        <f>SUMPRODUCT(_xlfn.TOROW(OptimizePortfolio[Weight]),AssetMonthlyReturns[[#This Row],[SPY]:[PE]])</f>
        <v>-2.4757787194037689E-2</v>
      </c>
    </row>
    <row r="26" spans="2:8" x14ac:dyDescent="0.2">
      <c r="B26" s="5" cm="1">
        <f t="array" ref="B26">IF(EDATE(StartDate,ROW(AssetMonthlyReturns[#This Row])-ROW(AssetMonthlyReturns[#Headers])-1)&lt;=EndDate,EDATE(StartDate,ROW(AssetMonthlyReturns[#This Row])-ROW(AssetMonthlyReturns[#Headers])),"")</f>
        <v>43160</v>
      </c>
      <c r="C26" s="2">
        <f>_xlfn.XLOOKUP(AssetMonthlyReturns[[#This Row],[Date]],SPY_Table[Date],SPY_Table[Monthly Return])</f>
        <v>-3.1290287357007451E-2</v>
      </c>
      <c r="D26" s="2">
        <f>_xlfn.XLOOKUP(AssetMonthlyReturns[[#This Row],[Date]],AGG_Table[Date],AGG_Table[Monthly Return])</f>
        <v>6.7495763458444991E-3</v>
      </c>
      <c r="E26" s="2">
        <f>_xlfn.XLOOKUP(AssetMonthlyReturns[[#This Row],[Date]],GLD_Table[Date],GLD_Table[Monthly Return])</f>
        <v>6.3200072000000329E-3</v>
      </c>
      <c r="F26" s="2">
        <f>_xlfn.XLOOKUP(AssetMonthlyReturns[[#This Row],[Date]],VNQ_Table[Date],VNQ_Table[Monthly Return])</f>
        <v>2.8902534236551425E-2</v>
      </c>
      <c r="G26" s="6">
        <f>_xlfn.XLOOKUP(AssetMonthlyReturns[[#This Row],[Date]],PE_Table[Date],PE_Table[Monthly Return])</f>
        <v>-1.7019870875601306E-2</v>
      </c>
      <c r="H26" s="93">
        <f>SUMPRODUCT(_xlfn.TOROW(OptimizePortfolio[Weight]),AssetMonthlyReturns[[#This Row],[SPY]:[PE]])</f>
        <v>-9.1888834345410439E-3</v>
      </c>
    </row>
    <row r="27" spans="2:8" x14ac:dyDescent="0.2">
      <c r="B27" s="5" cm="1">
        <f t="array" ref="B27">IF(EDATE(StartDate,ROW(AssetMonthlyReturns[#This Row])-ROW(AssetMonthlyReturns[#Headers])-1)&lt;=EndDate,EDATE(StartDate,ROW(AssetMonthlyReturns[#This Row])-ROW(AssetMonthlyReturns[#Headers])),"")</f>
        <v>43191</v>
      </c>
      <c r="C27" s="2">
        <f>_xlfn.XLOOKUP(AssetMonthlyReturns[[#This Row],[Date]],SPY_Table[Date],SPY_Table[Monthly Return])</f>
        <v>9.2151997070193392E-3</v>
      </c>
      <c r="D27" s="2">
        <f>_xlfn.XLOOKUP(AssetMonthlyReturns[[#This Row],[Date]],AGG_Table[Date],AGG_Table[Monthly Return])</f>
        <v>-9.4750443803586215E-3</v>
      </c>
      <c r="E27" s="2">
        <f>_xlfn.XLOOKUP(AssetMonthlyReturns[[#This Row],[Date]],GLD_Table[Date],GLD_Table[Monthly Return])</f>
        <v>-9.5397455395042074E-3</v>
      </c>
      <c r="F27" s="2">
        <f>_xlfn.XLOOKUP(AssetMonthlyReturns[[#This Row],[Date]],VNQ_Table[Date],VNQ_Table[Monthly Return])</f>
        <v>1.8018727569958148E-2</v>
      </c>
      <c r="G27" s="6">
        <f>_xlfn.XLOOKUP(AssetMonthlyReturns[[#This Row],[Date]],PE_Table[Date],PE_Table[Monthly Return])</f>
        <v>1.3513960442213868E-2</v>
      </c>
      <c r="H27" s="93">
        <f>SUMPRODUCT(_xlfn.TOROW(OptimizePortfolio[Weight]),AssetMonthlyReturns[[#This Row],[SPY]:[PE]])</f>
        <v>4.4007789779407225E-3</v>
      </c>
    </row>
    <row r="28" spans="2:8" x14ac:dyDescent="0.2">
      <c r="B28" s="5" cm="1">
        <f t="array" ref="B28">IF(EDATE(StartDate,ROW(AssetMonthlyReturns[#This Row])-ROW(AssetMonthlyReturns[#Headers])-1)&lt;=EndDate,EDATE(StartDate,ROW(AssetMonthlyReturns[#This Row])-ROW(AssetMonthlyReturns[#Headers])),"")</f>
        <v>43221</v>
      </c>
      <c r="C28" s="2">
        <f>_xlfn.XLOOKUP(AssetMonthlyReturns[[#This Row],[Date]],SPY_Table[Date],SPY_Table[Monthly Return])</f>
        <v>2.4287618545287382E-2</v>
      </c>
      <c r="D28" s="2">
        <f>_xlfn.XLOOKUP(AssetMonthlyReturns[[#This Row],[Date]],AGG_Table[Date],AGG_Table[Monthly Return])</f>
        <v>6.6205625891206932E-3</v>
      </c>
      <c r="E28" s="2">
        <f>_xlfn.XLOOKUP(AssetMonthlyReturns[[#This Row],[Date]],GLD_Table[Date],GLD_Table[Monthly Return])</f>
        <v>-1.1959208959379297E-2</v>
      </c>
      <c r="F28" s="2">
        <f>_xlfn.XLOOKUP(AssetMonthlyReturns[[#This Row],[Date]],VNQ_Table[Date],VNQ_Table[Monthly Return])</f>
        <v>3.679863893677715E-2</v>
      </c>
      <c r="G28" s="6">
        <f>_xlfn.XLOOKUP(AssetMonthlyReturns[[#This Row],[Date]],PE_Table[Date],PE_Table[Monthly Return])</f>
        <v>-6.0127738325163049E-3</v>
      </c>
      <c r="H28" s="93">
        <f>SUMPRODUCT(_xlfn.TOROW(OptimizePortfolio[Weight]),AssetMonthlyReturns[[#This Row],[SPY]:[PE]])</f>
        <v>9.5792182145172794E-3</v>
      </c>
    </row>
    <row r="29" spans="2:8" x14ac:dyDescent="0.2">
      <c r="B29" s="5" cm="1">
        <f t="array" ref="B29">IF(EDATE(StartDate,ROW(AssetMonthlyReturns[#This Row])-ROW(AssetMonthlyReturns[#Headers])-1)&lt;=EndDate,EDATE(StartDate,ROW(AssetMonthlyReturns[#This Row])-ROW(AssetMonthlyReturns[#Headers])),"")</f>
        <v>43252</v>
      </c>
      <c r="C29" s="2">
        <f>_xlfn.XLOOKUP(AssetMonthlyReturns[[#This Row],[Date]],SPY_Table[Date],SPY_Table[Monthly Return])</f>
        <v>1.2547875060153757E-3</v>
      </c>
      <c r="D29" s="2">
        <f>_xlfn.XLOOKUP(AssetMonthlyReturns[[#This Row],[Date]],AGG_Table[Date],AGG_Table[Monthly Return])</f>
        <v>9.5139150217748991E-4</v>
      </c>
      <c r="E29" s="2">
        <f>_xlfn.XLOOKUP(AssetMonthlyReturns[[#This Row],[Date]],GLD_Table[Date],GLD_Table[Monthly Return])</f>
        <v>-3.6149448044063059E-2</v>
      </c>
      <c r="F29" s="2">
        <f>_xlfn.XLOOKUP(AssetMonthlyReturns[[#This Row],[Date]],VNQ_Table[Date],VNQ_Table[Monthly Return])</f>
        <v>3.24500663899987E-2</v>
      </c>
      <c r="G29" s="6">
        <f>_xlfn.XLOOKUP(AssetMonthlyReturns[[#This Row],[Date]],PE_Table[Date],PE_Table[Monthly Return])</f>
        <v>1.6612469716914546E-4</v>
      </c>
      <c r="H29" s="93">
        <f>SUMPRODUCT(_xlfn.TOROW(OptimizePortfolio[Weight]),AssetMonthlyReturns[[#This Row],[SPY]:[PE]])</f>
        <v>-3.3697736779469078E-3</v>
      </c>
    </row>
    <row r="30" spans="2:8" x14ac:dyDescent="0.2">
      <c r="B30" s="5" cm="1">
        <f t="array" ref="B30">IF(EDATE(StartDate,ROW(AssetMonthlyReturns[#This Row])-ROW(AssetMonthlyReturns[#Headers])-1)&lt;=EndDate,EDATE(StartDate,ROW(AssetMonthlyReturns[#This Row])-ROW(AssetMonthlyReturns[#Headers])),"")</f>
        <v>43282</v>
      </c>
      <c r="C30" s="2">
        <f>_xlfn.XLOOKUP(AssetMonthlyReturns[[#This Row],[Date]],SPY_Table[Date],SPY_Table[Monthly Return])</f>
        <v>4.1703371796914857E-2</v>
      </c>
      <c r="D30" s="2">
        <f>_xlfn.XLOOKUP(AssetMonthlyReturns[[#This Row],[Date]],AGG_Table[Date],AGG_Table[Monthly Return])</f>
        <v>-1.0689725930335126E-4</v>
      </c>
      <c r="E30" s="2">
        <f>_xlfn.XLOOKUP(AssetMonthlyReturns[[#This Row],[Date]],GLD_Table[Date],GLD_Table[Monthly Return])</f>
        <v>-2.2418909113962382E-2</v>
      </c>
      <c r="F30" s="2">
        <f>_xlfn.XLOOKUP(AssetMonthlyReturns[[#This Row],[Date]],VNQ_Table[Date],VNQ_Table[Monthly Return])</f>
        <v>1.5342872987122114E-2</v>
      </c>
      <c r="G30" s="6">
        <f>_xlfn.XLOOKUP(AssetMonthlyReturns[[#This Row],[Date]],PE_Table[Date],PE_Table[Monthly Return])</f>
        <v>-6.0341318940039246E-3</v>
      </c>
      <c r="H30" s="93">
        <f>SUMPRODUCT(_xlfn.TOROW(OptimizePortfolio[Weight]),AssetMonthlyReturns[[#This Row],[SPY]:[PE]])</f>
        <v>1.0423824637143645E-2</v>
      </c>
    </row>
    <row r="31" spans="2:8" x14ac:dyDescent="0.2">
      <c r="B31" s="5" cm="1">
        <f t="array" ref="B31">IF(EDATE(StartDate,ROW(AssetMonthlyReturns[#This Row])-ROW(AssetMonthlyReturns[#Headers])-1)&lt;=EndDate,EDATE(StartDate,ROW(AssetMonthlyReturns[#This Row])-ROW(AssetMonthlyReturns[#Headers])),"")</f>
        <v>43313</v>
      </c>
      <c r="C31" s="2">
        <f>_xlfn.XLOOKUP(AssetMonthlyReturns[[#This Row],[Date]],SPY_Table[Date],SPY_Table[Monthly Return])</f>
        <v>3.1919679750409324E-2</v>
      </c>
      <c r="D31" s="2">
        <f>_xlfn.XLOOKUP(AssetMonthlyReturns[[#This Row],[Date]],AGG_Table[Date],AGG_Table[Monthly Return])</f>
        <v>5.4659982983467081E-3</v>
      </c>
      <c r="E31" s="2">
        <f>_xlfn.XLOOKUP(AssetMonthlyReturns[[#This Row],[Date]],GLD_Table[Date],GLD_Table[Monthly Return])</f>
        <v>-2.1381117724806997E-2</v>
      </c>
      <c r="F31" s="2">
        <f>_xlfn.XLOOKUP(AssetMonthlyReturns[[#This Row],[Date]],VNQ_Table[Date],VNQ_Table[Monthly Return])</f>
        <v>2.5750119129754445E-2</v>
      </c>
      <c r="G31" s="6">
        <f>_xlfn.XLOOKUP(AssetMonthlyReturns[[#This Row],[Date]],PE_Table[Date],PE_Table[Monthly Return])</f>
        <v>4.3045563679504184E-2</v>
      </c>
      <c r="H31" s="93">
        <f>SUMPRODUCT(_xlfn.TOROW(OptimizePortfolio[Weight]),AssetMonthlyReturns[[#This Row],[SPY]:[PE]])</f>
        <v>1.8899688761310152E-2</v>
      </c>
    </row>
    <row r="32" spans="2:8" x14ac:dyDescent="0.2">
      <c r="B32" s="5" cm="1">
        <f t="array" ref="B32">IF(EDATE(StartDate,ROW(AssetMonthlyReturns[#This Row])-ROW(AssetMonthlyReturns[#Headers])-1)&lt;=EndDate,EDATE(StartDate,ROW(AssetMonthlyReturns[#This Row])-ROW(AssetMonthlyReturns[#Headers])),"")</f>
        <v>43344</v>
      </c>
      <c r="C32" s="2">
        <f>_xlfn.XLOOKUP(AssetMonthlyReturns[[#This Row],[Date]],SPY_Table[Date],SPY_Table[Monthly Return])</f>
        <v>1.4115123639435456E-3</v>
      </c>
      <c r="D32" s="2">
        <f>_xlfn.XLOOKUP(AssetMonthlyReturns[[#This Row],[Date]],AGG_Table[Date],AGG_Table[Monthly Return])</f>
        <v>-6.0125070648976431E-3</v>
      </c>
      <c r="E32" s="2">
        <f>_xlfn.XLOOKUP(AssetMonthlyReturns[[#This Row],[Date]],GLD_Table[Date],GLD_Table[Monthly Return])</f>
        <v>-6.6073472480360218E-3</v>
      </c>
      <c r="F32" s="2">
        <f>_xlfn.XLOOKUP(AssetMonthlyReturns[[#This Row],[Date]],VNQ_Table[Date],VNQ_Table[Monthly Return])</f>
        <v>-4.0094922296547542E-2</v>
      </c>
      <c r="G32" s="6">
        <f>_xlfn.XLOOKUP(AssetMonthlyReturns[[#This Row],[Date]],PE_Table[Date],PE_Table[Monthly Return])</f>
        <v>5.7300551405135014E-3</v>
      </c>
      <c r="H32" s="93">
        <f>SUMPRODUCT(_xlfn.TOROW(OptimizePortfolio[Weight]),AssetMonthlyReturns[[#This Row],[SPY]:[PE]])</f>
        <v>-4.5927973835136636E-3</v>
      </c>
    </row>
    <row r="33" spans="2:8" x14ac:dyDescent="0.2">
      <c r="B33" s="5" cm="1">
        <f t="array" ref="B33">IF(EDATE(StartDate,ROW(AssetMonthlyReturns[#This Row])-ROW(AssetMonthlyReturns[#Headers])-1)&lt;=EndDate,EDATE(StartDate,ROW(AssetMonthlyReturns[#This Row])-ROW(AssetMonthlyReturns[#Headers])),"")</f>
        <v>43374</v>
      </c>
      <c r="C33" s="2">
        <f>_xlfn.XLOOKUP(AssetMonthlyReturns[[#This Row],[Date]],SPY_Table[Date],SPY_Table[Monthly Return])</f>
        <v>-6.4889538429470983E-2</v>
      </c>
      <c r="D33" s="2">
        <f>_xlfn.XLOOKUP(AssetMonthlyReturns[[#This Row],[Date]],AGG_Table[Date],AGG_Table[Monthly Return])</f>
        <v>-6.6473724406261869E-3</v>
      </c>
      <c r="E33" s="2">
        <f>_xlfn.XLOOKUP(AssetMonthlyReturns[[#This Row],[Date]],GLD_Table[Date],GLD_Table[Monthly Return])</f>
        <v>2.1195453666987829E-2</v>
      </c>
      <c r="F33" s="2">
        <f>_xlfn.XLOOKUP(AssetMonthlyReturns[[#This Row],[Date]],VNQ_Table[Date],VNQ_Table[Monthly Return])</f>
        <v>-1.564793105880502E-2</v>
      </c>
      <c r="G33" s="6">
        <f>_xlfn.XLOOKUP(AssetMonthlyReturns[[#This Row],[Date]],PE_Table[Date],PE_Table[Monthly Return])</f>
        <v>-1.5154218285533982E-2</v>
      </c>
      <c r="H33" s="93">
        <f>SUMPRODUCT(_xlfn.TOROW(OptimizePortfolio[Weight]),AssetMonthlyReturns[[#This Row],[SPY]:[PE]])</f>
        <v>-2.4064990345998502E-2</v>
      </c>
    </row>
    <row r="34" spans="2:8" x14ac:dyDescent="0.2">
      <c r="B34" s="5" cm="1">
        <f t="array" ref="B34">IF(EDATE(StartDate,ROW(AssetMonthlyReturns[#This Row])-ROW(AssetMonthlyReturns[#Headers])-1)&lt;=EndDate,EDATE(StartDate,ROW(AssetMonthlyReturns[#This Row])-ROW(AssetMonthlyReturns[#Headers])),"")</f>
        <v>43405</v>
      </c>
      <c r="C34" s="2">
        <f>_xlfn.XLOOKUP(AssetMonthlyReturns[[#This Row],[Date]],SPY_Table[Date],SPY_Table[Monthly Return])</f>
        <v>1.8549277341203041E-2</v>
      </c>
      <c r="D34" s="2">
        <f>_xlfn.XLOOKUP(AssetMonthlyReturns[[#This Row],[Date]],AGG_Table[Date],AGG_Table[Monthly Return])</f>
        <v>5.1732047029149353E-3</v>
      </c>
      <c r="E34" s="2">
        <f>_xlfn.XLOOKUP(AssetMonthlyReturns[[#This Row],[Date]],GLD_Table[Date],GLD_Table[Monthly Return])</f>
        <v>3.3868814148474424E-3</v>
      </c>
      <c r="F34" s="2">
        <f>_xlfn.XLOOKUP(AssetMonthlyReturns[[#This Row],[Date]],VNQ_Table[Date],VNQ_Table[Monthly Return])</f>
        <v>4.67314451158658E-2</v>
      </c>
      <c r="G34" s="6">
        <f>_xlfn.XLOOKUP(AssetMonthlyReturns[[#This Row],[Date]],PE_Table[Date],PE_Table[Monthly Return])</f>
        <v>2.2450897632691369E-2</v>
      </c>
      <c r="H34" s="93">
        <f>SUMPRODUCT(_xlfn.TOROW(OptimizePortfolio[Weight]),AssetMonthlyReturns[[#This Row],[SPY]:[PE]])</f>
        <v>1.7108928095952648E-2</v>
      </c>
    </row>
    <row r="35" spans="2:8" x14ac:dyDescent="0.2">
      <c r="B35" s="5" cm="1">
        <f t="array" ref="B35">IF(EDATE(StartDate,ROW(AssetMonthlyReturns[#This Row])-ROW(AssetMonthlyReturns[#Headers])-1)&lt;=EndDate,EDATE(StartDate,ROW(AssetMonthlyReturns[#This Row])-ROW(AssetMonthlyReturns[#Headers])),"")</f>
        <v>43435</v>
      </c>
      <c r="C35" s="2">
        <f>_xlfn.XLOOKUP(AssetMonthlyReturns[[#This Row],[Date]],SPY_Table[Date],SPY_Table[Monthly Return])</f>
        <v>-9.3342890401981404E-2</v>
      </c>
      <c r="D35" s="2">
        <f>_xlfn.XLOOKUP(AssetMonthlyReturns[[#This Row],[Date]],AGG_Table[Date],AGG_Table[Monthly Return])</f>
        <v>2.035594192783452E-2</v>
      </c>
      <c r="E35" s="2">
        <f>_xlfn.XLOOKUP(AssetMonthlyReturns[[#This Row],[Date]],GLD_Table[Date],GLD_Table[Monthly Return])</f>
        <v>4.9420106071680125E-2</v>
      </c>
      <c r="F35" s="2">
        <f>_xlfn.XLOOKUP(AssetMonthlyReturns[[#This Row],[Date]],VNQ_Table[Date],VNQ_Table[Monthly Return])</f>
        <v>-9.0387954524325798E-2</v>
      </c>
      <c r="G35" s="6">
        <f>_xlfn.XLOOKUP(AssetMonthlyReturns[[#This Row],[Date]],PE_Table[Date],PE_Table[Monthly Return])</f>
        <v>-1.8416873064907802E-2</v>
      </c>
      <c r="H35" s="93">
        <f>SUMPRODUCT(_xlfn.TOROW(OptimizePortfolio[Weight]),AssetMonthlyReturns[[#This Row],[SPY]:[PE]])</f>
        <v>-3.245476920259642E-2</v>
      </c>
    </row>
    <row r="36" spans="2:8" x14ac:dyDescent="0.2">
      <c r="B36" s="5" cm="1">
        <f t="array" ref="B36">IF(EDATE(StartDate,ROW(AssetMonthlyReturns[#This Row])-ROW(AssetMonthlyReturns[#Headers])-1)&lt;=EndDate,EDATE(StartDate,ROW(AssetMonthlyReturns[#This Row])-ROW(AssetMonthlyReturns[#Headers])),"")</f>
        <v>43466</v>
      </c>
      <c r="C36" s="2">
        <f>_xlfn.XLOOKUP(AssetMonthlyReturns[[#This Row],[Date]],SPY_Table[Date],SPY_Table[Monthly Return])</f>
        <v>8.637291926374302E-2</v>
      </c>
      <c r="D36" s="2">
        <f>_xlfn.XLOOKUP(AssetMonthlyReturns[[#This Row],[Date]],AGG_Table[Date],AGG_Table[Monthly Return])</f>
        <v>1.3542149277293358E-2</v>
      </c>
      <c r="E36" s="2">
        <f>_xlfn.XLOOKUP(AssetMonthlyReturns[[#This Row],[Date]],GLD_Table[Date],GLD_Table[Monthly Return])</f>
        <v>2.8865979381443196E-2</v>
      </c>
      <c r="F36" s="2">
        <f>_xlfn.XLOOKUP(AssetMonthlyReturns[[#This Row],[Date]],VNQ_Table[Date],VNQ_Table[Monthly Return])</f>
        <v>0.13191190862675128</v>
      </c>
      <c r="G36" s="6">
        <f>_xlfn.XLOOKUP(AssetMonthlyReturns[[#This Row],[Date]],PE_Table[Date],PE_Table[Monthly Return])</f>
        <v>1.0177272092726231E-2</v>
      </c>
      <c r="H36" s="93">
        <f>SUMPRODUCT(_xlfn.TOROW(OptimizePortfolio[Weight]),AssetMonthlyReturns[[#This Row],[SPY]:[PE]])</f>
        <v>5.3261685291413077E-2</v>
      </c>
    </row>
    <row r="37" spans="2:8" x14ac:dyDescent="0.2">
      <c r="B37" s="5" cm="1">
        <f t="array" ref="B37">IF(EDATE(StartDate,ROW(AssetMonthlyReturns[#This Row])-ROW(AssetMonthlyReturns[#Headers])-1)&lt;=EndDate,EDATE(StartDate,ROW(AssetMonthlyReturns[#This Row])-ROW(AssetMonthlyReturns[#Headers])),"")</f>
        <v>43497</v>
      </c>
      <c r="C37" s="2">
        <f>_xlfn.XLOOKUP(AssetMonthlyReturns[[#This Row],[Date]],SPY_Table[Date],SPY_Table[Monthly Return])</f>
        <v>3.2415658510128953E-2</v>
      </c>
      <c r="D37" s="2">
        <f>_xlfn.XLOOKUP(AssetMonthlyReturns[[#This Row],[Date]],AGG_Table[Date],AGG_Table[Monthly Return])</f>
        <v>-3.6287717215816029E-3</v>
      </c>
      <c r="E37" s="2">
        <f>_xlfn.XLOOKUP(AssetMonthlyReturns[[#This Row],[Date]],GLD_Table[Date],GLD_Table[Monthly Return])</f>
        <v>-6.0922012024047234E-3</v>
      </c>
      <c r="F37" s="2">
        <f>_xlfn.XLOOKUP(AssetMonthlyReturns[[#This Row],[Date]],VNQ_Table[Date],VNQ_Table[Monthly Return])</f>
        <v>6.9531203479433756E-3</v>
      </c>
      <c r="G37" s="6">
        <f>_xlfn.XLOOKUP(AssetMonthlyReturns[[#This Row],[Date]],PE_Table[Date],PE_Table[Monthly Return])</f>
        <v>-3.319340227562495E-2</v>
      </c>
      <c r="H37" s="93">
        <f>SUMPRODUCT(_xlfn.TOROW(OptimizePortfolio[Weight]),AssetMonthlyReturns[[#This Row],[SPY]:[PE]])</f>
        <v>3.6393560594962931E-3</v>
      </c>
    </row>
    <row r="38" spans="2:8" x14ac:dyDescent="0.2">
      <c r="B38" s="5" cm="1">
        <f t="array" ref="B38">IF(EDATE(StartDate,ROW(AssetMonthlyReturns[#This Row])-ROW(AssetMonthlyReturns[#Headers])-1)&lt;=EndDate,EDATE(StartDate,ROW(AssetMonthlyReturns[#This Row])-ROW(AssetMonthlyReturns[#Headers])),"")</f>
        <v>43525</v>
      </c>
      <c r="C38" s="2">
        <f>_xlfn.XLOOKUP(AssetMonthlyReturns[[#This Row],[Date]],SPY_Table[Date],SPY_Table[Monthly Return])</f>
        <v>1.3635820856159331E-2</v>
      </c>
      <c r="D38" s="2">
        <f>_xlfn.XLOOKUP(AssetMonthlyReturns[[#This Row],[Date]],AGG_Table[Date],AGG_Table[Monthly Return])</f>
        <v>2.1225663226975167E-2</v>
      </c>
      <c r="E38" s="2">
        <f>_xlfn.XLOOKUP(AssetMonthlyReturns[[#This Row],[Date]],GLD_Table[Date],GLD_Table[Monthly Return])</f>
        <v>-1.5968996157229687E-2</v>
      </c>
      <c r="F38" s="2">
        <f>_xlfn.XLOOKUP(AssetMonthlyReturns[[#This Row],[Date]],VNQ_Table[Date],VNQ_Table[Monthly Return])</f>
        <v>3.4766552328127531E-2</v>
      </c>
      <c r="G38" s="6">
        <f>_xlfn.XLOOKUP(AssetMonthlyReturns[[#This Row],[Date]],PE_Table[Date],PE_Table[Monthly Return])</f>
        <v>-2.0563721373495381E-2</v>
      </c>
      <c r="H38" s="93">
        <f>SUMPRODUCT(_xlfn.TOROW(OptimizePortfolio[Weight]),AssetMonthlyReturns[[#This Row],[SPY]:[PE]])</f>
        <v>4.1264985103697796E-3</v>
      </c>
    </row>
    <row r="39" spans="2:8" x14ac:dyDescent="0.2">
      <c r="B39" s="5" cm="1">
        <f t="array" ref="B39">IF(EDATE(StartDate,ROW(AssetMonthlyReturns[#This Row])-ROW(AssetMonthlyReturns[#Headers])-1)&lt;=EndDate,EDATE(StartDate,ROW(AssetMonthlyReturns[#This Row])-ROW(AssetMonthlyReturns[#Headers])),"")</f>
        <v>43556</v>
      </c>
      <c r="C39" s="2">
        <f>_xlfn.XLOOKUP(AssetMonthlyReturns[[#This Row],[Date]],SPY_Table[Date],SPY_Table[Monthly Return])</f>
        <v>4.5437602323004533E-2</v>
      </c>
      <c r="D39" s="2">
        <f>_xlfn.XLOOKUP(AssetMonthlyReturns[[#This Row],[Date]],AGG_Table[Date],AGG_Table[Monthly Return])</f>
        <v>-1.911860391798359E-3</v>
      </c>
      <c r="E39" s="2">
        <f>_xlfn.XLOOKUP(AssetMonthlyReturns[[#This Row],[Date]],GLD_Table[Date],GLD_Table[Monthly Return])</f>
        <v>-6.6388426035441928E-3</v>
      </c>
      <c r="F39" s="2">
        <f>_xlfn.XLOOKUP(AssetMonthlyReturns[[#This Row],[Date]],VNQ_Table[Date],VNQ_Table[Monthly Return])</f>
        <v>5.5270300220413571E-3</v>
      </c>
      <c r="G39" s="6">
        <f>_xlfn.XLOOKUP(AssetMonthlyReturns[[#This Row],[Date]],PE_Table[Date],PE_Table[Monthly Return])</f>
        <v>9.9372251295848368E-3</v>
      </c>
      <c r="H39" s="93">
        <f>SUMPRODUCT(_xlfn.TOROW(OptimizePortfolio[Weight]),AssetMonthlyReturns[[#This Row],[SPY]:[PE]])</f>
        <v>1.6828761261694098E-2</v>
      </c>
    </row>
    <row r="40" spans="2:8" x14ac:dyDescent="0.2">
      <c r="B40" s="5" cm="1">
        <f t="array" ref="B40">IF(EDATE(StartDate,ROW(AssetMonthlyReturns[#This Row])-ROW(AssetMonthlyReturns[#Headers])-1)&lt;=EndDate,EDATE(StartDate,ROW(AssetMonthlyReturns[#This Row])-ROW(AssetMonthlyReturns[#Headers])),"")</f>
        <v>43586</v>
      </c>
      <c r="C40" s="2">
        <f>_xlfn.XLOOKUP(AssetMonthlyReturns[[#This Row],[Date]],SPY_Table[Date],SPY_Table[Monthly Return])</f>
        <v>-6.377166121042499E-2</v>
      </c>
      <c r="D40" s="2">
        <f>_xlfn.XLOOKUP(AssetMonthlyReturns[[#This Row],[Date]],AGG_Table[Date],AGG_Table[Monthly Return])</f>
        <v>1.9116910433684353E-2</v>
      </c>
      <c r="E40" s="2">
        <f>_xlfn.XLOOKUP(AssetMonthlyReturns[[#This Row],[Date]],GLD_Table[Date],GLD_Table[Monthly Return])</f>
        <v>1.7574298304293023E-2</v>
      </c>
      <c r="F40" s="2">
        <f>_xlfn.XLOOKUP(AssetMonthlyReturns[[#This Row],[Date]],VNQ_Table[Date],VNQ_Table[Monthly Return])</f>
        <v>1.3832132890163606E-3</v>
      </c>
      <c r="G40" s="6">
        <f>_xlfn.XLOOKUP(AssetMonthlyReturns[[#This Row],[Date]],PE_Table[Date],PE_Table[Monthly Return])</f>
        <v>2.0769331901543842E-2</v>
      </c>
      <c r="H40" s="93">
        <f>SUMPRODUCT(_xlfn.TOROW(OptimizePortfolio[Weight]),AssetMonthlyReturns[[#This Row],[SPY]:[PE]])</f>
        <v>-1.1645497488527081E-2</v>
      </c>
    </row>
    <row r="41" spans="2:8" x14ac:dyDescent="0.2">
      <c r="B41" s="5" cm="1">
        <f t="array" ref="B41">IF(EDATE(StartDate,ROW(AssetMonthlyReturns[#This Row])-ROW(AssetMonthlyReturns[#Headers])-1)&lt;=EndDate,EDATE(StartDate,ROW(AssetMonthlyReturns[#This Row])-ROW(AssetMonthlyReturns[#Headers])),"")</f>
        <v>43617</v>
      </c>
      <c r="C41" s="2">
        <f>_xlfn.XLOOKUP(AssetMonthlyReturns[[#This Row],[Date]],SPY_Table[Date],SPY_Table[Monthly Return])</f>
        <v>6.4409422916425596E-2</v>
      </c>
      <c r="D41" s="2">
        <f>_xlfn.XLOOKUP(AssetMonthlyReturns[[#This Row],[Date]],AGG_Table[Date],AGG_Table[Monthly Return])</f>
        <v>1.1025468189393983E-2</v>
      </c>
      <c r="E41" s="2">
        <f>_xlfn.XLOOKUP(AssetMonthlyReturns[[#This Row],[Date]],GLD_Table[Date],GLD_Table[Monthly Return])</f>
        <v>8.0029149079279494E-2</v>
      </c>
      <c r="F41" s="2">
        <f>_xlfn.XLOOKUP(AssetMonthlyReturns[[#This Row],[Date]],VNQ_Table[Date],VNQ_Table[Monthly Return])</f>
        <v>5.8697429548122404E-3</v>
      </c>
      <c r="G41" s="6">
        <f>_xlfn.XLOOKUP(AssetMonthlyReturns[[#This Row],[Date]],PE_Table[Date],PE_Table[Monthly Return])</f>
        <v>9.4273656253665017E-3</v>
      </c>
      <c r="H41" s="93">
        <f>SUMPRODUCT(_xlfn.TOROW(OptimizePortfolio[Weight]),AssetMonthlyReturns[[#This Row],[SPY]:[PE]])</f>
        <v>4.2675395485568479E-2</v>
      </c>
    </row>
    <row r="42" spans="2:8" x14ac:dyDescent="0.2">
      <c r="B42" s="5" cm="1">
        <f t="array" ref="B42">IF(EDATE(StartDate,ROW(AssetMonthlyReturns[#This Row])-ROW(AssetMonthlyReturns[#Headers])-1)&lt;=EndDate,EDATE(StartDate,ROW(AssetMonthlyReturns[#This Row])-ROW(AssetMonthlyReturns[#Headers])),"")</f>
        <v>43647</v>
      </c>
      <c r="C42" s="2">
        <f>_xlfn.XLOOKUP(AssetMonthlyReturns[[#This Row],[Date]],SPY_Table[Date],SPY_Table[Monthly Return])</f>
        <v>2.0057146907186185E-2</v>
      </c>
      <c r="D42" s="2">
        <f>_xlfn.XLOOKUP(AssetMonthlyReturns[[#This Row],[Date]],AGG_Table[Date],AGG_Table[Monthly Return])</f>
        <v>1.9106722991935055E-3</v>
      </c>
      <c r="E42" s="2">
        <f>_xlfn.XLOOKUP(AssetMonthlyReturns[[#This Row],[Date]],GLD_Table[Date],GLD_Table[Monthly Return])</f>
        <v>7.5148650397593997E-5</v>
      </c>
      <c r="F42" s="2">
        <f>_xlfn.XLOOKUP(AssetMonthlyReturns[[#This Row],[Date]],VNQ_Table[Date],VNQ_Table[Monthly Return])</f>
        <v>2.6829148247491608E-2</v>
      </c>
      <c r="G42" s="6">
        <f>_xlfn.XLOOKUP(AssetMonthlyReturns[[#This Row],[Date]],PE_Table[Date],PE_Table[Monthly Return])</f>
        <v>3.6870338726529006E-3</v>
      </c>
      <c r="H42" s="93">
        <f>SUMPRODUCT(_xlfn.TOROW(OptimizePortfolio[Weight]),AssetMonthlyReturns[[#This Row],[SPY]:[PE]])</f>
        <v>1.074195359175345E-2</v>
      </c>
    </row>
    <row r="43" spans="2:8" x14ac:dyDescent="0.2">
      <c r="B43" s="5" cm="1">
        <f t="array" ref="B43">IF(EDATE(StartDate,ROW(AssetMonthlyReturns[#This Row])-ROW(AssetMonthlyReturns[#Headers])-1)&lt;=EndDate,EDATE(StartDate,ROW(AssetMonthlyReturns[#This Row])-ROW(AssetMonthlyReturns[#Headers])),"")</f>
        <v>43678</v>
      </c>
      <c r="C43" s="2">
        <f>_xlfn.XLOOKUP(AssetMonthlyReturns[[#This Row],[Date]],SPY_Table[Date],SPY_Table[Monthly Return])</f>
        <v>-1.6745691936783436E-2</v>
      </c>
      <c r="D43" s="2">
        <f>_xlfn.XLOOKUP(AssetMonthlyReturns[[#This Row],[Date]],AGG_Table[Date],AGG_Table[Monthly Return])</f>
        <v>2.775300846071449E-2</v>
      </c>
      <c r="E43" s="2">
        <f>_xlfn.XLOOKUP(AssetMonthlyReturns[[#This Row],[Date]],GLD_Table[Date],GLD_Table[Monthly Return])</f>
        <v>7.9123134673635631E-2</v>
      </c>
      <c r="F43" s="2">
        <f>_xlfn.XLOOKUP(AssetMonthlyReturns[[#This Row],[Date]],VNQ_Table[Date],VNQ_Table[Monthly Return])</f>
        <v>3.7461931356986167E-2</v>
      </c>
      <c r="G43" s="6">
        <f>_xlfn.XLOOKUP(AssetMonthlyReturns[[#This Row],[Date]],PE_Table[Date],PE_Table[Monthly Return])</f>
        <v>-2.2073617853446414E-5</v>
      </c>
      <c r="H43" s="93">
        <f>SUMPRODUCT(_xlfn.TOROW(OptimizePortfolio[Weight]),AssetMonthlyReturns[[#This Row],[SPY]:[PE]])</f>
        <v>1.7868364438088025E-2</v>
      </c>
    </row>
    <row r="44" spans="2:8" x14ac:dyDescent="0.2">
      <c r="B44" s="5" cm="1">
        <f t="array" ref="B44">IF(EDATE(StartDate,ROW(AssetMonthlyReturns[#This Row])-ROW(AssetMonthlyReturns[#Headers])-1)&lt;=EndDate,EDATE(StartDate,ROW(AssetMonthlyReturns[#This Row])-ROW(AssetMonthlyReturns[#Headers])),"")</f>
        <v>43709</v>
      </c>
      <c r="C44" s="2">
        <f>_xlfn.XLOOKUP(AssetMonthlyReturns[[#This Row],[Date]],SPY_Table[Date],SPY_Table[Monthly Return])</f>
        <v>1.4773855489260246E-2</v>
      </c>
      <c r="D44" s="2">
        <f>_xlfn.XLOOKUP(AssetMonthlyReturns[[#This Row],[Date]],AGG_Table[Date],AGG_Table[Monthly Return])</f>
        <v>-6.0901232656586091E-3</v>
      </c>
      <c r="E44" s="2">
        <f>_xlfn.XLOOKUP(AssetMonthlyReturns[[#This Row],[Date]],GLD_Table[Date],GLD_Table[Monthly Return])</f>
        <v>-3.3947860173912936E-2</v>
      </c>
      <c r="F44" s="2">
        <f>_xlfn.XLOOKUP(AssetMonthlyReturns[[#This Row],[Date]],VNQ_Table[Date],VNQ_Table[Monthly Return])</f>
        <v>1.11688437985491E-2</v>
      </c>
      <c r="G44" s="6">
        <f>_xlfn.XLOOKUP(AssetMonthlyReturns[[#This Row],[Date]],PE_Table[Date],PE_Table[Monthly Return])</f>
        <v>-2.3570439649956976E-2</v>
      </c>
      <c r="H44" s="93">
        <f>SUMPRODUCT(_xlfn.TOROW(OptimizePortfolio[Weight]),AssetMonthlyReturns[[#This Row],[SPY]:[PE]])</f>
        <v>-6.1294446535267782E-3</v>
      </c>
    </row>
    <row r="45" spans="2:8" x14ac:dyDescent="0.2">
      <c r="B45" s="5" cm="1">
        <f t="array" ref="B45">IF(EDATE(StartDate,ROW(AssetMonthlyReturns[#This Row])-ROW(AssetMonthlyReturns[#Headers])-1)&lt;=EndDate,EDATE(StartDate,ROW(AssetMonthlyReturns[#This Row])-ROW(AssetMonthlyReturns[#Headers])),"")</f>
        <v>43739</v>
      </c>
      <c r="C45" s="2">
        <f>_xlfn.XLOOKUP(AssetMonthlyReturns[[#This Row],[Date]],SPY_Table[Date],SPY_Table[Monthly Return])</f>
        <v>2.6824552237797228E-2</v>
      </c>
      <c r="D45" s="2">
        <f>_xlfn.XLOOKUP(AssetMonthlyReturns[[#This Row],[Date]],AGG_Table[Date],AGG_Table[Monthly Return])</f>
        <v>2.13230139457532E-3</v>
      </c>
      <c r="E45" s="2">
        <f>_xlfn.XLOOKUP(AssetMonthlyReturns[[#This Row],[Date]],GLD_Table[Date],GLD_Table[Monthly Return])</f>
        <v>2.5635470048345876E-2</v>
      </c>
      <c r="F45" s="2">
        <f>_xlfn.XLOOKUP(AssetMonthlyReturns[[#This Row],[Date]],VNQ_Table[Date],VNQ_Table[Monthly Return])</f>
        <v>1.9362744954288136E-2</v>
      </c>
      <c r="G45" s="6">
        <f>_xlfn.XLOOKUP(AssetMonthlyReturns[[#This Row],[Date]],PE_Table[Date],PE_Table[Monthly Return])</f>
        <v>-8.3968844296089529E-3</v>
      </c>
      <c r="H45" s="93">
        <f>SUMPRODUCT(_xlfn.TOROW(OptimizePortfolio[Weight]),AssetMonthlyReturns[[#This Row],[SPY]:[PE]])</f>
        <v>1.5092430111591525E-2</v>
      </c>
    </row>
    <row r="46" spans="2:8" x14ac:dyDescent="0.2">
      <c r="B46" s="5" cm="1">
        <f t="array" ref="B46">IF(EDATE(StartDate,ROW(AssetMonthlyReturns[#This Row])-ROW(AssetMonthlyReturns[#Headers])-1)&lt;=EndDate,EDATE(StartDate,ROW(AssetMonthlyReturns[#This Row])-ROW(AssetMonthlyReturns[#Headers])),"")</f>
        <v>43770</v>
      </c>
      <c r="C46" s="2">
        <f>_xlfn.XLOOKUP(AssetMonthlyReturns[[#This Row],[Date]],SPY_Table[Date],SPY_Table[Monthly Return])</f>
        <v>3.6198400192588354E-2</v>
      </c>
      <c r="D46" s="2">
        <f>_xlfn.XLOOKUP(AssetMonthlyReturns[[#This Row],[Date]],AGG_Table[Date],AGG_Table[Monthly Return])</f>
        <v>-3.103394846921681E-4</v>
      </c>
      <c r="E46" s="2">
        <f>_xlfn.XLOOKUP(AssetMonthlyReturns[[#This Row],[Date]],GLD_Table[Date],GLD_Table[Monthly Return])</f>
        <v>-3.2085883130147819E-2</v>
      </c>
      <c r="F46" s="2">
        <f>_xlfn.XLOOKUP(AssetMonthlyReturns[[#This Row],[Date]],VNQ_Table[Date],VNQ_Table[Monthly Return])</f>
        <v>-1.3043540657153296E-2</v>
      </c>
      <c r="G46" s="6">
        <f>_xlfn.XLOOKUP(AssetMonthlyReturns[[#This Row],[Date]],PE_Table[Date],PE_Table[Monthly Return])</f>
        <v>-3.21277586453661E-3</v>
      </c>
      <c r="H46" s="93">
        <f>SUMPRODUCT(_xlfn.TOROW(OptimizePortfolio[Weight]),AssetMonthlyReturns[[#This Row],[SPY]:[PE]])</f>
        <v>4.2588032800498811E-3</v>
      </c>
    </row>
    <row r="47" spans="2:8" x14ac:dyDescent="0.2">
      <c r="B47" s="5" cm="1">
        <f t="array" ref="B47">IF(EDATE(StartDate,ROW(AssetMonthlyReturns[#This Row])-ROW(AssetMonthlyReturns[#Headers])-1)&lt;=EndDate,EDATE(StartDate,ROW(AssetMonthlyReturns[#This Row])-ROW(AssetMonthlyReturns[#Headers])),"")</f>
        <v>43800</v>
      </c>
      <c r="C47" s="2">
        <f>_xlfn.XLOOKUP(AssetMonthlyReturns[[#This Row],[Date]],SPY_Table[Date],SPY_Table[Monthly Return])</f>
        <v>2.4020625744235247E-2</v>
      </c>
      <c r="D47" s="2">
        <f>_xlfn.XLOOKUP(AssetMonthlyReturns[[#This Row],[Date]],AGG_Table[Date],AGG_Table[Monthly Return])</f>
        <v>-2.1280191693037187E-3</v>
      </c>
      <c r="E47" s="2">
        <f>_xlfn.XLOOKUP(AssetMonthlyReturns[[#This Row],[Date]],GLD_Table[Date],GLD_Table[Monthly Return])</f>
        <v>3.6558779037173306E-2</v>
      </c>
      <c r="F47" s="2">
        <f>_xlfn.XLOOKUP(AssetMonthlyReturns[[#This Row],[Date]],VNQ_Table[Date],VNQ_Table[Monthly Return])</f>
        <v>-3.0084817056696966E-3</v>
      </c>
      <c r="G47" s="6">
        <f>_xlfn.XLOOKUP(AssetMonthlyReturns[[#This Row],[Date]],PE_Table[Date],PE_Table[Monthly Return])</f>
        <v>2.714244532856136E-2</v>
      </c>
      <c r="H47" s="93">
        <f>SUMPRODUCT(_xlfn.TOROW(OptimizePortfolio[Weight]),AssetMonthlyReturns[[#This Row],[SPY]:[PE]])</f>
        <v>2.0527412837666743E-2</v>
      </c>
    </row>
    <row r="48" spans="2:8" x14ac:dyDescent="0.2">
      <c r="B48" s="5" cm="1">
        <f t="array" ref="B48">IF(EDATE(StartDate,ROW(AssetMonthlyReturns[#This Row])-ROW(AssetMonthlyReturns[#Headers])-1)&lt;=EndDate,EDATE(StartDate,ROW(AssetMonthlyReturns[#This Row])-ROW(AssetMonthlyReturns[#Headers])),"")</f>
        <v>43831</v>
      </c>
      <c r="C48" s="2">
        <f>_xlfn.XLOOKUP(AssetMonthlyReturns[[#This Row],[Date]],SPY_Table[Date],SPY_Table[Monthly Return])</f>
        <v>4.510725523764636E-3</v>
      </c>
      <c r="D48" s="2">
        <f>_xlfn.XLOOKUP(AssetMonthlyReturns[[#This Row],[Date]],AGG_Table[Date],AGG_Table[Monthly Return])</f>
        <v>2.4260024458366614E-2</v>
      </c>
      <c r="E48" s="2">
        <f>_xlfn.XLOOKUP(AssetMonthlyReturns[[#This Row],[Date]],GLD_Table[Date],GLD_Table[Monthly Return])</f>
        <v>4.4996558253876717E-2</v>
      </c>
      <c r="F48" s="2">
        <f>_xlfn.XLOOKUP(AssetMonthlyReturns[[#This Row],[Date]],VNQ_Table[Date],VNQ_Table[Monthly Return])</f>
        <v>2.3148565191209114E-2</v>
      </c>
      <c r="G48" s="6">
        <f>_xlfn.XLOOKUP(AssetMonthlyReturns[[#This Row],[Date]],PE_Table[Date],PE_Table[Monthly Return])</f>
        <v>1.2872365238101757E-2</v>
      </c>
      <c r="H48" s="93">
        <f>SUMPRODUCT(_xlfn.TOROW(OptimizePortfolio[Weight]),AssetMonthlyReturns[[#This Row],[SPY]:[PE]])</f>
        <v>1.9106398819589223E-2</v>
      </c>
    </row>
    <row r="49" spans="2:8" x14ac:dyDescent="0.2">
      <c r="B49" s="5" cm="1">
        <f t="array" ref="B49">IF(EDATE(StartDate,ROW(AssetMonthlyReturns[#This Row])-ROW(AssetMonthlyReturns[#Headers])-1)&lt;=EndDate,EDATE(StartDate,ROW(AssetMonthlyReturns[#This Row])-ROW(AssetMonthlyReturns[#Headers])),"")</f>
        <v>43862</v>
      </c>
      <c r="C49" s="2">
        <f>_xlfn.XLOOKUP(AssetMonthlyReturns[[#This Row],[Date]],SPY_Table[Date],SPY_Table[Monthly Return])</f>
        <v>-7.9165673264861347E-2</v>
      </c>
      <c r="D49" s="2">
        <f>_xlfn.XLOOKUP(AssetMonthlyReturns[[#This Row],[Date]],AGG_Table[Date],AGG_Table[Monthly Return])</f>
        <v>1.3694099655926939E-2</v>
      </c>
      <c r="E49" s="2">
        <f>_xlfn.XLOOKUP(AssetMonthlyReturns[[#This Row],[Date]],GLD_Table[Date],GLD_Table[Monthly Return])</f>
        <v>-6.3617283101110589E-3</v>
      </c>
      <c r="F49" s="2">
        <f>_xlfn.XLOOKUP(AssetMonthlyReturns[[#This Row],[Date]],VNQ_Table[Date],VNQ_Table[Monthly Return])</f>
        <v>-7.0265055697464995E-2</v>
      </c>
      <c r="G49" s="6">
        <f>_xlfn.XLOOKUP(AssetMonthlyReturns[[#This Row],[Date]],PE_Table[Date],PE_Table[Monthly Return])</f>
        <v>-2.9260802712371525E-2</v>
      </c>
      <c r="H49" s="93">
        <f>SUMPRODUCT(_xlfn.TOROW(OptimizePortfolio[Weight]),AssetMonthlyReturns[[#This Row],[SPY]:[PE]])</f>
        <v>-3.9804882468555444E-2</v>
      </c>
    </row>
    <row r="50" spans="2:8" x14ac:dyDescent="0.2">
      <c r="B50" s="5" cm="1">
        <f t="array" ref="B50">IF(EDATE(StartDate,ROW(AssetMonthlyReturns[#This Row])-ROW(AssetMonthlyReturns[#Headers])-1)&lt;=EndDate,EDATE(StartDate,ROW(AssetMonthlyReturns[#This Row])-ROW(AssetMonthlyReturns[#Headers])),"")</f>
        <v>43891</v>
      </c>
      <c r="C50" s="2">
        <f>_xlfn.XLOOKUP(AssetMonthlyReturns[[#This Row],[Date]],SPY_Table[Date],SPY_Table[Monthly Return])</f>
        <v>-0.12998736768162189</v>
      </c>
      <c r="D50" s="2">
        <f>_xlfn.XLOOKUP(AssetMonthlyReturns[[#This Row],[Date]],AGG_Table[Date],AGG_Table[Monthly Return])</f>
        <v>-5.2057130770633009E-3</v>
      </c>
      <c r="E50" s="2">
        <f>_xlfn.XLOOKUP(AssetMonthlyReturns[[#This Row],[Date]],GLD_Table[Date],GLD_Table[Monthly Return])</f>
        <v>-2.2240314671939654E-3</v>
      </c>
      <c r="F50" s="2">
        <f>_xlfn.XLOOKUP(AssetMonthlyReturns[[#This Row],[Date]],VNQ_Table[Date],VNQ_Table[Monthly Return])</f>
        <v>-0.20016036855681718</v>
      </c>
      <c r="G50" s="6">
        <f>_xlfn.XLOOKUP(AssetMonthlyReturns[[#This Row],[Date]],PE_Table[Date],PE_Table[Monthly Return])</f>
        <v>1.2481678925277961E-2</v>
      </c>
      <c r="H50" s="93">
        <f>SUMPRODUCT(_xlfn.TOROW(OptimizePortfolio[Weight]),AssetMonthlyReturns[[#This Row],[SPY]:[PE]])</f>
        <v>-6.4240943014192073E-2</v>
      </c>
    </row>
    <row r="51" spans="2:8" x14ac:dyDescent="0.2">
      <c r="B51" s="5" cm="1">
        <f t="array" ref="B51">IF(EDATE(StartDate,ROW(AssetMonthlyReturns[#This Row])-ROW(AssetMonthlyReturns[#Headers])-1)&lt;=EndDate,EDATE(StartDate,ROW(AssetMonthlyReturns[#This Row])-ROW(AssetMonthlyReturns[#Headers])),"")</f>
        <v>43922</v>
      </c>
      <c r="C51" s="2">
        <f>_xlfn.XLOOKUP(AssetMonthlyReturns[[#This Row],[Date]],SPY_Table[Date],SPY_Table[Monthly Return])</f>
        <v>0.13360527715198889</v>
      </c>
      <c r="D51" s="2">
        <f>_xlfn.XLOOKUP(AssetMonthlyReturns[[#This Row],[Date]],AGG_Table[Date],AGG_Table[Monthly Return])</f>
        <v>1.7086828374417662E-2</v>
      </c>
      <c r="E51" s="2">
        <f>_xlfn.XLOOKUP(AssetMonthlyReturns[[#This Row],[Date]],GLD_Table[Date],GLD_Table[Monthly Return])</f>
        <v>7.2610603005114127E-2</v>
      </c>
      <c r="F51" s="2">
        <f>_xlfn.XLOOKUP(AssetMonthlyReturns[[#This Row],[Date]],VNQ_Table[Date],VNQ_Table[Monthly Return])</f>
        <v>9.812433877901805E-2</v>
      </c>
      <c r="G51" s="6">
        <f>_xlfn.XLOOKUP(AssetMonthlyReturns[[#This Row],[Date]],PE_Table[Date],PE_Table[Monthly Return])</f>
        <v>-1.7016458084359032E-3</v>
      </c>
      <c r="H51" s="93">
        <f>SUMPRODUCT(_xlfn.TOROW(OptimizePortfolio[Weight]),AssetMonthlyReturns[[#This Row],[SPY]:[PE]])</f>
        <v>7.3319096576596202E-2</v>
      </c>
    </row>
    <row r="52" spans="2:8" x14ac:dyDescent="0.2">
      <c r="B52" s="5" cm="1">
        <f t="array" ref="B52">IF(EDATE(StartDate,ROW(AssetMonthlyReturns[#This Row])-ROW(AssetMonthlyReturns[#Headers])-1)&lt;=EndDate,EDATE(StartDate,ROW(AssetMonthlyReturns[#This Row])-ROW(AssetMonthlyReturns[#Headers])),"")</f>
        <v>43952</v>
      </c>
      <c r="C52" s="2">
        <f>_xlfn.XLOOKUP(AssetMonthlyReturns[[#This Row],[Date]],SPY_Table[Date],SPY_Table[Monthly Return])</f>
        <v>4.764998785057073E-2</v>
      </c>
      <c r="D52" s="2">
        <f>_xlfn.XLOOKUP(AssetMonthlyReturns[[#This Row],[Date]],AGG_Table[Date],AGG_Table[Monthly Return])</f>
        <v>6.8701437696663259E-3</v>
      </c>
      <c r="E52" s="2">
        <f>_xlfn.XLOOKUP(AssetMonthlyReturns[[#This Row],[Date]],GLD_Table[Date],GLD_Table[Monthly Return])</f>
        <v>2.5881615363771981E-2</v>
      </c>
      <c r="F52" s="2">
        <f>_xlfn.XLOOKUP(AssetMonthlyReturns[[#This Row],[Date]],VNQ_Table[Date],VNQ_Table[Monthly Return])</f>
        <v>1.7343252485480187E-2</v>
      </c>
      <c r="G52" s="6">
        <f>_xlfn.XLOOKUP(AssetMonthlyReturns[[#This Row],[Date]],PE_Table[Date],PE_Table[Monthly Return])</f>
        <v>-7.5384392396268263E-3</v>
      </c>
      <c r="H52" s="93">
        <f>SUMPRODUCT(_xlfn.TOROW(OptimizePortfolio[Weight]),AssetMonthlyReturns[[#This Row],[SPY]:[PE]])</f>
        <v>2.3110977786526751E-2</v>
      </c>
    </row>
    <row r="53" spans="2:8" x14ac:dyDescent="0.2">
      <c r="B53" s="5" cm="1">
        <f t="array" ref="B53">IF(EDATE(StartDate,ROW(AssetMonthlyReturns[#This Row])-ROW(AssetMonthlyReturns[#Headers])-1)&lt;=EndDate,EDATE(StartDate,ROW(AssetMonthlyReturns[#This Row])-ROW(AssetMonthlyReturns[#Headers])),"")</f>
        <v>43983</v>
      </c>
      <c r="C53" s="2">
        <f>_xlfn.XLOOKUP(AssetMonthlyReturns[[#This Row],[Date]],SPY_Table[Date],SPY_Table[Monthly Return])</f>
        <v>1.3285385531331739E-2</v>
      </c>
      <c r="D53" s="2">
        <f>_xlfn.XLOOKUP(AssetMonthlyReturns[[#This Row],[Date]],AGG_Table[Date],AGG_Table[Monthly Return])</f>
        <v>6.7888281180388255E-3</v>
      </c>
      <c r="E53" s="2">
        <f>_xlfn.XLOOKUP(AssetMonthlyReturns[[#This Row],[Date]],GLD_Table[Date],GLD_Table[Monthly Return])</f>
        <v>2.7377025957307843E-2</v>
      </c>
      <c r="F53" s="2">
        <f>_xlfn.XLOOKUP(AssetMonthlyReturns[[#This Row],[Date]],VNQ_Table[Date],VNQ_Table[Monthly Return])</f>
        <v>1.4205958474135638E-2</v>
      </c>
      <c r="G53" s="6">
        <f>_xlfn.XLOOKUP(AssetMonthlyReturns[[#This Row],[Date]],PE_Table[Date],PE_Table[Monthly Return])</f>
        <v>1.8233525093978464E-2</v>
      </c>
      <c r="H53" s="93">
        <f>SUMPRODUCT(_xlfn.TOROW(OptimizePortfolio[Weight]),AssetMonthlyReturns[[#This Row],[SPY]:[PE]])</f>
        <v>1.6210915211342759E-2</v>
      </c>
    </row>
    <row r="54" spans="2:8" x14ac:dyDescent="0.2">
      <c r="B54" s="5" cm="1">
        <f t="array" ref="B54">IF(EDATE(StartDate,ROW(AssetMonthlyReturns[#This Row])-ROW(AssetMonthlyReturns[#Headers])-1)&lt;=EndDate,EDATE(StartDate,ROW(AssetMonthlyReturns[#This Row])-ROW(AssetMonthlyReturns[#Headers])),"")</f>
        <v>44013</v>
      </c>
      <c r="C54" s="2">
        <f>_xlfn.XLOOKUP(AssetMonthlyReturns[[#This Row],[Date]],SPY_Table[Date],SPY_Table[Monthly Return])</f>
        <v>6.3541688773052218E-2</v>
      </c>
      <c r="D54" s="2">
        <f>_xlfn.XLOOKUP(AssetMonthlyReturns[[#This Row],[Date]],AGG_Table[Date],AGG_Table[Monthly Return])</f>
        <v>1.3263300075174289E-2</v>
      </c>
      <c r="E54" s="2">
        <f>_xlfn.XLOOKUP(AssetMonthlyReturns[[#This Row],[Date]],GLD_Table[Date],GLD_Table[Monthly Return])</f>
        <v>0.10790463122861138</v>
      </c>
      <c r="F54" s="2">
        <f>_xlfn.XLOOKUP(AssetMonthlyReturns[[#This Row],[Date]],VNQ_Table[Date],VNQ_Table[Monthly Return])</f>
        <v>4.6682278637402153E-2</v>
      </c>
      <c r="G54" s="6">
        <f>_xlfn.XLOOKUP(AssetMonthlyReturns[[#This Row],[Date]],PE_Table[Date],PE_Table[Monthly Return])</f>
        <v>2.6619990535884597E-2</v>
      </c>
      <c r="H54" s="93">
        <f>SUMPRODUCT(_xlfn.TOROW(OptimizePortfolio[Weight]),AssetMonthlyReturns[[#This Row],[SPY]:[PE]])</f>
        <v>5.5802238298483825E-2</v>
      </c>
    </row>
    <row r="55" spans="2:8" x14ac:dyDescent="0.2">
      <c r="B55" s="5" cm="1">
        <f t="array" ref="B55">IF(EDATE(StartDate,ROW(AssetMonthlyReturns[#This Row])-ROW(AssetMonthlyReturns[#Headers])-1)&lt;=EndDate,EDATE(StartDate,ROW(AssetMonthlyReturns[#This Row])-ROW(AssetMonthlyReturns[#Headers])),"")</f>
        <v>44044</v>
      </c>
      <c r="C55" s="2">
        <f>_xlfn.XLOOKUP(AssetMonthlyReturns[[#This Row],[Date]],SPY_Table[Date],SPY_Table[Monthly Return])</f>
        <v>6.9785936677991156E-2</v>
      </c>
      <c r="D55" s="2">
        <f>_xlfn.XLOOKUP(AssetMonthlyReturns[[#This Row],[Date]],AGG_Table[Date],AGG_Table[Monthly Return])</f>
        <v>-8.081323362178594E-3</v>
      </c>
      <c r="E55" s="2">
        <f>_xlfn.XLOOKUP(AssetMonthlyReturns[[#This Row],[Date]],GLD_Table[Date],GLD_Table[Monthly Return])</f>
        <v>-3.235673427279484E-3</v>
      </c>
      <c r="F55" s="2">
        <f>_xlfn.XLOOKUP(AssetMonthlyReturns[[#This Row],[Date]],VNQ_Table[Date],VNQ_Table[Monthly Return])</f>
        <v>4.4231746481182554E-3</v>
      </c>
      <c r="G55" s="6">
        <f>_xlfn.XLOOKUP(AssetMonthlyReturns[[#This Row],[Date]],PE_Table[Date],PE_Table[Monthly Return])</f>
        <v>2.4625602248889544E-2</v>
      </c>
      <c r="H55" s="93">
        <f>SUMPRODUCT(_xlfn.TOROW(OptimizePortfolio[Weight]),AssetMonthlyReturns[[#This Row],[SPY]:[PE]])</f>
        <v>2.7933182562103948E-2</v>
      </c>
    </row>
    <row r="56" spans="2:8" x14ac:dyDescent="0.2">
      <c r="B56" s="5" cm="1">
        <f t="array" ref="B56">IF(EDATE(StartDate,ROW(AssetMonthlyReturns[#This Row])-ROW(AssetMonthlyReturns[#Headers])-1)&lt;=EndDate,EDATE(StartDate,ROW(AssetMonthlyReturns[#This Row])-ROW(AssetMonthlyReturns[#Headers])),"")</f>
        <v>44075</v>
      </c>
      <c r="C56" s="2">
        <f>_xlfn.XLOOKUP(AssetMonthlyReturns[[#This Row],[Date]],SPY_Table[Date],SPY_Table[Monthly Return])</f>
        <v>-4.1270038138352283E-2</v>
      </c>
      <c r="D56" s="2">
        <f>_xlfn.XLOOKUP(AssetMonthlyReturns[[#This Row],[Date]],AGG_Table[Date],AGG_Table[Monthly Return])</f>
        <v>-8.8959073885186424E-4</v>
      </c>
      <c r="E56" s="2">
        <f>_xlfn.XLOOKUP(AssetMonthlyReturns[[#This Row],[Date]],GLD_Table[Date],GLD_Table[Monthly Return])</f>
        <v>-4.1714043309607263E-2</v>
      </c>
      <c r="F56" s="2">
        <f>_xlfn.XLOOKUP(AssetMonthlyReturns[[#This Row],[Date]],VNQ_Table[Date],VNQ_Table[Monthly Return])</f>
        <v>-3.4128674986671492E-2</v>
      </c>
      <c r="G56" s="6">
        <f>_xlfn.XLOOKUP(AssetMonthlyReturns[[#This Row],[Date]],PE_Table[Date],PE_Table[Monthly Return])</f>
        <v>-1.0784350337471604E-2</v>
      </c>
      <c r="H56" s="93">
        <f>SUMPRODUCT(_xlfn.TOROW(OptimizePortfolio[Weight]),AssetMonthlyReturns[[#This Row],[SPY]:[PE]])</f>
        <v>-2.8490498187334002E-2</v>
      </c>
    </row>
    <row r="57" spans="2:8" x14ac:dyDescent="0.2">
      <c r="B57" s="5" cm="1">
        <f t="array" ref="B57">IF(EDATE(StartDate,ROW(AssetMonthlyReturns[#This Row])-ROW(AssetMonthlyReturns[#Headers])-1)&lt;=EndDate,EDATE(StartDate,ROW(AssetMonthlyReturns[#This Row])-ROW(AssetMonthlyReturns[#Headers])),"")</f>
        <v>44105</v>
      </c>
      <c r="C57" s="2">
        <f>_xlfn.XLOOKUP(AssetMonthlyReturns[[#This Row],[Date]],SPY_Table[Date],SPY_Table[Monthly Return])</f>
        <v>-2.1032118704772396E-2</v>
      </c>
      <c r="D57" s="2">
        <f>_xlfn.XLOOKUP(AssetMonthlyReturns[[#This Row],[Date]],AGG_Table[Date],AGG_Table[Monthly Return])</f>
        <v>-5.646365529467956E-3</v>
      </c>
      <c r="E57" s="2">
        <f>_xlfn.XLOOKUP(AssetMonthlyReturns[[#This Row],[Date]],GLD_Table[Date],GLD_Table[Monthly Return])</f>
        <v>-5.1942085899482349E-3</v>
      </c>
      <c r="F57" s="2">
        <f>_xlfn.XLOOKUP(AssetMonthlyReturns[[#This Row],[Date]],VNQ_Table[Date],VNQ_Table[Monthly Return])</f>
        <v>-2.2497847359920886E-2</v>
      </c>
      <c r="G57" s="6">
        <f>_xlfn.XLOOKUP(AssetMonthlyReturns[[#This Row],[Date]],PE_Table[Date],PE_Table[Monthly Return])</f>
        <v>-1.8424764487012801E-4</v>
      </c>
      <c r="H57" s="93">
        <f>SUMPRODUCT(_xlfn.TOROW(OptimizePortfolio[Weight]),AssetMonthlyReturns[[#This Row],[SPY]:[PE]])</f>
        <v>-1.1533672359046294E-2</v>
      </c>
    </row>
    <row r="58" spans="2:8" x14ac:dyDescent="0.2">
      <c r="B58" s="5" cm="1">
        <f t="array" ref="B58">IF(EDATE(StartDate,ROW(AssetMonthlyReturns[#This Row])-ROW(AssetMonthlyReturns[#Headers])-1)&lt;=EndDate,EDATE(StartDate,ROW(AssetMonthlyReturns[#This Row])-ROW(AssetMonthlyReturns[#Headers])),"")</f>
        <v>44136</v>
      </c>
      <c r="C58" s="2">
        <f>_xlfn.XLOOKUP(AssetMonthlyReturns[[#This Row],[Date]],SPY_Table[Date],SPY_Table[Monthly Return])</f>
        <v>0.10877698456794693</v>
      </c>
      <c r="D58" s="2">
        <f>_xlfn.XLOOKUP(AssetMonthlyReturns[[#This Row],[Date]],AGG_Table[Date],AGG_Table[Monthly Return])</f>
        <v>1.2141340729939554E-2</v>
      </c>
      <c r="E58" s="2">
        <f>_xlfn.XLOOKUP(AssetMonthlyReturns[[#This Row],[Date]],GLD_Table[Date],GLD_Table[Monthly Return])</f>
        <v>-5.4086259180859186E-2</v>
      </c>
      <c r="F58" s="2">
        <f>_xlfn.XLOOKUP(AssetMonthlyReturns[[#This Row],[Date]],VNQ_Table[Date],VNQ_Table[Monthly Return])</f>
        <v>9.6748892168611267E-2</v>
      </c>
      <c r="G58" s="6">
        <f>_xlfn.XLOOKUP(AssetMonthlyReturns[[#This Row],[Date]],PE_Table[Date],PE_Table[Monthly Return])</f>
        <v>1.2625268779648424E-2</v>
      </c>
      <c r="H58" s="93">
        <f>SUMPRODUCT(_xlfn.TOROW(OptimizePortfolio[Weight]),AssetMonthlyReturns[[#This Row],[SPY]:[PE]])</f>
        <v>4.1275836844891327E-2</v>
      </c>
    </row>
    <row r="59" spans="2:8" x14ac:dyDescent="0.2">
      <c r="B59" s="5" cm="1">
        <f t="array" ref="B59">IF(EDATE(StartDate,ROW(AssetMonthlyReturns[#This Row])-ROW(AssetMonthlyReturns[#Headers])-1)&lt;=EndDate,EDATE(StartDate,ROW(AssetMonthlyReturns[#This Row])-ROW(AssetMonthlyReturns[#Headers])),"")</f>
        <v>44166</v>
      </c>
      <c r="C59" s="2">
        <f>_xlfn.XLOOKUP(AssetMonthlyReturns[[#This Row],[Date]],SPY_Table[Date],SPY_Table[Monthly Return])</f>
        <v>3.2646447599749218E-2</v>
      </c>
      <c r="D59" s="2">
        <f>_xlfn.XLOOKUP(AssetMonthlyReturns[[#This Row],[Date]],AGG_Table[Date],AGG_Table[Monthly Return])</f>
        <v>-3.0446929735439276E-4</v>
      </c>
      <c r="E59" s="2">
        <f>_xlfn.XLOOKUP(AssetMonthlyReturns[[#This Row],[Date]],GLD_Table[Date],GLD_Table[Monthly Return])</f>
        <v>7.013861238524921E-2</v>
      </c>
      <c r="F59" s="2">
        <f>_xlfn.XLOOKUP(AssetMonthlyReturns[[#This Row],[Date]],VNQ_Table[Date],VNQ_Table[Monthly Return])</f>
        <v>1.1071701586235827E-2</v>
      </c>
      <c r="G59" s="6">
        <f>_xlfn.XLOOKUP(AssetMonthlyReturns[[#This Row],[Date]],PE_Table[Date],PE_Table[Monthly Return])</f>
        <v>2.5510902510907707E-2</v>
      </c>
      <c r="H59" s="93">
        <f>SUMPRODUCT(_xlfn.TOROW(OptimizePortfolio[Weight]),AssetMonthlyReturns[[#This Row],[SPY]:[PE]])</f>
        <v>3.1617659403164036E-2</v>
      </c>
    </row>
    <row r="60" spans="2:8" x14ac:dyDescent="0.2">
      <c r="B60" s="5" cm="1">
        <f t="array" ref="B60">IF(EDATE(StartDate,ROW(AssetMonthlyReturns[#This Row])-ROW(AssetMonthlyReturns[#Headers])-1)&lt;=EndDate,EDATE(StartDate,ROW(AssetMonthlyReturns[#This Row])-ROW(AssetMonthlyReturns[#Headers])),"")</f>
        <v>44197</v>
      </c>
      <c r="C60" s="2">
        <f>_xlfn.XLOOKUP(AssetMonthlyReturns[[#This Row],[Date]],SPY_Table[Date],SPY_Table[Monthly Return])</f>
        <v>-5.9712553099520171E-3</v>
      </c>
      <c r="D60" s="2">
        <f>_xlfn.XLOOKUP(AssetMonthlyReturns[[#This Row],[Date]],AGG_Table[Date],AGG_Table[Monthly Return])</f>
        <v>-4.6614547335565026E-3</v>
      </c>
      <c r="E60" s="2">
        <f>_xlfn.XLOOKUP(AssetMonthlyReturns[[#This Row],[Date]],GLD_Table[Date],GLD_Table[Monthly Return])</f>
        <v>-3.223816988482342E-2</v>
      </c>
      <c r="F60" s="2">
        <f>_xlfn.XLOOKUP(AssetMonthlyReturns[[#This Row],[Date]],VNQ_Table[Date],VNQ_Table[Monthly Return])</f>
        <v>1.6449760284158232E-2</v>
      </c>
      <c r="G60" s="6">
        <f>_xlfn.XLOOKUP(AssetMonthlyReturns[[#This Row],[Date]],PE_Table[Date],PE_Table[Monthly Return])</f>
        <v>-3.5834849730072005E-3</v>
      </c>
      <c r="H60" s="93">
        <f>SUMPRODUCT(_xlfn.TOROW(OptimizePortfolio[Weight]),AssetMonthlyReturns[[#This Row],[SPY]:[PE]])</f>
        <v>-8.3085125116669836E-3</v>
      </c>
    </row>
    <row r="61" spans="2:8" x14ac:dyDescent="0.2">
      <c r="B61" s="5" cm="1">
        <f t="array" ref="B61">IF(EDATE(StartDate,ROW(AssetMonthlyReturns[#This Row])-ROW(AssetMonthlyReturns[#Headers])-1)&lt;=EndDate,EDATE(StartDate,ROW(AssetMonthlyReturns[#This Row])-ROW(AssetMonthlyReturns[#Headers])),"")</f>
        <v>44228</v>
      </c>
      <c r="C61" s="2">
        <f>_xlfn.XLOOKUP(AssetMonthlyReturns[[#This Row],[Date]],SPY_Table[Date],SPY_Table[Monthly Return])</f>
        <v>2.7805476995289347E-2</v>
      </c>
      <c r="D61" s="2">
        <f>_xlfn.XLOOKUP(AssetMonthlyReturns[[#This Row],[Date]],AGG_Table[Date],AGG_Table[Monthly Return])</f>
        <v>-1.6792969909424471E-2</v>
      </c>
      <c r="E61" s="2">
        <f>_xlfn.XLOOKUP(AssetMonthlyReturns[[#This Row],[Date]],GLD_Table[Date],GLD_Table[Monthly Return])</f>
        <v>-6.2568813872074136E-2</v>
      </c>
      <c r="F61" s="2">
        <f>_xlfn.XLOOKUP(AssetMonthlyReturns[[#This Row],[Date]],VNQ_Table[Date],VNQ_Table[Monthly Return])</f>
        <v>3.4251325936570209E-2</v>
      </c>
      <c r="G61" s="6">
        <f>_xlfn.XLOOKUP(AssetMonthlyReturns[[#This Row],[Date]],PE_Table[Date],PE_Table[Monthly Return])</f>
        <v>2.2868210100761566E-3</v>
      </c>
      <c r="H61" s="93">
        <f>SUMPRODUCT(_xlfn.TOROW(OptimizePortfolio[Weight]),AssetMonthlyReturns[[#This Row],[SPY]:[PE]])</f>
        <v>-1.4182945168049756E-3</v>
      </c>
    </row>
    <row r="62" spans="2:8" x14ac:dyDescent="0.2">
      <c r="B62" s="5" cm="1">
        <f t="array" ref="B62">IF(EDATE(StartDate,ROW(AssetMonthlyReturns[#This Row])-ROW(AssetMonthlyReturns[#Headers])-1)&lt;=EndDate,EDATE(StartDate,ROW(AssetMonthlyReturns[#This Row])-ROW(AssetMonthlyReturns[#Headers])),"")</f>
        <v>44256</v>
      </c>
      <c r="C62" s="2">
        <f>_xlfn.XLOOKUP(AssetMonthlyReturns[[#This Row],[Date]],SPY_Table[Date],SPY_Table[Monthly Return])</f>
        <v>4.1986685824076719E-2</v>
      </c>
      <c r="D62" s="2">
        <f>_xlfn.XLOOKUP(AssetMonthlyReturns[[#This Row],[Date]],AGG_Table[Date],AGG_Table[Monthly Return])</f>
        <v>-1.14737645384968E-2</v>
      </c>
      <c r="E62" s="2">
        <f>_xlfn.XLOOKUP(AssetMonthlyReturns[[#This Row],[Date]],GLD_Table[Date],GLD_Table[Monthly Return])</f>
        <v>-1.1433106281685035E-2</v>
      </c>
      <c r="F62" s="2">
        <f>_xlfn.XLOOKUP(AssetMonthlyReturns[[#This Row],[Date]],VNQ_Table[Date],VNQ_Table[Monthly Return])</f>
        <v>4.5408224288032706E-2</v>
      </c>
      <c r="G62" s="6">
        <f>_xlfn.XLOOKUP(AssetMonthlyReturns[[#This Row],[Date]],PE_Table[Date],PE_Table[Monthly Return])</f>
        <v>-1.6126699368261166E-2</v>
      </c>
      <c r="H62" s="93">
        <f>SUMPRODUCT(_xlfn.TOROW(OptimizePortfolio[Weight]),AssetMonthlyReturns[[#This Row],[SPY]:[PE]])</f>
        <v>1.2003136656466363E-2</v>
      </c>
    </row>
    <row r="63" spans="2:8" x14ac:dyDescent="0.2">
      <c r="B63" s="5" cm="1">
        <f t="array" ref="B63">IF(EDATE(StartDate,ROW(AssetMonthlyReturns[#This Row])-ROW(AssetMonthlyReturns[#Headers])-1)&lt;=EndDate,EDATE(StartDate,ROW(AssetMonthlyReturns[#This Row])-ROW(AssetMonthlyReturns[#Headers])),"")</f>
        <v>44287</v>
      </c>
      <c r="C63" s="2">
        <f>_xlfn.XLOOKUP(AssetMonthlyReturns[[#This Row],[Date]],SPY_Table[Date],SPY_Table[Monthly Return])</f>
        <v>5.6358713430992635E-2</v>
      </c>
      <c r="D63" s="2">
        <f>_xlfn.XLOOKUP(AssetMonthlyReturns[[#This Row],[Date]],AGG_Table[Date],AGG_Table[Monthly Return])</f>
        <v>7.457324298649981E-3</v>
      </c>
      <c r="E63" s="2">
        <f>_xlfn.XLOOKUP(AssetMonthlyReturns[[#This Row],[Date]],GLD_Table[Date],GLD_Table[Monthly Return])</f>
        <v>3.5633888229888333E-2</v>
      </c>
      <c r="F63" s="2">
        <f>_xlfn.XLOOKUP(AssetMonthlyReturns[[#This Row],[Date]],VNQ_Table[Date],VNQ_Table[Monthly Return])</f>
        <v>8.4904252933581281E-2</v>
      </c>
      <c r="G63" s="6">
        <f>_xlfn.XLOOKUP(AssetMonthlyReturns[[#This Row],[Date]],PE_Table[Date],PE_Table[Monthly Return])</f>
        <v>-1.7924132661450543E-2</v>
      </c>
      <c r="H63" s="93">
        <f>SUMPRODUCT(_xlfn.TOROW(OptimizePortfolio[Weight]),AssetMonthlyReturns[[#This Row],[SPY]:[PE]])</f>
        <v>3.2876524752690608E-2</v>
      </c>
    </row>
    <row r="64" spans="2:8" x14ac:dyDescent="0.2">
      <c r="B64" s="5" cm="1">
        <f t="array" ref="B64">IF(EDATE(StartDate,ROW(AssetMonthlyReturns[#This Row])-ROW(AssetMonthlyReturns[#Headers])-1)&lt;=EndDate,EDATE(StartDate,ROW(AssetMonthlyReturns[#This Row])-ROW(AssetMonthlyReturns[#Headers])),"")</f>
        <v>44317</v>
      </c>
      <c r="C64" s="2">
        <f>_xlfn.XLOOKUP(AssetMonthlyReturns[[#This Row],[Date]],SPY_Table[Date],SPY_Table[Monthly Return])</f>
        <v>6.5662539802922026E-3</v>
      </c>
      <c r="D64" s="2">
        <f>_xlfn.XLOOKUP(AssetMonthlyReturns[[#This Row],[Date]],AGG_Table[Date],AGG_Table[Monthly Return])</f>
        <v>2.0384357384792828E-3</v>
      </c>
      <c r="E64" s="2">
        <f>_xlfn.XLOOKUP(AssetMonthlyReturns[[#This Row],[Date]],GLD_Table[Date],GLD_Table[Monthly Return])</f>
        <v>7.6783779523723394E-2</v>
      </c>
      <c r="F64" s="2">
        <f>_xlfn.XLOOKUP(AssetMonthlyReturns[[#This Row],[Date]],VNQ_Table[Date],VNQ_Table[Monthly Return])</f>
        <v>8.0741832360746724E-3</v>
      </c>
      <c r="G64" s="6">
        <f>_xlfn.XLOOKUP(AssetMonthlyReturns[[#This Row],[Date]],PE_Table[Date],PE_Table[Monthly Return])</f>
        <v>2.2250516097864992E-2</v>
      </c>
      <c r="H64" s="93">
        <f>SUMPRODUCT(_xlfn.TOROW(OptimizePortfolio[Weight]),AssetMonthlyReturns[[#This Row],[SPY]:[PE]])</f>
        <v>2.3218231701799309E-2</v>
      </c>
    </row>
    <row r="65" spans="2:8" x14ac:dyDescent="0.2">
      <c r="B65" s="5" cm="1">
        <f t="array" ref="B65">IF(EDATE(StartDate,ROW(AssetMonthlyReturns[#This Row])-ROW(AssetMonthlyReturns[#Headers])-1)&lt;=EndDate,EDATE(StartDate,ROW(AssetMonthlyReturns[#This Row])-ROW(AssetMonthlyReturns[#Headers])),"")</f>
        <v>44348</v>
      </c>
      <c r="C65" s="2">
        <f>_xlfn.XLOOKUP(AssetMonthlyReturns[[#This Row],[Date]],SPY_Table[Date],SPY_Table[Monthly Return])</f>
        <v>1.9091495976615303E-2</v>
      </c>
      <c r="D65" s="2">
        <f>_xlfn.XLOOKUP(AssetMonthlyReturns[[#This Row],[Date]],AGG_Table[Date],AGG_Table[Monthly Return])</f>
        <v>8.332784515114211E-3</v>
      </c>
      <c r="E65" s="2">
        <f>_xlfn.XLOOKUP(AssetMonthlyReturns[[#This Row],[Date]],GLD_Table[Date],GLD_Table[Monthly Return])</f>
        <v>-7.1476620976368199E-2</v>
      </c>
      <c r="F65" s="2">
        <f>_xlfn.XLOOKUP(AssetMonthlyReturns[[#This Row],[Date]],VNQ_Table[Date],VNQ_Table[Monthly Return])</f>
        <v>1.9122818532560037E-2</v>
      </c>
      <c r="G65" s="6">
        <f>_xlfn.XLOOKUP(AssetMonthlyReturns[[#This Row],[Date]],PE_Table[Date],PE_Table[Monthly Return])</f>
        <v>3.3124800883210792E-2</v>
      </c>
      <c r="H65" s="93">
        <f>SUMPRODUCT(_xlfn.TOROW(OptimizePortfolio[Weight]),AssetMonthlyReturns[[#This Row],[SPY]:[PE]])</f>
        <v>2.1738591037070085E-3</v>
      </c>
    </row>
    <row r="66" spans="2:8" x14ac:dyDescent="0.2">
      <c r="B66" s="5" cm="1">
        <f t="array" ref="B66">IF(EDATE(StartDate,ROW(AssetMonthlyReturns[#This Row])-ROW(AssetMonthlyReturns[#Headers])-1)&lt;=EndDate,EDATE(StartDate,ROW(AssetMonthlyReturns[#This Row])-ROW(AssetMonthlyReturns[#Headers])),"")</f>
        <v>44378</v>
      </c>
      <c r="C66" s="2">
        <f>_xlfn.XLOOKUP(AssetMonthlyReturns[[#This Row],[Date]],SPY_Table[Date],SPY_Table[Monthly Return])</f>
        <v>2.7765851309443645E-2</v>
      </c>
      <c r="D66" s="2">
        <f>_xlfn.XLOOKUP(AssetMonthlyReturns[[#This Row],[Date]],AGG_Table[Date],AGG_Table[Monthly Return])</f>
        <v>1.1272181377866675E-2</v>
      </c>
      <c r="E66" s="2">
        <f>_xlfn.XLOOKUP(AssetMonthlyReturns[[#This Row],[Date]],GLD_Table[Date],GLD_Table[Monthly Return])</f>
        <v>2.5297363255708083E-2</v>
      </c>
      <c r="F66" s="2">
        <f>_xlfn.XLOOKUP(AssetMonthlyReturns[[#This Row],[Date]],VNQ_Table[Date],VNQ_Table[Monthly Return])</f>
        <v>5.1639731380950238E-2</v>
      </c>
      <c r="G66" s="6">
        <f>_xlfn.XLOOKUP(AssetMonthlyReturns[[#This Row],[Date]],PE_Table[Date],PE_Table[Monthly Return])</f>
        <v>4.5597975463851359E-3</v>
      </c>
      <c r="H66" s="93">
        <f>SUMPRODUCT(_xlfn.TOROW(OptimizePortfolio[Weight]),AssetMonthlyReturns[[#This Row],[SPY]:[PE]])</f>
        <v>2.2544280463498947E-2</v>
      </c>
    </row>
    <row r="67" spans="2:8" x14ac:dyDescent="0.2">
      <c r="B67" s="5" cm="1">
        <f t="array" ref="B67">IF(EDATE(StartDate,ROW(AssetMonthlyReturns[#This Row])-ROW(AssetMonthlyReturns[#Headers])-1)&lt;=EndDate,EDATE(StartDate,ROW(AssetMonthlyReturns[#This Row])-ROW(AssetMonthlyReturns[#Headers])),"")</f>
        <v>44409</v>
      </c>
      <c r="C67" s="2">
        <f>_xlfn.XLOOKUP(AssetMonthlyReturns[[#This Row],[Date]],SPY_Table[Date],SPY_Table[Monthly Return])</f>
        <v>2.9761959633246127E-2</v>
      </c>
      <c r="D67" s="2">
        <f>_xlfn.XLOOKUP(AssetMonthlyReturns[[#This Row],[Date]],AGG_Table[Date],AGG_Table[Monthly Return])</f>
        <v>-2.0845397330436777E-3</v>
      </c>
      <c r="E67" s="2">
        <f>_xlfn.XLOOKUP(AssetMonthlyReturns[[#This Row],[Date]],GLD_Table[Date],GLD_Table[Monthly Return])</f>
        <v>-7.6554525033278864E-4</v>
      </c>
      <c r="F67" s="2">
        <f>_xlfn.XLOOKUP(AssetMonthlyReturns[[#This Row],[Date]],VNQ_Table[Date],VNQ_Table[Monthly Return])</f>
        <v>2.1544837461198618E-2</v>
      </c>
      <c r="G67" s="6">
        <f>_xlfn.XLOOKUP(AssetMonthlyReturns[[#This Row],[Date]],PE_Table[Date],PE_Table[Monthly Return])</f>
        <v>2.6070657983598977E-2</v>
      </c>
      <c r="H67" s="93">
        <f>SUMPRODUCT(_xlfn.TOROW(OptimizePortfolio[Weight]),AssetMonthlyReturns[[#This Row],[SPY]:[PE]])</f>
        <v>1.7319511204452694E-2</v>
      </c>
    </row>
    <row r="68" spans="2:8" x14ac:dyDescent="0.2">
      <c r="B68" s="5" cm="1">
        <f t="array" ref="B68">IF(EDATE(StartDate,ROW(AssetMonthlyReturns[#This Row])-ROW(AssetMonthlyReturns[#Headers])-1)&lt;=EndDate,EDATE(StartDate,ROW(AssetMonthlyReturns[#This Row])-ROW(AssetMonthlyReturns[#Headers])),"")</f>
        <v>44440</v>
      </c>
      <c r="C68" s="2">
        <f>_xlfn.XLOOKUP(AssetMonthlyReturns[[#This Row],[Date]],SPY_Table[Date],SPY_Table[Monthly Return])</f>
        <v>-4.9652051286690813E-2</v>
      </c>
      <c r="D68" s="2">
        <f>_xlfn.XLOOKUP(AssetMonthlyReturns[[#This Row],[Date]],AGG_Table[Date],AGG_Table[Monthly Return])</f>
        <v>-9.1775067310014835E-3</v>
      </c>
      <c r="E68" s="2">
        <f>_xlfn.XLOOKUP(AssetMonthlyReturns[[#This Row],[Date]],GLD_Table[Date],GLD_Table[Monthly Return])</f>
        <v>-3.2235259135101391E-2</v>
      </c>
      <c r="F68" s="2">
        <f>_xlfn.XLOOKUP(AssetMonthlyReturns[[#This Row],[Date]],VNQ_Table[Date],VNQ_Table[Monthly Return])</f>
        <v>-6.26268544023586E-2</v>
      </c>
      <c r="G68" s="6">
        <f>_xlfn.XLOOKUP(AssetMonthlyReturns[[#This Row],[Date]],PE_Table[Date],PE_Table[Monthly Return])</f>
        <v>1.3232720350445204E-2</v>
      </c>
      <c r="H68" s="93">
        <f>SUMPRODUCT(_xlfn.TOROW(OptimizePortfolio[Weight]),AssetMonthlyReturns[[#This Row],[SPY]:[PE]])</f>
        <v>-2.8818037157159103E-2</v>
      </c>
    </row>
    <row r="69" spans="2:8" x14ac:dyDescent="0.2">
      <c r="B69" s="5" cm="1">
        <f t="array" ref="B69">IF(EDATE(StartDate,ROW(AssetMonthlyReturns[#This Row])-ROW(AssetMonthlyReturns[#Headers])-1)&lt;=EndDate,EDATE(StartDate,ROW(AssetMonthlyReturns[#This Row])-ROW(AssetMonthlyReturns[#Headers])),"")</f>
        <v>44470</v>
      </c>
      <c r="C69" s="2">
        <f>_xlfn.XLOOKUP(AssetMonthlyReturns[[#This Row],[Date]],SPY_Table[Date],SPY_Table[Monthly Return])</f>
        <v>7.3583057113272288E-2</v>
      </c>
      <c r="D69" s="2">
        <f>_xlfn.XLOOKUP(AssetMonthlyReturns[[#This Row],[Date]],AGG_Table[Date],AGG_Table[Monthly Return])</f>
        <v>-2.1582856229507286E-4</v>
      </c>
      <c r="E69" s="2">
        <f>_xlfn.XLOOKUP(AssetMonthlyReturns[[#This Row],[Date]],GLD_Table[Date],GLD_Table[Monthly Return])</f>
        <v>1.4797178676430267E-2</v>
      </c>
      <c r="F69" s="2">
        <f>_xlfn.XLOOKUP(AssetMonthlyReturns[[#This Row],[Date]],VNQ_Table[Date],VNQ_Table[Monthly Return])</f>
        <v>7.7973109657301753E-2</v>
      </c>
      <c r="G69" s="6">
        <f>_xlfn.XLOOKUP(AssetMonthlyReturns[[#This Row],[Date]],PE_Table[Date],PE_Table[Monthly Return])</f>
        <v>-6.9023945477115767E-3</v>
      </c>
      <c r="H69" s="93">
        <f>SUMPRODUCT(_xlfn.TOROW(OptimizePortfolio[Weight]),AssetMonthlyReturns[[#This Row],[SPY]:[PE]])</f>
        <v>3.5097963496774957E-2</v>
      </c>
    </row>
    <row r="70" spans="2:8" x14ac:dyDescent="0.2">
      <c r="B70" s="5" cm="1">
        <f t="array" ref="B70">IF(EDATE(StartDate,ROW(AssetMonthlyReturns[#This Row])-ROW(AssetMonthlyReturns[#Headers])-1)&lt;=EndDate,EDATE(StartDate,ROW(AssetMonthlyReturns[#This Row])-ROW(AssetMonthlyReturns[#Headers])),"")</f>
        <v>44501</v>
      </c>
      <c r="C70" s="2">
        <f>_xlfn.XLOOKUP(AssetMonthlyReturns[[#This Row],[Date]],SPY_Table[Date],SPY_Table[Monthly Return])</f>
        <v>-8.0378031548955509E-3</v>
      </c>
      <c r="D70" s="2">
        <f>_xlfn.XLOOKUP(AssetMonthlyReturns[[#This Row],[Date]],AGG_Table[Date],AGG_Table[Monthly Return])</f>
        <v>2.7057321808230395E-3</v>
      </c>
      <c r="E70" s="2">
        <f>_xlfn.XLOOKUP(AssetMonthlyReturns[[#This Row],[Date]],GLD_Table[Date],GLD_Table[Monthly Return])</f>
        <v>-6.9006537179356897E-3</v>
      </c>
      <c r="F70" s="2">
        <f>_xlfn.XLOOKUP(AssetMonthlyReturns[[#This Row],[Date]],VNQ_Table[Date],VNQ_Table[Monthly Return])</f>
        <v>-2.1093317400763922E-2</v>
      </c>
      <c r="G70" s="6">
        <f>_xlfn.XLOOKUP(AssetMonthlyReturns[[#This Row],[Date]],PE_Table[Date],PE_Table[Monthly Return])</f>
        <v>1.3227911512595281E-2</v>
      </c>
      <c r="H70" s="93">
        <f>SUMPRODUCT(_xlfn.TOROW(OptimizePortfolio[Weight]),AssetMonthlyReturns[[#This Row],[SPY]:[PE]])</f>
        <v>-3.2512514582344609E-3</v>
      </c>
    </row>
    <row r="71" spans="2:8" x14ac:dyDescent="0.2">
      <c r="B71" s="5" cm="1">
        <f t="array" ref="B71">IF(EDATE(StartDate,ROW(AssetMonthlyReturns[#This Row])-ROW(AssetMonthlyReturns[#Headers])-1)&lt;=EndDate,EDATE(StartDate,ROW(AssetMonthlyReturns[#This Row])-ROW(AssetMonthlyReturns[#Headers])),"")</f>
        <v>44531</v>
      </c>
      <c r="C71" s="2">
        <f>_xlfn.XLOOKUP(AssetMonthlyReturns[[#This Row],[Date]],SPY_Table[Date],SPY_Table[Monthly Return])</f>
        <v>4.2596669858935732E-2</v>
      </c>
      <c r="D71" s="2">
        <f>_xlfn.XLOOKUP(AssetMonthlyReturns[[#This Row],[Date]],AGG_Table[Date],AGG_Table[Monthly Return])</f>
        <v>-4.4489465675660034E-3</v>
      </c>
      <c r="E71" s="2">
        <f>_xlfn.XLOOKUP(AssetMonthlyReturns[[#This Row],[Date]],GLD_Table[Date],GLD_Table[Monthly Return])</f>
        <v>3.2990977039274894E-2</v>
      </c>
      <c r="F71" s="2">
        <f>_xlfn.XLOOKUP(AssetMonthlyReturns[[#This Row],[Date]],VNQ_Table[Date],VNQ_Table[Monthly Return])</f>
        <v>8.6846602995897193E-2</v>
      </c>
      <c r="G71" s="6">
        <f>_xlfn.XLOOKUP(AssetMonthlyReturns[[#This Row],[Date]],PE_Table[Date],PE_Table[Monthly Return])</f>
        <v>3.6760731910932654E-2</v>
      </c>
      <c r="H71" s="93">
        <f>SUMPRODUCT(_xlfn.TOROW(OptimizePortfolio[Weight]),AssetMonthlyReturns[[#This Row],[SPY]:[PE]])</f>
        <v>3.6876494555123832E-2</v>
      </c>
    </row>
    <row r="72" spans="2:8" x14ac:dyDescent="0.2">
      <c r="B72" s="5" cm="1">
        <f t="array" ref="B72">IF(EDATE(StartDate,ROW(AssetMonthlyReturns[#This Row])-ROW(AssetMonthlyReturns[#Headers])-1)&lt;=EndDate,EDATE(StartDate,ROW(AssetMonthlyReturns[#This Row])-ROW(AssetMonthlyReturns[#Headers])),"")</f>
        <v>44562</v>
      </c>
      <c r="C72" s="2">
        <f>_xlfn.XLOOKUP(AssetMonthlyReturns[[#This Row],[Date]],SPY_Table[Date],SPY_Table[Monthly Return])</f>
        <v>-4.9413173706720714E-2</v>
      </c>
      <c r="D72" s="2">
        <f>_xlfn.XLOOKUP(AssetMonthlyReturns[[#This Row],[Date]],AGG_Table[Date],AGG_Table[Monthly Return])</f>
        <v>-1.7595458337381076E-2</v>
      </c>
      <c r="E72" s="2">
        <f>_xlfn.XLOOKUP(AssetMonthlyReturns[[#This Row],[Date]],GLD_Table[Date],GLD_Table[Monthly Return])</f>
        <v>-1.6787612818922604E-2</v>
      </c>
      <c r="F72" s="2">
        <f>_xlfn.XLOOKUP(AssetMonthlyReturns[[#This Row],[Date]],VNQ_Table[Date],VNQ_Table[Monthly Return])</f>
        <v>-7.5614404982981331E-2</v>
      </c>
      <c r="G72" s="6">
        <f>_xlfn.XLOOKUP(AssetMonthlyReturns[[#This Row],[Date]],PE_Table[Date],PE_Table[Monthly Return])</f>
        <v>5.2834791232112543E-3</v>
      </c>
      <c r="H72" s="93">
        <f>SUMPRODUCT(_xlfn.TOROW(OptimizePortfolio[Weight]),AssetMonthlyReturns[[#This Row],[SPY]:[PE]])</f>
        <v>-2.9796196785399815E-2</v>
      </c>
    </row>
    <row r="73" spans="2:8" x14ac:dyDescent="0.2">
      <c r="B73" s="5" cm="1">
        <f t="array" ref="B73">IF(EDATE(StartDate,ROW(AssetMonthlyReturns[#This Row])-ROW(AssetMonthlyReturns[#Headers])-1)&lt;=EndDate,EDATE(StartDate,ROW(AssetMonthlyReturns[#This Row])-ROW(AssetMonthlyReturns[#Headers])),"")</f>
        <v>44593</v>
      </c>
      <c r="C73" s="2">
        <f>_xlfn.XLOOKUP(AssetMonthlyReturns[[#This Row],[Date]],SPY_Table[Date],SPY_Table[Monthly Return])</f>
        <v>-2.9516920477970721E-2</v>
      </c>
      <c r="D73" s="2">
        <f>_xlfn.XLOOKUP(AssetMonthlyReturns[[#This Row],[Date]],AGG_Table[Date],AGG_Table[Monthly Return])</f>
        <v>-1.2879912520398218E-2</v>
      </c>
      <c r="E73" s="2">
        <f>_xlfn.XLOOKUP(AssetMonthlyReturns[[#This Row],[Date]],GLD_Table[Date],GLD_Table[Monthly Return])</f>
        <v>6.1217257579295969E-2</v>
      </c>
      <c r="F73" s="2">
        <f>_xlfn.XLOOKUP(AssetMonthlyReturns[[#This Row],[Date]],VNQ_Table[Date],VNQ_Table[Monthly Return])</f>
        <v>-3.4826754965215811E-2</v>
      </c>
      <c r="G73" s="6">
        <f>_xlfn.XLOOKUP(AssetMonthlyReturns[[#This Row],[Date]],PE_Table[Date],PE_Table[Monthly Return])</f>
        <v>3.7292872724336235E-2</v>
      </c>
      <c r="H73" s="93">
        <f>SUMPRODUCT(_xlfn.TOROW(OptimizePortfolio[Weight]),AssetMonthlyReturns[[#This Row],[SPY]:[PE]])</f>
        <v>3.9564415188553768E-3</v>
      </c>
    </row>
    <row r="74" spans="2:8" x14ac:dyDescent="0.2">
      <c r="B74" s="5" cm="1">
        <f t="array" ref="B74">IF(EDATE(StartDate,ROW(AssetMonthlyReturns[#This Row])-ROW(AssetMonthlyReturns[#Headers])-1)&lt;=EndDate,EDATE(StartDate,ROW(AssetMonthlyReturns[#This Row])-ROW(AssetMonthlyReturns[#Headers])),"")</f>
        <v>44621</v>
      </c>
      <c r="C74" s="2">
        <f>_xlfn.XLOOKUP(AssetMonthlyReturns[[#This Row],[Date]],SPY_Table[Date],SPY_Table[Monthly Return])</f>
        <v>3.4376695762782683E-2</v>
      </c>
      <c r="D74" s="2">
        <f>_xlfn.XLOOKUP(AssetMonthlyReturns[[#This Row],[Date]],AGG_Table[Date],AGG_Table[Monthly Return])</f>
        <v>-2.8139657461901169E-2</v>
      </c>
      <c r="E74" s="2">
        <f>_xlfn.XLOOKUP(AssetMonthlyReturns[[#This Row],[Date]],GLD_Table[Date],GLD_Table[Monthly Return])</f>
        <v>1.2725579872433501E-2</v>
      </c>
      <c r="F74" s="2">
        <f>_xlfn.XLOOKUP(AssetMonthlyReturns[[#This Row],[Date]],VNQ_Table[Date],VNQ_Table[Monthly Return])</f>
        <v>5.6855967982877287E-2</v>
      </c>
      <c r="G74" s="6">
        <f>_xlfn.XLOOKUP(AssetMonthlyReturns[[#This Row],[Date]],PE_Table[Date],PE_Table[Monthly Return])</f>
        <v>-4.6394901697068613E-2</v>
      </c>
      <c r="H74" s="93">
        <f>SUMPRODUCT(_xlfn.TOROW(OptimizePortfolio[Weight]),AssetMonthlyReturns[[#This Row],[SPY]:[PE]])</f>
        <v>6.7626273310494676E-3</v>
      </c>
    </row>
    <row r="75" spans="2:8" x14ac:dyDescent="0.2">
      <c r="B75" s="5" cm="1">
        <f t="array" ref="B75">IF(EDATE(StartDate,ROW(AssetMonthlyReturns[#This Row])-ROW(AssetMonthlyReturns[#Headers])-1)&lt;=EndDate,EDATE(StartDate,ROW(AssetMonthlyReturns[#This Row])-ROW(AssetMonthlyReturns[#Headers])),"")</f>
        <v>44652</v>
      </c>
      <c r="C75" s="2">
        <f>_xlfn.XLOOKUP(AssetMonthlyReturns[[#This Row],[Date]],SPY_Table[Date],SPY_Table[Monthly Return])</f>
        <v>-8.4946201715167424E-2</v>
      </c>
      <c r="D75" s="2">
        <f>_xlfn.XLOOKUP(AssetMonthlyReturns[[#This Row],[Date]],AGG_Table[Date],AGG_Table[Monthly Return])</f>
        <v>-3.8092885709877788E-2</v>
      </c>
      <c r="E75" s="2">
        <f>_xlfn.XLOOKUP(AssetMonthlyReturns[[#This Row],[Date]],GLD_Table[Date],GLD_Table[Monthly Return])</f>
        <v>-2.0702963334005342E-2</v>
      </c>
      <c r="F75" s="2">
        <f>_xlfn.XLOOKUP(AssetMonthlyReturns[[#This Row],[Date]],VNQ_Table[Date],VNQ_Table[Monthly Return])</f>
        <v>-3.5629906077120133E-2</v>
      </c>
      <c r="G75" s="6">
        <f>_xlfn.XLOOKUP(AssetMonthlyReturns[[#This Row],[Date]],PE_Table[Date],PE_Table[Monthly Return])</f>
        <v>2.2438049785005854E-2</v>
      </c>
      <c r="H75" s="93">
        <f>SUMPRODUCT(_xlfn.TOROW(OptimizePortfolio[Weight]),AssetMonthlyReturns[[#This Row],[SPY]:[PE]])</f>
        <v>-3.866107677430218E-2</v>
      </c>
    </row>
    <row r="76" spans="2:8" x14ac:dyDescent="0.2">
      <c r="B76" s="5" cm="1">
        <f t="array" ref="B76">IF(EDATE(StartDate,ROW(AssetMonthlyReturns[#This Row])-ROW(AssetMonthlyReturns[#Headers])-1)&lt;=EndDate,EDATE(StartDate,ROW(AssetMonthlyReturns[#This Row])-ROW(AssetMonthlyReturns[#Headers])),"")</f>
        <v>44682</v>
      </c>
      <c r="C76" s="2">
        <f>_xlfn.XLOOKUP(AssetMonthlyReturns[[#This Row],[Date]],SPY_Table[Date],SPY_Table[Monthly Return])</f>
        <v>2.269563463086266E-3</v>
      </c>
      <c r="D76" s="2">
        <f>_xlfn.XLOOKUP(AssetMonthlyReturns[[#This Row],[Date]],AGG_Table[Date],AGG_Table[Monthly Return])</f>
        <v>7.3375986897754597E-3</v>
      </c>
      <c r="E76" s="2">
        <f>_xlfn.XLOOKUP(AssetMonthlyReturns[[#This Row],[Date]],GLD_Table[Date],GLD_Table[Monthly Return])</f>
        <v>-3.2615477809749271E-2</v>
      </c>
      <c r="F76" s="2">
        <f>_xlfn.XLOOKUP(AssetMonthlyReturns[[#This Row],[Date]],VNQ_Table[Date],VNQ_Table[Monthly Return])</f>
        <v>-4.6854130730291654E-2</v>
      </c>
      <c r="G76" s="6">
        <f>_xlfn.XLOOKUP(AssetMonthlyReturns[[#This Row],[Date]],PE_Table[Date],PE_Table[Monthly Return])</f>
        <v>7.7409414024671719E-3</v>
      </c>
      <c r="H76" s="93">
        <f>SUMPRODUCT(_xlfn.TOROW(OptimizePortfolio[Weight]),AssetMonthlyReturns[[#This Row],[SPY]:[PE]])</f>
        <v>-7.7653333389390723E-3</v>
      </c>
    </row>
    <row r="77" spans="2:8" x14ac:dyDescent="0.2">
      <c r="B77" s="5" cm="1">
        <f t="array" ref="B77">IF(EDATE(StartDate,ROW(AssetMonthlyReturns[#This Row])-ROW(AssetMonthlyReturns[#Headers])-1)&lt;=EndDate,EDATE(StartDate,ROW(AssetMonthlyReturns[#This Row])-ROW(AssetMonthlyReturns[#Headers])),"")</f>
        <v>44713</v>
      </c>
      <c r="C77" s="2">
        <f>_xlfn.XLOOKUP(AssetMonthlyReturns[[#This Row],[Date]],SPY_Table[Date],SPY_Table[Monthly Return])</f>
        <v>-8.6407012973989561E-2</v>
      </c>
      <c r="D77" s="2">
        <f>_xlfn.XLOOKUP(AssetMonthlyReturns[[#This Row],[Date]],AGG_Table[Date],AGG_Table[Monthly Return])</f>
        <v>-1.5567822158505162E-2</v>
      </c>
      <c r="E77" s="2">
        <f>_xlfn.XLOOKUP(AssetMonthlyReturns[[#This Row],[Date]],GLD_Table[Date],GLD_Table[Monthly Return])</f>
        <v>-1.5659651217691861E-2</v>
      </c>
      <c r="F77" s="2">
        <f>_xlfn.XLOOKUP(AssetMonthlyReturns[[#This Row],[Date]],VNQ_Table[Date],VNQ_Table[Monthly Return])</f>
        <v>-8.0347177058753605E-2</v>
      </c>
      <c r="G77" s="6">
        <f>_xlfn.XLOOKUP(AssetMonthlyReturns[[#This Row],[Date]],PE_Table[Date],PE_Table[Monthly Return])</f>
        <v>1.9852885346782756E-5</v>
      </c>
      <c r="H77" s="93">
        <f>SUMPRODUCT(_xlfn.TOROW(OptimizePortfolio[Weight]),AssetMonthlyReturns[[#This Row],[SPY]:[PE]])</f>
        <v>-4.3740305237016497E-2</v>
      </c>
    </row>
    <row r="78" spans="2:8" x14ac:dyDescent="0.2">
      <c r="B78" s="5" cm="1">
        <f t="array" ref="B78">IF(EDATE(StartDate,ROW(AssetMonthlyReturns[#This Row])-ROW(AssetMonthlyReturns[#Headers])-1)&lt;=EndDate,EDATE(StartDate,ROW(AssetMonthlyReturns[#This Row])-ROW(AssetMonthlyReturns[#Headers])),"")</f>
        <v>44743</v>
      </c>
      <c r="C78" s="2">
        <f>_xlfn.XLOOKUP(AssetMonthlyReturns[[#This Row],[Date]],SPY_Table[Date],SPY_Table[Monthly Return])</f>
        <v>9.6805261465686465E-2</v>
      </c>
      <c r="D78" s="2">
        <f>_xlfn.XLOOKUP(AssetMonthlyReturns[[#This Row],[Date]],AGG_Table[Date],AGG_Table[Monthly Return])</f>
        <v>2.5348544542427298E-2</v>
      </c>
      <c r="E78" s="2">
        <f>_xlfn.XLOOKUP(AssetMonthlyReturns[[#This Row],[Date]],GLD_Table[Date],GLD_Table[Monthly Return])</f>
        <v>-2.5881517431994738E-2</v>
      </c>
      <c r="F78" s="2">
        <f>_xlfn.XLOOKUP(AssetMonthlyReturns[[#This Row],[Date]],VNQ_Table[Date],VNQ_Table[Monthly Return])</f>
        <v>9.3078609728843187E-2</v>
      </c>
      <c r="G78" s="6">
        <f>_xlfn.XLOOKUP(AssetMonthlyReturns[[#This Row],[Date]],PE_Table[Date],PE_Table[Monthly Return])</f>
        <v>7.8352152685938758E-3</v>
      </c>
      <c r="H78" s="93">
        <f>SUMPRODUCT(_xlfn.TOROW(OptimizePortfolio[Weight]),AssetMonthlyReturns[[#This Row],[SPY]:[PE]])</f>
        <v>4.3382723734558502E-2</v>
      </c>
    </row>
    <row r="79" spans="2:8" x14ac:dyDescent="0.2">
      <c r="B79" s="5" cm="1">
        <f t="array" ref="B79">IF(EDATE(StartDate,ROW(AssetMonthlyReturns[#This Row])-ROW(AssetMonthlyReturns[#Headers])-1)&lt;=EndDate,EDATE(StartDate,ROW(AssetMonthlyReturns[#This Row])-ROW(AssetMonthlyReturns[#Headers])),"")</f>
        <v>44774</v>
      </c>
      <c r="C79" s="2">
        <f>_xlfn.XLOOKUP(AssetMonthlyReturns[[#This Row],[Date]],SPY_Table[Date],SPY_Table[Monthly Return])</f>
        <v>-4.080206304553935E-2</v>
      </c>
      <c r="D79" s="2">
        <f>_xlfn.XLOOKUP(AssetMonthlyReturns[[#This Row],[Date]],AGG_Table[Date],AGG_Table[Monthly Return])</f>
        <v>-3.0512734560987576E-2</v>
      </c>
      <c r="E79" s="2">
        <f>_xlfn.XLOOKUP(AssetMonthlyReturns[[#This Row],[Date]],GLD_Table[Date],GLD_Table[Monthly Return])</f>
        <v>-2.9433282269695105E-2</v>
      </c>
      <c r="F79" s="2">
        <f>_xlfn.XLOOKUP(AssetMonthlyReturns[[#This Row],[Date]],VNQ_Table[Date],VNQ_Table[Monthly Return])</f>
        <v>-6.0125541205572564E-2</v>
      </c>
      <c r="G79" s="6">
        <f>_xlfn.XLOOKUP(AssetMonthlyReturns[[#This Row],[Date]],PE_Table[Date],PE_Table[Monthly Return])</f>
        <v>-3.3751377762869739E-2</v>
      </c>
      <c r="H79" s="93">
        <f>SUMPRODUCT(_xlfn.TOROW(OptimizePortfolio[Weight]),AssetMonthlyReturns[[#This Row],[SPY]:[PE]])</f>
        <v>-3.7507118377157131E-2</v>
      </c>
    </row>
    <row r="80" spans="2:8" x14ac:dyDescent="0.2">
      <c r="B80" s="5" cm="1">
        <f t="array" ref="B80">IF(EDATE(StartDate,ROW(AssetMonthlyReturns[#This Row])-ROW(AssetMonthlyReturns[#Headers])-1)&lt;=EndDate,EDATE(StartDate,ROW(AssetMonthlyReturns[#This Row])-ROW(AssetMonthlyReturns[#Headers])),"")</f>
        <v>44805</v>
      </c>
      <c r="C80" s="2">
        <f>_xlfn.XLOOKUP(AssetMonthlyReturns[[#This Row],[Date]],SPY_Table[Date],SPY_Table[Monthly Return])</f>
        <v>-9.6158810707371534E-2</v>
      </c>
      <c r="D80" s="2">
        <f>_xlfn.XLOOKUP(AssetMonthlyReturns[[#This Row],[Date]],AGG_Table[Date],AGG_Table[Monthly Return])</f>
        <v>-4.1549900126522266E-2</v>
      </c>
      <c r="E80" s="2">
        <f>_xlfn.XLOOKUP(AssetMonthlyReturns[[#This Row],[Date]],GLD_Table[Date],GLD_Table[Monthly Return])</f>
        <v>-2.8881810609708181E-2</v>
      </c>
      <c r="F80" s="2">
        <f>_xlfn.XLOOKUP(AssetMonthlyReturns[[#This Row],[Date]],VNQ_Table[Date],VNQ_Table[Monthly Return])</f>
        <v>-0.13804953266463726</v>
      </c>
      <c r="G80" s="6">
        <f>_xlfn.XLOOKUP(AssetMonthlyReturns[[#This Row],[Date]],PE_Table[Date],PE_Table[Monthly Return])</f>
        <v>1.6065622383709677E-3</v>
      </c>
      <c r="H80" s="93">
        <f>SUMPRODUCT(_xlfn.TOROW(OptimizePortfolio[Weight]),AssetMonthlyReturns[[#This Row],[SPY]:[PE]])</f>
        <v>-5.914807170728955E-2</v>
      </c>
    </row>
    <row r="81" spans="2:8" x14ac:dyDescent="0.2">
      <c r="B81" s="5" cm="1">
        <f t="array" ref="B81">IF(EDATE(StartDate,ROW(AssetMonthlyReturns[#This Row])-ROW(AssetMonthlyReturns[#Headers])-1)&lt;=EndDate,EDATE(StartDate,ROW(AssetMonthlyReturns[#This Row])-ROW(AssetMonthlyReturns[#Headers])),"")</f>
        <v>44835</v>
      </c>
      <c r="C81" s="2">
        <f>_xlfn.XLOOKUP(AssetMonthlyReturns[[#This Row],[Date]],SPY_Table[Date],SPY_Table[Monthly Return])</f>
        <v>8.5717298749206527E-2</v>
      </c>
      <c r="D81" s="2">
        <f>_xlfn.XLOOKUP(AssetMonthlyReturns[[#This Row],[Date]],AGG_Table[Date],AGG_Table[Monthly Return])</f>
        <v>-1.2947329876863423E-2</v>
      </c>
      <c r="E81" s="2">
        <f>_xlfn.XLOOKUP(AssetMonthlyReturns[[#This Row],[Date]],GLD_Table[Date],GLD_Table[Monthly Return])</f>
        <v>-1.7844407655782879E-2</v>
      </c>
      <c r="F81" s="2">
        <f>_xlfn.XLOOKUP(AssetMonthlyReturns[[#This Row],[Date]],VNQ_Table[Date],VNQ_Table[Monthly Return])</f>
        <v>4.6262353873157247E-2</v>
      </c>
      <c r="G81" s="6">
        <f>_xlfn.XLOOKUP(AssetMonthlyReturns[[#This Row],[Date]],PE_Table[Date],PE_Table[Monthly Return])</f>
        <v>1.3142250889869311E-2</v>
      </c>
      <c r="H81" s="93">
        <f>SUMPRODUCT(_xlfn.TOROW(OptimizePortfolio[Weight]),AssetMonthlyReturns[[#This Row],[SPY]:[PE]])</f>
        <v>3.1744759114825778E-2</v>
      </c>
    </row>
    <row r="82" spans="2:8" x14ac:dyDescent="0.2">
      <c r="B82" s="5" cm="1">
        <f t="array" ref="B82">IF(EDATE(StartDate,ROW(AssetMonthlyReturns[#This Row])-ROW(AssetMonthlyReturns[#Headers])-1)&lt;=EndDate,EDATE(StartDate,ROW(AssetMonthlyReturns[#This Row])-ROW(AssetMonthlyReturns[#Headers])),"")</f>
        <v>44866</v>
      </c>
      <c r="C82" s="2">
        <f>_xlfn.XLOOKUP(AssetMonthlyReturns[[#This Row],[Date]],SPY_Table[Date],SPY_Table[Monthly Return])</f>
        <v>5.5591580403693497E-2</v>
      </c>
      <c r="D82" s="2">
        <f>_xlfn.XLOOKUP(AssetMonthlyReturns[[#This Row],[Date]],AGG_Table[Date],AGG_Table[Monthly Return])</f>
        <v>3.7994670227772032E-2</v>
      </c>
      <c r="E82" s="2">
        <f>_xlfn.XLOOKUP(AssetMonthlyReturns[[#This Row],[Date]],GLD_Table[Date],GLD_Table[Monthly Return])</f>
        <v>8.491865963926637E-2</v>
      </c>
      <c r="F82" s="2">
        <f>_xlfn.XLOOKUP(AssetMonthlyReturns[[#This Row],[Date]],VNQ_Table[Date],VNQ_Table[Monthly Return])</f>
        <v>6.1460690906175452E-2</v>
      </c>
      <c r="G82" s="6">
        <f>_xlfn.XLOOKUP(AssetMonthlyReturns[[#This Row],[Date]],PE_Table[Date],PE_Table[Monthly Return])</f>
        <v>3.5557881549918458E-2</v>
      </c>
      <c r="H82" s="93">
        <f>SUMPRODUCT(_xlfn.TOROW(OptimizePortfolio[Weight]),AssetMonthlyReturns[[#This Row],[SPY]:[PE]])</f>
        <v>5.5397631003913039E-2</v>
      </c>
    </row>
    <row r="83" spans="2:8" x14ac:dyDescent="0.2">
      <c r="B83" s="5" cm="1">
        <f t="array" ref="B83">IF(EDATE(StartDate,ROW(AssetMonthlyReturns[#This Row])-ROW(AssetMonthlyReturns[#Headers])-1)&lt;=EndDate,EDATE(StartDate,ROW(AssetMonthlyReturns[#This Row])-ROW(AssetMonthlyReturns[#Headers])),"")</f>
        <v>44896</v>
      </c>
      <c r="C83" s="2">
        <f>_xlfn.XLOOKUP(AssetMonthlyReturns[[#This Row],[Date]],SPY_Table[Date],SPY_Table[Monthly Return])</f>
        <v>-6.1935872549938598E-2</v>
      </c>
      <c r="D83" s="2">
        <f>_xlfn.XLOOKUP(AssetMonthlyReturns[[#This Row],[Date]],AGG_Table[Date],AGG_Table[Monthly Return])</f>
        <v>-1.0975040528210966E-2</v>
      </c>
      <c r="E83" s="2">
        <f>_xlfn.XLOOKUP(AssetMonthlyReturns[[#This Row],[Date]],GLD_Table[Date],GLD_Table[Monthly Return])</f>
        <v>2.93064854701508E-2</v>
      </c>
      <c r="F83" s="2">
        <f>_xlfn.XLOOKUP(AssetMonthlyReturns[[#This Row],[Date]],VNQ_Table[Date],VNQ_Table[Monthly Return])</f>
        <v>-6.3578810096326155E-2</v>
      </c>
      <c r="G83" s="6">
        <f>_xlfn.XLOOKUP(AssetMonthlyReturns[[#This Row],[Date]],PE_Table[Date],PE_Table[Monthly Return])</f>
        <v>-4.3654046287137094E-3</v>
      </c>
      <c r="H83" s="93">
        <f>SUMPRODUCT(_xlfn.TOROW(OptimizePortfolio[Weight]),AssetMonthlyReturns[[#This Row],[SPY]:[PE]])</f>
        <v>-2.4693476313055351E-2</v>
      </c>
    </row>
    <row r="84" spans="2:8" x14ac:dyDescent="0.2">
      <c r="B84" s="5" cm="1">
        <f t="array" ref="B84">IF(EDATE(StartDate,ROW(AssetMonthlyReturns[#This Row])-ROW(AssetMonthlyReturns[#Headers])-1)&lt;=EndDate,EDATE(StartDate,ROW(AssetMonthlyReturns[#This Row])-ROW(AssetMonthlyReturns[#Headers])),"")</f>
        <v>44927</v>
      </c>
      <c r="C84" s="2">
        <f>_xlfn.XLOOKUP(AssetMonthlyReturns[[#This Row],[Date]],SPY_Table[Date],SPY_Table[Monthly Return])</f>
        <v>6.776553908848415E-2</v>
      </c>
      <c r="D84" s="2">
        <f>_xlfn.XLOOKUP(AssetMonthlyReturns[[#This Row],[Date]],AGG_Table[Date],AGG_Table[Monthly Return])</f>
        <v>3.803687748279172E-2</v>
      </c>
      <c r="E84" s="2">
        <f>_xlfn.XLOOKUP(AssetMonthlyReturns[[#This Row],[Date]],GLD_Table[Date],GLD_Table[Monthly Return])</f>
        <v>5.7592574478634528E-2</v>
      </c>
      <c r="F84" s="2">
        <f>_xlfn.XLOOKUP(AssetMonthlyReturns[[#This Row],[Date]],VNQ_Table[Date],VNQ_Table[Monthly Return])</f>
        <v>0.11962929736779015</v>
      </c>
      <c r="G84" s="6">
        <f>_xlfn.XLOOKUP(AssetMonthlyReturns[[#This Row],[Date]],PE_Table[Date],PE_Table[Monthly Return])</f>
        <v>-1.0169872239012001E-2</v>
      </c>
      <c r="H84" s="93">
        <f>SUMPRODUCT(_xlfn.TOROW(OptimizePortfolio[Weight]),AssetMonthlyReturns[[#This Row],[SPY]:[PE]])</f>
        <v>5.087094048809173E-2</v>
      </c>
    </row>
    <row r="85" spans="2:8" x14ac:dyDescent="0.2">
      <c r="B85" s="5" cm="1">
        <f t="array" ref="B85">IF(EDATE(StartDate,ROW(AssetMonthlyReturns[#This Row])-ROW(AssetMonthlyReturns[#Headers])-1)&lt;=EndDate,EDATE(StartDate,ROW(AssetMonthlyReturns[#This Row])-ROW(AssetMonthlyReturns[#Headers])),"")</f>
        <v>44958</v>
      </c>
      <c r="C85" s="2">
        <f>_xlfn.XLOOKUP(AssetMonthlyReturns[[#This Row],[Date]],SPY_Table[Date],SPY_Table[Monthly Return])</f>
        <v>-2.5149485462057641E-2</v>
      </c>
      <c r="D85" s="2">
        <f>_xlfn.XLOOKUP(AssetMonthlyReturns[[#This Row],[Date]],AGG_Table[Date],AGG_Table[Monthly Return])</f>
        <v>-2.9035822470786621E-2</v>
      </c>
      <c r="E85" s="2">
        <f>_xlfn.XLOOKUP(AssetMonthlyReturns[[#This Row],[Date]],GLD_Table[Date],GLD_Table[Monthly Return])</f>
        <v>-5.3675964000885923E-2</v>
      </c>
      <c r="F85" s="2">
        <f>_xlfn.XLOOKUP(AssetMonthlyReturns[[#This Row],[Date]],VNQ_Table[Date],VNQ_Table[Monthly Return])</f>
        <v>-5.8642749925546855E-2</v>
      </c>
      <c r="G85" s="6">
        <f>_xlfn.XLOOKUP(AssetMonthlyReturns[[#This Row],[Date]],PE_Table[Date],PE_Table[Monthly Return])</f>
        <v>-4.035140476655763E-3</v>
      </c>
      <c r="H85" s="93">
        <f>SUMPRODUCT(_xlfn.TOROW(OptimizePortfolio[Weight]),AssetMonthlyReturns[[#This Row],[SPY]:[PE]])</f>
        <v>-3.0564189170401195E-2</v>
      </c>
    </row>
    <row r="86" spans="2:8" x14ac:dyDescent="0.2">
      <c r="B86" s="5" cm="1">
        <f t="array" ref="B86">IF(EDATE(StartDate,ROW(AssetMonthlyReturns[#This Row])-ROW(AssetMonthlyReturns[#Headers])-1)&lt;=EndDate,EDATE(StartDate,ROW(AssetMonthlyReturns[#This Row])-ROW(AssetMonthlyReturns[#Headers])),"")</f>
        <v>44986</v>
      </c>
      <c r="C86" s="2">
        <f>_xlfn.XLOOKUP(AssetMonthlyReturns[[#This Row],[Date]],SPY_Table[Date],SPY_Table[Monthly Return])</f>
        <v>3.3144421220582032E-2</v>
      </c>
      <c r="D86" s="2">
        <f>_xlfn.XLOOKUP(AssetMonthlyReturns[[#This Row],[Date]],AGG_Table[Date],AGG_Table[Monthly Return])</f>
        <v>2.6453198876295048E-2</v>
      </c>
      <c r="E86" s="2">
        <f>_xlfn.XLOOKUP(AssetMonthlyReturns[[#This Row],[Date]],GLD_Table[Date],GLD_Table[Monthly Return])</f>
        <v>7.9161282218126683E-2</v>
      </c>
      <c r="F86" s="2">
        <f>_xlfn.XLOOKUP(AssetMonthlyReturns[[#This Row],[Date]],VNQ_Table[Date],VNQ_Table[Monthly Return])</f>
        <v>-3.12643557963459E-2</v>
      </c>
      <c r="G86" s="6">
        <f>_xlfn.XLOOKUP(AssetMonthlyReturns[[#This Row],[Date]],PE_Table[Date],PE_Table[Monthly Return])</f>
        <v>2.4308042102954897E-2</v>
      </c>
      <c r="H86" s="93">
        <f>SUMPRODUCT(_xlfn.TOROW(OptimizePortfolio[Weight]),AssetMonthlyReturns[[#This Row],[SPY]:[PE]])</f>
        <v>3.3135956543229692E-2</v>
      </c>
    </row>
    <row r="87" spans="2:8" x14ac:dyDescent="0.2">
      <c r="B87" s="5" cm="1">
        <f t="array" ref="B87">IF(EDATE(StartDate,ROW(AssetMonthlyReturns[#This Row])-ROW(AssetMonthlyReturns[#Headers])-1)&lt;=EndDate,EDATE(StartDate,ROW(AssetMonthlyReturns[#This Row])-ROW(AssetMonthlyReturns[#Headers])),"")</f>
        <v>45017</v>
      </c>
      <c r="C87" s="2">
        <f>_xlfn.XLOOKUP(AssetMonthlyReturns[[#This Row],[Date]],SPY_Table[Date],SPY_Table[Monthly Return])</f>
        <v>1.985249314393589E-2</v>
      </c>
      <c r="D87" s="2">
        <f>_xlfn.XLOOKUP(AssetMonthlyReturns[[#This Row],[Date]],AGG_Table[Date],AGG_Table[Monthly Return])</f>
        <v>5.6299916609803269E-3</v>
      </c>
      <c r="E87" s="2">
        <f>_xlfn.XLOOKUP(AssetMonthlyReturns[[#This Row],[Date]],GLD_Table[Date],GLD_Table[Monthly Return])</f>
        <v>8.6235230305193866E-3</v>
      </c>
      <c r="F87" s="2">
        <f>_xlfn.XLOOKUP(AssetMonthlyReturns[[#This Row],[Date]],VNQ_Table[Date],VNQ_Table[Monthly Return])</f>
        <v>1.3185683279083094E-2</v>
      </c>
      <c r="G87" s="6">
        <f>_xlfn.XLOOKUP(AssetMonthlyReturns[[#This Row],[Date]],PE_Table[Date],PE_Table[Monthly Return])</f>
        <v>1.2575021976982459E-2</v>
      </c>
      <c r="H87" s="93">
        <f>SUMPRODUCT(_xlfn.TOROW(OptimizePortfolio[Weight]),AssetMonthlyReturns[[#This Row],[SPY]:[PE]])</f>
        <v>1.3351148678933288E-2</v>
      </c>
    </row>
    <row r="88" spans="2:8" x14ac:dyDescent="0.2">
      <c r="B88" s="5" cm="1">
        <f t="array" ref="B88">IF(EDATE(StartDate,ROW(AssetMonthlyReturns[#This Row])-ROW(AssetMonthlyReturns[#Headers])-1)&lt;=EndDate,EDATE(StartDate,ROW(AssetMonthlyReturns[#This Row])-ROW(AssetMonthlyReturns[#Headers])),"")</f>
        <v>45047</v>
      </c>
      <c r="C88" s="2">
        <f>_xlfn.XLOOKUP(AssetMonthlyReturns[[#This Row],[Date]],SPY_Table[Date],SPY_Table[Monthly Return])</f>
        <v>4.6163098890819043E-3</v>
      </c>
      <c r="D88" s="2">
        <f>_xlfn.XLOOKUP(AssetMonthlyReturns[[#This Row],[Date]],AGG_Table[Date],AGG_Table[Monthly Return])</f>
        <v>-1.1405434185909447E-2</v>
      </c>
      <c r="E88" s="2">
        <f>_xlfn.XLOOKUP(AssetMonthlyReturns[[#This Row],[Date]],GLD_Table[Date],GLD_Table[Monthly Return])</f>
        <v>-1.3419890467523565E-2</v>
      </c>
      <c r="F88" s="2">
        <f>_xlfn.XLOOKUP(AssetMonthlyReturns[[#This Row],[Date]],VNQ_Table[Date],VNQ_Table[Monthly Return])</f>
        <v>-3.9615971491110402E-2</v>
      </c>
      <c r="G88" s="6">
        <f>_xlfn.XLOOKUP(AssetMonthlyReturns[[#This Row],[Date]],PE_Table[Date],PE_Table[Monthly Return])</f>
        <v>-4.5952041337916638E-3</v>
      </c>
      <c r="H88" s="93">
        <f>SUMPRODUCT(_xlfn.TOROW(OptimizePortfolio[Weight]),AssetMonthlyReturns[[#This Row],[SPY]:[PE]])</f>
        <v>-7.6597227360818369E-3</v>
      </c>
    </row>
    <row r="89" spans="2:8" x14ac:dyDescent="0.2">
      <c r="B89" s="5" cm="1">
        <f t="array" ref="B89">IF(EDATE(StartDate,ROW(AssetMonthlyReturns[#This Row])-ROW(AssetMonthlyReturns[#Headers])-1)&lt;=EndDate,EDATE(StartDate,ROW(AssetMonthlyReturns[#This Row])-ROW(AssetMonthlyReturns[#Headers])),"")</f>
        <v>45078</v>
      </c>
      <c r="C89" s="2">
        <f>_xlfn.XLOOKUP(AssetMonthlyReturns[[#This Row],[Date]],SPY_Table[Date],SPY_Table[Monthly Return])</f>
        <v>6.0859142445290004E-2</v>
      </c>
      <c r="D89" s="2">
        <f>_xlfn.XLOOKUP(AssetMonthlyReturns[[#This Row],[Date]],AGG_Table[Date],AGG_Table[Monthly Return])</f>
        <v>-3.8084274453453748E-3</v>
      </c>
      <c r="E89" s="2">
        <f>_xlfn.XLOOKUP(AssetMonthlyReturns[[#This Row],[Date]],GLD_Table[Date],GLD_Table[Monthly Return])</f>
        <v>-2.2213705780166348E-2</v>
      </c>
      <c r="F89" s="2">
        <f>_xlfn.XLOOKUP(AssetMonthlyReturns[[#This Row],[Date]],VNQ_Table[Date],VNQ_Table[Monthly Return])</f>
        <v>4.4500075902199843E-2</v>
      </c>
      <c r="G89" s="6">
        <f>_xlfn.XLOOKUP(AssetMonthlyReturns[[#This Row],[Date]],PE_Table[Date],PE_Table[Monthly Return])</f>
        <v>1.6265348778053745E-2</v>
      </c>
      <c r="H89" s="93">
        <f>SUMPRODUCT(_xlfn.TOROW(OptimizePortfolio[Weight]),AssetMonthlyReturns[[#This Row],[SPY]:[PE]])</f>
        <v>2.3989771928847155E-2</v>
      </c>
    </row>
    <row r="90" spans="2:8" x14ac:dyDescent="0.2">
      <c r="B90" s="5" cm="1">
        <f t="array" ref="B90">IF(EDATE(StartDate,ROW(AssetMonthlyReturns[#This Row])-ROW(AssetMonthlyReturns[#Headers])-1)&lt;=EndDate,EDATE(StartDate,ROW(AssetMonthlyReturns[#This Row])-ROW(AssetMonthlyReturns[#Headers])),"")</f>
        <v>45108</v>
      </c>
      <c r="C90" s="2">
        <f>_xlfn.XLOOKUP(AssetMonthlyReturns[[#This Row],[Date]],SPY_Table[Date],SPY_Table[Monthly Return])</f>
        <v>3.6569353619386735E-2</v>
      </c>
      <c r="D90" s="2">
        <f>_xlfn.XLOOKUP(AssetMonthlyReturns[[#This Row],[Date]],AGG_Table[Date],AGG_Table[Monthly Return])</f>
        <v>-1.3923160526407852E-4</v>
      </c>
      <c r="E90" s="2">
        <f>_xlfn.XLOOKUP(AssetMonthlyReturns[[#This Row],[Date]],GLD_Table[Date],GLD_Table[Monthly Return])</f>
        <v>2.288664218089087E-2</v>
      </c>
      <c r="F90" s="2">
        <f>_xlfn.XLOOKUP(AssetMonthlyReturns[[#This Row],[Date]],VNQ_Table[Date],VNQ_Table[Monthly Return])</f>
        <v>3.1866528638401448E-2</v>
      </c>
      <c r="G90" s="6">
        <f>_xlfn.XLOOKUP(AssetMonthlyReturns[[#This Row],[Date]],PE_Table[Date],PE_Table[Monthly Return])</f>
        <v>7.941551326152485E-3</v>
      </c>
      <c r="H90" s="93">
        <f>SUMPRODUCT(_xlfn.TOROW(OptimizePortfolio[Weight]),AssetMonthlyReturns[[#This Row],[SPY]:[PE]])</f>
        <v>2.2130680591244564E-2</v>
      </c>
    </row>
    <row r="91" spans="2:8" x14ac:dyDescent="0.2">
      <c r="B91" s="5" cm="1">
        <f t="array" ref="B91">IF(EDATE(StartDate,ROW(AssetMonthlyReturns[#This Row])-ROW(AssetMonthlyReturns[#Headers])-1)&lt;=EndDate,EDATE(StartDate,ROW(AssetMonthlyReturns[#This Row])-ROW(AssetMonthlyReturns[#Headers])),"")</f>
        <v>45139</v>
      </c>
      <c r="C91" s="2">
        <f>_xlfn.XLOOKUP(AssetMonthlyReturns[[#This Row],[Date]],SPY_Table[Date],SPY_Table[Monthly Return])</f>
        <v>-1.6252076310640629E-2</v>
      </c>
      <c r="D91" s="2">
        <f>_xlfn.XLOOKUP(AssetMonthlyReturns[[#This Row],[Date]],AGG_Table[Date],AGG_Table[Monthly Return])</f>
        <v>-6.4225819737986356E-3</v>
      </c>
      <c r="E91" s="2">
        <f>_xlfn.XLOOKUP(AssetMonthlyReturns[[#This Row],[Date]],GLD_Table[Date],GLD_Table[Monthly Return])</f>
        <v>-1.2777634889259204E-2</v>
      </c>
      <c r="F91" s="2">
        <f>_xlfn.XLOOKUP(AssetMonthlyReturns[[#This Row],[Date]],VNQ_Table[Date],VNQ_Table[Monthly Return])</f>
        <v>-3.3779001585546364E-2</v>
      </c>
      <c r="G91" s="6">
        <f>_xlfn.XLOOKUP(AssetMonthlyReturns[[#This Row],[Date]],PE_Table[Date],PE_Table[Monthly Return])</f>
        <v>2.5372899598502974E-2</v>
      </c>
      <c r="H91" s="93">
        <f>SUMPRODUCT(_xlfn.TOROW(OptimizePortfolio[Weight]),AssetMonthlyReturns[[#This Row],[SPY]:[PE]])</f>
        <v>-7.5104612214998969E-3</v>
      </c>
    </row>
    <row r="92" spans="2:8" x14ac:dyDescent="0.2">
      <c r="B92" s="5" cm="1">
        <f t="array" ref="B92">IF(EDATE(StartDate,ROW(AssetMonthlyReturns[#This Row])-ROW(AssetMonthlyReturns[#Headers])-1)&lt;=EndDate,EDATE(StartDate,ROW(AssetMonthlyReturns[#This Row])-ROW(AssetMonthlyReturns[#Headers])),"")</f>
        <v>45170</v>
      </c>
      <c r="C92" s="2">
        <f>_xlfn.XLOOKUP(AssetMonthlyReturns[[#This Row],[Date]],SPY_Table[Date],SPY_Table[Monthly Return])</f>
        <v>-5.0782597250764838E-2</v>
      </c>
      <c r="D92" s="2">
        <f>_xlfn.XLOOKUP(AssetMonthlyReturns[[#This Row],[Date]],AGG_Table[Date],AGG_Table[Monthly Return])</f>
        <v>-2.586936308800325E-2</v>
      </c>
      <c r="E92" s="2">
        <f>_xlfn.XLOOKUP(AssetMonthlyReturns[[#This Row],[Date]],GLD_Table[Date],GLD_Table[Monthly Return])</f>
        <v>-4.760586154479951E-2</v>
      </c>
      <c r="F92" s="2">
        <f>_xlfn.XLOOKUP(AssetMonthlyReturns[[#This Row],[Date]],VNQ_Table[Date],VNQ_Table[Monthly Return])</f>
        <v>-8.1573265582406851E-2</v>
      </c>
      <c r="G92" s="6">
        <f>_xlfn.XLOOKUP(AssetMonthlyReturns[[#This Row],[Date]],PE_Table[Date],PE_Table[Monthly Return])</f>
        <v>-8.0410618223193397E-3</v>
      </c>
      <c r="H92" s="93">
        <f>SUMPRODUCT(_xlfn.TOROW(OptimizePortfolio[Weight]),AssetMonthlyReturns[[#This Row],[SPY]:[PE]])</f>
        <v>-4.0941024732632635E-2</v>
      </c>
    </row>
    <row r="93" spans="2:8" x14ac:dyDescent="0.2">
      <c r="B93" s="5" cm="1">
        <f t="array" ref="B93">IF(EDATE(StartDate,ROW(AssetMonthlyReturns[#This Row])-ROW(AssetMonthlyReturns[#Headers])-1)&lt;=EndDate,EDATE(StartDate,ROW(AssetMonthlyReturns[#This Row])-ROW(AssetMonthlyReturns[#Headers])),"")</f>
        <v>45200</v>
      </c>
      <c r="C93" s="2">
        <f>_xlfn.XLOOKUP(AssetMonthlyReturns[[#This Row],[Date]],SPY_Table[Date],SPY_Table[Monthly Return])</f>
        <v>-1.8257790934646079E-2</v>
      </c>
      <c r="D93" s="2">
        <f>_xlfn.XLOOKUP(AssetMonthlyReturns[[#This Row],[Date]],AGG_Table[Date],AGG_Table[Monthly Return])</f>
        <v>-1.5752928857586612E-2</v>
      </c>
      <c r="E93" s="2">
        <f>_xlfn.XLOOKUP(AssetMonthlyReturns[[#This Row],[Date]],GLD_Table[Date],GLD_Table[Monthly Return])</f>
        <v>7.37241156520545E-2</v>
      </c>
      <c r="F93" s="2">
        <f>_xlfn.XLOOKUP(AssetMonthlyReturns[[#This Row],[Date]],VNQ_Table[Date],VNQ_Table[Monthly Return])</f>
        <v>-2.6837780007632261E-2</v>
      </c>
      <c r="G93" s="6">
        <f>_xlfn.XLOOKUP(AssetMonthlyReturns[[#This Row],[Date]],PE_Table[Date],PE_Table[Monthly Return])</f>
        <v>-5.5324313562465921E-4</v>
      </c>
      <c r="H93" s="93">
        <f>SUMPRODUCT(_xlfn.TOROW(OptimizePortfolio[Weight]),AssetMonthlyReturns[[#This Row],[SPY]:[PE]])</f>
        <v>3.197230346758625E-3</v>
      </c>
    </row>
    <row r="94" spans="2:8" x14ac:dyDescent="0.2">
      <c r="B94" s="5" cm="1">
        <f t="array" ref="B94">IF(EDATE(StartDate,ROW(AssetMonthlyReturns[#This Row])-ROW(AssetMonthlyReturns[#Headers])-1)&lt;=EndDate,EDATE(StartDate,ROW(AssetMonthlyReturns[#This Row])-ROW(AssetMonthlyReturns[#Headers])),"")</f>
        <v>45231</v>
      </c>
      <c r="C94" s="2">
        <f>_xlfn.XLOOKUP(AssetMonthlyReturns[[#This Row],[Date]],SPY_Table[Date],SPY_Table[Monthly Return])</f>
        <v>9.1343798267642384E-2</v>
      </c>
      <c r="D94" s="2">
        <f>_xlfn.XLOOKUP(AssetMonthlyReturns[[#This Row],[Date]],AGG_Table[Date],AGG_Table[Monthly Return])</f>
        <v>4.5648028105086391E-2</v>
      </c>
      <c r="E94" s="2">
        <f>_xlfn.XLOOKUP(AssetMonthlyReturns[[#This Row],[Date]],GLD_Table[Date],GLD_Table[Monthly Return])</f>
        <v>2.5313725860507397E-2</v>
      </c>
      <c r="F94" s="2">
        <f>_xlfn.XLOOKUP(AssetMonthlyReturns[[#This Row],[Date]],VNQ_Table[Date],VNQ_Table[Monthly Return])</f>
        <v>0.12081741697894555</v>
      </c>
      <c r="G94" s="6">
        <f>_xlfn.XLOOKUP(AssetMonthlyReturns[[#This Row],[Date]],PE_Table[Date],PE_Table[Monthly Return])</f>
        <v>-1.8421631769767188E-3</v>
      </c>
      <c r="H94" s="93">
        <f>SUMPRODUCT(_xlfn.TOROW(OptimizePortfolio[Weight]),AssetMonthlyReturns[[#This Row],[SPY]:[PE]])</f>
        <v>5.5593587844038485E-2</v>
      </c>
    </row>
    <row r="95" spans="2:8" x14ac:dyDescent="0.2">
      <c r="B95" s="5" cm="1">
        <f t="array" ref="B95">IF(EDATE(StartDate,ROW(AssetMonthlyReturns[#This Row])-ROW(AssetMonthlyReturns[#Headers])-1)&lt;=EndDate,EDATE(StartDate,ROW(AssetMonthlyReturns[#This Row])-ROW(AssetMonthlyReturns[#Headers])),"")</f>
        <v>45261</v>
      </c>
      <c r="C95" s="2">
        <f>_xlfn.XLOOKUP(AssetMonthlyReturns[[#This Row],[Date]],SPY_Table[Date],SPY_Table[Monthly Return])</f>
        <v>4.1432944161634566E-2</v>
      </c>
      <c r="D95" s="2">
        <f>_xlfn.XLOOKUP(AssetMonthlyReturns[[#This Row],[Date]],AGG_Table[Date],AGG_Table[Monthly Return])</f>
        <v>3.4164866444140074E-2</v>
      </c>
      <c r="E95" s="2">
        <f>_xlfn.XLOOKUP(AssetMonthlyReturns[[#This Row],[Date]],GLD_Table[Date],GLD_Table[Monthly Return])</f>
        <v>1.2821182516556284E-2</v>
      </c>
      <c r="F95" s="2">
        <f>_xlfn.XLOOKUP(AssetMonthlyReturns[[#This Row],[Date]],VNQ_Table[Date],VNQ_Table[Monthly Return])</f>
        <v>8.1120680916573429E-2</v>
      </c>
      <c r="G95" s="6">
        <f>_xlfn.XLOOKUP(AssetMonthlyReturns[[#This Row],[Date]],PE_Table[Date],PE_Table[Monthly Return])</f>
        <v>-2.3270298483091811E-2</v>
      </c>
      <c r="H95" s="93">
        <f>SUMPRODUCT(_xlfn.TOROW(OptimizePortfolio[Weight]),AssetMonthlyReturns[[#This Row],[SPY]:[PE]])</f>
        <v>2.5648505321543349E-2</v>
      </c>
    </row>
    <row r="96" spans="2:8" x14ac:dyDescent="0.2">
      <c r="B96" s="5" cm="1">
        <f t="array" ref="B96">IF(EDATE(StartDate,ROW(AssetMonthlyReturns[#This Row])-ROW(AssetMonthlyReturns[#Headers])-1)&lt;=EndDate,EDATE(StartDate,ROW(AssetMonthlyReturns[#This Row])-ROW(AssetMonthlyReturns[#Headers])),"")</f>
        <v>45292</v>
      </c>
      <c r="C96" s="2">
        <f>_xlfn.XLOOKUP(AssetMonthlyReturns[[#This Row],[Date]],SPY_Table[Date],SPY_Table[Monthly Return])</f>
        <v>2.0045423433719955E-2</v>
      </c>
      <c r="D96" s="2">
        <f>_xlfn.XLOOKUP(AssetMonthlyReturns[[#This Row],[Date]],AGG_Table[Date],AGG_Table[Monthly Return])</f>
        <v>4.2167374155779314E-3</v>
      </c>
      <c r="E96" s="2">
        <f>_xlfn.XLOOKUP(AssetMonthlyReturns[[#This Row],[Date]],GLD_Table[Date],GLD_Table[Monthly Return])</f>
        <v>-1.4228180810852864E-2</v>
      </c>
      <c r="F96" s="2">
        <f>_xlfn.XLOOKUP(AssetMonthlyReturns[[#This Row],[Date]],VNQ_Table[Date],VNQ_Table[Monthly Return])</f>
        <v>-3.8879990164319755E-2</v>
      </c>
      <c r="G96" s="6">
        <f>_xlfn.XLOOKUP(AssetMonthlyReturns[[#This Row],[Date]],PE_Table[Date],PE_Table[Monthly Return])</f>
        <v>1.1922405461519681E-2</v>
      </c>
      <c r="H96" s="93">
        <f>SUMPRODUCT(_xlfn.TOROW(OptimizePortfolio[Weight]),AssetMonthlyReturns[[#This Row],[SPY]:[PE]])</f>
        <v>3.2992547278400601E-3</v>
      </c>
    </row>
    <row r="97" spans="2:8" x14ac:dyDescent="0.2">
      <c r="B97" s="5" cm="1">
        <f t="array" ref="B97">IF(EDATE(StartDate,ROW(AssetMonthlyReturns[#This Row])-ROW(AssetMonthlyReturns[#Headers])-1)&lt;=EndDate,EDATE(StartDate,ROW(AssetMonthlyReturns[#This Row])-ROW(AssetMonthlyReturns[#Headers])),"")</f>
        <v>45323</v>
      </c>
      <c r="C97" s="2">
        <f>_xlfn.XLOOKUP(AssetMonthlyReturns[[#This Row],[Date]],SPY_Table[Date],SPY_Table[Monthly Return])</f>
        <v>5.2186956608417878E-2</v>
      </c>
      <c r="D97" s="2">
        <f>_xlfn.XLOOKUP(AssetMonthlyReturns[[#This Row],[Date]],AGG_Table[Date],AGG_Table[Monthly Return])</f>
        <v>-1.7658956720855157E-2</v>
      </c>
      <c r="E97" s="2">
        <f>_xlfn.XLOOKUP(AssetMonthlyReturns[[#This Row],[Date]],GLD_Table[Date],GLD_Table[Monthly Return])</f>
        <v>4.56354849640217E-3</v>
      </c>
      <c r="F97" s="2">
        <f>_xlfn.XLOOKUP(AssetMonthlyReturns[[#This Row],[Date]],VNQ_Table[Date],VNQ_Table[Monthly Return])</f>
        <v>1.9787816720017171E-2</v>
      </c>
      <c r="G97" s="6">
        <f>_xlfn.XLOOKUP(AssetMonthlyReturns[[#This Row],[Date]],PE_Table[Date],PE_Table[Monthly Return])</f>
        <v>1.1221104940101867E-2</v>
      </c>
      <c r="H97" s="93">
        <f>SUMPRODUCT(_xlfn.TOROW(OptimizePortfolio[Weight]),AssetMonthlyReturns[[#This Row],[SPY]:[PE]])</f>
        <v>2.0752303664120505E-2</v>
      </c>
    </row>
    <row r="98" spans="2:8" x14ac:dyDescent="0.2">
      <c r="B98" s="5" cm="1">
        <f t="array" ref="B98">IF(EDATE(StartDate,ROW(AssetMonthlyReturns[#This Row])-ROW(AssetMonthlyReturns[#Headers])-1)&lt;=EndDate,EDATE(StartDate,ROW(AssetMonthlyReturns[#This Row])-ROW(AssetMonthlyReturns[#Headers])),"")</f>
        <v>45352</v>
      </c>
      <c r="C98" s="2">
        <f>_xlfn.XLOOKUP(AssetMonthlyReturns[[#This Row],[Date]],SPY_Table[Date],SPY_Table[Monthly Return])</f>
        <v>2.9501445114353153E-2</v>
      </c>
      <c r="D98" s="2">
        <f>_xlfn.XLOOKUP(AssetMonthlyReturns[[#This Row],[Date]],AGG_Table[Date],AGG_Table[Monthly Return])</f>
        <v>9.0439481879092121E-3</v>
      </c>
      <c r="E98" s="2">
        <f>_xlfn.XLOOKUP(AssetMonthlyReturns[[#This Row],[Date]],GLD_Table[Date],GLD_Table[Monthly Return])</f>
        <v>8.6683238117583716E-2</v>
      </c>
      <c r="F98" s="2">
        <f>_xlfn.XLOOKUP(AssetMonthlyReturns[[#This Row],[Date]],VNQ_Table[Date],VNQ_Table[Monthly Return])</f>
        <v>1.0870769671762703E-2</v>
      </c>
      <c r="G98" s="6">
        <f>_xlfn.XLOOKUP(AssetMonthlyReturns[[#This Row],[Date]],PE_Table[Date],PE_Table[Monthly Return])</f>
        <v>6.1022694133718858E-3</v>
      </c>
      <c r="H98" s="93">
        <f>SUMPRODUCT(_xlfn.TOROW(OptimizePortfolio[Weight]),AssetMonthlyReturns[[#This Row],[SPY]:[PE]])</f>
        <v>3.1326276491577376E-2</v>
      </c>
    </row>
    <row r="99" spans="2:8" x14ac:dyDescent="0.2">
      <c r="B99" s="5" cm="1">
        <f t="array" ref="B99">IF(EDATE(StartDate,ROW(AssetMonthlyReturns[#This Row])-ROW(AssetMonthlyReturns[#Headers])-1)&lt;=EndDate,EDATE(StartDate,ROW(AssetMonthlyReturns[#This Row])-ROW(AssetMonthlyReturns[#Headers])),"")</f>
        <v>45383</v>
      </c>
      <c r="C99" s="2">
        <f>_xlfn.XLOOKUP(AssetMonthlyReturns[[#This Row],[Date]],SPY_Table[Date],SPY_Table[Monthly Return])</f>
        <v>-3.7336288714125088E-2</v>
      </c>
      <c r="D99" s="2">
        <f>_xlfn.XLOOKUP(AssetMonthlyReturns[[#This Row],[Date]],AGG_Table[Date],AGG_Table[Monthly Return])</f>
        <v>-2.4804766376744225E-2</v>
      </c>
      <c r="E99" s="2">
        <f>_xlfn.XLOOKUP(AssetMonthlyReturns[[#This Row],[Date]],GLD_Table[Date],GLD_Table[Monthly Return])</f>
        <v>2.9894973090249133E-2</v>
      </c>
      <c r="F99" s="2">
        <f>_xlfn.XLOOKUP(AssetMonthlyReturns[[#This Row],[Date]],VNQ_Table[Date],VNQ_Table[Monthly Return])</f>
        <v>-7.1572651659581932E-2</v>
      </c>
      <c r="G99" s="6">
        <f>_xlfn.XLOOKUP(AssetMonthlyReturns[[#This Row],[Date]],PE_Table[Date],PE_Table[Monthly Return])</f>
        <v>1.3082576211600472E-3</v>
      </c>
      <c r="H99" s="93">
        <f>SUMPRODUCT(_xlfn.TOROW(OptimizePortfolio[Weight]),AssetMonthlyReturns[[#This Row],[SPY]:[PE]])</f>
        <v>-1.770503503013177E-2</v>
      </c>
    </row>
    <row r="100" spans="2:8" x14ac:dyDescent="0.2">
      <c r="B100" s="5" cm="1">
        <f t="array" ref="B100">IF(EDATE(StartDate,ROW(AssetMonthlyReturns[#This Row])-ROW(AssetMonthlyReturns[#Headers])-1)&lt;=EndDate,EDATE(StartDate,ROW(AssetMonthlyReturns[#This Row])-ROW(AssetMonthlyReturns[#Headers])),"")</f>
        <v>45413</v>
      </c>
      <c r="C100" s="2">
        <f>_xlfn.XLOOKUP(AssetMonthlyReturns[[#This Row],[Date]],SPY_Table[Date],SPY_Table[Monthly Return])</f>
        <v>5.0578980943918772E-2</v>
      </c>
      <c r="D100" s="2">
        <f>_xlfn.XLOOKUP(AssetMonthlyReturns[[#This Row],[Date]],AGG_Table[Date],AGG_Table[Monthly Return])</f>
        <v>1.6555943751073832E-2</v>
      </c>
      <c r="E100" s="2">
        <f>_xlfn.XLOOKUP(AssetMonthlyReturns[[#This Row],[Date]],GLD_Table[Date],GLD_Table[Monthly Return])</f>
        <v>1.6189210739260496E-2</v>
      </c>
      <c r="F100" s="2">
        <f>_xlfn.XLOOKUP(AssetMonthlyReturns[[#This Row],[Date]],VNQ_Table[Date],VNQ_Table[Monthly Return])</f>
        <v>4.559719970066034E-2</v>
      </c>
      <c r="G100" s="6">
        <f>_xlfn.XLOOKUP(AssetMonthlyReturns[[#This Row],[Date]],PE_Table[Date],PE_Table[Monthly Return])</f>
        <v>-2.2307415014918064E-2</v>
      </c>
      <c r="H100" s="93">
        <f>SUMPRODUCT(_xlfn.TOROW(OptimizePortfolio[Weight]),AssetMonthlyReturns[[#This Row],[SPY]:[PE]])</f>
        <v>2.3522114007967165E-2</v>
      </c>
    </row>
    <row r="101" spans="2:8" x14ac:dyDescent="0.2">
      <c r="B101" s="5" cm="1">
        <f t="array" ref="B101">IF(EDATE(StartDate,ROW(AssetMonthlyReturns[#This Row])-ROW(AssetMonthlyReturns[#Headers])-1)&lt;=EndDate,EDATE(StartDate,ROW(AssetMonthlyReturns[#This Row])-ROW(AssetMonthlyReturns[#Headers])),"")</f>
        <v>45444</v>
      </c>
      <c r="C101" s="2">
        <f>_xlfn.XLOOKUP(AssetMonthlyReturns[[#This Row],[Date]],SPY_Table[Date],SPY_Table[Monthly Return])</f>
        <v>3.1951674306580635E-2</v>
      </c>
      <c r="D101" s="2">
        <f>_xlfn.XLOOKUP(AssetMonthlyReturns[[#This Row],[Date]],AGG_Table[Date],AGG_Table[Monthly Return])</f>
        <v>8.8233634707342024E-3</v>
      </c>
      <c r="E101" s="2">
        <f>_xlfn.XLOOKUP(AssetMonthlyReturns[[#This Row],[Date]],GLD_Table[Date],GLD_Table[Monthly Return])</f>
        <v>-1.3469976582642929E-3</v>
      </c>
      <c r="F101" s="2">
        <f>_xlfn.XLOOKUP(AssetMonthlyReturns[[#This Row],[Date]],VNQ_Table[Date],VNQ_Table[Monthly Return])</f>
        <v>6.2471904087368912E-3</v>
      </c>
      <c r="G101" s="6">
        <f>_xlfn.XLOOKUP(AssetMonthlyReturns[[#This Row],[Date]],PE_Table[Date],PE_Table[Monthly Return])</f>
        <v>-2.412906733181841E-3</v>
      </c>
      <c r="H101" s="93">
        <f>SUMPRODUCT(_xlfn.TOROW(OptimizePortfolio[Weight]),AssetMonthlyReturns[[#This Row],[SPY]:[PE]])</f>
        <v>1.2379328690497815E-2</v>
      </c>
    </row>
    <row r="102" spans="2:8" x14ac:dyDescent="0.2">
      <c r="B102" s="5" cm="1">
        <f t="array" ref="B102">IF(EDATE(StartDate,ROW(AssetMonthlyReturns[#This Row])-ROW(AssetMonthlyReturns[#Headers])-1)&lt;=EndDate,EDATE(StartDate,ROW(AssetMonthlyReturns[#This Row])-ROW(AssetMonthlyReturns[#Headers])),"")</f>
        <v>45474</v>
      </c>
      <c r="C102" s="2">
        <f>_xlfn.XLOOKUP(AssetMonthlyReturns[[#This Row],[Date]],SPY_Table[Date],SPY_Table[Monthly Return])</f>
        <v>1.5374260607142531E-2</v>
      </c>
      <c r="D102" s="2">
        <f>_xlfn.XLOOKUP(AssetMonthlyReturns[[#This Row],[Date]],AGG_Table[Date],AGG_Table[Monthly Return])</f>
        <v>2.4220310103252984E-2</v>
      </c>
      <c r="E102" s="2">
        <f>_xlfn.XLOOKUP(AssetMonthlyReturns[[#This Row],[Date]],GLD_Table[Date],GLD_Table[Monthly Return])</f>
        <v>5.3671963607254458E-2</v>
      </c>
      <c r="F102" s="2">
        <f>_xlfn.XLOOKUP(AssetMonthlyReturns[[#This Row],[Date]],VNQ_Table[Date],VNQ_Table[Monthly Return])</f>
        <v>9.2811646944674697E-2</v>
      </c>
      <c r="G102" s="6">
        <f>_xlfn.XLOOKUP(AssetMonthlyReturns[[#This Row],[Date]],PE_Table[Date],PE_Table[Monthly Return])</f>
        <v>-8.5429014249160939E-4</v>
      </c>
      <c r="H102" s="93">
        <f>SUMPRODUCT(_xlfn.TOROW(OptimizePortfolio[Weight]),AssetMonthlyReturns[[#This Row],[SPY]:[PE]])</f>
        <v>2.8858737115407877E-2</v>
      </c>
    </row>
    <row r="103" spans="2:8" x14ac:dyDescent="0.2">
      <c r="B103" s="5" cm="1">
        <f t="array" ref="B103">IF(EDATE(StartDate,ROW(AssetMonthlyReturns[#This Row])-ROW(AssetMonthlyReturns[#Headers])-1)&lt;=EndDate,EDATE(StartDate,ROW(AssetMonthlyReturns[#This Row])-ROW(AssetMonthlyReturns[#Headers])),"")</f>
        <v>45505</v>
      </c>
      <c r="C103" s="2">
        <f>_xlfn.XLOOKUP(AssetMonthlyReturns[[#This Row],[Date]],SPY_Table[Date],SPY_Table[Monthly Return])</f>
        <v>2.3365548137615821E-2</v>
      </c>
      <c r="D103" s="2">
        <f>_xlfn.XLOOKUP(AssetMonthlyReturns[[#This Row],[Date]],AGG_Table[Date],AGG_Table[Monthly Return])</f>
        <v>1.4648783837899471E-2</v>
      </c>
      <c r="E103" s="2">
        <f>_xlfn.XLOOKUP(AssetMonthlyReturns[[#This Row],[Date]],GLD_Table[Date],GLD_Table[Monthly Return])</f>
        <v>2.0922490113177039E-2</v>
      </c>
      <c r="F103" s="2">
        <f>_xlfn.XLOOKUP(AssetMonthlyReturns[[#This Row],[Date]],VNQ_Table[Date],VNQ_Table[Monthly Return])</f>
        <v>5.2206512399954219E-2</v>
      </c>
      <c r="G103" s="6">
        <f>_xlfn.XLOOKUP(AssetMonthlyReturns[[#This Row],[Date]],PE_Table[Date],PE_Table[Monthly Return])</f>
        <v>-1.0045545202192363E-2</v>
      </c>
      <c r="H103" s="93">
        <f>SUMPRODUCT(_xlfn.TOROW(OptimizePortfolio[Weight]),AssetMonthlyReturns[[#This Row],[SPY]:[PE]])</f>
        <v>1.7771299646042814E-2</v>
      </c>
    </row>
    <row r="104" spans="2:8" x14ac:dyDescent="0.2">
      <c r="B104" s="5" cm="1">
        <f t="array" ref="B104">IF(EDATE(StartDate,ROW(AssetMonthlyReturns[#This Row])-ROW(AssetMonthlyReturns[#Headers])-1)&lt;=EndDate,EDATE(StartDate,ROW(AssetMonthlyReturns[#This Row])-ROW(AssetMonthlyReturns[#Headers])),"")</f>
        <v>45536</v>
      </c>
      <c r="C104" s="2">
        <f>_xlfn.XLOOKUP(AssetMonthlyReturns[[#This Row],[Date]],SPY_Table[Date],SPY_Table[Monthly Return])</f>
        <v>1.7891208169287909E-2</v>
      </c>
      <c r="D104" s="2">
        <f>_xlfn.XLOOKUP(AssetMonthlyReturns[[#This Row],[Date]],AGG_Table[Date],AGG_Table[Monthly Return])</f>
        <v>1.3282590658889815E-2</v>
      </c>
      <c r="E104" s="2">
        <f>_xlfn.XLOOKUP(AssetMonthlyReturns[[#This Row],[Date]],GLD_Table[Date],GLD_Table[Monthly Return])</f>
        <v>5.0888515028548742E-2</v>
      </c>
      <c r="F104" s="2">
        <f>_xlfn.XLOOKUP(AssetMonthlyReturns[[#This Row],[Date]],VNQ_Table[Date],VNQ_Table[Monthly Return])</f>
        <v>2.4072416489551385E-2</v>
      </c>
      <c r="G104" s="6">
        <f>_xlfn.XLOOKUP(AssetMonthlyReturns[[#This Row],[Date]],PE_Table[Date],PE_Table[Monthly Return])</f>
        <v>2.7742853129548717E-3</v>
      </c>
      <c r="H104" s="93">
        <f>SUMPRODUCT(_xlfn.TOROW(OptimizePortfolio[Weight]),AssetMonthlyReturns[[#This Row],[SPY]:[PE]])</f>
        <v>2.1394113175340096E-2</v>
      </c>
    </row>
    <row r="105" spans="2:8" x14ac:dyDescent="0.2">
      <c r="B105" s="5" cm="1">
        <f t="array" ref="B105">IF(EDATE(StartDate,ROW(AssetMonthlyReturns[#This Row])-ROW(AssetMonthlyReturns[#Headers])-1)&lt;=EndDate,EDATE(StartDate,ROW(AssetMonthlyReturns[#This Row])-ROW(AssetMonthlyReturns[#Headers])),"")</f>
        <v>45566</v>
      </c>
      <c r="C105" s="2">
        <f>_xlfn.XLOOKUP(AssetMonthlyReturns[[#This Row],[Date]],SPY_Table[Date],SPY_Table[Monthly Return])</f>
        <v>-5.8920377258916412E-3</v>
      </c>
      <c r="D105" s="2">
        <f>_xlfn.XLOOKUP(AssetMonthlyReturns[[#This Row],[Date]],AGG_Table[Date],AGG_Table[Monthly Return])</f>
        <v>-2.5108380279028175E-2</v>
      </c>
      <c r="E105" s="2">
        <f>_xlfn.XLOOKUP(AssetMonthlyReturns[[#This Row],[Date]],GLD_Table[Date],GLD_Table[Monthly Return])</f>
        <v>4.2993487217906523E-2</v>
      </c>
      <c r="F105" s="2">
        <f>_xlfn.XLOOKUP(AssetMonthlyReturns[[#This Row],[Date]],VNQ_Table[Date],VNQ_Table[Monthly Return])</f>
        <v>-2.542701717529372E-2</v>
      </c>
      <c r="G105" s="6">
        <f>_xlfn.XLOOKUP(AssetMonthlyReturns[[#This Row],[Date]],PE_Table[Date],PE_Table[Monthly Return])</f>
        <v>1.4081017756595093E-2</v>
      </c>
      <c r="H105" s="93">
        <f>SUMPRODUCT(_xlfn.TOROW(OptimizePortfolio[Weight]),AssetMonthlyReturns[[#This Row],[SPY]:[PE]])</f>
        <v>3.0437290314546507E-3</v>
      </c>
    </row>
    <row r="106" spans="2:8" x14ac:dyDescent="0.2">
      <c r="B106" s="5" cm="1">
        <f t="array" ref="B106">IF(EDATE(StartDate,ROW(AssetMonthlyReturns[#This Row])-ROW(AssetMonthlyReturns[#Headers])-1)&lt;=EndDate,EDATE(StartDate,ROW(AssetMonthlyReturns[#This Row])-ROW(AssetMonthlyReturns[#Headers])),"")</f>
        <v>45597</v>
      </c>
      <c r="C106" s="2">
        <f>_xlfn.XLOOKUP(AssetMonthlyReturns[[#This Row],[Date]],SPY_Table[Date],SPY_Table[Monthly Return])</f>
        <v>5.963336231606009E-2</v>
      </c>
      <c r="D106" s="2">
        <f>_xlfn.XLOOKUP(AssetMonthlyReturns[[#This Row],[Date]],AGG_Table[Date],AGG_Table[Monthly Return])</f>
        <v>1.0990027488848586E-2</v>
      </c>
      <c r="E106" s="2">
        <f>_xlfn.XLOOKUP(AssetMonthlyReturns[[#This Row],[Date]],GLD_Table[Date],GLD_Table[Monthly Return])</f>
        <v>-3.1241364726549259E-2</v>
      </c>
      <c r="F106" s="2">
        <f>_xlfn.XLOOKUP(AssetMonthlyReturns[[#This Row],[Date]],VNQ_Table[Date],VNQ_Table[Monthly Return])</f>
        <v>4.2591622904090576E-2</v>
      </c>
      <c r="G106" s="6">
        <f>_xlfn.XLOOKUP(AssetMonthlyReturns[[#This Row],[Date]],PE_Table[Date],PE_Table[Monthly Return])</f>
        <v>4.3723717764157621E-2</v>
      </c>
      <c r="H106" s="93">
        <f>SUMPRODUCT(_xlfn.TOROW(OptimizePortfolio[Weight]),AssetMonthlyReturns[[#This Row],[SPY]:[PE]])</f>
        <v>2.927581383187905E-2</v>
      </c>
    </row>
    <row r="107" spans="2:8" x14ac:dyDescent="0.2">
      <c r="B107" s="5" cm="1">
        <f t="array" ref="B107">IF(EDATE(StartDate,ROW(AssetMonthlyReturns[#This Row])-ROW(AssetMonthlyReturns[#Headers])-1)&lt;=EndDate,EDATE(StartDate,ROW(AssetMonthlyReturns[#This Row])-ROW(AssetMonthlyReturns[#Headers])),"")</f>
        <v>45627</v>
      </c>
      <c r="C107" s="2">
        <f>_xlfn.XLOOKUP(AssetMonthlyReturns[[#This Row],[Date]],SPY_Table[Date],SPY_Table[Monthly Return])</f>
        <v>-2.7333645619261882E-2</v>
      </c>
      <c r="D107" s="2">
        <f>_xlfn.XLOOKUP(AssetMonthlyReturns[[#This Row],[Date]],AGG_Table[Date],AGG_Table[Monthly Return])</f>
        <v>-2.00991181085447E-2</v>
      </c>
      <c r="E107" s="2">
        <f>_xlfn.XLOOKUP(AssetMonthlyReturns[[#This Row],[Date]],GLD_Table[Date],GLD_Table[Monthly Return])</f>
        <v>-1.4088486714147197E-2</v>
      </c>
      <c r="F107" s="2">
        <f>_xlfn.XLOOKUP(AssetMonthlyReturns[[#This Row],[Date]],VNQ_Table[Date],VNQ_Table[Monthly Return])</f>
        <v>-9.2502013594625621E-2</v>
      </c>
      <c r="G107" s="6">
        <f>_xlfn.XLOOKUP(AssetMonthlyReturns[[#This Row],[Date]],PE_Table[Date],PE_Table[Monthly Return])</f>
        <v>9.4915565286228798E-3</v>
      </c>
      <c r="H107" s="93">
        <f>SUMPRODUCT(_xlfn.TOROW(OptimizePortfolio[Weight]),AssetMonthlyReturns[[#This Row],[SPY]:[PE]])</f>
        <v>-2.2751231079590789E-2</v>
      </c>
    </row>
    <row r="108" spans="2:8" x14ac:dyDescent="0.2">
      <c r="B108" s="5" cm="1">
        <f t="array" ref="B108">IF(EDATE(StartDate,ROW(AssetMonthlyReturns[#This Row])-ROW(AssetMonthlyReturns[#Headers])-1)&lt;=EndDate,EDATE(StartDate,ROW(AssetMonthlyReturns[#This Row])-ROW(AssetMonthlyReturns[#Headers])),"")</f>
        <v>45658</v>
      </c>
      <c r="C108" s="2">
        <f>_xlfn.XLOOKUP(AssetMonthlyReturns[[#This Row],[Date]],SPY_Table[Date],SPY_Table[Monthly Return])</f>
        <v>3.031224011571787E-2</v>
      </c>
      <c r="D108" s="2">
        <f>_xlfn.XLOOKUP(AssetMonthlyReturns[[#This Row],[Date]],AGG_Table[Date],AGG_Table[Monthly Return])</f>
        <v>1.1592684897765659E-2</v>
      </c>
      <c r="E108" s="2">
        <f>_xlfn.XLOOKUP(AssetMonthlyReturns[[#This Row],[Date]],GLD_Table[Date],GLD_Table[Monthly Return])</f>
        <v>6.7856078831640909E-2</v>
      </c>
      <c r="F108" s="2">
        <f>_xlfn.XLOOKUP(AssetMonthlyReturns[[#This Row],[Date]],VNQ_Table[Date],VNQ_Table[Monthly Return])</f>
        <v>2.6336851351906887E-2</v>
      </c>
      <c r="G108" s="6">
        <f>_xlfn.XLOOKUP(AssetMonthlyReturns[[#This Row],[Date]],PE_Table[Date],PE_Table[Monthly Return])</f>
        <v>1.1151007455779238E-2</v>
      </c>
      <c r="H108" s="93">
        <f>SUMPRODUCT(_xlfn.TOROW(OptimizePortfolio[Weight]),AssetMonthlyReturns[[#This Row],[SPY]:[PE]])</f>
        <v>3.078328916784082E-2</v>
      </c>
    </row>
    <row r="109" spans="2:8" x14ac:dyDescent="0.2">
      <c r="B109" s="5" cm="1">
        <f t="array" ref="B109">IF(EDATE(StartDate,ROW(AssetMonthlyReturns[#This Row])-ROW(AssetMonthlyReturns[#Headers])-1)&lt;=EndDate,EDATE(StartDate,ROW(AssetMonthlyReturns[#This Row])-ROW(AssetMonthlyReturns[#Headers])),"")</f>
        <v>45689</v>
      </c>
      <c r="C109" s="2">
        <f>_xlfn.XLOOKUP(AssetMonthlyReturns[[#This Row],[Date]],SPY_Table[Date],SPY_Table[Monthly Return])</f>
        <v>-1.2694834127274901E-2</v>
      </c>
      <c r="D109" s="2">
        <f>_xlfn.XLOOKUP(AssetMonthlyReturns[[#This Row],[Date]],AGG_Table[Date],AGG_Table[Monthly Return])</f>
        <v>1.8993916235892305E-2</v>
      </c>
      <c r="E109" s="2">
        <f>_xlfn.XLOOKUP(AssetMonthlyReturns[[#This Row],[Date]],GLD_Table[Date],GLD_Table[Monthly Return])</f>
        <v>1.8216241660423238E-2</v>
      </c>
      <c r="F109" s="2">
        <f>_xlfn.XLOOKUP(AssetMonthlyReturns[[#This Row],[Date]],VNQ_Table[Date],VNQ_Table[Monthly Return])</f>
        <v>3.6995998835918531E-2</v>
      </c>
      <c r="G109" s="6">
        <f>_xlfn.XLOOKUP(AssetMonthlyReturns[[#This Row],[Date]],PE_Table[Date],PE_Table[Monthly Return])</f>
        <v>4.511081534807948E-3</v>
      </c>
      <c r="H109" s="93">
        <f>SUMPRODUCT(_xlfn.TOROW(OptimizePortfolio[Weight]),AssetMonthlyReturns[[#This Row],[SPY]:[PE]])</f>
        <v>6.6509600134757223E-3</v>
      </c>
    </row>
    <row r="110" spans="2:8" x14ac:dyDescent="0.2">
      <c r="B110" s="5" cm="1">
        <f t="array" ref="B110">IF(EDATE(StartDate,ROW(AssetMonthlyReturns[#This Row])-ROW(AssetMonthlyReturns[#Headers])-1)&lt;=EndDate,EDATE(StartDate,ROW(AssetMonthlyReturns[#This Row])-ROW(AssetMonthlyReturns[#Headers])),"")</f>
        <v>45717</v>
      </c>
      <c r="C110" s="2">
        <f>_xlfn.XLOOKUP(AssetMonthlyReturns[[#This Row],[Date]],SPY_Table[Date],SPY_Table[Monthly Return])</f>
        <v>-5.8553596895322912E-2</v>
      </c>
      <c r="D110" s="2">
        <f>_xlfn.XLOOKUP(AssetMonthlyReturns[[#This Row],[Date]],AGG_Table[Date],AGG_Table[Monthly Return])</f>
        <v>-1.8986567739021076E-5</v>
      </c>
      <c r="E110" s="2">
        <f>_xlfn.XLOOKUP(AssetMonthlyReturns[[#This Row],[Date]],GLD_Table[Date],GLD_Table[Monthly Return])</f>
        <v>9.4465858772835531E-2</v>
      </c>
      <c r="F110" s="2">
        <f>_xlfn.XLOOKUP(AssetMonthlyReturns[[#This Row],[Date]],VNQ_Table[Date],VNQ_Table[Monthly Return])</f>
        <v>-3.5782696412273718E-2</v>
      </c>
      <c r="G110" s="6">
        <f>_xlfn.XLOOKUP(AssetMonthlyReturns[[#This Row],[Date]],PE_Table[Date],PE_Table[Monthly Return])</f>
        <v>-3.2375423807648351E-2</v>
      </c>
      <c r="H110" s="93">
        <f>SUMPRODUCT(_xlfn.TOROW(OptimizePortfolio[Weight]),AssetMonthlyReturns[[#This Row],[SPY]:[PE]])</f>
        <v>-1.1656789546713807E-2</v>
      </c>
    </row>
    <row r="111" spans="2:8" x14ac:dyDescent="0.2">
      <c r="B111" s="5" cm="1">
        <f t="array" ref="B111">IF(EDATE(StartDate,ROW(AssetMonthlyReturns[#This Row])-ROW(AssetMonthlyReturns[#Headers])-1)&lt;=EndDate,EDATE(StartDate,ROW(AssetMonthlyReturns[#This Row])-ROW(AssetMonthlyReturns[#Headers])),"")</f>
        <v>45748</v>
      </c>
      <c r="C111" s="2">
        <f>_xlfn.XLOOKUP(AssetMonthlyReturns[[#This Row],[Date]],SPY_Table[Date],SPY_Table[Monthly Return])</f>
        <v>-5.6856220047288852E-3</v>
      </c>
      <c r="D111" s="2">
        <f>_xlfn.XLOOKUP(AssetMonthlyReturns[[#This Row],[Date]],AGG_Table[Date],AGG_Table[Monthly Return])</f>
        <v>4.0865275207380147E-3</v>
      </c>
      <c r="E111" s="2">
        <f>_xlfn.XLOOKUP(AssetMonthlyReturns[[#This Row],[Date]],GLD_Table[Date],GLD_Table[Monthly Return])</f>
        <v>5.4244372902173321E-2</v>
      </c>
      <c r="F111" s="2">
        <f>_xlfn.XLOOKUP(AssetMonthlyReturns[[#This Row],[Date]],VNQ_Table[Date],VNQ_Table[Monthly Return])</f>
        <v>-1.4387356379755967E-2</v>
      </c>
      <c r="G111" s="6">
        <f>_xlfn.XLOOKUP(AssetMonthlyReturns[[#This Row],[Date]],PE_Table[Date],PE_Table[Monthly Return])</f>
        <v>5.4697224893336394E-3</v>
      </c>
      <c r="H111" s="93">
        <f>SUMPRODUCT(_xlfn.TOROW(OptimizePortfolio[Weight]),AssetMonthlyReturns[[#This Row],[SPY]:[PE]])</f>
        <v>9.1270948667813902E-3</v>
      </c>
    </row>
    <row r="112" spans="2:8" x14ac:dyDescent="0.2">
      <c r="B112" s="5" cm="1">
        <f t="array" ref="B112">IF(EDATE(StartDate,ROW(AssetMonthlyReturns[#This Row])-ROW(AssetMonthlyReturns[#Headers])-1)&lt;=EndDate,EDATE(StartDate,ROW(AssetMonthlyReturns[#This Row])-ROW(AssetMonthlyReturns[#Headers])),"")</f>
        <v>45778</v>
      </c>
      <c r="C112" s="2">
        <f>_xlfn.XLOOKUP(AssetMonthlyReturns[[#This Row],[Date]],SPY_Table[Date],SPY_Table[Monthly Return])</f>
        <v>6.2844986034126027E-2</v>
      </c>
      <c r="D112" s="2">
        <f>_xlfn.XLOOKUP(AssetMonthlyReturns[[#This Row],[Date]],AGG_Table[Date],AGG_Table[Monthly Return])</f>
        <v>-6.0255193568646837E-3</v>
      </c>
      <c r="E112" s="2">
        <f>_xlfn.XLOOKUP(AssetMonthlyReturns[[#This Row],[Date]],GLD_Table[Date],GLD_Table[Monthly Return])</f>
        <v>-5.5957766124170583E-4</v>
      </c>
      <c r="F112" s="2">
        <f>_xlfn.XLOOKUP(AssetMonthlyReturns[[#This Row],[Date]],VNQ_Table[Date],VNQ_Table[Monthly Return])</f>
        <v>1.1207942546625382E-2</v>
      </c>
      <c r="G112" s="6">
        <f>_xlfn.XLOOKUP(AssetMonthlyReturns[[#This Row],[Date]],PE_Table[Date],PE_Table[Monthly Return])</f>
        <v>7.2046039221254077E-3</v>
      </c>
      <c r="H112" s="93">
        <f>SUMPRODUCT(_xlfn.TOROW(OptimizePortfolio[Weight]),AssetMonthlyReturns[[#This Row],[SPY]:[PE]])</f>
        <v>2.3541716715253687E-2</v>
      </c>
    </row>
    <row r="113" spans="2:8" x14ac:dyDescent="0.2">
      <c r="B113" s="5" cm="1">
        <f t="array" ref="B113">IF(EDATE(StartDate,ROW(AssetMonthlyReturns[#This Row])-ROW(AssetMonthlyReturns[#Headers])-1)&lt;=EndDate,EDATE(StartDate,ROW(AssetMonthlyReturns[#This Row])-ROW(AssetMonthlyReturns[#Headers])),"")</f>
        <v>45809</v>
      </c>
      <c r="C113" s="2">
        <f>_xlfn.XLOOKUP(AssetMonthlyReturns[[#This Row],[Date]],SPY_Table[Date],SPY_Table[Monthly Return])</f>
        <v>4.8287222054981704E-2</v>
      </c>
      <c r="D113" s="2">
        <f>_xlfn.XLOOKUP(AssetMonthlyReturns[[#This Row],[Date]],AGG_Table[Date],AGG_Table[Monthly Return])</f>
        <v>1.4501721353309627E-2</v>
      </c>
      <c r="E113" s="2">
        <f>_xlfn.XLOOKUP(AssetMonthlyReturns[[#This Row],[Date]],GLD_Table[Date],GLD_Table[Monthly Return])</f>
        <v>4.0513190885604899E-3</v>
      </c>
      <c r="F113" s="2">
        <f>_xlfn.XLOOKUP(AssetMonthlyReturns[[#This Row],[Date]],VNQ_Table[Date],VNQ_Table[Monthly Return])</f>
        <v>-2.9109123869911491E-3</v>
      </c>
      <c r="G113" s="6">
        <f>_xlfn.XLOOKUP(AssetMonthlyReturns[[#This Row],[Date]],PE_Table[Date],PE_Table[Monthly Return])</f>
        <v>5.5264842079410403E-2</v>
      </c>
      <c r="H113" s="93">
        <f>SUMPRODUCT(_xlfn.TOROW(OptimizePortfolio[Weight]),AssetMonthlyReturns[[#This Row],[SPY]:[PE]])</f>
        <v>3.0647926917135103E-2</v>
      </c>
    </row>
    <row r="114" spans="2:8" x14ac:dyDescent="0.2">
      <c r="B114" s="5" cm="1">
        <f t="array" ref="B114">IF(EDATE(StartDate,ROW(AssetMonthlyReturns[#This Row])-ROW(AssetMonthlyReturns[#Headers])-1)&lt;=EndDate,EDATE(StartDate,ROW(AssetMonthlyReturns[#This Row])-ROW(AssetMonthlyReturns[#Headers])),"")</f>
        <v>45839</v>
      </c>
      <c r="C114" s="2">
        <f>_xlfn.XLOOKUP(AssetMonthlyReturns[[#This Row],[Date]],SPY_Table[Date],SPY_Table[Monthly Return])</f>
        <v>2.6049815919583663E-2</v>
      </c>
      <c r="D114" s="2">
        <f>_xlfn.XLOOKUP(AssetMonthlyReturns[[#This Row],[Date]],AGG_Table[Date],AGG_Table[Monthly Return])</f>
        <v>-2.5623129512686305E-3</v>
      </c>
      <c r="E114" s="2">
        <f>_xlfn.XLOOKUP(AssetMonthlyReturns[[#This Row],[Date]],GLD_Table[Date],GLD_Table[Monthly Return])</f>
        <v>-6.1345510028637529E-3</v>
      </c>
      <c r="F114" s="2">
        <f>_xlfn.XLOOKUP(AssetMonthlyReturns[[#This Row],[Date]],VNQ_Table[Date],VNQ_Table[Monthly Return])</f>
        <v>1.0731473325030549E-2</v>
      </c>
      <c r="G114" s="6">
        <f>_xlfn.XLOOKUP(AssetMonthlyReturns[[#This Row],[Date]],PE_Table[Date],PE_Table[Monthly Return])</f>
        <v>2.1527807184682501E-3</v>
      </c>
      <c r="H114" s="93">
        <f>SUMPRODUCT(_xlfn.TOROW(OptimizePortfolio[Weight]),AssetMonthlyReturns[[#This Row],[SPY]:[PE]])</f>
        <v>9.0098819047879398E-3</v>
      </c>
    </row>
    <row r="115" spans="2:8" x14ac:dyDescent="0.2">
      <c r="B115" s="5" cm="1">
        <f t="array" ref="B115">IF(EDATE(StartDate,ROW(AssetMonthlyReturns[#This Row])-ROW(AssetMonthlyReturns[#Headers])-1)&lt;=EndDate,EDATE(StartDate,ROW(AssetMonthlyReturns[#This Row])-ROW(AssetMonthlyReturns[#Headers])),"")</f>
        <v>45870</v>
      </c>
      <c r="C115" s="2">
        <f>_xlfn.XLOOKUP(AssetMonthlyReturns[[#This Row],[Date]],SPY_Table[Date],SPY_Table[Monthly Return])</f>
        <v>2.0525516551640699E-2</v>
      </c>
      <c r="D115" s="2">
        <f>_xlfn.XLOOKUP(AssetMonthlyReturns[[#This Row],[Date]],AGG_Table[Date],AGG_Table[Monthly Return])</f>
        <v>1.1770936508380014E-2</v>
      </c>
      <c r="E115" s="2">
        <f>_xlfn.XLOOKUP(AssetMonthlyReturns[[#This Row],[Date]],GLD_Table[Date],GLD_Table[Monthly Return])</f>
        <v>4.9874624451855976E-2</v>
      </c>
      <c r="F115" s="2">
        <f>_xlfn.XLOOKUP(AssetMonthlyReturns[[#This Row],[Date]],VNQ_Table[Date],VNQ_Table[Monthly Return])</f>
        <v>3.4776758366768856E-2</v>
      </c>
      <c r="G115" s="6">
        <f>_xlfn.XLOOKUP(AssetMonthlyReturns[[#This Row],[Date]],PE_Table[Date],PE_Table[Monthly Return])</f>
        <v>1.2030946911979479E-2</v>
      </c>
      <c r="H115" s="93">
        <f>SUMPRODUCT(_xlfn.TOROW(OptimizePortfolio[Weight]),AssetMonthlyReturns[[#This Row],[SPY]:[PE]])</f>
        <v>2.4808361378775227E-2</v>
      </c>
    </row>
    <row r="116" spans="2:8" x14ac:dyDescent="0.2">
      <c r="B116" s="5" cm="1">
        <f t="array" ref="B116">IF(EDATE(StartDate,ROW(AssetMonthlyReturns[#This Row])-ROW(AssetMonthlyReturns[#Headers])-1)&lt;=EndDate,EDATE(StartDate,ROW(AssetMonthlyReturns[#This Row])-ROW(AssetMonthlyReturns[#Headers])),"")</f>
        <v>45901</v>
      </c>
      <c r="C116" s="2">
        <f>_xlfn.XLOOKUP(AssetMonthlyReturns[[#This Row],[Date]],SPY_Table[Date],SPY_Table[Monthly Return])</f>
        <v>3.2757042748446041E-2</v>
      </c>
      <c r="D116" s="2">
        <f>_xlfn.XLOOKUP(AssetMonthlyReturns[[#This Row],[Date]],AGG_Table[Date],AGG_Table[Monthly Return])</f>
        <v>1.1326922017532715E-2</v>
      </c>
      <c r="E116" s="2">
        <f>_xlfn.XLOOKUP(AssetMonthlyReturns[[#This Row],[Date]],GLD_Table[Date],GLD_Table[Monthly Return])</f>
        <v>0.1175841577062775</v>
      </c>
      <c r="F116" s="2">
        <f>_xlfn.XLOOKUP(AssetMonthlyReturns[[#This Row],[Date]],VNQ_Table[Date],VNQ_Table[Monthly Return])</f>
        <v>-8.8898857956450916E-3</v>
      </c>
      <c r="G116" s="6">
        <f>_xlfn.XLOOKUP(AssetMonthlyReturns[[#This Row],[Date]],PE_Table[Date],PE_Table[Monthly Return])</f>
        <v>5.3057644705007956E-3</v>
      </c>
      <c r="H116" s="93">
        <f>SUMPRODUCT(_xlfn.TOROW(OptimizePortfolio[Weight]),AssetMonthlyReturns[[#This Row],[SPY]:[PE]])</f>
        <v>3.6852999120377171E-2</v>
      </c>
    </row>
    <row r="117" spans="2:8" x14ac:dyDescent="0.2">
      <c r="B117" s="5" cm="1">
        <f t="array" ref="B117">IF(EDATE(StartDate,ROW(AssetMonthlyReturns[#This Row])-ROW(AssetMonthlyReturns[#Headers])-1)&lt;=EndDate,EDATE(StartDate,ROW(AssetMonthlyReturns[#This Row])-ROW(AssetMonthlyReturns[#Headers])),"")</f>
        <v>45931</v>
      </c>
      <c r="C117" s="2">
        <f>_xlfn.XLOOKUP(AssetMonthlyReturns[[#This Row],[Date]],SPY_Table[Date],SPY_Table[Monthly Return])</f>
        <v>2.6675961781003066E-2</v>
      </c>
      <c r="D117" s="2">
        <f>_xlfn.XLOOKUP(AssetMonthlyReturns[[#This Row],[Date]],AGG_Table[Date],AGG_Table[Monthly Return])</f>
        <v>6.2010270819423674E-3</v>
      </c>
      <c r="E117" s="2">
        <f>_xlfn.XLOOKUP(AssetMonthlyReturns[[#This Row],[Date]],GLD_Table[Date],GLD_Table[Monthly Return])</f>
        <v>3.5586670766297956E-2</v>
      </c>
      <c r="F117" s="2">
        <f>_xlfn.XLOOKUP(AssetMonthlyReturns[[#This Row],[Date]],VNQ_Table[Date],VNQ_Table[Monthly Return])</f>
        <v>-1.5185107127275166E-2</v>
      </c>
      <c r="G117" s="6">
        <f>_xlfn.XLOOKUP(AssetMonthlyReturns[[#This Row],[Date]],PE_Table[Date],PE_Table[Monthly Return])</f>
        <v>-1.7373560584497572E-2</v>
      </c>
      <c r="H117" s="93">
        <f>SUMPRODUCT(_xlfn.TOROW(OptimizePortfolio[Weight]),AssetMonthlyReturns[[#This Row],[SPY]:[PE]])</f>
        <v>1.239085200927499E-2</v>
      </c>
    </row>
    <row r="118" spans="2:8" x14ac:dyDescent="0.2">
      <c r="B118" s="5" cm="1">
        <f t="array" ref="B118">IF(EDATE(StartDate,ROW(AssetMonthlyReturns[#This Row])-ROW(AssetMonthlyReturns[#Headers])-1)&lt;=EndDate,EDATE(StartDate,ROW(AssetMonthlyReturns[#This Row])-ROW(AssetMonthlyReturns[#Headers])),"")</f>
        <v>45962</v>
      </c>
      <c r="C118" s="2">
        <f>_xlfn.XLOOKUP(AssetMonthlyReturns[[#This Row],[Date]],SPY_Table[Date],SPY_Table[Monthly Return])</f>
        <v>1.9500340229998692E-3</v>
      </c>
      <c r="D118" s="2">
        <f>_xlfn.XLOOKUP(AssetMonthlyReturns[[#This Row],[Date]],AGG_Table[Date],AGG_Table[Monthly Return])</f>
        <v>6.0463626028721684E-3</v>
      </c>
      <c r="E118" s="2">
        <f>_xlfn.XLOOKUP(AssetMonthlyReturns[[#This Row],[Date]],GLD_Table[Date],GLD_Table[Monthly Return])</f>
        <v>5.3678175766117331E-2</v>
      </c>
      <c r="F118" s="2">
        <f>_xlfn.XLOOKUP(AssetMonthlyReturns[[#This Row],[Date]],VNQ_Table[Date],VNQ_Table[Monthly Return])</f>
        <v>2.4220618024508589E-2</v>
      </c>
      <c r="G118" s="6">
        <f>_xlfn.XLOOKUP(AssetMonthlyReturns[[#This Row],[Date]],PE_Table[Date],PE_Table[Monthly Return])</f>
        <v>2.8856456463157043E-2</v>
      </c>
      <c r="H118" s="93">
        <f>SUMPRODUCT(_xlfn.TOROW(OptimizePortfolio[Weight]),AssetMonthlyReturns[[#This Row],[SPY]:[PE]])</f>
        <v>2.0518454546786514E-2</v>
      </c>
    </row>
    <row r="119" spans="2:8" x14ac:dyDescent="0.2">
      <c r="B119" s="5" cm="1">
        <f t="array" ref="B119">IF(EDATE(StartDate,ROW(AssetMonthlyReturns[#This Row])-ROW(AssetMonthlyReturns[#Headers])-1)&lt;=EndDate,EDATE(StartDate,ROW(AssetMonthlyReturns[#This Row])-ROW(AssetMonthlyReturns[#Headers])),"")</f>
        <v>45992</v>
      </c>
      <c r="C119" s="2">
        <f>_xlfn.XLOOKUP(AssetMonthlyReturns[[#This Row],[Date]],SPY_Table[Date],SPY_Table[Monthly Return])</f>
        <v>-2.1510303936785879E-3</v>
      </c>
      <c r="D119" s="2">
        <f>_xlfn.XLOOKUP(AssetMonthlyReturns[[#This Row],[Date]],AGG_Table[Date],AGG_Table[Monthly Return])</f>
        <v>-6.0909326880842496E-3</v>
      </c>
      <c r="E119" s="2">
        <f>_xlfn.XLOOKUP(AssetMonthlyReturns[[#This Row],[Date]],GLD_Table[Date],GLD_Table[Monthly Return])</f>
        <v>2.1733506737923625E-2</v>
      </c>
      <c r="F119" s="2">
        <f>_xlfn.XLOOKUP(AssetMonthlyReturns[[#This Row],[Date]],VNQ_Table[Date],VNQ_Table[Monthly Return])</f>
        <v>-3.1202049793029429E-2</v>
      </c>
      <c r="G119" s="6">
        <f>_xlfn.XLOOKUP(AssetMonthlyReturns[[#This Row],[Date]],PE_Table[Date],PE_Table[Monthly Return])</f>
        <v>2.1038660478881921E-2</v>
      </c>
      <c r="H119" s="93">
        <f>SUMPRODUCT(_xlfn.TOROW(OptimizePortfolio[Weight]),AssetMonthlyReturns[[#This Row],[SPY]:[PE]])</f>
        <v>3.7677279230580239E-3</v>
      </c>
    </row>
  </sheetData>
  <mergeCells count="1">
    <mergeCell ref="B1:H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39"/>
  <sheetViews>
    <sheetView zoomScaleNormal="100" workbookViewId="0">
      <selection activeCell="P3" sqref="P3:P9"/>
    </sheetView>
  </sheetViews>
  <sheetFormatPr baseColWidth="10" defaultColWidth="8.83203125" defaultRowHeight="15" x14ac:dyDescent="0.2"/>
  <cols>
    <col min="1" max="1" width="3.5" customWidth="1"/>
    <col min="2" max="7" width="15.5" customWidth="1"/>
    <col min="9" max="14" width="14.6640625" customWidth="1"/>
  </cols>
  <sheetData>
    <row r="1" spans="2:16" x14ac:dyDescent="0.2">
      <c r="B1" s="206" t="s">
        <v>15</v>
      </c>
      <c r="C1" s="207"/>
      <c r="D1" s="207"/>
      <c r="E1" s="207"/>
      <c r="F1" s="207"/>
      <c r="G1" s="207"/>
      <c r="I1" s="206" t="s">
        <v>619</v>
      </c>
      <c r="J1" s="207"/>
      <c r="K1" s="207"/>
      <c r="L1" s="207"/>
      <c r="M1" s="207"/>
      <c r="N1" s="207"/>
    </row>
    <row r="2" spans="2:16" x14ac:dyDescent="0.2">
      <c r="B2" s="103"/>
      <c r="I2" s="36"/>
    </row>
    <row r="3" spans="2:16" ht="16" x14ac:dyDescent="0.2">
      <c r="B3" s="10" t="s">
        <v>4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12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</row>
    <row r="4" spans="2:16" ht="16" x14ac:dyDescent="0.2">
      <c r="B4" s="5" cm="1">
        <f t="array" ref="B4">IF(EDATE(StartDate36M,ROW(AssetMonthlyReturns[#This Row])-ROW(AssetMonthlyReturns[#Headers])-1)&lt;=EndDate36M,EDATE(StartDate36M,ROW(AssetMonthlyReturns[#This Row])-ROW(AssetMonthlyReturns[#Headers])-1),"")</f>
        <v>44927</v>
      </c>
      <c r="C4" s="2">
        <f>_xlfn.XLOOKUP(AssetMonthlyReturns36M[[#This Row],[Date]],SPY_Table[Date],SPY_Table[Monthly Return])</f>
        <v>6.776553908848415E-2</v>
      </c>
      <c r="D4" s="2">
        <f>_xlfn.XLOOKUP(AssetMonthlyReturns36M[[#This Row],[Date]],AGG_Table[Date],AGG_Table[Monthly Return])</f>
        <v>3.803687748279172E-2</v>
      </c>
      <c r="E4" s="2">
        <f>_xlfn.XLOOKUP(AssetMonthlyReturns36M[[#This Row],[Date]],GLD_Table[Date],GLD_Table[Monthly Return])</f>
        <v>5.7592574478634528E-2</v>
      </c>
      <c r="F4" s="2">
        <f>_xlfn.XLOOKUP(AssetMonthlyReturns36M[[#This Row],[Date]],VNQ_Table[Date],VNQ_Table[Monthly Return])</f>
        <v>0.11962929736779015</v>
      </c>
      <c r="G4" s="6">
        <f>_xlfn.XLOOKUP(AssetMonthlyReturns36M[[#This Row],[Date]],PE_Table[Date],PE_Table[Monthly Return])</f>
        <v>-1.0169872239012001E-2</v>
      </c>
      <c r="I4" s="13" t="s">
        <v>8</v>
      </c>
      <c r="J4" s="3">
        <f>CORREL(AssetMonthlyReturns36M[SPY],AssetMonthlyReturns36M[SPY])</f>
        <v>1</v>
      </c>
      <c r="K4" s="3">
        <f>CORREL(AssetMonthlyReturns36M[SPY],AssetMonthlyReturns36M[AGG])</f>
        <v>0.62672598193563589</v>
      </c>
      <c r="L4" s="3">
        <f>CORREL(AssetMonthlyReturns36M[SPY],AssetMonthlyReturns36M[GLD])</f>
        <v>5.011766083416495E-3</v>
      </c>
      <c r="M4" s="3">
        <f>CORREL(AssetMonthlyReturns36M[SPY],AssetMonthlyReturns36M[VNQ])</f>
        <v>0.73777620875255323</v>
      </c>
      <c r="N4" s="3">
        <f>CORREL(AssetMonthlyReturns36M[SPY],AssetMonthlyReturns36M[PE])</f>
        <v>0.19509764644138755</v>
      </c>
      <c r="P4" s="157"/>
    </row>
    <row r="5" spans="2:16" ht="16" x14ac:dyDescent="0.2">
      <c r="B5" s="5" cm="1">
        <f t="array" ref="B5">IF(EDATE(StartDate36M,ROW(AssetMonthlyReturns[#This Row])-ROW(AssetMonthlyReturns[#Headers])-1)&lt;=EndDate36M,EDATE(StartDate36M,ROW(AssetMonthlyReturns[#This Row])-ROW(AssetMonthlyReturns[#Headers])-1),"")</f>
        <v>44958</v>
      </c>
      <c r="C5" s="2">
        <f>_xlfn.XLOOKUP(AssetMonthlyReturns36M[[#This Row],[Date]],SPY_Table[Date],SPY_Table[Monthly Return])</f>
        <v>-2.5149485462057641E-2</v>
      </c>
      <c r="D5" s="2">
        <f>_xlfn.XLOOKUP(AssetMonthlyReturns36M[[#This Row],[Date]],AGG_Table[Date],AGG_Table[Monthly Return])</f>
        <v>-2.9035822470786621E-2</v>
      </c>
      <c r="E5" s="2">
        <f>_xlfn.XLOOKUP(AssetMonthlyReturns36M[[#This Row],[Date]],GLD_Table[Date],GLD_Table[Monthly Return])</f>
        <v>-5.3675964000885923E-2</v>
      </c>
      <c r="F5" s="2">
        <f>_xlfn.XLOOKUP(AssetMonthlyReturns36M[[#This Row],[Date]],VNQ_Table[Date],VNQ_Table[Monthly Return])</f>
        <v>-5.8642749925546855E-2</v>
      </c>
      <c r="G5" s="6">
        <f>_xlfn.XLOOKUP(AssetMonthlyReturns36M[[#This Row],[Date]],PE_Table[Date],PE_Table[Monthly Return])</f>
        <v>-4.035140476655763E-3</v>
      </c>
      <c r="I5" s="13" t="s">
        <v>9</v>
      </c>
      <c r="J5" s="3">
        <f>CORREL(AssetMonthlyReturns36M[AGG],AssetMonthlyReturns36M[SPY])</f>
        <v>0.62672598193563589</v>
      </c>
      <c r="K5" s="3">
        <f>CORREL(AssetMonthlyReturns36M[AGG],AssetMonthlyReturns36M[AGG])</f>
        <v>1</v>
      </c>
      <c r="L5" s="3">
        <f>CORREL(AssetMonthlyReturns36M[AGG],AssetMonthlyReturns36M[GLD])</f>
        <v>0.37221998239080645</v>
      </c>
      <c r="M5" s="3">
        <f>CORREL(AssetMonthlyReturns36M[AGG],AssetMonthlyReturns36M[VNQ])</f>
        <v>0.79694204567143478</v>
      </c>
      <c r="N5" s="3">
        <f>CORREL(AssetMonthlyReturns36M[AGG],AssetMonthlyReturns36M[PE])</f>
        <v>-6.965433683143861E-2</v>
      </c>
      <c r="P5" s="157"/>
    </row>
    <row r="6" spans="2:16" ht="16" x14ac:dyDescent="0.2">
      <c r="B6" s="5" cm="1">
        <f t="array" ref="B6">IF(EDATE(StartDate36M,ROW(AssetMonthlyReturns[#This Row])-ROW(AssetMonthlyReturns[#Headers])-1)&lt;=EndDate36M,EDATE(StartDate36M,ROW(AssetMonthlyReturns[#This Row])-ROW(AssetMonthlyReturns[#Headers])-1),"")</f>
        <v>44986</v>
      </c>
      <c r="C6" s="2">
        <f>_xlfn.XLOOKUP(AssetMonthlyReturns36M[[#This Row],[Date]],SPY_Table[Date],SPY_Table[Monthly Return])</f>
        <v>3.3144421220582032E-2</v>
      </c>
      <c r="D6" s="2">
        <f>_xlfn.XLOOKUP(AssetMonthlyReturns36M[[#This Row],[Date]],AGG_Table[Date],AGG_Table[Monthly Return])</f>
        <v>2.6453198876295048E-2</v>
      </c>
      <c r="E6" s="2">
        <f>_xlfn.XLOOKUP(AssetMonthlyReturns36M[[#This Row],[Date]],GLD_Table[Date],GLD_Table[Monthly Return])</f>
        <v>7.9161282218126683E-2</v>
      </c>
      <c r="F6" s="2">
        <f>_xlfn.XLOOKUP(AssetMonthlyReturns36M[[#This Row],[Date]],VNQ_Table[Date],VNQ_Table[Monthly Return])</f>
        <v>-3.12643557963459E-2</v>
      </c>
      <c r="G6" s="6">
        <f>_xlfn.XLOOKUP(AssetMonthlyReturns36M[[#This Row],[Date]],PE_Table[Date],PE_Table[Monthly Return])</f>
        <v>2.4308042102954897E-2</v>
      </c>
      <c r="I6" s="13" t="s">
        <v>10</v>
      </c>
      <c r="J6" s="3">
        <f>CORREL(AssetMonthlyReturns36M[GLD],AssetMonthlyReturns36M[SPY])</f>
        <v>5.011766083416495E-3</v>
      </c>
      <c r="K6" s="3">
        <f>CORREL(AssetMonthlyReturns36M[GLD],AssetMonthlyReturns36M[AGG])</f>
        <v>0.37221998239080645</v>
      </c>
      <c r="L6" s="3">
        <f>CORREL(AssetMonthlyReturns36M[GLD],AssetMonthlyReturns36M[GLD])</f>
        <v>1</v>
      </c>
      <c r="M6" s="3">
        <f>CORREL(AssetMonthlyReturns36M[GLD],AssetMonthlyReturns36M[VNQ])</f>
        <v>0.19321041144762702</v>
      </c>
      <c r="N6" s="3">
        <f>CORREL(AssetMonthlyReturns36M[GLD],AssetMonthlyReturns36M[PE])</f>
        <v>-0.15525451379733143</v>
      </c>
      <c r="P6" s="157"/>
    </row>
    <row r="7" spans="2:16" ht="16" x14ac:dyDescent="0.2">
      <c r="B7" s="5" cm="1">
        <f t="array" ref="B7">IF(EDATE(StartDate36M,ROW(AssetMonthlyReturns[#This Row])-ROW(AssetMonthlyReturns[#Headers])-1)&lt;=EndDate36M,EDATE(StartDate36M,ROW(AssetMonthlyReturns[#This Row])-ROW(AssetMonthlyReturns[#Headers])-1),"")</f>
        <v>45017</v>
      </c>
      <c r="C7" s="2">
        <f>_xlfn.XLOOKUP(AssetMonthlyReturns36M[[#This Row],[Date]],SPY_Table[Date],SPY_Table[Monthly Return])</f>
        <v>1.985249314393589E-2</v>
      </c>
      <c r="D7" s="2">
        <f>_xlfn.XLOOKUP(AssetMonthlyReturns36M[[#This Row],[Date]],AGG_Table[Date],AGG_Table[Monthly Return])</f>
        <v>5.6299916609803269E-3</v>
      </c>
      <c r="E7" s="2">
        <f>_xlfn.XLOOKUP(AssetMonthlyReturns36M[[#This Row],[Date]],GLD_Table[Date],GLD_Table[Monthly Return])</f>
        <v>8.6235230305193866E-3</v>
      </c>
      <c r="F7" s="2">
        <f>_xlfn.XLOOKUP(AssetMonthlyReturns36M[[#This Row],[Date]],VNQ_Table[Date],VNQ_Table[Monthly Return])</f>
        <v>1.3185683279083094E-2</v>
      </c>
      <c r="G7" s="6">
        <f>_xlfn.XLOOKUP(AssetMonthlyReturns36M[[#This Row],[Date]],PE_Table[Date],PE_Table[Monthly Return])</f>
        <v>1.2575021976982459E-2</v>
      </c>
      <c r="I7" s="13" t="s">
        <v>11</v>
      </c>
      <c r="J7" s="3">
        <f>CORREL(AssetMonthlyReturns36M[VNQ],AssetMonthlyReturns36M[SPY])</f>
        <v>0.73777620875255323</v>
      </c>
      <c r="K7" s="3">
        <f>CORREL(AssetMonthlyReturns36M[VNQ],AssetMonthlyReturns36M[AGG])</f>
        <v>0.79694204567143478</v>
      </c>
      <c r="L7" s="3">
        <f>CORREL(AssetMonthlyReturns36M[VNQ],AssetMonthlyReturns36M[GLD])</f>
        <v>0.19321041144762702</v>
      </c>
      <c r="M7" s="3">
        <f>CORREL(AssetMonthlyReturns36M[VNQ],AssetMonthlyReturns36M[VNQ])</f>
        <v>1</v>
      </c>
      <c r="N7" s="3">
        <f>CORREL(AssetMonthlyReturns36M[VNQ],AssetMonthlyReturns36M[PE])</f>
        <v>-0.10085913679441157</v>
      </c>
      <c r="P7" s="157"/>
    </row>
    <row r="8" spans="2:16" ht="16" x14ac:dyDescent="0.2">
      <c r="B8" s="5" cm="1">
        <f t="array" ref="B8">IF(EDATE(StartDate36M,ROW(AssetMonthlyReturns[#This Row])-ROW(AssetMonthlyReturns[#Headers])-1)&lt;=EndDate36M,EDATE(StartDate36M,ROW(AssetMonthlyReturns[#This Row])-ROW(AssetMonthlyReturns[#Headers])-1),"")</f>
        <v>45047</v>
      </c>
      <c r="C8" s="2">
        <f>_xlfn.XLOOKUP(AssetMonthlyReturns36M[[#This Row],[Date]],SPY_Table[Date],SPY_Table[Monthly Return])</f>
        <v>4.6163098890819043E-3</v>
      </c>
      <c r="D8" s="2">
        <f>_xlfn.XLOOKUP(AssetMonthlyReturns36M[[#This Row],[Date]],AGG_Table[Date],AGG_Table[Monthly Return])</f>
        <v>-1.1405434185909447E-2</v>
      </c>
      <c r="E8" s="2">
        <f>_xlfn.XLOOKUP(AssetMonthlyReturns36M[[#This Row],[Date]],GLD_Table[Date],GLD_Table[Monthly Return])</f>
        <v>-1.3419890467523565E-2</v>
      </c>
      <c r="F8" s="2">
        <f>_xlfn.XLOOKUP(AssetMonthlyReturns36M[[#This Row],[Date]],VNQ_Table[Date],VNQ_Table[Monthly Return])</f>
        <v>-3.9615971491110402E-2</v>
      </c>
      <c r="G8" s="6">
        <f>_xlfn.XLOOKUP(AssetMonthlyReturns36M[[#This Row],[Date]],PE_Table[Date],PE_Table[Monthly Return])</f>
        <v>-4.5952041337916638E-3</v>
      </c>
      <c r="I8" s="13" t="s">
        <v>12</v>
      </c>
      <c r="J8" s="3">
        <f>CORREL(AssetMonthlyReturns36M[PE],AssetMonthlyReturns36M[SPY])</f>
        <v>0.19509764644138755</v>
      </c>
      <c r="K8" s="3">
        <f>CORREL(AssetMonthlyReturns36M[PE],AssetMonthlyReturns36M[AGG])</f>
        <v>-6.965433683143861E-2</v>
      </c>
      <c r="L8" s="3">
        <f>CORREL(AssetMonthlyReturns36M[PE],AssetMonthlyReturns36M[GLD])</f>
        <v>-0.15525451379733143</v>
      </c>
      <c r="M8" s="3">
        <f>CORREL(AssetMonthlyReturns36M[PE],AssetMonthlyReturns36M[VNQ])</f>
        <v>-0.10085913679441157</v>
      </c>
      <c r="N8" s="3">
        <f>CORREL(AssetMonthlyReturns36M[PE],AssetMonthlyReturns36M[PE])</f>
        <v>1.0000000000000002</v>
      </c>
      <c r="P8" s="157"/>
    </row>
    <row r="9" spans="2:16" x14ac:dyDescent="0.2">
      <c r="B9" s="5" cm="1">
        <f t="array" ref="B9">IF(EDATE(StartDate36M,ROW(AssetMonthlyReturns[#This Row])-ROW(AssetMonthlyReturns[#Headers])-1)&lt;=EndDate36M,EDATE(StartDate36M,ROW(AssetMonthlyReturns[#This Row])-ROW(AssetMonthlyReturns[#Headers])-1),"")</f>
        <v>45078</v>
      </c>
      <c r="C9" s="2">
        <f>_xlfn.XLOOKUP(AssetMonthlyReturns36M[[#This Row],[Date]],SPY_Table[Date],SPY_Table[Monthly Return])</f>
        <v>6.0859142445290004E-2</v>
      </c>
      <c r="D9" s="2">
        <f>_xlfn.XLOOKUP(AssetMonthlyReturns36M[[#This Row],[Date]],AGG_Table[Date],AGG_Table[Monthly Return])</f>
        <v>-3.8084274453453748E-3</v>
      </c>
      <c r="E9" s="2">
        <f>_xlfn.XLOOKUP(AssetMonthlyReturns36M[[#This Row],[Date]],GLD_Table[Date],GLD_Table[Monthly Return])</f>
        <v>-2.2213705780166348E-2</v>
      </c>
      <c r="F9" s="2">
        <f>_xlfn.XLOOKUP(AssetMonthlyReturns36M[[#This Row],[Date]],VNQ_Table[Date],VNQ_Table[Monthly Return])</f>
        <v>4.4500075902199843E-2</v>
      </c>
      <c r="G9" s="6">
        <f>_xlfn.XLOOKUP(AssetMonthlyReturns36M[[#This Row],[Date]],PE_Table[Date],PE_Table[Monthly Return])</f>
        <v>1.6265348778053745E-2</v>
      </c>
    </row>
    <row r="10" spans="2:16" x14ac:dyDescent="0.2">
      <c r="B10" s="5" cm="1">
        <f t="array" ref="B10">IF(EDATE(StartDate36M,ROW(AssetMonthlyReturns[#This Row])-ROW(AssetMonthlyReturns[#Headers])-1)&lt;=EndDate36M,EDATE(StartDate36M,ROW(AssetMonthlyReturns[#This Row])-ROW(AssetMonthlyReturns[#Headers])-1),"")</f>
        <v>45108</v>
      </c>
      <c r="C10" s="2">
        <f>_xlfn.XLOOKUP(AssetMonthlyReturns36M[[#This Row],[Date]],SPY_Table[Date],SPY_Table[Monthly Return])</f>
        <v>3.6569353619386735E-2</v>
      </c>
      <c r="D10" s="2">
        <f>_xlfn.XLOOKUP(AssetMonthlyReturns36M[[#This Row],[Date]],AGG_Table[Date],AGG_Table[Monthly Return])</f>
        <v>-1.3923160526407852E-4</v>
      </c>
      <c r="E10" s="2">
        <f>_xlfn.XLOOKUP(AssetMonthlyReturns36M[[#This Row],[Date]],GLD_Table[Date],GLD_Table[Monthly Return])</f>
        <v>2.288664218089087E-2</v>
      </c>
      <c r="F10" s="2">
        <f>_xlfn.XLOOKUP(AssetMonthlyReturns36M[[#This Row],[Date]],VNQ_Table[Date],VNQ_Table[Monthly Return])</f>
        <v>3.1866528638401448E-2</v>
      </c>
      <c r="G10" s="6">
        <f>_xlfn.XLOOKUP(AssetMonthlyReturns36M[[#This Row],[Date]],PE_Table[Date],PE_Table[Monthly Return])</f>
        <v>7.941551326152485E-3</v>
      </c>
      <c r="I10" s="206" t="s">
        <v>658</v>
      </c>
      <c r="J10" s="207"/>
      <c r="K10" s="207"/>
      <c r="L10" s="207"/>
      <c r="M10" s="207"/>
      <c r="N10" s="207"/>
    </row>
    <row r="11" spans="2:16" x14ac:dyDescent="0.2">
      <c r="B11" s="5" cm="1">
        <f t="array" ref="B11">IF(EDATE(StartDate36M,ROW(AssetMonthlyReturns[#This Row])-ROW(AssetMonthlyReturns[#Headers])-1)&lt;=EndDate36M,EDATE(StartDate36M,ROW(AssetMonthlyReturns[#This Row])-ROW(AssetMonthlyReturns[#Headers])-1),"")</f>
        <v>45139</v>
      </c>
      <c r="C11" s="2">
        <f>_xlfn.XLOOKUP(AssetMonthlyReturns36M[[#This Row],[Date]],SPY_Table[Date],SPY_Table[Monthly Return])</f>
        <v>-1.6252076310640629E-2</v>
      </c>
      <c r="D11" s="2">
        <f>_xlfn.XLOOKUP(AssetMonthlyReturns36M[[#This Row],[Date]],AGG_Table[Date],AGG_Table[Monthly Return])</f>
        <v>-6.4225819737986356E-3</v>
      </c>
      <c r="E11" s="2">
        <f>_xlfn.XLOOKUP(AssetMonthlyReturns36M[[#This Row],[Date]],GLD_Table[Date],GLD_Table[Monthly Return])</f>
        <v>-1.2777634889259204E-2</v>
      </c>
      <c r="F11" s="2">
        <f>_xlfn.XLOOKUP(AssetMonthlyReturns36M[[#This Row],[Date]],VNQ_Table[Date],VNQ_Table[Monthly Return])</f>
        <v>-3.3779001585546364E-2</v>
      </c>
      <c r="G11" s="6">
        <f>_xlfn.XLOOKUP(AssetMonthlyReturns36M[[#This Row],[Date]],PE_Table[Date],PE_Table[Monthly Return])</f>
        <v>2.5372899598502974E-2</v>
      </c>
    </row>
    <row r="12" spans="2:16" ht="16" x14ac:dyDescent="0.2">
      <c r="B12" s="5" cm="1">
        <f t="array" ref="B12">IF(EDATE(StartDate36M,ROW(AssetMonthlyReturns[#This Row])-ROW(AssetMonthlyReturns[#Headers])-1)&lt;=EndDate36M,EDATE(StartDate36M,ROW(AssetMonthlyReturns[#This Row])-ROW(AssetMonthlyReturns[#Headers])-1),"")</f>
        <v>45170</v>
      </c>
      <c r="C12" s="2">
        <f>_xlfn.XLOOKUP(AssetMonthlyReturns36M[[#This Row],[Date]],SPY_Table[Date],SPY_Table[Monthly Return])</f>
        <v>-5.0782597250764838E-2</v>
      </c>
      <c r="D12" s="2">
        <f>_xlfn.XLOOKUP(AssetMonthlyReturns36M[[#This Row],[Date]],AGG_Table[Date],AGG_Table[Monthly Return])</f>
        <v>-2.586936308800325E-2</v>
      </c>
      <c r="E12" s="2">
        <f>_xlfn.XLOOKUP(AssetMonthlyReturns36M[[#This Row],[Date]],GLD_Table[Date],GLD_Table[Monthly Return])</f>
        <v>-4.760586154479951E-2</v>
      </c>
      <c r="F12" s="2">
        <f>_xlfn.XLOOKUP(AssetMonthlyReturns36M[[#This Row],[Date]],VNQ_Table[Date],VNQ_Table[Monthly Return])</f>
        <v>-8.1573265582406851E-2</v>
      </c>
      <c r="G12" s="6">
        <f>_xlfn.XLOOKUP(AssetMonthlyReturns36M[[#This Row],[Date]],PE_Table[Date],PE_Table[Monthly Return])</f>
        <v>-8.0410618223193397E-3</v>
      </c>
      <c r="J12" s="13" t="s">
        <v>8</v>
      </c>
      <c r="K12" s="13" t="s">
        <v>9</v>
      </c>
      <c r="L12" s="13" t="s">
        <v>10</v>
      </c>
      <c r="M12" s="13" t="s">
        <v>11</v>
      </c>
      <c r="N12" s="13" t="s">
        <v>12</v>
      </c>
    </row>
    <row r="13" spans="2:16" ht="16" x14ac:dyDescent="0.2">
      <c r="B13" s="5" cm="1">
        <f t="array" ref="B13">IF(EDATE(StartDate36M,ROW(AssetMonthlyReturns[#This Row])-ROW(AssetMonthlyReturns[#Headers])-1)&lt;=EndDate36M,EDATE(StartDate36M,ROW(AssetMonthlyReturns[#This Row])-ROW(AssetMonthlyReturns[#Headers])-1),"")</f>
        <v>45200</v>
      </c>
      <c r="C13" s="2">
        <f>_xlfn.XLOOKUP(AssetMonthlyReturns36M[[#This Row],[Date]],SPY_Table[Date],SPY_Table[Monthly Return])</f>
        <v>-1.8257790934646079E-2</v>
      </c>
      <c r="D13" s="2">
        <f>_xlfn.XLOOKUP(AssetMonthlyReturns36M[[#This Row],[Date]],AGG_Table[Date],AGG_Table[Monthly Return])</f>
        <v>-1.5752928857586612E-2</v>
      </c>
      <c r="E13" s="2">
        <f>_xlfn.XLOOKUP(AssetMonthlyReturns36M[[#This Row],[Date]],GLD_Table[Date],GLD_Table[Monthly Return])</f>
        <v>7.37241156520545E-2</v>
      </c>
      <c r="F13" s="2">
        <f>_xlfn.XLOOKUP(AssetMonthlyReturns36M[[#This Row],[Date]],VNQ_Table[Date],VNQ_Table[Monthly Return])</f>
        <v>-2.6837780007632261E-2</v>
      </c>
      <c r="G13" s="6">
        <f>_xlfn.XLOOKUP(AssetMonthlyReturns36M[[#This Row],[Date]],PE_Table[Date],PE_Table[Monthly Return])</f>
        <v>-5.5324313562465921E-4</v>
      </c>
      <c r="I13" s="13" t="s">
        <v>8</v>
      </c>
      <c r="J13" s="3">
        <f>_xlfn.COVARIANCE.S(AssetMonthlyReturns36M[SPY],AssetMonthlyReturns36M[SPY])*12</f>
        <v>1.4252260288106753E-2</v>
      </c>
      <c r="K13" s="3">
        <f>_xlfn.COVARIANCE.S(AssetMonthlyReturns36M[SPY],AssetMonthlyReturns36M[AGG])*12</f>
        <v>4.6931006983576169E-3</v>
      </c>
      <c r="L13" s="3">
        <f>_xlfn.COVARIANCE.S(AssetMonthlyReturns36M[SPY],AssetMonthlyReturns36M[GLD])*12</f>
        <v>8.3068660363617194E-5</v>
      </c>
      <c r="M13" s="3">
        <f>_xlfn.COVARIANCE.S(AssetMonthlyReturns36M[SPY],AssetMonthlyReturns36M[VNQ])*12</f>
        <v>1.5525223177046559E-2</v>
      </c>
      <c r="N13" s="3">
        <f>_xlfn.COVARIANCE.S(AssetMonthlyReturns36M[SPY],AssetMonthlyReturns36M[PE])*12</f>
        <v>1.4000683879343615E-3</v>
      </c>
      <c r="P13" s="157"/>
    </row>
    <row r="14" spans="2:16" ht="16" x14ac:dyDescent="0.2">
      <c r="B14" s="5" cm="1">
        <f t="array" ref="B14">IF(EDATE(StartDate36M,ROW(AssetMonthlyReturns[#This Row])-ROW(AssetMonthlyReturns[#Headers])-1)&lt;=EndDate36M,EDATE(StartDate36M,ROW(AssetMonthlyReturns[#This Row])-ROW(AssetMonthlyReturns[#Headers])-1),"")</f>
        <v>45231</v>
      </c>
      <c r="C14" s="2">
        <f>_xlfn.XLOOKUP(AssetMonthlyReturns36M[[#This Row],[Date]],SPY_Table[Date],SPY_Table[Monthly Return])</f>
        <v>9.1343798267642384E-2</v>
      </c>
      <c r="D14" s="2">
        <f>_xlfn.XLOOKUP(AssetMonthlyReturns36M[[#This Row],[Date]],AGG_Table[Date],AGG_Table[Monthly Return])</f>
        <v>4.5648028105086391E-2</v>
      </c>
      <c r="E14" s="2">
        <f>_xlfn.XLOOKUP(AssetMonthlyReturns36M[[#This Row],[Date]],GLD_Table[Date],GLD_Table[Monthly Return])</f>
        <v>2.5313725860507397E-2</v>
      </c>
      <c r="F14" s="2">
        <f>_xlfn.XLOOKUP(AssetMonthlyReturns36M[[#This Row],[Date]],VNQ_Table[Date],VNQ_Table[Monthly Return])</f>
        <v>0.12081741697894555</v>
      </c>
      <c r="G14" s="6">
        <f>_xlfn.XLOOKUP(AssetMonthlyReturns36M[[#This Row],[Date]],PE_Table[Date],PE_Table[Monthly Return])</f>
        <v>-1.8421631769767188E-3</v>
      </c>
      <c r="I14" s="13" t="s">
        <v>9</v>
      </c>
      <c r="J14" s="3">
        <f>_xlfn.COVARIANCE.S(AssetMonthlyReturns36M[AGG],AssetMonthlyReturns36M[SPY])*12</f>
        <v>4.6931006983576169E-3</v>
      </c>
      <c r="K14" s="3">
        <f>_xlfn.COVARIANCE.S(AssetMonthlyReturns36M[AGG],AssetMonthlyReturns36M[AGG])*12</f>
        <v>3.9344189350523136E-3</v>
      </c>
      <c r="L14" s="3">
        <f>_xlfn.COVARIANCE.S(AssetMonthlyReturns36M[AGG],AssetMonthlyReturns36M[GLD])*12</f>
        <v>3.2414888072310184E-3</v>
      </c>
      <c r="M14" s="3">
        <f>_xlfn.COVARIANCE.S(AssetMonthlyReturns36M[AGG],AssetMonthlyReturns36M[VNQ])*12</f>
        <v>8.8112672543056141E-3</v>
      </c>
      <c r="N14" s="3">
        <f>_xlfn.COVARIANCE.S(AssetMonthlyReturns36M[AGG],AssetMonthlyReturns36M[PE])*12</f>
        <v>-2.6262968292593901E-4</v>
      </c>
      <c r="P14" s="157"/>
    </row>
    <row r="15" spans="2:16" ht="16" x14ac:dyDescent="0.2">
      <c r="B15" s="5" cm="1">
        <f t="array" ref="B15">IF(EDATE(StartDate36M,ROW(AssetMonthlyReturns[#This Row])-ROW(AssetMonthlyReturns[#Headers])-1)&lt;=EndDate36M,EDATE(StartDate36M,ROW(AssetMonthlyReturns[#This Row])-ROW(AssetMonthlyReturns[#Headers])-1),"")</f>
        <v>45261</v>
      </c>
      <c r="C15" s="2">
        <f>_xlfn.XLOOKUP(AssetMonthlyReturns36M[[#This Row],[Date]],SPY_Table[Date],SPY_Table[Monthly Return])</f>
        <v>4.1432944161634566E-2</v>
      </c>
      <c r="D15" s="2">
        <f>_xlfn.XLOOKUP(AssetMonthlyReturns36M[[#This Row],[Date]],AGG_Table[Date],AGG_Table[Monthly Return])</f>
        <v>3.4164866444140074E-2</v>
      </c>
      <c r="E15" s="2">
        <f>_xlfn.XLOOKUP(AssetMonthlyReturns36M[[#This Row],[Date]],GLD_Table[Date],GLD_Table[Monthly Return])</f>
        <v>1.2821182516556284E-2</v>
      </c>
      <c r="F15" s="2">
        <f>_xlfn.XLOOKUP(AssetMonthlyReturns36M[[#This Row],[Date]],VNQ_Table[Date],VNQ_Table[Monthly Return])</f>
        <v>8.1120680916573429E-2</v>
      </c>
      <c r="G15" s="6">
        <f>_xlfn.XLOOKUP(AssetMonthlyReturns36M[[#This Row],[Date]],PE_Table[Date],PE_Table[Monthly Return])</f>
        <v>-2.3270298483091811E-2</v>
      </c>
      <c r="I15" s="13" t="s">
        <v>10</v>
      </c>
      <c r="J15" s="3">
        <f>_xlfn.COVARIANCE.S(AssetMonthlyReturns36M[GLD],AssetMonthlyReturns36M[SPY])*12</f>
        <v>8.3068660363617194E-5</v>
      </c>
      <c r="K15" s="3">
        <f>_xlfn.COVARIANCE.S(AssetMonthlyReturns36M[GLD],AssetMonthlyReturns36M[AGG])*12</f>
        <v>3.2414888072310184E-3</v>
      </c>
      <c r="L15" s="3">
        <f>_xlfn.COVARIANCE.S(AssetMonthlyReturns36M[GLD],AssetMonthlyReturns36M[GLD])*12</f>
        <v>1.9275652251503628E-2</v>
      </c>
      <c r="M15" s="3">
        <f>_xlfn.COVARIANCE.S(AssetMonthlyReturns36M[GLD],AssetMonthlyReturns36M[VNQ])*12</f>
        <v>4.7283149801631182E-3</v>
      </c>
      <c r="N15" s="3">
        <f>_xlfn.COVARIANCE.S(AssetMonthlyReturns36M[GLD],AssetMonthlyReturns36M[PE])*12</f>
        <v>-1.2956990003655808E-3</v>
      </c>
      <c r="P15" s="157"/>
    </row>
    <row r="16" spans="2:16" ht="16" x14ac:dyDescent="0.2">
      <c r="B16" s="5" cm="1">
        <f t="array" ref="B16">IF(EDATE(StartDate36M,ROW(AssetMonthlyReturns[#This Row])-ROW(AssetMonthlyReturns[#Headers])-1)&lt;=EndDate36M,EDATE(StartDate36M,ROW(AssetMonthlyReturns[#This Row])-ROW(AssetMonthlyReturns[#Headers])-1),"")</f>
        <v>45292</v>
      </c>
      <c r="C16" s="2">
        <f>_xlfn.XLOOKUP(AssetMonthlyReturns36M[[#This Row],[Date]],SPY_Table[Date],SPY_Table[Monthly Return])</f>
        <v>2.0045423433719955E-2</v>
      </c>
      <c r="D16" s="2">
        <f>_xlfn.XLOOKUP(AssetMonthlyReturns36M[[#This Row],[Date]],AGG_Table[Date],AGG_Table[Monthly Return])</f>
        <v>4.2167374155779314E-3</v>
      </c>
      <c r="E16" s="2">
        <f>_xlfn.XLOOKUP(AssetMonthlyReturns36M[[#This Row],[Date]],GLD_Table[Date],GLD_Table[Monthly Return])</f>
        <v>-1.4228180810852864E-2</v>
      </c>
      <c r="F16" s="2">
        <f>_xlfn.XLOOKUP(AssetMonthlyReturns36M[[#This Row],[Date]],VNQ_Table[Date],VNQ_Table[Monthly Return])</f>
        <v>-3.8879990164319755E-2</v>
      </c>
      <c r="G16" s="6">
        <f>_xlfn.XLOOKUP(AssetMonthlyReturns36M[[#This Row],[Date]],PE_Table[Date],PE_Table[Monthly Return])</f>
        <v>1.1922405461519681E-2</v>
      </c>
      <c r="I16" s="13" t="s">
        <v>11</v>
      </c>
      <c r="J16" s="3">
        <f>_xlfn.COVARIANCE.S(AssetMonthlyReturns36M[VNQ],AssetMonthlyReturns36M[SPY])*12</f>
        <v>1.5525223177046559E-2</v>
      </c>
      <c r="K16" s="3">
        <f>_xlfn.COVARIANCE.S(AssetMonthlyReturns36M[VNQ],AssetMonthlyReturns36M[AGG])*12</f>
        <v>8.8112672543056141E-3</v>
      </c>
      <c r="L16" s="3">
        <f>_xlfn.COVARIANCE.S(AssetMonthlyReturns36M[VNQ],AssetMonthlyReturns36M[GLD])*12</f>
        <v>4.7283149801631182E-3</v>
      </c>
      <c r="M16" s="3">
        <f>_xlfn.COVARIANCE.S(AssetMonthlyReturns36M[VNQ],AssetMonthlyReturns36M[VNQ])*12</f>
        <v>3.1070101068699733E-2</v>
      </c>
      <c r="N16" s="3">
        <f>_xlfn.COVARIANCE.S(AssetMonthlyReturns36M[VNQ],AssetMonthlyReturns36M[PE])*12</f>
        <v>-1.0686658385845617E-3</v>
      </c>
      <c r="P16" s="157"/>
    </row>
    <row r="17" spans="2:16" ht="16" x14ac:dyDescent="0.2">
      <c r="B17" s="5" cm="1">
        <f t="array" ref="B17">IF(EDATE(StartDate36M,ROW(AssetMonthlyReturns[#This Row])-ROW(AssetMonthlyReturns[#Headers])-1)&lt;=EndDate36M,EDATE(StartDate36M,ROW(AssetMonthlyReturns[#This Row])-ROW(AssetMonthlyReturns[#Headers])-1),"")</f>
        <v>45323</v>
      </c>
      <c r="C17" s="2">
        <f>_xlfn.XLOOKUP(AssetMonthlyReturns36M[[#This Row],[Date]],SPY_Table[Date],SPY_Table[Monthly Return])</f>
        <v>5.2186956608417878E-2</v>
      </c>
      <c r="D17" s="2">
        <f>_xlfn.XLOOKUP(AssetMonthlyReturns36M[[#This Row],[Date]],AGG_Table[Date],AGG_Table[Monthly Return])</f>
        <v>-1.7658956720855157E-2</v>
      </c>
      <c r="E17" s="2">
        <f>_xlfn.XLOOKUP(AssetMonthlyReturns36M[[#This Row],[Date]],GLD_Table[Date],GLD_Table[Monthly Return])</f>
        <v>4.56354849640217E-3</v>
      </c>
      <c r="F17" s="2">
        <f>_xlfn.XLOOKUP(AssetMonthlyReturns36M[[#This Row],[Date]],VNQ_Table[Date],VNQ_Table[Monthly Return])</f>
        <v>1.9787816720017171E-2</v>
      </c>
      <c r="G17" s="6">
        <f>_xlfn.XLOOKUP(AssetMonthlyReturns36M[[#This Row],[Date]],PE_Table[Date],PE_Table[Monthly Return])</f>
        <v>1.1221104940101867E-2</v>
      </c>
      <c r="I17" s="13" t="s">
        <v>12</v>
      </c>
      <c r="J17" s="3">
        <f>_xlfn.COVARIANCE.S(AssetMonthlyReturns36M[PE],AssetMonthlyReturns36M[SPY])*12</f>
        <v>1.4000683879343615E-3</v>
      </c>
      <c r="K17" s="3">
        <f>_xlfn.COVARIANCE.S(AssetMonthlyReturns36M[PE],AssetMonthlyReturns36M[AGG])*12</f>
        <v>-2.6262968292593901E-4</v>
      </c>
      <c r="L17" s="3">
        <f>_xlfn.COVARIANCE.S(AssetMonthlyReturns36M[PE],AssetMonthlyReturns36M[GLD])*12</f>
        <v>-1.2956990003655808E-3</v>
      </c>
      <c r="M17" s="3">
        <f>_xlfn.COVARIANCE.S(AssetMonthlyReturns36M[PE],AssetMonthlyReturns36M[VNQ])*12</f>
        <v>-1.0686658385845617E-3</v>
      </c>
      <c r="N17" s="3">
        <f>_xlfn.COVARIANCE.S(AssetMonthlyReturns36M[PE],AssetMonthlyReturns36M[PE])*12</f>
        <v>3.6133555165874208E-3</v>
      </c>
      <c r="P17" s="157"/>
    </row>
    <row r="18" spans="2:16" x14ac:dyDescent="0.2">
      <c r="B18" s="5" cm="1">
        <f t="array" ref="B18">IF(EDATE(StartDate36M,ROW(AssetMonthlyReturns[#This Row])-ROW(AssetMonthlyReturns[#Headers])-1)&lt;=EndDate36M,EDATE(StartDate36M,ROW(AssetMonthlyReturns[#This Row])-ROW(AssetMonthlyReturns[#Headers])-1),"")</f>
        <v>45352</v>
      </c>
      <c r="C18" s="2">
        <f>_xlfn.XLOOKUP(AssetMonthlyReturns36M[[#This Row],[Date]],SPY_Table[Date],SPY_Table[Monthly Return])</f>
        <v>2.9501445114353153E-2</v>
      </c>
      <c r="D18" s="2">
        <f>_xlfn.XLOOKUP(AssetMonthlyReturns36M[[#This Row],[Date]],AGG_Table[Date],AGG_Table[Monthly Return])</f>
        <v>9.0439481879092121E-3</v>
      </c>
      <c r="E18" s="2">
        <f>_xlfn.XLOOKUP(AssetMonthlyReturns36M[[#This Row],[Date]],GLD_Table[Date],GLD_Table[Monthly Return])</f>
        <v>8.6683238117583716E-2</v>
      </c>
      <c r="F18" s="2">
        <f>_xlfn.XLOOKUP(AssetMonthlyReturns36M[[#This Row],[Date]],VNQ_Table[Date],VNQ_Table[Monthly Return])</f>
        <v>1.0870769671762703E-2</v>
      </c>
      <c r="G18" s="6">
        <f>_xlfn.XLOOKUP(AssetMonthlyReturns36M[[#This Row],[Date]],PE_Table[Date],PE_Table[Monthly Return])</f>
        <v>6.1022694133718858E-3</v>
      </c>
    </row>
    <row r="19" spans="2:16" x14ac:dyDescent="0.2">
      <c r="B19" s="5" cm="1">
        <f t="array" ref="B19">IF(EDATE(StartDate36M,ROW(AssetMonthlyReturns[#This Row])-ROW(AssetMonthlyReturns[#Headers])-1)&lt;=EndDate36M,EDATE(StartDate36M,ROW(AssetMonthlyReturns[#This Row])-ROW(AssetMonthlyReturns[#Headers])-1),"")</f>
        <v>45383</v>
      </c>
      <c r="C19" s="2">
        <f>_xlfn.XLOOKUP(AssetMonthlyReturns36M[[#This Row],[Date]],SPY_Table[Date],SPY_Table[Monthly Return])</f>
        <v>-3.7336288714125088E-2</v>
      </c>
      <c r="D19" s="2">
        <f>_xlfn.XLOOKUP(AssetMonthlyReturns36M[[#This Row],[Date]],AGG_Table[Date],AGG_Table[Monthly Return])</f>
        <v>-2.4804766376744225E-2</v>
      </c>
      <c r="E19" s="2">
        <f>_xlfn.XLOOKUP(AssetMonthlyReturns36M[[#This Row],[Date]],GLD_Table[Date],GLD_Table[Monthly Return])</f>
        <v>2.9894973090249133E-2</v>
      </c>
      <c r="F19" s="2">
        <f>_xlfn.XLOOKUP(AssetMonthlyReturns36M[[#This Row],[Date]],VNQ_Table[Date],VNQ_Table[Monthly Return])</f>
        <v>-7.1572651659581932E-2</v>
      </c>
      <c r="G19" s="6">
        <f>_xlfn.XLOOKUP(AssetMonthlyReturns36M[[#This Row],[Date]],PE_Table[Date],PE_Table[Monthly Return])</f>
        <v>1.3082576211600472E-3</v>
      </c>
    </row>
    <row r="20" spans="2:16" x14ac:dyDescent="0.2">
      <c r="B20" s="5" cm="1">
        <f t="array" ref="B20">IF(EDATE(StartDate36M,ROW(AssetMonthlyReturns[#This Row])-ROW(AssetMonthlyReturns[#Headers])-1)&lt;=EndDate36M,EDATE(StartDate36M,ROW(AssetMonthlyReturns[#This Row])-ROW(AssetMonthlyReturns[#Headers])-1),"")</f>
        <v>45413</v>
      </c>
      <c r="C20" s="2">
        <f>_xlfn.XLOOKUP(AssetMonthlyReturns36M[[#This Row],[Date]],SPY_Table[Date],SPY_Table[Monthly Return])</f>
        <v>5.0578980943918772E-2</v>
      </c>
      <c r="D20" s="2">
        <f>_xlfn.XLOOKUP(AssetMonthlyReturns36M[[#This Row],[Date]],AGG_Table[Date],AGG_Table[Monthly Return])</f>
        <v>1.6555943751073832E-2</v>
      </c>
      <c r="E20" s="2">
        <f>_xlfn.XLOOKUP(AssetMonthlyReturns36M[[#This Row],[Date]],GLD_Table[Date],GLD_Table[Monthly Return])</f>
        <v>1.6189210739260496E-2</v>
      </c>
      <c r="F20" s="2">
        <f>_xlfn.XLOOKUP(AssetMonthlyReturns36M[[#This Row],[Date]],VNQ_Table[Date],VNQ_Table[Monthly Return])</f>
        <v>4.559719970066034E-2</v>
      </c>
      <c r="G20" s="6">
        <f>_xlfn.XLOOKUP(AssetMonthlyReturns36M[[#This Row],[Date]],PE_Table[Date],PE_Table[Monthly Return])</f>
        <v>-2.2307415014918064E-2</v>
      </c>
    </row>
    <row r="21" spans="2:16" x14ac:dyDescent="0.2">
      <c r="B21" s="5" cm="1">
        <f t="array" ref="B21">IF(EDATE(StartDate36M,ROW(AssetMonthlyReturns[#This Row])-ROW(AssetMonthlyReturns[#Headers])-1)&lt;=EndDate36M,EDATE(StartDate36M,ROW(AssetMonthlyReturns[#This Row])-ROW(AssetMonthlyReturns[#Headers])-1),"")</f>
        <v>45444</v>
      </c>
      <c r="C21" s="2">
        <f>_xlfn.XLOOKUP(AssetMonthlyReturns36M[[#This Row],[Date]],SPY_Table[Date],SPY_Table[Monthly Return])</f>
        <v>3.1951674306580635E-2</v>
      </c>
      <c r="D21" s="2">
        <f>_xlfn.XLOOKUP(AssetMonthlyReturns36M[[#This Row],[Date]],AGG_Table[Date],AGG_Table[Monthly Return])</f>
        <v>8.8233634707342024E-3</v>
      </c>
      <c r="E21" s="2">
        <f>_xlfn.XLOOKUP(AssetMonthlyReturns36M[[#This Row],[Date]],GLD_Table[Date],GLD_Table[Monthly Return])</f>
        <v>-1.3469976582642929E-3</v>
      </c>
      <c r="F21" s="2">
        <f>_xlfn.XLOOKUP(AssetMonthlyReturns36M[[#This Row],[Date]],VNQ_Table[Date],VNQ_Table[Monthly Return])</f>
        <v>6.2471904087368912E-3</v>
      </c>
      <c r="G21" s="6">
        <f>_xlfn.XLOOKUP(AssetMonthlyReturns36M[[#This Row],[Date]],PE_Table[Date],PE_Table[Monthly Return])</f>
        <v>-2.412906733181841E-3</v>
      </c>
    </row>
    <row r="22" spans="2:16" x14ac:dyDescent="0.2">
      <c r="B22" s="5" cm="1">
        <f t="array" ref="B22">IF(EDATE(StartDate36M,ROW(AssetMonthlyReturns[#This Row])-ROW(AssetMonthlyReturns[#Headers])-1)&lt;=EndDate36M,EDATE(StartDate36M,ROW(AssetMonthlyReturns[#This Row])-ROW(AssetMonthlyReturns[#Headers])-1),"")</f>
        <v>45474</v>
      </c>
      <c r="C22" s="2">
        <f>_xlfn.XLOOKUP(AssetMonthlyReturns36M[[#This Row],[Date]],SPY_Table[Date],SPY_Table[Monthly Return])</f>
        <v>1.5374260607142531E-2</v>
      </c>
      <c r="D22" s="2">
        <f>_xlfn.XLOOKUP(AssetMonthlyReturns36M[[#This Row],[Date]],AGG_Table[Date],AGG_Table[Monthly Return])</f>
        <v>2.4220310103252984E-2</v>
      </c>
      <c r="E22" s="2">
        <f>_xlfn.XLOOKUP(AssetMonthlyReturns36M[[#This Row],[Date]],GLD_Table[Date],GLD_Table[Monthly Return])</f>
        <v>5.3671963607254458E-2</v>
      </c>
      <c r="F22" s="2">
        <f>_xlfn.XLOOKUP(AssetMonthlyReturns36M[[#This Row],[Date]],VNQ_Table[Date],VNQ_Table[Monthly Return])</f>
        <v>9.2811646944674697E-2</v>
      </c>
      <c r="G22" s="6">
        <f>_xlfn.XLOOKUP(AssetMonthlyReturns36M[[#This Row],[Date]],PE_Table[Date],PE_Table[Monthly Return])</f>
        <v>-8.5429014249160939E-4</v>
      </c>
    </row>
    <row r="23" spans="2:16" x14ac:dyDescent="0.2">
      <c r="B23" s="5" cm="1">
        <f t="array" ref="B23">IF(EDATE(StartDate36M,ROW(AssetMonthlyReturns[#This Row])-ROW(AssetMonthlyReturns[#Headers])-1)&lt;=EndDate36M,EDATE(StartDate36M,ROW(AssetMonthlyReturns[#This Row])-ROW(AssetMonthlyReturns[#Headers])-1),"")</f>
        <v>45505</v>
      </c>
      <c r="C23" s="2">
        <f>_xlfn.XLOOKUP(AssetMonthlyReturns36M[[#This Row],[Date]],SPY_Table[Date],SPY_Table[Monthly Return])</f>
        <v>2.3365548137615821E-2</v>
      </c>
      <c r="D23" s="2">
        <f>_xlfn.XLOOKUP(AssetMonthlyReturns36M[[#This Row],[Date]],AGG_Table[Date],AGG_Table[Monthly Return])</f>
        <v>1.4648783837899471E-2</v>
      </c>
      <c r="E23" s="2">
        <f>_xlfn.XLOOKUP(AssetMonthlyReturns36M[[#This Row],[Date]],GLD_Table[Date],GLD_Table[Monthly Return])</f>
        <v>2.0922490113177039E-2</v>
      </c>
      <c r="F23" s="2">
        <f>_xlfn.XLOOKUP(AssetMonthlyReturns36M[[#This Row],[Date]],VNQ_Table[Date],VNQ_Table[Monthly Return])</f>
        <v>5.2206512399954219E-2</v>
      </c>
      <c r="G23" s="6">
        <f>_xlfn.XLOOKUP(AssetMonthlyReturns36M[[#This Row],[Date]],PE_Table[Date],PE_Table[Monthly Return])</f>
        <v>-1.0045545202192363E-2</v>
      </c>
    </row>
    <row r="24" spans="2:16" x14ac:dyDescent="0.2">
      <c r="B24" s="5" cm="1">
        <f t="array" ref="B24">IF(EDATE(StartDate36M,ROW(AssetMonthlyReturns[#This Row])-ROW(AssetMonthlyReturns[#Headers])-1)&lt;=EndDate36M,EDATE(StartDate36M,ROW(AssetMonthlyReturns[#This Row])-ROW(AssetMonthlyReturns[#Headers])-1),"")</f>
        <v>45536</v>
      </c>
      <c r="C24" s="2">
        <f>_xlfn.XLOOKUP(AssetMonthlyReturns36M[[#This Row],[Date]],SPY_Table[Date],SPY_Table[Monthly Return])</f>
        <v>1.7891208169287909E-2</v>
      </c>
      <c r="D24" s="2">
        <f>_xlfn.XLOOKUP(AssetMonthlyReturns36M[[#This Row],[Date]],AGG_Table[Date],AGG_Table[Monthly Return])</f>
        <v>1.3282590658889815E-2</v>
      </c>
      <c r="E24" s="2">
        <f>_xlfn.XLOOKUP(AssetMonthlyReturns36M[[#This Row],[Date]],GLD_Table[Date],GLD_Table[Monthly Return])</f>
        <v>5.0888515028548742E-2</v>
      </c>
      <c r="F24" s="2">
        <f>_xlfn.XLOOKUP(AssetMonthlyReturns36M[[#This Row],[Date]],VNQ_Table[Date],VNQ_Table[Monthly Return])</f>
        <v>2.4072416489551385E-2</v>
      </c>
      <c r="G24" s="6">
        <f>_xlfn.XLOOKUP(AssetMonthlyReturns36M[[#This Row],[Date]],PE_Table[Date],PE_Table[Monthly Return])</f>
        <v>2.7742853129548717E-3</v>
      </c>
      <c r="I24" s="30"/>
    </row>
    <row r="25" spans="2:16" x14ac:dyDescent="0.2">
      <c r="B25" s="5" cm="1">
        <f t="array" ref="B25">IF(EDATE(StartDate36M,ROW(AssetMonthlyReturns[#This Row])-ROW(AssetMonthlyReturns[#Headers])-1)&lt;=EndDate36M,EDATE(StartDate36M,ROW(AssetMonthlyReturns[#This Row])-ROW(AssetMonthlyReturns[#Headers])-1),"")</f>
        <v>45566</v>
      </c>
      <c r="C25" s="2">
        <f>_xlfn.XLOOKUP(AssetMonthlyReturns36M[[#This Row],[Date]],SPY_Table[Date],SPY_Table[Monthly Return])</f>
        <v>-5.8920377258916412E-3</v>
      </c>
      <c r="D25" s="2">
        <f>_xlfn.XLOOKUP(AssetMonthlyReturns36M[[#This Row],[Date]],AGG_Table[Date],AGG_Table[Monthly Return])</f>
        <v>-2.5108380279028175E-2</v>
      </c>
      <c r="E25" s="2">
        <f>_xlfn.XLOOKUP(AssetMonthlyReturns36M[[#This Row],[Date]],GLD_Table[Date],GLD_Table[Monthly Return])</f>
        <v>4.2993487217906523E-2</v>
      </c>
      <c r="F25" s="2">
        <f>_xlfn.XLOOKUP(AssetMonthlyReturns36M[[#This Row],[Date]],VNQ_Table[Date],VNQ_Table[Monthly Return])</f>
        <v>-2.542701717529372E-2</v>
      </c>
      <c r="G25" s="6">
        <f>_xlfn.XLOOKUP(AssetMonthlyReturns36M[[#This Row],[Date]],PE_Table[Date],PE_Table[Monthly Return])</f>
        <v>1.4081017756595093E-2</v>
      </c>
    </row>
    <row r="26" spans="2:16" x14ac:dyDescent="0.2">
      <c r="B26" s="5" cm="1">
        <f t="array" ref="B26">IF(EDATE(StartDate36M,ROW(AssetMonthlyReturns[#This Row])-ROW(AssetMonthlyReturns[#Headers])-1)&lt;=EndDate36M,EDATE(StartDate36M,ROW(AssetMonthlyReturns[#This Row])-ROW(AssetMonthlyReturns[#Headers])-1),"")</f>
        <v>45597</v>
      </c>
      <c r="C26" s="2">
        <f>_xlfn.XLOOKUP(AssetMonthlyReturns36M[[#This Row],[Date]],SPY_Table[Date],SPY_Table[Monthly Return])</f>
        <v>5.963336231606009E-2</v>
      </c>
      <c r="D26" s="2">
        <f>_xlfn.XLOOKUP(AssetMonthlyReturns36M[[#This Row],[Date]],AGG_Table[Date],AGG_Table[Monthly Return])</f>
        <v>1.0990027488848586E-2</v>
      </c>
      <c r="E26" s="2">
        <f>_xlfn.XLOOKUP(AssetMonthlyReturns36M[[#This Row],[Date]],GLD_Table[Date],GLD_Table[Monthly Return])</f>
        <v>-3.1241364726549259E-2</v>
      </c>
      <c r="F26" s="2">
        <f>_xlfn.XLOOKUP(AssetMonthlyReturns36M[[#This Row],[Date]],VNQ_Table[Date],VNQ_Table[Monthly Return])</f>
        <v>4.2591622904090576E-2</v>
      </c>
      <c r="G26" s="6">
        <f>_xlfn.XLOOKUP(AssetMonthlyReturns36M[[#This Row],[Date]],PE_Table[Date],PE_Table[Monthly Return])</f>
        <v>4.3723717764157621E-2</v>
      </c>
    </row>
    <row r="27" spans="2:16" x14ac:dyDescent="0.2">
      <c r="B27" s="5" cm="1">
        <f t="array" ref="B27">IF(EDATE(StartDate36M,ROW(AssetMonthlyReturns[#This Row])-ROW(AssetMonthlyReturns[#Headers])-1)&lt;=EndDate36M,EDATE(StartDate36M,ROW(AssetMonthlyReturns[#This Row])-ROW(AssetMonthlyReturns[#Headers])-1),"")</f>
        <v>45627</v>
      </c>
      <c r="C27" s="2">
        <f>_xlfn.XLOOKUP(AssetMonthlyReturns36M[[#This Row],[Date]],SPY_Table[Date],SPY_Table[Monthly Return])</f>
        <v>-2.7333645619261882E-2</v>
      </c>
      <c r="D27" s="2">
        <f>_xlfn.XLOOKUP(AssetMonthlyReturns36M[[#This Row],[Date]],AGG_Table[Date],AGG_Table[Monthly Return])</f>
        <v>-2.00991181085447E-2</v>
      </c>
      <c r="E27" s="2">
        <f>_xlfn.XLOOKUP(AssetMonthlyReturns36M[[#This Row],[Date]],GLD_Table[Date],GLD_Table[Monthly Return])</f>
        <v>-1.4088486714147197E-2</v>
      </c>
      <c r="F27" s="2">
        <f>_xlfn.XLOOKUP(AssetMonthlyReturns36M[[#This Row],[Date]],VNQ_Table[Date],VNQ_Table[Monthly Return])</f>
        <v>-9.2502013594625621E-2</v>
      </c>
      <c r="G27" s="6">
        <f>_xlfn.XLOOKUP(AssetMonthlyReturns36M[[#This Row],[Date]],PE_Table[Date],PE_Table[Monthly Return])</f>
        <v>9.4915565286228798E-3</v>
      </c>
    </row>
    <row r="28" spans="2:16" x14ac:dyDescent="0.2">
      <c r="B28" s="5" cm="1">
        <f t="array" ref="B28">IF(EDATE(StartDate36M,ROW(AssetMonthlyReturns[#This Row])-ROW(AssetMonthlyReturns[#Headers])-1)&lt;=EndDate36M,EDATE(StartDate36M,ROW(AssetMonthlyReturns[#This Row])-ROW(AssetMonthlyReturns[#Headers])-1),"")</f>
        <v>45658</v>
      </c>
      <c r="C28" s="2">
        <f>_xlfn.XLOOKUP(AssetMonthlyReturns36M[[#This Row],[Date]],SPY_Table[Date],SPY_Table[Monthly Return])</f>
        <v>3.031224011571787E-2</v>
      </c>
      <c r="D28" s="2">
        <f>_xlfn.XLOOKUP(AssetMonthlyReturns36M[[#This Row],[Date]],AGG_Table[Date],AGG_Table[Monthly Return])</f>
        <v>1.1592684897765659E-2</v>
      </c>
      <c r="E28" s="2">
        <f>_xlfn.XLOOKUP(AssetMonthlyReturns36M[[#This Row],[Date]],GLD_Table[Date],GLD_Table[Monthly Return])</f>
        <v>6.7856078831640909E-2</v>
      </c>
      <c r="F28" s="2">
        <f>_xlfn.XLOOKUP(AssetMonthlyReturns36M[[#This Row],[Date]],VNQ_Table[Date],VNQ_Table[Monthly Return])</f>
        <v>2.6336851351906887E-2</v>
      </c>
      <c r="G28" s="6">
        <f>_xlfn.XLOOKUP(AssetMonthlyReturns36M[[#This Row],[Date]],PE_Table[Date],PE_Table[Monthly Return])</f>
        <v>1.1151007455779238E-2</v>
      </c>
    </row>
    <row r="29" spans="2:16" x14ac:dyDescent="0.2">
      <c r="B29" s="5" cm="1">
        <f t="array" ref="B29">IF(EDATE(StartDate36M,ROW(AssetMonthlyReturns[#This Row])-ROW(AssetMonthlyReturns[#Headers])-1)&lt;=EndDate36M,EDATE(StartDate36M,ROW(AssetMonthlyReturns[#This Row])-ROW(AssetMonthlyReturns[#Headers])-1),"")</f>
        <v>45689</v>
      </c>
      <c r="C29" s="2">
        <f>_xlfn.XLOOKUP(AssetMonthlyReturns36M[[#This Row],[Date]],SPY_Table[Date],SPY_Table[Monthly Return])</f>
        <v>-1.2694834127274901E-2</v>
      </c>
      <c r="D29" s="2">
        <f>_xlfn.XLOOKUP(AssetMonthlyReturns36M[[#This Row],[Date]],AGG_Table[Date],AGG_Table[Monthly Return])</f>
        <v>1.8993916235892305E-2</v>
      </c>
      <c r="E29" s="2">
        <f>_xlfn.XLOOKUP(AssetMonthlyReturns36M[[#This Row],[Date]],GLD_Table[Date],GLD_Table[Monthly Return])</f>
        <v>1.8216241660423238E-2</v>
      </c>
      <c r="F29" s="2">
        <f>_xlfn.XLOOKUP(AssetMonthlyReturns36M[[#This Row],[Date]],VNQ_Table[Date],VNQ_Table[Monthly Return])</f>
        <v>3.6995998835918531E-2</v>
      </c>
      <c r="G29" s="6">
        <f>_xlfn.XLOOKUP(AssetMonthlyReturns36M[[#This Row],[Date]],PE_Table[Date],PE_Table[Monthly Return])</f>
        <v>4.511081534807948E-3</v>
      </c>
    </row>
    <row r="30" spans="2:16" x14ac:dyDescent="0.2">
      <c r="B30" s="5" cm="1">
        <f t="array" ref="B30">IF(EDATE(StartDate36M,ROW(AssetMonthlyReturns[#This Row])-ROW(AssetMonthlyReturns[#Headers])-1)&lt;=EndDate36M,EDATE(StartDate36M,ROW(AssetMonthlyReturns[#This Row])-ROW(AssetMonthlyReturns[#Headers])-1),"")</f>
        <v>45717</v>
      </c>
      <c r="C30" s="2">
        <f>_xlfn.XLOOKUP(AssetMonthlyReturns36M[[#This Row],[Date]],SPY_Table[Date],SPY_Table[Monthly Return])</f>
        <v>-5.8553596895322912E-2</v>
      </c>
      <c r="D30" s="2">
        <f>_xlfn.XLOOKUP(AssetMonthlyReturns36M[[#This Row],[Date]],AGG_Table[Date],AGG_Table[Monthly Return])</f>
        <v>-1.8986567739021076E-5</v>
      </c>
      <c r="E30" s="2">
        <f>_xlfn.XLOOKUP(AssetMonthlyReturns36M[[#This Row],[Date]],GLD_Table[Date],GLD_Table[Monthly Return])</f>
        <v>9.4465858772835531E-2</v>
      </c>
      <c r="F30" s="2">
        <f>_xlfn.XLOOKUP(AssetMonthlyReturns36M[[#This Row],[Date]],VNQ_Table[Date],VNQ_Table[Monthly Return])</f>
        <v>-3.5782696412273718E-2</v>
      </c>
      <c r="G30" s="6">
        <f>_xlfn.XLOOKUP(AssetMonthlyReturns36M[[#This Row],[Date]],PE_Table[Date],PE_Table[Monthly Return])</f>
        <v>-3.2375423807648351E-2</v>
      </c>
    </row>
    <row r="31" spans="2:16" x14ac:dyDescent="0.2">
      <c r="B31" s="5" cm="1">
        <f t="array" ref="B31">IF(EDATE(StartDate36M,ROW(AssetMonthlyReturns[#This Row])-ROW(AssetMonthlyReturns[#Headers])-1)&lt;=EndDate36M,EDATE(StartDate36M,ROW(AssetMonthlyReturns[#This Row])-ROW(AssetMonthlyReturns[#Headers])-1),"")</f>
        <v>45748</v>
      </c>
      <c r="C31" s="2">
        <f>_xlfn.XLOOKUP(AssetMonthlyReturns36M[[#This Row],[Date]],SPY_Table[Date],SPY_Table[Monthly Return])</f>
        <v>-5.6856220047288852E-3</v>
      </c>
      <c r="D31" s="2">
        <f>_xlfn.XLOOKUP(AssetMonthlyReturns36M[[#This Row],[Date]],AGG_Table[Date],AGG_Table[Monthly Return])</f>
        <v>4.0865275207380147E-3</v>
      </c>
      <c r="E31" s="2">
        <f>_xlfn.XLOOKUP(AssetMonthlyReturns36M[[#This Row],[Date]],GLD_Table[Date],GLD_Table[Monthly Return])</f>
        <v>5.4244372902173321E-2</v>
      </c>
      <c r="F31" s="2">
        <f>_xlfn.XLOOKUP(AssetMonthlyReturns36M[[#This Row],[Date]],VNQ_Table[Date],VNQ_Table[Monthly Return])</f>
        <v>-1.4387356379755967E-2</v>
      </c>
      <c r="G31" s="6">
        <f>_xlfn.XLOOKUP(AssetMonthlyReturns36M[[#This Row],[Date]],PE_Table[Date],PE_Table[Monthly Return])</f>
        <v>5.4697224893336394E-3</v>
      </c>
    </row>
    <row r="32" spans="2:16" x14ac:dyDescent="0.2">
      <c r="B32" s="5" cm="1">
        <f t="array" ref="B32">IF(EDATE(StartDate36M,ROW(AssetMonthlyReturns[#This Row])-ROW(AssetMonthlyReturns[#Headers])-1)&lt;=EndDate36M,EDATE(StartDate36M,ROW(AssetMonthlyReturns[#This Row])-ROW(AssetMonthlyReturns[#Headers])-1),"")</f>
        <v>45778</v>
      </c>
      <c r="C32" s="2">
        <f>_xlfn.XLOOKUP(AssetMonthlyReturns36M[[#This Row],[Date]],SPY_Table[Date],SPY_Table[Monthly Return])</f>
        <v>6.2844986034126027E-2</v>
      </c>
      <c r="D32" s="2">
        <f>_xlfn.XLOOKUP(AssetMonthlyReturns36M[[#This Row],[Date]],AGG_Table[Date],AGG_Table[Monthly Return])</f>
        <v>-6.0255193568646837E-3</v>
      </c>
      <c r="E32" s="2">
        <f>_xlfn.XLOOKUP(AssetMonthlyReturns36M[[#This Row],[Date]],GLD_Table[Date],GLD_Table[Monthly Return])</f>
        <v>-5.5957766124170583E-4</v>
      </c>
      <c r="F32" s="2">
        <f>_xlfn.XLOOKUP(AssetMonthlyReturns36M[[#This Row],[Date]],VNQ_Table[Date],VNQ_Table[Monthly Return])</f>
        <v>1.1207942546625382E-2</v>
      </c>
      <c r="G32" s="6">
        <f>_xlfn.XLOOKUP(AssetMonthlyReturns36M[[#This Row],[Date]],PE_Table[Date],PE_Table[Monthly Return])</f>
        <v>7.2046039221254077E-3</v>
      </c>
    </row>
    <row r="33" spans="2:7" x14ac:dyDescent="0.2">
      <c r="B33" s="5" cm="1">
        <f t="array" ref="B33">IF(EDATE(StartDate36M,ROW(AssetMonthlyReturns[#This Row])-ROW(AssetMonthlyReturns[#Headers])-1)&lt;=EndDate36M,EDATE(StartDate36M,ROW(AssetMonthlyReturns[#This Row])-ROW(AssetMonthlyReturns[#Headers])-1),"")</f>
        <v>45809</v>
      </c>
      <c r="C33" s="2">
        <f>_xlfn.XLOOKUP(AssetMonthlyReturns36M[[#This Row],[Date]],SPY_Table[Date],SPY_Table[Monthly Return])</f>
        <v>4.8287222054981704E-2</v>
      </c>
      <c r="D33" s="2">
        <f>_xlfn.XLOOKUP(AssetMonthlyReturns36M[[#This Row],[Date]],AGG_Table[Date],AGG_Table[Monthly Return])</f>
        <v>1.4501721353309627E-2</v>
      </c>
      <c r="E33" s="2">
        <f>_xlfn.XLOOKUP(AssetMonthlyReturns36M[[#This Row],[Date]],GLD_Table[Date],GLD_Table[Monthly Return])</f>
        <v>4.0513190885604899E-3</v>
      </c>
      <c r="F33" s="2">
        <f>_xlfn.XLOOKUP(AssetMonthlyReturns36M[[#This Row],[Date]],VNQ_Table[Date],VNQ_Table[Monthly Return])</f>
        <v>-2.9109123869911491E-3</v>
      </c>
      <c r="G33" s="6">
        <f>_xlfn.XLOOKUP(AssetMonthlyReturns36M[[#This Row],[Date]],PE_Table[Date],PE_Table[Monthly Return])</f>
        <v>5.5264842079410403E-2</v>
      </c>
    </row>
    <row r="34" spans="2:7" x14ac:dyDescent="0.2">
      <c r="B34" s="5" cm="1">
        <f t="array" ref="B34">IF(EDATE(StartDate36M,ROW(AssetMonthlyReturns[#This Row])-ROW(AssetMonthlyReturns[#Headers])-1)&lt;=EndDate36M,EDATE(StartDate36M,ROW(AssetMonthlyReturns[#This Row])-ROW(AssetMonthlyReturns[#Headers])-1),"")</f>
        <v>45839</v>
      </c>
      <c r="C34" s="2">
        <f>_xlfn.XLOOKUP(AssetMonthlyReturns36M[[#This Row],[Date]],SPY_Table[Date],SPY_Table[Monthly Return])</f>
        <v>2.6049815919583663E-2</v>
      </c>
      <c r="D34" s="2">
        <f>_xlfn.XLOOKUP(AssetMonthlyReturns36M[[#This Row],[Date]],AGG_Table[Date],AGG_Table[Monthly Return])</f>
        <v>-2.5623129512686305E-3</v>
      </c>
      <c r="E34" s="2">
        <f>_xlfn.XLOOKUP(AssetMonthlyReturns36M[[#This Row],[Date]],GLD_Table[Date],GLD_Table[Monthly Return])</f>
        <v>-6.1345510028637529E-3</v>
      </c>
      <c r="F34" s="2">
        <f>_xlfn.XLOOKUP(AssetMonthlyReturns36M[[#This Row],[Date]],VNQ_Table[Date],VNQ_Table[Monthly Return])</f>
        <v>1.0731473325030549E-2</v>
      </c>
      <c r="G34" s="6">
        <f>_xlfn.XLOOKUP(AssetMonthlyReturns36M[[#This Row],[Date]],PE_Table[Date],PE_Table[Monthly Return])</f>
        <v>2.1527807184682501E-3</v>
      </c>
    </row>
    <row r="35" spans="2:7" x14ac:dyDescent="0.2">
      <c r="B35" s="5" cm="1">
        <f t="array" ref="B35">IF(EDATE(StartDate36M,ROW(AssetMonthlyReturns[#This Row])-ROW(AssetMonthlyReturns[#Headers])-1)&lt;=EndDate36M,EDATE(StartDate36M,ROW(AssetMonthlyReturns[#This Row])-ROW(AssetMonthlyReturns[#Headers])-1),"")</f>
        <v>45870</v>
      </c>
      <c r="C35" s="2">
        <f>_xlfn.XLOOKUP(AssetMonthlyReturns36M[[#This Row],[Date]],SPY_Table[Date],SPY_Table[Monthly Return])</f>
        <v>2.0525516551640699E-2</v>
      </c>
      <c r="D35" s="2">
        <f>_xlfn.XLOOKUP(AssetMonthlyReturns36M[[#This Row],[Date]],AGG_Table[Date],AGG_Table[Monthly Return])</f>
        <v>1.1770936508380014E-2</v>
      </c>
      <c r="E35" s="2">
        <f>_xlfn.XLOOKUP(AssetMonthlyReturns36M[[#This Row],[Date]],GLD_Table[Date],GLD_Table[Monthly Return])</f>
        <v>4.9874624451855976E-2</v>
      </c>
      <c r="F35" s="2">
        <f>_xlfn.XLOOKUP(AssetMonthlyReturns36M[[#This Row],[Date]],VNQ_Table[Date],VNQ_Table[Monthly Return])</f>
        <v>3.4776758366768856E-2</v>
      </c>
      <c r="G35" s="6">
        <f>_xlfn.XLOOKUP(AssetMonthlyReturns36M[[#This Row],[Date]],PE_Table[Date],PE_Table[Monthly Return])</f>
        <v>1.2030946911979479E-2</v>
      </c>
    </row>
    <row r="36" spans="2:7" x14ac:dyDescent="0.2">
      <c r="B36" s="5" cm="1">
        <f t="array" ref="B36">IF(EDATE(StartDate36M,ROW(AssetMonthlyReturns[#This Row])-ROW(AssetMonthlyReturns[#Headers])-1)&lt;=EndDate36M,EDATE(StartDate36M,ROW(AssetMonthlyReturns[#This Row])-ROW(AssetMonthlyReturns[#Headers])-1),"")</f>
        <v>45901</v>
      </c>
      <c r="C36" s="2">
        <f>_xlfn.XLOOKUP(AssetMonthlyReturns36M[[#This Row],[Date]],SPY_Table[Date],SPY_Table[Monthly Return])</f>
        <v>3.2757042748446041E-2</v>
      </c>
      <c r="D36" s="2">
        <f>_xlfn.XLOOKUP(AssetMonthlyReturns36M[[#This Row],[Date]],AGG_Table[Date],AGG_Table[Monthly Return])</f>
        <v>1.1326922017532715E-2</v>
      </c>
      <c r="E36" s="2">
        <f>_xlfn.XLOOKUP(AssetMonthlyReturns36M[[#This Row],[Date]],GLD_Table[Date],GLD_Table[Monthly Return])</f>
        <v>0.1175841577062775</v>
      </c>
      <c r="F36" s="2">
        <f>_xlfn.XLOOKUP(AssetMonthlyReturns36M[[#This Row],[Date]],VNQ_Table[Date],VNQ_Table[Monthly Return])</f>
        <v>-8.8898857956450916E-3</v>
      </c>
      <c r="G36" s="6">
        <f>_xlfn.XLOOKUP(AssetMonthlyReturns36M[[#This Row],[Date]],PE_Table[Date],PE_Table[Monthly Return])</f>
        <v>5.3057644705007956E-3</v>
      </c>
    </row>
    <row r="37" spans="2:7" x14ac:dyDescent="0.2">
      <c r="B37" s="5" cm="1">
        <f t="array" ref="B37">IF(EDATE(StartDate36M,ROW(AssetMonthlyReturns[#This Row])-ROW(AssetMonthlyReturns[#Headers])-1)&lt;=EndDate36M,EDATE(StartDate36M,ROW(AssetMonthlyReturns[#This Row])-ROW(AssetMonthlyReturns[#Headers])-1),"")</f>
        <v>45931</v>
      </c>
      <c r="C37" s="2">
        <f>_xlfn.XLOOKUP(AssetMonthlyReturns36M[[#This Row],[Date]],SPY_Table[Date],SPY_Table[Monthly Return])</f>
        <v>2.6675961781003066E-2</v>
      </c>
      <c r="D37" s="2">
        <f>_xlfn.XLOOKUP(AssetMonthlyReturns36M[[#This Row],[Date]],AGG_Table[Date],AGG_Table[Monthly Return])</f>
        <v>6.2010270819423674E-3</v>
      </c>
      <c r="E37" s="2">
        <f>_xlfn.XLOOKUP(AssetMonthlyReturns36M[[#This Row],[Date]],GLD_Table[Date],GLD_Table[Monthly Return])</f>
        <v>3.5586670766297956E-2</v>
      </c>
      <c r="F37" s="2">
        <f>_xlfn.XLOOKUP(AssetMonthlyReturns36M[[#This Row],[Date]],VNQ_Table[Date],VNQ_Table[Monthly Return])</f>
        <v>-1.5185107127275166E-2</v>
      </c>
      <c r="G37" s="6">
        <f>_xlfn.XLOOKUP(AssetMonthlyReturns36M[[#This Row],[Date]],PE_Table[Date],PE_Table[Monthly Return])</f>
        <v>-1.7373560584497572E-2</v>
      </c>
    </row>
    <row r="38" spans="2:7" x14ac:dyDescent="0.2">
      <c r="B38" s="5" cm="1">
        <f t="array" ref="B38">IF(EDATE(StartDate36M,ROW(AssetMonthlyReturns[#This Row])-ROW(AssetMonthlyReturns[#Headers])-1)&lt;=EndDate36M,EDATE(StartDate36M,ROW(AssetMonthlyReturns[#This Row])-ROW(AssetMonthlyReturns[#Headers])-1),"")</f>
        <v>45962</v>
      </c>
      <c r="C38" s="2">
        <f>_xlfn.XLOOKUP(AssetMonthlyReturns36M[[#This Row],[Date]],SPY_Table[Date],SPY_Table[Monthly Return])</f>
        <v>1.9500340229998692E-3</v>
      </c>
      <c r="D38" s="2">
        <f>_xlfn.XLOOKUP(AssetMonthlyReturns36M[[#This Row],[Date]],AGG_Table[Date],AGG_Table[Monthly Return])</f>
        <v>6.0463626028721684E-3</v>
      </c>
      <c r="E38" s="2">
        <f>_xlfn.XLOOKUP(AssetMonthlyReturns36M[[#This Row],[Date]],GLD_Table[Date],GLD_Table[Monthly Return])</f>
        <v>5.3678175766117331E-2</v>
      </c>
      <c r="F38" s="2">
        <f>_xlfn.XLOOKUP(AssetMonthlyReturns36M[[#This Row],[Date]],VNQ_Table[Date],VNQ_Table[Monthly Return])</f>
        <v>2.4220618024508589E-2</v>
      </c>
      <c r="G38" s="6">
        <f>_xlfn.XLOOKUP(AssetMonthlyReturns36M[[#This Row],[Date]],PE_Table[Date],PE_Table[Monthly Return])</f>
        <v>2.8856456463157043E-2</v>
      </c>
    </row>
    <row r="39" spans="2:7" x14ac:dyDescent="0.2">
      <c r="B39" s="5" cm="1">
        <f t="array" ref="B39">IF(EDATE(StartDate36M,ROW(AssetMonthlyReturns[#This Row])-ROW(AssetMonthlyReturns[#Headers])-1)&lt;=EndDate36M,EDATE(StartDate36M,ROW(AssetMonthlyReturns[#This Row])-ROW(AssetMonthlyReturns[#Headers])-1),"")</f>
        <v>45992</v>
      </c>
      <c r="C39" s="4">
        <f>_xlfn.XLOOKUP(AssetMonthlyReturns36M[[#This Row],[Date]],SPY_Table[Date],SPY_Table[Monthly Return])</f>
        <v>-2.1510303936785879E-3</v>
      </c>
      <c r="D39" s="4">
        <f>_xlfn.XLOOKUP(AssetMonthlyReturns36M[[#This Row],[Date]],AGG_Table[Date],AGG_Table[Monthly Return])</f>
        <v>-6.0909326880842496E-3</v>
      </c>
      <c r="E39" s="4">
        <f>_xlfn.XLOOKUP(AssetMonthlyReturns36M[[#This Row],[Date]],GLD_Table[Date],GLD_Table[Monthly Return])</f>
        <v>2.1733506737923625E-2</v>
      </c>
      <c r="F39" s="4">
        <f>_xlfn.XLOOKUP(AssetMonthlyReturns36M[[#This Row],[Date]],VNQ_Table[Date],VNQ_Table[Monthly Return])</f>
        <v>-3.1202049793029429E-2</v>
      </c>
      <c r="G39" s="7">
        <f>_xlfn.XLOOKUP(AssetMonthlyReturns36M[[#This Row],[Date]],PE_Table[Date],PE_Table[Monthly Return])</f>
        <v>2.1038660478881921E-2</v>
      </c>
    </row>
  </sheetData>
  <mergeCells count="3">
    <mergeCell ref="B1:G1"/>
    <mergeCell ref="I1:N1"/>
    <mergeCell ref="I10:N10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E2F9-728F-455A-8A65-D81076024F14}">
  <dimension ref="A1:UT119"/>
  <sheetViews>
    <sheetView topLeftCell="LC1" zoomScale="85" zoomScaleNormal="85" workbookViewId="0">
      <selection activeCell="E4" sqref="E4"/>
    </sheetView>
  </sheetViews>
  <sheetFormatPr baseColWidth="10" defaultColWidth="8.83203125" defaultRowHeight="15" x14ac:dyDescent="0.2"/>
  <cols>
    <col min="1" max="1" width="4.33203125" bestFit="1" customWidth="1"/>
    <col min="2" max="2" width="15.5" customWidth="1"/>
    <col min="3" max="566" width="10.5" customWidth="1"/>
  </cols>
  <sheetData>
    <row r="1" spans="1:566" x14ac:dyDescent="0.2">
      <c r="B1" s="111" t="s">
        <v>46</v>
      </c>
      <c r="C1" s="105">
        <v>1</v>
      </c>
      <c r="D1" s="105">
        <v>1</v>
      </c>
      <c r="E1" s="105">
        <v>1</v>
      </c>
      <c r="F1" s="105">
        <v>1</v>
      </c>
      <c r="G1" s="26">
        <v>2</v>
      </c>
      <c r="H1" s="26">
        <v>2</v>
      </c>
      <c r="I1" s="26">
        <v>2</v>
      </c>
      <c r="J1" s="26">
        <v>2</v>
      </c>
      <c r="K1" s="26">
        <v>3</v>
      </c>
      <c r="L1" s="26">
        <v>3</v>
      </c>
      <c r="M1" s="26">
        <v>3</v>
      </c>
      <c r="N1" s="26">
        <v>3</v>
      </c>
      <c r="O1" s="26">
        <v>4</v>
      </c>
      <c r="P1" s="26">
        <v>4</v>
      </c>
      <c r="Q1" s="26">
        <v>4</v>
      </c>
      <c r="R1" s="26">
        <v>4</v>
      </c>
      <c r="S1" s="26">
        <v>5</v>
      </c>
      <c r="T1" s="26">
        <v>5</v>
      </c>
      <c r="U1" s="26">
        <v>5</v>
      </c>
      <c r="V1" s="26">
        <v>5</v>
      </c>
      <c r="W1" s="26">
        <v>6</v>
      </c>
      <c r="X1" s="26">
        <v>6</v>
      </c>
      <c r="Y1" s="26">
        <v>6</v>
      </c>
      <c r="Z1" s="26">
        <v>6</v>
      </c>
      <c r="AA1" s="26">
        <v>7</v>
      </c>
      <c r="AB1" s="26">
        <v>7</v>
      </c>
      <c r="AC1" s="26">
        <v>7</v>
      </c>
      <c r="AD1" s="26">
        <v>7</v>
      </c>
      <c r="AE1" s="26">
        <v>8</v>
      </c>
      <c r="AF1" s="26">
        <v>8</v>
      </c>
      <c r="AG1" s="26">
        <v>8</v>
      </c>
      <c r="AH1" s="26">
        <v>8</v>
      </c>
      <c r="AI1" s="26">
        <v>9</v>
      </c>
      <c r="AJ1" s="26">
        <v>9</v>
      </c>
      <c r="AK1" s="26">
        <v>9</v>
      </c>
      <c r="AL1" s="26">
        <v>9</v>
      </c>
      <c r="AM1" s="26">
        <v>10</v>
      </c>
      <c r="AN1" s="26">
        <v>10</v>
      </c>
      <c r="AO1" s="26">
        <v>10</v>
      </c>
      <c r="AP1" s="26">
        <v>10</v>
      </c>
      <c r="AQ1" s="26">
        <v>11</v>
      </c>
      <c r="AR1" s="26">
        <v>11</v>
      </c>
      <c r="AS1" s="26">
        <v>11</v>
      </c>
      <c r="AT1" s="26">
        <v>11</v>
      </c>
      <c r="AU1" s="26">
        <v>12</v>
      </c>
      <c r="AV1" s="26">
        <v>12</v>
      </c>
      <c r="AW1" s="26">
        <v>12</v>
      </c>
      <c r="AX1" s="26">
        <v>12</v>
      </c>
      <c r="AY1" s="26">
        <v>13</v>
      </c>
      <c r="AZ1" s="26">
        <v>13</v>
      </c>
      <c r="BA1" s="26">
        <v>13</v>
      </c>
      <c r="BB1" s="26">
        <v>13</v>
      </c>
      <c r="BC1" s="26">
        <v>14</v>
      </c>
      <c r="BD1" s="26">
        <v>14</v>
      </c>
      <c r="BE1" s="26">
        <v>14</v>
      </c>
      <c r="BF1" s="26">
        <v>14</v>
      </c>
      <c r="BG1" s="26">
        <v>15</v>
      </c>
      <c r="BH1" s="26">
        <v>15</v>
      </c>
      <c r="BI1" s="26">
        <v>15</v>
      </c>
      <c r="BJ1" s="26">
        <v>15</v>
      </c>
      <c r="BK1" s="26">
        <v>16</v>
      </c>
      <c r="BL1" s="26">
        <v>16</v>
      </c>
      <c r="BM1" s="26">
        <v>16</v>
      </c>
      <c r="BN1" s="26">
        <v>16</v>
      </c>
      <c r="BO1" s="26">
        <v>17</v>
      </c>
      <c r="BP1" s="26">
        <v>17</v>
      </c>
      <c r="BQ1" s="26">
        <v>17</v>
      </c>
      <c r="BR1" s="26">
        <v>17</v>
      </c>
      <c r="BS1" s="26">
        <v>18</v>
      </c>
      <c r="BT1" s="26">
        <v>18</v>
      </c>
      <c r="BU1" s="26">
        <v>18</v>
      </c>
      <c r="BV1" s="26">
        <v>18</v>
      </c>
      <c r="BW1" s="26">
        <v>19</v>
      </c>
      <c r="BX1" s="26">
        <v>19</v>
      </c>
      <c r="BY1" s="26">
        <v>19</v>
      </c>
      <c r="BZ1" s="26">
        <v>19</v>
      </c>
      <c r="CA1" s="26">
        <v>20</v>
      </c>
      <c r="CB1" s="26">
        <v>20</v>
      </c>
      <c r="CC1" s="26">
        <v>20</v>
      </c>
      <c r="CD1" s="26">
        <v>20</v>
      </c>
      <c r="CE1" s="26">
        <v>21</v>
      </c>
      <c r="CF1" s="26">
        <v>21</v>
      </c>
      <c r="CG1" s="26">
        <v>21</v>
      </c>
      <c r="CH1" s="26">
        <v>21</v>
      </c>
      <c r="CI1" s="26">
        <v>22</v>
      </c>
      <c r="CJ1" s="26">
        <v>22</v>
      </c>
      <c r="CK1" s="26">
        <v>22</v>
      </c>
      <c r="CL1" s="26">
        <v>22</v>
      </c>
      <c r="CM1" s="26">
        <v>23</v>
      </c>
      <c r="CN1" s="26">
        <v>23</v>
      </c>
      <c r="CO1" s="26">
        <v>23</v>
      </c>
      <c r="CP1" s="26">
        <v>23</v>
      </c>
      <c r="CQ1" s="26">
        <v>24</v>
      </c>
      <c r="CR1" s="26">
        <v>24</v>
      </c>
      <c r="CS1" s="26">
        <v>24</v>
      </c>
      <c r="CT1" s="26">
        <v>24</v>
      </c>
      <c r="CU1" s="26">
        <v>25</v>
      </c>
      <c r="CV1" s="26">
        <v>25</v>
      </c>
      <c r="CW1" s="26">
        <v>25</v>
      </c>
      <c r="CX1" s="26">
        <v>25</v>
      </c>
      <c r="CY1" s="26">
        <v>26</v>
      </c>
      <c r="CZ1" s="26">
        <v>26</v>
      </c>
      <c r="DA1" s="26">
        <v>26</v>
      </c>
      <c r="DB1" s="26">
        <v>26</v>
      </c>
      <c r="DC1" s="26">
        <v>27</v>
      </c>
      <c r="DD1" s="26">
        <v>27</v>
      </c>
      <c r="DE1" s="26">
        <v>27</v>
      </c>
      <c r="DF1" s="26">
        <v>27</v>
      </c>
      <c r="DG1" s="26">
        <v>28</v>
      </c>
      <c r="DH1" s="26">
        <v>28</v>
      </c>
      <c r="DI1" s="26">
        <v>28</v>
      </c>
      <c r="DJ1" s="26">
        <v>28</v>
      </c>
      <c r="DK1" s="26">
        <v>29</v>
      </c>
      <c r="DL1" s="26">
        <v>29</v>
      </c>
      <c r="DM1" s="26">
        <v>29</v>
      </c>
      <c r="DN1" s="26">
        <v>29</v>
      </c>
      <c r="DO1" s="26">
        <v>30</v>
      </c>
      <c r="DP1" s="26">
        <v>30</v>
      </c>
      <c r="DQ1" s="26">
        <v>30</v>
      </c>
      <c r="DR1" s="26">
        <v>30</v>
      </c>
      <c r="DS1" s="26">
        <v>31</v>
      </c>
      <c r="DT1" s="26">
        <v>31</v>
      </c>
      <c r="DU1" s="26">
        <v>31</v>
      </c>
      <c r="DV1" s="26">
        <v>31</v>
      </c>
      <c r="DW1" s="26">
        <v>32</v>
      </c>
      <c r="DX1" s="26">
        <v>32</v>
      </c>
      <c r="DY1" s="26">
        <v>32</v>
      </c>
      <c r="DZ1" s="26">
        <v>32</v>
      </c>
      <c r="EA1" s="26">
        <v>33</v>
      </c>
      <c r="EB1" s="26">
        <v>33</v>
      </c>
      <c r="EC1" s="26">
        <v>33</v>
      </c>
      <c r="ED1" s="26">
        <v>33</v>
      </c>
      <c r="EE1" s="26">
        <v>34</v>
      </c>
      <c r="EF1" s="26">
        <v>34</v>
      </c>
      <c r="EG1" s="26">
        <v>34</v>
      </c>
      <c r="EH1" s="26">
        <v>34</v>
      </c>
      <c r="EI1" s="26">
        <v>35</v>
      </c>
      <c r="EJ1" s="26">
        <v>35</v>
      </c>
      <c r="EK1" s="26">
        <v>35</v>
      </c>
      <c r="EL1" s="26">
        <v>35</v>
      </c>
      <c r="EM1" s="26">
        <v>36</v>
      </c>
      <c r="EN1" s="26">
        <v>36</v>
      </c>
      <c r="EO1" s="26">
        <v>36</v>
      </c>
      <c r="EP1" s="26">
        <v>36</v>
      </c>
      <c r="EQ1" s="26">
        <v>37</v>
      </c>
      <c r="ER1" s="26">
        <v>37</v>
      </c>
      <c r="ES1" s="26">
        <v>37</v>
      </c>
      <c r="ET1" s="26">
        <v>37</v>
      </c>
      <c r="EU1" s="26">
        <v>38</v>
      </c>
      <c r="EV1" s="26">
        <v>38</v>
      </c>
      <c r="EW1" s="26">
        <v>38</v>
      </c>
      <c r="EX1" s="26">
        <v>38</v>
      </c>
      <c r="EY1" s="26">
        <v>39</v>
      </c>
      <c r="EZ1" s="26">
        <v>39</v>
      </c>
      <c r="FA1" s="26">
        <v>39</v>
      </c>
      <c r="FB1" s="26">
        <v>39</v>
      </c>
      <c r="FC1" s="26">
        <v>40</v>
      </c>
      <c r="FD1" s="26">
        <v>40</v>
      </c>
      <c r="FE1" s="26">
        <v>40</v>
      </c>
      <c r="FF1" s="26">
        <v>40</v>
      </c>
      <c r="FG1" s="26">
        <v>41</v>
      </c>
      <c r="FH1" s="26">
        <v>41</v>
      </c>
      <c r="FI1" s="26">
        <v>41</v>
      </c>
      <c r="FJ1" s="26">
        <v>41</v>
      </c>
      <c r="FK1" s="26">
        <v>42</v>
      </c>
      <c r="FL1" s="26">
        <v>42</v>
      </c>
      <c r="FM1" s="26">
        <v>42</v>
      </c>
      <c r="FN1" s="26">
        <v>42</v>
      </c>
      <c r="FO1" s="26">
        <v>43</v>
      </c>
      <c r="FP1" s="26">
        <v>43</v>
      </c>
      <c r="FQ1" s="26">
        <v>43</v>
      </c>
      <c r="FR1" s="26">
        <v>43</v>
      </c>
      <c r="FS1" s="26">
        <v>44</v>
      </c>
      <c r="FT1" s="26">
        <v>44</v>
      </c>
      <c r="FU1" s="26">
        <v>44</v>
      </c>
      <c r="FV1" s="26">
        <v>44</v>
      </c>
      <c r="FW1" s="26">
        <v>45</v>
      </c>
      <c r="FX1" s="26">
        <v>45</v>
      </c>
      <c r="FY1" s="26">
        <v>45</v>
      </c>
      <c r="FZ1" s="26">
        <v>45</v>
      </c>
      <c r="GA1" s="26">
        <v>46</v>
      </c>
      <c r="GB1" s="26">
        <v>46</v>
      </c>
      <c r="GC1" s="26">
        <v>46</v>
      </c>
      <c r="GD1" s="26">
        <v>46</v>
      </c>
      <c r="GE1" s="26">
        <v>47</v>
      </c>
      <c r="GF1" s="26">
        <v>47</v>
      </c>
      <c r="GG1" s="26">
        <v>47</v>
      </c>
      <c r="GH1" s="26">
        <v>47</v>
      </c>
      <c r="GI1" s="26">
        <v>48</v>
      </c>
      <c r="GJ1" s="26">
        <v>48</v>
      </c>
      <c r="GK1" s="26">
        <v>48</v>
      </c>
      <c r="GL1" s="26">
        <v>48</v>
      </c>
      <c r="GM1" s="26">
        <v>49</v>
      </c>
      <c r="GN1" s="26">
        <v>49</v>
      </c>
      <c r="GO1" s="26">
        <v>49</v>
      </c>
      <c r="GP1" s="26">
        <v>49</v>
      </c>
      <c r="GQ1" s="26">
        <v>50</v>
      </c>
      <c r="GR1" s="26">
        <v>50</v>
      </c>
      <c r="GS1" s="26">
        <v>50</v>
      </c>
      <c r="GT1" s="26">
        <v>50</v>
      </c>
      <c r="GU1" s="26">
        <v>51</v>
      </c>
      <c r="GV1" s="26">
        <v>51</v>
      </c>
      <c r="GW1" s="26">
        <v>51</v>
      </c>
      <c r="GX1" s="26">
        <v>51</v>
      </c>
      <c r="GY1" s="26">
        <v>52</v>
      </c>
      <c r="GZ1" s="26">
        <v>52</v>
      </c>
      <c r="HA1" s="26">
        <v>52</v>
      </c>
      <c r="HB1" s="26">
        <v>52</v>
      </c>
      <c r="HC1" s="26">
        <v>53</v>
      </c>
      <c r="HD1" s="26">
        <v>53</v>
      </c>
      <c r="HE1" s="26">
        <v>53</v>
      </c>
      <c r="HF1" s="26">
        <v>53</v>
      </c>
      <c r="HG1" s="26">
        <v>54</v>
      </c>
      <c r="HH1" s="26">
        <v>54</v>
      </c>
      <c r="HI1" s="26">
        <v>54</v>
      </c>
      <c r="HJ1" s="26">
        <v>54</v>
      </c>
      <c r="HK1" s="26">
        <v>55</v>
      </c>
      <c r="HL1" s="26">
        <v>55</v>
      </c>
      <c r="HM1" s="26">
        <v>55</v>
      </c>
      <c r="HN1" s="26">
        <v>55</v>
      </c>
      <c r="HO1" s="26">
        <v>56</v>
      </c>
      <c r="HP1" s="26">
        <v>56</v>
      </c>
      <c r="HQ1" s="26">
        <v>56</v>
      </c>
      <c r="HR1" s="26">
        <v>56</v>
      </c>
      <c r="HS1" s="26">
        <v>57</v>
      </c>
      <c r="HT1" s="26">
        <v>57</v>
      </c>
      <c r="HU1" s="26">
        <v>57</v>
      </c>
      <c r="HV1" s="26">
        <v>57</v>
      </c>
      <c r="HW1" s="26">
        <v>58</v>
      </c>
      <c r="HX1" s="26">
        <v>58</v>
      </c>
      <c r="HY1" s="26">
        <v>58</v>
      </c>
      <c r="HZ1" s="26">
        <v>58</v>
      </c>
      <c r="IA1" s="26">
        <v>59</v>
      </c>
      <c r="IB1" s="26">
        <v>59</v>
      </c>
      <c r="IC1" s="26">
        <v>59</v>
      </c>
      <c r="ID1" s="26">
        <v>59</v>
      </c>
      <c r="IE1" s="26">
        <v>60</v>
      </c>
      <c r="IF1" s="26">
        <v>60</v>
      </c>
      <c r="IG1" s="26">
        <v>60</v>
      </c>
      <c r="IH1" s="26">
        <v>60</v>
      </c>
      <c r="II1" s="26">
        <v>61</v>
      </c>
      <c r="IJ1" s="26">
        <v>61</v>
      </c>
      <c r="IK1" s="26">
        <v>61</v>
      </c>
      <c r="IL1" s="26">
        <v>61</v>
      </c>
      <c r="IM1" s="26">
        <v>62</v>
      </c>
      <c r="IN1" s="26">
        <v>62</v>
      </c>
      <c r="IO1" s="26">
        <v>62</v>
      </c>
      <c r="IP1" s="26">
        <v>62</v>
      </c>
      <c r="IQ1" s="26">
        <v>63</v>
      </c>
      <c r="IR1" s="26">
        <v>63</v>
      </c>
      <c r="IS1" s="26">
        <v>63</v>
      </c>
      <c r="IT1" s="26">
        <v>63</v>
      </c>
      <c r="IU1" s="26">
        <v>64</v>
      </c>
      <c r="IV1" s="26">
        <v>64</v>
      </c>
      <c r="IW1" s="26">
        <v>64</v>
      </c>
      <c r="IX1" s="26">
        <v>64</v>
      </c>
      <c r="IY1" s="26">
        <v>65</v>
      </c>
      <c r="IZ1" s="26">
        <v>65</v>
      </c>
      <c r="JA1" s="26">
        <v>65</v>
      </c>
      <c r="JB1" s="26">
        <v>65</v>
      </c>
      <c r="JC1" s="26">
        <v>66</v>
      </c>
      <c r="JD1" s="26">
        <v>66</v>
      </c>
      <c r="JE1" s="26">
        <v>66</v>
      </c>
      <c r="JF1" s="26">
        <v>66</v>
      </c>
      <c r="JG1" s="26">
        <v>67</v>
      </c>
      <c r="JH1" s="26">
        <v>67</v>
      </c>
      <c r="JI1" s="26">
        <v>67</v>
      </c>
      <c r="JJ1" s="26">
        <v>67</v>
      </c>
      <c r="JK1" s="26">
        <v>68</v>
      </c>
      <c r="JL1" s="26">
        <v>68</v>
      </c>
      <c r="JM1" s="26">
        <v>68</v>
      </c>
      <c r="JN1" s="26">
        <v>68</v>
      </c>
      <c r="JO1" s="26">
        <v>69</v>
      </c>
      <c r="JP1" s="26">
        <v>69</v>
      </c>
      <c r="JQ1" s="26">
        <v>69</v>
      </c>
      <c r="JR1" s="26">
        <v>69</v>
      </c>
      <c r="JS1" s="26">
        <v>70</v>
      </c>
      <c r="JT1" s="26">
        <v>70</v>
      </c>
      <c r="JU1" s="26">
        <v>70</v>
      </c>
      <c r="JV1" s="26">
        <v>70</v>
      </c>
      <c r="JW1" s="26">
        <v>71</v>
      </c>
      <c r="JX1" s="26">
        <v>71</v>
      </c>
      <c r="JY1" s="26">
        <v>71</v>
      </c>
      <c r="JZ1" s="26">
        <v>71</v>
      </c>
      <c r="KA1" s="26">
        <v>72</v>
      </c>
      <c r="KB1" s="26">
        <v>72</v>
      </c>
      <c r="KC1" s="26">
        <v>72</v>
      </c>
      <c r="KD1" s="26">
        <v>72</v>
      </c>
      <c r="KE1" s="26">
        <v>73</v>
      </c>
      <c r="KF1" s="26">
        <v>73</v>
      </c>
      <c r="KG1" s="26">
        <v>73</v>
      </c>
      <c r="KH1" s="26">
        <v>73</v>
      </c>
      <c r="KI1" s="26">
        <v>74</v>
      </c>
      <c r="KJ1" s="26">
        <v>74</v>
      </c>
      <c r="KK1" s="26">
        <v>74</v>
      </c>
      <c r="KL1" s="26">
        <v>74</v>
      </c>
      <c r="KM1" s="26">
        <v>75</v>
      </c>
      <c r="KN1" s="26">
        <v>75</v>
      </c>
      <c r="KO1" s="26">
        <v>75</v>
      </c>
      <c r="KP1" s="26">
        <v>75</v>
      </c>
      <c r="KQ1" s="26">
        <v>76</v>
      </c>
      <c r="KR1" s="26">
        <v>76</v>
      </c>
      <c r="KS1" s="26">
        <v>76</v>
      </c>
      <c r="KT1" s="26">
        <v>76</v>
      </c>
      <c r="KU1" s="26">
        <v>77</v>
      </c>
      <c r="KV1" s="26">
        <v>77</v>
      </c>
      <c r="KW1" s="26">
        <v>77</v>
      </c>
      <c r="KX1" s="26">
        <v>77</v>
      </c>
      <c r="KY1" s="26">
        <v>78</v>
      </c>
      <c r="KZ1" s="26">
        <v>78</v>
      </c>
      <c r="LA1" s="26">
        <v>78</v>
      </c>
      <c r="LB1" s="26">
        <v>78</v>
      </c>
      <c r="LC1" s="26">
        <v>79</v>
      </c>
      <c r="LD1" s="26">
        <v>79</v>
      </c>
      <c r="LE1" s="26">
        <v>79</v>
      </c>
      <c r="LF1" s="26">
        <v>79</v>
      </c>
      <c r="LG1" s="26">
        <v>80</v>
      </c>
      <c r="LH1" s="26">
        <v>80</v>
      </c>
      <c r="LI1" s="26">
        <v>80</v>
      </c>
      <c r="LJ1" s="26">
        <v>80</v>
      </c>
      <c r="LK1" s="26">
        <v>81</v>
      </c>
      <c r="LL1" s="26">
        <v>81</v>
      </c>
      <c r="LM1" s="26">
        <v>81</v>
      </c>
      <c r="LN1" s="26">
        <v>81</v>
      </c>
      <c r="LO1" s="26">
        <v>82</v>
      </c>
      <c r="LP1" s="26">
        <v>82</v>
      </c>
      <c r="LQ1" s="26">
        <v>82</v>
      </c>
      <c r="LR1" s="26">
        <v>82</v>
      </c>
      <c r="LS1" s="26">
        <v>83</v>
      </c>
      <c r="LT1" s="26">
        <v>83</v>
      </c>
      <c r="LU1" s="26">
        <v>83</v>
      </c>
      <c r="LV1" s="26">
        <v>83</v>
      </c>
      <c r="LW1" s="26">
        <v>84</v>
      </c>
      <c r="LX1" s="26">
        <v>84</v>
      </c>
      <c r="LY1" s="26">
        <v>84</v>
      </c>
      <c r="LZ1" s="26">
        <v>84</v>
      </c>
      <c r="MA1" s="26">
        <v>85</v>
      </c>
      <c r="MB1" s="26">
        <v>85</v>
      </c>
      <c r="MC1" s="26">
        <v>85</v>
      </c>
      <c r="MD1" s="26">
        <v>85</v>
      </c>
      <c r="ME1" s="26">
        <v>86</v>
      </c>
      <c r="MF1" s="26">
        <v>86</v>
      </c>
      <c r="MG1" s="26">
        <v>86</v>
      </c>
      <c r="MH1" s="26">
        <v>86</v>
      </c>
      <c r="MI1" s="26">
        <v>87</v>
      </c>
      <c r="MJ1" s="26">
        <v>87</v>
      </c>
      <c r="MK1" s="26">
        <v>87</v>
      </c>
      <c r="ML1" s="26">
        <v>87</v>
      </c>
      <c r="MM1" s="26">
        <v>88</v>
      </c>
      <c r="MN1" s="26">
        <v>88</v>
      </c>
      <c r="MO1" s="26">
        <v>88</v>
      </c>
      <c r="MP1" s="26">
        <v>88</v>
      </c>
      <c r="MQ1" s="26">
        <v>89</v>
      </c>
      <c r="MR1" s="26">
        <v>89</v>
      </c>
      <c r="MS1" s="26">
        <v>89</v>
      </c>
      <c r="MT1" s="26">
        <v>89</v>
      </c>
      <c r="MU1" s="26">
        <v>90</v>
      </c>
      <c r="MV1" s="26">
        <v>90</v>
      </c>
      <c r="MW1" s="26">
        <v>90</v>
      </c>
      <c r="MX1" s="26">
        <v>90</v>
      </c>
      <c r="MY1" s="26">
        <v>91</v>
      </c>
      <c r="MZ1" s="26">
        <v>91</v>
      </c>
      <c r="NA1" s="26">
        <v>91</v>
      </c>
      <c r="NB1" s="26">
        <v>91</v>
      </c>
      <c r="NC1" s="26">
        <v>92</v>
      </c>
      <c r="ND1" s="26">
        <v>92</v>
      </c>
      <c r="NE1" s="26">
        <v>92</v>
      </c>
      <c r="NF1" s="26">
        <v>92</v>
      </c>
      <c r="NG1" s="26">
        <v>93</v>
      </c>
      <c r="NH1" s="26">
        <v>93</v>
      </c>
      <c r="NI1" s="26">
        <v>93</v>
      </c>
      <c r="NJ1" s="26">
        <v>93</v>
      </c>
      <c r="NK1" s="26">
        <v>94</v>
      </c>
      <c r="NL1" s="26">
        <v>94</v>
      </c>
      <c r="NM1" s="26">
        <v>94</v>
      </c>
      <c r="NN1" s="26">
        <v>94</v>
      </c>
      <c r="NO1" s="26">
        <v>95</v>
      </c>
      <c r="NP1" s="26">
        <v>95</v>
      </c>
      <c r="NQ1" s="26">
        <v>95</v>
      </c>
      <c r="NR1" s="26">
        <v>95</v>
      </c>
      <c r="NS1" s="26">
        <v>96</v>
      </c>
      <c r="NT1" s="26">
        <v>96</v>
      </c>
      <c r="NU1" s="26">
        <v>96</v>
      </c>
      <c r="NV1" s="26">
        <v>96</v>
      </c>
      <c r="NW1" s="26">
        <v>97</v>
      </c>
      <c r="NX1" s="26">
        <v>97</v>
      </c>
      <c r="NY1" s="26">
        <v>97</v>
      </c>
      <c r="NZ1" s="26">
        <v>97</v>
      </c>
      <c r="OA1" s="26">
        <v>98</v>
      </c>
      <c r="OB1" s="26">
        <v>98</v>
      </c>
      <c r="OC1" s="26">
        <v>98</v>
      </c>
      <c r="OD1" s="26">
        <v>98</v>
      </c>
      <c r="OE1" s="26">
        <v>99</v>
      </c>
      <c r="OF1" s="26">
        <v>99</v>
      </c>
      <c r="OG1" s="26">
        <v>99</v>
      </c>
      <c r="OH1" s="26">
        <v>99</v>
      </c>
      <c r="OI1" s="26">
        <v>100</v>
      </c>
      <c r="OJ1" s="26">
        <v>100</v>
      </c>
      <c r="OK1" s="26">
        <v>100</v>
      </c>
      <c r="OL1" s="26">
        <v>100</v>
      </c>
      <c r="OM1" s="26">
        <v>101</v>
      </c>
      <c r="ON1" s="26">
        <v>101</v>
      </c>
      <c r="OO1" s="26">
        <v>101</v>
      </c>
      <c r="OP1" s="26">
        <v>101</v>
      </c>
      <c r="OQ1" s="26">
        <v>102</v>
      </c>
      <c r="OR1" s="26">
        <v>102</v>
      </c>
      <c r="OS1" s="26">
        <v>102</v>
      </c>
      <c r="OT1" s="26">
        <v>102</v>
      </c>
      <c r="OU1" s="26">
        <v>103</v>
      </c>
      <c r="OV1" s="26">
        <v>103</v>
      </c>
      <c r="OW1" s="26">
        <v>103</v>
      </c>
      <c r="OX1" s="26">
        <v>103</v>
      </c>
      <c r="OY1" s="26">
        <v>104</v>
      </c>
      <c r="OZ1" s="26">
        <v>104</v>
      </c>
      <c r="PA1" s="26">
        <v>104</v>
      </c>
      <c r="PB1" s="26">
        <v>104</v>
      </c>
      <c r="PC1" s="26">
        <v>105</v>
      </c>
      <c r="PD1" s="26">
        <v>105</v>
      </c>
      <c r="PE1" s="26">
        <v>105</v>
      </c>
      <c r="PF1" s="26">
        <v>105</v>
      </c>
      <c r="PG1" s="26">
        <v>106</v>
      </c>
      <c r="PH1" s="26">
        <v>106</v>
      </c>
      <c r="PI1" s="26">
        <v>106</v>
      </c>
      <c r="PJ1" s="26">
        <v>106</v>
      </c>
      <c r="PK1" s="26">
        <v>107</v>
      </c>
      <c r="PL1" s="26">
        <v>107</v>
      </c>
      <c r="PM1" s="26">
        <v>107</v>
      </c>
      <c r="PN1" s="26">
        <v>107</v>
      </c>
      <c r="PO1" s="26">
        <v>108</v>
      </c>
      <c r="PP1" s="26">
        <v>108</v>
      </c>
      <c r="PQ1" s="26">
        <v>108</v>
      </c>
      <c r="PR1" s="26">
        <v>108</v>
      </c>
      <c r="PS1" s="26">
        <v>109</v>
      </c>
      <c r="PT1" s="26">
        <v>109</v>
      </c>
      <c r="PU1" s="26">
        <v>109</v>
      </c>
      <c r="PV1" s="26">
        <v>109</v>
      </c>
      <c r="PW1" s="26">
        <v>110</v>
      </c>
      <c r="PX1" s="26">
        <v>110</v>
      </c>
      <c r="PY1" s="26">
        <v>110</v>
      </c>
      <c r="PZ1" s="26">
        <v>110</v>
      </c>
      <c r="QA1" s="26">
        <v>111</v>
      </c>
      <c r="QB1" s="26">
        <v>111</v>
      </c>
      <c r="QC1" s="26">
        <v>111</v>
      </c>
      <c r="QD1" s="26">
        <v>111</v>
      </c>
      <c r="QE1" s="26">
        <v>112</v>
      </c>
      <c r="QF1" s="26">
        <v>112</v>
      </c>
      <c r="QG1" s="26">
        <v>112</v>
      </c>
      <c r="QH1" s="26">
        <v>112</v>
      </c>
      <c r="QI1" s="26">
        <v>113</v>
      </c>
      <c r="QJ1" s="26">
        <v>113</v>
      </c>
      <c r="QK1" s="26">
        <v>113</v>
      </c>
      <c r="QL1" s="26">
        <v>113</v>
      </c>
      <c r="QM1" s="26">
        <v>114</v>
      </c>
      <c r="QN1" s="26">
        <v>114</v>
      </c>
      <c r="QO1" s="26">
        <v>114</v>
      </c>
      <c r="QP1" s="26">
        <v>114</v>
      </c>
      <c r="QQ1" s="26">
        <v>115</v>
      </c>
      <c r="QR1" s="26">
        <v>115</v>
      </c>
      <c r="QS1" s="26">
        <v>115</v>
      </c>
      <c r="QT1" s="26">
        <v>115</v>
      </c>
      <c r="QU1" s="26">
        <v>116</v>
      </c>
      <c r="QV1" s="26">
        <v>116</v>
      </c>
      <c r="QW1" s="26">
        <v>116</v>
      </c>
      <c r="QX1" s="26">
        <v>116</v>
      </c>
      <c r="QY1" s="26">
        <v>117</v>
      </c>
      <c r="QZ1" s="26">
        <v>117</v>
      </c>
      <c r="RA1" s="26">
        <v>117</v>
      </c>
      <c r="RB1" s="26">
        <v>117</v>
      </c>
      <c r="RC1" s="26">
        <v>118</v>
      </c>
      <c r="RD1" s="26">
        <v>118</v>
      </c>
      <c r="RE1" s="26">
        <v>118</v>
      </c>
      <c r="RF1" s="26">
        <v>118</v>
      </c>
      <c r="RG1" s="26">
        <v>119</v>
      </c>
      <c r="RH1" s="26">
        <v>119</v>
      </c>
      <c r="RI1" s="26">
        <v>119</v>
      </c>
      <c r="RJ1" s="26">
        <v>119</v>
      </c>
      <c r="RK1" s="26">
        <v>120</v>
      </c>
      <c r="RL1" s="26">
        <v>120</v>
      </c>
      <c r="RM1" s="26">
        <v>120</v>
      </c>
      <c r="RN1" s="26">
        <v>120</v>
      </c>
      <c r="RO1" s="26">
        <v>121</v>
      </c>
      <c r="RP1" s="26">
        <v>121</v>
      </c>
      <c r="RQ1" s="26">
        <v>121</v>
      </c>
      <c r="RR1" s="26">
        <v>121</v>
      </c>
      <c r="RS1" s="26">
        <v>122</v>
      </c>
      <c r="RT1" s="26">
        <v>122</v>
      </c>
      <c r="RU1" s="26">
        <v>122</v>
      </c>
      <c r="RV1" s="26">
        <v>122</v>
      </c>
      <c r="RW1" s="26">
        <v>123</v>
      </c>
      <c r="RX1" s="26">
        <v>123</v>
      </c>
      <c r="RY1" s="26">
        <v>123</v>
      </c>
      <c r="RZ1" s="26">
        <v>123</v>
      </c>
      <c r="SA1" s="26">
        <v>124</v>
      </c>
      <c r="SB1" s="26">
        <v>124</v>
      </c>
      <c r="SC1" s="26">
        <v>124</v>
      </c>
      <c r="SD1" s="26">
        <v>124</v>
      </c>
      <c r="SE1" s="26">
        <v>125</v>
      </c>
      <c r="SF1" s="26">
        <v>125</v>
      </c>
      <c r="SG1" s="26">
        <v>125</v>
      </c>
      <c r="SH1" s="26">
        <v>125</v>
      </c>
      <c r="SI1" s="26">
        <v>126</v>
      </c>
      <c r="SJ1" s="26">
        <v>126</v>
      </c>
      <c r="SK1" s="26">
        <v>126</v>
      </c>
      <c r="SL1" s="26">
        <v>126</v>
      </c>
      <c r="SM1" s="26">
        <v>127</v>
      </c>
      <c r="SN1" s="26">
        <v>127</v>
      </c>
      <c r="SO1" s="26">
        <v>127</v>
      </c>
      <c r="SP1" s="26">
        <v>127</v>
      </c>
      <c r="SQ1" s="26">
        <v>128</v>
      </c>
      <c r="SR1" s="26">
        <v>128</v>
      </c>
      <c r="SS1" s="26">
        <v>128</v>
      </c>
      <c r="ST1" s="26">
        <v>128</v>
      </c>
      <c r="SU1" s="26">
        <v>129</v>
      </c>
      <c r="SV1" s="26">
        <v>129</v>
      </c>
      <c r="SW1" s="26">
        <v>129</v>
      </c>
      <c r="SX1" s="26">
        <v>129</v>
      </c>
      <c r="SY1" s="26">
        <v>130</v>
      </c>
      <c r="SZ1" s="26">
        <v>130</v>
      </c>
      <c r="TA1" s="26">
        <v>130</v>
      </c>
      <c r="TB1" s="26">
        <v>130</v>
      </c>
      <c r="TC1" s="26">
        <v>131</v>
      </c>
      <c r="TD1" s="26">
        <v>131</v>
      </c>
      <c r="TE1" s="26">
        <v>131</v>
      </c>
      <c r="TF1" s="26">
        <v>131</v>
      </c>
      <c r="TG1" s="26">
        <v>132</v>
      </c>
      <c r="TH1" s="26">
        <v>132</v>
      </c>
      <c r="TI1" s="26">
        <v>132</v>
      </c>
      <c r="TJ1" s="26">
        <v>132</v>
      </c>
      <c r="TK1" s="26">
        <v>133</v>
      </c>
      <c r="TL1" s="26">
        <v>133</v>
      </c>
      <c r="TM1" s="26">
        <v>133</v>
      </c>
      <c r="TN1" s="26">
        <v>133</v>
      </c>
      <c r="TO1" s="26">
        <v>134</v>
      </c>
      <c r="TP1" s="26">
        <v>134</v>
      </c>
      <c r="TQ1" s="26">
        <v>134</v>
      </c>
      <c r="TR1" s="26">
        <v>134</v>
      </c>
      <c r="TS1" s="26">
        <v>135</v>
      </c>
      <c r="TT1" s="26">
        <v>135</v>
      </c>
      <c r="TU1" s="26">
        <v>135</v>
      </c>
      <c r="TV1" s="26">
        <v>135</v>
      </c>
      <c r="TW1" s="26">
        <v>136</v>
      </c>
      <c r="TX1" s="26">
        <v>136</v>
      </c>
      <c r="TY1" s="26">
        <v>136</v>
      </c>
      <c r="TZ1" s="26">
        <v>136</v>
      </c>
      <c r="UA1" s="26">
        <v>137</v>
      </c>
      <c r="UB1" s="26">
        <v>137</v>
      </c>
      <c r="UC1" s="26">
        <v>137</v>
      </c>
      <c r="UD1" s="26">
        <v>137</v>
      </c>
      <c r="UE1" s="26">
        <v>138</v>
      </c>
      <c r="UF1" s="26">
        <v>138</v>
      </c>
      <c r="UG1" s="26">
        <v>138</v>
      </c>
      <c r="UH1" s="26">
        <v>138</v>
      </c>
      <c r="UI1" s="26">
        <v>139</v>
      </c>
      <c r="UJ1" s="26">
        <v>139</v>
      </c>
      <c r="UK1" s="26">
        <v>139</v>
      </c>
      <c r="UL1" s="26">
        <v>139</v>
      </c>
      <c r="UM1" s="26">
        <v>140</v>
      </c>
      <c r="UN1" s="26">
        <v>140</v>
      </c>
      <c r="UO1" s="26">
        <v>140</v>
      </c>
      <c r="UP1" s="26">
        <v>140</v>
      </c>
      <c r="UQ1" s="26">
        <v>141</v>
      </c>
      <c r="UR1" s="26">
        <v>141</v>
      </c>
      <c r="US1" s="26">
        <v>141</v>
      </c>
      <c r="UT1" s="26">
        <v>141</v>
      </c>
    </row>
    <row r="2" spans="1:566" x14ac:dyDescent="0.2">
      <c r="A2" s="138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04"/>
      <c r="GK2" s="104"/>
      <c r="GL2" s="104"/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04"/>
      <c r="GZ2" s="104"/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04"/>
      <c r="HM2" s="104"/>
      <c r="HN2" s="104"/>
      <c r="HO2" s="104"/>
      <c r="HP2" s="104"/>
      <c r="HQ2" s="104"/>
      <c r="HR2" s="104"/>
      <c r="HS2" s="104"/>
      <c r="HT2" s="104"/>
      <c r="HU2" s="104"/>
      <c r="HV2" s="104"/>
      <c r="HW2" s="104"/>
      <c r="HX2" s="104"/>
      <c r="HY2" s="104"/>
      <c r="HZ2" s="104"/>
      <c r="IA2" s="104"/>
      <c r="IB2" s="104"/>
      <c r="IC2" s="104"/>
      <c r="ID2" s="104"/>
      <c r="IE2" s="104"/>
      <c r="IF2" s="104"/>
      <c r="IG2" s="104"/>
      <c r="IH2" s="104"/>
      <c r="II2" s="104"/>
      <c r="IJ2" s="104"/>
      <c r="IK2" s="104"/>
      <c r="IL2" s="104"/>
      <c r="IM2" s="104"/>
      <c r="IN2" s="104"/>
      <c r="IO2" s="104"/>
      <c r="IP2" s="104"/>
      <c r="IQ2" s="104"/>
      <c r="IR2" s="104"/>
      <c r="IS2" s="104"/>
      <c r="IT2" s="104"/>
      <c r="IU2" s="104"/>
      <c r="IV2" s="104"/>
      <c r="IW2" s="104"/>
      <c r="IX2" s="104"/>
      <c r="IY2" s="104"/>
      <c r="IZ2" s="104"/>
      <c r="JA2" s="104"/>
      <c r="JB2" s="104"/>
      <c r="JC2" s="104"/>
      <c r="JD2" s="104"/>
      <c r="JE2" s="104"/>
      <c r="JF2" s="104"/>
      <c r="JG2" s="104"/>
      <c r="JH2" s="104"/>
      <c r="JI2" s="104"/>
      <c r="JJ2" s="104"/>
      <c r="JK2" s="104"/>
      <c r="JL2" s="104"/>
      <c r="JM2" s="104"/>
      <c r="JN2" s="104"/>
      <c r="JO2" s="104"/>
      <c r="JP2" s="104"/>
      <c r="JQ2" s="104"/>
      <c r="JR2" s="104"/>
      <c r="JS2" s="104"/>
      <c r="JT2" s="104"/>
      <c r="JU2" s="104"/>
      <c r="JV2" s="104"/>
      <c r="JW2" s="104"/>
      <c r="JX2" s="104"/>
      <c r="JY2" s="104"/>
      <c r="JZ2" s="104"/>
      <c r="KA2" s="104"/>
      <c r="KB2" s="104"/>
      <c r="KC2" s="104"/>
      <c r="KD2" s="104"/>
      <c r="KE2" s="104"/>
      <c r="KF2" s="104"/>
      <c r="KG2" s="104"/>
      <c r="KH2" s="104"/>
      <c r="KI2" s="104"/>
      <c r="KJ2" s="104"/>
      <c r="KK2" s="104"/>
      <c r="KL2" s="104"/>
      <c r="KM2" s="104"/>
      <c r="KN2" s="104"/>
      <c r="KO2" s="104"/>
      <c r="KP2" s="104"/>
      <c r="KQ2" s="104"/>
      <c r="KR2" s="104"/>
      <c r="KS2" s="104"/>
      <c r="KT2" s="104"/>
      <c r="KU2" s="104"/>
      <c r="KV2" s="104"/>
      <c r="KW2" s="104"/>
      <c r="KX2" s="104"/>
      <c r="KY2" s="104"/>
      <c r="KZ2" s="104"/>
      <c r="LA2" s="104"/>
      <c r="LB2" s="104"/>
      <c r="LC2" s="104"/>
      <c r="LD2" s="104"/>
      <c r="LE2" s="104"/>
      <c r="LF2" s="104"/>
      <c r="LG2" s="104"/>
      <c r="LH2" s="104"/>
      <c r="LI2" s="104"/>
      <c r="LJ2" s="104"/>
      <c r="LK2" s="104"/>
      <c r="LL2" s="104"/>
      <c r="LM2" s="104"/>
      <c r="LN2" s="104"/>
      <c r="LO2" s="104"/>
      <c r="LP2" s="104"/>
      <c r="LQ2" s="104"/>
      <c r="LR2" s="104"/>
      <c r="LS2" s="104"/>
      <c r="LT2" s="104"/>
      <c r="LU2" s="104"/>
      <c r="LV2" s="104"/>
      <c r="LW2" s="104"/>
      <c r="LX2" s="104"/>
      <c r="LY2" s="104"/>
      <c r="LZ2" s="104"/>
      <c r="MA2" s="104"/>
      <c r="MB2" s="104"/>
      <c r="MC2" s="104"/>
      <c r="MD2" s="104"/>
      <c r="ME2" s="104"/>
      <c r="MF2" s="104"/>
      <c r="MG2" s="104"/>
      <c r="MH2" s="104"/>
      <c r="MI2" s="104"/>
      <c r="MJ2" s="104"/>
      <c r="MK2" s="104"/>
      <c r="ML2" s="104"/>
      <c r="MM2" s="104"/>
      <c r="MN2" s="104"/>
      <c r="MO2" s="104"/>
      <c r="MP2" s="104"/>
      <c r="MQ2" s="104"/>
      <c r="MR2" s="104"/>
      <c r="MS2" s="104"/>
      <c r="MT2" s="104"/>
      <c r="MU2" s="104"/>
      <c r="MV2" s="104"/>
      <c r="MW2" s="104"/>
      <c r="MX2" s="104"/>
      <c r="MY2" s="104"/>
      <c r="MZ2" s="104"/>
      <c r="NA2" s="104"/>
      <c r="NB2" s="104"/>
      <c r="NC2" s="104"/>
      <c r="ND2" s="104"/>
      <c r="NE2" s="104"/>
      <c r="NF2" s="104"/>
      <c r="NG2" s="104"/>
      <c r="NH2" s="104"/>
      <c r="NI2" s="104"/>
      <c r="NJ2" s="104"/>
      <c r="NK2" s="104"/>
      <c r="NL2" s="104"/>
      <c r="NM2" s="104"/>
      <c r="NN2" s="104"/>
      <c r="NO2" s="104"/>
      <c r="NP2" s="104"/>
      <c r="NQ2" s="104"/>
      <c r="NR2" s="104"/>
      <c r="NS2" s="104"/>
      <c r="NT2" s="104"/>
      <c r="NU2" s="104"/>
      <c r="NV2" s="104"/>
      <c r="NW2" s="104"/>
      <c r="NX2" s="104"/>
      <c r="NY2" s="104"/>
      <c r="NZ2" s="104"/>
      <c r="OA2" s="104"/>
      <c r="OB2" s="104"/>
      <c r="OC2" s="104"/>
      <c r="OD2" s="104"/>
      <c r="OE2" s="104"/>
      <c r="OF2" s="104"/>
      <c r="OG2" s="104"/>
      <c r="OH2" s="104"/>
      <c r="OI2" s="104"/>
      <c r="OJ2" s="104"/>
      <c r="OK2" s="104"/>
      <c r="OL2" s="104"/>
      <c r="OM2" s="104"/>
      <c r="ON2" s="104"/>
      <c r="OO2" s="104"/>
      <c r="OP2" s="104"/>
      <c r="OQ2" s="104"/>
      <c r="OR2" s="104"/>
      <c r="OS2" s="104"/>
      <c r="OT2" s="104"/>
      <c r="OU2" s="104"/>
      <c r="OV2" s="104"/>
      <c r="OW2" s="104"/>
      <c r="OX2" s="104"/>
      <c r="OY2" s="104"/>
      <c r="OZ2" s="104"/>
      <c r="PA2" s="104"/>
      <c r="PB2" s="104"/>
      <c r="PC2" s="104"/>
      <c r="PD2" s="104"/>
      <c r="PE2" s="104"/>
      <c r="PF2" s="104"/>
      <c r="PG2" s="104"/>
      <c r="PH2" s="104"/>
      <c r="PI2" s="104"/>
      <c r="PJ2" s="104"/>
      <c r="PK2" s="104"/>
      <c r="PL2" s="104"/>
      <c r="PM2" s="104"/>
      <c r="PN2" s="104"/>
      <c r="PO2" s="104"/>
      <c r="PP2" s="104"/>
      <c r="PQ2" s="104"/>
      <c r="PR2" s="104"/>
      <c r="PS2" s="104"/>
      <c r="PT2" s="104"/>
      <c r="PU2" s="104"/>
      <c r="PV2" s="104"/>
      <c r="PW2" s="104"/>
      <c r="PX2" s="104"/>
      <c r="PY2" s="104"/>
      <c r="PZ2" s="104"/>
      <c r="QA2" s="104"/>
      <c r="QB2" s="104"/>
      <c r="QC2" s="104"/>
      <c r="QD2" s="104"/>
      <c r="QE2" s="104"/>
      <c r="QF2" s="104"/>
      <c r="QG2" s="104"/>
      <c r="QH2" s="104"/>
      <c r="QI2" s="104"/>
      <c r="QJ2" s="104"/>
      <c r="QK2" s="104"/>
      <c r="QL2" s="104"/>
      <c r="QM2" s="104"/>
      <c r="QN2" s="104"/>
      <c r="QO2" s="104"/>
      <c r="QP2" s="104"/>
      <c r="QQ2" s="104"/>
      <c r="QR2" s="104"/>
      <c r="QS2" s="104"/>
      <c r="QT2" s="104"/>
      <c r="QU2" s="104"/>
      <c r="QV2" s="104"/>
      <c r="QW2" s="104"/>
      <c r="QX2" s="104"/>
      <c r="QY2" s="104"/>
      <c r="QZ2" s="104"/>
      <c r="RA2" s="104"/>
      <c r="RB2" s="104"/>
      <c r="RC2" s="104"/>
      <c r="RD2" s="104"/>
      <c r="RE2" s="104"/>
      <c r="RF2" s="104"/>
      <c r="RG2" s="104"/>
      <c r="RH2" s="104"/>
      <c r="RI2" s="104"/>
      <c r="RJ2" s="104"/>
      <c r="RK2" s="104"/>
      <c r="RL2" s="104"/>
      <c r="RM2" s="104"/>
      <c r="RN2" s="104"/>
      <c r="RO2" s="104"/>
      <c r="RP2" s="104"/>
      <c r="RQ2" s="104"/>
      <c r="RR2" s="104"/>
      <c r="RS2" s="104"/>
      <c r="RT2" s="104"/>
      <c r="RU2" s="104"/>
      <c r="RV2" s="104"/>
      <c r="RW2" s="104"/>
      <c r="RX2" s="104"/>
      <c r="RY2" s="104"/>
      <c r="RZ2" s="104"/>
      <c r="SA2" s="104"/>
      <c r="SB2" s="104"/>
      <c r="SC2" s="104"/>
      <c r="SD2" s="104"/>
      <c r="SE2" s="104"/>
      <c r="SF2" s="104"/>
      <c r="SG2" s="104"/>
      <c r="SH2" s="104"/>
      <c r="SI2" s="104"/>
      <c r="SJ2" s="104"/>
      <c r="SK2" s="104"/>
      <c r="SL2" s="104"/>
      <c r="SM2" s="104"/>
      <c r="SN2" s="104"/>
      <c r="SO2" s="104"/>
      <c r="SP2" s="104"/>
      <c r="SQ2" s="104"/>
      <c r="SR2" s="104"/>
      <c r="SS2" s="104"/>
      <c r="ST2" s="104"/>
      <c r="SU2" s="104"/>
      <c r="SV2" s="104"/>
      <c r="SW2" s="104"/>
      <c r="SX2" s="104"/>
      <c r="SY2" s="104"/>
      <c r="SZ2" s="104"/>
      <c r="TA2" s="104"/>
      <c r="TB2" s="104"/>
      <c r="TC2" s="104"/>
      <c r="TD2" s="104"/>
      <c r="TE2" s="104"/>
      <c r="TF2" s="104"/>
      <c r="TG2" s="104"/>
      <c r="TH2" s="104"/>
      <c r="TI2" s="104"/>
      <c r="TJ2" s="104"/>
      <c r="TK2" s="104"/>
      <c r="TL2" s="104"/>
      <c r="TM2" s="104"/>
      <c r="TN2" s="104"/>
      <c r="TO2" s="104"/>
      <c r="TP2" s="104"/>
      <c r="TQ2" s="104"/>
      <c r="TR2" s="104"/>
      <c r="TS2" s="104"/>
      <c r="TT2" s="104"/>
      <c r="TU2" s="104"/>
      <c r="TV2" s="104"/>
      <c r="TW2" s="104"/>
      <c r="TX2" s="104"/>
      <c r="TY2" s="104"/>
      <c r="TZ2" s="104"/>
      <c r="UA2" s="104"/>
      <c r="UB2" s="104"/>
      <c r="UC2" s="104"/>
      <c r="UD2" s="104"/>
      <c r="UE2" s="104"/>
      <c r="UF2" s="104"/>
      <c r="UG2" s="104"/>
      <c r="UH2" s="104"/>
      <c r="UI2" s="104"/>
      <c r="UJ2" s="104"/>
      <c r="UK2" s="104"/>
      <c r="UL2" s="104"/>
      <c r="UM2" s="104"/>
      <c r="UN2" s="104"/>
      <c r="UO2" s="104"/>
      <c r="UP2" s="104"/>
      <c r="UQ2" s="104"/>
      <c r="UR2" s="104"/>
      <c r="US2" s="104"/>
      <c r="UT2" s="104"/>
    </row>
    <row r="3" spans="1:566" ht="16" x14ac:dyDescent="0.2">
      <c r="B3" s="40" t="s">
        <v>4</v>
      </c>
      <c r="C3" s="106" t="s">
        <v>47</v>
      </c>
      <c r="D3" s="106" t="s">
        <v>48</v>
      </c>
      <c r="E3" s="106" t="s">
        <v>49</v>
      </c>
      <c r="F3" s="106" t="s">
        <v>621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N3" t="s">
        <v>83</v>
      </c>
      <c r="AO3" t="s">
        <v>84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91</v>
      </c>
      <c r="AW3" t="s">
        <v>92</v>
      </c>
      <c r="AX3" t="s">
        <v>93</v>
      </c>
      <c r="AY3" t="s">
        <v>94</v>
      </c>
      <c r="AZ3" t="s">
        <v>95</v>
      </c>
      <c r="BA3" t="s">
        <v>96</v>
      </c>
      <c r="BB3" t="s">
        <v>97</v>
      </c>
      <c r="BC3" t="s">
        <v>98</v>
      </c>
      <c r="BD3" t="s">
        <v>99</v>
      </c>
      <c r="BE3" t="s">
        <v>100</v>
      </c>
      <c r="BF3" t="s">
        <v>101</v>
      </c>
      <c r="BG3" t="s">
        <v>102</v>
      </c>
      <c r="BH3" t="s">
        <v>103</v>
      </c>
      <c r="BI3" t="s">
        <v>104</v>
      </c>
      <c r="BJ3" t="s">
        <v>105</v>
      </c>
      <c r="BK3" t="s">
        <v>106</v>
      </c>
      <c r="BL3" t="s">
        <v>107</v>
      </c>
      <c r="BM3" t="s">
        <v>108</v>
      </c>
      <c r="BN3" t="s">
        <v>109</v>
      </c>
      <c r="BO3" t="s">
        <v>110</v>
      </c>
      <c r="BP3" t="s">
        <v>111</v>
      </c>
      <c r="BQ3" t="s">
        <v>112</v>
      </c>
      <c r="BR3" t="s">
        <v>113</v>
      </c>
      <c r="BS3" t="s">
        <v>114</v>
      </c>
      <c r="BT3" t="s">
        <v>115</v>
      </c>
      <c r="BU3" t="s">
        <v>116</v>
      </c>
      <c r="BV3" t="s">
        <v>117</v>
      </c>
      <c r="BW3" t="s">
        <v>118</v>
      </c>
      <c r="BX3" t="s">
        <v>119</v>
      </c>
      <c r="BY3" t="s">
        <v>120</v>
      </c>
      <c r="BZ3" t="s">
        <v>121</v>
      </c>
      <c r="CA3" t="s">
        <v>122</v>
      </c>
      <c r="CB3" t="s">
        <v>123</v>
      </c>
      <c r="CC3" t="s">
        <v>124</v>
      </c>
      <c r="CD3" t="s">
        <v>125</v>
      </c>
      <c r="CE3" t="s">
        <v>126</v>
      </c>
      <c r="CF3" t="s">
        <v>127</v>
      </c>
      <c r="CG3" t="s">
        <v>128</v>
      </c>
      <c r="CH3" t="s">
        <v>129</v>
      </c>
      <c r="CI3" t="s">
        <v>130</v>
      </c>
      <c r="CJ3" t="s">
        <v>131</v>
      </c>
      <c r="CK3" t="s">
        <v>132</v>
      </c>
      <c r="CL3" t="s">
        <v>133</v>
      </c>
      <c r="CM3" t="s">
        <v>134</v>
      </c>
      <c r="CN3" t="s">
        <v>135</v>
      </c>
      <c r="CO3" t="s">
        <v>136</v>
      </c>
      <c r="CP3" t="s">
        <v>137</v>
      </c>
      <c r="CQ3" t="s">
        <v>138</v>
      </c>
      <c r="CR3" t="s">
        <v>139</v>
      </c>
      <c r="CS3" t="s">
        <v>140</v>
      </c>
      <c r="CT3" t="s">
        <v>141</v>
      </c>
      <c r="CU3" t="s">
        <v>142</v>
      </c>
      <c r="CV3" t="s">
        <v>143</v>
      </c>
      <c r="CW3" t="s">
        <v>144</v>
      </c>
      <c r="CX3" t="s">
        <v>145</v>
      </c>
      <c r="CY3" t="s">
        <v>146</v>
      </c>
      <c r="CZ3" t="s">
        <v>147</v>
      </c>
      <c r="DA3" t="s">
        <v>148</v>
      </c>
      <c r="DB3" t="s">
        <v>149</v>
      </c>
      <c r="DC3" t="s">
        <v>150</v>
      </c>
      <c r="DD3" t="s">
        <v>151</v>
      </c>
      <c r="DE3" t="s">
        <v>152</v>
      </c>
      <c r="DF3" t="s">
        <v>153</v>
      </c>
      <c r="DG3" t="s">
        <v>154</v>
      </c>
      <c r="DH3" t="s">
        <v>155</v>
      </c>
      <c r="DI3" t="s">
        <v>156</v>
      </c>
      <c r="DJ3" t="s">
        <v>157</v>
      </c>
      <c r="DK3" t="s">
        <v>158</v>
      </c>
      <c r="DL3" t="s">
        <v>159</v>
      </c>
      <c r="DM3" t="s">
        <v>160</v>
      </c>
      <c r="DN3" t="s">
        <v>161</v>
      </c>
      <c r="DO3" t="s">
        <v>162</v>
      </c>
      <c r="DP3" t="s">
        <v>163</v>
      </c>
      <c r="DQ3" t="s">
        <v>164</v>
      </c>
      <c r="DR3" t="s">
        <v>165</v>
      </c>
      <c r="DS3" t="s">
        <v>166</v>
      </c>
      <c r="DT3" t="s">
        <v>167</v>
      </c>
      <c r="DU3" t="s">
        <v>168</v>
      </c>
      <c r="DV3" t="s">
        <v>169</v>
      </c>
      <c r="DW3" t="s">
        <v>170</v>
      </c>
      <c r="DX3" t="s">
        <v>171</v>
      </c>
      <c r="DY3" t="s">
        <v>172</v>
      </c>
      <c r="DZ3" t="s">
        <v>173</v>
      </c>
      <c r="EA3" t="s">
        <v>174</v>
      </c>
      <c r="EB3" t="s">
        <v>175</v>
      </c>
      <c r="EC3" t="s">
        <v>176</v>
      </c>
      <c r="ED3" t="s">
        <v>177</v>
      </c>
      <c r="EE3" t="s">
        <v>178</v>
      </c>
      <c r="EF3" t="s">
        <v>179</v>
      </c>
      <c r="EG3" t="s">
        <v>180</v>
      </c>
      <c r="EH3" t="s">
        <v>181</v>
      </c>
      <c r="EI3" t="s">
        <v>182</v>
      </c>
      <c r="EJ3" t="s">
        <v>183</v>
      </c>
      <c r="EK3" t="s">
        <v>184</v>
      </c>
      <c r="EL3" t="s">
        <v>185</v>
      </c>
      <c r="EM3" t="s">
        <v>186</v>
      </c>
      <c r="EN3" t="s">
        <v>187</v>
      </c>
      <c r="EO3" t="s">
        <v>188</v>
      </c>
      <c r="EP3" t="s">
        <v>189</v>
      </c>
      <c r="EQ3" t="s">
        <v>190</v>
      </c>
      <c r="ER3" t="s">
        <v>191</v>
      </c>
      <c r="ES3" t="s">
        <v>192</v>
      </c>
      <c r="ET3" t="s">
        <v>193</v>
      </c>
      <c r="EU3" t="s">
        <v>194</v>
      </c>
      <c r="EV3" t="s">
        <v>195</v>
      </c>
      <c r="EW3" t="s">
        <v>196</v>
      </c>
      <c r="EX3" t="s">
        <v>197</v>
      </c>
      <c r="EY3" t="s">
        <v>198</v>
      </c>
      <c r="EZ3" t="s">
        <v>199</v>
      </c>
      <c r="FA3" t="s">
        <v>200</v>
      </c>
      <c r="FB3" t="s">
        <v>201</v>
      </c>
      <c r="FC3" t="s">
        <v>202</v>
      </c>
      <c r="FD3" t="s">
        <v>203</v>
      </c>
      <c r="FE3" t="s">
        <v>204</v>
      </c>
      <c r="FF3" t="s">
        <v>205</v>
      </c>
      <c r="FG3" t="s">
        <v>206</v>
      </c>
      <c r="FH3" t="s">
        <v>207</v>
      </c>
      <c r="FI3" t="s">
        <v>208</v>
      </c>
      <c r="FJ3" t="s">
        <v>209</v>
      </c>
      <c r="FK3" t="s">
        <v>210</v>
      </c>
      <c r="FL3" t="s">
        <v>211</v>
      </c>
      <c r="FM3" t="s">
        <v>212</v>
      </c>
      <c r="FN3" t="s">
        <v>213</v>
      </c>
      <c r="FO3" t="s">
        <v>214</v>
      </c>
      <c r="FP3" t="s">
        <v>215</v>
      </c>
      <c r="FQ3" t="s">
        <v>216</v>
      </c>
      <c r="FR3" t="s">
        <v>217</v>
      </c>
      <c r="FS3" t="s">
        <v>218</v>
      </c>
      <c r="FT3" t="s">
        <v>219</v>
      </c>
      <c r="FU3" t="s">
        <v>220</v>
      </c>
      <c r="FV3" t="s">
        <v>221</v>
      </c>
      <c r="FW3" t="s">
        <v>222</v>
      </c>
      <c r="FX3" t="s">
        <v>223</v>
      </c>
      <c r="FY3" t="s">
        <v>224</v>
      </c>
      <c r="FZ3" t="s">
        <v>225</v>
      </c>
      <c r="GA3" t="s">
        <v>226</v>
      </c>
      <c r="GB3" t="s">
        <v>227</v>
      </c>
      <c r="GC3" t="s">
        <v>228</v>
      </c>
      <c r="GD3" t="s">
        <v>229</v>
      </c>
      <c r="GE3" t="s">
        <v>230</v>
      </c>
      <c r="GF3" t="s">
        <v>231</v>
      </c>
      <c r="GG3" t="s">
        <v>232</v>
      </c>
      <c r="GH3" t="s">
        <v>233</v>
      </c>
      <c r="GI3" t="s">
        <v>234</v>
      </c>
      <c r="GJ3" t="s">
        <v>235</v>
      </c>
      <c r="GK3" t="s">
        <v>236</v>
      </c>
      <c r="GL3" t="s">
        <v>237</v>
      </c>
      <c r="GM3" t="s">
        <v>238</v>
      </c>
      <c r="GN3" t="s">
        <v>239</v>
      </c>
      <c r="GO3" t="s">
        <v>240</v>
      </c>
      <c r="GP3" t="s">
        <v>241</v>
      </c>
      <c r="GQ3" t="s">
        <v>242</v>
      </c>
      <c r="GR3" t="s">
        <v>243</v>
      </c>
      <c r="GS3" t="s">
        <v>244</v>
      </c>
      <c r="GT3" t="s">
        <v>245</v>
      </c>
      <c r="GU3" t="s">
        <v>246</v>
      </c>
      <c r="GV3" t="s">
        <v>247</v>
      </c>
      <c r="GW3" t="s">
        <v>248</v>
      </c>
      <c r="GX3" t="s">
        <v>249</v>
      </c>
      <c r="GY3" t="s">
        <v>250</v>
      </c>
      <c r="GZ3" t="s">
        <v>251</v>
      </c>
      <c r="HA3" t="s">
        <v>252</v>
      </c>
      <c r="HB3" t="s">
        <v>253</v>
      </c>
      <c r="HC3" t="s">
        <v>254</v>
      </c>
      <c r="HD3" t="s">
        <v>255</v>
      </c>
      <c r="HE3" t="s">
        <v>256</v>
      </c>
      <c r="HF3" t="s">
        <v>257</v>
      </c>
      <c r="HG3" t="s">
        <v>258</v>
      </c>
      <c r="HH3" t="s">
        <v>259</v>
      </c>
      <c r="HI3" t="s">
        <v>260</v>
      </c>
      <c r="HJ3" t="s">
        <v>261</v>
      </c>
      <c r="HK3" t="s">
        <v>262</v>
      </c>
      <c r="HL3" t="s">
        <v>263</v>
      </c>
      <c r="HM3" t="s">
        <v>264</v>
      </c>
      <c r="HN3" t="s">
        <v>265</v>
      </c>
      <c r="HO3" t="s">
        <v>266</v>
      </c>
      <c r="HP3" t="s">
        <v>267</v>
      </c>
      <c r="HQ3" t="s">
        <v>268</v>
      </c>
      <c r="HR3" t="s">
        <v>269</v>
      </c>
      <c r="HS3" t="s">
        <v>270</v>
      </c>
      <c r="HT3" t="s">
        <v>271</v>
      </c>
      <c r="HU3" t="s">
        <v>272</v>
      </c>
      <c r="HV3" t="s">
        <v>273</v>
      </c>
      <c r="HW3" t="s">
        <v>274</v>
      </c>
      <c r="HX3" t="s">
        <v>275</v>
      </c>
      <c r="HY3" t="s">
        <v>276</v>
      </c>
      <c r="HZ3" t="s">
        <v>277</v>
      </c>
      <c r="IA3" t="s">
        <v>278</v>
      </c>
      <c r="IB3" t="s">
        <v>279</v>
      </c>
      <c r="IC3" t="s">
        <v>280</v>
      </c>
      <c r="ID3" t="s">
        <v>281</v>
      </c>
      <c r="IE3" t="s">
        <v>282</v>
      </c>
      <c r="IF3" t="s">
        <v>283</v>
      </c>
      <c r="IG3" t="s">
        <v>284</v>
      </c>
      <c r="IH3" t="s">
        <v>285</v>
      </c>
      <c r="II3" t="s">
        <v>286</v>
      </c>
      <c r="IJ3" t="s">
        <v>287</v>
      </c>
      <c r="IK3" t="s">
        <v>288</v>
      </c>
      <c r="IL3" t="s">
        <v>289</v>
      </c>
      <c r="IM3" t="s">
        <v>290</v>
      </c>
      <c r="IN3" t="s">
        <v>291</v>
      </c>
      <c r="IO3" t="s">
        <v>292</v>
      </c>
      <c r="IP3" t="s">
        <v>293</v>
      </c>
      <c r="IQ3" t="s">
        <v>294</v>
      </c>
      <c r="IR3" t="s">
        <v>295</v>
      </c>
      <c r="IS3" t="s">
        <v>296</v>
      </c>
      <c r="IT3" t="s">
        <v>297</v>
      </c>
      <c r="IU3" t="s">
        <v>298</v>
      </c>
      <c r="IV3" t="s">
        <v>299</v>
      </c>
      <c r="IW3" t="s">
        <v>300</v>
      </c>
      <c r="IX3" t="s">
        <v>301</v>
      </c>
      <c r="IY3" t="s">
        <v>302</v>
      </c>
      <c r="IZ3" t="s">
        <v>303</v>
      </c>
      <c r="JA3" t="s">
        <v>304</v>
      </c>
      <c r="JB3" t="s">
        <v>305</v>
      </c>
      <c r="JC3" t="s">
        <v>306</v>
      </c>
      <c r="JD3" t="s">
        <v>307</v>
      </c>
      <c r="JE3" t="s">
        <v>308</v>
      </c>
      <c r="JF3" t="s">
        <v>309</v>
      </c>
      <c r="JG3" t="s">
        <v>310</v>
      </c>
      <c r="JH3" t="s">
        <v>311</v>
      </c>
      <c r="JI3" t="s">
        <v>312</v>
      </c>
      <c r="JJ3" t="s">
        <v>313</v>
      </c>
      <c r="JK3" t="s">
        <v>314</v>
      </c>
      <c r="JL3" t="s">
        <v>315</v>
      </c>
      <c r="JM3" t="s">
        <v>316</v>
      </c>
      <c r="JN3" t="s">
        <v>317</v>
      </c>
      <c r="JO3" t="s">
        <v>318</v>
      </c>
      <c r="JP3" t="s">
        <v>319</v>
      </c>
      <c r="JQ3" t="s">
        <v>320</v>
      </c>
      <c r="JR3" t="s">
        <v>321</v>
      </c>
      <c r="JS3" t="s">
        <v>322</v>
      </c>
      <c r="JT3" t="s">
        <v>323</v>
      </c>
      <c r="JU3" t="s">
        <v>324</v>
      </c>
      <c r="JV3" t="s">
        <v>325</v>
      </c>
      <c r="JW3" t="s">
        <v>326</v>
      </c>
      <c r="JX3" t="s">
        <v>327</v>
      </c>
      <c r="JY3" t="s">
        <v>328</v>
      </c>
      <c r="JZ3" t="s">
        <v>329</v>
      </c>
      <c r="KA3" t="s">
        <v>330</v>
      </c>
      <c r="KB3" t="s">
        <v>331</v>
      </c>
      <c r="KC3" t="s">
        <v>332</v>
      </c>
      <c r="KD3" t="s">
        <v>333</v>
      </c>
      <c r="KE3" t="s">
        <v>334</v>
      </c>
      <c r="KF3" t="s">
        <v>335</v>
      </c>
      <c r="KG3" t="s">
        <v>336</v>
      </c>
      <c r="KH3" t="s">
        <v>337</v>
      </c>
      <c r="KI3" t="s">
        <v>338</v>
      </c>
      <c r="KJ3" t="s">
        <v>339</v>
      </c>
      <c r="KK3" t="s">
        <v>340</v>
      </c>
      <c r="KL3" t="s">
        <v>341</v>
      </c>
      <c r="KM3" t="s">
        <v>342</v>
      </c>
      <c r="KN3" t="s">
        <v>343</v>
      </c>
      <c r="KO3" t="s">
        <v>344</v>
      </c>
      <c r="KP3" t="s">
        <v>345</v>
      </c>
      <c r="KQ3" t="s">
        <v>346</v>
      </c>
      <c r="KR3" t="s">
        <v>347</v>
      </c>
      <c r="KS3" t="s">
        <v>348</v>
      </c>
      <c r="KT3" t="s">
        <v>349</v>
      </c>
      <c r="KU3" t="s">
        <v>350</v>
      </c>
      <c r="KV3" t="s">
        <v>351</v>
      </c>
      <c r="KW3" t="s">
        <v>352</v>
      </c>
      <c r="KX3" t="s">
        <v>353</v>
      </c>
      <c r="KY3" t="s">
        <v>354</v>
      </c>
      <c r="KZ3" t="s">
        <v>355</v>
      </c>
      <c r="LA3" t="s">
        <v>356</v>
      </c>
      <c r="LB3" t="s">
        <v>357</v>
      </c>
      <c r="LC3" t="s">
        <v>358</v>
      </c>
      <c r="LD3" t="s">
        <v>359</v>
      </c>
      <c r="LE3" t="s">
        <v>360</v>
      </c>
      <c r="LF3" t="s">
        <v>361</v>
      </c>
      <c r="LG3" t="s">
        <v>362</v>
      </c>
      <c r="LH3" t="s">
        <v>363</v>
      </c>
      <c r="LI3" t="s">
        <v>364</v>
      </c>
      <c r="LJ3" t="s">
        <v>365</v>
      </c>
      <c r="LK3" t="s">
        <v>366</v>
      </c>
      <c r="LL3" t="s">
        <v>367</v>
      </c>
      <c r="LM3" t="s">
        <v>368</v>
      </c>
      <c r="LN3" t="s">
        <v>369</v>
      </c>
      <c r="LO3" t="s">
        <v>370</v>
      </c>
      <c r="LP3" t="s">
        <v>371</v>
      </c>
      <c r="LQ3" t="s">
        <v>372</v>
      </c>
      <c r="LR3" t="s">
        <v>373</v>
      </c>
      <c r="LS3" t="s">
        <v>374</v>
      </c>
      <c r="LT3" t="s">
        <v>375</v>
      </c>
      <c r="LU3" t="s">
        <v>376</v>
      </c>
      <c r="LV3" t="s">
        <v>377</v>
      </c>
      <c r="LW3" t="s">
        <v>378</v>
      </c>
      <c r="LX3" t="s">
        <v>379</v>
      </c>
      <c r="LY3" t="s">
        <v>380</v>
      </c>
      <c r="LZ3" t="s">
        <v>381</v>
      </c>
      <c r="MA3" t="s">
        <v>382</v>
      </c>
      <c r="MB3" t="s">
        <v>383</v>
      </c>
      <c r="MC3" t="s">
        <v>384</v>
      </c>
      <c r="MD3" t="s">
        <v>385</v>
      </c>
      <c r="ME3" t="s">
        <v>386</v>
      </c>
      <c r="MF3" t="s">
        <v>387</v>
      </c>
      <c r="MG3" t="s">
        <v>388</v>
      </c>
      <c r="MH3" t="s">
        <v>389</v>
      </c>
      <c r="MI3" t="s">
        <v>390</v>
      </c>
      <c r="MJ3" t="s">
        <v>391</v>
      </c>
      <c r="MK3" t="s">
        <v>392</v>
      </c>
      <c r="ML3" t="s">
        <v>393</v>
      </c>
      <c r="MM3" t="s">
        <v>394</v>
      </c>
      <c r="MN3" t="s">
        <v>395</v>
      </c>
      <c r="MO3" t="s">
        <v>396</v>
      </c>
      <c r="MP3" t="s">
        <v>397</v>
      </c>
      <c r="MQ3" t="s">
        <v>398</v>
      </c>
      <c r="MR3" t="s">
        <v>399</v>
      </c>
      <c r="MS3" t="s">
        <v>400</v>
      </c>
      <c r="MT3" t="s">
        <v>401</v>
      </c>
      <c r="MU3" t="s">
        <v>402</v>
      </c>
      <c r="MV3" t="s">
        <v>403</v>
      </c>
      <c r="MW3" t="s">
        <v>404</v>
      </c>
      <c r="MX3" t="s">
        <v>405</v>
      </c>
      <c r="MY3" t="s">
        <v>406</v>
      </c>
      <c r="MZ3" t="s">
        <v>407</v>
      </c>
      <c r="NA3" t="s">
        <v>408</v>
      </c>
      <c r="NB3" t="s">
        <v>409</v>
      </c>
      <c r="NC3" t="s">
        <v>410</v>
      </c>
      <c r="ND3" t="s">
        <v>411</v>
      </c>
      <c r="NE3" t="s">
        <v>412</v>
      </c>
      <c r="NF3" t="s">
        <v>413</v>
      </c>
      <c r="NG3" t="s">
        <v>414</v>
      </c>
      <c r="NH3" t="s">
        <v>415</v>
      </c>
      <c r="NI3" t="s">
        <v>416</v>
      </c>
      <c r="NJ3" t="s">
        <v>417</v>
      </c>
      <c r="NK3" t="s">
        <v>418</v>
      </c>
      <c r="NL3" t="s">
        <v>419</v>
      </c>
      <c r="NM3" t="s">
        <v>420</v>
      </c>
      <c r="NN3" t="s">
        <v>421</v>
      </c>
      <c r="NO3" t="s">
        <v>422</v>
      </c>
      <c r="NP3" t="s">
        <v>423</v>
      </c>
      <c r="NQ3" t="s">
        <v>424</v>
      </c>
      <c r="NR3" t="s">
        <v>425</v>
      </c>
      <c r="NS3" t="s">
        <v>426</v>
      </c>
      <c r="NT3" t="s">
        <v>427</v>
      </c>
      <c r="NU3" t="s">
        <v>428</v>
      </c>
      <c r="NV3" t="s">
        <v>429</v>
      </c>
      <c r="NW3" t="s">
        <v>430</v>
      </c>
      <c r="NX3" t="s">
        <v>431</v>
      </c>
      <c r="NY3" t="s">
        <v>432</v>
      </c>
      <c r="NZ3" t="s">
        <v>433</v>
      </c>
      <c r="OA3" t="s">
        <v>434</v>
      </c>
      <c r="OB3" t="s">
        <v>435</v>
      </c>
      <c r="OC3" t="s">
        <v>436</v>
      </c>
      <c r="OD3" t="s">
        <v>437</v>
      </c>
      <c r="OE3" t="s">
        <v>438</v>
      </c>
      <c r="OF3" t="s">
        <v>439</v>
      </c>
      <c r="OG3" t="s">
        <v>440</v>
      </c>
      <c r="OH3" t="s">
        <v>441</v>
      </c>
      <c r="OI3" t="s">
        <v>442</v>
      </c>
      <c r="OJ3" t="s">
        <v>443</v>
      </c>
      <c r="OK3" t="s">
        <v>444</v>
      </c>
      <c r="OL3" t="s">
        <v>445</v>
      </c>
      <c r="OM3" t="s">
        <v>446</v>
      </c>
      <c r="ON3" t="s">
        <v>447</v>
      </c>
      <c r="OO3" t="s">
        <v>448</v>
      </c>
      <c r="OP3" t="s">
        <v>449</v>
      </c>
      <c r="OQ3" t="s">
        <v>450</v>
      </c>
      <c r="OR3" t="s">
        <v>451</v>
      </c>
      <c r="OS3" t="s">
        <v>452</v>
      </c>
      <c r="OT3" t="s">
        <v>453</v>
      </c>
      <c r="OU3" t="s">
        <v>454</v>
      </c>
      <c r="OV3" t="s">
        <v>455</v>
      </c>
      <c r="OW3" t="s">
        <v>456</v>
      </c>
      <c r="OX3" t="s">
        <v>457</v>
      </c>
      <c r="OY3" t="s">
        <v>458</v>
      </c>
      <c r="OZ3" t="s">
        <v>459</v>
      </c>
      <c r="PA3" t="s">
        <v>460</v>
      </c>
      <c r="PB3" t="s">
        <v>461</v>
      </c>
      <c r="PC3" t="s">
        <v>462</v>
      </c>
      <c r="PD3" t="s">
        <v>463</v>
      </c>
      <c r="PE3" t="s">
        <v>464</v>
      </c>
      <c r="PF3" t="s">
        <v>465</v>
      </c>
      <c r="PG3" t="s">
        <v>466</v>
      </c>
      <c r="PH3" t="s">
        <v>467</v>
      </c>
      <c r="PI3" t="s">
        <v>468</v>
      </c>
      <c r="PJ3" t="s">
        <v>469</v>
      </c>
      <c r="PK3" t="s">
        <v>470</v>
      </c>
      <c r="PL3" t="s">
        <v>471</v>
      </c>
      <c r="PM3" t="s">
        <v>472</v>
      </c>
      <c r="PN3" t="s">
        <v>473</v>
      </c>
      <c r="PO3" t="s">
        <v>474</v>
      </c>
      <c r="PP3" t="s">
        <v>475</v>
      </c>
      <c r="PQ3" t="s">
        <v>476</v>
      </c>
      <c r="PR3" t="s">
        <v>477</v>
      </c>
      <c r="PS3" t="s">
        <v>478</v>
      </c>
      <c r="PT3" t="s">
        <v>479</v>
      </c>
      <c r="PU3" t="s">
        <v>480</v>
      </c>
      <c r="PV3" t="s">
        <v>481</v>
      </c>
      <c r="PW3" t="s">
        <v>482</v>
      </c>
      <c r="PX3" t="s">
        <v>483</v>
      </c>
      <c r="PY3" t="s">
        <v>484</v>
      </c>
      <c r="PZ3" t="s">
        <v>485</v>
      </c>
      <c r="QA3" t="s">
        <v>486</v>
      </c>
      <c r="QB3" t="s">
        <v>487</v>
      </c>
      <c r="QC3" t="s">
        <v>488</v>
      </c>
      <c r="QD3" t="s">
        <v>489</v>
      </c>
      <c r="QE3" t="s">
        <v>490</v>
      </c>
      <c r="QF3" t="s">
        <v>491</v>
      </c>
      <c r="QG3" t="s">
        <v>492</v>
      </c>
      <c r="QH3" t="s">
        <v>493</v>
      </c>
      <c r="QI3" t="s">
        <v>494</v>
      </c>
      <c r="QJ3" t="s">
        <v>495</v>
      </c>
      <c r="QK3" t="s">
        <v>496</v>
      </c>
      <c r="QL3" t="s">
        <v>497</v>
      </c>
      <c r="QM3" t="s">
        <v>498</v>
      </c>
      <c r="QN3" t="s">
        <v>499</v>
      </c>
      <c r="QO3" t="s">
        <v>500</v>
      </c>
      <c r="QP3" t="s">
        <v>501</v>
      </c>
      <c r="QQ3" t="s">
        <v>502</v>
      </c>
      <c r="QR3" t="s">
        <v>503</v>
      </c>
      <c r="QS3" t="s">
        <v>504</v>
      </c>
      <c r="QT3" t="s">
        <v>505</v>
      </c>
      <c r="QU3" t="s">
        <v>506</v>
      </c>
      <c r="QV3" t="s">
        <v>507</v>
      </c>
      <c r="QW3" t="s">
        <v>508</v>
      </c>
      <c r="QX3" t="s">
        <v>509</v>
      </c>
      <c r="QY3" t="s">
        <v>510</v>
      </c>
      <c r="QZ3" t="s">
        <v>511</v>
      </c>
      <c r="RA3" t="s">
        <v>512</v>
      </c>
      <c r="RB3" t="s">
        <v>513</v>
      </c>
      <c r="RC3" t="s">
        <v>514</v>
      </c>
      <c r="RD3" t="s">
        <v>515</v>
      </c>
      <c r="RE3" t="s">
        <v>516</v>
      </c>
      <c r="RF3" t="s">
        <v>517</v>
      </c>
      <c r="RG3" t="s">
        <v>518</v>
      </c>
      <c r="RH3" t="s">
        <v>519</v>
      </c>
      <c r="RI3" t="s">
        <v>520</v>
      </c>
      <c r="RJ3" t="s">
        <v>521</v>
      </c>
      <c r="RK3" t="s">
        <v>522</v>
      </c>
      <c r="RL3" t="s">
        <v>523</v>
      </c>
      <c r="RM3" t="s">
        <v>524</v>
      </c>
      <c r="RN3" t="s">
        <v>525</v>
      </c>
      <c r="RO3" t="s">
        <v>526</v>
      </c>
      <c r="RP3" t="s">
        <v>527</v>
      </c>
      <c r="RQ3" t="s">
        <v>528</v>
      </c>
      <c r="RR3" t="s">
        <v>529</v>
      </c>
      <c r="RS3" t="s">
        <v>530</v>
      </c>
      <c r="RT3" t="s">
        <v>531</v>
      </c>
      <c r="RU3" t="s">
        <v>532</v>
      </c>
      <c r="RV3" t="s">
        <v>533</v>
      </c>
      <c r="RW3" t="s">
        <v>534</v>
      </c>
      <c r="RX3" t="s">
        <v>535</v>
      </c>
      <c r="RY3" t="s">
        <v>536</v>
      </c>
      <c r="RZ3" t="s">
        <v>537</v>
      </c>
      <c r="SA3" t="s">
        <v>538</v>
      </c>
      <c r="SB3" t="s">
        <v>539</v>
      </c>
      <c r="SC3" t="s">
        <v>540</v>
      </c>
      <c r="SD3" t="s">
        <v>541</v>
      </c>
      <c r="SE3" t="s">
        <v>542</v>
      </c>
      <c r="SF3" t="s">
        <v>543</v>
      </c>
      <c r="SG3" t="s">
        <v>544</v>
      </c>
      <c r="SH3" t="s">
        <v>545</v>
      </c>
      <c r="SI3" t="s">
        <v>546</v>
      </c>
      <c r="SJ3" t="s">
        <v>547</v>
      </c>
      <c r="SK3" t="s">
        <v>548</v>
      </c>
      <c r="SL3" t="s">
        <v>549</v>
      </c>
      <c r="SM3" t="s">
        <v>550</v>
      </c>
      <c r="SN3" t="s">
        <v>551</v>
      </c>
      <c r="SO3" t="s">
        <v>552</v>
      </c>
      <c r="SP3" t="s">
        <v>553</v>
      </c>
      <c r="SQ3" t="s">
        <v>554</v>
      </c>
      <c r="SR3" t="s">
        <v>555</v>
      </c>
      <c r="SS3" t="s">
        <v>556</v>
      </c>
      <c r="ST3" t="s">
        <v>557</v>
      </c>
      <c r="SU3" t="s">
        <v>558</v>
      </c>
      <c r="SV3" t="s">
        <v>559</v>
      </c>
      <c r="SW3" t="s">
        <v>560</v>
      </c>
      <c r="SX3" t="s">
        <v>561</v>
      </c>
      <c r="SY3" t="s">
        <v>562</v>
      </c>
      <c r="SZ3" t="s">
        <v>563</v>
      </c>
      <c r="TA3" t="s">
        <v>564</v>
      </c>
      <c r="TB3" t="s">
        <v>565</v>
      </c>
      <c r="TC3" t="s">
        <v>566</v>
      </c>
      <c r="TD3" t="s">
        <v>567</v>
      </c>
      <c r="TE3" t="s">
        <v>568</v>
      </c>
      <c r="TF3" t="s">
        <v>569</v>
      </c>
      <c r="TG3" t="s">
        <v>570</v>
      </c>
      <c r="TH3" t="s">
        <v>571</v>
      </c>
      <c r="TI3" t="s">
        <v>572</v>
      </c>
      <c r="TJ3" t="s">
        <v>573</v>
      </c>
      <c r="TK3" t="s">
        <v>574</v>
      </c>
      <c r="TL3" t="s">
        <v>575</v>
      </c>
      <c r="TM3" t="s">
        <v>576</v>
      </c>
      <c r="TN3" t="s">
        <v>577</v>
      </c>
      <c r="TO3" t="s">
        <v>578</v>
      </c>
      <c r="TP3" t="s">
        <v>579</v>
      </c>
      <c r="TQ3" t="s">
        <v>580</v>
      </c>
      <c r="TR3" t="s">
        <v>581</v>
      </c>
      <c r="TS3" t="s">
        <v>582</v>
      </c>
      <c r="TT3" t="s">
        <v>583</v>
      </c>
      <c r="TU3" t="s">
        <v>584</v>
      </c>
      <c r="TV3" t="s">
        <v>585</v>
      </c>
      <c r="TW3" t="s">
        <v>586</v>
      </c>
      <c r="TX3" t="s">
        <v>587</v>
      </c>
      <c r="TY3" t="s">
        <v>588</v>
      </c>
      <c r="TZ3" t="s">
        <v>589</v>
      </c>
      <c r="UA3" t="s">
        <v>590</v>
      </c>
      <c r="UB3" t="s">
        <v>591</v>
      </c>
      <c r="UC3" t="s">
        <v>592</v>
      </c>
      <c r="UD3" t="s">
        <v>593</v>
      </c>
      <c r="UE3" t="s">
        <v>594</v>
      </c>
      <c r="UF3" t="s">
        <v>595</v>
      </c>
      <c r="UG3" t="s">
        <v>596</v>
      </c>
      <c r="UH3" t="s">
        <v>597</v>
      </c>
      <c r="UI3" t="s">
        <v>598</v>
      </c>
      <c r="UJ3" t="s">
        <v>599</v>
      </c>
      <c r="UK3" t="s">
        <v>600</v>
      </c>
      <c r="UL3" t="s">
        <v>601</v>
      </c>
      <c r="UM3" t="s">
        <v>602</v>
      </c>
      <c r="UN3" t="s">
        <v>603</v>
      </c>
      <c r="UO3" t="s">
        <v>604</v>
      </c>
      <c r="UP3" t="s">
        <v>605</v>
      </c>
      <c r="UQ3" t="s">
        <v>606</v>
      </c>
      <c r="UR3" t="s">
        <v>607</v>
      </c>
      <c r="US3" t="s">
        <v>608</v>
      </c>
      <c r="UT3" t="s">
        <v>609</v>
      </c>
    </row>
    <row r="4" spans="1:566" x14ac:dyDescent="0.2">
      <c r="B4" s="41">
        <f>AssetMonthlyReturns[[#This Row],[Date]]</f>
        <v>42491</v>
      </c>
      <c r="C4" s="28">
        <f>SUMPRODUCT(INDEX(PortfolioRef[[SPY]:[PE]],MATCH(C$1,PortfolioRef[Reference '#]),0),AssetMonthlyReturns[[#This Row],[SPY]:[PE]])</f>
        <v>5.6418835951182484E-3</v>
      </c>
      <c r="D4" s="29">
        <f>IF(ISNUMBER(D3),D3*(1+PortfolioFrontier[[#This Row],[P1 Return]]),1+PortfolioFrontier[[#This Row],[P1 Return]])</f>
        <v>1.0056418835951182</v>
      </c>
      <c r="E4" s="29">
        <f>MAX(E3,PortfolioFrontier[[#This Row],[P1 Growth]])</f>
        <v>1.0056418835951182</v>
      </c>
      <c r="F4" s="29">
        <f>PortfolioFrontier[[#This Row],[P1 Growth]]/PortfolioFrontier[[#This Row],[P1 HWM]]-1</f>
        <v>0</v>
      </c>
      <c r="G4" s="28">
        <f>SUMPRODUCT(INDEX(PortfolioRef[[SPY]:[PE]],MATCH(G$1,PortfolioRef[Reference '#]),0),AssetMonthlyReturns[[#This Row],[SPY]:[PE]])</f>
        <v>4.8058142156831799E-3</v>
      </c>
      <c r="H4" s="27">
        <f>IF(ISNUMBER(H3),H3*(1+PortfolioFrontier[[#This Row],[P2 Return]]),1+PortfolioFrontier[[#This Row],[P2 Return]])</f>
        <v>1.0048058142156833</v>
      </c>
      <c r="I4" s="27">
        <f>MAX(I3,PortfolioFrontier[[#This Row],[P2 Growth]])</f>
        <v>1.0048058142156833</v>
      </c>
      <c r="J4" s="27">
        <f>PortfolioFrontier[[#This Row],[P2 Growth]]/PortfolioFrontier[[#This Row],[P2 HWM]]-1</f>
        <v>0</v>
      </c>
      <c r="K4" s="28">
        <f>SUMPRODUCT(INDEX(PortfolioRef[[SPY]:[PE]],MATCH(K$1,PortfolioRef[Reference '#]),0),AssetMonthlyReturns[[#This Row],[SPY]:[PE]])</f>
        <v>1.7221526932419632E-3</v>
      </c>
      <c r="L4" s="27">
        <f>IF(ISNUMBER(L3),L3*(1+PortfolioFrontier[[#This Row],[P3 Return]]),1+PortfolioFrontier[[#This Row],[P3 Return]])</f>
        <v>1.0017221526932421</v>
      </c>
      <c r="M4" s="27">
        <f>MAX(M3,PortfolioFrontier[[#This Row],[P3 Growth]])</f>
        <v>1.0017221526932421</v>
      </c>
      <c r="N4" s="27">
        <f>PortfolioFrontier[[#This Row],[P3 Growth]]/PortfolioFrontier[[#This Row],[P3 HWM]]-1</f>
        <v>0</v>
      </c>
      <c r="O4" s="28">
        <f>SUMPRODUCT(INDEX(PortfolioRef[[SPY]:[PE]],MATCH(O$1,PortfolioRef[Reference '#]),0),AssetMonthlyReturns[[#This Row],[SPY]:[PE]])</f>
        <v>5.9155705698686212E-3</v>
      </c>
      <c r="P4" s="27">
        <f>IF(ISNUMBER(P3),P3*(1+PortfolioFrontier[[#This Row],[P4 Return]]),1+PortfolioFrontier[[#This Row],[P4 Return]])</f>
        <v>1.0059155705698686</v>
      </c>
      <c r="Q4" s="27">
        <f>MAX(Q3,PortfolioFrontier[[#This Row],[P4 Growth]])</f>
        <v>1.0059155705698686</v>
      </c>
      <c r="R4" s="27">
        <f>PortfolioFrontier[[#This Row],[P4 Growth]]/PortfolioFrontier[[#This Row],[P4 HWM]]-1</f>
        <v>0</v>
      </c>
      <c r="S4" s="28">
        <f>SUMPRODUCT(INDEX(PortfolioRef[[SPY]:[PE]],MATCH(S$1,PortfolioRef[Reference '#]),0),AssetMonthlyReturns[[#This Row],[SPY]:[PE]])</f>
        <v>4.8571476210039887E-3</v>
      </c>
      <c r="T4" s="27">
        <f>IF(ISNUMBER(T3),T3*(1+PortfolioFrontier[[#This Row],[P5 Return]]),1+PortfolioFrontier[[#This Row],[P5 Return]])</f>
        <v>1.004857147621004</v>
      </c>
      <c r="U4" s="27">
        <f>MAX(U3,PortfolioFrontier[[#This Row],[P5 Growth]])</f>
        <v>1.004857147621004</v>
      </c>
      <c r="V4" s="27">
        <f>PortfolioFrontier[[#This Row],[P5 Growth]]/PortfolioFrontier[[#This Row],[P5 HWM]]-1</f>
        <v>0</v>
      </c>
      <c r="W4" s="28">
        <f>SUMPRODUCT(INDEX(PortfolioRef[[SPY]:[PE]],MATCH(W$1,PortfolioRef[Reference '#]),0),AssetMonthlyReturns[[#This Row],[SPY]:[PE]])</f>
        <v>3.9697448362481132E-3</v>
      </c>
      <c r="X4" s="27">
        <f>IF(ISNUMBER(X3),X3*(1+PortfolioFrontier[[#This Row],[P6 Return]]),1+PortfolioFrontier[[#This Row],[P6 Return]])</f>
        <v>1.0039697448362481</v>
      </c>
      <c r="Y4" s="27">
        <f>MAX(Y3,PortfolioFrontier[[#This Row],[P6 Growth]])</f>
        <v>1.0039697448362481</v>
      </c>
      <c r="Z4" s="27">
        <f>PortfolioFrontier[[#This Row],[P6 Growth]]/PortfolioFrontier[[#This Row],[P6 HWM]]-1</f>
        <v>0</v>
      </c>
      <c r="AA4" s="28">
        <f>SUMPRODUCT(INDEX(PortfolioRef[[SPY]:[PE]],MATCH(AA$1,PortfolioRef[Reference '#]),0),AssetMonthlyReturns[[#This Row],[SPY]:[PE]])</f>
        <v>8.8608331380689634E-4</v>
      </c>
      <c r="AB4" s="27">
        <f>IF(ISNUMBER(AB3),AB3*(1+PortfolioFrontier[[#This Row],[P7 Return]]),1+PortfolioFrontier[[#This Row],[P7 Return]])</f>
        <v>1.0008860833138069</v>
      </c>
      <c r="AC4" s="27">
        <f>MAX(AC3,PortfolioFrontier[[#This Row],[P7 Growth]])</f>
        <v>1.0008860833138069</v>
      </c>
      <c r="AD4" s="27">
        <f>PortfolioFrontier[[#This Row],[P7 Growth]]/PortfolioFrontier[[#This Row],[P7 HWM]]-1</f>
        <v>0</v>
      </c>
      <c r="AE4" s="28">
        <f>SUMPRODUCT(INDEX(PortfolioRef[[SPY]:[PE]],MATCH(AE$1,PortfolioRef[Reference '#]),0),AssetMonthlyReturns[[#This Row],[SPY]:[PE]])</f>
        <v>5.0795011904335545E-3</v>
      </c>
      <c r="AF4" s="27">
        <f>IF(ISNUMBER(AF3),AF3*(1+PortfolioFrontier[[#This Row],[P8 Return]]),1+PortfolioFrontier[[#This Row],[P8 Return]])</f>
        <v>1.0050795011904337</v>
      </c>
      <c r="AG4" s="27">
        <f>MAX(AG3,PortfolioFrontier[[#This Row],[P8 Growth]])</f>
        <v>1.0050795011904337</v>
      </c>
      <c r="AH4" s="27">
        <f>PortfolioFrontier[[#This Row],[P8 Growth]]/PortfolioFrontier[[#This Row],[P8 HWM]]-1</f>
        <v>0</v>
      </c>
      <c r="AI4" s="28">
        <f>SUMPRODUCT(INDEX(PortfolioRef[[SPY]:[PE]],MATCH(AI$1,PortfolioRef[Reference '#]),0),AssetMonthlyReturns[[#This Row],[SPY]:[PE]])</f>
        <v>4.0210782415689211E-3</v>
      </c>
      <c r="AJ4" s="27">
        <f>IF(ISNUMBER(AJ3),AJ3*(1+PortfolioFrontier[[#This Row],[P9 Return]]),1+PortfolioFrontier[[#This Row],[P9 Return]])</f>
        <v>1.0040210782415688</v>
      </c>
      <c r="AK4" s="27">
        <f>MAX(AK3,PortfolioFrontier[[#This Row],[P9 Growth]])</f>
        <v>1.0040210782415688</v>
      </c>
      <c r="AL4" s="27">
        <f>PortfolioFrontier[[#This Row],[P9 Growth]]/PortfolioFrontier[[#This Row],[P9 HWM]]-1</f>
        <v>0</v>
      </c>
      <c r="AM4" s="28">
        <f>SUMPRODUCT(INDEX(PortfolioRef[[SPY]:[PE]],MATCH(AM$1,PortfolioRef[Reference '#]),0),AssetMonthlyReturns[[#This Row],[SPY]:[PE]])</f>
        <v>-2.1975782086343203E-3</v>
      </c>
      <c r="AN4" s="27">
        <f>IF(ISNUMBER(AN3),AN3*(1+PortfolioFrontier[[#This Row],[P10 Return]]),1+PortfolioFrontier[[#This Row],[P10 Return]])</f>
        <v>0.99780242179136569</v>
      </c>
      <c r="AO4" s="27">
        <f>MAX(AO3,PortfolioFrontier[[#This Row],[P10 Growth]])</f>
        <v>0.99780242179136569</v>
      </c>
      <c r="AP4" s="27">
        <f>PortfolioFrontier[[#This Row],[P10 Growth]]/PortfolioFrontier[[#This Row],[P10 HWM]]-1</f>
        <v>0</v>
      </c>
      <c r="AQ4" s="28">
        <f>SUMPRODUCT(INDEX(PortfolioRef[[SPY]:[PE]],MATCH(AQ$1,PortfolioRef[Reference '#]),0),AssetMonthlyReturns[[#This Row],[SPY]:[PE]])</f>
        <v>1.9958396679923386E-3</v>
      </c>
      <c r="AR4" s="27">
        <f>IF(ISNUMBER(AR3),AR3*(1+PortfolioFrontier[[#This Row],[P11 Return]]),1+PortfolioFrontier[[#This Row],[P11 Return]])</f>
        <v>1.0019958396679924</v>
      </c>
      <c r="AS4" s="27">
        <f>MAX(AS3,PortfolioFrontier[[#This Row],[P11 Growth]])</f>
        <v>1.0019958396679924</v>
      </c>
      <c r="AT4" s="27">
        <f>PortfolioFrontier[[#This Row],[P11 Growth]]/PortfolioFrontier[[#This Row],[P11 HWM]]-1</f>
        <v>0</v>
      </c>
      <c r="AU4" s="28">
        <f>SUMPRODUCT(INDEX(PortfolioRef[[SPY]:[PE]],MATCH(AU$1,PortfolioRef[Reference '#]),0),AssetMonthlyReturns[[#This Row],[SPY]:[PE]])</f>
        <v>9.3741671912770449E-4</v>
      </c>
      <c r="AV4" s="27">
        <f>IF(ISNUMBER(AV3),AV3*(1+PortfolioFrontier[[#This Row],[P12 Return]]),1+PortfolioFrontier[[#This Row],[P12 Return]])</f>
        <v>1.0009374167191276</v>
      </c>
      <c r="AW4" s="27">
        <f>MAX(AW3,PortfolioFrontier[[#This Row],[P12 Growth]])</f>
        <v>1.0009374167191276</v>
      </c>
      <c r="AX4" s="27">
        <f>PortfolioFrontier[[#This Row],[P12 Growth]]/PortfolioFrontier[[#This Row],[P12 HWM]]-1</f>
        <v>0</v>
      </c>
      <c r="AY4" s="28">
        <f>SUMPRODUCT(INDEX(PortfolioRef[[SPY]:[PE]],MATCH(AY$1,PortfolioRef[Reference '#]),0),AssetMonthlyReturns[[#This Row],[SPY]:[PE]])</f>
        <v>6.1892575446189984E-3</v>
      </c>
      <c r="AZ4" s="27">
        <f>IF(ISNUMBER(AZ3),AZ3*(1+PortfolioFrontier[[#This Row],[P13 Return]]),1+PortfolioFrontier[[#This Row],[P13 Return]])</f>
        <v>1.006189257544619</v>
      </c>
      <c r="BA4" s="27">
        <f>MAX(BA3,PortfolioFrontier[[#This Row],[P13 Growth]])</f>
        <v>1.006189257544619</v>
      </c>
      <c r="BB4" s="27">
        <f>PortfolioFrontier[[#This Row],[P13 Growth]]/PortfolioFrontier[[#This Row],[P13 HWM]]-1</f>
        <v>0</v>
      </c>
      <c r="BC4" s="28">
        <f>SUMPRODUCT(INDEX(PortfolioRef[[SPY]:[PE]],MATCH(BC$1,PortfolioRef[Reference '#]),0),AssetMonthlyReturns[[#This Row],[SPY]:[PE]])</f>
        <v>5.1308345957543633E-3</v>
      </c>
      <c r="BD4" s="27">
        <f>IF(ISNUMBER(BD3),BD3*(1+PortfolioFrontier[[#This Row],[P14 Return]]),1+PortfolioFrontier[[#This Row],[P14 Return]])</f>
        <v>1.0051308345957544</v>
      </c>
      <c r="BE4" s="27">
        <f>MAX(BE3,PortfolioFrontier[[#This Row],[P14 Growth]])</f>
        <v>1.0051308345957544</v>
      </c>
      <c r="BF4" s="27">
        <f>PortfolioFrontier[[#This Row],[P14 Growth]]/PortfolioFrontier[[#This Row],[P14 HWM]]-1</f>
        <v>0</v>
      </c>
      <c r="BG4" s="28">
        <f>SUMPRODUCT(INDEX(PortfolioRef[[SPY]:[PE]],MATCH(BG$1,PortfolioRef[Reference '#]),0),AssetMonthlyReturns[[#This Row],[SPY]:[PE]])</f>
        <v>4.072411646889729E-3</v>
      </c>
      <c r="BH4" s="27">
        <f>IF(ISNUMBER(BH3),BH3*(1+PortfolioFrontier[[#This Row],[P15 Return]]),1+PortfolioFrontier[[#This Row],[P15 Return]])</f>
        <v>1.0040724116468898</v>
      </c>
      <c r="BI4" s="27">
        <f>MAX(BI3,PortfolioFrontier[[#This Row],[P15 Growth]])</f>
        <v>1.0040724116468898</v>
      </c>
      <c r="BJ4" s="27">
        <f>PortfolioFrontier[[#This Row],[P15 Growth]]/PortfolioFrontier[[#This Row],[P15 HWM]]-1</f>
        <v>0</v>
      </c>
      <c r="BK4" s="28">
        <f>SUMPRODUCT(INDEX(PortfolioRef[[SPY]:[PE]],MATCH(BK$1,PortfolioRef[Reference '#]),0),AssetMonthlyReturns[[#This Row],[SPY]:[PE]])</f>
        <v>3.1336754568130464E-3</v>
      </c>
      <c r="BL4" s="27">
        <f>IF(ISNUMBER(BL3),BL3*(1+PortfolioFrontier[[#This Row],[P16 Return]]),1+PortfolioFrontier[[#This Row],[P16 Return]])</f>
        <v>1.003133675456813</v>
      </c>
      <c r="BM4" s="27">
        <f>MAX(BM3,PortfolioFrontier[[#This Row],[P16 Growth]])</f>
        <v>1.003133675456813</v>
      </c>
      <c r="BN4" s="27">
        <f>PortfolioFrontier[[#This Row],[P16 Growth]]/PortfolioFrontier[[#This Row],[P16 HWM]]-1</f>
        <v>0</v>
      </c>
      <c r="BO4" s="28">
        <f>SUMPRODUCT(INDEX(PortfolioRef[[SPY]:[PE]],MATCH(BO$1,PortfolioRef[Reference '#]),0),AssetMonthlyReturns[[#This Row],[SPY]:[PE]])</f>
        <v>5.0013934371829621E-5</v>
      </c>
      <c r="BP4" s="27">
        <f>IF(ISNUMBER(BP3),BP3*(1+PortfolioFrontier[[#This Row],[P17 Return]]),1+PortfolioFrontier[[#This Row],[P17 Return]])</f>
        <v>1.0000500139343718</v>
      </c>
      <c r="BQ4" s="27">
        <f>MAX(BQ3,PortfolioFrontier[[#This Row],[P17 Growth]])</f>
        <v>1.0000500139343718</v>
      </c>
      <c r="BR4" s="27">
        <f>PortfolioFrontier[[#This Row],[P17 Growth]]/PortfolioFrontier[[#This Row],[P17 HWM]]-1</f>
        <v>0</v>
      </c>
      <c r="BS4" s="28">
        <f>SUMPRODUCT(INDEX(PortfolioRef[[SPY]:[PE]],MATCH(BS$1,PortfolioRef[Reference '#]),0),AssetMonthlyReturns[[#This Row],[SPY]:[PE]])</f>
        <v>4.2434318109984877E-3</v>
      </c>
      <c r="BT4" s="27">
        <f>IF(ISNUMBER(BT3),BT3*(1+PortfolioFrontier[[#This Row],[P18 Return]]),1+PortfolioFrontier[[#This Row],[P18 Return]])</f>
        <v>1.0042434318109985</v>
      </c>
      <c r="BU4" s="27">
        <f>MAX(BU3,PortfolioFrontier[[#This Row],[P18 Growth]])</f>
        <v>1.0042434318109985</v>
      </c>
      <c r="BV4" s="27">
        <f>PortfolioFrontier[[#This Row],[P18 Growth]]/PortfolioFrontier[[#This Row],[P18 HWM]]-1</f>
        <v>0</v>
      </c>
      <c r="BW4" s="28">
        <f>SUMPRODUCT(INDEX(PortfolioRef[[SPY]:[PE]],MATCH(BW$1,PortfolioRef[Reference '#]),0),AssetMonthlyReturns[[#This Row],[SPY]:[PE]])</f>
        <v>3.1850088621338543E-3</v>
      </c>
      <c r="BX4" s="27">
        <f>IF(ISNUMBER(BX3),BX3*(1+PortfolioFrontier[[#This Row],[P19 Return]]),1+PortfolioFrontier[[#This Row],[P19 Return]])</f>
        <v>1.0031850088621339</v>
      </c>
      <c r="BY4" s="27">
        <f>MAX(BY3,PortfolioFrontier[[#This Row],[P19 Growth]])</f>
        <v>1.0031850088621339</v>
      </c>
      <c r="BZ4" s="27">
        <f>PortfolioFrontier[[#This Row],[P19 Growth]]/PortfolioFrontier[[#This Row],[P19 HWM]]-1</f>
        <v>0</v>
      </c>
      <c r="CA4" s="28">
        <f>SUMPRODUCT(INDEX(PortfolioRef[[SPY]:[PE]],MATCH(CA$1,PortfolioRef[Reference '#]),0),AssetMonthlyReturns[[#This Row],[SPY]:[PE]])</f>
        <v>-3.033647588069387E-3</v>
      </c>
      <c r="CB4" s="27">
        <f>IF(ISNUMBER(CB3),CB3*(1+PortfolioFrontier[[#This Row],[P20 Return]]),1+PortfolioFrontier[[#This Row],[P20 Return]])</f>
        <v>0.99696635241193066</v>
      </c>
      <c r="CC4" s="27">
        <f>MAX(CC3,PortfolioFrontier[[#This Row],[P20 Growth]])</f>
        <v>0.99696635241193066</v>
      </c>
      <c r="CD4" s="27">
        <f>PortfolioFrontier[[#This Row],[P20 Growth]]/PortfolioFrontier[[#This Row],[P20 HWM]]-1</f>
        <v>0</v>
      </c>
      <c r="CE4" s="28">
        <f>SUMPRODUCT(INDEX(PortfolioRef[[SPY]:[PE]],MATCH(CE$1,PortfolioRef[Reference '#]),0),AssetMonthlyReturns[[#This Row],[SPY]:[PE]])</f>
        <v>1.1597702885572719E-3</v>
      </c>
      <c r="CF4" s="27">
        <f>IF(ISNUMBER(CF3),CF3*(1+PortfolioFrontier[[#This Row],[P21 Return]]),1+PortfolioFrontier[[#This Row],[P21 Return]])</f>
        <v>1.0011597702885573</v>
      </c>
      <c r="CG4" s="27">
        <f>MAX(CG3,PortfolioFrontier[[#This Row],[P21 Growth]])</f>
        <v>1.0011597702885573</v>
      </c>
      <c r="CH4" s="27">
        <f>PortfolioFrontier[[#This Row],[P21 Growth]]/PortfolioFrontier[[#This Row],[P21 HWM]]-1</f>
        <v>0</v>
      </c>
      <c r="CI4" s="28">
        <f>SUMPRODUCT(INDEX(PortfolioRef[[SPY]:[PE]],MATCH(CI$1,PortfolioRef[Reference '#]),0),AssetMonthlyReturns[[#This Row],[SPY]:[PE]])</f>
        <v>1.0134733969263771E-4</v>
      </c>
      <c r="CJ4" s="27">
        <f>IF(ISNUMBER(CJ3),CJ3*(1+PortfolioFrontier[[#This Row],[P22 Return]]),1+PortfolioFrontier[[#This Row],[P22 Return]])</f>
        <v>1.0001013473396927</v>
      </c>
      <c r="CK4" s="27">
        <f>MAX(CK3,PortfolioFrontier[[#This Row],[P22 Growth]])</f>
        <v>1.0001013473396927</v>
      </c>
      <c r="CL4" s="27">
        <f>PortfolioFrontier[[#This Row],[P22 Growth]]/PortfolioFrontier[[#This Row],[P22 HWM]]-1</f>
        <v>0</v>
      </c>
      <c r="CM4" s="28">
        <f>SUMPRODUCT(INDEX(PortfolioRef[[SPY]:[PE]],MATCH(CM$1,PortfolioRef[Reference '#]),0),AssetMonthlyReturns[[#This Row],[SPY]:[PE]])</f>
        <v>5.3531881651839317E-3</v>
      </c>
      <c r="CN4" s="27">
        <f>IF(ISNUMBER(CN3),CN3*(1+PortfolioFrontier[[#This Row],[P23 Return]]),1+PortfolioFrontier[[#This Row],[P23 Return]])</f>
        <v>1.005353188165184</v>
      </c>
      <c r="CO4" s="27">
        <f>MAX(CO3,PortfolioFrontier[[#This Row],[P23 Growth]])</f>
        <v>1.005353188165184</v>
      </c>
      <c r="CP4" s="27">
        <f>PortfolioFrontier[[#This Row],[P23 Growth]]/PortfolioFrontier[[#This Row],[P23 HWM]]-1</f>
        <v>0</v>
      </c>
      <c r="CQ4" s="28">
        <f>SUMPRODUCT(INDEX(PortfolioRef[[SPY]:[PE]],MATCH(CQ$1,PortfolioRef[Reference '#]),0),AssetMonthlyReturns[[#This Row],[SPY]:[PE]])</f>
        <v>4.2947652163192965E-3</v>
      </c>
      <c r="CR4" s="27">
        <f>IF(ISNUMBER(CR3),CR3*(1+PortfolioFrontier[[#This Row],[P24 Return]]),1+PortfolioFrontier[[#This Row],[P24 Return]])</f>
        <v>1.0042947652163192</v>
      </c>
      <c r="CS4" s="27">
        <f>MAX(CS3,PortfolioFrontier[[#This Row],[P24 Growth]])</f>
        <v>1.0042947652163192</v>
      </c>
      <c r="CT4" s="27">
        <f>PortfolioFrontier[[#This Row],[P24 Growth]]/PortfolioFrontier[[#This Row],[P24 HWM]]-1</f>
        <v>0</v>
      </c>
      <c r="CU4" s="28">
        <f>SUMPRODUCT(INDEX(PortfolioRef[[SPY]:[PE]],MATCH(CU$1,PortfolioRef[Reference '#]),0),AssetMonthlyReturns[[#This Row],[SPY]:[PE]])</f>
        <v>3.2363422674546627E-3</v>
      </c>
      <c r="CV4" s="27">
        <f>IF(ISNUMBER(CV3),CV3*(1+PortfolioFrontier[[#This Row],[P25 Return]]),1+PortfolioFrontier[[#This Row],[P25 Return]])</f>
        <v>1.0032363422674546</v>
      </c>
      <c r="CW4" s="27">
        <f>MAX(CW3,PortfolioFrontier[[#This Row],[P25 Growth]])</f>
        <v>1.0032363422674546</v>
      </c>
      <c r="CX4" s="27">
        <f>PortfolioFrontier[[#This Row],[P25 Growth]]/PortfolioFrontier[[#This Row],[P25 HWM]]-1</f>
        <v>0</v>
      </c>
      <c r="CY4" s="28">
        <f>SUMPRODUCT(INDEX(PortfolioRef[[SPY]:[PE]],MATCH(CY$1,PortfolioRef[Reference '#]),0),AssetMonthlyReturns[[#This Row],[SPY]:[PE]])</f>
        <v>-1.9238912338839448E-3</v>
      </c>
      <c r="CZ4" s="27">
        <f>IF(ISNUMBER(CZ3),CZ3*(1+PortfolioFrontier[[#This Row],[P26 Return]]),1+PortfolioFrontier[[#This Row],[P26 Return]])</f>
        <v>0.99807610876611608</v>
      </c>
      <c r="DA4" s="27">
        <f>MAX(DA3,PortfolioFrontier[[#This Row],[P26 Growth]])</f>
        <v>0.99807610876611608</v>
      </c>
      <c r="DB4" s="27">
        <f>PortfolioFrontier[[#This Row],[P26 Growth]]/PortfolioFrontier[[#This Row],[P26 HWM]]-1</f>
        <v>0</v>
      </c>
      <c r="DC4" s="28">
        <f>SUMPRODUCT(INDEX(PortfolioRef[[SPY]:[PE]],MATCH(DC$1,PortfolioRef[Reference '#]),0),AssetMonthlyReturns[[#This Row],[SPY]:[PE]])</f>
        <v>-2.9823141827485791E-3</v>
      </c>
      <c r="DD4" s="27">
        <f>IF(ISNUMBER(DD3),DD3*(1+PortfolioFrontier[[#This Row],[P27 Return]]),1+PortfolioFrontier[[#This Row],[P27 Return]])</f>
        <v>0.99701768581725148</v>
      </c>
      <c r="DE4" s="27">
        <f>MAX(DE3,PortfolioFrontier[[#This Row],[P27 Growth]])</f>
        <v>0.99701768581725148</v>
      </c>
      <c r="DF4" s="27">
        <f>PortfolioFrontier[[#This Row],[P27 Growth]]/PortfolioFrontier[[#This Row],[P27 HWM]]-1</f>
        <v>0</v>
      </c>
      <c r="DG4" s="28">
        <f>SUMPRODUCT(INDEX(PortfolioRef[[SPY]:[PE]],MATCH(DG$1,PortfolioRef[Reference '#]),0),AssetMonthlyReturns[[#This Row],[SPY]:[PE]])</f>
        <v>2.2695266427427154E-3</v>
      </c>
      <c r="DH4" s="27">
        <f>IF(ISNUMBER(DH3),DH3*(1+PortfolioFrontier[[#This Row],[P28 Return]]),1+PortfolioFrontier[[#This Row],[P28 Return]])</f>
        <v>1.0022695266427428</v>
      </c>
      <c r="DI4" s="27">
        <f>MAX(DI3,PortfolioFrontier[[#This Row],[P28 Growth]])</f>
        <v>1.0022695266427428</v>
      </c>
      <c r="DJ4" s="27">
        <f>PortfolioFrontier[[#This Row],[P28 Growth]]/PortfolioFrontier[[#This Row],[P28 HWM]]-1</f>
        <v>0</v>
      </c>
      <c r="DK4" s="28">
        <f>SUMPRODUCT(INDEX(PortfolioRef[[SPY]:[PE]],MATCH(DK$1,PortfolioRef[Reference '#]),0),AssetMonthlyReturns[[#This Row],[SPY]:[PE]])</f>
        <v>1.2111036938780798E-3</v>
      </c>
      <c r="DL4" s="27">
        <f>IF(ISNUMBER(DL3),DL3*(1+PortfolioFrontier[[#This Row],[P29 Return]]),1+PortfolioFrontier[[#This Row],[P29 Return]])</f>
        <v>1.001211103693878</v>
      </c>
      <c r="DM4" s="27">
        <f>MAX(DM3,PortfolioFrontier[[#This Row],[P29 Growth]])</f>
        <v>1.001211103693878</v>
      </c>
      <c r="DN4" s="27">
        <f>PortfolioFrontier[[#This Row],[P29 Growth]]/PortfolioFrontier[[#This Row],[P29 HWM]]-1</f>
        <v>0</v>
      </c>
      <c r="DO4" s="28">
        <f>SUMPRODUCT(INDEX(PortfolioRef[[SPY]:[PE]],MATCH(DO$1,PortfolioRef[Reference '#]),0),AssetMonthlyReturns[[#This Row],[SPY]:[PE]])</f>
        <v>1.5268074501344583E-4</v>
      </c>
      <c r="DP4" s="27">
        <f>IF(ISNUMBER(DP3),DP3*(1+PortfolioFrontier[[#This Row],[P30 Return]]),1+PortfolioFrontier[[#This Row],[P30 Return]])</f>
        <v>1.0001526807450134</v>
      </c>
      <c r="DQ4" s="27">
        <f>MAX(DQ3,PortfolioFrontier[[#This Row],[P30 Growth]])</f>
        <v>1.0001526807450134</v>
      </c>
      <c r="DR4" s="27">
        <f>PortfolioFrontier[[#This Row],[P30 Growth]]/PortfolioFrontier[[#This Row],[P30 HWM]]-1</f>
        <v>0</v>
      </c>
      <c r="DS4" s="28">
        <f>SUMPRODUCT(INDEX(PortfolioRef[[SPY]:[PE]],MATCH(DS$1,PortfolioRef[Reference '#]),0),AssetMonthlyReturns[[#This Row],[SPY]:[PE]])</f>
        <v>6.4629445193693739E-3</v>
      </c>
      <c r="DT4" s="27">
        <f>IF(ISNUMBER(DT3),DT3*(1+PortfolioFrontier[[#This Row],[P31 Return]]),1+PortfolioFrontier[[#This Row],[P31 Return]])</f>
        <v>1.0064629445193694</v>
      </c>
      <c r="DU4" s="27">
        <f>MAX(DU3,PortfolioFrontier[[#This Row],[P31 Growth]])</f>
        <v>1.0064629445193694</v>
      </c>
      <c r="DV4" s="27">
        <f>PortfolioFrontier[[#This Row],[P31 Growth]]/PortfolioFrontier[[#This Row],[P31 HWM]]-1</f>
        <v>0</v>
      </c>
      <c r="DW4" s="28">
        <f>SUMPRODUCT(INDEX(PortfolioRef[[SPY]:[PE]],MATCH(DW$1,PortfolioRef[Reference '#]),0),AssetMonthlyReturns[[#This Row],[SPY]:[PE]])</f>
        <v>5.4045215705047405E-3</v>
      </c>
      <c r="DX4" s="27">
        <f>IF(ISNUMBER(DX3),DX3*(1+PortfolioFrontier[[#This Row],[P32 Return]]),1+PortfolioFrontier[[#This Row],[P32 Return]])</f>
        <v>1.0054045215705048</v>
      </c>
      <c r="DY4" s="27">
        <f>MAX(DY3,PortfolioFrontier[[#This Row],[P32 Growth]])</f>
        <v>1.0054045215705048</v>
      </c>
      <c r="DZ4" s="27">
        <f>PortfolioFrontier[[#This Row],[P32 Growth]]/PortfolioFrontier[[#This Row],[P32 HWM]]-1</f>
        <v>0</v>
      </c>
      <c r="EA4" s="28">
        <f>SUMPRODUCT(INDEX(PortfolioRef[[SPY]:[PE]],MATCH(EA$1,PortfolioRef[Reference '#]),0),AssetMonthlyReturns[[#This Row],[SPY]:[PE]])</f>
        <v>4.3460986216401045E-3</v>
      </c>
      <c r="EB4" s="27">
        <f>IF(ISNUMBER(EB3),EB3*(1+PortfolioFrontier[[#This Row],[P33 Return]]),1+PortfolioFrontier[[#This Row],[P33 Return]])</f>
        <v>1.0043460986216401</v>
      </c>
      <c r="EC4" s="27">
        <f>MAX(EC3,PortfolioFrontier[[#This Row],[P33 Growth]])</f>
        <v>1.0043460986216401</v>
      </c>
      <c r="ED4" s="27">
        <f>PortfolioFrontier[[#This Row],[P33 Growth]]/PortfolioFrontier[[#This Row],[P33 HWM]]-1</f>
        <v>0</v>
      </c>
      <c r="EE4" s="28">
        <f>SUMPRODUCT(INDEX(PortfolioRef[[SPY]:[PE]],MATCH(EE$1,PortfolioRef[Reference '#]),0),AssetMonthlyReturns[[#This Row],[SPY]:[PE]])</f>
        <v>2.2976060773779779E-3</v>
      </c>
      <c r="EF4" s="27">
        <f>IF(ISNUMBER(EF3),EF3*(1+PortfolioFrontier[[#This Row],[P34 Return]]),1+PortfolioFrontier[[#This Row],[P34 Return]])</f>
        <v>1.0022976060773781</v>
      </c>
      <c r="EG4" s="27">
        <f>MAX(EG3,PortfolioFrontier[[#This Row],[P34 Growth]])</f>
        <v>1.0022976060773781</v>
      </c>
      <c r="EH4" s="27">
        <f>PortfolioFrontier[[#This Row],[P34 Growth]]/PortfolioFrontier[[#This Row],[P34 HWM]]-1</f>
        <v>0</v>
      </c>
      <c r="EI4" s="28">
        <f>SUMPRODUCT(INDEX(PortfolioRef[[SPY]:[PE]],MATCH(EI$1,PortfolioRef[Reference '#]),0),AssetMonthlyReturns[[#This Row],[SPY]:[PE]])</f>
        <v>-7.8605544506323889E-4</v>
      </c>
      <c r="EJ4" s="27">
        <f>IF(ISNUMBER(EJ3),EJ3*(1+PortfolioFrontier[[#This Row],[P35 Return]]),1+PortfolioFrontier[[#This Row],[P35 Return]])</f>
        <v>0.99921394455493673</v>
      </c>
      <c r="EK4" s="27">
        <f>MAX(EK3,PortfolioFrontier[[#This Row],[P35 Growth]])</f>
        <v>0.99921394455493673</v>
      </c>
      <c r="EL4" s="27">
        <f>PortfolioFrontier[[#This Row],[P35 Growth]]/PortfolioFrontier[[#This Row],[P35 HWM]]-1</f>
        <v>0</v>
      </c>
      <c r="EM4" s="28">
        <f>SUMPRODUCT(INDEX(PortfolioRef[[SPY]:[PE]],MATCH(EM$1,PortfolioRef[Reference '#]),0),AssetMonthlyReturns[[#This Row],[SPY]:[PE]])</f>
        <v>3.4073624315634201E-3</v>
      </c>
      <c r="EN4" s="27">
        <f>IF(ISNUMBER(EN3),EN3*(1+PortfolioFrontier[[#This Row],[P36 Return]]),1+PortfolioFrontier[[#This Row],[P36 Return]])</f>
        <v>1.0034073624315634</v>
      </c>
      <c r="EO4" s="27">
        <f>MAX(EO3,PortfolioFrontier[[#This Row],[P36 Growth]])</f>
        <v>1.0034073624315634</v>
      </c>
      <c r="EP4" s="27">
        <f>PortfolioFrontier[[#This Row],[P36 Growth]]/PortfolioFrontier[[#This Row],[P36 HWM]]-1</f>
        <v>0</v>
      </c>
      <c r="EQ4" s="28">
        <f>SUMPRODUCT(INDEX(PortfolioRef[[SPY]:[PE]],MATCH(EQ$1,PortfolioRef[Reference '#]),0),AssetMonthlyReturns[[#This Row],[SPY]:[PE]])</f>
        <v>2.3489394826987859E-3</v>
      </c>
      <c r="ER4" s="27">
        <f>IF(ISNUMBER(ER3),ER3*(1+PortfolioFrontier[[#This Row],[P37 Return]]),1+PortfolioFrontier[[#This Row],[P37 Return]])</f>
        <v>1.0023489394826988</v>
      </c>
      <c r="ES4" s="27">
        <f>MAX(ES3,PortfolioFrontier[[#This Row],[P37 Growth]])</f>
        <v>1.0023489394826988</v>
      </c>
      <c r="ET4" s="27">
        <f>PortfolioFrontier[[#This Row],[P37 Growth]]/PortfolioFrontier[[#This Row],[P37 HWM]]-1</f>
        <v>0</v>
      </c>
      <c r="EU4" s="28">
        <f>SUMPRODUCT(INDEX(PortfolioRef[[SPY]:[PE]],MATCH(EU$1,PortfolioRef[Reference '#]),0),AssetMonthlyReturns[[#This Row],[SPY]:[PE]])</f>
        <v>-3.8697169675044551E-3</v>
      </c>
      <c r="EV4" s="27">
        <f>IF(ISNUMBER(EV3),EV3*(1+PortfolioFrontier[[#This Row],[P38 Return]]),1+PortfolioFrontier[[#This Row],[P38 Return]])</f>
        <v>0.99613028303249551</v>
      </c>
      <c r="EW4" s="27">
        <f>MAX(EW3,PortfolioFrontier[[#This Row],[P38 Growth]])</f>
        <v>0.99613028303249551</v>
      </c>
      <c r="EX4" s="27">
        <f>PortfolioFrontier[[#This Row],[P38 Growth]]/PortfolioFrontier[[#This Row],[P38 HWM]]-1</f>
        <v>0</v>
      </c>
      <c r="EY4" s="28">
        <f>SUMPRODUCT(INDEX(PortfolioRef[[SPY]:[PE]],MATCH(EY$1,PortfolioRef[Reference '#]),0),AssetMonthlyReturns[[#This Row],[SPY]:[PE]])</f>
        <v>3.2370090912220331E-4</v>
      </c>
      <c r="EZ4" s="27">
        <f>IF(ISNUMBER(EZ3),EZ3*(1+PortfolioFrontier[[#This Row],[P39 Return]]),1+PortfolioFrontier[[#This Row],[P39 Return]])</f>
        <v>1.0003237009091221</v>
      </c>
      <c r="FA4" s="27">
        <f>MAX(FA3,PortfolioFrontier[[#This Row],[P39 Growth]])</f>
        <v>1.0003237009091221</v>
      </c>
      <c r="FB4" s="27">
        <f>PortfolioFrontier[[#This Row],[P39 Growth]]/PortfolioFrontier[[#This Row],[P39 HWM]]-1</f>
        <v>0</v>
      </c>
      <c r="FC4" s="28">
        <f>SUMPRODUCT(INDEX(PortfolioRef[[SPY]:[PE]],MATCH(FC$1,PortfolioRef[Reference '#]),0),AssetMonthlyReturns[[#This Row],[SPY]:[PE]])</f>
        <v>-7.3472203974243074E-4</v>
      </c>
      <c r="FD4" s="27">
        <f>IF(ISNUMBER(FD3),FD3*(1+PortfolioFrontier[[#This Row],[P40 Return]]),1+PortfolioFrontier[[#This Row],[P40 Return]])</f>
        <v>0.99926527796025755</v>
      </c>
      <c r="FE4" s="27">
        <f>MAX(FE3,PortfolioFrontier[[#This Row],[P40 Growth]])</f>
        <v>0.99926527796025755</v>
      </c>
      <c r="FF4" s="27">
        <f>PortfolioFrontier[[#This Row],[P40 Growth]]/PortfolioFrontier[[#This Row],[P40 HWM]]-1</f>
        <v>0</v>
      </c>
      <c r="FG4" s="28">
        <f>SUMPRODUCT(INDEX(PortfolioRef[[SPY]:[PE]],MATCH(FG$1,PortfolioRef[Reference '#]),0),AssetMonthlyReturns[[#This Row],[SPY]:[PE]])</f>
        <v>4.5171187857488632E-3</v>
      </c>
      <c r="FH4" s="27">
        <f>IF(ISNUMBER(FH3),FH3*(1+PortfolioFrontier[[#This Row],[P41 Return]]),1+PortfolioFrontier[[#This Row],[P41 Return]])</f>
        <v>1.0045171187857489</v>
      </c>
      <c r="FI4" s="27">
        <f>MAX(FI3,PortfolioFrontier[[#This Row],[P41 Growth]])</f>
        <v>1.0045171187857489</v>
      </c>
      <c r="FJ4" s="27">
        <f>PortfolioFrontier[[#This Row],[P41 Growth]]/PortfolioFrontier[[#This Row],[P41 HWM]]-1</f>
        <v>0</v>
      </c>
      <c r="FK4" s="28">
        <f>SUMPRODUCT(INDEX(PortfolioRef[[SPY]:[PE]],MATCH(FK$1,PortfolioRef[Reference '#]),0),AssetMonthlyReturns[[#This Row],[SPY]:[PE]])</f>
        <v>3.4586958368842281E-3</v>
      </c>
      <c r="FL4" s="27">
        <f>IF(ISNUMBER(FL3),FL3*(1+PortfolioFrontier[[#This Row],[P42 Return]]),1+PortfolioFrontier[[#This Row],[P42 Return]])</f>
        <v>1.0034586958368843</v>
      </c>
      <c r="FM4" s="27">
        <f>MAX(FM3,PortfolioFrontier[[#This Row],[P42 Growth]])</f>
        <v>1.0034586958368843</v>
      </c>
      <c r="FN4" s="27">
        <f>PortfolioFrontier[[#This Row],[P42 Growth]]/PortfolioFrontier[[#This Row],[P42 HWM]]-1</f>
        <v>0</v>
      </c>
      <c r="FO4" s="28">
        <f>SUMPRODUCT(INDEX(PortfolioRef[[SPY]:[PE]],MATCH(FO$1,PortfolioRef[Reference '#]),0),AssetMonthlyReturns[[#This Row],[SPY]:[PE]])</f>
        <v>2.4002728880195942E-3</v>
      </c>
      <c r="FP4" s="27">
        <f>IF(ISNUMBER(FP3),FP3*(1+PortfolioFrontier[[#This Row],[P43 Return]]),1+PortfolioFrontier[[#This Row],[P43 Return]])</f>
        <v>1.0024002728880197</v>
      </c>
      <c r="FQ4" s="27">
        <f>MAX(FQ3,PortfolioFrontier[[#This Row],[P43 Growth]])</f>
        <v>1.0024002728880197</v>
      </c>
      <c r="FR4" s="27">
        <f>PortfolioFrontier[[#This Row],[P43 Growth]]/PortfolioFrontier[[#This Row],[P43 HWM]]-1</f>
        <v>0</v>
      </c>
      <c r="FS4" s="28">
        <f>SUMPRODUCT(INDEX(PortfolioRef[[SPY]:[PE]],MATCH(FS$1,PortfolioRef[Reference '#]),0),AssetMonthlyReturns[[#This Row],[SPY]:[PE]])</f>
        <v>-2.7599606133190133E-3</v>
      </c>
      <c r="FT4" s="27">
        <f>IF(ISNUMBER(FT3),FT3*(1+PortfolioFrontier[[#This Row],[P44 Return]]),1+PortfolioFrontier[[#This Row],[P44 Return]])</f>
        <v>0.99724003938668093</v>
      </c>
      <c r="FU4" s="27">
        <f>MAX(FU3,PortfolioFrontier[[#This Row],[P44 Growth]])</f>
        <v>0.99724003938668093</v>
      </c>
      <c r="FV4" s="27">
        <f>PortfolioFrontier[[#This Row],[P44 Growth]]/PortfolioFrontier[[#This Row],[P44 HWM]]-1</f>
        <v>0</v>
      </c>
      <c r="FW4" s="28">
        <f>SUMPRODUCT(INDEX(PortfolioRef[[SPY]:[PE]],MATCH(FW$1,PortfolioRef[Reference '#]),0),AssetMonthlyReturns[[#This Row],[SPY]:[PE]])</f>
        <v>-3.8183835621836471E-3</v>
      </c>
      <c r="FX4" s="27">
        <f>IF(ISNUMBER(FX3),FX3*(1+PortfolioFrontier[[#This Row],[P45 Return]]),1+PortfolioFrontier[[#This Row],[P45 Return]])</f>
        <v>0.99618161643781633</v>
      </c>
      <c r="FY4" s="27">
        <f>MAX(FY3,PortfolioFrontier[[#This Row],[P45 Growth]])</f>
        <v>0.99618161643781633</v>
      </c>
      <c r="FZ4" s="27">
        <f>PortfolioFrontier[[#This Row],[P45 Growth]]/PortfolioFrontier[[#This Row],[P45 HWM]]-1</f>
        <v>0</v>
      </c>
      <c r="GA4" s="28">
        <f>SUMPRODUCT(INDEX(PortfolioRef[[SPY]:[PE]],MATCH(GA$1,PortfolioRef[Reference '#]),0),AssetMonthlyReturns[[#This Row],[SPY]:[PE]])</f>
        <v>1.4334572633076469E-3</v>
      </c>
      <c r="GB4" s="27">
        <f>IF(ISNUMBER(GB3),GB3*(1+PortfolioFrontier[[#This Row],[P46 Return]]),1+PortfolioFrontier[[#This Row],[P46 Return]])</f>
        <v>1.0014334572633077</v>
      </c>
      <c r="GC4" s="27">
        <f>MAX(GC3,PortfolioFrontier[[#This Row],[P46 Growth]])</f>
        <v>1.0014334572633077</v>
      </c>
      <c r="GD4" s="27">
        <f>PortfolioFrontier[[#This Row],[P46 Growth]]/PortfolioFrontier[[#This Row],[P46 HWM]]-1</f>
        <v>0</v>
      </c>
      <c r="GE4" s="28">
        <f>SUMPRODUCT(INDEX(PortfolioRef[[SPY]:[PE]],MATCH(GE$1,PortfolioRef[Reference '#]),0),AssetMonthlyReturns[[#This Row],[SPY]:[PE]])</f>
        <v>3.7503431444301145E-4</v>
      </c>
      <c r="GF4" s="27">
        <f>IF(ISNUMBER(GF3),GF3*(1+PortfolioFrontier[[#This Row],[P47 Return]]),1+PortfolioFrontier[[#This Row],[P47 Return]])</f>
        <v>1.0003750343144431</v>
      </c>
      <c r="GG4" s="27">
        <f>MAX(GG3,PortfolioFrontier[[#This Row],[P47 Growth]])</f>
        <v>1.0003750343144431</v>
      </c>
      <c r="GH4" s="27">
        <f>PortfolioFrontier[[#This Row],[P47 Growth]]/PortfolioFrontier[[#This Row],[P47 HWM]]-1</f>
        <v>0</v>
      </c>
      <c r="GI4" s="28">
        <f>SUMPRODUCT(INDEX(PortfolioRef[[SPY]:[PE]],MATCH(GI$1,PortfolioRef[Reference '#]),0),AssetMonthlyReturns[[#This Row],[SPY]:[PE]])</f>
        <v>-6.8338863442162271E-4</v>
      </c>
      <c r="GJ4" s="27">
        <f>IF(ISNUMBER(GJ3),GJ3*(1+PortfolioFrontier[[#This Row],[P48 Return]]),1+PortfolioFrontier[[#This Row],[P48 Return]])</f>
        <v>0.99931661136557837</v>
      </c>
      <c r="GK4" s="27">
        <f>MAX(GK3,PortfolioFrontier[[#This Row],[P48 Growth]])</f>
        <v>0.99931661136557837</v>
      </c>
      <c r="GL4" s="27">
        <f>PortfolioFrontier[[#This Row],[P48 Growth]]/PortfolioFrontier[[#This Row],[P48 HWM]]-1</f>
        <v>0</v>
      </c>
      <c r="GM4" s="28">
        <f>SUMPRODUCT(INDEX(PortfolioRef[[SPY]:[PE]],MATCH(GM$1,PortfolioRef[Reference '#]),0),AssetMonthlyReturns[[#This Row],[SPY]:[PE]])</f>
        <v>5.6268751399343054E-3</v>
      </c>
      <c r="GN4" s="27">
        <f>IF(ISNUMBER(GN3),GN3*(1+PortfolioFrontier[[#This Row],[P49 Return]]),1+PortfolioFrontier[[#This Row],[P49 Return]])</f>
        <v>1.0056268751399342</v>
      </c>
      <c r="GO4" s="27">
        <f>MAX(GO3,PortfolioFrontier[[#This Row],[P49 Growth]])</f>
        <v>1.0056268751399342</v>
      </c>
      <c r="GP4" s="27">
        <f>PortfolioFrontier[[#This Row],[P49 Growth]]/PortfolioFrontier[[#This Row],[P49 HWM]]-1</f>
        <v>0</v>
      </c>
      <c r="GQ4" s="28">
        <f>SUMPRODUCT(INDEX(PortfolioRef[[SPY]:[PE]],MATCH(GQ$1,PortfolioRef[Reference '#]),0),AssetMonthlyReturns[[#This Row],[SPY]:[PE]])</f>
        <v>4.568452191069672E-3</v>
      </c>
      <c r="GR4" s="27">
        <f>IF(ISNUMBER(GR3),GR3*(1+PortfolioFrontier[[#This Row],[P50 Return]]),1+PortfolioFrontier[[#This Row],[P50 Return]])</f>
        <v>1.0045684521910696</v>
      </c>
      <c r="GS4" s="27">
        <f>MAX(GS3,PortfolioFrontier[[#This Row],[P50 Growth]])</f>
        <v>1.0045684521910696</v>
      </c>
      <c r="GT4" s="27">
        <f>PortfolioFrontier[[#This Row],[P50 Growth]]/PortfolioFrontier[[#This Row],[P50 HWM]]-1</f>
        <v>0</v>
      </c>
      <c r="GU4" s="28">
        <f>SUMPRODUCT(INDEX(PortfolioRef[[SPY]:[PE]],MATCH(GU$1,PortfolioRef[Reference '#]),0),AssetMonthlyReturns[[#This Row],[SPY]:[PE]])</f>
        <v>3.5100292422050364E-3</v>
      </c>
      <c r="GV4" s="27">
        <f>IF(ISNUMBER(GV3),GV3*(1+PortfolioFrontier[[#This Row],[P51 Return]]),1+PortfolioFrontier[[#This Row],[P51 Return]])</f>
        <v>1.003510029242205</v>
      </c>
      <c r="GW4" s="27">
        <f>MAX(GW3,PortfolioFrontier[[#This Row],[P51 Growth]])</f>
        <v>1.003510029242205</v>
      </c>
      <c r="GX4" s="27">
        <f>PortfolioFrontier[[#This Row],[P51 Growth]]/PortfolioFrontier[[#This Row],[P51 HWM]]-1</f>
        <v>0</v>
      </c>
      <c r="GY4" s="28">
        <f>SUMPRODUCT(INDEX(PortfolioRef[[SPY]:[PE]],MATCH(GY$1,PortfolioRef[Reference '#]),0),AssetMonthlyReturns[[#This Row],[SPY]:[PE]])</f>
        <v>-1.6502042591335698E-3</v>
      </c>
      <c r="GZ4" s="27">
        <f>IF(ISNUMBER(GZ3),GZ3*(1+PortfolioFrontier[[#This Row],[P52 Return]]),1+PortfolioFrontier[[#This Row],[P52 Return]])</f>
        <v>0.99834979574086646</v>
      </c>
      <c r="HA4" s="27">
        <f>MAX(HA3,PortfolioFrontier[[#This Row],[P52 Growth]])</f>
        <v>0.99834979574086646</v>
      </c>
      <c r="HB4" s="27">
        <f>PortfolioFrontier[[#This Row],[P52 Growth]]/PortfolioFrontier[[#This Row],[P52 HWM]]-1</f>
        <v>0</v>
      </c>
      <c r="HC4" s="28">
        <f>SUMPRODUCT(INDEX(PortfolioRef[[SPY]:[PE]],MATCH(HC$1,PortfolioRef[Reference '#]),0),AssetMonthlyReturns[[#This Row],[SPY]:[PE]])</f>
        <v>-2.7086272079982054E-3</v>
      </c>
      <c r="HD4" s="27">
        <f>IF(ISNUMBER(HD3),HD3*(1+PortfolioFrontier[[#This Row],[P53 Return]]),1+PortfolioFrontier[[#This Row],[P53 Return]])</f>
        <v>0.99729137279200175</v>
      </c>
      <c r="HE4" s="27">
        <f>MAX(HE3,PortfolioFrontier[[#This Row],[P53 Growth]])</f>
        <v>0.99729137279200175</v>
      </c>
      <c r="HF4" s="27">
        <f>PortfolioFrontier[[#This Row],[P53 Growth]]/PortfolioFrontier[[#This Row],[P53 HWM]]-1</f>
        <v>0</v>
      </c>
      <c r="HG4" s="28">
        <f>SUMPRODUCT(INDEX(PortfolioRef[[SPY]:[PE]],MATCH(HG$1,PortfolioRef[Reference '#]),0),AssetMonthlyReturns[[#This Row],[SPY]:[PE]])</f>
        <v>-3.7670501568628388E-3</v>
      </c>
      <c r="HH4" s="27">
        <f>IF(ISNUMBER(HH3),HH3*(1+PortfolioFrontier[[#This Row],[P54 Return]]),1+PortfolioFrontier[[#This Row],[P54 Return]])</f>
        <v>0.99623294984313715</v>
      </c>
      <c r="HI4" s="27">
        <f>MAX(HI3,PortfolioFrontier[[#This Row],[P54 Growth]])</f>
        <v>0.99623294984313715</v>
      </c>
      <c r="HJ4" s="27">
        <f>PortfolioFrontier[[#This Row],[P54 Growth]]/PortfolioFrontier[[#This Row],[P54 HWM]]-1</f>
        <v>0</v>
      </c>
      <c r="HK4" s="28">
        <f>SUMPRODUCT(INDEX(PortfolioRef[[SPY]:[PE]],MATCH(HK$1,PortfolioRef[Reference '#]),0),AssetMonthlyReturns[[#This Row],[SPY]:[PE]])</f>
        <v>2.5432136174930891E-3</v>
      </c>
      <c r="HL4" s="27">
        <f>IF(ISNUMBER(HL3),HL3*(1+PortfolioFrontier[[#This Row],[P55 Return]]),1+PortfolioFrontier[[#This Row],[P55 Return]])</f>
        <v>1.002543213617493</v>
      </c>
      <c r="HM4" s="27">
        <f>MAX(HM3,PortfolioFrontier[[#This Row],[P55 Growth]])</f>
        <v>1.002543213617493</v>
      </c>
      <c r="HN4" s="27">
        <f>PortfolioFrontier[[#This Row],[P55 Growth]]/PortfolioFrontier[[#This Row],[P55 HWM]]-1</f>
        <v>0</v>
      </c>
      <c r="HO4" s="28">
        <f>SUMPRODUCT(INDEX(PortfolioRef[[SPY]:[PE]],MATCH(HO$1,PortfolioRef[Reference '#]),0),AssetMonthlyReturns[[#This Row],[SPY]:[PE]])</f>
        <v>1.4847906686284548E-3</v>
      </c>
      <c r="HP4" s="27">
        <f>IF(ISNUMBER(HP3),HP3*(1+PortfolioFrontier[[#This Row],[P56 Return]]),1+PortfolioFrontier[[#This Row],[P56 Return]])</f>
        <v>1.0014847906686284</v>
      </c>
      <c r="HQ4" s="27">
        <f>MAX(HQ3,PortfolioFrontier[[#This Row],[P56 Growth]])</f>
        <v>1.0014847906686284</v>
      </c>
      <c r="HR4" s="27">
        <f>PortfolioFrontier[[#This Row],[P56 Growth]]/PortfolioFrontier[[#This Row],[P56 HWM]]-1</f>
        <v>0</v>
      </c>
      <c r="HS4" s="28">
        <f>SUMPRODUCT(INDEX(PortfolioRef[[SPY]:[PE]],MATCH(HS$1,PortfolioRef[Reference '#]),0),AssetMonthlyReturns[[#This Row],[SPY]:[PE]])</f>
        <v>4.2636771976381954E-4</v>
      </c>
      <c r="HT4" s="27">
        <f>IF(ISNUMBER(HT3),HT3*(1+PortfolioFrontier[[#This Row],[P57 Return]]),1+PortfolioFrontier[[#This Row],[P57 Return]])</f>
        <v>1.0004263677197638</v>
      </c>
      <c r="HU4" s="27">
        <f>MAX(HU3,PortfolioFrontier[[#This Row],[P57 Growth]])</f>
        <v>1.0004263677197638</v>
      </c>
      <c r="HV4" s="27">
        <f>PortfolioFrontier[[#This Row],[P57 Growth]]/PortfolioFrontier[[#This Row],[P57 HWM]]-1</f>
        <v>0</v>
      </c>
      <c r="HW4" s="28">
        <f>SUMPRODUCT(INDEX(PortfolioRef[[SPY]:[PE]],MATCH(HW$1,PortfolioRef[Reference '#]),0),AssetMonthlyReturns[[#This Row],[SPY]:[PE]])</f>
        <v>6.7366314941197476E-3</v>
      </c>
      <c r="HX4" s="27">
        <f>IF(ISNUMBER(HX3),HX3*(1+PortfolioFrontier[[#This Row],[P58 Return]]),1+PortfolioFrontier[[#This Row],[P58 Return]])</f>
        <v>1.0067366314941197</v>
      </c>
      <c r="HY4" s="27">
        <f>MAX(HY3,PortfolioFrontier[[#This Row],[P58 Growth]])</f>
        <v>1.0067366314941197</v>
      </c>
      <c r="HZ4" s="27">
        <f>PortfolioFrontier[[#This Row],[P58 Growth]]/PortfolioFrontier[[#This Row],[P58 HWM]]-1</f>
        <v>0</v>
      </c>
      <c r="IA4" s="28">
        <f>SUMPRODUCT(INDEX(PortfolioRef[[SPY]:[PE]],MATCH(IA$1,PortfolioRef[Reference '#]),0),AssetMonthlyReturns[[#This Row],[SPY]:[PE]])</f>
        <v>5.6782085452551142E-3</v>
      </c>
      <c r="IB4" s="27">
        <f>IF(ISNUMBER(IB3),IB3*(1+PortfolioFrontier[[#This Row],[P59 Return]]),1+PortfolioFrontier[[#This Row],[P59 Return]])</f>
        <v>1.0056782085452551</v>
      </c>
      <c r="IC4" s="27">
        <f>MAX(IC3,PortfolioFrontier[[#This Row],[P59 Growth]])</f>
        <v>1.0056782085452551</v>
      </c>
      <c r="ID4" s="27">
        <f>PortfolioFrontier[[#This Row],[P59 Growth]]/PortfolioFrontier[[#This Row],[P59 HWM]]-1</f>
        <v>0</v>
      </c>
      <c r="IE4" s="28">
        <f>SUMPRODUCT(INDEX(PortfolioRef[[SPY]:[PE]],MATCH(IE$1,PortfolioRef[Reference '#]),0),AssetMonthlyReturns[[#This Row],[SPY]:[PE]])</f>
        <v>4.6197855963904799E-3</v>
      </c>
      <c r="IF4" s="27">
        <f>IF(ISNUMBER(IF3),IF3*(1+PortfolioFrontier[[#This Row],[P60 Return]]),1+PortfolioFrontier[[#This Row],[P60 Return]])</f>
        <v>1.0046197855963905</v>
      </c>
      <c r="IG4" s="27">
        <f>MAX(IG3,PortfolioFrontier[[#This Row],[P60 Growth]])</f>
        <v>1.0046197855963905</v>
      </c>
      <c r="IH4" s="27">
        <f>PortfolioFrontier[[#This Row],[P60 Growth]]/PortfolioFrontier[[#This Row],[P60 HWM]]-1</f>
        <v>0</v>
      </c>
      <c r="II4" s="28">
        <f>SUMPRODUCT(INDEX(PortfolioRef[[SPY]:[PE]],MATCH(II$1,PortfolioRef[Reference '#]),0),AssetMonthlyReturns[[#This Row],[SPY]:[PE]])</f>
        <v>1.4615366979429112E-3</v>
      </c>
      <c r="IJ4" s="27">
        <f>IF(ISNUMBER(IJ3),IJ3*(1+PortfolioFrontier[[#This Row],[P61 Return]]),1+PortfolioFrontier[[#This Row],[P61 Return]])</f>
        <v>1.0014615366979429</v>
      </c>
      <c r="IK4" s="27">
        <f>MAX(IK3,PortfolioFrontier[[#This Row],[P61 Growth]])</f>
        <v>1.0014615366979429</v>
      </c>
      <c r="IL4" s="27">
        <f>PortfolioFrontier[[#This Row],[P61 Growth]]/PortfolioFrontier[[#This Row],[P61 HWM]]-1</f>
        <v>0</v>
      </c>
      <c r="IM4" s="28">
        <f>SUMPRODUCT(INDEX(PortfolioRef[[SPY]:[PE]],MATCH(IM$1,PortfolioRef[Reference '#]),0),AssetMonthlyReturns[[#This Row],[SPY]:[PE]])</f>
        <v>-1.6221248244983055E-3</v>
      </c>
      <c r="IN4" s="27">
        <f>IF(ISNUMBER(IN3),IN3*(1+PortfolioFrontier[[#This Row],[P62 Return]]),1+PortfolioFrontier[[#This Row],[P62 Return]])</f>
        <v>0.99837787517550169</v>
      </c>
      <c r="IO4" s="27">
        <f>MAX(IO3,PortfolioFrontier[[#This Row],[P62 Growth]])</f>
        <v>0.99837787517550169</v>
      </c>
      <c r="IP4" s="27">
        <f>PortfolioFrontier[[#This Row],[P62 Growth]]/PortfolioFrontier[[#This Row],[P62 HWM]]-1</f>
        <v>0</v>
      </c>
      <c r="IQ4" s="28">
        <f>SUMPRODUCT(INDEX(PortfolioRef[[SPY]:[PE]],MATCH(IQ$1,PortfolioRef[Reference '#]),0),AssetMonthlyReturns[[#This Row],[SPY]:[PE]])</f>
        <v>2.5712930521283534E-3</v>
      </c>
      <c r="IR4" s="27">
        <f>IF(ISNUMBER(IR3),IR3*(1+PortfolioFrontier[[#This Row],[P63 Return]]),1+PortfolioFrontier[[#This Row],[P63 Return]])</f>
        <v>1.0025712930521284</v>
      </c>
      <c r="IS4" s="27">
        <f>MAX(IS3,PortfolioFrontier[[#This Row],[P63 Growth]])</f>
        <v>1.0025712930521284</v>
      </c>
      <c r="IT4" s="27">
        <f>PortfolioFrontier[[#This Row],[P63 Growth]]/PortfolioFrontier[[#This Row],[P63 HWM]]-1</f>
        <v>0</v>
      </c>
      <c r="IU4" s="28">
        <f>SUMPRODUCT(INDEX(PortfolioRef[[SPY]:[PE]],MATCH(IU$1,PortfolioRef[Reference '#]),0),AssetMonthlyReturns[[#This Row],[SPY]:[PE]])</f>
        <v>1.5128701032637191E-3</v>
      </c>
      <c r="IV4" s="27">
        <f>IF(ISNUMBER(IV3),IV3*(1+PortfolioFrontier[[#This Row],[P64 Return]]),1+PortfolioFrontier[[#This Row],[P64 Return]])</f>
        <v>1.0015128701032636</v>
      </c>
      <c r="IW4" s="27">
        <f>MAX(IW3,PortfolioFrontier[[#This Row],[P64 Growth]])</f>
        <v>1.0015128701032636</v>
      </c>
      <c r="IX4" s="27">
        <f>PortfolioFrontier[[#This Row],[P64 Growth]]/PortfolioFrontier[[#This Row],[P64 HWM]]-1</f>
        <v>0</v>
      </c>
      <c r="IY4" s="28">
        <f>SUMPRODUCT(INDEX(PortfolioRef[[SPY]:[PE]],MATCH(IY$1,PortfolioRef[Reference '#]),0),AssetMonthlyReturns[[#This Row],[SPY]:[PE]])</f>
        <v>-4.7057863469395222E-3</v>
      </c>
      <c r="IZ4" s="27">
        <f>IF(ISNUMBER(IZ3),IZ3*(1+PortfolioFrontier[[#This Row],[P65 Return]]),1+PortfolioFrontier[[#This Row],[P65 Return]])</f>
        <v>0.99529421365306048</v>
      </c>
      <c r="JA4" s="27">
        <f>MAX(JA3,PortfolioFrontier[[#This Row],[P65 Growth]])</f>
        <v>0.99529421365306048</v>
      </c>
      <c r="JB4" s="27">
        <f>PortfolioFrontier[[#This Row],[P65 Growth]]/PortfolioFrontier[[#This Row],[P65 HWM]]-1</f>
        <v>0</v>
      </c>
      <c r="JC4" s="28">
        <f>SUMPRODUCT(INDEX(PortfolioRef[[SPY]:[PE]],MATCH(JC$1,PortfolioRef[Reference '#]),0),AssetMonthlyReturns[[#This Row],[SPY]:[PE]])</f>
        <v>-5.1236847031286344E-4</v>
      </c>
      <c r="JD4" s="27">
        <f>IF(ISNUMBER(JD3),JD3*(1+PortfolioFrontier[[#This Row],[P66 Return]]),1+PortfolioFrontier[[#This Row],[P66 Return]])</f>
        <v>0.99948763152968711</v>
      </c>
      <c r="JE4" s="27">
        <f>MAX(JE3,PortfolioFrontier[[#This Row],[P66 Growth]])</f>
        <v>0.99948763152968711</v>
      </c>
      <c r="JF4" s="27">
        <f>PortfolioFrontier[[#This Row],[P66 Growth]]/PortfolioFrontier[[#This Row],[P66 HWM]]-1</f>
        <v>0</v>
      </c>
      <c r="JG4" s="28">
        <f>SUMPRODUCT(INDEX(PortfolioRef[[SPY]:[PE]],MATCH(JG$1,PortfolioRef[Reference '#]),0),AssetMonthlyReturns[[#This Row],[SPY]:[PE]])</f>
        <v>-1.5707914191774976E-3</v>
      </c>
      <c r="JH4" s="27">
        <f>IF(ISNUMBER(JH3),JH3*(1+PortfolioFrontier[[#This Row],[P67 Return]]),1+PortfolioFrontier[[#This Row],[P67 Return]])</f>
        <v>0.99842920858082251</v>
      </c>
      <c r="JI4" s="27">
        <f>MAX(JI3,PortfolioFrontier[[#This Row],[P67 Growth]])</f>
        <v>0.99842920858082251</v>
      </c>
      <c r="JJ4" s="27">
        <f>PortfolioFrontier[[#This Row],[P67 Growth]]/PortfolioFrontier[[#This Row],[P67 HWM]]-1</f>
        <v>0</v>
      </c>
      <c r="JK4" s="28">
        <f>SUMPRODUCT(INDEX(PortfolioRef[[SPY]:[PE]],MATCH(JK$1,PortfolioRef[Reference '#]),0),AssetMonthlyReturns[[#This Row],[SPY]:[PE]])</f>
        <v>3.6810494063137969E-3</v>
      </c>
      <c r="JL4" s="27">
        <f>IF(ISNUMBER(JL3),JL3*(1+PortfolioFrontier[[#This Row],[P68 Return]]),1+PortfolioFrontier[[#This Row],[P68 Return]])</f>
        <v>1.0036810494063138</v>
      </c>
      <c r="JM4" s="27">
        <f>MAX(JM3,PortfolioFrontier[[#This Row],[P68 Growth]])</f>
        <v>1.0036810494063138</v>
      </c>
      <c r="JN4" s="27">
        <f>PortfolioFrontier[[#This Row],[P68 Growth]]/PortfolioFrontier[[#This Row],[P68 HWM]]-1</f>
        <v>0</v>
      </c>
      <c r="JO4" s="28">
        <f>SUMPRODUCT(INDEX(PortfolioRef[[SPY]:[PE]],MATCH(JO$1,PortfolioRef[Reference '#]),0),AssetMonthlyReturns[[#This Row],[SPY]:[PE]])</f>
        <v>2.6226264574491613E-3</v>
      </c>
      <c r="JP4" s="27">
        <f>IF(ISNUMBER(JP3),JP3*(1+PortfolioFrontier[[#This Row],[P69 Return]]),1+PortfolioFrontier[[#This Row],[P69 Return]])</f>
        <v>1.0026226264574492</v>
      </c>
      <c r="JQ4" s="27">
        <f>MAX(JQ3,PortfolioFrontier[[#This Row],[P69 Growth]])</f>
        <v>1.0026226264574492</v>
      </c>
      <c r="JR4" s="27">
        <f>PortfolioFrontier[[#This Row],[P69 Growth]]/PortfolioFrontier[[#This Row],[P69 HWM]]-1</f>
        <v>0</v>
      </c>
      <c r="JS4" s="28">
        <f>SUMPRODUCT(INDEX(PortfolioRef[[SPY]:[PE]],MATCH(JS$1,PortfolioRef[Reference '#]),0),AssetMonthlyReturns[[#This Row],[SPY]:[PE]])</f>
        <v>1.5642035085845273E-3</v>
      </c>
      <c r="JT4" s="27">
        <f>IF(ISNUMBER(JT3),JT3*(1+PortfolioFrontier[[#This Row],[P70 Return]]),1+PortfolioFrontier[[#This Row],[P70 Return]])</f>
        <v>1.0015642035085845</v>
      </c>
      <c r="JU4" s="27">
        <f>MAX(JU3,PortfolioFrontier[[#This Row],[P70 Growth]])</f>
        <v>1.0015642035085845</v>
      </c>
      <c r="JV4" s="27">
        <f>PortfolioFrontier[[#This Row],[P70 Growth]]/PortfolioFrontier[[#This Row],[P70 HWM]]-1</f>
        <v>0</v>
      </c>
      <c r="JW4" s="28">
        <f>SUMPRODUCT(INDEX(PortfolioRef[[SPY]:[PE]],MATCH(JW$1,PortfolioRef[Reference '#]),0),AssetMonthlyReturns[[#This Row],[SPY]:[PE]])</f>
        <v>-3.59602999275408E-3</v>
      </c>
      <c r="JX4" s="27">
        <f>IF(ISNUMBER(JX3),JX3*(1+PortfolioFrontier[[#This Row],[P71 Return]]),1+PortfolioFrontier[[#This Row],[P71 Return]])</f>
        <v>0.9964039700072459</v>
      </c>
      <c r="JY4" s="27">
        <f>MAX(JY3,PortfolioFrontier[[#This Row],[P71 Growth]])</f>
        <v>0.9964039700072459</v>
      </c>
      <c r="JZ4" s="27">
        <f>PortfolioFrontier[[#This Row],[P71 Growth]]/PortfolioFrontier[[#This Row],[P71 HWM]]-1</f>
        <v>0</v>
      </c>
      <c r="KA4" s="28">
        <f>SUMPRODUCT(INDEX(PortfolioRef[[SPY]:[PE]],MATCH(KA$1,PortfolioRef[Reference '#]),0),AssetMonthlyReturns[[#This Row],[SPY]:[PE]])</f>
        <v>-4.6544529416187135E-3</v>
      </c>
      <c r="KB4" s="27">
        <f>IF(ISNUMBER(KB3),KB3*(1+PortfolioFrontier[[#This Row],[P72 Return]]),1+PortfolioFrontier[[#This Row],[P72 Return]])</f>
        <v>0.9953455470583813</v>
      </c>
      <c r="KC4" s="27">
        <f>MAX(KC3,PortfolioFrontier[[#This Row],[P72 Growth]])</f>
        <v>0.9953455470583813</v>
      </c>
      <c r="KD4" s="27">
        <f>PortfolioFrontier[[#This Row],[P72 Growth]]/PortfolioFrontier[[#This Row],[P72 HWM]]-1</f>
        <v>0</v>
      </c>
      <c r="KE4" s="28">
        <f>SUMPRODUCT(INDEX(PortfolioRef[[SPY]:[PE]],MATCH(KE$1,PortfolioRef[Reference '#]),0),AssetMonthlyReturns[[#This Row],[SPY]:[PE]])</f>
        <v>5.9738788387258006E-4</v>
      </c>
      <c r="KF4" s="27">
        <f>IF(ISNUMBER(KF3),KF3*(1+PortfolioFrontier[[#This Row],[P73 Return]]),1+PortfolioFrontier[[#This Row],[P73 Return]])</f>
        <v>1.0005973878838725</v>
      </c>
      <c r="KG4" s="27">
        <f>MAX(KG3,PortfolioFrontier[[#This Row],[P73 Growth]])</f>
        <v>1.0005973878838725</v>
      </c>
      <c r="KH4" s="27">
        <f>PortfolioFrontier[[#This Row],[P73 Growth]]/PortfolioFrontier[[#This Row],[P73 HWM]]-1</f>
        <v>0</v>
      </c>
      <c r="KI4" s="28">
        <f>SUMPRODUCT(INDEX(PortfolioRef[[SPY]:[PE]],MATCH(KI$1,PortfolioRef[Reference '#]),0),AssetMonthlyReturns[[#This Row],[SPY]:[PE]])</f>
        <v>-4.610350649920553E-4</v>
      </c>
      <c r="KJ4" s="27">
        <f>IF(ISNUMBER(KJ3),KJ3*(1+PortfolioFrontier[[#This Row],[P74 Return]]),1+PortfolioFrontier[[#This Row],[P74 Return]])</f>
        <v>0.99953896493500793</v>
      </c>
      <c r="KK4" s="27">
        <f>MAX(KK3,PortfolioFrontier[[#This Row],[P74 Growth]])</f>
        <v>0.99953896493500793</v>
      </c>
      <c r="KL4" s="27">
        <f>PortfolioFrontier[[#This Row],[P74 Growth]]/PortfolioFrontier[[#This Row],[P74 HWM]]-1</f>
        <v>0</v>
      </c>
      <c r="KM4" s="28">
        <f>SUMPRODUCT(INDEX(PortfolioRef[[SPY]:[PE]],MATCH(KM$1,PortfolioRef[Reference '#]),0),AssetMonthlyReturns[[#This Row],[SPY]:[PE]])</f>
        <v>-1.5194580138566895E-3</v>
      </c>
      <c r="KN4" s="27">
        <f>IF(ISNUMBER(KN3),KN3*(1+PortfolioFrontier[[#This Row],[P75 Return]]),1+PortfolioFrontier[[#This Row],[P75 Return]])</f>
        <v>0.99848054198614333</v>
      </c>
      <c r="KO4" s="27">
        <f>MAX(KO3,PortfolioFrontier[[#This Row],[P75 Growth]])</f>
        <v>0.99848054198614333</v>
      </c>
      <c r="KP4" s="27">
        <f>PortfolioFrontier[[#This Row],[P75 Growth]]/PortfolioFrontier[[#This Row],[P75 HWM]]-1</f>
        <v>0</v>
      </c>
      <c r="KQ4" s="28">
        <f>SUMPRODUCT(INDEX(PortfolioRef[[SPY]:[PE]],MATCH(KQ$1,PortfolioRef[Reference '#]),0),AssetMonthlyReturns[[#This Row],[SPY]:[PE]])</f>
        <v>4.7908057604992386E-3</v>
      </c>
      <c r="KR4" s="27">
        <f>IF(ISNUMBER(KR3),KR3*(1+PortfolioFrontier[[#This Row],[P76 Return]]),1+PortfolioFrontier[[#This Row],[P76 Return]])</f>
        <v>1.0047908057604993</v>
      </c>
      <c r="KS4" s="27">
        <f>MAX(KS3,PortfolioFrontier[[#This Row],[P76 Growth]])</f>
        <v>1.0047908057604993</v>
      </c>
      <c r="KT4" s="27">
        <f>PortfolioFrontier[[#This Row],[P76 Growth]]/PortfolioFrontier[[#This Row],[P76 HWM]]-1</f>
        <v>0</v>
      </c>
      <c r="KU4" s="28">
        <f>SUMPRODUCT(INDEX(PortfolioRef[[SPY]:[PE]],MATCH(KU$1,PortfolioRef[Reference '#]),0),AssetMonthlyReturns[[#This Row],[SPY]:[PE]])</f>
        <v>3.7323828116346048E-3</v>
      </c>
      <c r="KV4" s="27">
        <f>IF(ISNUMBER(KV3),KV3*(1+PortfolioFrontier[[#This Row],[P77 Return]]),1+PortfolioFrontier[[#This Row],[P77 Return]])</f>
        <v>1.0037323828116347</v>
      </c>
      <c r="KW4" s="27">
        <f>MAX(KW3,PortfolioFrontier[[#This Row],[P77 Growth]])</f>
        <v>1.0037323828116347</v>
      </c>
      <c r="KX4" s="27">
        <f>PortfolioFrontier[[#This Row],[P77 Growth]]/PortfolioFrontier[[#This Row],[P77 HWM]]-1</f>
        <v>0</v>
      </c>
      <c r="KY4" s="28">
        <f>SUMPRODUCT(INDEX(PortfolioRef[[SPY]:[PE]],MATCH(KY$1,PortfolioRef[Reference '#]),0),AssetMonthlyReturns[[#This Row],[SPY]:[PE]])</f>
        <v>2.6739598627699697E-3</v>
      </c>
      <c r="KZ4" s="27">
        <f>IF(ISNUMBER(KZ3),KZ3*(1+PortfolioFrontier[[#This Row],[P78 Return]]),1+PortfolioFrontier[[#This Row],[P78 Return]])</f>
        <v>1.0026739598627699</v>
      </c>
      <c r="LA4" s="27">
        <f>MAX(LA3,PortfolioFrontier[[#This Row],[P78 Growth]])</f>
        <v>1.0026739598627699</v>
      </c>
      <c r="LB4" s="27">
        <f>PortfolioFrontier[[#This Row],[P78 Growth]]/PortfolioFrontier[[#This Row],[P78 HWM]]-1</f>
        <v>0</v>
      </c>
      <c r="LC4" s="28">
        <f>SUMPRODUCT(INDEX(PortfolioRef[[SPY]:[PE]],MATCH(LC$1,PortfolioRef[Reference '#]),0),AssetMonthlyReturns[[#This Row],[SPY]:[PE]])</f>
        <v>-2.4862736385686366E-3</v>
      </c>
      <c r="LD4" s="27">
        <f>IF(ISNUMBER(LD3),LD3*(1+PortfolioFrontier[[#This Row],[P79 Return]]),1+PortfolioFrontier[[#This Row],[P79 Return]])</f>
        <v>0.99751372636143132</v>
      </c>
      <c r="LE4" s="27">
        <f>MAX(LE3,PortfolioFrontier[[#This Row],[P79 Growth]])</f>
        <v>0.99751372636143132</v>
      </c>
      <c r="LF4" s="27">
        <f>PortfolioFrontier[[#This Row],[P79 Growth]]/PortfolioFrontier[[#This Row],[P79 HWM]]-1</f>
        <v>0</v>
      </c>
      <c r="LG4" s="28">
        <f>SUMPRODUCT(INDEX(PortfolioRef[[SPY]:[PE]],MATCH(LG$1,PortfolioRef[Reference '#]),0),AssetMonthlyReturns[[#This Row],[SPY]:[PE]])</f>
        <v>-3.5446965874332721E-3</v>
      </c>
      <c r="LH4" s="27">
        <f>IF(ISNUMBER(LH3),LH3*(1+PortfolioFrontier[[#This Row],[P80 Return]]),1+PortfolioFrontier[[#This Row],[P80 Return]])</f>
        <v>0.99645530341256672</v>
      </c>
      <c r="LI4" s="27">
        <f>MAX(LI3,PortfolioFrontier[[#This Row],[P80 Growth]])</f>
        <v>0.99645530341256672</v>
      </c>
      <c r="LJ4" s="27">
        <f>PortfolioFrontier[[#This Row],[P80 Growth]]/PortfolioFrontier[[#This Row],[P80 HWM]]-1</f>
        <v>0</v>
      </c>
      <c r="LK4" s="28">
        <f>SUMPRODUCT(INDEX(PortfolioRef[[SPY]:[PE]],MATCH(LK$1,PortfolioRef[Reference '#]),0),AssetMonthlyReturns[[#This Row],[SPY]:[PE]])</f>
        <v>-4.6031195362979055E-3</v>
      </c>
      <c r="LL4" s="27">
        <f>IF(ISNUMBER(LL3),LL3*(1+PortfolioFrontier[[#This Row],[P81 Return]]),1+PortfolioFrontier[[#This Row],[P81 Return]])</f>
        <v>0.99539688046370212</v>
      </c>
      <c r="LM4" s="27">
        <f>MAX(LM3,PortfolioFrontier[[#This Row],[P81 Growth]])</f>
        <v>0.99539688046370212</v>
      </c>
      <c r="LN4" s="27">
        <f>PortfolioFrontier[[#This Row],[P81 Growth]]/PortfolioFrontier[[#This Row],[P81 HWM]]-1</f>
        <v>0</v>
      </c>
      <c r="LO4" s="28">
        <f>SUMPRODUCT(INDEX(PortfolioRef[[SPY]:[PE]],MATCH(LO$1,PortfolioRef[Reference '#]),0),AssetMonthlyReturns[[#This Row],[SPY]:[PE]])</f>
        <v>1.7071442380580224E-3</v>
      </c>
      <c r="LP4" s="27">
        <f>IF(ISNUMBER(LP3),LP3*(1+PortfolioFrontier[[#This Row],[P82 Return]]),1+PortfolioFrontier[[#This Row],[P82 Return]])</f>
        <v>1.0017071442380581</v>
      </c>
      <c r="LQ4" s="27">
        <f>MAX(LQ3,PortfolioFrontier[[#This Row],[P82 Growth]])</f>
        <v>1.0017071442380581</v>
      </c>
      <c r="LR4" s="27">
        <f>PortfolioFrontier[[#This Row],[P82 Growth]]/PortfolioFrontier[[#This Row],[P82 HWM]]-1</f>
        <v>0</v>
      </c>
      <c r="LS4" s="28">
        <f>SUMPRODUCT(INDEX(PortfolioRef[[SPY]:[PE]],MATCH(LS$1,PortfolioRef[Reference '#]),0),AssetMonthlyReturns[[#This Row],[SPY]:[PE]])</f>
        <v>6.487212891933882E-4</v>
      </c>
      <c r="LT4" s="27">
        <f>IF(ISNUMBER(LT3),LT3*(1+PortfolioFrontier[[#This Row],[P83 Return]]),1+PortfolioFrontier[[#This Row],[P83 Return]])</f>
        <v>1.0006487212891935</v>
      </c>
      <c r="LU4" s="27">
        <f>MAX(LU3,PortfolioFrontier[[#This Row],[P83 Growth]])</f>
        <v>1.0006487212891935</v>
      </c>
      <c r="LV4" s="27">
        <f>PortfolioFrontier[[#This Row],[P83 Growth]]/PortfolioFrontier[[#This Row],[P83 HWM]]-1</f>
        <v>0</v>
      </c>
      <c r="LW4" s="28">
        <f>SUMPRODUCT(INDEX(PortfolioRef[[SPY]:[PE]],MATCH(LW$1,PortfolioRef[Reference '#]),0),AssetMonthlyReturns[[#This Row],[SPY]:[PE]])</f>
        <v>-4.0970165967124721E-4</v>
      </c>
      <c r="LX4" s="27">
        <f>IF(ISNUMBER(LX3),LX3*(1+PortfolioFrontier[[#This Row],[P84 Return]]),1+PortfolioFrontier[[#This Row],[P84 Return]])</f>
        <v>0.99959029834032875</v>
      </c>
      <c r="LY4" s="27">
        <f>MAX(LY3,PortfolioFrontier[[#This Row],[P84 Growth]])</f>
        <v>0.99959029834032875</v>
      </c>
      <c r="LZ4" s="27">
        <f>PortfolioFrontier[[#This Row],[P84 Growth]]/PortfolioFrontier[[#This Row],[P84 HWM]]-1</f>
        <v>0</v>
      </c>
      <c r="MA4" s="28">
        <f>SUMPRODUCT(INDEX(PortfolioRef[[SPY]:[PE]],MATCH(MA$1,PortfolioRef[Reference '#]),0),AssetMonthlyReturns[[#This Row],[SPY]:[PE]])</f>
        <v>5.9005621146846808E-3</v>
      </c>
      <c r="MB4" s="27">
        <f>IF(ISNUMBER(MB3),MB3*(1+PortfolioFrontier[[#This Row],[P85 Return]]),1+PortfolioFrontier[[#This Row],[P85 Return]])</f>
        <v>1.0059005621146846</v>
      </c>
      <c r="MC4" s="27">
        <f>MAX(MC3,PortfolioFrontier[[#This Row],[P85 Growth]])</f>
        <v>1.0059005621146846</v>
      </c>
      <c r="MD4" s="27">
        <f>PortfolioFrontier[[#This Row],[P85 Growth]]/PortfolioFrontier[[#This Row],[P85 HWM]]-1</f>
        <v>0</v>
      </c>
      <c r="ME4" s="28">
        <f>SUMPRODUCT(INDEX(PortfolioRef[[SPY]:[PE]],MATCH(ME$1,PortfolioRef[Reference '#]),0),AssetMonthlyReturns[[#This Row],[SPY]:[PE]])</f>
        <v>4.8421391658200474E-3</v>
      </c>
      <c r="MF4" s="27">
        <f>IF(ISNUMBER(MF3),MF3*(1+PortfolioFrontier[[#This Row],[P86 Return]]),1+PortfolioFrontier[[#This Row],[P86 Return]])</f>
        <v>1.00484213916582</v>
      </c>
      <c r="MG4" s="27">
        <f>MAX(MG3,PortfolioFrontier[[#This Row],[P86 Growth]])</f>
        <v>1.00484213916582</v>
      </c>
      <c r="MH4" s="27">
        <f>PortfolioFrontier[[#This Row],[P86 Growth]]/PortfolioFrontier[[#This Row],[P86 HWM]]-1</f>
        <v>0</v>
      </c>
      <c r="MI4" s="28">
        <f>SUMPRODUCT(INDEX(PortfolioRef[[SPY]:[PE]],MATCH(MI$1,PortfolioRef[Reference '#]),0),AssetMonthlyReturns[[#This Row],[SPY]:[PE]])</f>
        <v>3.7837162169554132E-3</v>
      </c>
      <c r="MJ4" s="27">
        <f>IF(ISNUMBER(MJ3),MJ3*(1+PortfolioFrontier[[#This Row],[P87 Return]]),1+PortfolioFrontier[[#This Row],[P87 Return]])</f>
        <v>1.0037837162169554</v>
      </c>
      <c r="MK4" s="27">
        <f>MAX(MK3,PortfolioFrontier[[#This Row],[P87 Growth]])</f>
        <v>1.0037837162169554</v>
      </c>
      <c r="ML4" s="27">
        <f>PortfolioFrontier[[#This Row],[P87 Growth]]/PortfolioFrontier[[#This Row],[P87 HWM]]-1</f>
        <v>0</v>
      </c>
      <c r="MM4" s="28">
        <f>SUMPRODUCT(INDEX(PortfolioRef[[SPY]:[PE]],MATCH(MM$1,PortfolioRef[Reference '#]),0),AssetMonthlyReturns[[#This Row],[SPY]:[PE]])</f>
        <v>-1.3765172843831944E-3</v>
      </c>
      <c r="MN4" s="27">
        <f>IF(ISNUMBER(MN3),MN3*(1+PortfolioFrontier[[#This Row],[P88 Return]]),1+PortfolioFrontier[[#This Row],[P88 Return]])</f>
        <v>0.99862348271561685</v>
      </c>
      <c r="MO4" s="27">
        <f>MAX(MO3,PortfolioFrontier[[#This Row],[P88 Growth]])</f>
        <v>0.99862348271561685</v>
      </c>
      <c r="MP4" s="27">
        <f>PortfolioFrontier[[#This Row],[P88 Growth]]/PortfolioFrontier[[#This Row],[P88 HWM]]-1</f>
        <v>0</v>
      </c>
      <c r="MQ4" s="28">
        <f>SUMPRODUCT(INDEX(PortfolioRef[[SPY]:[PE]],MATCH(MQ$1,PortfolioRef[Reference '#]),0),AssetMonthlyReturns[[#This Row],[SPY]:[PE]])</f>
        <v>-2.4349402332478286E-3</v>
      </c>
      <c r="MR4" s="27">
        <f>IF(ISNUMBER(MR3),MR3*(1+PortfolioFrontier[[#This Row],[P89 Return]]),1+PortfolioFrontier[[#This Row],[P89 Return]])</f>
        <v>0.99756505976675214</v>
      </c>
      <c r="MS4" s="27">
        <f>MAX(MS3,PortfolioFrontier[[#This Row],[P89 Growth]])</f>
        <v>0.99756505976675214</v>
      </c>
      <c r="MT4" s="27">
        <f>PortfolioFrontier[[#This Row],[P89 Growth]]/PortfolioFrontier[[#This Row],[P89 HWM]]-1</f>
        <v>0</v>
      </c>
      <c r="MU4" s="28">
        <f>SUMPRODUCT(INDEX(PortfolioRef[[SPY]:[PE]],MATCH(MU$1,PortfolioRef[Reference '#]),0),AssetMonthlyReturns[[#This Row],[SPY]:[PE]])</f>
        <v>-3.4933631821124638E-3</v>
      </c>
      <c r="MV4" s="27">
        <f>IF(ISNUMBER(MV3),MV3*(1+PortfolioFrontier[[#This Row],[P90 Return]]),1+PortfolioFrontier[[#This Row],[P90 Return]])</f>
        <v>0.99650663681788754</v>
      </c>
      <c r="MW4" s="27">
        <f>MAX(MW3,PortfolioFrontier[[#This Row],[P90 Growth]])</f>
        <v>0.99650663681788754</v>
      </c>
      <c r="MX4" s="27">
        <f>PortfolioFrontier[[#This Row],[P90 Growth]]/PortfolioFrontier[[#This Row],[P90 HWM]]-1</f>
        <v>0</v>
      </c>
      <c r="MY4" s="28">
        <f>SUMPRODUCT(INDEX(PortfolioRef[[SPY]:[PE]],MATCH(MY$1,PortfolioRef[Reference '#]),0),AssetMonthlyReturns[[#This Row],[SPY]:[PE]])</f>
        <v>2.8169005922434646E-3</v>
      </c>
      <c r="MZ4" s="27">
        <f>IF(ISNUMBER(MZ3),MZ3*(1+PortfolioFrontier[[#This Row],[P91 Return]]),1+PortfolioFrontier[[#This Row],[P91 Return]])</f>
        <v>1.0028169005922434</v>
      </c>
      <c r="NA4" s="27">
        <f>MAX(NA3,PortfolioFrontier[[#This Row],[P91 Growth]])</f>
        <v>1.0028169005922434</v>
      </c>
      <c r="NB4" s="27">
        <f>PortfolioFrontier[[#This Row],[P91 Growth]]/PortfolioFrontier[[#This Row],[P91 HWM]]-1</f>
        <v>0</v>
      </c>
      <c r="NC4" s="28">
        <f>SUMPRODUCT(INDEX(PortfolioRef[[SPY]:[PE]],MATCH(NC$1,PortfolioRef[Reference '#]),0),AssetMonthlyReturns[[#This Row],[SPY]:[PE]])</f>
        <v>1.7584776433788303E-3</v>
      </c>
      <c r="ND4" s="27">
        <f>IF(ISNUMBER(ND3),ND3*(1+PortfolioFrontier[[#This Row],[P92 Return]]),1+PortfolioFrontier[[#This Row],[P92 Return]])</f>
        <v>1.0017584776433788</v>
      </c>
      <c r="NE4" s="27">
        <f>MAX(NE3,PortfolioFrontier[[#This Row],[P92 Growth]])</f>
        <v>1.0017584776433788</v>
      </c>
      <c r="NF4" s="27">
        <f>PortfolioFrontier[[#This Row],[P92 Growth]]/PortfolioFrontier[[#This Row],[P92 HWM]]-1</f>
        <v>0</v>
      </c>
      <c r="NG4" s="28">
        <f>SUMPRODUCT(INDEX(PortfolioRef[[SPY]:[PE]],MATCH(NG$1,PortfolioRef[Reference '#]),0),AssetMonthlyReturns[[#This Row],[SPY]:[PE]])</f>
        <v>7.0005469451419624E-4</v>
      </c>
      <c r="NH4" s="27">
        <f>IF(ISNUMBER(NH3),NH3*(1+PortfolioFrontier[[#This Row],[P93 Return]]),1+PortfolioFrontier[[#This Row],[P93 Return]])</f>
        <v>1.0007000546945142</v>
      </c>
      <c r="NI4" s="27">
        <f>MAX(NI3,PortfolioFrontier[[#This Row],[P93 Growth]])</f>
        <v>1.0007000546945142</v>
      </c>
      <c r="NJ4" s="27">
        <f>PortfolioFrontier[[#This Row],[P93 Growth]]/PortfolioFrontier[[#This Row],[P93 HWM]]-1</f>
        <v>0</v>
      </c>
      <c r="NK4" s="28">
        <f>SUMPRODUCT(INDEX(PortfolioRef[[SPY]:[PE]],MATCH(NK$1,PortfolioRef[Reference '#]),0),AssetMonthlyReturns[[#This Row],[SPY]:[PE]])</f>
        <v>7.010318468870123E-3</v>
      </c>
      <c r="NL4" s="27">
        <f>IF(ISNUMBER(NL3),NL3*(1+PortfolioFrontier[[#This Row],[P94 Return]]),1+PortfolioFrontier[[#This Row],[P94 Return]])</f>
        <v>1.0070103184688701</v>
      </c>
      <c r="NM4" s="27">
        <f>MAX(NM3,PortfolioFrontier[[#This Row],[P94 Growth]])</f>
        <v>1.0070103184688701</v>
      </c>
      <c r="NN4" s="27">
        <f>PortfolioFrontier[[#This Row],[P94 Growth]]/PortfolioFrontier[[#This Row],[P94 HWM]]-1</f>
        <v>0</v>
      </c>
      <c r="NO4" s="28">
        <f>SUMPRODUCT(INDEX(PortfolioRef[[SPY]:[PE]],MATCH(NO$1,PortfolioRef[Reference '#]),0),AssetMonthlyReturns[[#This Row],[SPY]:[PE]])</f>
        <v>5.9518955200054896E-3</v>
      </c>
      <c r="NP4" s="27">
        <f>IF(ISNUMBER(NP3),NP3*(1+PortfolioFrontier[[#This Row],[P95 Return]]),1+PortfolioFrontier[[#This Row],[P95 Return]])</f>
        <v>1.0059518955200055</v>
      </c>
      <c r="NQ4" s="27">
        <f>MAX(NQ3,PortfolioFrontier[[#This Row],[P95 Growth]])</f>
        <v>1.0059518955200055</v>
      </c>
      <c r="NR4" s="27">
        <f>PortfolioFrontier[[#This Row],[P95 Growth]]/PortfolioFrontier[[#This Row],[P95 HWM]]-1</f>
        <v>0</v>
      </c>
      <c r="NS4" s="28">
        <f>SUMPRODUCT(INDEX(PortfolioRef[[SPY]:[PE]],MATCH(NS$1,PortfolioRef[Reference '#]),0),AssetMonthlyReturns[[#This Row],[SPY]:[PE]])</f>
        <v>4.8934725711408554E-3</v>
      </c>
      <c r="NT4" s="27">
        <f>IF(ISNUMBER(NT3),NT3*(1+PortfolioFrontier[[#This Row],[P96 Return]]),1+PortfolioFrontier[[#This Row],[P96 Return]])</f>
        <v>1.0048934725711409</v>
      </c>
      <c r="NU4" s="27">
        <f>MAX(NU3,PortfolioFrontier[[#This Row],[P96 Growth]])</f>
        <v>1.0048934725711409</v>
      </c>
      <c r="NV4" s="27">
        <f>PortfolioFrontier[[#This Row],[P96 Growth]]/PortfolioFrontier[[#This Row],[P96 HWM]]-1</f>
        <v>0</v>
      </c>
      <c r="NW4" s="28">
        <f>SUMPRODUCT(INDEX(PortfolioRef[[SPY]:[PE]],MATCH(NW$1,PortfolioRef[Reference '#]),0),AssetMonthlyReturns[[#This Row],[SPY]:[PE]])</f>
        <v>6.2546731850784433E-4</v>
      </c>
      <c r="NX4" s="27">
        <f>IF(ISNUMBER(NX3),NX3*(1+PortfolioFrontier[[#This Row],[P97 Return]]),1+PortfolioFrontier[[#This Row],[P97 Return]])</f>
        <v>1.0006254673185078</v>
      </c>
      <c r="NY4" s="27">
        <f>MAX(NY3,PortfolioFrontier[[#This Row],[P97 Growth]])</f>
        <v>1.0006254673185078</v>
      </c>
      <c r="NZ4" s="27">
        <f>PortfolioFrontier[[#This Row],[P97 Growth]]/PortfolioFrontier[[#This Row],[P97 HWM]]-1</f>
        <v>0</v>
      </c>
      <c r="OA4" s="28">
        <f>SUMPRODUCT(INDEX(PortfolioRef[[SPY]:[PE]],MATCH(OA$1,PortfolioRef[Reference '#]),0),AssetMonthlyReturns[[#This Row],[SPY]:[PE]])</f>
        <v>-2.4581942039333723E-3</v>
      </c>
      <c r="OB4" s="27">
        <f>IF(ISNUMBER(OB3),OB3*(1+PortfolioFrontier[[#This Row],[P98 Return]]),1+PortfolioFrontier[[#This Row],[P98 Return]])</f>
        <v>0.99754180579606666</v>
      </c>
      <c r="OC4" s="27">
        <f>MAX(OC3,PortfolioFrontier[[#This Row],[P98 Growth]])</f>
        <v>0.99754180579606666</v>
      </c>
      <c r="OD4" s="27">
        <f>PortfolioFrontier[[#This Row],[P98 Growth]]/PortfolioFrontier[[#This Row],[P98 HWM]]-1</f>
        <v>0</v>
      </c>
      <c r="OE4" s="28">
        <f>SUMPRODUCT(INDEX(PortfolioRef[[SPY]:[PE]],MATCH(OE$1,PortfolioRef[Reference '#]),0),AssetMonthlyReturns[[#This Row],[SPY]:[PE]])</f>
        <v>1.7352236726932866E-3</v>
      </c>
      <c r="OF4" s="27">
        <f>IF(ISNUMBER(OF3),OF3*(1+PortfolioFrontier[[#This Row],[P99 Return]]),1+PortfolioFrontier[[#This Row],[P99 Return]])</f>
        <v>1.0017352236726933</v>
      </c>
      <c r="OG4" s="27">
        <f>MAX(OG3,PortfolioFrontier[[#This Row],[P99 Growth]])</f>
        <v>1.0017352236726933</v>
      </c>
      <c r="OH4" s="27">
        <f>PortfolioFrontier[[#This Row],[P99 Growth]]/PortfolioFrontier[[#This Row],[P99 HWM]]-1</f>
        <v>0</v>
      </c>
      <c r="OI4" s="28">
        <f>SUMPRODUCT(INDEX(PortfolioRef[[SPY]:[PE]],MATCH(OI$1,PortfolioRef[Reference '#]),0),AssetMonthlyReturns[[#This Row],[SPY]:[PE]])</f>
        <v>6.7680072382865248E-4</v>
      </c>
      <c r="OJ4" s="27">
        <f>IF(ISNUMBER(OJ3),OJ3*(1+PortfolioFrontier[[#This Row],[P100 Return]]),1+PortfolioFrontier[[#This Row],[P100 Return]])</f>
        <v>1.0006768007238287</v>
      </c>
      <c r="OK4" s="27">
        <f>MAX(OK3,PortfolioFrontier[[#This Row],[P100 Growth]])</f>
        <v>1.0006768007238287</v>
      </c>
      <c r="OL4" s="27">
        <f>PortfolioFrontier[[#This Row],[P100 Growth]]/PortfolioFrontier[[#This Row],[P100 HWM]]-1</f>
        <v>0</v>
      </c>
      <c r="OM4" s="28">
        <f>SUMPRODUCT(INDEX(PortfolioRef[[SPY]:[PE]],MATCH(OM$1,PortfolioRef[Reference '#]),0),AssetMonthlyReturns[[#This Row],[SPY]:[PE]])</f>
        <v>-5.541855726374589E-3</v>
      </c>
      <c r="ON4" s="27">
        <f>IF(ISNUMBER(ON3),ON3*(1+PortfolioFrontier[[#This Row],[P101 Return]]),1+PortfolioFrontier[[#This Row],[P101 Return]])</f>
        <v>0.99445814427362544</v>
      </c>
      <c r="OO4" s="27">
        <f>MAX(OO3,PortfolioFrontier[[#This Row],[P101 Growth]])</f>
        <v>0.99445814427362544</v>
      </c>
      <c r="OP4" s="27">
        <f>PortfolioFrontier[[#This Row],[P101 Growth]]/PortfolioFrontier[[#This Row],[P101 HWM]]-1</f>
        <v>0</v>
      </c>
      <c r="OQ4" s="28">
        <f>SUMPRODUCT(INDEX(PortfolioRef[[SPY]:[PE]],MATCH(OQ$1,PortfolioRef[Reference '#]),0),AssetMonthlyReturns[[#This Row],[SPY]:[PE]])</f>
        <v>-1.3484378497479301E-3</v>
      </c>
      <c r="OR4" s="27">
        <f>IF(ISNUMBER(OR3),OR3*(1+PortfolioFrontier[[#This Row],[P102 Return]]),1+PortfolioFrontier[[#This Row],[P102 Return]])</f>
        <v>0.99865156215025208</v>
      </c>
      <c r="OS4" s="27">
        <f>MAX(OS3,PortfolioFrontier[[#This Row],[P102 Growth]])</f>
        <v>0.99865156215025208</v>
      </c>
      <c r="OT4" s="27">
        <f>PortfolioFrontier[[#This Row],[P102 Growth]]/PortfolioFrontier[[#This Row],[P102 HWM]]-1</f>
        <v>0</v>
      </c>
      <c r="OU4" s="28">
        <f>SUMPRODUCT(INDEX(PortfolioRef[[SPY]:[PE]],MATCH(OU$1,PortfolioRef[Reference '#]),0),AssetMonthlyReturns[[#This Row],[SPY]:[PE]])</f>
        <v>-2.4068607986125643E-3</v>
      </c>
      <c r="OV4" s="27">
        <f>IF(ISNUMBER(OV3),OV3*(1+PortfolioFrontier[[#This Row],[P103 Return]]),1+PortfolioFrontier[[#This Row],[P103 Return]])</f>
        <v>0.99759313920138748</v>
      </c>
      <c r="OW4" s="27">
        <f>MAX(OW3,PortfolioFrontier[[#This Row],[P103 Growth]])</f>
        <v>0.99759313920138748</v>
      </c>
      <c r="OX4" s="27">
        <f>PortfolioFrontier[[#This Row],[P103 Growth]]/PortfolioFrontier[[#This Row],[P103 HWM]]-1</f>
        <v>0</v>
      </c>
      <c r="OY4" s="28">
        <f>SUMPRODUCT(INDEX(PortfolioRef[[SPY]:[PE]],MATCH(OY$1,PortfolioRef[Reference '#]),0),AssetMonthlyReturns[[#This Row],[SPY]:[PE]])</f>
        <v>2.8449800268787301E-3</v>
      </c>
      <c r="OZ4" s="27">
        <f>IF(ISNUMBER(OZ3),OZ3*(1+PortfolioFrontier[[#This Row],[P104 Return]]),1+PortfolioFrontier[[#This Row],[P104 Return]])</f>
        <v>1.0028449800268788</v>
      </c>
      <c r="PA4" s="27">
        <f>MAX(PA3,PortfolioFrontier[[#This Row],[P104 Growth]])</f>
        <v>1.0028449800268788</v>
      </c>
      <c r="PB4" s="27">
        <f>PortfolioFrontier[[#This Row],[P104 Growth]]/PortfolioFrontier[[#This Row],[P104 HWM]]-1</f>
        <v>0</v>
      </c>
      <c r="PC4" s="28">
        <f>SUMPRODUCT(INDEX(PortfolioRef[[SPY]:[PE]],MATCH(PC$1,PortfolioRef[Reference '#]),0),AssetMonthlyReturns[[#This Row],[SPY]:[PE]])</f>
        <v>1.7865570780140946E-3</v>
      </c>
      <c r="PD4" s="27">
        <f>IF(ISNUMBER(PD3),PD3*(1+PortfolioFrontier[[#This Row],[P105 Return]]),1+PortfolioFrontier[[#This Row],[P105 Return]])</f>
        <v>1.001786557078014</v>
      </c>
      <c r="PE4" s="27">
        <f>MAX(PE3,PortfolioFrontier[[#This Row],[P105 Growth]])</f>
        <v>1.001786557078014</v>
      </c>
      <c r="PF4" s="27">
        <f>PortfolioFrontier[[#This Row],[P105 Growth]]/PortfolioFrontier[[#This Row],[P105 HWM]]-1</f>
        <v>0</v>
      </c>
      <c r="PG4" s="28">
        <f>SUMPRODUCT(INDEX(PortfolioRef[[SPY]:[PE]],MATCH(PG$1,PortfolioRef[Reference '#]),0),AssetMonthlyReturns[[#This Row],[SPY]:[PE]])</f>
        <v>7.2813412914946051E-4</v>
      </c>
      <c r="PH4" s="27">
        <f>IF(ISNUMBER(PH3),PH3*(1+PortfolioFrontier[[#This Row],[P106 Return]]),1+PortfolioFrontier[[#This Row],[P106 Return]])</f>
        <v>1.0007281341291494</v>
      </c>
      <c r="PI4" s="27">
        <f>MAX(PI3,PortfolioFrontier[[#This Row],[P106 Growth]])</f>
        <v>1.0007281341291494</v>
      </c>
      <c r="PJ4" s="27">
        <f>PortfolioFrontier[[#This Row],[P106 Growth]]/PortfolioFrontier[[#This Row],[P106 HWM]]-1</f>
        <v>0</v>
      </c>
      <c r="PK4" s="28">
        <f>SUMPRODUCT(INDEX(PortfolioRef[[SPY]:[PE]],MATCH(PK$1,PortfolioRef[Reference '#]),0),AssetMonthlyReturns[[#This Row],[SPY]:[PE]])</f>
        <v>-4.4320993721891477E-3</v>
      </c>
      <c r="PL4" s="27">
        <f>IF(ISNUMBER(PL3),PL3*(1+PortfolioFrontier[[#This Row],[P107 Return]]),1+PortfolioFrontier[[#This Row],[P107 Return]])</f>
        <v>0.99556790062781086</v>
      </c>
      <c r="PM4" s="27">
        <f>MAX(PM3,PortfolioFrontier[[#This Row],[P107 Growth]])</f>
        <v>0.99556790062781086</v>
      </c>
      <c r="PN4" s="27">
        <f>PortfolioFrontier[[#This Row],[P107 Growth]]/PortfolioFrontier[[#This Row],[P107 HWM]]-1</f>
        <v>0</v>
      </c>
      <c r="PO4" s="28">
        <f>SUMPRODUCT(INDEX(PortfolioRef[[SPY]:[PE]],MATCH(PO$1,PortfolioRef[Reference '#]),0),AssetMonthlyReturns[[#This Row],[SPY]:[PE]])</f>
        <v>-5.4905223210537802E-3</v>
      </c>
      <c r="PP4" s="27">
        <f>IF(ISNUMBER(PP3),PP3*(1+PortfolioFrontier[[#This Row],[P108 Return]]),1+PortfolioFrontier[[#This Row],[P108 Return]])</f>
        <v>0.99450947767894626</v>
      </c>
      <c r="PQ4" s="27">
        <f>MAX(PQ3,PortfolioFrontier[[#This Row],[P108 Growth]])</f>
        <v>0.99450947767894626</v>
      </c>
      <c r="PR4" s="27">
        <f>PortfolioFrontier[[#This Row],[P108 Growth]]/PortfolioFrontier[[#This Row],[P108 HWM]]-1</f>
        <v>0</v>
      </c>
      <c r="PS4" s="28">
        <f>SUMPRODUCT(INDEX(PortfolioRef[[SPY]:[PE]],MATCH(PS$1,PortfolioRef[Reference '#]),0),AssetMonthlyReturns[[#This Row],[SPY]:[PE]])</f>
        <v>-2.3868149556248666E-4</v>
      </c>
      <c r="PT4" s="27">
        <f>IF(ISNUMBER(PT3),PT3*(1+PortfolioFrontier[[#This Row],[P109 Return]]),1+PortfolioFrontier[[#This Row],[P109 Return]])</f>
        <v>0.9997613185044375</v>
      </c>
      <c r="PU4" s="27">
        <f>MAX(PU3,PortfolioFrontier[[#This Row],[P109 Growth]])</f>
        <v>0.9997613185044375</v>
      </c>
      <c r="PV4" s="27">
        <f>PortfolioFrontier[[#This Row],[P109 Growth]]/PortfolioFrontier[[#This Row],[P109 HWM]]-1</f>
        <v>0</v>
      </c>
      <c r="PW4" s="28">
        <f>SUMPRODUCT(INDEX(PortfolioRef[[SPY]:[PE]],MATCH(PW$1,PortfolioRef[Reference '#]),0),AssetMonthlyReturns[[#This Row],[SPY]:[PE]])</f>
        <v>-1.2971044444271222E-3</v>
      </c>
      <c r="PX4" s="27">
        <f>IF(ISNUMBER(PX3),PX3*(1+PortfolioFrontier[[#This Row],[P110 Return]]),1+PortfolioFrontier[[#This Row],[P110 Return]])</f>
        <v>0.9987028955555729</v>
      </c>
      <c r="PY4" s="27">
        <f>MAX(PY3,PortfolioFrontier[[#This Row],[P110 Growth]])</f>
        <v>0.9987028955555729</v>
      </c>
      <c r="PZ4" s="27">
        <f>PortfolioFrontier[[#This Row],[P110 Growth]]/PortfolioFrontier[[#This Row],[P110 HWM]]-1</f>
        <v>0</v>
      </c>
      <c r="QA4" s="28">
        <f>SUMPRODUCT(INDEX(PortfolioRef[[SPY]:[PE]],MATCH(QA$1,PortfolioRef[Reference '#]),0),AssetMonthlyReturns[[#This Row],[SPY]:[PE]])</f>
        <v>-2.355527393291756E-3</v>
      </c>
      <c r="QB4" s="27">
        <f>IF(ISNUMBER(QB3),QB3*(1+PortfolioFrontier[[#This Row],[P111 Return]]),1+PortfolioFrontier[[#This Row],[P111 Return]])</f>
        <v>0.9976444726067083</v>
      </c>
      <c r="QC4" s="27">
        <f>MAX(QC3,PortfolioFrontier[[#This Row],[P111 Growth]])</f>
        <v>0.9976444726067083</v>
      </c>
      <c r="QD4" s="27">
        <f>PortfolioFrontier[[#This Row],[P111 Growth]]/PortfolioFrontier[[#This Row],[P111 HWM]]-1</f>
        <v>0</v>
      </c>
      <c r="QE4" s="28">
        <f>SUMPRODUCT(INDEX(PortfolioRef[[SPY]:[PE]],MATCH(QE$1,PortfolioRef[Reference '#]),0),AssetMonthlyReturns[[#This Row],[SPY]:[PE]])</f>
        <v>3.9547363810641719E-3</v>
      </c>
      <c r="QF4" s="27">
        <f>IF(ISNUMBER(QF3),QF3*(1+PortfolioFrontier[[#This Row],[P112 Return]]),1+PortfolioFrontier[[#This Row],[P112 Return]])</f>
        <v>1.0039547363810641</v>
      </c>
      <c r="QG4" s="27">
        <f>MAX(QG3,PortfolioFrontier[[#This Row],[P112 Growth]])</f>
        <v>1.0039547363810641</v>
      </c>
      <c r="QH4" s="27">
        <f>PortfolioFrontier[[#This Row],[P112 Growth]]/PortfolioFrontier[[#This Row],[P112 HWM]]-1</f>
        <v>0</v>
      </c>
      <c r="QI4" s="28">
        <f>SUMPRODUCT(INDEX(PortfolioRef[[SPY]:[PE]],MATCH(QI$1,PortfolioRef[Reference '#]),0),AssetMonthlyReturns[[#This Row],[SPY]:[PE]])</f>
        <v>2.8963134321995381E-3</v>
      </c>
      <c r="QJ4" s="27">
        <f>IF(ISNUMBER(QJ3),QJ3*(1+PortfolioFrontier[[#This Row],[P113 Return]]),1+PortfolioFrontier[[#This Row],[P113 Return]])</f>
        <v>1.0028963134321995</v>
      </c>
      <c r="QK4" s="27">
        <f>MAX(QK3,PortfolioFrontier[[#This Row],[P113 Growth]])</f>
        <v>1.0028963134321995</v>
      </c>
      <c r="QL4" s="27">
        <f>PortfolioFrontier[[#This Row],[P113 Growth]]/PortfolioFrontier[[#This Row],[P113 HWM]]-1</f>
        <v>0</v>
      </c>
      <c r="QM4" s="28">
        <f>SUMPRODUCT(INDEX(PortfolioRef[[SPY]:[PE]],MATCH(QM$1,PortfolioRef[Reference '#]),0),AssetMonthlyReturns[[#This Row],[SPY]:[PE]])</f>
        <v>1.8378904833349027E-3</v>
      </c>
      <c r="QN4" s="27">
        <f>IF(ISNUMBER(QN3),QN3*(1+PortfolioFrontier[[#This Row],[P114 Return]]),1+PortfolioFrontier[[#This Row],[P114 Return]])</f>
        <v>1.0018378904833349</v>
      </c>
      <c r="QO4" s="27">
        <f>MAX(QO3,PortfolioFrontier[[#This Row],[P114 Growth]])</f>
        <v>1.0018378904833349</v>
      </c>
      <c r="QP4" s="27">
        <f>PortfolioFrontier[[#This Row],[P114 Growth]]/PortfolioFrontier[[#This Row],[P114 HWM]]-1</f>
        <v>0</v>
      </c>
      <c r="QQ4" s="28">
        <f>SUMPRODUCT(INDEX(PortfolioRef[[SPY]:[PE]],MATCH(QQ$1,PortfolioRef[Reference '#]),0),AssetMonthlyReturns[[#This Row],[SPY]:[PE]])</f>
        <v>-3.3223430180037033E-3</v>
      </c>
      <c r="QR4" s="27">
        <f>IF(ISNUMBER(QR3),QR3*(1+PortfolioFrontier[[#This Row],[P115 Return]]),1+PortfolioFrontier[[#This Row],[P115 Return]])</f>
        <v>0.99667765698199628</v>
      </c>
      <c r="QS4" s="27">
        <f>MAX(QS3,PortfolioFrontier[[#This Row],[P115 Growth]])</f>
        <v>0.99667765698199628</v>
      </c>
      <c r="QT4" s="27">
        <f>PortfolioFrontier[[#This Row],[P115 Growth]]/PortfolioFrontier[[#This Row],[P115 HWM]]-1</f>
        <v>0</v>
      </c>
      <c r="QU4" s="28">
        <f>SUMPRODUCT(INDEX(PortfolioRef[[SPY]:[PE]],MATCH(QU$1,PortfolioRef[Reference '#]),0),AssetMonthlyReturns[[#This Row],[SPY]:[PE]])</f>
        <v>-4.3807659668683389E-3</v>
      </c>
      <c r="QV4" s="27">
        <f>IF(ISNUMBER(QV3),QV3*(1+PortfolioFrontier[[#This Row],[P116 Return]]),1+PortfolioFrontier[[#This Row],[P116 Return]])</f>
        <v>0.99561923403313168</v>
      </c>
      <c r="QW4" s="27">
        <f>MAX(QW3,PortfolioFrontier[[#This Row],[P116 Growth]])</f>
        <v>0.99561923403313168</v>
      </c>
      <c r="QX4" s="27">
        <f>PortfolioFrontier[[#This Row],[P116 Growth]]/PortfolioFrontier[[#This Row],[P116 HWM]]-1</f>
        <v>0</v>
      </c>
      <c r="QY4" s="28">
        <f>SUMPRODUCT(INDEX(PortfolioRef[[SPY]:[PE]],MATCH(QY$1,PortfolioRef[Reference '#]),0),AssetMonthlyReturns[[#This Row],[SPY]:[PE]])</f>
        <v>-5.4391889157329723E-3</v>
      </c>
      <c r="QZ4" s="27">
        <f>IF(ISNUMBER(QZ3),QZ3*(1+PortfolioFrontier[[#This Row],[P117 Return]]),1+PortfolioFrontier[[#This Row],[P117 Return]])</f>
        <v>0.99456081108426708</v>
      </c>
      <c r="RA4" s="27">
        <f>MAX(RA3,PortfolioFrontier[[#This Row],[P117 Growth]])</f>
        <v>0.99456081108426708</v>
      </c>
      <c r="RB4" s="27">
        <f>PortfolioFrontier[[#This Row],[P117 Growth]]/PortfolioFrontier[[#This Row],[P117 HWM]]-1</f>
        <v>0</v>
      </c>
      <c r="RC4" s="28">
        <f>SUMPRODUCT(INDEX(PortfolioRef[[SPY]:[PE]],MATCH(RC$1,PortfolioRef[Reference '#]),0),AssetMonthlyReturns[[#This Row],[SPY]:[PE]])</f>
        <v>8.7107485862295551E-4</v>
      </c>
      <c r="RD4" s="27">
        <f>IF(ISNUMBER(RD3),RD3*(1+PortfolioFrontier[[#This Row],[P118 Return]]),1+PortfolioFrontier[[#This Row],[P118 Return]])</f>
        <v>1.0008710748586229</v>
      </c>
      <c r="RE4" s="27">
        <f>MAX(RE3,PortfolioFrontier[[#This Row],[P118 Growth]])</f>
        <v>1.0008710748586229</v>
      </c>
      <c r="RF4" s="27">
        <f>PortfolioFrontier[[#This Row],[P118 Growth]]/PortfolioFrontier[[#This Row],[P118 HWM]]-1</f>
        <v>0</v>
      </c>
      <c r="RG4" s="28">
        <f>SUMPRODUCT(INDEX(PortfolioRef[[SPY]:[PE]],MATCH(RG$1,PortfolioRef[Reference '#]),0),AssetMonthlyReturns[[#This Row],[SPY]:[PE]])</f>
        <v>-1.8734809024167857E-4</v>
      </c>
      <c r="RH4" s="27">
        <f>IF(ISNUMBER(RH3),RH3*(1+PortfolioFrontier[[#This Row],[P119 Return]]),1+PortfolioFrontier[[#This Row],[P119 Return]])</f>
        <v>0.99981265190975832</v>
      </c>
      <c r="RI4" s="27">
        <f>MAX(RI3,PortfolioFrontier[[#This Row],[P119 Growth]])</f>
        <v>0.99981265190975832</v>
      </c>
      <c r="RJ4" s="27">
        <f>PortfolioFrontier[[#This Row],[P119 Growth]]/PortfolioFrontier[[#This Row],[P119 HWM]]-1</f>
        <v>0</v>
      </c>
      <c r="RK4" s="28">
        <f>SUMPRODUCT(INDEX(PortfolioRef[[SPY]:[PE]],MATCH(RK$1,PortfolioRef[Reference '#]),0),AssetMonthlyReturns[[#This Row],[SPY]:[PE]])</f>
        <v>-1.245771039106314E-3</v>
      </c>
      <c r="RL4" s="27">
        <f>IF(ISNUMBER(RL3),RL3*(1+PortfolioFrontier[[#This Row],[P120 Return]]),1+PortfolioFrontier[[#This Row],[P120 Return]])</f>
        <v>0.99875422896089372</v>
      </c>
      <c r="RM4" s="27">
        <f>MAX(RM3,PortfolioFrontier[[#This Row],[P120 Growth]])</f>
        <v>0.99875422896089372</v>
      </c>
      <c r="RN4" s="27">
        <f>PortfolioFrontier[[#This Row],[P120 Growth]]/PortfolioFrontier[[#This Row],[P120 HWM]]-1</f>
        <v>0</v>
      </c>
      <c r="RO4" s="28">
        <f>SUMPRODUCT(INDEX(PortfolioRef[[SPY]:[PE]],MATCH(RO$1,PortfolioRef[Reference '#]),0),AssetMonthlyReturns[[#This Row],[SPY]:[PE]])</f>
        <v>5.0644927352496141E-3</v>
      </c>
      <c r="RP4" s="27">
        <f>IF(ISNUMBER(RP3),RP3*(1+PortfolioFrontier[[#This Row],[P121 Return]]),1+PortfolioFrontier[[#This Row],[P121 Return]])</f>
        <v>1.0050644927352497</v>
      </c>
      <c r="RQ4" s="27">
        <f>MAX(RQ3,PortfolioFrontier[[#This Row],[P121 Growth]])</f>
        <v>1.0050644927352497</v>
      </c>
      <c r="RR4" s="27">
        <f>PortfolioFrontier[[#This Row],[P121 Growth]]/PortfolioFrontier[[#This Row],[P121 HWM]]-1</f>
        <v>0</v>
      </c>
      <c r="RS4" s="28">
        <f>SUMPRODUCT(INDEX(PortfolioRef[[SPY]:[PE]],MATCH(RS$1,PortfolioRef[Reference '#]),0),AssetMonthlyReturns[[#This Row],[SPY]:[PE]])</f>
        <v>4.0060697863849807E-3</v>
      </c>
      <c r="RT4" s="27">
        <f>IF(ISNUMBER(RT3),RT3*(1+PortfolioFrontier[[#This Row],[P122 Return]]),1+PortfolioFrontier[[#This Row],[P122 Return]])</f>
        <v>1.0040060697863851</v>
      </c>
      <c r="RU4" s="27">
        <f>MAX(RU3,PortfolioFrontier[[#This Row],[P122 Growth]])</f>
        <v>1.0040060697863851</v>
      </c>
      <c r="RV4" s="27">
        <f>PortfolioFrontier[[#This Row],[P122 Growth]]/PortfolioFrontier[[#This Row],[P122 HWM]]-1</f>
        <v>0</v>
      </c>
      <c r="RW4" s="28">
        <f>SUMPRODUCT(INDEX(PortfolioRef[[SPY]:[PE]],MATCH(RW$1,PortfolioRef[Reference '#]),0),AssetMonthlyReturns[[#This Row],[SPY]:[PE]])</f>
        <v>2.9476468375203464E-3</v>
      </c>
      <c r="RX4" s="27">
        <f>IF(ISNUMBER(RX3),RX3*(1+PortfolioFrontier[[#This Row],[P123 Return]]),1+PortfolioFrontier[[#This Row],[P123 Return]])</f>
        <v>1.0029476468375202</v>
      </c>
      <c r="RY4" s="27">
        <f>MAX(RY3,PortfolioFrontier[[#This Row],[P123 Growth]])</f>
        <v>1.0029476468375202</v>
      </c>
      <c r="RZ4" s="27">
        <f>PortfolioFrontier[[#This Row],[P123 Growth]]/PortfolioFrontier[[#This Row],[P123 HWM]]-1</f>
        <v>0</v>
      </c>
      <c r="SA4" s="28">
        <f>SUMPRODUCT(INDEX(PortfolioRef[[SPY]:[PE]],MATCH(SA$1,PortfolioRef[Reference '#]),0),AssetMonthlyReturns[[#This Row],[SPY]:[PE]])</f>
        <v>-2.2125866638182611E-3</v>
      </c>
      <c r="SB4" s="27">
        <f>IF(ISNUMBER(SB3),SB3*(1+PortfolioFrontier[[#This Row],[P124 Return]]),1+PortfolioFrontier[[#This Row],[P124 Return]])</f>
        <v>0.99778741333618171</v>
      </c>
      <c r="SC4" s="27">
        <f>MAX(SC3,PortfolioFrontier[[#This Row],[P124 Growth]])</f>
        <v>0.99778741333618171</v>
      </c>
      <c r="SD4" s="27">
        <f>PortfolioFrontier[[#This Row],[P124 Growth]]/PortfolioFrontier[[#This Row],[P124 HWM]]-1</f>
        <v>0</v>
      </c>
      <c r="SE4" s="28">
        <f>SUMPRODUCT(INDEX(PortfolioRef[[SPY]:[PE]],MATCH(SE$1,PortfolioRef[Reference '#]),0),AssetMonthlyReturns[[#This Row],[SPY]:[PE]])</f>
        <v>-3.2710096126828954E-3</v>
      </c>
      <c r="SF4" s="27">
        <f>IF(ISNUMBER(SF3),SF3*(1+PortfolioFrontier[[#This Row],[P125 Return]]),1+PortfolioFrontier[[#This Row],[P125 Return]])</f>
        <v>0.9967289903873171</v>
      </c>
      <c r="SG4" s="27">
        <f>MAX(SG3,PortfolioFrontier[[#This Row],[P125 Growth]])</f>
        <v>0.9967289903873171</v>
      </c>
      <c r="SH4" s="27">
        <f>PortfolioFrontier[[#This Row],[P125 Growth]]/PortfolioFrontier[[#This Row],[P125 HWM]]-1</f>
        <v>0</v>
      </c>
      <c r="SI4" s="28">
        <f>SUMPRODUCT(INDEX(PortfolioRef[[SPY]:[PE]],MATCH(SI$1,PortfolioRef[Reference '#]),0),AssetMonthlyReturns[[#This Row],[SPY]:[PE]])</f>
        <v>-4.3294325615475309E-3</v>
      </c>
      <c r="SJ4" s="27">
        <f>IF(ISNUMBER(SJ3),SJ3*(1+PortfolioFrontier[[#This Row],[P126 Return]]),1+PortfolioFrontier[[#This Row],[P126 Return]])</f>
        <v>0.9956705674384525</v>
      </c>
      <c r="SK4" s="27">
        <f>MAX(SK3,PortfolioFrontier[[#This Row],[P126 Growth]])</f>
        <v>0.9956705674384525</v>
      </c>
      <c r="SL4" s="27">
        <f>PortfolioFrontier[[#This Row],[P126 Growth]]/PortfolioFrontier[[#This Row],[P126 HWM]]-1</f>
        <v>0</v>
      </c>
      <c r="SM4" s="28">
        <f>SUMPRODUCT(INDEX(PortfolioRef[[SPY]:[PE]],MATCH(SM$1,PortfolioRef[Reference '#]),0),AssetMonthlyReturns[[#This Row],[SPY]:[PE]])</f>
        <v>1.9808312128083978E-3</v>
      </c>
      <c r="SN4" s="27">
        <f>IF(ISNUMBER(SN3),SN3*(1+PortfolioFrontier[[#This Row],[P127 Return]]),1+PortfolioFrontier[[#This Row],[P127 Return]])</f>
        <v>1.0019808312128085</v>
      </c>
      <c r="SO4" s="27">
        <f>MAX(SO3,PortfolioFrontier[[#This Row],[P127 Growth]])</f>
        <v>1.0019808312128085</v>
      </c>
      <c r="SP4" s="27">
        <f>PortfolioFrontier[[#This Row],[P127 Growth]]/PortfolioFrontier[[#This Row],[P127 HWM]]-1</f>
        <v>0</v>
      </c>
      <c r="SQ4" s="28">
        <f>SUMPRODUCT(INDEX(PortfolioRef[[SPY]:[PE]],MATCH(SQ$1,PortfolioRef[Reference '#]),0),AssetMonthlyReturns[[#This Row],[SPY]:[PE]])</f>
        <v>9.2240826394376365E-4</v>
      </c>
      <c r="SR4" s="27">
        <f>IF(ISNUMBER(SR3),SR3*(1+PortfolioFrontier[[#This Row],[P128 Return]]),1+PortfolioFrontier[[#This Row],[P128 Return]])</f>
        <v>1.0009224082639439</v>
      </c>
      <c r="SS4" s="27">
        <f>MAX(SS3,PortfolioFrontier[[#This Row],[P128 Growth]])</f>
        <v>1.0009224082639439</v>
      </c>
      <c r="ST4" s="27">
        <f>PortfolioFrontier[[#This Row],[P128 Growth]]/PortfolioFrontier[[#This Row],[P128 HWM]]-1</f>
        <v>0</v>
      </c>
      <c r="SU4" s="28">
        <f>SUMPRODUCT(INDEX(PortfolioRef[[SPY]:[PE]],MATCH(SU$1,PortfolioRef[Reference '#]),0),AssetMonthlyReturns[[#This Row],[SPY]:[PE]])</f>
        <v>-1.3601468492087046E-4</v>
      </c>
      <c r="SV4" s="27">
        <f>IF(ISNUMBER(SV3),SV3*(1+PortfolioFrontier[[#This Row],[P129 Return]]),1+PortfolioFrontier[[#This Row],[P129 Return]])</f>
        <v>0.99986398531507914</v>
      </c>
      <c r="SW4" s="27">
        <f>MAX(SW3,PortfolioFrontier[[#This Row],[P129 Growth]])</f>
        <v>0.99986398531507914</v>
      </c>
      <c r="SX4" s="27">
        <f>PortfolioFrontier[[#This Row],[P129 Growth]]/PortfolioFrontier[[#This Row],[P129 HWM]]-1</f>
        <v>0</v>
      </c>
      <c r="SY4" s="28">
        <f>SUMPRODUCT(INDEX(PortfolioRef[[SPY]:[PE]],MATCH(SY$1,PortfolioRef[Reference '#]),0),AssetMonthlyReturns[[#This Row],[SPY]:[PE]])</f>
        <v>6.1742490894350563E-3</v>
      </c>
      <c r="SZ4" s="27">
        <f>IF(ISNUMBER(SZ3),SZ3*(1+PortfolioFrontier[[#This Row],[P130 Return]]),1+PortfolioFrontier[[#This Row],[P130 Return]])</f>
        <v>1.006174249089435</v>
      </c>
      <c r="TA4" s="27">
        <f>MAX(TA3,PortfolioFrontier[[#This Row],[P130 Growth]])</f>
        <v>1.006174249089435</v>
      </c>
      <c r="TB4" s="27">
        <f>PortfolioFrontier[[#This Row],[P130 Growth]]/PortfolioFrontier[[#This Row],[P130 HWM]]-1</f>
        <v>0</v>
      </c>
      <c r="TC4" s="28">
        <f>SUMPRODUCT(INDEX(PortfolioRef[[SPY]:[PE]],MATCH(TC$1,PortfolioRef[Reference '#]),0),AssetMonthlyReturns[[#This Row],[SPY]:[PE]])</f>
        <v>5.1158261405704229E-3</v>
      </c>
      <c r="TD4" s="27">
        <f>IF(ISNUMBER(TD3),TD3*(1+PortfolioFrontier[[#This Row],[P131 Return]]),1+PortfolioFrontier[[#This Row],[P131 Return]])</f>
        <v>1.0051158261405704</v>
      </c>
      <c r="TE4" s="27">
        <f>MAX(TE3,PortfolioFrontier[[#This Row],[P131 Growth]])</f>
        <v>1.0051158261405704</v>
      </c>
      <c r="TF4" s="27">
        <f>PortfolioFrontier[[#This Row],[P131 Growth]]/PortfolioFrontier[[#This Row],[P131 HWM]]-1</f>
        <v>0</v>
      </c>
      <c r="TG4" s="28">
        <f>SUMPRODUCT(INDEX(PortfolioRef[[SPY]:[PE]],MATCH(TG$1,PortfolioRef[Reference '#]),0),AssetMonthlyReturns[[#This Row],[SPY]:[PE]])</f>
        <v>4.0574031917057886E-3</v>
      </c>
      <c r="TH4" s="27">
        <f>IF(ISNUMBER(TH3),TH3*(1+PortfolioFrontier[[#This Row],[P132 Return]]),1+PortfolioFrontier[[#This Row],[P132 Return]])</f>
        <v>1.0040574031917058</v>
      </c>
      <c r="TI4" s="27">
        <f>MAX(TI3,PortfolioFrontier[[#This Row],[P132 Growth]])</f>
        <v>1.0040574031917058</v>
      </c>
      <c r="TJ4" s="27">
        <f>PortfolioFrontier[[#This Row],[P132 Growth]]/PortfolioFrontier[[#This Row],[P132 HWM]]-1</f>
        <v>0</v>
      </c>
      <c r="TK4" s="28">
        <f>SUMPRODUCT(INDEX(PortfolioRef[[SPY]:[PE]],MATCH(TK$1,PortfolioRef[Reference '#]),0),AssetMonthlyReturns[[#This Row],[SPY]:[PE]])</f>
        <v>-1.1028303096328189E-3</v>
      </c>
      <c r="TL4" s="27">
        <f>IF(ISNUMBER(TL3),TL3*(1+PortfolioFrontier[[#This Row],[P133 Return]]),1+PortfolioFrontier[[#This Row],[P133 Return]])</f>
        <v>0.99889716969036713</v>
      </c>
      <c r="TM4" s="27">
        <f>MAX(TM3,PortfolioFrontier[[#This Row],[P133 Growth]])</f>
        <v>0.99889716969036713</v>
      </c>
      <c r="TN4" s="27">
        <f>PortfolioFrontier[[#This Row],[P133 Growth]]/PortfolioFrontier[[#This Row],[P133 HWM]]-1</f>
        <v>0</v>
      </c>
      <c r="TO4" s="28">
        <f>SUMPRODUCT(INDEX(PortfolioRef[[SPY]:[PE]],MATCH(TO$1,PortfolioRef[Reference '#]),0),AssetMonthlyReturns[[#This Row],[SPY]:[PE]])</f>
        <v>-2.1612532584974532E-3</v>
      </c>
      <c r="TP4" s="27">
        <f>IF(ISNUMBER(TP3),TP3*(1+PortfolioFrontier[[#This Row],[P134 Return]]),1+PortfolioFrontier[[#This Row],[P134 Return]])</f>
        <v>0.99783874674150252</v>
      </c>
      <c r="TQ4" s="27">
        <f>MAX(TQ3,PortfolioFrontier[[#This Row],[P134 Growth]])</f>
        <v>0.99783874674150252</v>
      </c>
      <c r="TR4" s="27">
        <f>PortfolioFrontier[[#This Row],[P134 Growth]]/PortfolioFrontier[[#This Row],[P134 HWM]]-1</f>
        <v>0</v>
      </c>
      <c r="TS4" s="28">
        <f>SUMPRODUCT(INDEX(PortfolioRef[[SPY]:[PE]],MATCH(TS$1,PortfolioRef[Reference '#]),0),AssetMonthlyReturns[[#This Row],[SPY]:[PE]])</f>
        <v>-3.219676207362087E-3</v>
      </c>
      <c r="TT4" s="27">
        <f>IF(ISNUMBER(TT3),TT3*(1+PortfolioFrontier[[#This Row],[P135 Return]]),1+PortfolioFrontier[[#This Row],[P135 Return]])</f>
        <v>0.99678032379263792</v>
      </c>
      <c r="TU4" s="27">
        <f>MAX(TU3,PortfolioFrontier[[#This Row],[P135 Growth]])</f>
        <v>0.99678032379263792</v>
      </c>
      <c r="TV4" s="27">
        <f>PortfolioFrontier[[#This Row],[P135 Growth]]/PortfolioFrontier[[#This Row],[P135 HWM]]-1</f>
        <v>0</v>
      </c>
      <c r="TW4" s="28">
        <f>SUMPRODUCT(INDEX(PortfolioRef[[SPY]:[PE]],MATCH(TW$1,PortfolioRef[Reference '#]),0),AssetMonthlyReturns[[#This Row],[SPY]:[PE]])</f>
        <v>3.09058756699384E-3</v>
      </c>
      <c r="TX4" s="27">
        <f>IF(ISNUMBER(TX3),TX3*(1+PortfolioFrontier[[#This Row],[P136 Return]]),1+PortfolioFrontier[[#This Row],[P136 Return]])</f>
        <v>1.0030905875669938</v>
      </c>
      <c r="TY4" s="27">
        <f>MAX(TY3,PortfolioFrontier[[#This Row],[P136 Growth]])</f>
        <v>1.0030905875669938</v>
      </c>
      <c r="TZ4" s="27">
        <f>PortfolioFrontier[[#This Row],[P136 Growth]]/PortfolioFrontier[[#This Row],[P136 HWM]]-1</f>
        <v>0</v>
      </c>
      <c r="UA4" s="28">
        <f>SUMPRODUCT(INDEX(PortfolioRef[[SPY]:[PE]],MATCH(UA$1,PortfolioRef[Reference '#]),0),AssetMonthlyReturns[[#This Row],[SPY]:[PE]])</f>
        <v>2.0321646181292057E-3</v>
      </c>
      <c r="UB4" s="27">
        <f>IF(ISNUMBER(UB3),UB3*(1+PortfolioFrontier[[#This Row],[P137 Return]]),1+PortfolioFrontier[[#This Row],[P137 Return]])</f>
        <v>1.0020321646181292</v>
      </c>
      <c r="UC4" s="27">
        <f>MAX(UC3,PortfolioFrontier[[#This Row],[P137 Growth]])</f>
        <v>1.0020321646181292</v>
      </c>
      <c r="UD4" s="27">
        <f>PortfolioFrontier[[#This Row],[P137 Growth]]/PortfolioFrontier[[#This Row],[P137 HWM]]-1</f>
        <v>0</v>
      </c>
      <c r="UE4" s="28">
        <f>SUMPRODUCT(INDEX(PortfolioRef[[SPY]:[PE]],MATCH(UE$1,PortfolioRef[Reference '#]),0),AssetMonthlyReturns[[#This Row],[SPY]:[PE]])</f>
        <v>9.7374166926457169E-4</v>
      </c>
      <c r="UF4" s="27">
        <f>IF(ISNUMBER(UF3),UF3*(1+PortfolioFrontier[[#This Row],[P138 Return]]),1+PortfolioFrontier[[#This Row],[P138 Return]])</f>
        <v>1.0009737416692646</v>
      </c>
      <c r="UG4" s="27">
        <f>MAX(UG3,PortfolioFrontier[[#This Row],[P138 Growth]])</f>
        <v>1.0009737416692646</v>
      </c>
      <c r="UH4" s="27">
        <f>PortfolioFrontier[[#This Row],[P138 Growth]]/PortfolioFrontier[[#This Row],[P138 HWM]]-1</f>
        <v>0</v>
      </c>
      <c r="UI4" s="28">
        <f>SUMPRODUCT(INDEX(PortfolioRef[[SPY]:[PE]],MATCH(UI$1,PortfolioRef[Reference '#]),0),AssetMonthlyReturns[[#This Row],[SPY]:[PE]])</f>
        <v>7.2840054436205011E-3</v>
      </c>
      <c r="UJ4" s="27">
        <f>IF(ISNUMBER(UJ3),UJ3*(1+PortfolioFrontier[[#This Row],[P139 Return]]),1+PortfolioFrontier[[#This Row],[P139 Return]])</f>
        <v>1.0072840054436205</v>
      </c>
      <c r="UK4" s="27">
        <f>MAX(UK3,PortfolioFrontier[[#This Row],[P139 Growth]])</f>
        <v>1.0072840054436205</v>
      </c>
      <c r="UL4" s="27">
        <f>PortfolioFrontier[[#This Row],[P139 Growth]]/PortfolioFrontier[[#This Row],[P139 HWM]]-1</f>
        <v>0</v>
      </c>
      <c r="UM4" s="28">
        <f>SUMPRODUCT(INDEX(PortfolioRef[[SPY]:[PE]],MATCH(UM$1,PortfolioRef[Reference '#]),0),AssetMonthlyReturns[[#This Row],[SPY]:[PE]])</f>
        <v>6.2255824947558651E-3</v>
      </c>
      <c r="UN4" s="27">
        <f>IF(ISNUMBER(UN3),UN3*(1+PortfolioFrontier[[#This Row],[P140 Return]]),1+PortfolioFrontier[[#This Row],[P140 Return]])</f>
        <v>1.0062255824947559</v>
      </c>
      <c r="UO4" s="27">
        <f>MAX(UO3,PortfolioFrontier[[#This Row],[P140 Growth]])</f>
        <v>1.0062255824947559</v>
      </c>
      <c r="UP4" s="27">
        <f>PortfolioFrontier[[#This Row],[P140 Growth]]/PortfolioFrontier[[#This Row],[P140 HWM]]-1</f>
        <v>0</v>
      </c>
      <c r="UQ4" s="28">
        <f>SUMPRODUCT(INDEX(PortfolioRef[[SPY]:[PE]],MATCH(UQ$1,PortfolioRef[Reference '#]),0),AssetMonthlyReturns[[#This Row],[SPY]:[PE]])</f>
        <v>5.1671595458912308E-3</v>
      </c>
      <c r="UR4" s="27">
        <f>IF(ISNUMBER(UR3),UR3*(1+PortfolioFrontier[[#This Row],[P141 Return]]),1+PortfolioFrontier[[#This Row],[P141 Return]])</f>
        <v>1.0051671595458913</v>
      </c>
      <c r="US4" s="27">
        <f>MAX(US3,PortfolioFrontier[[#This Row],[P141 Growth]])</f>
        <v>1.0051671595458913</v>
      </c>
      <c r="UT4" s="27">
        <f>PortfolioFrontier[[#This Row],[P141 Growth]]/PortfolioFrontier[[#This Row],[P141 HWM]]-1</f>
        <v>0</v>
      </c>
    </row>
    <row r="5" spans="1:566" x14ac:dyDescent="0.2">
      <c r="B5" s="41">
        <f>AssetMonthlyReturns[[#This Row],[Date]]</f>
        <v>42522</v>
      </c>
      <c r="C5" s="28">
        <f>SUMPRODUCT(INDEX(PortfolioRef[[SPY]:[PE]],MATCH(C$1,PortfolioRef[Reference '#]),0),AssetMonthlyReturns[[#This Row],[SPY]:[PE]])</f>
        <v>1.7017774387736825E-2</v>
      </c>
      <c r="D5" s="29">
        <f>IF(ISNUMBER(D4),D4*(1+PortfolioFrontier[[#This Row],[P1 Return]]),1+PortfolioFrontier[[#This Row],[P1 Return]])</f>
        <v>1.0227556702849987</v>
      </c>
      <c r="E5" s="29">
        <f>MAX(E4,PortfolioFrontier[[#This Row],[P1 Growth]])</f>
        <v>1.0227556702849987</v>
      </c>
      <c r="F5" s="29">
        <f>PortfolioFrontier[[#This Row],[P1 Growth]]/PortfolioFrontier[[#This Row],[P1 HWM]]-1</f>
        <v>0</v>
      </c>
      <c r="G5" s="28">
        <f>SUMPRODUCT(INDEX(PortfolioRef[[SPY]:[PE]],MATCH(G$1,PortfolioRef[Reference '#]),0),AssetMonthlyReturns[[#This Row],[SPY]:[PE]])</f>
        <v>1.8064993462338044E-2</v>
      </c>
      <c r="H5" s="27">
        <f>IF(ISNUMBER(H4),H4*(1+PortfolioFrontier[[#This Row],[P2 Return]]),1+PortfolioFrontier[[#This Row],[P2 Return]])</f>
        <v>1.0229576246804089</v>
      </c>
      <c r="I5" s="27">
        <f>MAX(I4,PortfolioFrontier[[#This Row],[P2 Growth]])</f>
        <v>1.0229576246804089</v>
      </c>
      <c r="J5" s="27">
        <f>PortfolioFrontier[[#This Row],[P2 Growth]]/PortfolioFrontier[[#This Row],[P2 HWM]]-1</f>
        <v>0</v>
      </c>
      <c r="K5" s="28">
        <f>SUMPRODUCT(INDEX(PortfolioRef[[SPY]:[PE]],MATCH(K$1,PortfolioRef[Reference '#]),0),AssetMonthlyReturns[[#This Row],[SPY]:[PE]])</f>
        <v>2.1588312081845973E-2</v>
      </c>
      <c r="L5" s="27">
        <f>IF(ISNUMBER(L4),L4*(1+PortfolioFrontier[[#This Row],[P3 Return]]),1+PortfolioFrontier[[#This Row],[P3 Return]])</f>
        <v>1.0233476431448825</v>
      </c>
      <c r="M5" s="27">
        <f>MAX(M4,PortfolioFrontier[[#This Row],[P3 Growth]])</f>
        <v>1.0233476431448825</v>
      </c>
      <c r="N5" s="27">
        <f>PortfolioFrontier[[#This Row],[P3 Growth]]/PortfolioFrontier[[#This Row],[P3 HWM]]-1</f>
        <v>0</v>
      </c>
      <c r="O5" s="28">
        <f>SUMPRODUCT(INDEX(PortfolioRef[[SPY]:[PE]],MATCH(O$1,PortfolioRef[Reference '#]),0),AssetMonthlyReturns[[#This Row],[SPY]:[PE]])</f>
        <v>2.0091513248594366E-2</v>
      </c>
      <c r="P5" s="27">
        <f>IF(ISNUMBER(P4),P4*(1+PortfolioFrontier[[#This Row],[P4 Return]]),1+PortfolioFrontier[[#This Row],[P4 Return]])</f>
        <v>1.0261259365829405</v>
      </c>
      <c r="Q5" s="27">
        <f>MAX(Q4,PortfolioFrontier[[#This Row],[P4 Growth]])</f>
        <v>1.0261259365829405</v>
      </c>
      <c r="R5" s="27">
        <f>PortfolioFrontier[[#This Row],[P4 Growth]]/PortfolioFrontier[[#This Row],[P4 HWM]]-1</f>
        <v>0</v>
      </c>
      <c r="S5" s="28">
        <f>SUMPRODUCT(INDEX(PortfolioRef[[SPY]:[PE]],MATCH(S$1,PortfolioRef[Reference '#]),0),AssetMonthlyReturns[[#This Row],[SPY]:[PE]])</f>
        <v>1.7169424243007124E-2</v>
      </c>
      <c r="T5" s="27">
        <f>IF(ISNUMBER(T4),T4*(1+PortfolioFrontier[[#This Row],[P5 Return]]),1+PortfolioFrontier[[#This Row],[P5 Return]])</f>
        <v>1.0221099662921271</v>
      </c>
      <c r="U5" s="27">
        <f>MAX(U4,PortfolioFrontier[[#This Row],[P5 Growth]])</f>
        <v>1.0221099662921271</v>
      </c>
      <c r="V5" s="27">
        <f>PortfolioFrontier[[#This Row],[P5 Growth]]/PortfolioFrontier[[#This Row],[P5 HWM]]-1</f>
        <v>0</v>
      </c>
      <c r="W5" s="28">
        <f>SUMPRODUCT(INDEX(PortfolioRef[[SPY]:[PE]],MATCH(W$1,PortfolioRef[Reference '#]),0),AssetMonthlyReturns[[#This Row],[SPY]:[PE]])</f>
        <v>1.911221253693926E-2</v>
      </c>
      <c r="X5" s="27">
        <f>IF(ISNUMBER(X4),X4*(1+PortfolioFrontier[[#This Row],[P6 Return]]),1+PortfolioFrontier[[#This Row],[P6 Return]])</f>
        <v>1.0231578279802152</v>
      </c>
      <c r="Y5" s="27">
        <f>MAX(Y4,PortfolioFrontier[[#This Row],[P6 Growth]])</f>
        <v>1.0231578279802152</v>
      </c>
      <c r="Z5" s="27">
        <f>PortfolioFrontier[[#This Row],[P6 Growth]]/PortfolioFrontier[[#This Row],[P6 HWM]]-1</f>
        <v>0</v>
      </c>
      <c r="AA5" s="28">
        <f>SUMPRODUCT(INDEX(PortfolioRef[[SPY]:[PE]],MATCH(AA$1,PortfolioRef[Reference '#]),0),AssetMonthlyReturns[[#This Row],[SPY]:[PE]])</f>
        <v>2.2635531156447196E-2</v>
      </c>
      <c r="AB5" s="27">
        <f>IF(ISNUMBER(AB4),AB4*(1+PortfolioFrontier[[#This Row],[P7 Return]]),1+PortfolioFrontier[[#This Row],[P7 Return]])</f>
        <v>1.0235416714367109</v>
      </c>
      <c r="AC5" s="27">
        <f>MAX(AC4,PortfolioFrontier[[#This Row],[P7 Growth]])</f>
        <v>1.0235416714367109</v>
      </c>
      <c r="AD5" s="27">
        <f>PortfolioFrontier[[#This Row],[P7 Growth]]/PortfolioFrontier[[#This Row],[P7 HWM]]-1</f>
        <v>0</v>
      </c>
      <c r="AE5" s="28">
        <f>SUMPRODUCT(INDEX(PortfolioRef[[SPY]:[PE]],MATCH(AE$1,PortfolioRef[Reference '#]),0),AssetMonthlyReturns[[#This Row],[SPY]:[PE]])</f>
        <v>2.1138732323195582E-2</v>
      </c>
      <c r="AF5" s="27">
        <f>IF(ISNUMBER(AF4),AF4*(1+PortfolioFrontier[[#This Row],[P8 Return]]),1+PortfolioFrontier[[#This Row],[P8 Return]])</f>
        <v>1.026325607729629</v>
      </c>
      <c r="AG5" s="27">
        <f>MAX(AG4,PortfolioFrontier[[#This Row],[P8 Growth]])</f>
        <v>1.026325607729629</v>
      </c>
      <c r="AH5" s="27">
        <f>PortfolioFrontier[[#This Row],[P8 Growth]]/PortfolioFrontier[[#This Row],[P8 HWM]]-1</f>
        <v>0</v>
      </c>
      <c r="AI5" s="28">
        <f>SUMPRODUCT(INDEX(PortfolioRef[[SPY]:[PE]],MATCH(AI$1,PortfolioRef[Reference '#]),0),AssetMonthlyReturns[[#This Row],[SPY]:[PE]])</f>
        <v>1.8216643317608347E-2</v>
      </c>
      <c r="AJ5" s="27">
        <f>IF(ISNUMBER(AJ4),AJ4*(1+PortfolioFrontier[[#This Row],[P9 Return]]),1+PortfolioFrontier[[#This Row],[P9 Return]])</f>
        <v>1.0223109721072561</v>
      </c>
      <c r="AK5" s="27">
        <f>MAX(AK4,PortfolioFrontier[[#This Row],[P9 Growth]])</f>
        <v>1.0223109721072561</v>
      </c>
      <c r="AL5" s="27">
        <f>PortfolioFrontier[[#This Row],[P9 Growth]]/PortfolioFrontier[[#This Row],[P9 HWM]]-1</f>
        <v>0</v>
      </c>
      <c r="AM5" s="28">
        <f>SUMPRODUCT(INDEX(PortfolioRef[[SPY]:[PE]],MATCH(AM$1,PortfolioRef[Reference '#]),0),AssetMonthlyReturns[[#This Row],[SPY]:[PE]])</f>
        <v>2.6158849775955124E-2</v>
      </c>
      <c r="AN5" s="27">
        <f>IF(ISNUMBER(AN4),AN4*(1+PortfolioFrontier[[#This Row],[P10 Return]]),1+PortfolioFrontier[[#This Row],[P10 Return]])</f>
        <v>1.0239037854490902</v>
      </c>
      <c r="AO5" s="27">
        <f>MAX(AO4,PortfolioFrontier[[#This Row],[P10 Growth]])</f>
        <v>1.0239037854490902</v>
      </c>
      <c r="AP5" s="27">
        <f>PortfolioFrontier[[#This Row],[P10 Growth]]/PortfolioFrontier[[#This Row],[P10 HWM]]-1</f>
        <v>0</v>
      </c>
      <c r="AQ5" s="28">
        <f>SUMPRODUCT(INDEX(PortfolioRef[[SPY]:[PE]],MATCH(AQ$1,PortfolioRef[Reference '#]),0),AssetMonthlyReturns[[#This Row],[SPY]:[PE]])</f>
        <v>2.466205094270351E-2</v>
      </c>
      <c r="AR5" s="27">
        <f>IF(ISNUMBER(AR4),AR4*(1+PortfolioFrontier[[#This Row],[P11 Return]]),1+PortfolioFrontier[[#This Row],[P11 Return]])</f>
        <v>1.0267071121102616</v>
      </c>
      <c r="AS5" s="27">
        <f>MAX(AS4,PortfolioFrontier[[#This Row],[P11 Growth]])</f>
        <v>1.0267071121102616</v>
      </c>
      <c r="AT5" s="27">
        <f>PortfolioFrontier[[#This Row],[P11 Growth]]/PortfolioFrontier[[#This Row],[P11 HWM]]-1</f>
        <v>0</v>
      </c>
      <c r="AU5" s="28">
        <f>SUMPRODUCT(INDEX(PortfolioRef[[SPY]:[PE]],MATCH(AU$1,PortfolioRef[Reference '#]),0),AssetMonthlyReturns[[#This Row],[SPY]:[PE]])</f>
        <v>2.1739961937116276E-2</v>
      </c>
      <c r="AV5" s="27">
        <f>IF(ISNUMBER(AV4),AV4*(1+PortfolioFrontier[[#This Row],[P12 Return]]),1+PortfolioFrontier[[#This Row],[P12 Return]])</f>
        <v>1.0226977580600369</v>
      </c>
      <c r="AW5" s="27">
        <f>MAX(AW4,PortfolioFrontier[[#This Row],[P12 Growth]])</f>
        <v>1.0226977580600369</v>
      </c>
      <c r="AX5" s="27">
        <f>PortfolioFrontier[[#This Row],[P12 Growth]]/PortfolioFrontier[[#This Row],[P12 HWM]]-1</f>
        <v>0</v>
      </c>
      <c r="AY5" s="28">
        <f>SUMPRODUCT(INDEX(PortfolioRef[[SPY]:[PE]],MATCH(AY$1,PortfolioRef[Reference '#]),0),AssetMonthlyReturns[[#This Row],[SPY]:[PE]])</f>
        <v>2.3165252109451903E-2</v>
      </c>
      <c r="AZ5" s="27">
        <f>IF(ISNUMBER(AZ4),AZ4*(1+PortfolioFrontier[[#This Row],[P13 Return]]),1+PortfolioFrontier[[#This Row],[P13 Return]])</f>
        <v>1.0294978853654622</v>
      </c>
      <c r="BA5" s="27">
        <f>MAX(BA4,PortfolioFrontier[[#This Row],[P13 Growth]])</f>
        <v>1.0294978853654622</v>
      </c>
      <c r="BB5" s="27">
        <f>PortfolioFrontier[[#This Row],[P13 Growth]]/PortfolioFrontier[[#This Row],[P13 HWM]]-1</f>
        <v>0</v>
      </c>
      <c r="BC5" s="28">
        <f>SUMPRODUCT(INDEX(PortfolioRef[[SPY]:[PE]],MATCH(BC$1,PortfolioRef[Reference '#]),0),AssetMonthlyReturns[[#This Row],[SPY]:[PE]])</f>
        <v>2.0243163103864661E-2</v>
      </c>
      <c r="BD5" s="27">
        <f>IF(ISNUMBER(BD4),BD4*(1+PortfolioFrontier[[#This Row],[P14 Return]]),1+PortfolioFrontier[[#This Row],[P14 Return]])</f>
        <v>1.0254778620211997</v>
      </c>
      <c r="BE5" s="27">
        <f>MAX(BE4,PortfolioFrontier[[#This Row],[P14 Growth]])</f>
        <v>1.0254778620211997</v>
      </c>
      <c r="BF5" s="27">
        <f>PortfolioFrontier[[#This Row],[P14 Growth]]/PortfolioFrontier[[#This Row],[P14 HWM]]-1</f>
        <v>0</v>
      </c>
      <c r="BG5" s="28">
        <f>SUMPRODUCT(INDEX(PortfolioRef[[SPY]:[PE]],MATCH(BG$1,PortfolioRef[Reference '#]),0),AssetMonthlyReturns[[#This Row],[SPY]:[PE]])</f>
        <v>1.732107409827743E-2</v>
      </c>
      <c r="BH5" s="27">
        <f>IF(ISNUMBER(BH4),BH4*(1+PortfolioFrontier[[#This Row],[P15 Return]]),1+PortfolioFrontier[[#This Row],[P15 Return]])</f>
        <v>1.0214640242890616</v>
      </c>
      <c r="BI5" s="27">
        <f>MAX(BI4,PortfolioFrontier[[#This Row],[P15 Growth]])</f>
        <v>1.0214640242890616</v>
      </c>
      <c r="BJ5" s="27">
        <f>PortfolioFrontier[[#This Row],[P15 Growth]]/PortfolioFrontier[[#This Row],[P15 HWM]]-1</f>
        <v>0</v>
      </c>
      <c r="BK5" s="28">
        <f>SUMPRODUCT(INDEX(PortfolioRef[[SPY]:[PE]],MATCH(BK$1,PortfolioRef[Reference '#]),0),AssetMonthlyReturns[[#This Row],[SPY]:[PE]])</f>
        <v>2.0159431611540483E-2</v>
      </c>
      <c r="BL5" s="27">
        <f>IF(ISNUMBER(BL4),BL4*(1+PortfolioFrontier[[#This Row],[P16 Return]]),1+PortfolioFrontier[[#This Row],[P16 Return]])</f>
        <v>1.0233562801844178</v>
      </c>
      <c r="BM5" s="27">
        <f>MAX(BM4,PortfolioFrontier[[#This Row],[P16 Growth]])</f>
        <v>1.0233562801844178</v>
      </c>
      <c r="BN5" s="27">
        <f>PortfolioFrontier[[#This Row],[P16 Growth]]/PortfolioFrontier[[#This Row],[P16 HWM]]-1</f>
        <v>0</v>
      </c>
      <c r="BO5" s="28">
        <f>SUMPRODUCT(INDEX(PortfolioRef[[SPY]:[PE]],MATCH(BO$1,PortfolioRef[Reference '#]),0),AssetMonthlyReturns[[#This Row],[SPY]:[PE]])</f>
        <v>2.3682750231048412E-2</v>
      </c>
      <c r="BP5" s="27">
        <f>IF(ISNUMBER(BP4),BP4*(1+PortfolioFrontier[[#This Row],[P17 Return]]),1+PortfolioFrontier[[#This Row],[P17 Return]])</f>
        <v>1.023733948632936</v>
      </c>
      <c r="BQ5" s="27">
        <f>MAX(BQ4,PortfolioFrontier[[#This Row],[P17 Growth]])</f>
        <v>1.023733948632936</v>
      </c>
      <c r="BR5" s="27">
        <f>PortfolioFrontier[[#This Row],[P17 Growth]]/PortfolioFrontier[[#This Row],[P17 HWM]]-1</f>
        <v>0</v>
      </c>
      <c r="BS5" s="28">
        <f>SUMPRODUCT(INDEX(PortfolioRef[[SPY]:[PE]],MATCH(BS$1,PortfolioRef[Reference '#]),0),AssetMonthlyReturns[[#This Row],[SPY]:[PE]])</f>
        <v>2.2185951397796801E-2</v>
      </c>
      <c r="BT5" s="27">
        <f>IF(ISNUMBER(BT4),BT4*(1+PortfolioFrontier[[#This Row],[P18 Return]]),1+PortfolioFrontier[[#This Row],[P18 Return]])</f>
        <v>1.0265235277807141</v>
      </c>
      <c r="BU5" s="27">
        <f>MAX(BU4,PortfolioFrontier[[#This Row],[P18 Growth]])</f>
        <v>1.0265235277807141</v>
      </c>
      <c r="BV5" s="27">
        <f>PortfolioFrontier[[#This Row],[P18 Growth]]/PortfolioFrontier[[#This Row],[P18 HWM]]-1</f>
        <v>0</v>
      </c>
      <c r="BW5" s="28">
        <f>SUMPRODUCT(INDEX(PortfolioRef[[SPY]:[PE]],MATCH(BW$1,PortfolioRef[Reference '#]),0),AssetMonthlyReturns[[#This Row],[SPY]:[PE]])</f>
        <v>1.9263862392209563E-2</v>
      </c>
      <c r="BX5" s="27">
        <f>IF(ISNUMBER(BX4),BX4*(1+PortfolioFrontier[[#This Row],[P19 Return]]),1+PortfolioFrontier[[#This Row],[P19 Return]])</f>
        <v>1.0225102268267816</v>
      </c>
      <c r="BY5" s="27">
        <f>MAX(BY4,PortfolioFrontier[[#This Row],[P19 Growth]])</f>
        <v>1.0225102268267816</v>
      </c>
      <c r="BZ5" s="27">
        <f>PortfolioFrontier[[#This Row],[P19 Growth]]/PortfolioFrontier[[#This Row],[P19 HWM]]-1</f>
        <v>0</v>
      </c>
      <c r="CA5" s="28">
        <f>SUMPRODUCT(INDEX(PortfolioRef[[SPY]:[PE]],MATCH(CA$1,PortfolioRef[Reference '#]),0),AssetMonthlyReturns[[#This Row],[SPY]:[PE]])</f>
        <v>2.7206068850556347E-2</v>
      </c>
      <c r="CB5" s="27">
        <f>IF(ISNUMBER(CB4),CB4*(1+PortfolioFrontier[[#This Row],[P20 Return]]),1+PortfolioFrontier[[#This Row],[P20 Return]])</f>
        <v>1.0240898876373377</v>
      </c>
      <c r="CC5" s="27">
        <f>MAX(CC4,PortfolioFrontier[[#This Row],[P20 Growth]])</f>
        <v>1.0240898876373377</v>
      </c>
      <c r="CD5" s="27">
        <f>PortfolioFrontier[[#This Row],[P20 Growth]]/PortfolioFrontier[[#This Row],[P20 HWM]]-1</f>
        <v>0</v>
      </c>
      <c r="CE5" s="28">
        <f>SUMPRODUCT(INDEX(PortfolioRef[[SPY]:[PE]],MATCH(CE$1,PortfolioRef[Reference '#]),0),AssetMonthlyReturns[[#This Row],[SPY]:[PE]])</f>
        <v>2.5709270017304733E-2</v>
      </c>
      <c r="CF5" s="27">
        <f>IF(ISNUMBER(CF4),CF4*(1+PortfolioFrontier[[#This Row],[P21 Return]]),1+PortfolioFrontier[[#This Row],[P21 Return]])</f>
        <v>1.0268988571533686</v>
      </c>
      <c r="CG5" s="27">
        <f>MAX(CG4,PortfolioFrontier[[#This Row],[P21 Growth]])</f>
        <v>1.0268988571533686</v>
      </c>
      <c r="CH5" s="27">
        <f>PortfolioFrontier[[#This Row],[P21 Growth]]/PortfolioFrontier[[#This Row],[P21 HWM]]-1</f>
        <v>0</v>
      </c>
      <c r="CI5" s="28">
        <f>SUMPRODUCT(INDEX(PortfolioRef[[SPY]:[PE]],MATCH(CI$1,PortfolioRef[Reference '#]),0),AssetMonthlyReturns[[#This Row],[SPY]:[PE]])</f>
        <v>2.2787181011717492E-2</v>
      </c>
      <c r="CJ5" s="27">
        <f>IF(ISNUMBER(CJ4),CJ4*(1+PortfolioFrontier[[#This Row],[P22 Return]]),1+PortfolioFrontier[[#This Row],[P22 Return]])</f>
        <v>1.0228908377715848</v>
      </c>
      <c r="CK5" s="27">
        <f>MAX(CK4,PortfolioFrontier[[#This Row],[P22 Growth]])</f>
        <v>1.0228908377715848</v>
      </c>
      <c r="CL5" s="27">
        <f>PortfolioFrontier[[#This Row],[P22 Growth]]/PortfolioFrontier[[#This Row],[P22 HWM]]-1</f>
        <v>0</v>
      </c>
      <c r="CM5" s="28">
        <f>SUMPRODUCT(INDEX(PortfolioRef[[SPY]:[PE]],MATCH(CM$1,PortfolioRef[Reference '#]),0),AssetMonthlyReturns[[#This Row],[SPY]:[PE]])</f>
        <v>2.4212471184053123E-2</v>
      </c>
      <c r="CN5" s="27">
        <f>IF(ISNUMBER(CN4),CN4*(1+PortfolioFrontier[[#This Row],[P23 Return]]),1+PortfolioFrontier[[#This Row],[P23 Return]])</f>
        <v>1.0296952732634297</v>
      </c>
      <c r="CO5" s="27">
        <f>MAX(CO4,PortfolioFrontier[[#This Row],[P23 Growth]])</f>
        <v>1.0296952732634297</v>
      </c>
      <c r="CP5" s="27">
        <f>PortfolioFrontier[[#This Row],[P23 Growth]]/PortfolioFrontier[[#This Row],[P23 HWM]]-1</f>
        <v>0</v>
      </c>
      <c r="CQ5" s="28">
        <f>SUMPRODUCT(INDEX(PortfolioRef[[SPY]:[PE]],MATCH(CQ$1,PortfolioRef[Reference '#]),0),AssetMonthlyReturns[[#This Row],[SPY]:[PE]])</f>
        <v>2.1290382178465884E-2</v>
      </c>
      <c r="CR5" s="27">
        <f>IF(ISNUMBER(CR4),CR4*(1+PortfolioFrontier[[#This Row],[P24 Return]]),1+PortfolioFrontier[[#This Row],[P24 Return]])</f>
        <v>1.0256765845876072</v>
      </c>
      <c r="CS5" s="27">
        <f>MAX(CS4,PortfolioFrontier[[#This Row],[P24 Growth]])</f>
        <v>1.0256765845876072</v>
      </c>
      <c r="CT5" s="27">
        <f>PortfolioFrontier[[#This Row],[P24 Growth]]/PortfolioFrontier[[#This Row],[P24 HWM]]-1</f>
        <v>0</v>
      </c>
      <c r="CU5" s="28">
        <f>SUMPRODUCT(INDEX(PortfolioRef[[SPY]:[PE]],MATCH(CU$1,PortfolioRef[Reference '#]),0),AssetMonthlyReturns[[#This Row],[SPY]:[PE]])</f>
        <v>1.8368293172878646E-2</v>
      </c>
      <c r="CV5" s="27">
        <f>IF(ISNUMBER(CV4),CV4*(1+PortfolioFrontier[[#This Row],[P25 Return]]),1+PortfolioFrontier[[#This Row],[P25 Return]])</f>
        <v>1.0216640815239095</v>
      </c>
      <c r="CW5" s="27">
        <f>MAX(CW4,PortfolioFrontier[[#This Row],[P25 Growth]])</f>
        <v>1.0216640815239095</v>
      </c>
      <c r="CX5" s="27">
        <f>PortfolioFrontier[[#This Row],[P25 Growth]]/PortfolioFrontier[[#This Row],[P25 HWM]]-1</f>
        <v>0</v>
      </c>
      <c r="CY5" s="28">
        <f>SUMPRODUCT(INDEX(PortfolioRef[[SPY]:[PE]],MATCH(CY$1,PortfolioRef[Reference '#]),0),AssetMonthlyReturns[[#This Row],[SPY]:[PE]])</f>
        <v>2.9232588636812662E-2</v>
      </c>
      <c r="CZ5" s="27">
        <f>IF(ISNUMBER(CZ4),CZ4*(1+PortfolioFrontier[[#This Row],[P26 Return]]),1+PortfolioFrontier[[#This Row],[P26 Return]])</f>
        <v>1.0272524570819066</v>
      </c>
      <c r="DA5" s="27">
        <f>MAX(DA4,PortfolioFrontier[[#This Row],[P26 Growth]])</f>
        <v>1.0272524570819066</v>
      </c>
      <c r="DB5" s="27">
        <f>PortfolioFrontier[[#This Row],[P26 Growth]]/PortfolioFrontier[[#This Row],[P26 HWM]]-1</f>
        <v>0</v>
      </c>
      <c r="DC5" s="28">
        <f>SUMPRODUCT(INDEX(PortfolioRef[[SPY]:[PE]],MATCH(DC$1,PortfolioRef[Reference '#]),0),AssetMonthlyReturns[[#This Row],[SPY]:[PE]])</f>
        <v>2.6310499631225427E-2</v>
      </c>
      <c r="DD5" s="27">
        <f>IF(ISNUMBER(DD4),DD4*(1+PortfolioFrontier[[#This Row],[P27 Return]]),1+PortfolioFrontier[[#This Row],[P27 Return]])</f>
        <v>1.0232497192722714</v>
      </c>
      <c r="DE5" s="27">
        <f>MAX(DE4,PortfolioFrontier[[#This Row],[P27 Growth]])</f>
        <v>1.0232497192722714</v>
      </c>
      <c r="DF5" s="27">
        <f>PortfolioFrontier[[#This Row],[P27 Growth]]/PortfolioFrontier[[#This Row],[P27 HWM]]-1</f>
        <v>0</v>
      </c>
      <c r="DG5" s="28">
        <f>SUMPRODUCT(INDEX(PortfolioRef[[SPY]:[PE]],MATCH(DG$1,PortfolioRef[Reference '#]),0),AssetMonthlyReturns[[#This Row],[SPY]:[PE]])</f>
        <v>2.7735789803561051E-2</v>
      </c>
      <c r="DH5" s="27">
        <f>IF(ISNUMBER(DH4),DH4*(1+PortfolioFrontier[[#This Row],[P28 Return]]),1+PortfolioFrontier[[#This Row],[P28 Return]])</f>
        <v>1.0300682635602205</v>
      </c>
      <c r="DI5" s="27">
        <f>MAX(DI4,PortfolioFrontier[[#This Row],[P28 Growth]])</f>
        <v>1.0300682635602205</v>
      </c>
      <c r="DJ5" s="27">
        <f>PortfolioFrontier[[#This Row],[P28 Growth]]/PortfolioFrontier[[#This Row],[P28 HWM]]-1</f>
        <v>0</v>
      </c>
      <c r="DK5" s="28">
        <f>SUMPRODUCT(INDEX(PortfolioRef[[SPY]:[PE]],MATCH(DK$1,PortfolioRef[Reference '#]),0),AssetMonthlyReturns[[#This Row],[SPY]:[PE]])</f>
        <v>2.4813700797973813E-2</v>
      </c>
      <c r="DL5" s="27">
        <f>IF(ISNUMBER(DL4),DL4*(1+PortfolioFrontier[[#This Row],[P29 Return]]),1+PortfolioFrontier[[#This Row],[P29 Return]])</f>
        <v>1.026054856456547</v>
      </c>
      <c r="DM5" s="27">
        <f>MAX(DM4,PortfolioFrontier[[#This Row],[P29 Growth]])</f>
        <v>1.026054856456547</v>
      </c>
      <c r="DN5" s="27">
        <f>PortfolioFrontier[[#This Row],[P29 Growth]]/PortfolioFrontier[[#This Row],[P29 HWM]]-1</f>
        <v>0</v>
      </c>
      <c r="DO5" s="28">
        <f>SUMPRODUCT(INDEX(PortfolioRef[[SPY]:[PE]],MATCH(DO$1,PortfolioRef[Reference '#]),0),AssetMonthlyReturns[[#This Row],[SPY]:[PE]])</f>
        <v>2.1891611792386575E-2</v>
      </c>
      <c r="DP5" s="27">
        <f>IF(ISNUMBER(DP4),DP4*(1+PortfolioFrontier[[#This Row],[P30 Return]]),1+PortfolioFrontier[[#This Row],[P30 Return]])</f>
        <v>1.0220476349649981</v>
      </c>
      <c r="DQ5" s="27">
        <f>MAX(DQ4,PortfolioFrontier[[#This Row],[P30 Growth]])</f>
        <v>1.0220476349649981</v>
      </c>
      <c r="DR5" s="27">
        <f>PortfolioFrontier[[#This Row],[P30 Growth]]/PortfolioFrontier[[#This Row],[P30 HWM]]-1</f>
        <v>0</v>
      </c>
      <c r="DS5" s="28">
        <f>SUMPRODUCT(INDEX(PortfolioRef[[SPY]:[PE]],MATCH(DS$1,PortfolioRef[Reference '#]),0),AssetMonthlyReturns[[#This Row],[SPY]:[PE]])</f>
        <v>2.6238990970309441E-2</v>
      </c>
      <c r="DT5" s="27">
        <f>IF(ISNUMBER(DT4),DT4*(1+PortfolioFrontier[[#This Row],[P31 Return]]),1+PortfolioFrontier[[#This Row],[P31 Return]])</f>
        <v>1.0328715166325639</v>
      </c>
      <c r="DU5" s="27">
        <f>MAX(DU4,PortfolioFrontier[[#This Row],[P31 Growth]])</f>
        <v>1.0328715166325639</v>
      </c>
      <c r="DV5" s="27">
        <f>PortfolioFrontier[[#This Row],[P31 Growth]]/PortfolioFrontier[[#This Row],[P31 HWM]]-1</f>
        <v>0</v>
      </c>
      <c r="DW5" s="28">
        <f>SUMPRODUCT(INDEX(PortfolioRef[[SPY]:[PE]],MATCH(DW$1,PortfolioRef[Reference '#]),0),AssetMonthlyReturns[[#This Row],[SPY]:[PE]])</f>
        <v>2.3316901964722202E-2</v>
      </c>
      <c r="DX5" s="27">
        <f>IF(ISNUMBER(DX4),DX4*(1+PortfolioFrontier[[#This Row],[P32 Return]]),1+PortfolioFrontier[[#This Row],[P32 Return]])</f>
        <v>1.0288474402348526</v>
      </c>
      <c r="DY5" s="27">
        <f>MAX(DY4,PortfolioFrontier[[#This Row],[P32 Growth]])</f>
        <v>1.0288474402348526</v>
      </c>
      <c r="DZ5" s="27">
        <f>PortfolioFrontier[[#This Row],[P32 Growth]]/PortfolioFrontier[[#This Row],[P32 HWM]]-1</f>
        <v>0</v>
      </c>
      <c r="EA5" s="28">
        <f>SUMPRODUCT(INDEX(PortfolioRef[[SPY]:[PE]],MATCH(EA$1,PortfolioRef[Reference '#]),0),AssetMonthlyReturns[[#This Row],[SPY]:[PE]])</f>
        <v>2.0394812959134968E-2</v>
      </c>
      <c r="EB5" s="27">
        <f>IF(ISNUMBER(EB4),EB4*(1+PortfolioFrontier[[#This Row],[P33 Return]]),1+PortfolioFrontier[[#This Row],[P33 Return]])</f>
        <v>1.0248295494492654</v>
      </c>
      <c r="EC5" s="27">
        <f>MAX(EC4,PortfolioFrontier[[#This Row],[P33 Growth]])</f>
        <v>1.0248295494492654</v>
      </c>
      <c r="ED5" s="27">
        <f>PortfolioFrontier[[#This Row],[P33 Growth]]/PortfolioFrontier[[#This Row],[P33 HWM]]-1</f>
        <v>0</v>
      </c>
      <c r="EE5" s="28">
        <f>SUMPRODUCT(INDEX(PortfolioRef[[SPY]:[PE]],MATCH(EE$1,PortfolioRef[Reference '#]),0),AssetMonthlyReturns[[#This Row],[SPY]:[PE]])</f>
        <v>2.12066506861417E-2</v>
      </c>
      <c r="EF5" s="27">
        <f>IF(ISNUMBER(EF4),EF4*(1+PortfolioFrontier[[#This Row],[P34 Return]]),1+PortfolioFrontier[[#This Row],[P34 Return]])</f>
        <v>1.0235529812930171</v>
      </c>
      <c r="EG5" s="27">
        <f>MAX(EG4,PortfolioFrontier[[#This Row],[P34 Growth]])</f>
        <v>1.0235529812930171</v>
      </c>
      <c r="EH5" s="27">
        <f>PortfolioFrontier[[#This Row],[P34 Growth]]/PortfolioFrontier[[#This Row],[P34 HWM]]-1</f>
        <v>0</v>
      </c>
      <c r="EI5" s="28">
        <f>SUMPRODUCT(INDEX(PortfolioRef[[SPY]:[PE]],MATCH(EI$1,PortfolioRef[Reference '#]),0),AssetMonthlyReturns[[#This Row],[SPY]:[PE]])</f>
        <v>2.4729969305649628E-2</v>
      </c>
      <c r="EJ5" s="27">
        <f>IF(ISNUMBER(EJ4),EJ4*(1+PortfolioFrontier[[#This Row],[P35 Return]]),1+PortfolioFrontier[[#This Row],[P35 Return]])</f>
        <v>1.0239244747335572</v>
      </c>
      <c r="EK5" s="27">
        <f>MAX(EK4,PortfolioFrontier[[#This Row],[P35 Growth]])</f>
        <v>1.0239244747335572</v>
      </c>
      <c r="EL5" s="27">
        <f>PortfolioFrontier[[#This Row],[P35 Growth]]/PortfolioFrontier[[#This Row],[P35 HWM]]-1</f>
        <v>0</v>
      </c>
      <c r="EM5" s="28">
        <f>SUMPRODUCT(INDEX(PortfolioRef[[SPY]:[PE]],MATCH(EM$1,PortfolioRef[Reference '#]),0),AssetMonthlyReturns[[#This Row],[SPY]:[PE]])</f>
        <v>2.3233170472398021E-2</v>
      </c>
      <c r="EN5" s="27">
        <f>IF(ISNUMBER(EN4),EN4*(1+PortfolioFrontier[[#This Row],[P36 Return]]),1+PortfolioFrontier[[#This Row],[P36 Return]])</f>
        <v>1.0267196967361951</v>
      </c>
      <c r="EO5" s="27">
        <f>MAX(EO4,PortfolioFrontier[[#This Row],[P36 Growth]])</f>
        <v>1.0267196967361951</v>
      </c>
      <c r="EP5" s="27">
        <f>PortfolioFrontier[[#This Row],[P36 Growth]]/PortfolioFrontier[[#This Row],[P36 HWM]]-1</f>
        <v>0</v>
      </c>
      <c r="EQ5" s="28">
        <f>SUMPRODUCT(INDEX(PortfolioRef[[SPY]:[PE]],MATCH(EQ$1,PortfolioRef[Reference '#]),0),AssetMonthlyReturns[[#This Row],[SPY]:[PE]])</f>
        <v>2.0311081466810779E-2</v>
      </c>
      <c r="ER5" s="27">
        <f>IF(ISNUMBER(ER4),ER4*(1+PortfolioFrontier[[#This Row],[P37 Return]]),1+PortfolioFrontier[[#This Row],[P37 Return]])</f>
        <v>1.0227077304507033</v>
      </c>
      <c r="ES5" s="27">
        <f>MAX(ES4,PortfolioFrontier[[#This Row],[P37 Growth]])</f>
        <v>1.0227077304507033</v>
      </c>
      <c r="ET5" s="27">
        <f>PortfolioFrontier[[#This Row],[P37 Growth]]/PortfolioFrontier[[#This Row],[P37 HWM]]-1</f>
        <v>0</v>
      </c>
      <c r="EU5" s="28">
        <f>SUMPRODUCT(INDEX(PortfolioRef[[SPY]:[PE]],MATCH(EU$1,PortfolioRef[Reference '#]),0),AssetMonthlyReturns[[#This Row],[SPY]:[PE]])</f>
        <v>2.8253287925157564E-2</v>
      </c>
      <c r="EV5" s="27">
        <f>IF(ISNUMBER(EV4),EV4*(1+PortfolioFrontier[[#This Row],[P38 Return]]),1+PortfolioFrontier[[#This Row],[P38 Return]])</f>
        <v>1.0242742387299812</v>
      </c>
      <c r="EW5" s="27">
        <f>MAX(EW4,PortfolioFrontier[[#This Row],[P38 Growth]])</f>
        <v>1.0242742387299812</v>
      </c>
      <c r="EX5" s="27">
        <f>PortfolioFrontier[[#This Row],[P38 Growth]]/PortfolioFrontier[[#This Row],[P38 HWM]]-1</f>
        <v>0</v>
      </c>
      <c r="EY5" s="28">
        <f>SUMPRODUCT(INDEX(PortfolioRef[[SPY]:[PE]],MATCH(EY$1,PortfolioRef[Reference '#]),0),AssetMonthlyReturns[[#This Row],[SPY]:[PE]])</f>
        <v>2.6756489091905949E-2</v>
      </c>
      <c r="EZ5" s="27">
        <f>IF(ISNUMBER(EZ4),EZ4*(1+PortfolioFrontier[[#This Row],[P39 Return]]),1+PortfolioFrontier[[#This Row],[P39 Return]])</f>
        <v>1.027088851100872</v>
      </c>
      <c r="FA5" s="27">
        <f>MAX(FA4,PortfolioFrontier[[#This Row],[P39 Growth]])</f>
        <v>1.027088851100872</v>
      </c>
      <c r="FB5" s="27">
        <f>PortfolioFrontier[[#This Row],[P39 Growth]]/PortfolioFrontier[[#This Row],[P39 HWM]]-1</f>
        <v>0</v>
      </c>
      <c r="FC5" s="28">
        <f>SUMPRODUCT(INDEX(PortfolioRef[[SPY]:[PE]],MATCH(FC$1,PortfolioRef[Reference '#]),0),AssetMonthlyReturns[[#This Row],[SPY]:[PE]])</f>
        <v>2.3834400086318708E-2</v>
      </c>
      <c r="FD5" s="27">
        <f>IF(ISNUMBER(FD4),FD4*(1+PortfolioFrontier[[#This Row],[P40 Return]]),1+PortfolioFrontier[[#This Row],[P40 Return]])</f>
        <v>1.0230821663875287</v>
      </c>
      <c r="FE5" s="27">
        <f>MAX(FE4,PortfolioFrontier[[#This Row],[P40 Growth]])</f>
        <v>1.0230821663875287</v>
      </c>
      <c r="FF5" s="27">
        <f>PortfolioFrontier[[#This Row],[P40 Growth]]/PortfolioFrontier[[#This Row],[P40 HWM]]-1</f>
        <v>0</v>
      </c>
      <c r="FG5" s="28">
        <f>SUMPRODUCT(INDEX(PortfolioRef[[SPY]:[PE]],MATCH(FG$1,PortfolioRef[Reference '#]),0),AssetMonthlyReturns[[#This Row],[SPY]:[PE]])</f>
        <v>2.5259690258654342E-2</v>
      </c>
      <c r="FH5" s="27">
        <f>IF(ISNUMBER(FH4),FH4*(1+PortfolioFrontier[[#This Row],[P41 Return]]),1+PortfolioFrontier[[#This Row],[P41 Return]])</f>
        <v>1.0298909100657929</v>
      </c>
      <c r="FI5" s="27">
        <f>MAX(FI4,PortfolioFrontier[[#This Row],[P41 Growth]])</f>
        <v>1.0298909100657929</v>
      </c>
      <c r="FJ5" s="27">
        <f>PortfolioFrontier[[#This Row],[P41 Growth]]/PortfolioFrontier[[#This Row],[P41 HWM]]-1</f>
        <v>0</v>
      </c>
      <c r="FK5" s="28">
        <f>SUMPRODUCT(INDEX(PortfolioRef[[SPY]:[PE]],MATCH(FK$1,PortfolioRef[Reference '#]),0),AssetMonthlyReturns[[#This Row],[SPY]:[PE]])</f>
        <v>2.2337601253067101E-2</v>
      </c>
      <c r="FL5" s="27">
        <f>IF(ISNUMBER(FL4),FL4*(1+PortfolioFrontier[[#This Row],[P42 Return]]),1+PortfolioFrontier[[#This Row],[P42 Return]])</f>
        <v>1.0258735560584114</v>
      </c>
      <c r="FM5" s="27">
        <f>MAX(FM4,PortfolioFrontier[[#This Row],[P42 Growth]])</f>
        <v>1.0258735560584114</v>
      </c>
      <c r="FN5" s="27">
        <f>PortfolioFrontier[[#This Row],[P42 Growth]]/PortfolioFrontier[[#This Row],[P42 HWM]]-1</f>
        <v>0</v>
      </c>
      <c r="FO5" s="28">
        <f>SUMPRODUCT(INDEX(PortfolioRef[[SPY]:[PE]],MATCH(FO$1,PortfolioRef[Reference '#]),0),AssetMonthlyReturns[[#This Row],[SPY]:[PE]])</f>
        <v>1.9415512247479866E-2</v>
      </c>
      <c r="FP5" s="27">
        <f>IF(ISNUMBER(FP4),FP4*(1+PortfolioFrontier[[#This Row],[P43 Return]]),1+PortfolioFrontier[[#This Row],[P43 Return]])</f>
        <v>1.0218623876631543</v>
      </c>
      <c r="FQ5" s="27">
        <f>MAX(FQ4,PortfolioFrontier[[#This Row],[P43 Growth]])</f>
        <v>1.0218623876631543</v>
      </c>
      <c r="FR5" s="27">
        <f>PortfolioFrontier[[#This Row],[P43 Growth]]/PortfolioFrontier[[#This Row],[P43 HWM]]-1</f>
        <v>0</v>
      </c>
      <c r="FS5" s="28">
        <f>SUMPRODUCT(INDEX(PortfolioRef[[SPY]:[PE]],MATCH(FS$1,PortfolioRef[Reference '#]),0),AssetMonthlyReturns[[#This Row],[SPY]:[PE]])</f>
        <v>3.0279807711413885E-2</v>
      </c>
      <c r="FT5" s="27">
        <f>IF(ISNUMBER(FT4),FT4*(1+PortfolioFrontier[[#This Row],[P44 Return]]),1+PortfolioFrontier[[#This Row],[P44 Return]])</f>
        <v>1.0274362760214324</v>
      </c>
      <c r="FU5" s="27">
        <f>MAX(FU4,PortfolioFrontier[[#This Row],[P44 Growth]])</f>
        <v>1.0274362760214324</v>
      </c>
      <c r="FV5" s="27">
        <f>PortfolioFrontier[[#This Row],[P44 Growth]]/PortfolioFrontier[[#This Row],[P44 HWM]]-1</f>
        <v>0</v>
      </c>
      <c r="FW5" s="28">
        <f>SUMPRODUCT(INDEX(PortfolioRef[[SPY]:[PE]],MATCH(FW$1,PortfolioRef[Reference '#]),0),AssetMonthlyReturns[[#This Row],[SPY]:[PE]])</f>
        <v>2.7357718705826643E-2</v>
      </c>
      <c r="FX5" s="27">
        <f>IF(ISNUMBER(FX4),FX4*(1+PortfolioFrontier[[#This Row],[P45 Return]]),1+PortfolioFrontier[[#This Row],[P45 Return]])</f>
        <v>1.0234348728802378</v>
      </c>
      <c r="FY5" s="27">
        <f>MAX(FY4,PortfolioFrontier[[#This Row],[P45 Growth]])</f>
        <v>1.0234348728802378</v>
      </c>
      <c r="FZ5" s="27">
        <f>PortfolioFrontier[[#This Row],[P45 Growth]]/PortfolioFrontier[[#This Row],[P45 HWM]]-1</f>
        <v>0</v>
      </c>
      <c r="GA5" s="28">
        <f>SUMPRODUCT(INDEX(PortfolioRef[[SPY]:[PE]],MATCH(GA$1,PortfolioRef[Reference '#]),0),AssetMonthlyReturns[[#This Row],[SPY]:[PE]])</f>
        <v>2.8783008878162271E-2</v>
      </c>
      <c r="GB5" s="27">
        <f>IF(ISNUMBER(GB4),GB4*(1+PortfolioFrontier[[#This Row],[P46 Return]]),1+PortfolioFrontier[[#This Row],[P46 Return]])</f>
        <v>1.0302577253546061</v>
      </c>
      <c r="GC5" s="27">
        <f>MAX(GC4,PortfolioFrontier[[#This Row],[P46 Growth]])</f>
        <v>1.0302577253546061</v>
      </c>
      <c r="GD5" s="27">
        <f>PortfolioFrontier[[#This Row],[P46 Growth]]/PortfolioFrontier[[#This Row],[P46 HWM]]-1</f>
        <v>0</v>
      </c>
      <c r="GE5" s="28">
        <f>SUMPRODUCT(INDEX(PortfolioRef[[SPY]:[PE]],MATCH(GE$1,PortfolioRef[Reference '#]),0),AssetMonthlyReturns[[#This Row],[SPY]:[PE]])</f>
        <v>2.5860919872575029E-2</v>
      </c>
      <c r="GF5" s="27">
        <f>IF(ISNUMBER(GF4),GF4*(1+PortfolioFrontier[[#This Row],[P47 Return]]),1+PortfolioFrontier[[#This Row],[P47 Return]])</f>
        <v>1.0262456529193733</v>
      </c>
      <c r="GG5" s="27">
        <f>MAX(GG4,PortfolioFrontier[[#This Row],[P47 Growth]])</f>
        <v>1.0262456529193733</v>
      </c>
      <c r="GH5" s="27">
        <f>PortfolioFrontier[[#This Row],[P47 Growth]]/PortfolioFrontier[[#This Row],[P47 HWM]]-1</f>
        <v>0</v>
      </c>
      <c r="GI5" s="28">
        <f>SUMPRODUCT(INDEX(PortfolioRef[[SPY]:[PE]],MATCH(GI$1,PortfolioRef[Reference '#]),0),AssetMonthlyReturns[[#This Row],[SPY]:[PE]])</f>
        <v>2.2938830866987798E-2</v>
      </c>
      <c r="GJ5" s="27">
        <f>IF(ISNUMBER(GJ4),GJ4*(1+PortfolioFrontier[[#This Row],[P48 Return]]),1+PortfolioFrontier[[#This Row],[P48 Return]])</f>
        <v>1.0222397660962648</v>
      </c>
      <c r="GK5" s="27">
        <f>MAX(GK4,PortfolioFrontier[[#This Row],[P48 Growth]])</f>
        <v>1.0222397660962648</v>
      </c>
      <c r="GL5" s="27">
        <f>PortfolioFrontier[[#This Row],[P48 Growth]]/PortfolioFrontier[[#This Row],[P48 HWM]]-1</f>
        <v>0</v>
      </c>
      <c r="GM5" s="28">
        <f>SUMPRODUCT(INDEX(PortfolioRef[[SPY]:[PE]],MATCH(GM$1,PortfolioRef[Reference '#]),0),AssetMonthlyReturns[[#This Row],[SPY]:[PE]])</f>
        <v>2.728621004491066E-2</v>
      </c>
      <c r="GN5" s="27">
        <f>IF(ISNUMBER(GN4),GN4*(1+PortfolioFrontier[[#This Row],[P49 Return]]),1+PortfolioFrontier[[#This Row],[P49 Return]])</f>
        <v>1.0330666212818096</v>
      </c>
      <c r="GO5" s="27">
        <f>MAX(GO4,PortfolioFrontier[[#This Row],[P49 Growth]])</f>
        <v>1.0330666212818096</v>
      </c>
      <c r="GP5" s="27">
        <f>PortfolioFrontier[[#This Row],[P49 Growth]]/PortfolioFrontier[[#This Row],[P49 HWM]]-1</f>
        <v>0</v>
      </c>
      <c r="GQ5" s="28">
        <f>SUMPRODUCT(INDEX(PortfolioRef[[SPY]:[PE]],MATCH(GQ$1,PortfolioRef[Reference '#]),0),AssetMonthlyReturns[[#This Row],[SPY]:[PE]])</f>
        <v>2.4364121039323422E-2</v>
      </c>
      <c r="GR5" s="27">
        <f>IF(ISNUMBER(GR4),GR4*(1+PortfolioFrontier[[#This Row],[P50 Return]]),1+PortfolioFrontier[[#This Row],[P50 Return]])</f>
        <v>1.0290438795525387</v>
      </c>
      <c r="GS5" s="27">
        <f>MAX(GS4,PortfolioFrontier[[#This Row],[P50 Growth]])</f>
        <v>1.0290438795525387</v>
      </c>
      <c r="GT5" s="27">
        <f>PortfolioFrontier[[#This Row],[P50 Growth]]/PortfolioFrontier[[#This Row],[P50 HWM]]-1</f>
        <v>0</v>
      </c>
      <c r="GU5" s="28">
        <f>SUMPRODUCT(INDEX(PortfolioRef[[SPY]:[PE]],MATCH(GU$1,PortfolioRef[Reference '#]),0),AssetMonthlyReturns[[#This Row],[SPY]:[PE]])</f>
        <v>2.1442032033736184E-2</v>
      </c>
      <c r="GV5" s="27">
        <f>IF(ISNUMBER(GV4),GV4*(1+PortfolioFrontier[[#This Row],[P51 Return]]),1+PortfolioFrontier[[#This Row],[P51 Return]])</f>
        <v>1.0250273234353919</v>
      </c>
      <c r="GW5" s="27">
        <f>MAX(GW4,PortfolioFrontier[[#This Row],[P51 Growth]])</f>
        <v>1.0250273234353919</v>
      </c>
      <c r="GX5" s="27">
        <f>PortfolioFrontier[[#This Row],[P51 Growth]]/PortfolioFrontier[[#This Row],[P51 HWM]]-1</f>
        <v>0</v>
      </c>
      <c r="GY5" s="28">
        <f>SUMPRODUCT(INDEX(PortfolioRef[[SPY]:[PE]],MATCH(GY$1,PortfolioRef[Reference '#]),0),AssetMonthlyReturns[[#This Row],[SPY]:[PE]])</f>
        <v>3.2306327497670199E-2</v>
      </c>
      <c r="GZ5" s="27">
        <f>IF(ISNUMBER(GZ4),GZ4*(1+PortfolioFrontier[[#This Row],[P52 Return]]),1+PortfolioFrontier[[#This Row],[P52 Return]])</f>
        <v>1.0306028111993031</v>
      </c>
      <c r="HA5" s="27">
        <f>MAX(HA4,PortfolioFrontier[[#This Row],[P52 Growth]])</f>
        <v>1.0306028111993031</v>
      </c>
      <c r="HB5" s="27">
        <f>PortfolioFrontier[[#This Row],[P52 Growth]]/PortfolioFrontier[[#This Row],[P52 HWM]]-1</f>
        <v>0</v>
      </c>
      <c r="HC5" s="28">
        <f>SUMPRODUCT(INDEX(PortfolioRef[[SPY]:[PE]],MATCH(HC$1,PortfolioRef[Reference '#]),0),AssetMonthlyReturns[[#This Row],[SPY]:[PE]])</f>
        <v>2.9384238492082965E-2</v>
      </c>
      <c r="HD5" s="27">
        <f>IF(ISNUMBER(HD4),HD4*(1+PortfolioFrontier[[#This Row],[P53 Return]]),1+PortfolioFrontier[[#This Row],[P53 Return]])</f>
        <v>1.0265960203362188</v>
      </c>
      <c r="HE5" s="27">
        <f>MAX(HE4,PortfolioFrontier[[#This Row],[P53 Growth]])</f>
        <v>1.0265960203362188</v>
      </c>
      <c r="HF5" s="27">
        <f>PortfolioFrontier[[#This Row],[P53 Growth]]/PortfolioFrontier[[#This Row],[P53 HWM]]-1</f>
        <v>0</v>
      </c>
      <c r="HG5" s="28">
        <f>SUMPRODUCT(INDEX(PortfolioRef[[SPY]:[PE]],MATCH(HG$1,PortfolioRef[Reference '#]),0),AssetMonthlyReturns[[#This Row],[SPY]:[PE]])</f>
        <v>2.6462149486495726E-2</v>
      </c>
      <c r="HH5" s="27">
        <f>IF(ISNUMBER(HH4),HH4*(1+PortfolioFrontier[[#This Row],[P54 Return]]),1+PortfolioFrontier[[#This Row],[P54 Return]])</f>
        <v>1.022595415085259</v>
      </c>
      <c r="HI5" s="27">
        <f>MAX(HI4,PortfolioFrontier[[#This Row],[P54 Growth]])</f>
        <v>1.022595415085259</v>
      </c>
      <c r="HJ5" s="27">
        <f>PortfolioFrontier[[#This Row],[P54 Growth]]/PortfolioFrontier[[#This Row],[P54 HWM]]-1</f>
        <v>0</v>
      </c>
      <c r="HK5" s="28">
        <f>SUMPRODUCT(INDEX(PortfolioRef[[SPY]:[PE]],MATCH(HK$1,PortfolioRef[Reference '#]),0),AssetMonthlyReturns[[#This Row],[SPY]:[PE]])</f>
        <v>3.0809528664418589E-2</v>
      </c>
      <c r="HL5" s="27">
        <f>IF(ISNUMBER(HL4),HL4*(1+PortfolioFrontier[[#This Row],[P55 Return]]),1+PortfolioFrontier[[#This Row],[P55 Return]])</f>
        <v>1.0334310974947594</v>
      </c>
      <c r="HM5" s="27">
        <f>MAX(HM4,PortfolioFrontier[[#This Row],[P55 Growth]])</f>
        <v>1.0334310974947594</v>
      </c>
      <c r="HN5" s="27">
        <f>PortfolioFrontier[[#This Row],[P55 Growth]]/PortfolioFrontier[[#This Row],[P55 HWM]]-1</f>
        <v>0</v>
      </c>
      <c r="HO5" s="28">
        <f>SUMPRODUCT(INDEX(PortfolioRef[[SPY]:[PE]],MATCH(HO$1,PortfolioRef[Reference '#]),0),AssetMonthlyReturns[[#This Row],[SPY]:[PE]])</f>
        <v>2.7887439658831351E-2</v>
      </c>
      <c r="HP5" s="27">
        <f>IF(ISNUMBER(HP4),HP4*(1+PortfolioFrontier[[#This Row],[P56 Return]]),1+PortfolioFrontier[[#This Row],[P56 Return]])</f>
        <v>1.029413637337637</v>
      </c>
      <c r="HQ5" s="27">
        <f>MAX(HQ4,PortfolioFrontier[[#This Row],[P56 Growth]])</f>
        <v>1.029413637337637</v>
      </c>
      <c r="HR5" s="27">
        <f>PortfolioFrontier[[#This Row],[P56 Growth]]/PortfolioFrontier[[#This Row],[P56 HWM]]-1</f>
        <v>0</v>
      </c>
      <c r="HS5" s="28">
        <f>SUMPRODUCT(INDEX(PortfolioRef[[SPY]:[PE]],MATCH(HS$1,PortfolioRef[Reference '#]),0),AssetMonthlyReturns[[#This Row],[SPY]:[PE]])</f>
        <v>2.4965350653244112E-2</v>
      </c>
      <c r="HT5" s="27">
        <f>IF(ISNUMBER(HT4),HT4*(1+PortfolioFrontier[[#This Row],[P57 Return]]),1+PortfolioFrontier[[#This Row],[P57 Return]])</f>
        <v>1.025402362792639</v>
      </c>
      <c r="HU5" s="27">
        <f>MAX(HU4,PortfolioFrontier[[#This Row],[P57 Growth]])</f>
        <v>1.025402362792639</v>
      </c>
      <c r="HV5" s="27">
        <f>PortfolioFrontier[[#This Row],[P57 Growth]]/PortfolioFrontier[[#This Row],[P57 HWM]]-1</f>
        <v>0</v>
      </c>
      <c r="HW5" s="28">
        <f>SUMPRODUCT(INDEX(PortfolioRef[[SPY]:[PE]],MATCH(HW$1,PortfolioRef[Reference '#]),0),AssetMonthlyReturns[[#This Row],[SPY]:[PE]])</f>
        <v>2.9312729831166978E-2</v>
      </c>
      <c r="HX5" s="27">
        <f>IF(ISNUMBER(HX4),HX4*(1+PortfolioFrontier[[#This Row],[P58 Return]]),1+PortfolioFrontier[[#This Row],[P58 Return]])</f>
        <v>1.036246830384246</v>
      </c>
      <c r="HY5" s="27">
        <f>MAX(HY4,PortfolioFrontier[[#This Row],[P58 Growth]])</f>
        <v>1.036246830384246</v>
      </c>
      <c r="HZ5" s="27">
        <f>PortfolioFrontier[[#This Row],[P58 Growth]]/PortfolioFrontier[[#This Row],[P58 HWM]]-1</f>
        <v>0</v>
      </c>
      <c r="IA5" s="28">
        <f>SUMPRODUCT(INDEX(PortfolioRef[[SPY]:[PE]],MATCH(IA$1,PortfolioRef[Reference '#]),0),AssetMonthlyReturns[[#This Row],[SPY]:[PE]])</f>
        <v>2.6390640825579743E-2</v>
      </c>
      <c r="IB5" s="27">
        <f>IF(ISNUMBER(IB4),IB4*(1+PortfolioFrontier[[#This Row],[P59 Return]]),1+PortfolioFrontier[[#This Row],[P59 Return]])</f>
        <v>1.0322187009330857</v>
      </c>
      <c r="IC5" s="27">
        <f>MAX(IC4,PortfolioFrontier[[#This Row],[P59 Growth]])</f>
        <v>1.0322187009330857</v>
      </c>
      <c r="ID5" s="27">
        <f>PortfolioFrontier[[#This Row],[P59 Growth]]/PortfolioFrontier[[#This Row],[P59 HWM]]-1</f>
        <v>0</v>
      </c>
      <c r="IE5" s="28">
        <f>SUMPRODUCT(INDEX(PortfolioRef[[SPY]:[PE]],MATCH(IE$1,PortfolioRef[Reference '#]),0),AssetMonthlyReturns[[#This Row],[SPY]:[PE]])</f>
        <v>2.3468551819992505E-2</v>
      </c>
      <c r="IF5" s="27">
        <f>IF(ISNUMBER(IF4),IF4*(1+PortfolioFrontier[[#This Row],[P60 Return]]),1+PortfolioFrontier[[#This Row],[P60 Return]])</f>
        <v>1.0281967570940491</v>
      </c>
      <c r="IG5" s="27">
        <f>MAX(IG4,PortfolioFrontier[[#This Row],[P60 Growth]])</f>
        <v>1.0281967570940491</v>
      </c>
      <c r="IH5" s="27">
        <f>PortfolioFrontier[[#This Row],[P60 Growth]]/PortfolioFrontier[[#This Row],[P60 HWM]]-1</f>
        <v>0</v>
      </c>
      <c r="II5" s="28">
        <f>SUMPRODUCT(INDEX(PortfolioRef[[SPY]:[PE]],MATCH(II$1,PortfolioRef[Reference '#]),0),AssetMonthlyReturns[[#This Row],[SPY]:[PE]])</f>
        <v>2.2253869760742923E-2</v>
      </c>
      <c r="IJ5" s="27">
        <f>IF(ISNUMBER(IJ4),IJ4*(1+PortfolioFrontier[[#This Row],[P61 Return]]),1+PortfolioFrontier[[#This Row],[P61 Return]])</f>
        <v>1.0237479313060123</v>
      </c>
      <c r="IK5" s="27">
        <f>MAX(IK4,PortfolioFrontier[[#This Row],[P61 Growth]])</f>
        <v>1.0237479313060123</v>
      </c>
      <c r="IL5" s="27">
        <f>PortfolioFrontier[[#This Row],[P61 Growth]]/PortfolioFrontier[[#This Row],[P61 HWM]]-1</f>
        <v>0</v>
      </c>
      <c r="IM5" s="28">
        <f>SUMPRODUCT(INDEX(PortfolioRef[[SPY]:[PE]],MATCH(IM$1,PortfolioRef[Reference '#]),0),AssetMonthlyReturns[[#This Row],[SPY]:[PE]])</f>
        <v>2.5777188380250851E-2</v>
      </c>
      <c r="IN5" s="27">
        <f>IF(ISNUMBER(IN4),IN4*(1+PortfolioFrontier[[#This Row],[P62 Return]]),1+PortfolioFrontier[[#This Row],[P62 Return]])</f>
        <v>1.0241132497385752</v>
      </c>
      <c r="IO5" s="27">
        <f>MAX(IO4,PortfolioFrontier[[#This Row],[P62 Growth]])</f>
        <v>1.0241132497385752</v>
      </c>
      <c r="IP5" s="27">
        <f>PortfolioFrontier[[#This Row],[P62 Growth]]/PortfolioFrontier[[#This Row],[P62 HWM]]-1</f>
        <v>0</v>
      </c>
      <c r="IQ5" s="28">
        <f>SUMPRODUCT(INDEX(PortfolioRef[[SPY]:[PE]],MATCH(IQ$1,PortfolioRef[Reference '#]),0),AssetMonthlyReturns[[#This Row],[SPY]:[PE]])</f>
        <v>2.4280389546999237E-2</v>
      </c>
      <c r="IR5" s="27">
        <f>IF(ISNUMBER(IR4),IR4*(1+PortfolioFrontier[[#This Row],[P63 Return]]),1+PortfolioFrontier[[#This Row],[P63 Return]])</f>
        <v>1.0269141145960727</v>
      </c>
      <c r="IS5" s="27">
        <f>MAX(IS4,PortfolioFrontier[[#This Row],[P63 Growth]])</f>
        <v>1.0269141145960727</v>
      </c>
      <c r="IT5" s="27">
        <f>PortfolioFrontier[[#This Row],[P63 Growth]]/PortfolioFrontier[[#This Row],[P63 HWM]]-1</f>
        <v>0</v>
      </c>
      <c r="IU5" s="28">
        <f>SUMPRODUCT(INDEX(PortfolioRef[[SPY]:[PE]],MATCH(IU$1,PortfolioRef[Reference '#]),0),AssetMonthlyReturns[[#This Row],[SPY]:[PE]])</f>
        <v>2.1358300541412002E-2</v>
      </c>
      <c r="IV5" s="27">
        <f>IF(ISNUMBER(IV4),IV4*(1+PortfolioFrontier[[#This Row],[P64 Return]]),1+PortfolioFrontier[[#This Row],[P64 Return]])</f>
        <v>1.0229034829790211</v>
      </c>
      <c r="IW5" s="27">
        <f>MAX(IW4,PortfolioFrontier[[#This Row],[P64 Growth]])</f>
        <v>1.0229034829790211</v>
      </c>
      <c r="IX5" s="27">
        <f>PortfolioFrontier[[#This Row],[P64 Growth]]/PortfolioFrontier[[#This Row],[P64 HWM]]-1</f>
        <v>0</v>
      </c>
      <c r="IY5" s="28">
        <f>SUMPRODUCT(INDEX(PortfolioRef[[SPY]:[PE]],MATCH(IY$1,PortfolioRef[Reference '#]),0),AssetMonthlyReturns[[#This Row],[SPY]:[PE]])</f>
        <v>2.930050699975878E-2</v>
      </c>
      <c r="IZ5" s="27">
        <f>IF(ISNUMBER(IZ4),IZ4*(1+PortfolioFrontier[[#This Row],[P65 Return]]),1+PortfolioFrontier[[#This Row],[P65 Return]])</f>
        <v>1.0244568387270214</v>
      </c>
      <c r="JA5" s="27">
        <f>MAX(JA4,PortfolioFrontier[[#This Row],[P65 Growth]])</f>
        <v>1.0244568387270214</v>
      </c>
      <c r="JB5" s="27">
        <f>PortfolioFrontier[[#This Row],[P65 Growth]]/PortfolioFrontier[[#This Row],[P65 HWM]]-1</f>
        <v>0</v>
      </c>
      <c r="JC5" s="28">
        <f>SUMPRODUCT(INDEX(PortfolioRef[[SPY]:[PE]],MATCH(JC$1,PortfolioRef[Reference '#]),0),AssetMonthlyReturns[[#This Row],[SPY]:[PE]])</f>
        <v>2.7803708166507166E-2</v>
      </c>
      <c r="JD5" s="27">
        <f>IF(ISNUMBER(JD4),JD4*(1+PortfolioFrontier[[#This Row],[P66 Return]]),1+PortfolioFrontier[[#This Row],[P66 Return]])</f>
        <v>1.027277093952772</v>
      </c>
      <c r="JE5" s="27">
        <f>MAX(JE4,PortfolioFrontier[[#This Row],[P66 Growth]])</f>
        <v>1.027277093952772</v>
      </c>
      <c r="JF5" s="27">
        <f>PortfolioFrontier[[#This Row],[P66 Growth]]/PortfolioFrontier[[#This Row],[P66 HWM]]-1</f>
        <v>0</v>
      </c>
      <c r="JG5" s="28">
        <f>SUMPRODUCT(INDEX(PortfolioRef[[SPY]:[PE]],MATCH(JG$1,PortfolioRef[Reference '#]),0),AssetMonthlyReturns[[#This Row],[SPY]:[PE]])</f>
        <v>2.4881619160919931E-2</v>
      </c>
      <c r="JH5" s="27">
        <f>IF(ISNUMBER(JH4),JH4*(1+PortfolioFrontier[[#This Row],[P67 Return]]),1+PortfolioFrontier[[#This Row],[P67 Return]])</f>
        <v>1.0232717439078693</v>
      </c>
      <c r="JI5" s="27">
        <f>MAX(JI4,PortfolioFrontier[[#This Row],[P67 Growth]])</f>
        <v>1.0232717439078693</v>
      </c>
      <c r="JJ5" s="27">
        <f>PortfolioFrontier[[#This Row],[P67 Growth]]/PortfolioFrontier[[#This Row],[P67 HWM]]-1</f>
        <v>0</v>
      </c>
      <c r="JK5" s="28">
        <f>SUMPRODUCT(INDEX(PortfolioRef[[SPY]:[PE]],MATCH(JK$1,PortfolioRef[Reference '#]),0),AssetMonthlyReturns[[#This Row],[SPY]:[PE]])</f>
        <v>2.6306909333255558E-2</v>
      </c>
      <c r="JL5" s="27">
        <f>IF(ISNUMBER(JL4),JL4*(1+PortfolioFrontier[[#This Row],[P68 Return]]),1+PortfolioFrontier[[#This Row],[P68 Return]])</f>
        <v>1.0300847957725523</v>
      </c>
      <c r="JM5" s="27">
        <f>MAX(JM4,PortfolioFrontier[[#This Row],[P68 Growth]])</f>
        <v>1.0300847957725523</v>
      </c>
      <c r="JN5" s="27">
        <f>PortfolioFrontier[[#This Row],[P68 Growth]]/PortfolioFrontier[[#This Row],[P68 HWM]]-1</f>
        <v>0</v>
      </c>
      <c r="JO5" s="28">
        <f>SUMPRODUCT(INDEX(PortfolioRef[[SPY]:[PE]],MATCH(JO$1,PortfolioRef[Reference '#]),0),AssetMonthlyReturns[[#This Row],[SPY]:[PE]])</f>
        <v>2.3384820327668317E-2</v>
      </c>
      <c r="JP5" s="27">
        <f>IF(ISNUMBER(JP4),JP4*(1+PortfolioFrontier[[#This Row],[P69 Return]]),1+PortfolioFrontier[[#This Row],[P69 Return]])</f>
        <v>1.0260687764336116</v>
      </c>
      <c r="JQ5" s="27">
        <f>MAX(JQ4,PortfolioFrontier[[#This Row],[P69 Growth]])</f>
        <v>1.0260687764336116</v>
      </c>
      <c r="JR5" s="27">
        <f>PortfolioFrontier[[#This Row],[P69 Growth]]/PortfolioFrontier[[#This Row],[P69 HWM]]-1</f>
        <v>0</v>
      </c>
      <c r="JS5" s="28">
        <f>SUMPRODUCT(INDEX(PortfolioRef[[SPY]:[PE]],MATCH(JS$1,PortfolioRef[Reference '#]),0),AssetMonthlyReturns[[#This Row],[SPY]:[PE]])</f>
        <v>2.0462731322081085E-2</v>
      </c>
      <c r="JT5" s="27">
        <f>IF(ISNUMBER(JT4),JT4*(1+PortfolioFrontier[[#This Row],[P70 Return]]),1+PortfolioFrontier[[#This Row],[P70 Return]])</f>
        <v>1.0220589427067948</v>
      </c>
      <c r="JU5" s="27">
        <f>MAX(JU4,PortfolioFrontier[[#This Row],[P70 Growth]])</f>
        <v>1.0220589427067948</v>
      </c>
      <c r="JV5" s="27">
        <f>PortfolioFrontier[[#This Row],[P70 Growth]]/PortfolioFrontier[[#This Row],[P70 HWM]]-1</f>
        <v>0</v>
      </c>
      <c r="JW5" s="28">
        <f>SUMPRODUCT(INDEX(PortfolioRef[[SPY]:[PE]],MATCH(JW$1,PortfolioRef[Reference '#]),0),AssetMonthlyReturns[[#This Row],[SPY]:[PE]])</f>
        <v>3.1327026786015101E-2</v>
      </c>
      <c r="JX5" s="27">
        <f>IF(ISNUMBER(JX4),JX4*(1+PortfolioFrontier[[#This Row],[P71 Return]]),1+PortfolioFrontier[[#This Row],[P71 Return]])</f>
        <v>1.0276183438653546</v>
      </c>
      <c r="JY5" s="27">
        <f>MAX(JY4,PortfolioFrontier[[#This Row],[P71 Growth]])</f>
        <v>1.0276183438653546</v>
      </c>
      <c r="JZ5" s="27">
        <f>PortfolioFrontier[[#This Row],[P71 Growth]]/PortfolioFrontier[[#This Row],[P71 HWM]]-1</f>
        <v>0</v>
      </c>
      <c r="KA5" s="28">
        <f>SUMPRODUCT(INDEX(PortfolioRef[[SPY]:[PE]],MATCH(KA$1,PortfolioRef[Reference '#]),0),AssetMonthlyReturns[[#This Row],[SPY]:[PE]])</f>
        <v>2.8404937780427866E-2</v>
      </c>
      <c r="KB5" s="27">
        <f>IF(ISNUMBER(KB4),KB4*(1+PortfolioFrontier[[#This Row],[P72 Return]]),1+PortfolioFrontier[[#This Row],[P72 Return]])</f>
        <v>1.0236182753926006</v>
      </c>
      <c r="KC5" s="27">
        <f>MAX(KC4,PortfolioFrontier[[#This Row],[P72 Growth]])</f>
        <v>1.0236182753926006</v>
      </c>
      <c r="KD5" s="27">
        <f>PortfolioFrontier[[#This Row],[P72 Growth]]/PortfolioFrontier[[#This Row],[P72 HWM]]-1</f>
        <v>0</v>
      </c>
      <c r="KE5" s="28">
        <f>SUMPRODUCT(INDEX(PortfolioRef[[SPY]:[PE]],MATCH(KE$1,PortfolioRef[Reference '#]),0),AssetMonthlyReturns[[#This Row],[SPY]:[PE]])</f>
        <v>2.983022795276349E-2</v>
      </c>
      <c r="KF5" s="27">
        <f>IF(ISNUMBER(KF4),KF4*(1+PortfolioFrontier[[#This Row],[P73 Return]]),1+PortfolioFrontier[[#This Row],[P73 Return]])</f>
        <v>1.0304454360533883</v>
      </c>
      <c r="KG5" s="27">
        <f>MAX(KG4,PortfolioFrontier[[#This Row],[P73 Growth]])</f>
        <v>1.0304454360533883</v>
      </c>
      <c r="KH5" s="27">
        <f>PortfolioFrontier[[#This Row],[P73 Growth]]/PortfolioFrontier[[#This Row],[P73 HWM]]-1</f>
        <v>0</v>
      </c>
      <c r="KI5" s="28">
        <f>SUMPRODUCT(INDEX(PortfolioRef[[SPY]:[PE]],MATCH(KI$1,PortfolioRef[Reference '#]),0),AssetMonthlyReturns[[#This Row],[SPY]:[PE]])</f>
        <v>2.6908138947176252E-2</v>
      </c>
      <c r="KJ5" s="27">
        <f>IF(ISNUMBER(KJ4),KJ4*(1+PortfolioFrontier[[#This Row],[P74 Return]]),1+PortfolioFrontier[[#This Row],[P74 Return]])</f>
        <v>1.0264346982865957</v>
      </c>
      <c r="KK5" s="27">
        <f>MAX(KK4,PortfolioFrontier[[#This Row],[P74 Growth]])</f>
        <v>1.0264346982865957</v>
      </c>
      <c r="KL5" s="27">
        <f>PortfolioFrontier[[#This Row],[P74 Growth]]/PortfolioFrontier[[#This Row],[P74 HWM]]-1</f>
        <v>0</v>
      </c>
      <c r="KM5" s="28">
        <f>SUMPRODUCT(INDEX(PortfolioRef[[SPY]:[PE]],MATCH(KM$1,PortfolioRef[Reference '#]),0),AssetMonthlyReturns[[#This Row],[SPY]:[PE]])</f>
        <v>2.3986049941589014E-2</v>
      </c>
      <c r="KN5" s="27">
        <f>IF(ISNUMBER(KN4),KN4*(1+PortfolioFrontier[[#This Row],[P75 Return]]),1+PortfolioFrontier[[#This Row],[P75 Return]])</f>
        <v>1.0224301461319278</v>
      </c>
      <c r="KO5" s="27">
        <f>MAX(KO4,PortfolioFrontier[[#This Row],[P75 Growth]])</f>
        <v>1.0224301461319278</v>
      </c>
      <c r="KP5" s="27">
        <f>PortfolioFrontier[[#This Row],[P75 Growth]]/PortfolioFrontier[[#This Row],[P75 HWM]]-1</f>
        <v>0</v>
      </c>
      <c r="KQ5" s="28">
        <f>SUMPRODUCT(INDEX(PortfolioRef[[SPY]:[PE]],MATCH(KQ$1,PortfolioRef[Reference '#]),0),AssetMonthlyReturns[[#This Row],[SPY]:[PE]])</f>
        <v>2.833342911951188E-2</v>
      </c>
      <c r="KR5" s="27">
        <f>IF(ISNUMBER(KR4),KR4*(1+PortfolioFrontier[[#This Row],[P76 Return]]),1+PortfolioFrontier[[#This Row],[P76 Return]])</f>
        <v>1.0332599748354516</v>
      </c>
      <c r="KS5" s="27">
        <f>MAX(KS4,PortfolioFrontier[[#This Row],[P76 Growth]])</f>
        <v>1.0332599748354516</v>
      </c>
      <c r="KT5" s="27">
        <f>PortfolioFrontier[[#This Row],[P76 Growth]]/PortfolioFrontier[[#This Row],[P76 HWM]]-1</f>
        <v>0</v>
      </c>
      <c r="KU5" s="28">
        <f>SUMPRODUCT(INDEX(PortfolioRef[[SPY]:[PE]],MATCH(KU$1,PortfolioRef[Reference '#]),0),AssetMonthlyReturns[[#This Row],[SPY]:[PE]])</f>
        <v>2.5411340113924642E-2</v>
      </c>
      <c r="KV5" s="27">
        <f>IF(ISNUMBER(KV4),KV4*(1+PortfolioFrontier[[#This Row],[P77 Return]]),1+PortfolioFrontier[[#This Row],[P77 Return]])</f>
        <v>1.0292385677746212</v>
      </c>
      <c r="KW5" s="27">
        <f>MAX(KW4,PortfolioFrontier[[#This Row],[P77 Growth]])</f>
        <v>1.0292385677746212</v>
      </c>
      <c r="KX5" s="27">
        <f>PortfolioFrontier[[#This Row],[P77 Growth]]/PortfolioFrontier[[#This Row],[P77 HWM]]-1</f>
        <v>0</v>
      </c>
      <c r="KY5" s="28">
        <f>SUMPRODUCT(INDEX(PortfolioRef[[SPY]:[PE]],MATCH(KY$1,PortfolioRef[Reference '#]),0),AssetMonthlyReturns[[#This Row],[SPY]:[PE]])</f>
        <v>2.2489251108337407E-2</v>
      </c>
      <c r="KZ5" s="27">
        <f>IF(ISNUMBER(KZ4),KZ4*(1+PortfolioFrontier[[#This Row],[P78 Return]]),1+PortfolioFrontier[[#This Row],[P78 Return]])</f>
        <v>1.0252233463259148</v>
      </c>
      <c r="LA5" s="27">
        <f>MAX(LA4,PortfolioFrontier[[#This Row],[P78 Growth]])</f>
        <v>1.0252233463259148</v>
      </c>
      <c r="LB5" s="27">
        <f>PortfolioFrontier[[#This Row],[P78 Growth]]/PortfolioFrontier[[#This Row],[P78 HWM]]-1</f>
        <v>0</v>
      </c>
      <c r="LC5" s="28">
        <f>SUMPRODUCT(INDEX(PortfolioRef[[SPY]:[PE]],MATCH(LC$1,PortfolioRef[Reference '#]),0),AssetMonthlyReturns[[#This Row],[SPY]:[PE]])</f>
        <v>3.3353546572271422E-2</v>
      </c>
      <c r="LD5" s="27">
        <f>IF(ISNUMBER(LD4),LD4*(1+PortfolioFrontier[[#This Row],[P79 Return]]),1+PortfolioFrontier[[#This Row],[P79 Return]])</f>
        <v>1.0307843468901072</v>
      </c>
      <c r="LE5" s="27">
        <f>MAX(LE4,PortfolioFrontier[[#This Row],[P79 Growth]])</f>
        <v>1.0307843468901072</v>
      </c>
      <c r="LF5" s="27">
        <f>PortfolioFrontier[[#This Row],[P79 Growth]]/PortfolioFrontier[[#This Row],[P79 HWM]]-1</f>
        <v>0</v>
      </c>
      <c r="LG5" s="28">
        <f>SUMPRODUCT(INDEX(PortfolioRef[[SPY]:[PE]],MATCH(LG$1,PortfolioRef[Reference '#]),0),AssetMonthlyReturns[[#This Row],[SPY]:[PE]])</f>
        <v>3.0431457566684181E-2</v>
      </c>
      <c r="LH5" s="27">
        <f>IF(ISNUMBER(LH4),LH4*(1+PortfolioFrontier[[#This Row],[P80 Return]]),1+PortfolioFrontier[[#This Row],[P80 Return]])</f>
        <v>1.0267788906954636</v>
      </c>
      <c r="LI5" s="27">
        <f>MAX(LI4,PortfolioFrontier[[#This Row],[P80 Growth]])</f>
        <v>1.0267788906954636</v>
      </c>
      <c r="LJ5" s="27">
        <f>PortfolioFrontier[[#This Row],[P80 Growth]]/PortfolioFrontier[[#This Row],[P80 HWM]]-1</f>
        <v>0</v>
      </c>
      <c r="LK5" s="28">
        <f>SUMPRODUCT(INDEX(PortfolioRef[[SPY]:[PE]],MATCH(LK$1,PortfolioRef[Reference '#]),0),AssetMonthlyReturns[[#This Row],[SPY]:[PE]])</f>
        <v>2.7509368561096949E-2</v>
      </c>
      <c r="LL5" s="27">
        <f>IF(ISNUMBER(LL4),LL4*(1+PortfolioFrontier[[#This Row],[P81 Return]]),1+PortfolioFrontier[[#This Row],[P81 Return]])</f>
        <v>1.0227796201129442</v>
      </c>
      <c r="LM5" s="27">
        <f>MAX(LM4,PortfolioFrontier[[#This Row],[P81 Growth]])</f>
        <v>1.0227796201129442</v>
      </c>
      <c r="LN5" s="27">
        <f>PortfolioFrontier[[#This Row],[P81 Growth]]/PortfolioFrontier[[#This Row],[P81 HWM]]-1</f>
        <v>0</v>
      </c>
      <c r="LO5" s="28">
        <f>SUMPRODUCT(INDEX(PortfolioRef[[SPY]:[PE]],MATCH(LO$1,PortfolioRef[Reference '#]),0),AssetMonthlyReturns[[#This Row],[SPY]:[PE]])</f>
        <v>3.1856747739019808E-2</v>
      </c>
      <c r="LP5" s="27">
        <f>IF(ISNUMBER(LP4),LP4*(1+PortfolioFrontier[[#This Row],[P82 Return]]),1+PortfolioFrontier[[#This Row],[P82 Return]])</f>
        <v>1.033618276040424</v>
      </c>
      <c r="LQ5" s="27">
        <f>MAX(LQ4,PortfolioFrontier[[#This Row],[P82 Growth]])</f>
        <v>1.033618276040424</v>
      </c>
      <c r="LR5" s="27">
        <f>PortfolioFrontier[[#This Row],[P82 Growth]]/PortfolioFrontier[[#This Row],[P82 HWM]]-1</f>
        <v>0</v>
      </c>
      <c r="LS5" s="28">
        <f>SUMPRODUCT(INDEX(PortfolioRef[[SPY]:[PE]],MATCH(LS$1,PortfolioRef[Reference '#]),0),AssetMonthlyReturns[[#This Row],[SPY]:[PE]])</f>
        <v>2.893465873343257E-2</v>
      </c>
      <c r="LT5" s="27">
        <f>IF(ISNUMBER(LT4),LT4*(1+PortfolioFrontier[[#This Row],[P83 Return]]),1+PortfolioFrontier[[#This Row],[P83 Return]])</f>
        <v>1.0296021505517419</v>
      </c>
      <c r="LU5" s="27">
        <f>MAX(LU4,PortfolioFrontier[[#This Row],[P83 Growth]])</f>
        <v>1.0296021505517419</v>
      </c>
      <c r="LV5" s="27">
        <f>PortfolioFrontier[[#This Row],[P83 Growth]]/PortfolioFrontier[[#This Row],[P83 HWM]]-1</f>
        <v>0</v>
      </c>
      <c r="LW5" s="28">
        <f>SUMPRODUCT(INDEX(PortfolioRef[[SPY]:[PE]],MATCH(LW$1,PortfolioRef[Reference '#]),0),AssetMonthlyReturns[[#This Row],[SPY]:[PE]])</f>
        <v>2.6012569727845335E-2</v>
      </c>
      <c r="LX5" s="27">
        <f>IF(ISNUMBER(LX4),LX4*(1+PortfolioFrontier[[#This Row],[P84 Return]]),1+PortfolioFrontier[[#This Row],[P84 Return]])</f>
        <v>1.0255922106751842</v>
      </c>
      <c r="LY5" s="27">
        <f>MAX(LY4,PortfolioFrontier[[#This Row],[P84 Growth]])</f>
        <v>1.0255922106751842</v>
      </c>
      <c r="LZ5" s="27">
        <f>PortfolioFrontier[[#This Row],[P84 Growth]]/PortfolioFrontier[[#This Row],[P84 HWM]]-1</f>
        <v>0</v>
      </c>
      <c r="MA5" s="28">
        <f>SUMPRODUCT(INDEX(PortfolioRef[[SPY]:[PE]],MATCH(MA$1,PortfolioRef[Reference '#]),0),AssetMonthlyReturns[[#This Row],[SPY]:[PE]])</f>
        <v>3.0359948905768198E-2</v>
      </c>
      <c r="MB5" s="27">
        <f>IF(ISNUMBER(MB4),MB4*(1+PortfolioFrontier[[#This Row],[P85 Return]]),1+PortfolioFrontier[[#This Row],[P85 Return]])</f>
        <v>1.03643965178477</v>
      </c>
      <c r="MC5" s="27">
        <f>MAX(MC4,PortfolioFrontier[[#This Row],[P85 Growth]])</f>
        <v>1.03643965178477</v>
      </c>
      <c r="MD5" s="27">
        <f>PortfolioFrontier[[#This Row],[P85 Growth]]/PortfolioFrontier[[#This Row],[P85 HWM]]-1</f>
        <v>0</v>
      </c>
      <c r="ME5" s="28">
        <f>SUMPRODUCT(INDEX(PortfolioRef[[SPY]:[PE]],MATCH(ME$1,PortfolioRef[Reference '#]),0),AssetMonthlyReturns[[#This Row],[SPY]:[PE]])</f>
        <v>2.7437859900180959E-2</v>
      </c>
      <c r="MF5" s="27">
        <f>IF(ISNUMBER(MF4),MF4*(1+PortfolioFrontier[[#This Row],[P86 Return]]),1+PortfolioFrontier[[#This Row],[P86 Return]])</f>
        <v>1.0324128570020499</v>
      </c>
      <c r="MG5" s="27">
        <f>MAX(MG4,PortfolioFrontier[[#This Row],[P86 Growth]])</f>
        <v>1.0324128570020499</v>
      </c>
      <c r="MH5" s="27">
        <f>PortfolioFrontier[[#This Row],[P86 Growth]]/PortfolioFrontier[[#This Row],[P86 HWM]]-1</f>
        <v>0</v>
      </c>
      <c r="MI5" s="28">
        <f>SUMPRODUCT(INDEX(PortfolioRef[[SPY]:[PE]],MATCH(MI$1,PortfolioRef[Reference '#]),0),AssetMonthlyReturns[[#This Row],[SPY]:[PE]])</f>
        <v>2.4515770894593725E-2</v>
      </c>
      <c r="MJ5" s="27">
        <f>IF(ISNUMBER(MJ4),MJ4*(1+PortfolioFrontier[[#This Row],[P87 Return]]),1+PortfolioFrontier[[#This Row],[P87 Return]])</f>
        <v>1.0283922478314542</v>
      </c>
      <c r="MK5" s="27">
        <f>MAX(MK4,PortfolioFrontier[[#This Row],[P87 Growth]])</f>
        <v>1.0283922478314542</v>
      </c>
      <c r="ML5" s="27">
        <f>PortfolioFrontier[[#This Row],[P87 Growth]]/PortfolioFrontier[[#This Row],[P87 HWM]]-1</f>
        <v>0</v>
      </c>
      <c r="MM5" s="28">
        <f>SUMPRODUCT(INDEX(PortfolioRef[[SPY]:[PE]],MATCH(MM$1,PortfolioRef[Reference '#]),0),AssetMonthlyReturns[[#This Row],[SPY]:[PE]])</f>
        <v>3.5380066358527744E-2</v>
      </c>
      <c r="MN5" s="27">
        <f>IF(ISNUMBER(MN4),MN4*(1+PortfolioFrontier[[#This Row],[P88 Return]]),1+PortfolioFrontier[[#This Row],[P88 Return]])</f>
        <v>1.0339548478012794</v>
      </c>
      <c r="MO5" s="27">
        <f>MAX(MO4,PortfolioFrontier[[#This Row],[P88 Growth]])</f>
        <v>1.0339548478012794</v>
      </c>
      <c r="MP5" s="27">
        <f>PortfolioFrontier[[#This Row],[P88 Growth]]/PortfolioFrontier[[#This Row],[P88 HWM]]-1</f>
        <v>0</v>
      </c>
      <c r="MQ5" s="28">
        <f>SUMPRODUCT(INDEX(PortfolioRef[[SPY]:[PE]],MATCH(MQ$1,PortfolioRef[Reference '#]),0),AssetMonthlyReturns[[#This Row],[SPY]:[PE]])</f>
        <v>3.2457977352940502E-2</v>
      </c>
      <c r="MR5" s="27">
        <f>IF(ISNUMBER(MR4),MR4*(1+PortfolioFrontier[[#This Row],[P89 Return]]),1+PortfolioFrontier[[#This Row],[P89 Return]])</f>
        <v>1.0299440038847461</v>
      </c>
      <c r="MS5" s="27">
        <f>MAX(MS4,PortfolioFrontier[[#This Row],[P89 Growth]])</f>
        <v>1.0299440038847461</v>
      </c>
      <c r="MT5" s="27">
        <f>PortfolioFrontier[[#This Row],[P89 Growth]]/PortfolioFrontier[[#This Row],[P89 HWM]]-1</f>
        <v>0</v>
      </c>
      <c r="MU5" s="28">
        <f>SUMPRODUCT(INDEX(PortfolioRef[[SPY]:[PE]],MATCH(MU$1,PortfolioRef[Reference '#]),0),AssetMonthlyReturns[[#This Row],[SPY]:[PE]])</f>
        <v>2.9535888347353271E-2</v>
      </c>
      <c r="MV5" s="27">
        <f>IF(ISNUMBER(MV4),MV4*(1+PortfolioFrontier[[#This Row],[P90 Return]]),1+PortfolioFrontier[[#This Row],[P90 Return]])</f>
        <v>1.0259393455803372</v>
      </c>
      <c r="MW5" s="27">
        <f>MAX(MW4,PortfolioFrontier[[#This Row],[P90 Growth]])</f>
        <v>1.0259393455803372</v>
      </c>
      <c r="MX5" s="27">
        <f>PortfolioFrontier[[#This Row],[P90 Growth]]/PortfolioFrontier[[#This Row],[P90 HWM]]-1</f>
        <v>0</v>
      </c>
      <c r="MY5" s="28">
        <f>SUMPRODUCT(INDEX(PortfolioRef[[SPY]:[PE]],MATCH(MY$1,PortfolioRef[Reference '#]),0),AssetMonthlyReturns[[#This Row],[SPY]:[PE]])</f>
        <v>3.388326752527613E-2</v>
      </c>
      <c r="MZ5" s="27">
        <f>IF(ISNUMBER(MZ4),MZ4*(1+PortfolioFrontier[[#This Row],[P91 Return]]),1+PortfolioFrontier[[#This Row],[P91 Return]])</f>
        <v>1.0367956139138785</v>
      </c>
      <c r="NA5" s="27">
        <f>MAX(NA4,PortfolioFrontier[[#This Row],[P91 Growth]])</f>
        <v>1.0367956139138785</v>
      </c>
      <c r="NB5" s="27">
        <f>PortfolioFrontier[[#This Row],[P91 Growth]]/PortfolioFrontier[[#This Row],[P91 HWM]]-1</f>
        <v>0</v>
      </c>
      <c r="NC5" s="28">
        <f>SUMPRODUCT(INDEX(PortfolioRef[[SPY]:[PE]],MATCH(NC$1,PortfolioRef[Reference '#]),0),AssetMonthlyReturns[[#This Row],[SPY]:[PE]])</f>
        <v>3.0961178519688888E-2</v>
      </c>
      <c r="ND5" s="27">
        <f>IF(ISNUMBER(ND4),ND4*(1+PortfolioFrontier[[#This Row],[P92 Return]]),1+PortfolioFrontier[[#This Row],[P92 Return]])</f>
        <v>1.0327741007033071</v>
      </c>
      <c r="NE5" s="27">
        <f>MAX(NE4,PortfolioFrontier[[#This Row],[P92 Growth]])</f>
        <v>1.0327741007033071</v>
      </c>
      <c r="NF5" s="27">
        <f>PortfolioFrontier[[#This Row],[P92 Growth]]/PortfolioFrontier[[#This Row],[P92 HWM]]-1</f>
        <v>0</v>
      </c>
      <c r="NG5" s="28">
        <f>SUMPRODUCT(INDEX(PortfolioRef[[SPY]:[PE]],MATCH(NG$1,PortfolioRef[Reference '#]),0),AssetMonthlyReturns[[#This Row],[SPY]:[PE]])</f>
        <v>2.8039089514101653E-2</v>
      </c>
      <c r="NH5" s="27">
        <f>IF(ISNUMBER(NH4),NH4*(1+PortfolioFrontier[[#This Row],[P93 Return]]),1+PortfolioFrontier[[#This Row],[P93 Return]])</f>
        <v>1.02875877310486</v>
      </c>
      <c r="NI5" s="27">
        <f>MAX(NI4,PortfolioFrontier[[#This Row],[P93 Growth]])</f>
        <v>1.02875877310486</v>
      </c>
      <c r="NJ5" s="27">
        <f>PortfolioFrontier[[#This Row],[P93 Growth]]/PortfolioFrontier[[#This Row],[P93 HWM]]-1</f>
        <v>0</v>
      </c>
      <c r="NK5" s="28">
        <f>SUMPRODUCT(INDEX(PortfolioRef[[SPY]:[PE]],MATCH(NK$1,PortfolioRef[Reference '#]),0),AssetMonthlyReturns[[#This Row],[SPY]:[PE]])</f>
        <v>3.2386468692024516E-2</v>
      </c>
      <c r="NL5" s="27">
        <f>IF(ISNUMBER(NL4),NL4*(1+PortfolioFrontier[[#This Row],[P94 Return]]),1+PortfolioFrontier[[#This Row],[P94 Return]])</f>
        <v>1.0396238266205078</v>
      </c>
      <c r="NM5" s="27">
        <f>MAX(NM4,PortfolioFrontier[[#This Row],[P94 Growth]])</f>
        <v>1.0396238266205078</v>
      </c>
      <c r="NN5" s="27">
        <f>PortfolioFrontier[[#This Row],[P94 Growth]]/PortfolioFrontier[[#This Row],[P94 HWM]]-1</f>
        <v>0</v>
      </c>
      <c r="NO5" s="28">
        <f>SUMPRODUCT(INDEX(PortfolioRef[[SPY]:[PE]],MATCH(NO$1,PortfolioRef[Reference '#]),0),AssetMonthlyReturns[[#This Row],[SPY]:[PE]])</f>
        <v>2.9464379686437281E-2</v>
      </c>
      <c r="NP5" s="27">
        <f>IF(ISNUMBER(NP4),NP4*(1+PortfolioFrontier[[#This Row],[P95 Return]]),1+PortfolioFrontier[[#This Row],[P95 Return]])</f>
        <v>1.0355916441158983</v>
      </c>
      <c r="NQ5" s="27">
        <f>MAX(NQ4,PortfolioFrontier[[#This Row],[P95 Growth]])</f>
        <v>1.0355916441158983</v>
      </c>
      <c r="NR5" s="27">
        <f>PortfolioFrontier[[#This Row],[P95 Growth]]/PortfolioFrontier[[#This Row],[P95 HWM]]-1</f>
        <v>0</v>
      </c>
      <c r="NS5" s="28">
        <f>SUMPRODUCT(INDEX(PortfolioRef[[SPY]:[PE]],MATCH(NS$1,PortfolioRef[Reference '#]),0),AssetMonthlyReturns[[#This Row],[SPY]:[PE]])</f>
        <v>2.6542290680850043E-2</v>
      </c>
      <c r="NT5" s="27">
        <f>IF(ISNUMBER(NT4),NT4*(1+PortfolioFrontier[[#This Row],[P96 Return]]),1+PortfolioFrontier[[#This Row],[P96 Return]])</f>
        <v>1.0315656472234129</v>
      </c>
      <c r="NU5" s="27">
        <f>MAX(NU4,PortfolioFrontier[[#This Row],[P96 Growth]])</f>
        <v>1.0315656472234129</v>
      </c>
      <c r="NV5" s="27">
        <f>PortfolioFrontier[[#This Row],[P96 Growth]]/PortfolioFrontier[[#This Row],[P96 HWM]]-1</f>
        <v>0</v>
      </c>
      <c r="NW5" s="28">
        <f>SUMPRODUCT(INDEX(PortfolioRef[[SPY]:[PE]],MATCH(NW$1,PortfolioRef[Reference '#]),0),AssetMonthlyReturns[[#This Row],[SPY]:[PE]])</f>
        <v>2.3301088835344139E-2</v>
      </c>
      <c r="NX5" s="27">
        <f>IF(ISNUMBER(NX4),NX4*(1+PortfolioFrontier[[#This Row],[P97 Return]]),1+PortfolioFrontier[[#This Row],[P97 Return]])</f>
        <v>1.0239411302234041</v>
      </c>
      <c r="NY5" s="27">
        <f>MAX(NY4,PortfolioFrontier[[#This Row],[P97 Growth]])</f>
        <v>1.0239411302234041</v>
      </c>
      <c r="NZ5" s="27">
        <f>PortfolioFrontier[[#This Row],[P97 Growth]]/PortfolioFrontier[[#This Row],[P97 HWM]]-1</f>
        <v>0</v>
      </c>
      <c r="OA5" s="28">
        <f>SUMPRODUCT(INDEX(PortfolioRef[[SPY]:[PE]],MATCH(OA$1,PortfolioRef[Reference '#]),0),AssetMonthlyReturns[[#This Row],[SPY]:[PE]])</f>
        <v>2.6824407454852067E-2</v>
      </c>
      <c r="OB5" s="27">
        <f>IF(ISNUMBER(OB4),OB4*(1+PortfolioFrontier[[#This Row],[P98 Return]]),1+PortfolioFrontier[[#This Row],[P98 Return]])</f>
        <v>1.0243002736479891</v>
      </c>
      <c r="OC5" s="27">
        <f>MAX(OC4,PortfolioFrontier[[#This Row],[P98 Growth]])</f>
        <v>1.0243002736479891</v>
      </c>
      <c r="OD5" s="27">
        <f>PortfolioFrontier[[#This Row],[P98 Growth]]/PortfolioFrontier[[#This Row],[P98 HWM]]-1</f>
        <v>0</v>
      </c>
      <c r="OE5" s="28">
        <f>SUMPRODUCT(INDEX(PortfolioRef[[SPY]:[PE]],MATCH(OE$1,PortfolioRef[Reference '#]),0),AssetMonthlyReturns[[#This Row],[SPY]:[PE]])</f>
        <v>2.532760862160046E-2</v>
      </c>
      <c r="OF5" s="27">
        <f>IF(ISNUMBER(OF4),OF4*(1+PortfolioFrontier[[#This Row],[P99 Return]]),1+PortfolioFrontier[[#This Row],[P99 Return]])</f>
        <v>1.0271067813603467</v>
      </c>
      <c r="OG5" s="27">
        <f>MAX(OG4,PortfolioFrontier[[#This Row],[P99 Growth]])</f>
        <v>1.0271067813603467</v>
      </c>
      <c r="OH5" s="27">
        <f>PortfolioFrontier[[#This Row],[P99 Growth]]/PortfolioFrontier[[#This Row],[P99 HWM]]-1</f>
        <v>0</v>
      </c>
      <c r="OI5" s="28">
        <f>SUMPRODUCT(INDEX(PortfolioRef[[SPY]:[PE]],MATCH(OI$1,PortfolioRef[Reference '#]),0),AssetMonthlyReturns[[#This Row],[SPY]:[PE]])</f>
        <v>2.2405519616013218E-2</v>
      </c>
      <c r="OJ5" s="27">
        <f>IF(ISNUMBER(OJ4),OJ4*(1+PortfolioFrontier[[#This Row],[P100 Return]]),1+PortfolioFrontier[[#This Row],[P100 Return]])</f>
        <v>1.0230974844117358</v>
      </c>
      <c r="OK5" s="27">
        <f>MAX(OK4,PortfolioFrontier[[#This Row],[P100 Growth]])</f>
        <v>1.0230974844117358</v>
      </c>
      <c r="OL5" s="27">
        <f>PortfolioFrontier[[#This Row],[P100 Growth]]/PortfolioFrontier[[#This Row],[P100 HWM]]-1</f>
        <v>0</v>
      </c>
      <c r="OM5" s="28">
        <f>SUMPRODUCT(INDEX(PortfolioRef[[SPY]:[PE]],MATCH(OM$1,PortfolioRef[Reference '#]),0),AssetMonthlyReturns[[#This Row],[SPY]:[PE]])</f>
        <v>3.0347726074360003E-2</v>
      </c>
      <c r="ON5" s="27">
        <f>IF(ISNUMBER(ON4),ON4*(1+PortfolioFrontier[[#This Row],[P101 Return]]),1+PortfolioFrontier[[#This Row],[P101 Return]])</f>
        <v>1.024637687628458</v>
      </c>
      <c r="OO5" s="27">
        <f>MAX(OO4,PortfolioFrontier[[#This Row],[P101 Growth]])</f>
        <v>1.024637687628458</v>
      </c>
      <c r="OP5" s="27">
        <f>PortfolioFrontier[[#This Row],[P101 Growth]]/PortfolioFrontier[[#This Row],[P101 HWM]]-1</f>
        <v>0</v>
      </c>
      <c r="OQ5" s="28">
        <f>SUMPRODUCT(INDEX(PortfolioRef[[SPY]:[PE]],MATCH(OQ$1,PortfolioRef[Reference '#]),0),AssetMonthlyReturns[[#This Row],[SPY]:[PE]])</f>
        <v>2.8850927241108389E-2</v>
      </c>
      <c r="OR5" s="27">
        <f>IF(ISNUMBER(OR4),OR4*(1+PortfolioFrontier[[#This Row],[P102 Return]]),1+PortfolioFrontier[[#This Row],[P102 Return]])</f>
        <v>1.0274635857090682</v>
      </c>
      <c r="OS5" s="27">
        <f>MAX(OS4,PortfolioFrontier[[#This Row],[P102 Growth]])</f>
        <v>1.0274635857090682</v>
      </c>
      <c r="OT5" s="27">
        <f>PortfolioFrontier[[#This Row],[P102 Growth]]/PortfolioFrontier[[#This Row],[P102 HWM]]-1</f>
        <v>0</v>
      </c>
      <c r="OU5" s="28">
        <f>SUMPRODUCT(INDEX(PortfolioRef[[SPY]:[PE]],MATCH(OU$1,PortfolioRef[Reference '#]),0),AssetMonthlyReturns[[#This Row],[SPY]:[PE]])</f>
        <v>2.5928838235521147E-2</v>
      </c>
      <c r="OV5" s="27">
        <f>IF(ISNUMBER(OV4),OV4*(1+PortfolioFrontier[[#This Row],[P103 Return]]),1+PortfolioFrontier[[#This Row],[P103 Return]])</f>
        <v>1.0234595703326059</v>
      </c>
      <c r="OW5" s="27">
        <f>MAX(OW4,PortfolioFrontier[[#This Row],[P103 Growth]])</f>
        <v>1.0234595703326059</v>
      </c>
      <c r="OX5" s="27">
        <f>PortfolioFrontier[[#This Row],[P103 Growth]]/PortfolioFrontier[[#This Row],[P103 HWM]]-1</f>
        <v>0</v>
      </c>
      <c r="OY5" s="28">
        <f>SUMPRODUCT(INDEX(PortfolioRef[[SPY]:[PE]],MATCH(OY$1,PortfolioRef[Reference '#]),0),AssetMonthlyReturns[[#This Row],[SPY]:[PE]])</f>
        <v>2.7354128407856778E-2</v>
      </c>
      <c r="OZ5" s="27">
        <f>IF(ISNUMBER(OZ4),OZ4*(1+PortfolioFrontier[[#This Row],[P104 Return]]),1+PortfolioFrontier[[#This Row],[P104 Return]])</f>
        <v>1.0302769303837085</v>
      </c>
      <c r="PA5" s="27">
        <f>MAX(PA4,PortfolioFrontier[[#This Row],[P104 Growth]])</f>
        <v>1.0302769303837085</v>
      </c>
      <c r="PB5" s="27">
        <f>PortfolioFrontier[[#This Row],[P104 Growth]]/PortfolioFrontier[[#This Row],[P104 HWM]]-1</f>
        <v>0</v>
      </c>
      <c r="PC5" s="28">
        <f>SUMPRODUCT(INDEX(PortfolioRef[[SPY]:[PE]],MATCH(PC$1,PortfolioRef[Reference '#]),0),AssetMonthlyReturns[[#This Row],[SPY]:[PE]])</f>
        <v>2.443203940226954E-2</v>
      </c>
      <c r="PD5" s="27">
        <f>IF(ISNUMBER(PD4),PD4*(1+PortfolioFrontier[[#This Row],[P105 Return]]),1+PortfolioFrontier[[#This Row],[P105 Return]])</f>
        <v>1.026262245713208</v>
      </c>
      <c r="PE5" s="27">
        <f>MAX(PE4,PortfolioFrontier[[#This Row],[P105 Growth]])</f>
        <v>1.026262245713208</v>
      </c>
      <c r="PF5" s="27">
        <f>PortfolioFrontier[[#This Row],[P105 Growth]]/PortfolioFrontier[[#This Row],[P105 HWM]]-1</f>
        <v>0</v>
      </c>
      <c r="PG5" s="28">
        <f>SUMPRODUCT(INDEX(PortfolioRef[[SPY]:[PE]],MATCH(PG$1,PortfolioRef[Reference '#]),0),AssetMonthlyReturns[[#This Row],[SPY]:[PE]])</f>
        <v>2.1509950396682301E-2</v>
      </c>
      <c r="PH5" s="27">
        <f>IF(ISNUMBER(PH4),PH4*(1+PortfolioFrontier[[#This Row],[P106 Return]]),1+PortfolioFrontier[[#This Row],[P106 Return]])</f>
        <v>1.0222537466548318</v>
      </c>
      <c r="PI5" s="27">
        <f>MAX(PI4,PortfolioFrontier[[#This Row],[P106 Growth]])</f>
        <v>1.0222537466548318</v>
      </c>
      <c r="PJ5" s="27">
        <f>PortfolioFrontier[[#This Row],[P106 Growth]]/PortfolioFrontier[[#This Row],[P106 HWM]]-1</f>
        <v>0</v>
      </c>
      <c r="PK5" s="28">
        <f>SUMPRODUCT(INDEX(PortfolioRef[[SPY]:[PE]],MATCH(PK$1,PortfolioRef[Reference '#]),0),AssetMonthlyReturns[[#This Row],[SPY]:[PE]])</f>
        <v>3.2374245860616324E-2</v>
      </c>
      <c r="PL5" s="27">
        <f>IF(ISNUMBER(PL4),PL4*(1+PortfolioFrontier[[#This Row],[P107 Return]]),1+PortfolioFrontier[[#This Row],[P107 Return]])</f>
        <v>1.0277986606136731</v>
      </c>
      <c r="PM5" s="27">
        <f>MAX(PM4,PortfolioFrontier[[#This Row],[P107 Growth]])</f>
        <v>1.0277986606136731</v>
      </c>
      <c r="PN5" s="27">
        <f>PortfolioFrontier[[#This Row],[P107 Growth]]/PortfolioFrontier[[#This Row],[P107 HWM]]-1</f>
        <v>0</v>
      </c>
      <c r="PO5" s="28">
        <f>SUMPRODUCT(INDEX(PortfolioRef[[SPY]:[PE]],MATCH(PO$1,PortfolioRef[Reference '#]),0),AssetMonthlyReturns[[#This Row],[SPY]:[PE]])</f>
        <v>2.9452156855029082E-2</v>
      </c>
      <c r="PP5" s="27">
        <f>IF(ISNUMBER(PP4),PP4*(1+PortfolioFrontier[[#This Row],[P108 Return]]),1+PortfolioFrontier[[#This Row],[P108 Return]])</f>
        <v>1.0237999268093596</v>
      </c>
      <c r="PQ5" s="27">
        <f>MAX(PQ4,PortfolioFrontier[[#This Row],[P108 Growth]])</f>
        <v>1.0237999268093596</v>
      </c>
      <c r="PR5" s="27">
        <f>PortfolioFrontier[[#This Row],[P108 Growth]]/PortfolioFrontier[[#This Row],[P108 HWM]]-1</f>
        <v>0</v>
      </c>
      <c r="PS5" s="28">
        <f>SUMPRODUCT(INDEX(PortfolioRef[[SPY]:[PE]],MATCH(PS$1,PortfolioRef[Reference '#]),0),AssetMonthlyReturns[[#This Row],[SPY]:[PE]])</f>
        <v>3.0877447027364707E-2</v>
      </c>
      <c r="PT5" s="27">
        <f>IF(ISNUMBER(PT4),PT4*(1+PortfolioFrontier[[#This Row],[P109 Return]]),1+PortfolioFrontier[[#This Row],[P109 Return]])</f>
        <v>1.0306313956565665</v>
      </c>
      <c r="PU5" s="27">
        <f>MAX(PU4,PortfolioFrontier[[#This Row],[P109 Growth]])</f>
        <v>1.0306313956565665</v>
      </c>
      <c r="PV5" s="27">
        <f>PortfolioFrontier[[#This Row],[P109 Growth]]/PortfolioFrontier[[#This Row],[P109 HWM]]-1</f>
        <v>0</v>
      </c>
      <c r="PW5" s="28">
        <f>SUMPRODUCT(INDEX(PortfolioRef[[SPY]:[PE]],MATCH(PW$1,PortfolioRef[Reference '#]),0),AssetMonthlyReturns[[#This Row],[SPY]:[PE]])</f>
        <v>2.7955358021777468E-2</v>
      </c>
      <c r="PX5" s="27">
        <f>IF(ISNUMBER(PX4),PX4*(1+PortfolioFrontier[[#This Row],[P110 Return]]),1+PortfolioFrontier[[#This Row],[P110 Return]])</f>
        <v>1.0266219925582147</v>
      </c>
      <c r="PY5" s="27">
        <f>MAX(PY4,PortfolioFrontier[[#This Row],[P110 Growth]])</f>
        <v>1.0266219925582147</v>
      </c>
      <c r="PZ5" s="27">
        <f>PortfolioFrontier[[#This Row],[P110 Growth]]/PortfolioFrontier[[#This Row],[P110 HWM]]-1</f>
        <v>0</v>
      </c>
      <c r="QA5" s="28">
        <f>SUMPRODUCT(INDEX(PortfolioRef[[SPY]:[PE]],MATCH(QA$1,PortfolioRef[Reference '#]),0),AssetMonthlyReturns[[#This Row],[SPY]:[PE]])</f>
        <v>2.503326901619023E-2</v>
      </c>
      <c r="QB5" s="27">
        <f>IF(ISNUMBER(QB4),QB4*(1+PortfolioFrontier[[#This Row],[P111 Return]]),1+PortfolioFrontier[[#This Row],[P111 Return]])</f>
        <v>1.0226187750719873</v>
      </c>
      <c r="QC5" s="27">
        <f>MAX(QC4,PortfolioFrontier[[#This Row],[P111 Growth]])</f>
        <v>1.0226187750719873</v>
      </c>
      <c r="QD5" s="27">
        <f>PortfolioFrontier[[#This Row],[P111 Growth]]/PortfolioFrontier[[#This Row],[P111 HWM]]-1</f>
        <v>0</v>
      </c>
      <c r="QE5" s="28">
        <f>SUMPRODUCT(INDEX(PortfolioRef[[SPY]:[PE]],MATCH(QE$1,PortfolioRef[Reference '#]),0),AssetMonthlyReturns[[#This Row],[SPY]:[PE]])</f>
        <v>2.9380648194113096E-2</v>
      </c>
      <c r="QF5" s="27">
        <f>IF(ISNUMBER(QF4),QF4*(1+PortfolioFrontier[[#This Row],[P112 Return]]),1+PortfolioFrontier[[#This Row],[P112 Return]])</f>
        <v>1.0334515772934896</v>
      </c>
      <c r="QG5" s="27">
        <f>MAX(QG4,PortfolioFrontier[[#This Row],[P112 Growth]])</f>
        <v>1.0334515772934896</v>
      </c>
      <c r="QH5" s="27">
        <f>PortfolioFrontier[[#This Row],[P112 Growth]]/PortfolioFrontier[[#This Row],[P112 HWM]]-1</f>
        <v>0</v>
      </c>
      <c r="QI5" s="28">
        <f>SUMPRODUCT(INDEX(PortfolioRef[[SPY]:[PE]],MATCH(QI$1,PortfolioRef[Reference '#]),0),AssetMonthlyReturns[[#This Row],[SPY]:[PE]])</f>
        <v>2.6458559188525861E-2</v>
      </c>
      <c r="QJ5" s="27">
        <f>IF(ISNUMBER(QJ4),QJ4*(1+PortfolioFrontier[[#This Row],[P113 Return]]),1+PortfolioFrontier[[#This Row],[P113 Return]])</f>
        <v>1.0294315049010998</v>
      </c>
      <c r="QK5" s="27">
        <f>MAX(QK4,PortfolioFrontier[[#This Row],[P113 Growth]])</f>
        <v>1.0294315049010998</v>
      </c>
      <c r="QL5" s="27">
        <f>PortfolioFrontier[[#This Row],[P113 Growth]]/PortfolioFrontier[[#This Row],[P113 HWM]]-1</f>
        <v>0</v>
      </c>
      <c r="QM5" s="28">
        <f>SUMPRODUCT(INDEX(PortfolioRef[[SPY]:[PE]],MATCH(QM$1,PortfolioRef[Reference '#]),0),AssetMonthlyReturns[[#This Row],[SPY]:[PE]])</f>
        <v>2.3536470182938623E-2</v>
      </c>
      <c r="QN5" s="27">
        <f>IF(ISNUMBER(QN4),QN4*(1+PortfolioFrontier[[#This Row],[P114 Return]]),1+PortfolioFrontier[[#This Row],[P114 Return]])</f>
        <v>1.0254176181208341</v>
      </c>
      <c r="QO5" s="27">
        <f>MAX(QO4,PortfolioFrontier[[#This Row],[P114 Growth]])</f>
        <v>1.0254176181208341</v>
      </c>
      <c r="QP5" s="27">
        <f>PortfolioFrontier[[#This Row],[P114 Growth]]/PortfolioFrontier[[#This Row],[P114 HWM]]-1</f>
        <v>0</v>
      </c>
      <c r="QQ5" s="28">
        <f>SUMPRODUCT(INDEX(PortfolioRef[[SPY]:[PE]],MATCH(QQ$1,PortfolioRef[Reference '#]),0),AssetMonthlyReturns[[#This Row],[SPY]:[PE]])</f>
        <v>3.4400765646872646E-2</v>
      </c>
      <c r="QR5" s="27">
        <f>IF(ISNUMBER(QR4),QR4*(1+PortfolioFrontier[[#This Row],[P115 Return]]),1+PortfolioFrontier[[#This Row],[P115 Return]])</f>
        <v>1.030964131485308</v>
      </c>
      <c r="QS5" s="27">
        <f>MAX(QS4,PortfolioFrontier[[#This Row],[P115 Growth]])</f>
        <v>1.030964131485308</v>
      </c>
      <c r="QT5" s="27">
        <f>PortfolioFrontier[[#This Row],[P115 Growth]]/PortfolioFrontier[[#This Row],[P115 HWM]]-1</f>
        <v>0</v>
      </c>
      <c r="QU5" s="28">
        <f>SUMPRODUCT(INDEX(PortfolioRef[[SPY]:[PE]],MATCH(QU$1,PortfolioRef[Reference '#]),0),AssetMonthlyReturns[[#This Row],[SPY]:[PE]])</f>
        <v>3.1478676641285404E-2</v>
      </c>
      <c r="QV5" s="27">
        <f>IF(ISNUMBER(QV4),QV4*(1+PortfolioFrontier[[#This Row],[P116 Return]]),1+PortfolioFrontier[[#This Row],[P116 Return]])</f>
        <v>1.0269600099591047</v>
      </c>
      <c r="QW5" s="27">
        <f>MAX(QW4,PortfolioFrontier[[#This Row],[P116 Growth]])</f>
        <v>1.0269600099591047</v>
      </c>
      <c r="QX5" s="27">
        <f>PortfolioFrontier[[#This Row],[P116 Growth]]/PortfolioFrontier[[#This Row],[P116 HWM]]-1</f>
        <v>0</v>
      </c>
      <c r="QY5" s="28">
        <f>SUMPRODUCT(INDEX(PortfolioRef[[SPY]:[PE]],MATCH(QY$1,PortfolioRef[Reference '#]),0),AssetMonthlyReturns[[#This Row],[SPY]:[PE]])</f>
        <v>2.8556587635698166E-2</v>
      </c>
      <c r="QZ5" s="27">
        <f>IF(ISNUMBER(QZ4),QZ4*(1+PortfolioFrontier[[#This Row],[P117 Return]]),1+PortfolioFrontier[[#This Row],[P117 Return]])</f>
        <v>1.022962074045026</v>
      </c>
      <c r="RA5" s="27">
        <f>MAX(RA4,PortfolioFrontier[[#This Row],[P117 Growth]])</f>
        <v>1.022962074045026</v>
      </c>
      <c r="RB5" s="27">
        <f>PortfolioFrontier[[#This Row],[P117 Growth]]/PortfolioFrontier[[#This Row],[P117 HWM]]-1</f>
        <v>0</v>
      </c>
      <c r="RC5" s="28">
        <f>SUMPRODUCT(INDEX(PortfolioRef[[SPY]:[PE]],MATCH(RC$1,PortfolioRef[Reference '#]),0),AssetMonthlyReturns[[#This Row],[SPY]:[PE]])</f>
        <v>3.2903966813621031E-2</v>
      </c>
      <c r="RD5" s="27">
        <f>IF(ISNUMBER(RD4),RD4*(1+PortfolioFrontier[[#This Row],[P118 Return]]),1+PortfolioFrontier[[#This Row],[P118 Return]])</f>
        <v>1.0338037034904843</v>
      </c>
      <c r="RE5" s="27">
        <f>MAX(RE4,PortfolioFrontier[[#This Row],[P118 Growth]])</f>
        <v>1.0338037034904843</v>
      </c>
      <c r="RF5" s="27">
        <f>PortfolioFrontier[[#This Row],[P118 Growth]]/PortfolioFrontier[[#This Row],[P118 HWM]]-1</f>
        <v>0</v>
      </c>
      <c r="RG5" s="28">
        <f>SUMPRODUCT(INDEX(PortfolioRef[[SPY]:[PE]],MATCH(RG$1,PortfolioRef[Reference '#]),0),AssetMonthlyReturns[[#This Row],[SPY]:[PE]])</f>
        <v>2.998187780803379E-2</v>
      </c>
      <c r="RH5" s="27">
        <f>IF(ISNUMBER(RH4),RH4*(1+PortfolioFrontier[[#This Row],[P119 Return]]),1+PortfolioFrontier[[#This Row],[P119 Return]])</f>
        <v>1.0297889126702431</v>
      </c>
      <c r="RI5" s="27">
        <f>MAX(RI4,PortfolioFrontier[[#This Row],[P119 Growth]])</f>
        <v>1.0297889126702431</v>
      </c>
      <c r="RJ5" s="27">
        <f>PortfolioFrontier[[#This Row],[P119 Growth]]/PortfolioFrontier[[#This Row],[P119 HWM]]-1</f>
        <v>0</v>
      </c>
      <c r="RK5" s="28">
        <f>SUMPRODUCT(INDEX(PortfolioRef[[SPY]:[PE]],MATCH(RK$1,PortfolioRef[Reference '#]),0),AssetMonthlyReturns[[#This Row],[SPY]:[PE]])</f>
        <v>2.7059788802446551E-2</v>
      </c>
      <c r="RL5" s="27">
        <f>IF(ISNUMBER(RL4),RL4*(1+PortfolioFrontier[[#This Row],[P120 Return]]),1+PortfolioFrontier[[#This Row],[P120 Return]])</f>
        <v>1.0257803074621259</v>
      </c>
      <c r="RM5" s="27">
        <f>MAX(RM4,PortfolioFrontier[[#This Row],[P120 Growth]])</f>
        <v>1.0257803074621259</v>
      </c>
      <c r="RN5" s="27">
        <f>PortfolioFrontier[[#This Row],[P120 Growth]]/PortfolioFrontier[[#This Row],[P120 HWM]]-1</f>
        <v>0</v>
      </c>
      <c r="RO5" s="28">
        <f>SUMPRODUCT(INDEX(PortfolioRef[[SPY]:[PE]],MATCH(RO$1,PortfolioRef[Reference '#]),0),AssetMonthlyReturns[[#This Row],[SPY]:[PE]])</f>
        <v>3.1407167980369417E-2</v>
      </c>
      <c r="RP5" s="27">
        <f>IF(ISNUMBER(RP4),RP4*(1+PortfolioFrontier[[#This Row],[P121 Return]]),1+PortfolioFrontier[[#This Row],[P121 Return]])</f>
        <v>1.0366307220896904</v>
      </c>
      <c r="RQ5" s="27">
        <f>MAX(RQ4,PortfolioFrontier[[#This Row],[P121 Growth]])</f>
        <v>1.0366307220896904</v>
      </c>
      <c r="RR5" s="27">
        <f>PortfolioFrontier[[#This Row],[P121 Growth]]/PortfolioFrontier[[#This Row],[P121 HWM]]-1</f>
        <v>0</v>
      </c>
      <c r="RS5" s="28">
        <f>SUMPRODUCT(INDEX(PortfolioRef[[SPY]:[PE]],MATCH(RS$1,PortfolioRef[Reference '#]),0),AssetMonthlyReturns[[#This Row],[SPY]:[PE]])</f>
        <v>2.8485078974782179E-2</v>
      </c>
      <c r="RT5" s="27">
        <f>IF(ISNUMBER(RT4),RT4*(1+PortfolioFrontier[[#This Row],[P122 Return]]),1+PortfolioFrontier[[#This Row],[P122 Return]])</f>
        <v>1.0326052619754109</v>
      </c>
      <c r="RU5" s="27">
        <f>MAX(RU4,PortfolioFrontier[[#This Row],[P122 Growth]])</f>
        <v>1.0326052619754109</v>
      </c>
      <c r="RV5" s="27">
        <f>PortfolioFrontier[[#This Row],[P122 Growth]]/PortfolioFrontier[[#This Row],[P122 HWM]]-1</f>
        <v>0</v>
      </c>
      <c r="RW5" s="28">
        <f>SUMPRODUCT(INDEX(PortfolioRef[[SPY]:[PE]],MATCH(RW$1,PortfolioRef[Reference '#]),0),AssetMonthlyReturns[[#This Row],[SPY]:[PE]])</f>
        <v>2.5562989969194944E-2</v>
      </c>
      <c r="RX5" s="27">
        <f>IF(ISNUMBER(RX4),RX4*(1+PortfolioFrontier[[#This Row],[P123 Return]]),1+PortfolioFrontier[[#This Row],[P123 Return]])</f>
        <v>1.0285859874732555</v>
      </c>
      <c r="RY5" s="27">
        <f>MAX(RY4,PortfolioFrontier[[#This Row],[P123 Growth]])</f>
        <v>1.0285859874732555</v>
      </c>
      <c r="RZ5" s="27">
        <f>PortfolioFrontier[[#This Row],[P123 Growth]]/PortfolioFrontier[[#This Row],[P123 HWM]]-1</f>
        <v>0</v>
      </c>
      <c r="SA5" s="28">
        <f>SUMPRODUCT(INDEX(PortfolioRef[[SPY]:[PE]],MATCH(SA$1,PortfolioRef[Reference '#]),0),AssetMonthlyReturns[[#This Row],[SPY]:[PE]])</f>
        <v>3.642728543312896E-2</v>
      </c>
      <c r="SB5" s="27">
        <f>IF(ISNUMBER(SB4),SB4*(1+PortfolioFrontier[[#This Row],[P124 Return]]),1+PortfolioFrontier[[#This Row],[P124 Return]])</f>
        <v>1.0341341002433622</v>
      </c>
      <c r="SC5" s="27">
        <f>MAX(SC4,PortfolioFrontier[[#This Row],[P124 Growth]])</f>
        <v>1.0341341002433622</v>
      </c>
      <c r="SD5" s="27">
        <f>PortfolioFrontier[[#This Row],[P124 Growth]]/PortfolioFrontier[[#This Row],[P124 HWM]]-1</f>
        <v>0</v>
      </c>
      <c r="SE5" s="28">
        <f>SUMPRODUCT(INDEX(PortfolioRef[[SPY]:[PE]],MATCH(SE$1,PortfolioRef[Reference '#]),0),AssetMonthlyReturns[[#This Row],[SPY]:[PE]])</f>
        <v>3.3505196427541718E-2</v>
      </c>
      <c r="SF5" s="27">
        <f>IF(ISNUMBER(SF4),SF4*(1+PortfolioFrontier[[#This Row],[P125 Return]]),1+PortfolioFrontier[[#This Row],[P125 Return]])</f>
        <v>1.0301245909952694</v>
      </c>
      <c r="SG5" s="27">
        <f>MAX(SG4,PortfolioFrontier[[#This Row],[P125 Growth]])</f>
        <v>1.0301245909952694</v>
      </c>
      <c r="SH5" s="27">
        <f>PortfolioFrontier[[#This Row],[P125 Growth]]/PortfolioFrontier[[#This Row],[P125 HWM]]-1</f>
        <v>0</v>
      </c>
      <c r="SI5" s="28">
        <f>SUMPRODUCT(INDEX(PortfolioRef[[SPY]:[PE]],MATCH(SI$1,PortfolioRef[Reference '#]),0),AssetMonthlyReturns[[#This Row],[SPY]:[PE]])</f>
        <v>3.0583107421954487E-2</v>
      </c>
      <c r="SJ5" s="27">
        <f>IF(ISNUMBER(SJ4),SJ4*(1+PortfolioFrontier[[#This Row],[P126 Return]]),1+PortfolioFrontier[[#This Row],[P126 Return]])</f>
        <v>1.026121267359301</v>
      </c>
      <c r="SK5" s="27">
        <f>MAX(SK4,PortfolioFrontier[[#This Row],[P126 Growth]])</f>
        <v>1.026121267359301</v>
      </c>
      <c r="SL5" s="27">
        <f>PortfolioFrontier[[#This Row],[P126 Growth]]/PortfolioFrontier[[#This Row],[P126 HWM]]-1</f>
        <v>0</v>
      </c>
      <c r="SM5" s="28">
        <f>SUMPRODUCT(INDEX(PortfolioRef[[SPY]:[PE]],MATCH(SM$1,PortfolioRef[Reference '#]),0),AssetMonthlyReturns[[#This Row],[SPY]:[PE]])</f>
        <v>3.4930486599877346E-2</v>
      </c>
      <c r="SN5" s="27">
        <f>IF(ISNUMBER(SN4),SN4*(1+PortfolioFrontier[[#This Row],[P127 Return]]),1+PortfolioFrontier[[#This Row],[P127 Return]])</f>
        <v>1.0369805092108215</v>
      </c>
      <c r="SO5" s="27">
        <f>MAX(SO4,PortfolioFrontier[[#This Row],[P127 Growth]])</f>
        <v>1.0369805092108215</v>
      </c>
      <c r="SP5" s="27">
        <f>PortfolioFrontier[[#This Row],[P127 Growth]]/PortfolioFrontier[[#This Row],[P127 HWM]]-1</f>
        <v>0</v>
      </c>
      <c r="SQ5" s="28">
        <f>SUMPRODUCT(INDEX(PortfolioRef[[SPY]:[PE]],MATCH(SQ$1,PortfolioRef[Reference '#]),0),AssetMonthlyReturns[[#This Row],[SPY]:[PE]])</f>
        <v>3.2008397594290111E-2</v>
      </c>
      <c r="SR5" s="27">
        <f>IF(ISNUMBER(SR4),SR4*(1+PortfolioFrontier[[#This Row],[P128 Return]]),1+PortfolioFrontier[[#This Row],[P128 Return]])</f>
        <v>1.0329603306686905</v>
      </c>
      <c r="SS5" s="27">
        <f>MAX(SS4,PortfolioFrontier[[#This Row],[P128 Growth]])</f>
        <v>1.0329603306686905</v>
      </c>
      <c r="ST5" s="27">
        <f>PortfolioFrontier[[#This Row],[P128 Growth]]/PortfolioFrontier[[#This Row],[P128 HWM]]-1</f>
        <v>0</v>
      </c>
      <c r="SU5" s="28">
        <f>SUMPRODUCT(INDEX(PortfolioRef[[SPY]:[PE]],MATCH(SU$1,PortfolioRef[Reference '#]),0),AssetMonthlyReturns[[#This Row],[SPY]:[PE]])</f>
        <v>2.9086308588702876E-2</v>
      </c>
      <c r="SV5" s="27">
        <f>IF(ISNUMBER(SV4),SV4*(1+PortfolioFrontier[[#This Row],[P129 Return]]),1+PortfolioFrontier[[#This Row],[P129 Return]])</f>
        <v>1.0289463377386838</v>
      </c>
      <c r="SW5" s="27">
        <f>MAX(SW4,PortfolioFrontier[[#This Row],[P129 Growth]])</f>
        <v>1.0289463377386838</v>
      </c>
      <c r="SX5" s="27">
        <f>PortfolioFrontier[[#This Row],[P129 Growth]]/PortfolioFrontier[[#This Row],[P129 HWM]]-1</f>
        <v>0</v>
      </c>
      <c r="SY5" s="28">
        <f>SUMPRODUCT(INDEX(PortfolioRef[[SPY]:[PE]],MATCH(SY$1,PortfolioRef[Reference '#]),0),AssetMonthlyReturns[[#This Row],[SPY]:[PE]])</f>
        <v>3.3433687766625739E-2</v>
      </c>
      <c r="SZ5" s="27">
        <f>IF(ISNUMBER(SZ4),SZ4*(1+PortfolioFrontier[[#This Row],[P130 Return]]),1+PortfolioFrontier[[#This Row],[P130 Return]])</f>
        <v>1.0398143647723102</v>
      </c>
      <c r="TA5" s="27">
        <f>MAX(TA4,PortfolioFrontier[[#This Row],[P130 Growth]])</f>
        <v>1.0398143647723102</v>
      </c>
      <c r="TB5" s="27">
        <f>PortfolioFrontier[[#This Row],[P130 Growth]]/PortfolioFrontier[[#This Row],[P130 HWM]]-1</f>
        <v>0</v>
      </c>
      <c r="TC5" s="28">
        <f>SUMPRODUCT(INDEX(PortfolioRef[[SPY]:[PE]],MATCH(TC$1,PortfolioRef[Reference '#]),0),AssetMonthlyReturns[[#This Row],[SPY]:[PE]])</f>
        <v>3.0511598761038497E-2</v>
      </c>
      <c r="TD5" s="27">
        <f>IF(ISNUMBER(TD4),TD4*(1+PortfolioFrontier[[#This Row],[P131 Return]]),1+PortfolioFrontier[[#This Row],[P131 Return]])</f>
        <v>1.0357835169361411</v>
      </c>
      <c r="TE5" s="27">
        <f>MAX(TE4,PortfolioFrontier[[#This Row],[P131 Growth]])</f>
        <v>1.0357835169361411</v>
      </c>
      <c r="TF5" s="27">
        <f>PortfolioFrontier[[#This Row],[P131 Growth]]/PortfolioFrontier[[#This Row],[P131 HWM]]-1</f>
        <v>0</v>
      </c>
      <c r="TG5" s="28">
        <f>SUMPRODUCT(INDEX(PortfolioRef[[SPY]:[PE]],MATCH(TG$1,PortfolioRef[Reference '#]),0),AssetMonthlyReturns[[#This Row],[SPY]:[PE]])</f>
        <v>2.7589509755451266E-2</v>
      </c>
      <c r="TH5" s="27">
        <f>IF(ISNUMBER(TH4),TH4*(1+PortfolioFrontier[[#This Row],[P132 Return]]),1+PortfolioFrontier[[#This Row],[P132 Return]])</f>
        <v>1.0317588547120964</v>
      </c>
      <c r="TI5" s="27">
        <f>MAX(TI4,PortfolioFrontier[[#This Row],[P132 Growth]])</f>
        <v>1.0317588547120964</v>
      </c>
      <c r="TJ5" s="27">
        <f>PortfolioFrontier[[#This Row],[P132 Growth]]/PortfolioFrontier[[#This Row],[P132 HWM]]-1</f>
        <v>0</v>
      </c>
      <c r="TK5" s="28">
        <f>SUMPRODUCT(INDEX(PortfolioRef[[SPY]:[PE]],MATCH(TK$1,PortfolioRef[Reference '#]),0),AssetMonthlyReturns[[#This Row],[SPY]:[PE]])</f>
        <v>3.8453805219385281E-2</v>
      </c>
      <c r="TL5" s="27">
        <f>IF(ISNUMBER(TL4),TL4*(1+PortfolioFrontier[[#This Row],[P133 Return]]),1+PortfolioFrontier[[#This Row],[P133 Return]])</f>
        <v>1.0373085668878357</v>
      </c>
      <c r="TM5" s="27">
        <f>MAX(TM4,PortfolioFrontier[[#This Row],[P133 Growth]])</f>
        <v>1.0373085668878357</v>
      </c>
      <c r="TN5" s="27">
        <f>PortfolioFrontier[[#This Row],[P133 Growth]]/PortfolioFrontier[[#This Row],[P133 HWM]]-1</f>
        <v>0</v>
      </c>
      <c r="TO5" s="28">
        <f>SUMPRODUCT(INDEX(PortfolioRef[[SPY]:[PE]],MATCH(TO$1,PortfolioRef[Reference '#]),0),AssetMonthlyReturns[[#This Row],[SPY]:[PE]])</f>
        <v>3.5531716213798047E-2</v>
      </c>
      <c r="TP5" s="27">
        <f>IF(ISNUMBER(TP4),TP4*(1+PortfolioFrontier[[#This Row],[P134 Return]]),1+PortfolioFrontier[[#This Row],[P134 Return]])</f>
        <v>1.0332936699178534</v>
      </c>
      <c r="TQ5" s="27">
        <f>MAX(TQ4,PortfolioFrontier[[#This Row],[P134 Growth]])</f>
        <v>1.0332936699178534</v>
      </c>
      <c r="TR5" s="27">
        <f>PortfolioFrontier[[#This Row],[P134 Growth]]/PortfolioFrontier[[#This Row],[P134 HWM]]-1</f>
        <v>0</v>
      </c>
      <c r="TS5" s="28">
        <f>SUMPRODUCT(INDEX(PortfolioRef[[SPY]:[PE]],MATCH(TS$1,PortfolioRef[Reference '#]),0),AssetMonthlyReturns[[#This Row],[SPY]:[PE]])</f>
        <v>3.2609627208210812E-2</v>
      </c>
      <c r="TT5" s="27">
        <f>IF(ISNUMBER(TT4),TT4*(1+PortfolioFrontier[[#This Row],[P135 Return]]),1+PortfolioFrontier[[#This Row],[P135 Return]])</f>
        <v>1.0292849585599955</v>
      </c>
      <c r="TU5" s="27">
        <f>MAX(TU4,PortfolioFrontier[[#This Row],[P135 Growth]])</f>
        <v>1.0292849585599955</v>
      </c>
      <c r="TV5" s="27">
        <f>PortfolioFrontier[[#This Row],[P135 Growth]]/PortfolioFrontier[[#This Row],[P135 HWM]]-1</f>
        <v>0</v>
      </c>
      <c r="TW5" s="28">
        <f>SUMPRODUCT(INDEX(PortfolioRef[[SPY]:[PE]],MATCH(TW$1,PortfolioRef[Reference '#]),0),AssetMonthlyReturns[[#This Row],[SPY]:[PE]])</f>
        <v>3.6957006386133667E-2</v>
      </c>
      <c r="TX5" s="27">
        <f>IF(ISNUMBER(TX4),TX4*(1+PortfolioFrontier[[#This Row],[P136 Return]]),1+PortfolioFrontier[[#This Row],[P136 Return]])</f>
        <v>1.0401618128175778</v>
      </c>
      <c r="TY5" s="27">
        <f>MAX(TY4,PortfolioFrontier[[#This Row],[P136 Growth]])</f>
        <v>1.0401618128175778</v>
      </c>
      <c r="TZ5" s="27">
        <f>PortfolioFrontier[[#This Row],[P136 Growth]]/PortfolioFrontier[[#This Row],[P136 HWM]]-1</f>
        <v>0</v>
      </c>
      <c r="UA5" s="28">
        <f>SUMPRODUCT(INDEX(PortfolioRef[[SPY]:[PE]],MATCH(UA$1,PortfolioRef[Reference '#]),0),AssetMonthlyReturns[[#This Row],[SPY]:[PE]])</f>
        <v>3.4034917380546433E-2</v>
      </c>
      <c r="UB5" s="27">
        <f>IF(ISNUMBER(UB4),UB4*(1+PortfolioFrontier[[#This Row],[P137 Return]]),1+PortfolioFrontier[[#This Row],[P137 Return]])</f>
        <v>1.0361362465535573</v>
      </c>
      <c r="UC5" s="27">
        <f>MAX(UC4,PortfolioFrontier[[#This Row],[P137 Growth]])</f>
        <v>1.0361362465535573</v>
      </c>
      <c r="UD5" s="27">
        <f>PortfolioFrontier[[#This Row],[P137 Growth]]/PortfolioFrontier[[#This Row],[P137 HWM]]-1</f>
        <v>0</v>
      </c>
      <c r="UE5" s="28">
        <f>SUMPRODUCT(INDEX(PortfolioRef[[SPY]:[PE]],MATCH(UE$1,PortfolioRef[Reference '#]),0),AssetMonthlyReturns[[#This Row],[SPY]:[PE]])</f>
        <v>3.1112828374959194E-2</v>
      </c>
      <c r="UF5" s="27">
        <f>IF(ISNUMBER(UF4),UF4*(1+PortfolioFrontier[[#This Row],[P138 Return]]),1+PortfolioFrontier[[#This Row],[P138 Return]])</f>
        <v>1.0321168659016611</v>
      </c>
      <c r="UG5" s="27">
        <f>MAX(UG4,PortfolioFrontier[[#This Row],[P138 Growth]])</f>
        <v>1.0321168659016611</v>
      </c>
      <c r="UH5" s="27">
        <f>PortfolioFrontier[[#This Row],[P138 Growth]]/PortfolioFrontier[[#This Row],[P138 HWM]]-1</f>
        <v>0</v>
      </c>
      <c r="UI5" s="28">
        <f>SUMPRODUCT(INDEX(PortfolioRef[[SPY]:[PE]],MATCH(UI$1,PortfolioRef[Reference '#]),0),AssetMonthlyReturns[[#This Row],[SPY]:[PE]])</f>
        <v>3.546020755288206E-2</v>
      </c>
      <c r="UJ5" s="27">
        <f>IF(ISNUMBER(UJ4),UJ4*(1+PortfolioFrontier[[#This Row],[P139 Return]]),1+PortfolioFrontier[[#This Row],[P139 Return]])</f>
        <v>1.0430025053413496</v>
      </c>
      <c r="UK5" s="27">
        <f>MAX(UK4,PortfolioFrontier[[#This Row],[P139 Growth]])</f>
        <v>1.0430025053413496</v>
      </c>
      <c r="UL5" s="27">
        <f>PortfolioFrontier[[#This Row],[P139 Growth]]/PortfolioFrontier[[#This Row],[P139 HWM]]-1</f>
        <v>0</v>
      </c>
      <c r="UM5" s="28">
        <f>SUMPRODUCT(INDEX(PortfolioRef[[SPY]:[PE]],MATCH(UM$1,PortfolioRef[Reference '#]),0),AssetMonthlyReturns[[#This Row],[SPY]:[PE]])</f>
        <v>3.2538118547294818E-2</v>
      </c>
      <c r="UN5" s="27">
        <f>IF(ISNUMBER(UN4),UN4*(1+PortfolioFrontier[[#This Row],[P140 Return]]),1+PortfolioFrontier[[#This Row],[P140 Return]])</f>
        <v>1.0389662697832911</v>
      </c>
      <c r="UO5" s="27">
        <f>MAX(UO4,PortfolioFrontier[[#This Row],[P140 Growth]])</f>
        <v>1.0389662697832911</v>
      </c>
      <c r="UP5" s="27">
        <f>PortfolioFrontier[[#This Row],[P140 Growth]]/PortfolioFrontier[[#This Row],[P140 HWM]]-1</f>
        <v>0</v>
      </c>
      <c r="UQ5" s="28">
        <f>SUMPRODUCT(INDEX(PortfolioRef[[SPY]:[PE]],MATCH(UQ$1,PortfolioRef[Reference '#]),0),AssetMonthlyReturns[[#This Row],[SPY]:[PE]])</f>
        <v>2.9616029541707584E-2</v>
      </c>
      <c r="UR5" s="27">
        <f>IF(ISNUMBER(UR4),UR4*(1+PortfolioFrontier[[#This Row],[P141 Return]]),1+PortfolioFrontier[[#This Row],[P141 Return]])</f>
        <v>1.0349362198373568</v>
      </c>
      <c r="US5" s="27">
        <f>MAX(US4,PortfolioFrontier[[#This Row],[P141 Growth]])</f>
        <v>1.0349362198373568</v>
      </c>
      <c r="UT5" s="27">
        <f>PortfolioFrontier[[#This Row],[P141 Growth]]/PortfolioFrontier[[#This Row],[P141 HWM]]-1</f>
        <v>0</v>
      </c>
    </row>
    <row r="6" spans="1:566" x14ac:dyDescent="0.2">
      <c r="B6" s="41">
        <f>AssetMonthlyReturns[[#This Row],[Date]]</f>
        <v>42552</v>
      </c>
      <c r="C6" s="28">
        <f>SUMPRODUCT(INDEX(PortfolioRef[[SPY]:[PE]],MATCH(C$1,PortfolioRef[Reference '#]),0),AssetMonthlyReturns[[#This Row],[SPY]:[PE]])</f>
        <v>3.4796774324028196E-2</v>
      </c>
      <c r="D6" s="29">
        <f>IF(ISNUMBER(D5),D5*(1+PortfolioFrontier[[#This Row],[P1 Return]]),1+PortfolioFrontier[[#This Row],[P1 Return]])</f>
        <v>1.0583442685325262</v>
      </c>
      <c r="E6" s="29">
        <f>MAX(E5,PortfolioFrontier[[#This Row],[P1 Growth]])</f>
        <v>1.0583442685325262</v>
      </c>
      <c r="F6" s="29">
        <f>PortfolioFrontier[[#This Row],[P1 Growth]]/PortfolioFrontier[[#This Row],[P1 HWM]]-1</f>
        <v>0</v>
      </c>
      <c r="G6" s="28">
        <f>SUMPRODUCT(INDEX(PortfolioRef[[SPY]:[PE]],MATCH(G$1,PortfolioRef[Reference '#]),0),AssetMonthlyReturns[[#This Row],[SPY]:[PE]])</f>
        <v>3.2980282315088025E-2</v>
      </c>
      <c r="H6" s="27">
        <f>IF(ISNUMBER(H5),H5*(1+PortfolioFrontier[[#This Row],[P2 Return]]),1+PortfolioFrontier[[#This Row],[P2 Return]])</f>
        <v>1.0566950559387405</v>
      </c>
      <c r="I6" s="27">
        <f>MAX(I5,PortfolioFrontier[[#This Row],[P2 Growth]])</f>
        <v>1.0566950559387405</v>
      </c>
      <c r="J6" s="27">
        <f>PortfolioFrontier[[#This Row],[P2 Growth]]/PortfolioFrontier[[#This Row],[P2 HWM]]-1</f>
        <v>0</v>
      </c>
      <c r="K6" s="28">
        <f>SUMPRODUCT(INDEX(PortfolioRef[[SPY]:[PE]],MATCH(K$1,PortfolioRef[Reference '#]),0),AssetMonthlyReturns[[#This Row],[SPY]:[PE]])</f>
        <v>3.3696029991821232E-2</v>
      </c>
      <c r="L6" s="27">
        <f>IF(ISNUMBER(L5),L5*(1+PortfolioFrontier[[#This Row],[P3 Return]]),1+PortfolioFrontier[[#This Row],[P3 Return]])</f>
        <v>1.0578303960203519</v>
      </c>
      <c r="M6" s="27">
        <f>MAX(M5,PortfolioFrontier[[#This Row],[P3 Growth]])</f>
        <v>1.0578303960203519</v>
      </c>
      <c r="N6" s="27">
        <f>PortfolioFrontier[[#This Row],[P3 Growth]]/PortfolioFrontier[[#This Row],[P3 HWM]]-1</f>
        <v>0</v>
      </c>
      <c r="O6" s="28">
        <f>SUMPRODUCT(INDEX(PortfolioRef[[SPY]:[PE]],MATCH(O$1,PortfolioRef[Reference '#]),0),AssetMonthlyReturns[[#This Row],[SPY]:[PE]])</f>
        <v>3.5303779946405364E-2</v>
      </c>
      <c r="P6" s="27">
        <f>IF(ISNUMBER(P5),P5*(1+PortfolioFrontier[[#This Row],[P4 Return]]),1+PortfolioFrontier[[#This Row],[P4 Return]])</f>
        <v>1.0623520608453636</v>
      </c>
      <c r="Q6" s="27">
        <f>MAX(Q5,PortfolioFrontier[[#This Row],[P4 Growth]])</f>
        <v>1.0623520608453636</v>
      </c>
      <c r="R6" s="27">
        <f>PortfolioFrontier[[#This Row],[P4 Growth]]/PortfolioFrontier[[#This Row],[P4 HWM]]-1</f>
        <v>0</v>
      </c>
      <c r="S6" s="28">
        <f>SUMPRODUCT(INDEX(PortfolioRef[[SPY]:[PE]],MATCH(S$1,PortfolioRef[Reference '#]),0),AssetMonthlyReturns[[#This Row],[SPY]:[PE]])</f>
        <v>3.4582914756809822E-2</v>
      </c>
      <c r="T6" s="27">
        <f>IF(ISNUMBER(T5),T5*(1+PortfolioFrontier[[#This Row],[P5 Return]]),1+PortfolioFrontier[[#This Row],[P5 Return]])</f>
        <v>1.0574575081284934</v>
      </c>
      <c r="U6" s="27">
        <f>MAX(U5,PortfolioFrontier[[#This Row],[P5 Growth]])</f>
        <v>1.0574575081284934</v>
      </c>
      <c r="V6" s="27">
        <f>PortfolioFrontier[[#This Row],[P5 Growth]]/PortfolioFrontier[[#This Row],[P5 HWM]]-1</f>
        <v>0</v>
      </c>
      <c r="W6" s="28">
        <f>SUMPRODUCT(INDEX(PortfolioRef[[SPY]:[PE]],MATCH(W$1,PortfolioRef[Reference '#]),0),AssetMonthlyReturns[[#This Row],[SPY]:[PE]])</f>
        <v>3.1163790306147864E-2</v>
      </c>
      <c r="X6" s="27">
        <f>IF(ISNUMBER(X5),X5*(1+PortfolioFrontier[[#This Row],[P6 Return]]),1+PortfolioFrontier[[#This Row],[P6 Return]])</f>
        <v>1.0550433039814844</v>
      </c>
      <c r="Y6" s="27">
        <f>MAX(Y5,PortfolioFrontier[[#This Row],[P6 Growth]])</f>
        <v>1.0550433039814844</v>
      </c>
      <c r="Z6" s="27">
        <f>PortfolioFrontier[[#This Row],[P6 Growth]]/PortfolioFrontier[[#This Row],[P6 HWM]]-1</f>
        <v>0</v>
      </c>
      <c r="AA6" s="28">
        <f>SUMPRODUCT(INDEX(PortfolioRef[[SPY]:[PE]],MATCH(AA$1,PortfolioRef[Reference '#]),0),AssetMonthlyReturns[[#This Row],[SPY]:[PE]])</f>
        <v>3.1879537982881068E-2</v>
      </c>
      <c r="AB6" s="27">
        <f>IF(ISNUMBER(AB5),AB5*(1+PortfolioFrontier[[#This Row],[P7 Return]]),1+PortfolioFrontier[[#This Row],[P7 Return]])</f>
        <v>1.0561717070283392</v>
      </c>
      <c r="AC6" s="27">
        <f>MAX(AC5,PortfolioFrontier[[#This Row],[P7 Growth]])</f>
        <v>1.0561717070283392</v>
      </c>
      <c r="AD6" s="27">
        <f>PortfolioFrontier[[#This Row],[P7 Growth]]/PortfolioFrontier[[#This Row],[P7 HWM]]-1</f>
        <v>0</v>
      </c>
      <c r="AE6" s="28">
        <f>SUMPRODUCT(INDEX(PortfolioRef[[SPY]:[PE]],MATCH(AE$1,PortfolioRef[Reference '#]),0),AssetMonthlyReturns[[#This Row],[SPY]:[PE]])</f>
        <v>3.3487287937465207E-2</v>
      </c>
      <c r="AF6" s="27">
        <f>IF(ISNUMBER(AF5),AF5*(1+PortfolioFrontier[[#This Row],[P8 Return]]),1+PortfolioFrontier[[#This Row],[P8 Return]])</f>
        <v>1.0606944688732651</v>
      </c>
      <c r="AG6" s="27">
        <f>MAX(AG5,PortfolioFrontier[[#This Row],[P8 Growth]])</f>
        <v>1.0606944688732651</v>
      </c>
      <c r="AH6" s="27">
        <f>PortfolioFrontier[[#This Row],[P8 Growth]]/PortfolioFrontier[[#This Row],[P8 HWM]]-1</f>
        <v>0</v>
      </c>
      <c r="AI6" s="28">
        <f>SUMPRODUCT(INDEX(PortfolioRef[[SPY]:[PE]],MATCH(AI$1,PortfolioRef[Reference '#]),0),AssetMonthlyReturns[[#This Row],[SPY]:[PE]])</f>
        <v>3.2766422747869658E-2</v>
      </c>
      <c r="AJ6" s="27">
        <f>IF(ISNUMBER(AJ5),AJ5*(1+PortfolioFrontier[[#This Row],[P9 Return]]),1+PortfolioFrontier[[#This Row],[P9 Return]])</f>
        <v>1.0558084455991081</v>
      </c>
      <c r="AK6" s="27">
        <f>MAX(AK5,PortfolioFrontier[[#This Row],[P9 Growth]])</f>
        <v>1.0558084455991081</v>
      </c>
      <c r="AL6" s="27">
        <f>PortfolioFrontier[[#This Row],[P9 Growth]]/PortfolioFrontier[[#This Row],[P9 HWM]]-1</f>
        <v>0</v>
      </c>
      <c r="AM6" s="28">
        <f>SUMPRODUCT(INDEX(PortfolioRef[[SPY]:[PE]],MATCH(AM$1,PortfolioRef[Reference '#]),0),AssetMonthlyReturns[[#This Row],[SPY]:[PE]])</f>
        <v>3.2595285659614268E-2</v>
      </c>
      <c r="AN6" s="27">
        <f>IF(ISNUMBER(AN5),AN5*(1+PortfolioFrontier[[#This Row],[P10 Return]]),1+PortfolioFrontier[[#This Row],[P10 Return]])</f>
        <v>1.0572782218237637</v>
      </c>
      <c r="AO6" s="27">
        <f>MAX(AO5,PortfolioFrontier[[#This Row],[P10 Growth]])</f>
        <v>1.0572782218237637</v>
      </c>
      <c r="AP6" s="27">
        <f>PortfolioFrontier[[#This Row],[P10 Growth]]/PortfolioFrontier[[#This Row],[P10 HWM]]-1</f>
        <v>0</v>
      </c>
      <c r="AQ6" s="28">
        <f>SUMPRODUCT(INDEX(PortfolioRef[[SPY]:[PE]],MATCH(AQ$1,PortfolioRef[Reference '#]),0),AssetMonthlyReturns[[#This Row],[SPY]:[PE]])</f>
        <v>3.4203035614198407E-2</v>
      </c>
      <c r="AR6" s="27">
        <f>IF(ISNUMBER(AR5),AR5*(1+PortfolioFrontier[[#This Row],[P11 Return]]),1+PortfolioFrontier[[#This Row],[P11 Return]])</f>
        <v>1.0618236120311197</v>
      </c>
      <c r="AS6" s="27">
        <f>MAX(AS5,PortfolioFrontier[[#This Row],[P11 Growth]])</f>
        <v>1.0618236120311197</v>
      </c>
      <c r="AT6" s="27">
        <f>PortfolioFrontier[[#This Row],[P11 Growth]]/PortfolioFrontier[[#This Row],[P11 HWM]]-1</f>
        <v>0</v>
      </c>
      <c r="AU6" s="28">
        <f>SUMPRODUCT(INDEX(PortfolioRef[[SPY]:[PE]],MATCH(AU$1,PortfolioRef[Reference '#]),0),AssetMonthlyReturns[[#This Row],[SPY]:[PE]])</f>
        <v>3.3482170424602865E-2</v>
      </c>
      <c r="AV6" s="27">
        <f>IF(ISNUMBER(AV5),AV5*(1+PortfolioFrontier[[#This Row],[P12 Return]]),1+PortfolioFrontier[[#This Row],[P12 Return]])</f>
        <v>1.0569398986882623</v>
      </c>
      <c r="AW6" s="27">
        <f>MAX(AW5,PortfolioFrontier[[#This Row],[P12 Growth]])</f>
        <v>1.0569398986882623</v>
      </c>
      <c r="AX6" s="27">
        <f>PortfolioFrontier[[#This Row],[P12 Growth]]/PortfolioFrontier[[#This Row],[P12 HWM]]-1</f>
        <v>0</v>
      </c>
      <c r="AY6" s="28">
        <f>SUMPRODUCT(INDEX(PortfolioRef[[SPY]:[PE]],MATCH(AY$1,PortfolioRef[Reference '#]),0),AssetMonthlyReturns[[#This Row],[SPY]:[PE]])</f>
        <v>3.5810785568782547E-2</v>
      </c>
      <c r="AZ6" s="27">
        <f>IF(ISNUMBER(AZ5),AZ5*(1+PortfolioFrontier[[#This Row],[P13 Return]]),1+PortfolioFrontier[[#This Row],[P13 Return]])</f>
        <v>1.0663650133817999</v>
      </c>
      <c r="BA6" s="27">
        <f>MAX(BA5,PortfolioFrontier[[#This Row],[P13 Growth]])</f>
        <v>1.0663650133817999</v>
      </c>
      <c r="BB6" s="27">
        <f>PortfolioFrontier[[#This Row],[P13 Growth]]/PortfolioFrontier[[#This Row],[P13 HWM]]-1</f>
        <v>0</v>
      </c>
      <c r="BC6" s="28">
        <f>SUMPRODUCT(INDEX(PortfolioRef[[SPY]:[PE]],MATCH(BC$1,PortfolioRef[Reference '#]),0),AssetMonthlyReturns[[#This Row],[SPY]:[PE]])</f>
        <v>3.5089920379186998E-2</v>
      </c>
      <c r="BD6" s="27">
        <f>IF(ISNUMBER(BD5),BD5*(1+PortfolioFrontier[[#This Row],[P14 Return]]),1+PortfolioFrontier[[#This Row],[P14 Return]])</f>
        <v>1.0614617985501424</v>
      </c>
      <c r="BE6" s="27">
        <f>MAX(BE5,PortfolioFrontier[[#This Row],[P14 Growth]])</f>
        <v>1.0614617985501424</v>
      </c>
      <c r="BF6" s="27">
        <f>PortfolioFrontier[[#This Row],[P14 Growth]]/PortfolioFrontier[[#This Row],[P14 HWM]]-1</f>
        <v>0</v>
      </c>
      <c r="BG6" s="28">
        <f>SUMPRODUCT(INDEX(PortfolioRef[[SPY]:[PE]],MATCH(BG$1,PortfolioRef[Reference '#]),0),AssetMonthlyReturns[[#This Row],[SPY]:[PE]])</f>
        <v>3.4369055189591456E-2</v>
      </c>
      <c r="BH6" s="27">
        <f>IF(ISNUMBER(BH5),BH5*(1+PortfolioFrontier[[#This Row],[P15 Return]]),1+PortfolioFrontier[[#This Row],[P15 Return]])</f>
        <v>1.0565707777140345</v>
      </c>
      <c r="BI6" s="27">
        <f>MAX(BI5,PortfolioFrontier[[#This Row],[P15 Growth]])</f>
        <v>1.0565707777140345</v>
      </c>
      <c r="BJ6" s="27">
        <f>PortfolioFrontier[[#This Row],[P15 Growth]]/PortfolioFrontier[[#This Row],[P15 HWM]]-1</f>
        <v>0</v>
      </c>
      <c r="BK6" s="28">
        <f>SUMPRODUCT(INDEX(PortfolioRef[[SPY]:[PE]],MATCH(BK$1,PortfolioRef[Reference '#]),0),AssetMonthlyReturns[[#This Row],[SPY]:[PE]])</f>
        <v>2.93472982972077E-2</v>
      </c>
      <c r="BL6" s="27">
        <f>IF(ISNUMBER(BL5),BL5*(1+PortfolioFrontier[[#This Row],[P16 Return]]),1+PortfolioFrontier[[#This Row],[P16 Return]])</f>
        <v>1.0533890222033107</v>
      </c>
      <c r="BM6" s="27">
        <f>MAX(BM5,PortfolioFrontier[[#This Row],[P16 Growth]])</f>
        <v>1.0533890222033107</v>
      </c>
      <c r="BN6" s="27">
        <f>PortfolioFrontier[[#This Row],[P16 Growth]]/PortfolioFrontier[[#This Row],[P16 HWM]]-1</f>
        <v>0</v>
      </c>
      <c r="BO6" s="28">
        <f>SUMPRODUCT(INDEX(PortfolioRef[[SPY]:[PE]],MATCH(BO$1,PortfolioRef[Reference '#]),0),AssetMonthlyReturns[[#This Row],[SPY]:[PE]])</f>
        <v>3.0063045973940907E-2</v>
      </c>
      <c r="BP6" s="27">
        <f>IF(ISNUMBER(BP5),BP5*(1+PortfolioFrontier[[#This Row],[P17 Return]]),1+PortfolioFrontier[[#This Row],[P17 Return]])</f>
        <v>1.0545105093957718</v>
      </c>
      <c r="BQ6" s="27">
        <f>MAX(BQ5,PortfolioFrontier[[#This Row],[P17 Growth]])</f>
        <v>1.0545105093957718</v>
      </c>
      <c r="BR6" s="27">
        <f>PortfolioFrontier[[#This Row],[P17 Growth]]/PortfolioFrontier[[#This Row],[P17 HWM]]-1</f>
        <v>0</v>
      </c>
      <c r="BS6" s="28">
        <f>SUMPRODUCT(INDEX(PortfolioRef[[SPY]:[PE]],MATCH(BS$1,PortfolioRef[Reference '#]),0),AssetMonthlyReturns[[#This Row],[SPY]:[PE]])</f>
        <v>3.1670795928525036E-2</v>
      </c>
      <c r="BT6" s="27">
        <f>IF(ISNUMBER(BT5),BT5*(1+PortfolioFrontier[[#This Row],[P18 Return]]),1+PortfolioFrontier[[#This Row],[P18 Return]])</f>
        <v>1.0590343449448867</v>
      </c>
      <c r="BU6" s="27">
        <f>MAX(BU5,PortfolioFrontier[[#This Row],[P18 Growth]])</f>
        <v>1.0590343449448867</v>
      </c>
      <c r="BV6" s="27">
        <f>PortfolioFrontier[[#This Row],[P18 Growth]]/PortfolioFrontier[[#This Row],[P18 HWM]]-1</f>
        <v>0</v>
      </c>
      <c r="BW6" s="28">
        <f>SUMPRODUCT(INDEX(PortfolioRef[[SPY]:[PE]],MATCH(BW$1,PortfolioRef[Reference '#]),0),AssetMonthlyReturns[[#This Row],[SPY]:[PE]])</f>
        <v>3.0949930738929498E-2</v>
      </c>
      <c r="BX6" s="27">
        <f>IF(ISNUMBER(BX5),BX5*(1+PortfolioFrontier[[#This Row],[P19 Return]]),1+PortfolioFrontier[[#This Row],[P19 Return]])</f>
        <v>1.0541568475269176</v>
      </c>
      <c r="BY6" s="27">
        <f>MAX(BY5,PortfolioFrontier[[#This Row],[P19 Growth]])</f>
        <v>1.0541568475269176</v>
      </c>
      <c r="BZ6" s="27">
        <f>PortfolioFrontier[[#This Row],[P19 Growth]]/PortfolioFrontier[[#This Row],[P19 HWM]]-1</f>
        <v>0</v>
      </c>
      <c r="CA6" s="28">
        <f>SUMPRODUCT(INDEX(PortfolioRef[[SPY]:[PE]],MATCH(CA$1,PortfolioRef[Reference '#]),0),AssetMonthlyReturns[[#This Row],[SPY]:[PE]])</f>
        <v>3.0778793650674111E-2</v>
      </c>
      <c r="CB6" s="27">
        <f>IF(ISNUMBER(CB5),CB5*(1+PortfolioFrontier[[#This Row],[P20 Return]]),1+PortfolioFrontier[[#This Row],[P20 Return]])</f>
        <v>1.0556101389686692</v>
      </c>
      <c r="CC6" s="27">
        <f>MAX(CC5,PortfolioFrontier[[#This Row],[P20 Growth]])</f>
        <v>1.0556101389686692</v>
      </c>
      <c r="CD6" s="27">
        <f>PortfolioFrontier[[#This Row],[P20 Growth]]/PortfolioFrontier[[#This Row],[P20 HWM]]-1</f>
        <v>0</v>
      </c>
      <c r="CE6" s="28">
        <f>SUMPRODUCT(INDEX(PortfolioRef[[SPY]:[PE]],MATCH(CE$1,PortfolioRef[Reference '#]),0),AssetMonthlyReturns[[#This Row],[SPY]:[PE]])</f>
        <v>3.238654360525825E-2</v>
      </c>
      <c r="CF6" s="27">
        <f>IF(ISNUMBER(CF5),CF5*(1+PortfolioFrontier[[#This Row],[P21 Return]]),1+PortfolioFrontier[[#This Row],[P21 Return]])</f>
        <v>1.0601565617687558</v>
      </c>
      <c r="CG6" s="27">
        <f>MAX(CG5,PortfolioFrontier[[#This Row],[P21 Growth]])</f>
        <v>1.0601565617687558</v>
      </c>
      <c r="CH6" s="27">
        <f>PortfolioFrontier[[#This Row],[P21 Growth]]/PortfolioFrontier[[#This Row],[P21 HWM]]-1</f>
        <v>0</v>
      </c>
      <c r="CI6" s="28">
        <f>SUMPRODUCT(INDEX(PortfolioRef[[SPY]:[PE]],MATCH(CI$1,PortfolioRef[Reference '#]),0),AssetMonthlyReturns[[#This Row],[SPY]:[PE]])</f>
        <v>3.1665678415662701E-2</v>
      </c>
      <c r="CJ6" s="27">
        <f>IF(ISNUMBER(CJ5),CJ5*(1+PortfolioFrontier[[#This Row],[P22 Return]]),1+PortfolioFrontier[[#This Row],[P22 Return]])</f>
        <v>1.0552813700947876</v>
      </c>
      <c r="CK6" s="27">
        <f>MAX(CK5,PortfolioFrontier[[#This Row],[P22 Growth]])</f>
        <v>1.0552813700947876</v>
      </c>
      <c r="CL6" s="27">
        <f>PortfolioFrontier[[#This Row],[P22 Growth]]/PortfolioFrontier[[#This Row],[P22 HWM]]-1</f>
        <v>0</v>
      </c>
      <c r="CM6" s="28">
        <f>SUMPRODUCT(INDEX(PortfolioRef[[SPY]:[PE]],MATCH(CM$1,PortfolioRef[Reference '#]),0),AssetMonthlyReturns[[#This Row],[SPY]:[PE]])</f>
        <v>3.3994293559842383E-2</v>
      </c>
      <c r="CN6" s="27">
        <f>IF(ISNUMBER(CN5),CN5*(1+PortfolioFrontier[[#This Row],[P23 Return]]),1+PortfolioFrontier[[#This Row],[P23 Return]])</f>
        <v>1.0646990366599287</v>
      </c>
      <c r="CO6" s="27">
        <f>MAX(CO5,PortfolioFrontier[[#This Row],[P23 Growth]])</f>
        <v>1.0646990366599287</v>
      </c>
      <c r="CP6" s="27">
        <f>PortfolioFrontier[[#This Row],[P23 Growth]]/PortfolioFrontier[[#This Row],[P23 HWM]]-1</f>
        <v>0</v>
      </c>
      <c r="CQ6" s="28">
        <f>SUMPRODUCT(INDEX(PortfolioRef[[SPY]:[PE]],MATCH(CQ$1,PortfolioRef[Reference '#]),0),AssetMonthlyReturns[[#This Row],[SPY]:[PE]])</f>
        <v>3.3273428370246841E-2</v>
      </c>
      <c r="CR6" s="27">
        <f>IF(ISNUMBER(CR5),CR5*(1+PortfolioFrontier[[#This Row],[P24 Return]]),1+PortfolioFrontier[[#This Row],[P24 Return]])</f>
        <v>1.0598043609559225</v>
      </c>
      <c r="CS6" s="27">
        <f>MAX(CS5,PortfolioFrontier[[#This Row],[P24 Growth]])</f>
        <v>1.0598043609559225</v>
      </c>
      <c r="CT6" s="27">
        <f>PortfolioFrontier[[#This Row],[P24 Growth]]/PortfolioFrontier[[#This Row],[P24 HWM]]-1</f>
        <v>0</v>
      </c>
      <c r="CU6" s="28">
        <f>SUMPRODUCT(INDEX(PortfolioRef[[SPY]:[PE]],MATCH(CU$1,PortfolioRef[Reference '#]),0),AssetMonthlyReturns[[#This Row],[SPY]:[PE]])</f>
        <v>3.2552563180651292E-2</v>
      </c>
      <c r="CV6" s="27">
        <f>IF(ISNUMBER(CV5),CV5*(1+PortfolioFrontier[[#This Row],[P25 Return]]),1+PortfolioFrontier[[#This Row],[P25 Return]])</f>
        <v>1.0549218660871187</v>
      </c>
      <c r="CW6" s="27">
        <f>MAX(CW5,PortfolioFrontier[[#This Row],[P25 Growth]])</f>
        <v>1.0549218660871187</v>
      </c>
      <c r="CX6" s="27">
        <f>PortfolioFrontier[[#This Row],[P25 Growth]]/PortfolioFrontier[[#This Row],[P25 HWM]]-1</f>
        <v>0</v>
      </c>
      <c r="CY6" s="28">
        <f>SUMPRODUCT(INDEX(PortfolioRef[[SPY]:[PE]],MATCH(CY$1,PortfolioRef[Reference '#]),0),AssetMonthlyReturns[[#This Row],[SPY]:[PE]])</f>
        <v>3.310229128199145E-2</v>
      </c>
      <c r="CZ6" s="27">
        <f>IF(ISNUMBER(CZ5),CZ5*(1+PortfolioFrontier[[#This Row],[P26 Return]]),1+PortfolioFrontier[[#This Row],[P26 Return]])</f>
        <v>1.0612568671363731</v>
      </c>
      <c r="DA6" s="27">
        <f>MAX(DA5,PortfolioFrontier[[#This Row],[P26 Growth]])</f>
        <v>1.0612568671363731</v>
      </c>
      <c r="DB6" s="27">
        <f>PortfolioFrontier[[#This Row],[P26 Growth]]/PortfolioFrontier[[#This Row],[P26 HWM]]-1</f>
        <v>0</v>
      </c>
      <c r="DC6" s="28">
        <f>SUMPRODUCT(INDEX(PortfolioRef[[SPY]:[PE]],MATCH(DC$1,PortfolioRef[Reference '#]),0),AssetMonthlyReturns[[#This Row],[SPY]:[PE]])</f>
        <v>3.2381426092395901E-2</v>
      </c>
      <c r="DD6" s="27">
        <f>IF(ISNUMBER(DD5),DD5*(1+PortfolioFrontier[[#This Row],[P27 Return]]),1+PortfolioFrontier[[#This Row],[P27 Return]])</f>
        <v>1.0563840044309512</v>
      </c>
      <c r="DE6" s="27">
        <f>MAX(DE5,PortfolioFrontier[[#This Row],[P27 Growth]])</f>
        <v>1.0563840044309512</v>
      </c>
      <c r="DF6" s="27">
        <f>PortfolioFrontier[[#This Row],[P27 Growth]]/PortfolioFrontier[[#This Row],[P27 HWM]]-1</f>
        <v>0</v>
      </c>
      <c r="DG6" s="28">
        <f>SUMPRODUCT(INDEX(PortfolioRef[[SPY]:[PE]],MATCH(DG$1,PortfolioRef[Reference '#]),0),AssetMonthlyReturns[[#This Row],[SPY]:[PE]])</f>
        <v>3.4710041236575589E-2</v>
      </c>
      <c r="DH6" s="27">
        <f>IF(ISNUMBER(DH5),DH5*(1+PortfolioFrontier[[#This Row],[P28 Return]]),1+PortfolioFrontier[[#This Row],[P28 Return]])</f>
        <v>1.0658219754648834</v>
      </c>
      <c r="DI6" s="27">
        <f>MAX(DI5,PortfolioFrontier[[#This Row],[P28 Growth]])</f>
        <v>1.0658219754648834</v>
      </c>
      <c r="DJ6" s="27">
        <f>PortfolioFrontier[[#This Row],[P28 Growth]]/PortfolioFrontier[[#This Row],[P28 HWM]]-1</f>
        <v>0</v>
      </c>
      <c r="DK6" s="28">
        <f>SUMPRODUCT(INDEX(PortfolioRef[[SPY]:[PE]],MATCH(DK$1,PortfolioRef[Reference '#]),0),AssetMonthlyReturns[[#This Row],[SPY]:[PE]])</f>
        <v>3.3989176046980041E-2</v>
      </c>
      <c r="DL6" s="27">
        <f>IF(ISNUMBER(DL5),DL5*(1+PortfolioFrontier[[#This Row],[P29 Return]]),1+PortfolioFrontier[[#This Row],[P29 Return]])</f>
        <v>1.0609296156065076</v>
      </c>
      <c r="DM6" s="27">
        <f>MAX(DM5,PortfolioFrontier[[#This Row],[P29 Growth]])</f>
        <v>1.0609296156065076</v>
      </c>
      <c r="DN6" s="27">
        <f>PortfolioFrontier[[#This Row],[P29 Growth]]/PortfolioFrontier[[#This Row],[P29 HWM]]-1</f>
        <v>0</v>
      </c>
      <c r="DO6" s="28">
        <f>SUMPRODUCT(INDEX(PortfolioRef[[SPY]:[PE]],MATCH(DO$1,PortfolioRef[Reference '#]),0),AssetMonthlyReturns[[#This Row],[SPY]:[PE]])</f>
        <v>3.3268310857384499E-2</v>
      </c>
      <c r="DP6" s="27">
        <f>IF(ISNUMBER(DP5),DP5*(1+PortfolioFrontier[[#This Row],[P30 Return]]),1+PortfolioFrontier[[#This Row],[P30 Return]])</f>
        <v>1.0560494333960684</v>
      </c>
      <c r="DQ6" s="27">
        <f>MAX(DQ5,PortfolioFrontier[[#This Row],[P30 Growth]])</f>
        <v>1.0560494333960684</v>
      </c>
      <c r="DR6" s="27">
        <f>PortfolioFrontier[[#This Row],[P30 Growth]]/PortfolioFrontier[[#This Row],[P30 HWM]]-1</f>
        <v>0</v>
      </c>
      <c r="DS6" s="28">
        <f>SUMPRODUCT(INDEX(PortfolioRef[[SPY]:[PE]],MATCH(DS$1,PortfolioRef[Reference '#]),0),AssetMonthlyReturns[[#This Row],[SPY]:[PE]])</f>
        <v>3.6317791191159715E-2</v>
      </c>
      <c r="DT6" s="27">
        <f>IF(ISNUMBER(DT5),DT5*(1+PortfolioFrontier[[#This Row],[P31 Return]]),1+PortfolioFrontier[[#This Row],[P31 Return]])</f>
        <v>1.0703831287009218</v>
      </c>
      <c r="DU6" s="27">
        <f>MAX(DU5,PortfolioFrontier[[#This Row],[P31 Growth]])</f>
        <v>1.0703831287009218</v>
      </c>
      <c r="DV6" s="27">
        <f>PortfolioFrontier[[#This Row],[P31 Growth]]/PortfolioFrontier[[#This Row],[P31 HWM]]-1</f>
        <v>0</v>
      </c>
      <c r="DW6" s="28">
        <f>SUMPRODUCT(INDEX(PortfolioRef[[SPY]:[PE]],MATCH(DW$1,PortfolioRef[Reference '#]),0),AssetMonthlyReturns[[#This Row],[SPY]:[PE]])</f>
        <v>3.559692600156418E-2</v>
      </c>
      <c r="DX6" s="27">
        <f>IF(ISNUMBER(DX5),DX5*(1+PortfolioFrontier[[#This Row],[P32 Return]]),1+PortfolioFrontier[[#This Row],[P32 Return]])</f>
        <v>1.0654712464317915</v>
      </c>
      <c r="DY6" s="27">
        <f>MAX(DY5,PortfolioFrontier[[#This Row],[P32 Growth]])</f>
        <v>1.0654712464317915</v>
      </c>
      <c r="DZ6" s="27">
        <f>PortfolioFrontier[[#This Row],[P32 Growth]]/PortfolioFrontier[[#This Row],[P32 HWM]]-1</f>
        <v>0</v>
      </c>
      <c r="EA6" s="28">
        <f>SUMPRODUCT(INDEX(PortfolioRef[[SPY]:[PE]],MATCH(EA$1,PortfolioRef[Reference '#]),0),AssetMonthlyReturns[[#This Row],[SPY]:[PE]])</f>
        <v>3.4876060811968632E-2</v>
      </c>
      <c r="EB6" s="27">
        <f>IF(ISNUMBER(EB5),EB5*(1+PortfolioFrontier[[#This Row],[P33 Return]]),1+PortfolioFrontier[[#This Row],[P33 Return]])</f>
        <v>1.0605715671377605</v>
      </c>
      <c r="EC6" s="27">
        <f>MAX(EC5,PortfolioFrontier[[#This Row],[P33 Growth]])</f>
        <v>1.0605715671377605</v>
      </c>
      <c r="ED6" s="27">
        <f>PortfolioFrontier[[#This Row],[P33 Growth]]/PortfolioFrontier[[#This Row],[P33 HWM]]-1</f>
        <v>0</v>
      </c>
      <c r="EE6" s="28">
        <f>SUMPRODUCT(INDEX(PortfolioRef[[SPY]:[PE]],MATCH(EE$1,PortfolioRef[Reference '#]),0),AssetMonthlyReturns[[#This Row],[SPY]:[PE]])</f>
        <v>2.7530806288267536E-2</v>
      </c>
      <c r="EF6" s="27">
        <f>IF(ISNUMBER(EF5),EF5*(1+PortfolioFrontier[[#This Row],[P34 Return]]),1+PortfolioFrontier[[#This Row],[P34 Return]])</f>
        <v>1.0517322201467738</v>
      </c>
      <c r="EG6" s="27">
        <f>MAX(EG5,PortfolioFrontier[[#This Row],[P34 Growth]])</f>
        <v>1.0517322201467738</v>
      </c>
      <c r="EH6" s="27">
        <f>PortfolioFrontier[[#This Row],[P34 Growth]]/PortfolioFrontier[[#This Row],[P34 HWM]]-1</f>
        <v>0</v>
      </c>
      <c r="EI6" s="28">
        <f>SUMPRODUCT(INDEX(PortfolioRef[[SPY]:[PE]],MATCH(EI$1,PortfolioRef[Reference '#]),0),AssetMonthlyReturns[[#This Row],[SPY]:[PE]])</f>
        <v>2.8246553965000743E-2</v>
      </c>
      <c r="EJ6" s="27">
        <f>IF(ISNUMBER(EJ5),EJ5*(1+PortfolioFrontier[[#This Row],[P35 Return]]),1+PortfolioFrontier[[#This Row],[P35 Return]])</f>
        <v>1.0528468126652037</v>
      </c>
      <c r="EK6" s="27">
        <f>MAX(EK5,PortfolioFrontier[[#This Row],[P35 Growth]])</f>
        <v>1.0528468126652037</v>
      </c>
      <c r="EL6" s="27">
        <f>PortfolioFrontier[[#This Row],[P35 Growth]]/PortfolioFrontier[[#This Row],[P35 HWM]]-1</f>
        <v>0</v>
      </c>
      <c r="EM6" s="28">
        <f>SUMPRODUCT(INDEX(PortfolioRef[[SPY]:[PE]],MATCH(EM$1,PortfolioRef[Reference '#]),0),AssetMonthlyReturns[[#This Row],[SPY]:[PE]])</f>
        <v>2.9854303919584876E-2</v>
      </c>
      <c r="EN6" s="27">
        <f>IF(ISNUMBER(EN5),EN5*(1+PortfolioFrontier[[#This Row],[P36 Return]]),1+PortfolioFrontier[[#This Row],[P36 Return]])</f>
        <v>1.0573716986027815</v>
      </c>
      <c r="EO6" s="27">
        <f>MAX(EO5,PortfolioFrontier[[#This Row],[P36 Growth]])</f>
        <v>1.0573716986027815</v>
      </c>
      <c r="EP6" s="27">
        <f>PortfolioFrontier[[#This Row],[P36 Growth]]/PortfolioFrontier[[#This Row],[P36 HWM]]-1</f>
        <v>0</v>
      </c>
      <c r="EQ6" s="28">
        <f>SUMPRODUCT(INDEX(PortfolioRef[[SPY]:[PE]],MATCH(EQ$1,PortfolioRef[Reference '#]),0),AssetMonthlyReturns[[#This Row],[SPY]:[PE]])</f>
        <v>2.9133438729989334E-2</v>
      </c>
      <c r="ER6" s="27">
        <f>IF(ISNUMBER(ER5),ER5*(1+PortfolioFrontier[[#This Row],[P37 Return]]),1+PortfolioFrontier[[#This Row],[P37 Return]])</f>
        <v>1.0525027234544753</v>
      </c>
      <c r="ES6" s="27">
        <f>MAX(ES5,PortfolioFrontier[[#This Row],[P37 Growth]])</f>
        <v>1.0525027234544753</v>
      </c>
      <c r="ET6" s="27">
        <f>PortfolioFrontier[[#This Row],[P37 Growth]]/PortfolioFrontier[[#This Row],[P37 HWM]]-1</f>
        <v>0</v>
      </c>
      <c r="EU6" s="28">
        <f>SUMPRODUCT(INDEX(PortfolioRef[[SPY]:[PE]],MATCH(EU$1,PortfolioRef[Reference '#]),0),AssetMonthlyReturns[[#This Row],[SPY]:[PE]])</f>
        <v>2.8962301641733947E-2</v>
      </c>
      <c r="EV6" s="27">
        <f>IF(ISNUMBER(EV5),EV5*(1+PortfolioFrontier[[#This Row],[P38 Return]]),1+PortfolioFrontier[[#This Row],[P38 Return]])</f>
        <v>1.0539395781959364</v>
      </c>
      <c r="EW6" s="27">
        <f>MAX(EW5,PortfolioFrontier[[#This Row],[P38 Growth]])</f>
        <v>1.0539395781959364</v>
      </c>
      <c r="EX6" s="27">
        <f>PortfolioFrontier[[#This Row],[P38 Growth]]/PortfolioFrontier[[#This Row],[P38 HWM]]-1</f>
        <v>0</v>
      </c>
      <c r="EY6" s="28">
        <f>SUMPRODUCT(INDEX(PortfolioRef[[SPY]:[PE]],MATCH(EY$1,PortfolioRef[Reference '#]),0),AssetMonthlyReturns[[#This Row],[SPY]:[PE]])</f>
        <v>3.0570051596318083E-2</v>
      </c>
      <c r="EZ6" s="27">
        <f>IF(ISNUMBER(EZ5),EZ5*(1+PortfolioFrontier[[#This Row],[P39 Return]]),1+PortfolioFrontier[[#This Row],[P39 Return]])</f>
        <v>1.0584870102730288</v>
      </c>
      <c r="FA6" s="27">
        <f>MAX(FA5,PortfolioFrontier[[#This Row],[P39 Growth]])</f>
        <v>1.0584870102730288</v>
      </c>
      <c r="FB6" s="27">
        <f>PortfolioFrontier[[#This Row],[P39 Growth]]/PortfolioFrontier[[#This Row],[P39 HWM]]-1</f>
        <v>0</v>
      </c>
      <c r="FC6" s="28">
        <f>SUMPRODUCT(INDEX(PortfolioRef[[SPY]:[PE]],MATCH(FC$1,PortfolioRef[Reference '#]),0),AssetMonthlyReturns[[#This Row],[SPY]:[PE]])</f>
        <v>2.9849186406722541E-2</v>
      </c>
      <c r="FD6" s="27">
        <f>IF(ISNUMBER(FD5),FD5*(1+PortfolioFrontier[[#This Row],[P40 Return]]),1+PortfolioFrontier[[#This Row],[P40 Return]])</f>
        <v>1.0536203366814236</v>
      </c>
      <c r="FE6" s="27">
        <f>MAX(FE5,PortfolioFrontier[[#This Row],[P40 Growth]])</f>
        <v>1.0536203366814236</v>
      </c>
      <c r="FF6" s="27">
        <f>PortfolioFrontier[[#This Row],[P40 Growth]]/PortfolioFrontier[[#This Row],[P40 HWM]]-1</f>
        <v>0</v>
      </c>
      <c r="FG6" s="28">
        <f>SUMPRODUCT(INDEX(PortfolioRef[[SPY]:[PE]],MATCH(FG$1,PortfolioRef[Reference '#]),0),AssetMonthlyReturns[[#This Row],[SPY]:[PE]])</f>
        <v>3.2177801550902219E-2</v>
      </c>
      <c r="FH6" s="27">
        <f>IF(ISNUMBER(FH5),FH5*(1+PortfolioFrontier[[#This Row],[P41 Return]]),1+PortfolioFrontier[[#This Row],[P41 Return]])</f>
        <v>1.0630305353889682</v>
      </c>
      <c r="FI6" s="27">
        <f>MAX(FI5,PortfolioFrontier[[#This Row],[P41 Growth]])</f>
        <v>1.0630305353889682</v>
      </c>
      <c r="FJ6" s="27">
        <f>PortfolioFrontier[[#This Row],[P41 Growth]]/PortfolioFrontier[[#This Row],[P41 HWM]]-1</f>
        <v>0</v>
      </c>
      <c r="FK6" s="28">
        <f>SUMPRODUCT(INDEX(PortfolioRef[[SPY]:[PE]],MATCH(FK$1,PortfolioRef[Reference '#]),0),AssetMonthlyReturns[[#This Row],[SPY]:[PE]])</f>
        <v>3.145693636130667E-2</v>
      </c>
      <c r="FL6" s="27">
        <f>IF(ISNUMBER(FL5),FL5*(1+PortfolioFrontier[[#This Row],[P42 Return]]),1+PortfolioFrontier[[#This Row],[P42 Return]])</f>
        <v>1.0581443952260881</v>
      </c>
      <c r="FM6" s="27">
        <f>MAX(FM5,PortfolioFrontier[[#This Row],[P42 Growth]])</f>
        <v>1.0581443952260881</v>
      </c>
      <c r="FN6" s="27">
        <f>PortfolioFrontier[[#This Row],[P42 Growth]]/PortfolioFrontier[[#This Row],[P42 HWM]]-1</f>
        <v>0</v>
      </c>
      <c r="FO6" s="28">
        <f>SUMPRODUCT(INDEX(PortfolioRef[[SPY]:[PE]],MATCH(FO$1,PortfolioRef[Reference '#]),0),AssetMonthlyReturns[[#This Row],[SPY]:[PE]])</f>
        <v>3.0736071171711132E-2</v>
      </c>
      <c r="FP6" s="27">
        <f>IF(ISNUMBER(FP5),FP5*(1+PortfolioFrontier[[#This Row],[P43 Return]]),1+PortfolioFrontier[[#This Row],[P43 Return]])</f>
        <v>1.0532704227380636</v>
      </c>
      <c r="FQ6" s="27">
        <f>MAX(FQ5,PortfolioFrontier[[#This Row],[P43 Growth]])</f>
        <v>1.0532704227380636</v>
      </c>
      <c r="FR6" s="27">
        <f>PortfolioFrontier[[#This Row],[P43 Growth]]/PortfolioFrontier[[#This Row],[P43 HWM]]-1</f>
        <v>0</v>
      </c>
      <c r="FS6" s="28">
        <f>SUMPRODUCT(INDEX(PortfolioRef[[SPY]:[PE]],MATCH(FS$1,PortfolioRef[Reference '#]),0),AssetMonthlyReturns[[#This Row],[SPY]:[PE]])</f>
        <v>3.1285799273051279E-2</v>
      </c>
      <c r="FT6" s="27">
        <f>IF(ISNUMBER(FT5),FT5*(1+PortfolioFrontier[[#This Row],[P44 Return]]),1+PortfolioFrontier[[#This Row],[P44 Return]])</f>
        <v>1.0595804411188903</v>
      </c>
      <c r="FU6" s="27">
        <f>MAX(FU5,PortfolioFrontier[[#This Row],[P44 Growth]])</f>
        <v>1.0595804411188903</v>
      </c>
      <c r="FV6" s="27">
        <f>PortfolioFrontier[[#This Row],[P44 Growth]]/PortfolioFrontier[[#This Row],[P44 HWM]]-1</f>
        <v>0</v>
      </c>
      <c r="FW6" s="28">
        <f>SUMPRODUCT(INDEX(PortfolioRef[[SPY]:[PE]],MATCH(FW$1,PortfolioRef[Reference '#]),0),AssetMonthlyReturns[[#This Row],[SPY]:[PE]])</f>
        <v>3.0564934083455741E-2</v>
      </c>
      <c r="FX6" s="27">
        <f>IF(ISNUMBER(FX5),FX5*(1+PortfolioFrontier[[#This Row],[P45 Return]]),1+PortfolioFrontier[[#This Row],[P45 Return]])</f>
        <v>1.0547160923085321</v>
      </c>
      <c r="FY6" s="27">
        <f>MAX(FY5,PortfolioFrontier[[#This Row],[P45 Growth]])</f>
        <v>1.0547160923085321</v>
      </c>
      <c r="FZ6" s="27">
        <f>PortfolioFrontier[[#This Row],[P45 Growth]]/PortfolioFrontier[[#This Row],[P45 HWM]]-1</f>
        <v>0</v>
      </c>
      <c r="GA6" s="28">
        <f>SUMPRODUCT(INDEX(PortfolioRef[[SPY]:[PE]],MATCH(GA$1,PortfolioRef[Reference '#]),0),AssetMonthlyReturns[[#This Row],[SPY]:[PE]])</f>
        <v>3.2893549227635419E-2</v>
      </c>
      <c r="GB6" s="27">
        <f>IF(ISNUMBER(GB5),GB5*(1+PortfolioFrontier[[#This Row],[P46 Return]]),1+PortfolioFrontier[[#This Row],[P46 Return]])</f>
        <v>1.0641465585607095</v>
      </c>
      <c r="GC6" s="27">
        <f>MAX(GC5,PortfolioFrontier[[#This Row],[P46 Growth]])</f>
        <v>1.0641465585607095</v>
      </c>
      <c r="GD6" s="27">
        <f>PortfolioFrontier[[#This Row],[P46 Growth]]/PortfolioFrontier[[#This Row],[P46 HWM]]-1</f>
        <v>0</v>
      </c>
      <c r="GE6" s="28">
        <f>SUMPRODUCT(INDEX(PortfolioRef[[SPY]:[PE]],MATCH(GE$1,PortfolioRef[Reference '#]),0),AssetMonthlyReturns[[#This Row],[SPY]:[PE]])</f>
        <v>3.2172684038039877E-2</v>
      </c>
      <c r="GF6" s="27">
        <f>IF(ISNUMBER(GF5),GF5*(1+PortfolioFrontier[[#This Row],[P47 Return]]),1+PortfolioFrontier[[#This Row],[P47 Return]])</f>
        <v>1.0592627300561601</v>
      </c>
      <c r="GG6" s="27">
        <f>MAX(GG5,PortfolioFrontier[[#This Row],[P47 Growth]])</f>
        <v>1.0592627300561601</v>
      </c>
      <c r="GH6" s="27">
        <f>PortfolioFrontier[[#This Row],[P47 Growth]]/PortfolioFrontier[[#This Row],[P47 HWM]]-1</f>
        <v>0</v>
      </c>
      <c r="GI6" s="28">
        <f>SUMPRODUCT(INDEX(PortfolioRef[[SPY]:[PE]],MATCH(GI$1,PortfolioRef[Reference '#]),0),AssetMonthlyReturns[[#This Row],[SPY]:[PE]])</f>
        <v>3.1451818848444335E-2</v>
      </c>
      <c r="GJ6" s="27">
        <f>IF(ISNUMBER(GJ5),GJ5*(1+PortfolioFrontier[[#This Row],[P48 Return]]),1+PortfolioFrontier[[#This Row],[P48 Return]])</f>
        <v>1.0543910660392006</v>
      </c>
      <c r="GK6" s="27">
        <f>MAX(GK5,PortfolioFrontier[[#This Row],[P48 Growth]])</f>
        <v>1.0543910660392006</v>
      </c>
      <c r="GL6" s="27">
        <f>PortfolioFrontier[[#This Row],[P48 Growth]]/PortfolioFrontier[[#This Row],[P48 HWM]]-1</f>
        <v>0</v>
      </c>
      <c r="GM6" s="28">
        <f>SUMPRODUCT(INDEX(PortfolioRef[[SPY]:[PE]],MATCH(GM$1,PortfolioRef[Reference '#]),0),AssetMonthlyReturns[[#This Row],[SPY]:[PE]])</f>
        <v>3.4501299182219558E-2</v>
      </c>
      <c r="GN6" s="27">
        <f>IF(ISNUMBER(GN5),GN5*(1+PortfolioFrontier[[#This Row],[P49 Return]]),1+PortfolioFrontier[[#This Row],[P49 Return]])</f>
        <v>1.0687087618578179</v>
      </c>
      <c r="GO6" s="27">
        <f>MAX(GO5,PortfolioFrontier[[#This Row],[P49 Growth]])</f>
        <v>1.0687087618578179</v>
      </c>
      <c r="GP6" s="27">
        <f>PortfolioFrontier[[#This Row],[P49 Growth]]/PortfolioFrontier[[#This Row],[P49 HWM]]-1</f>
        <v>0</v>
      </c>
      <c r="GQ6" s="28">
        <f>SUMPRODUCT(INDEX(PortfolioRef[[SPY]:[PE]],MATCH(GQ$1,PortfolioRef[Reference '#]),0),AssetMonthlyReturns[[#This Row],[SPY]:[PE]])</f>
        <v>3.3780433992624009E-2</v>
      </c>
      <c r="GR6" s="27">
        <f>IF(ISNUMBER(GR5),GR5*(1+PortfolioFrontier[[#This Row],[P50 Return]]),1+PortfolioFrontier[[#This Row],[P50 Return]])</f>
        <v>1.063805428401277</v>
      </c>
      <c r="GS6" s="27">
        <f>MAX(GS5,PortfolioFrontier[[#This Row],[P50 Growth]])</f>
        <v>1.063805428401277</v>
      </c>
      <c r="GT6" s="27">
        <f>PortfolioFrontier[[#This Row],[P50 Growth]]/PortfolioFrontier[[#This Row],[P50 HWM]]-1</f>
        <v>0</v>
      </c>
      <c r="GU6" s="28">
        <f>SUMPRODUCT(INDEX(PortfolioRef[[SPY]:[PE]],MATCH(GU$1,PortfolioRef[Reference '#]),0),AssetMonthlyReturns[[#This Row],[SPY]:[PE]])</f>
        <v>3.3059568803028468E-2</v>
      </c>
      <c r="GV6" s="27">
        <f>IF(ISNUMBER(GV5),GV5*(1+PortfolioFrontier[[#This Row],[P51 Return]]),1+PortfolioFrontier[[#This Row],[P51 Return]])</f>
        <v>1.0589142847594883</v>
      </c>
      <c r="GW6" s="27">
        <f>MAX(GW5,PortfolioFrontier[[#This Row],[P51 Growth]])</f>
        <v>1.0589142847594883</v>
      </c>
      <c r="GX6" s="27">
        <f>PortfolioFrontier[[#This Row],[P51 Growth]]/PortfolioFrontier[[#This Row],[P51 HWM]]-1</f>
        <v>0</v>
      </c>
      <c r="GY6" s="28">
        <f>SUMPRODUCT(INDEX(PortfolioRef[[SPY]:[PE]],MATCH(GY$1,PortfolioRef[Reference '#]),0),AssetMonthlyReturns[[#This Row],[SPY]:[PE]])</f>
        <v>3.3609296904368618E-2</v>
      </c>
      <c r="GZ6" s="27">
        <f>IF(ISNUMBER(GZ5),GZ5*(1+PortfolioFrontier[[#This Row],[P52 Return]]),1+PortfolioFrontier[[#This Row],[P52 Return]])</f>
        <v>1.0652406470713773</v>
      </c>
      <c r="HA6" s="27">
        <f>MAX(HA5,PortfolioFrontier[[#This Row],[P52 Growth]])</f>
        <v>1.0652406470713773</v>
      </c>
      <c r="HB6" s="27">
        <f>PortfolioFrontier[[#This Row],[P52 Growth]]/PortfolioFrontier[[#This Row],[P52 HWM]]-1</f>
        <v>0</v>
      </c>
      <c r="HC6" s="28">
        <f>SUMPRODUCT(INDEX(PortfolioRef[[SPY]:[PE]],MATCH(HC$1,PortfolioRef[Reference '#]),0),AssetMonthlyReturns[[#This Row],[SPY]:[PE]])</f>
        <v>3.2888431714773077E-2</v>
      </c>
      <c r="HD6" s="27">
        <f>IF(ISNUMBER(HD5),HD5*(1+PortfolioFrontier[[#This Row],[P53 Return]]),1+PortfolioFrontier[[#This Row],[P53 Return]])</f>
        <v>1.0603591534497043</v>
      </c>
      <c r="HE6" s="27">
        <f>MAX(HE5,PortfolioFrontier[[#This Row],[P53 Growth]])</f>
        <v>1.0603591534497043</v>
      </c>
      <c r="HF6" s="27">
        <f>PortfolioFrontier[[#This Row],[P53 Growth]]/PortfolioFrontier[[#This Row],[P53 HWM]]-1</f>
        <v>0</v>
      </c>
      <c r="HG6" s="28">
        <f>SUMPRODUCT(INDEX(PortfolioRef[[SPY]:[PE]],MATCH(HG$1,PortfolioRef[Reference '#]),0),AssetMonthlyReturns[[#This Row],[SPY]:[PE]])</f>
        <v>3.2167566525177535E-2</v>
      </c>
      <c r="HH6" s="27">
        <f>IF(ISNUMBER(HH5),HH5*(1+PortfolioFrontier[[#This Row],[P54 Return]]),1+PortfolioFrontier[[#This Row],[P54 Return]])</f>
        <v>1.0554898211283554</v>
      </c>
      <c r="HI6" s="27">
        <f>MAX(HI5,PortfolioFrontier[[#This Row],[P54 Growth]])</f>
        <v>1.0554898211283554</v>
      </c>
      <c r="HJ6" s="27">
        <f>PortfolioFrontier[[#This Row],[P54 Growth]]/PortfolioFrontier[[#This Row],[P54 HWM]]-1</f>
        <v>0</v>
      </c>
      <c r="HK6" s="28">
        <f>SUMPRODUCT(INDEX(PortfolioRef[[SPY]:[PE]],MATCH(HK$1,PortfolioRef[Reference '#]),0),AssetMonthlyReturns[[#This Row],[SPY]:[PE]])</f>
        <v>3.5217046858952758E-2</v>
      </c>
      <c r="HL6" s="27">
        <f>IF(ISNUMBER(HL5),HL5*(1+PortfolioFrontier[[#This Row],[P55 Return]]),1+PortfolioFrontier[[#This Row],[P55 Return]])</f>
        <v>1.0698254888807313</v>
      </c>
      <c r="HM6" s="27">
        <f>MAX(HM5,PortfolioFrontier[[#This Row],[P55 Growth]])</f>
        <v>1.0698254888807313</v>
      </c>
      <c r="HN6" s="27">
        <f>PortfolioFrontier[[#This Row],[P55 Growth]]/PortfolioFrontier[[#This Row],[P55 HWM]]-1</f>
        <v>0</v>
      </c>
      <c r="HO6" s="28">
        <f>SUMPRODUCT(INDEX(PortfolioRef[[SPY]:[PE]],MATCH(HO$1,PortfolioRef[Reference '#]),0),AssetMonthlyReturns[[#This Row],[SPY]:[PE]])</f>
        <v>3.4496181669357216E-2</v>
      </c>
      <c r="HP6" s="27">
        <f>IF(ISNUMBER(HP5),HP5*(1+PortfolioFrontier[[#This Row],[P56 Return]]),1+PortfolioFrontier[[#This Row],[P56 Return]])</f>
        <v>1.06492447718415</v>
      </c>
      <c r="HQ6" s="27">
        <f>MAX(HQ5,PortfolioFrontier[[#This Row],[P56 Growth]])</f>
        <v>1.06492447718415</v>
      </c>
      <c r="HR6" s="27">
        <f>PortfolioFrontier[[#This Row],[P56 Growth]]/PortfolioFrontier[[#This Row],[P56 HWM]]-1</f>
        <v>0</v>
      </c>
      <c r="HS6" s="28">
        <f>SUMPRODUCT(INDEX(PortfolioRef[[SPY]:[PE]],MATCH(HS$1,PortfolioRef[Reference '#]),0),AssetMonthlyReturns[[#This Row],[SPY]:[PE]])</f>
        <v>3.3775316479761675E-2</v>
      </c>
      <c r="HT6" s="27">
        <f>IF(ISNUMBER(HT5),HT5*(1+PortfolioFrontier[[#This Row],[P57 Return]]),1+PortfolioFrontier[[#This Row],[P57 Return]])</f>
        <v>1.0600356521150558</v>
      </c>
      <c r="HU6" s="27">
        <f>MAX(HU5,PortfolioFrontier[[#This Row],[P57 Growth]])</f>
        <v>1.0600356521150558</v>
      </c>
      <c r="HV6" s="27">
        <f>PortfolioFrontier[[#This Row],[P57 Growth]]/PortfolioFrontier[[#This Row],[P57 HWM]]-1</f>
        <v>0</v>
      </c>
      <c r="HW6" s="28">
        <f>SUMPRODUCT(INDEX(PortfolioRef[[SPY]:[PE]],MATCH(HW$1,PortfolioRef[Reference '#]),0),AssetMonthlyReturns[[#This Row],[SPY]:[PE]])</f>
        <v>3.6824796813536897E-2</v>
      </c>
      <c r="HX6" s="27">
        <f>IF(ISNUMBER(HX5),HX5*(1+PortfolioFrontier[[#This Row],[P58 Return]]),1+PortfolioFrontier[[#This Row],[P58 Return]])</f>
        <v>1.0744064093618175</v>
      </c>
      <c r="HY6" s="27">
        <f>MAX(HY5,PortfolioFrontier[[#This Row],[P58 Growth]])</f>
        <v>1.0744064093618175</v>
      </c>
      <c r="HZ6" s="27">
        <f>PortfolioFrontier[[#This Row],[P58 Growth]]/PortfolioFrontier[[#This Row],[P58 HWM]]-1</f>
        <v>0</v>
      </c>
      <c r="IA6" s="28">
        <f>SUMPRODUCT(INDEX(PortfolioRef[[SPY]:[PE]],MATCH(IA$1,PortfolioRef[Reference '#]),0),AssetMonthlyReturns[[#This Row],[SPY]:[PE]])</f>
        <v>3.6103931623941349E-2</v>
      </c>
      <c r="IB6" s="27">
        <f>IF(ISNUMBER(IB5),IB5*(1+PortfolioFrontier[[#This Row],[P59 Return]]),1+PortfolioFrontier[[#This Row],[P59 Return]])</f>
        <v>1.0694858543325274</v>
      </c>
      <c r="IC6" s="27">
        <f>MAX(IC5,PortfolioFrontier[[#This Row],[P59 Growth]])</f>
        <v>1.0694858543325274</v>
      </c>
      <c r="ID6" s="27">
        <f>PortfolioFrontier[[#This Row],[P59 Growth]]/PortfolioFrontier[[#This Row],[P59 HWM]]-1</f>
        <v>0</v>
      </c>
      <c r="IE6" s="28">
        <f>SUMPRODUCT(INDEX(PortfolioRef[[SPY]:[PE]],MATCH(IE$1,PortfolioRef[Reference '#]),0),AssetMonthlyReturns[[#This Row],[SPY]:[PE]])</f>
        <v>3.5383066434345814E-2</v>
      </c>
      <c r="IF6" s="27">
        <f>IF(ISNUMBER(IF5),IF5*(1+PortfolioFrontier[[#This Row],[P60 Return]]),1+PortfolioFrontier[[#This Row],[P60 Return]])</f>
        <v>1.0645775112578868</v>
      </c>
      <c r="IG6" s="27">
        <f>MAX(IG5,PortfolioFrontier[[#This Row],[P60 Growth]])</f>
        <v>1.0645775112578868</v>
      </c>
      <c r="IH6" s="27">
        <f>PortfolioFrontier[[#This Row],[P60 Growth]]/PortfolioFrontier[[#This Row],[P60 HWM]]-1</f>
        <v>0</v>
      </c>
      <c r="II6" s="28">
        <f>SUMPRODUCT(INDEX(PortfolioRef[[SPY]:[PE]],MATCH(II$1,PortfolioRef[Reference '#]),0),AssetMonthlyReturns[[#This Row],[SPY]:[PE]])</f>
        <v>2.5714314279327376E-2</v>
      </c>
      <c r="IJ6" s="27">
        <f>IF(ISNUMBER(IJ5),IJ5*(1+PortfolioFrontier[[#This Row],[P61 Return]]),1+PortfolioFrontier[[#This Row],[P61 Return]])</f>
        <v>1.0500729073544264</v>
      </c>
      <c r="IK6" s="27">
        <f>MAX(IK5,PortfolioFrontier[[#This Row],[P61 Growth]])</f>
        <v>1.0500729073544264</v>
      </c>
      <c r="IL6" s="27">
        <f>PortfolioFrontier[[#This Row],[P61 Growth]]/PortfolioFrontier[[#This Row],[P61 HWM]]-1</f>
        <v>0</v>
      </c>
      <c r="IM6" s="28">
        <f>SUMPRODUCT(INDEX(PortfolioRef[[SPY]:[PE]],MATCH(IM$1,PortfolioRef[Reference '#]),0),AssetMonthlyReturns[[#This Row],[SPY]:[PE]])</f>
        <v>2.6430061956060583E-2</v>
      </c>
      <c r="IN6" s="27">
        <f>IF(ISNUMBER(IN5),IN5*(1+PortfolioFrontier[[#This Row],[P62 Return]]),1+PortfolioFrontier[[#This Row],[P62 Return]])</f>
        <v>1.0511806263791883</v>
      </c>
      <c r="IO6" s="27">
        <f>MAX(IO5,PortfolioFrontier[[#This Row],[P62 Growth]])</f>
        <v>1.0511806263791883</v>
      </c>
      <c r="IP6" s="27">
        <f>PortfolioFrontier[[#This Row],[P62 Growth]]/PortfolioFrontier[[#This Row],[P62 HWM]]-1</f>
        <v>0</v>
      </c>
      <c r="IQ6" s="28">
        <f>SUMPRODUCT(INDEX(PortfolioRef[[SPY]:[PE]],MATCH(IQ$1,PortfolioRef[Reference '#]),0),AssetMonthlyReturns[[#This Row],[SPY]:[PE]])</f>
        <v>2.8037811910644715E-2</v>
      </c>
      <c r="IR6" s="27">
        <f>IF(ISNUMBER(IR5),IR5*(1+PortfolioFrontier[[#This Row],[P63 Return]]),1+PortfolioFrontier[[#This Row],[P63 Return]])</f>
        <v>1.0557065393895038</v>
      </c>
      <c r="IS6" s="27">
        <f>MAX(IS5,PortfolioFrontier[[#This Row],[P63 Growth]])</f>
        <v>1.0557065393895038</v>
      </c>
      <c r="IT6" s="27">
        <f>PortfolioFrontier[[#This Row],[P63 Growth]]/PortfolioFrontier[[#This Row],[P63 HWM]]-1</f>
        <v>0</v>
      </c>
      <c r="IU6" s="28">
        <f>SUMPRODUCT(INDEX(PortfolioRef[[SPY]:[PE]],MATCH(IU$1,PortfolioRef[Reference '#]),0),AssetMonthlyReturns[[#This Row],[SPY]:[PE]])</f>
        <v>2.7316946721049173E-2</v>
      </c>
      <c r="IV6" s="27">
        <f>IF(ISNUMBER(IV5),IV5*(1+PortfolioFrontier[[#This Row],[P64 Return]]),1+PortfolioFrontier[[#This Row],[P64 Return]])</f>
        <v>1.0508460829243347</v>
      </c>
      <c r="IW6" s="27">
        <f>MAX(IW5,PortfolioFrontier[[#This Row],[P64 Growth]])</f>
        <v>1.0508460829243347</v>
      </c>
      <c r="IX6" s="27">
        <f>PortfolioFrontier[[#This Row],[P64 Growth]]/PortfolioFrontier[[#This Row],[P64 HWM]]-1</f>
        <v>0</v>
      </c>
      <c r="IY6" s="28">
        <f>SUMPRODUCT(INDEX(PortfolioRef[[SPY]:[PE]],MATCH(IY$1,PortfolioRef[Reference '#]),0),AssetMonthlyReturns[[#This Row],[SPY]:[PE]])</f>
        <v>2.7145809632793783E-2</v>
      </c>
      <c r="IZ6" s="27">
        <f>IF(ISNUMBER(IZ5),IZ5*(1+PortfolioFrontier[[#This Row],[P65 Return]]),1+PortfolioFrontier[[#This Row],[P65 Return]])</f>
        <v>1.0522665490481187</v>
      </c>
      <c r="JA6" s="27">
        <f>MAX(JA5,PortfolioFrontier[[#This Row],[P65 Growth]])</f>
        <v>1.0522665490481187</v>
      </c>
      <c r="JB6" s="27">
        <f>PortfolioFrontier[[#This Row],[P65 Growth]]/PortfolioFrontier[[#This Row],[P65 HWM]]-1</f>
        <v>0</v>
      </c>
      <c r="JC6" s="28">
        <f>SUMPRODUCT(INDEX(PortfolioRef[[SPY]:[PE]],MATCH(JC$1,PortfolioRef[Reference '#]),0),AssetMonthlyReturns[[#This Row],[SPY]:[PE]])</f>
        <v>2.8753559587377919E-2</v>
      </c>
      <c r="JD6" s="27">
        <f>IF(ISNUMBER(JD5),JD5*(1+PortfolioFrontier[[#This Row],[P66 Return]]),1+PortfolioFrontier[[#This Row],[P66 Return]])</f>
        <v>1.0568149670864915</v>
      </c>
      <c r="JE6" s="27">
        <f>MAX(JE5,PortfolioFrontier[[#This Row],[P66 Growth]])</f>
        <v>1.0568149670864915</v>
      </c>
      <c r="JF6" s="27">
        <f>PortfolioFrontier[[#This Row],[P66 Growth]]/PortfolioFrontier[[#This Row],[P66 HWM]]-1</f>
        <v>0</v>
      </c>
      <c r="JG6" s="28">
        <f>SUMPRODUCT(INDEX(PortfolioRef[[SPY]:[PE]],MATCH(JG$1,PortfolioRef[Reference '#]),0),AssetMonthlyReturns[[#This Row],[SPY]:[PE]])</f>
        <v>2.8032694397782377E-2</v>
      </c>
      <c r="JH6" s="27">
        <f>IF(ISNUMBER(JH5),JH5*(1+PortfolioFrontier[[#This Row],[P67 Return]]),1+PortfolioFrontier[[#This Row],[P67 Return]])</f>
        <v>1.0519568079907244</v>
      </c>
      <c r="JI6" s="27">
        <f>MAX(JI5,PortfolioFrontier[[#This Row],[P67 Growth]])</f>
        <v>1.0519568079907244</v>
      </c>
      <c r="JJ6" s="27">
        <f>PortfolioFrontier[[#This Row],[P67 Growth]]/PortfolioFrontier[[#This Row],[P67 HWM]]-1</f>
        <v>0</v>
      </c>
      <c r="JK6" s="28">
        <f>SUMPRODUCT(INDEX(PortfolioRef[[SPY]:[PE]],MATCH(JK$1,PortfolioRef[Reference '#]),0),AssetMonthlyReturns[[#This Row],[SPY]:[PE]])</f>
        <v>3.0361309541962058E-2</v>
      </c>
      <c r="JL6" s="27">
        <f>IF(ISNUMBER(JL5),JL5*(1+PortfolioFrontier[[#This Row],[P68 Return]]),1+PortfolioFrontier[[#This Row],[P68 Return]])</f>
        <v>1.0613595191114715</v>
      </c>
      <c r="JM6" s="27">
        <f>MAX(JM5,PortfolioFrontier[[#This Row],[P68 Growth]])</f>
        <v>1.0613595191114715</v>
      </c>
      <c r="JN6" s="27">
        <f>PortfolioFrontier[[#This Row],[P68 Growth]]/PortfolioFrontier[[#This Row],[P68 HWM]]-1</f>
        <v>0</v>
      </c>
      <c r="JO6" s="28">
        <f>SUMPRODUCT(INDEX(PortfolioRef[[SPY]:[PE]],MATCH(JO$1,PortfolioRef[Reference '#]),0),AssetMonthlyReturns[[#This Row],[SPY]:[PE]])</f>
        <v>2.9640444352366513E-2</v>
      </c>
      <c r="JP6" s="27">
        <f>IF(ISNUMBER(JP5),JP5*(1+PortfolioFrontier[[#This Row],[P69 Return]]),1+PortfolioFrontier[[#This Row],[P69 Return]])</f>
        <v>1.0564819109031929</v>
      </c>
      <c r="JQ6" s="27">
        <f>MAX(JQ5,PortfolioFrontier[[#This Row],[P69 Growth]])</f>
        <v>1.0564819109031929</v>
      </c>
      <c r="JR6" s="27">
        <f>PortfolioFrontier[[#This Row],[P69 Growth]]/PortfolioFrontier[[#This Row],[P69 HWM]]-1</f>
        <v>0</v>
      </c>
      <c r="JS6" s="28">
        <f>SUMPRODUCT(INDEX(PortfolioRef[[SPY]:[PE]],MATCH(JS$1,PortfolioRef[Reference '#]),0),AssetMonthlyReturns[[#This Row],[SPY]:[PE]])</f>
        <v>2.8919579162770971E-2</v>
      </c>
      <c r="JT6" s="27">
        <f>IF(ISNUMBER(JT5),JT5*(1+PortfolioFrontier[[#This Row],[P70 Return]]),1+PortfolioFrontier[[#This Row],[P70 Return]])</f>
        <v>1.051616457209422</v>
      </c>
      <c r="JU6" s="27">
        <f>MAX(JU5,PortfolioFrontier[[#This Row],[P70 Growth]])</f>
        <v>1.051616457209422</v>
      </c>
      <c r="JV6" s="27">
        <f>PortfolioFrontier[[#This Row],[P70 Growth]]/PortfolioFrontier[[#This Row],[P70 HWM]]-1</f>
        <v>0</v>
      </c>
      <c r="JW6" s="28">
        <f>SUMPRODUCT(INDEX(PortfolioRef[[SPY]:[PE]],MATCH(JW$1,PortfolioRef[Reference '#]),0),AssetMonthlyReturns[[#This Row],[SPY]:[PE]])</f>
        <v>2.9469307264111122E-2</v>
      </c>
      <c r="JX6" s="27">
        <f>IF(ISNUMBER(JX5),JX5*(1+PortfolioFrontier[[#This Row],[P71 Return]]),1+PortfolioFrontier[[#This Row],[P71 Return]])</f>
        <v>1.0579015445909599</v>
      </c>
      <c r="JY6" s="27">
        <f>MAX(JY5,PortfolioFrontier[[#This Row],[P71 Growth]])</f>
        <v>1.0579015445909599</v>
      </c>
      <c r="JZ6" s="27">
        <f>PortfolioFrontier[[#This Row],[P71 Growth]]/PortfolioFrontier[[#This Row],[P71 HWM]]-1</f>
        <v>0</v>
      </c>
      <c r="KA6" s="28">
        <f>SUMPRODUCT(INDEX(PortfolioRef[[SPY]:[PE]],MATCH(KA$1,PortfolioRef[Reference '#]),0),AssetMonthlyReturns[[#This Row],[SPY]:[PE]])</f>
        <v>2.874844207451558E-2</v>
      </c>
      <c r="KB6" s="27">
        <f>IF(ISNUMBER(KB5),KB5*(1+PortfolioFrontier[[#This Row],[P72 Return]]),1+PortfolioFrontier[[#This Row],[P72 Return]])</f>
        <v>1.0530457060891405</v>
      </c>
      <c r="KC6" s="27">
        <f>MAX(KC5,PortfolioFrontier[[#This Row],[P72 Growth]])</f>
        <v>1.0530457060891405</v>
      </c>
      <c r="KD6" s="27">
        <f>PortfolioFrontier[[#This Row],[P72 Growth]]/PortfolioFrontier[[#This Row],[P72 HWM]]-1</f>
        <v>0</v>
      </c>
      <c r="KE6" s="28">
        <f>SUMPRODUCT(INDEX(PortfolioRef[[SPY]:[PE]],MATCH(KE$1,PortfolioRef[Reference '#]),0),AssetMonthlyReturns[[#This Row],[SPY]:[PE]])</f>
        <v>3.1077057218695261E-2</v>
      </c>
      <c r="KF6" s="27">
        <f>IF(ISNUMBER(KF5),KF5*(1+PortfolioFrontier[[#This Row],[P73 Return]]),1+PortfolioFrontier[[#This Row],[P73 Return]])</f>
        <v>1.0624686478303629</v>
      </c>
      <c r="KG6" s="27">
        <f>MAX(KG5,PortfolioFrontier[[#This Row],[P73 Growth]])</f>
        <v>1.0624686478303629</v>
      </c>
      <c r="KH6" s="27">
        <f>PortfolioFrontier[[#This Row],[P73 Growth]]/PortfolioFrontier[[#This Row],[P73 HWM]]-1</f>
        <v>0</v>
      </c>
      <c r="KI6" s="28">
        <f>SUMPRODUCT(INDEX(PortfolioRef[[SPY]:[PE]],MATCH(KI$1,PortfolioRef[Reference '#]),0),AssetMonthlyReturns[[#This Row],[SPY]:[PE]])</f>
        <v>3.0356192029099716E-2</v>
      </c>
      <c r="KJ6" s="27">
        <f>IF(ISNUMBER(KJ5),KJ5*(1+PortfolioFrontier[[#This Row],[P74 Return]]),1+PortfolioFrontier[[#This Row],[P74 Return]])</f>
        <v>1.0575933470931147</v>
      </c>
      <c r="KK6" s="27">
        <f>MAX(KK5,PortfolioFrontier[[#This Row],[P74 Growth]])</f>
        <v>1.0575933470931147</v>
      </c>
      <c r="KL6" s="27">
        <f>PortfolioFrontier[[#This Row],[P74 Growth]]/PortfolioFrontier[[#This Row],[P74 HWM]]-1</f>
        <v>0</v>
      </c>
      <c r="KM6" s="28">
        <f>SUMPRODUCT(INDEX(PortfolioRef[[SPY]:[PE]],MATCH(KM$1,PortfolioRef[Reference '#]),0),AssetMonthlyReturns[[#This Row],[SPY]:[PE]])</f>
        <v>2.9635326839504175E-2</v>
      </c>
      <c r="KN6" s="27">
        <f>IF(ISNUMBER(KN5),KN5*(1+PortfolioFrontier[[#This Row],[P75 Return]]),1+PortfolioFrontier[[#This Row],[P75 Return]])</f>
        <v>1.0527301976831096</v>
      </c>
      <c r="KO6" s="27">
        <f>MAX(KO5,PortfolioFrontier[[#This Row],[P75 Growth]])</f>
        <v>1.0527301976831096</v>
      </c>
      <c r="KP6" s="27">
        <f>PortfolioFrontier[[#This Row],[P75 Growth]]/PortfolioFrontier[[#This Row],[P75 HWM]]-1</f>
        <v>0</v>
      </c>
      <c r="KQ6" s="28">
        <f>SUMPRODUCT(INDEX(PortfolioRef[[SPY]:[PE]],MATCH(KQ$1,PortfolioRef[Reference '#]),0),AssetMonthlyReturns[[#This Row],[SPY]:[PE]])</f>
        <v>3.2684807173279394E-2</v>
      </c>
      <c r="KR6" s="27">
        <f>IF(ISNUMBER(KR5),KR5*(1+PortfolioFrontier[[#This Row],[P76 Return]]),1+PortfolioFrontier[[#This Row],[P76 Return]])</f>
        <v>1.0670318778728161</v>
      </c>
      <c r="KS6" s="27">
        <f>MAX(KS5,PortfolioFrontier[[#This Row],[P76 Growth]])</f>
        <v>1.0670318778728161</v>
      </c>
      <c r="KT6" s="27">
        <f>PortfolioFrontier[[#This Row],[P76 Growth]]/PortfolioFrontier[[#This Row],[P76 HWM]]-1</f>
        <v>0</v>
      </c>
      <c r="KU6" s="28">
        <f>SUMPRODUCT(INDEX(PortfolioRef[[SPY]:[PE]],MATCH(KU$1,PortfolioRef[Reference '#]),0),AssetMonthlyReturns[[#This Row],[SPY]:[PE]])</f>
        <v>3.1963941983683852E-2</v>
      </c>
      <c r="KV6" s="27">
        <f>IF(ISNUMBER(KV5),KV5*(1+PortfolioFrontier[[#This Row],[P77 Return]]),1+PortfolioFrontier[[#This Row],[P77 Return]])</f>
        <v>1.062137089642339</v>
      </c>
      <c r="KW6" s="27">
        <f>MAX(KW5,PortfolioFrontier[[#This Row],[P77 Growth]])</f>
        <v>1.062137089642339</v>
      </c>
      <c r="KX6" s="27">
        <f>PortfolioFrontier[[#This Row],[P77 Growth]]/PortfolioFrontier[[#This Row],[P77 HWM]]-1</f>
        <v>0</v>
      </c>
      <c r="KY6" s="28">
        <f>SUMPRODUCT(INDEX(PortfolioRef[[SPY]:[PE]],MATCH(KY$1,PortfolioRef[Reference '#]),0),AssetMonthlyReturns[[#This Row],[SPY]:[PE]])</f>
        <v>3.1243076794088307E-2</v>
      </c>
      <c r="KZ6" s="27">
        <f>IF(ISNUMBER(KZ5),KZ5*(1+PortfolioFrontier[[#This Row],[P78 Return]]),1+PortfolioFrontier[[#This Row],[P78 Return]])</f>
        <v>1.0572544780662676</v>
      </c>
      <c r="LA6" s="27">
        <f>MAX(LA5,PortfolioFrontier[[#This Row],[P78 Growth]])</f>
        <v>1.0572544780662676</v>
      </c>
      <c r="LB6" s="27">
        <f>PortfolioFrontier[[#This Row],[P78 Growth]]/PortfolioFrontier[[#This Row],[P78 HWM]]-1</f>
        <v>0</v>
      </c>
      <c r="LC6" s="28">
        <f>SUMPRODUCT(INDEX(PortfolioRef[[SPY]:[PE]],MATCH(LC$1,PortfolioRef[Reference '#]),0),AssetMonthlyReturns[[#This Row],[SPY]:[PE]])</f>
        <v>3.1792804895428461E-2</v>
      </c>
      <c r="LD6" s="27">
        <f>IF(ISNUMBER(LD5),LD5*(1+PortfolioFrontier[[#This Row],[P79 Return]]),1+PortfolioFrontier[[#This Row],[P79 Return]])</f>
        <v>1.063555872520046</v>
      </c>
      <c r="LE6" s="27">
        <f>MAX(LE5,PortfolioFrontier[[#This Row],[P79 Growth]])</f>
        <v>1.063555872520046</v>
      </c>
      <c r="LF6" s="27">
        <f>PortfolioFrontier[[#This Row],[P79 Growth]]/PortfolioFrontier[[#This Row],[P79 HWM]]-1</f>
        <v>0</v>
      </c>
      <c r="LG6" s="28">
        <f>SUMPRODUCT(INDEX(PortfolioRef[[SPY]:[PE]],MATCH(LG$1,PortfolioRef[Reference '#]),0),AssetMonthlyReturns[[#This Row],[SPY]:[PE]])</f>
        <v>3.1071939705832916E-2</v>
      </c>
      <c r="LH6" s="27">
        <f>IF(ISNUMBER(LH5),LH5*(1+PortfolioFrontier[[#This Row],[P80 Return]]),1+PortfolioFrontier[[#This Row],[P80 Return]])</f>
        <v>1.058682902478375</v>
      </c>
      <c r="LI6" s="27">
        <f>MAX(LI5,PortfolioFrontier[[#This Row],[P80 Growth]])</f>
        <v>1.058682902478375</v>
      </c>
      <c r="LJ6" s="27">
        <f>PortfolioFrontier[[#This Row],[P80 Growth]]/PortfolioFrontier[[#This Row],[P80 HWM]]-1</f>
        <v>0</v>
      </c>
      <c r="LK6" s="28">
        <f>SUMPRODUCT(INDEX(PortfolioRef[[SPY]:[PE]],MATCH(LK$1,PortfolioRef[Reference '#]),0),AssetMonthlyReturns[[#This Row],[SPY]:[PE]])</f>
        <v>3.0351074516237374E-2</v>
      </c>
      <c r="LL6" s="27">
        <f>IF(ISNUMBER(LL5),LL5*(1+PortfolioFrontier[[#This Row],[P81 Return]]),1+PortfolioFrontier[[#This Row],[P81 Return]])</f>
        <v>1.0538220805766811</v>
      </c>
      <c r="LM6" s="27">
        <f>MAX(LM5,PortfolioFrontier[[#This Row],[P81 Growth]])</f>
        <v>1.0538220805766811</v>
      </c>
      <c r="LN6" s="27">
        <f>PortfolioFrontier[[#This Row],[P81 Growth]]/PortfolioFrontier[[#This Row],[P81 HWM]]-1</f>
        <v>0</v>
      </c>
      <c r="LO6" s="28">
        <f>SUMPRODUCT(INDEX(PortfolioRef[[SPY]:[PE]],MATCH(LO$1,PortfolioRef[Reference '#]),0),AssetMonthlyReturns[[#This Row],[SPY]:[PE]])</f>
        <v>3.3400554850012601E-2</v>
      </c>
      <c r="LP6" s="27">
        <f>IF(ISNUMBER(LP5),LP5*(1+PortfolioFrontier[[#This Row],[P82 Return]]),1+PortfolioFrontier[[#This Row],[P82 Return]])</f>
        <v>1.0681416999632878</v>
      </c>
      <c r="LQ6" s="27">
        <f>MAX(LQ5,PortfolioFrontier[[#This Row],[P82 Growth]])</f>
        <v>1.0681416999632878</v>
      </c>
      <c r="LR6" s="27">
        <f>PortfolioFrontier[[#This Row],[P82 Growth]]/PortfolioFrontier[[#This Row],[P82 HWM]]-1</f>
        <v>0</v>
      </c>
      <c r="LS6" s="28">
        <f>SUMPRODUCT(INDEX(PortfolioRef[[SPY]:[PE]],MATCH(LS$1,PortfolioRef[Reference '#]),0),AssetMonthlyReturns[[#This Row],[SPY]:[PE]])</f>
        <v>3.2679689660417052E-2</v>
      </c>
      <c r="LT6" s="27">
        <f>IF(ISNUMBER(LT5),LT5*(1+PortfolioFrontier[[#This Row],[P83 Return]]),1+PortfolioFrontier[[#This Row],[P83 Return]])</f>
        <v>1.0632492293054709</v>
      </c>
      <c r="LU6" s="27">
        <f>MAX(LU5,PortfolioFrontier[[#This Row],[P83 Growth]])</f>
        <v>1.0632492293054709</v>
      </c>
      <c r="LV6" s="27">
        <f>PortfolioFrontier[[#This Row],[P83 Growth]]/PortfolioFrontier[[#This Row],[P83 HWM]]-1</f>
        <v>0</v>
      </c>
      <c r="LW6" s="28">
        <f>SUMPRODUCT(INDEX(PortfolioRef[[SPY]:[PE]],MATCH(LW$1,PortfolioRef[Reference '#]),0),AssetMonthlyReturns[[#This Row],[SPY]:[PE]])</f>
        <v>3.1958824470821511E-2</v>
      </c>
      <c r="LX6" s="27">
        <f>IF(ISNUMBER(LX5),LX5*(1+PortfolioFrontier[[#This Row],[P84 Return]]),1+PortfolioFrontier[[#This Row],[P84 Return]])</f>
        <v>1.0583689321147942</v>
      </c>
      <c r="LY6" s="27">
        <f>MAX(LY5,PortfolioFrontier[[#This Row],[P84 Growth]])</f>
        <v>1.0583689321147942</v>
      </c>
      <c r="LZ6" s="27">
        <f>PortfolioFrontier[[#This Row],[P84 Growth]]/PortfolioFrontier[[#This Row],[P84 HWM]]-1</f>
        <v>0</v>
      </c>
      <c r="MA6" s="28">
        <f>SUMPRODUCT(INDEX(PortfolioRef[[SPY]:[PE]],MATCH(MA$1,PortfolioRef[Reference '#]),0),AssetMonthlyReturns[[#This Row],[SPY]:[PE]])</f>
        <v>3.5008304804596733E-2</v>
      </c>
      <c r="MB6" s="27">
        <f>IF(ISNUMBER(MB5),MB5*(1+PortfolioFrontier[[#This Row],[P85 Return]]),1+PortfolioFrontier[[#This Row],[P85 Return]])</f>
        <v>1.0727236470260215</v>
      </c>
      <c r="MC6" s="27">
        <f>MAX(MC5,PortfolioFrontier[[#This Row],[P85 Growth]])</f>
        <v>1.0727236470260215</v>
      </c>
      <c r="MD6" s="27">
        <f>PortfolioFrontier[[#This Row],[P85 Growth]]/PortfolioFrontier[[#This Row],[P85 HWM]]-1</f>
        <v>0</v>
      </c>
      <c r="ME6" s="28">
        <f>SUMPRODUCT(INDEX(PortfolioRef[[SPY]:[PE]],MATCH(ME$1,PortfolioRef[Reference '#]),0),AssetMonthlyReturns[[#This Row],[SPY]:[PE]])</f>
        <v>3.4287439615001192E-2</v>
      </c>
      <c r="MF6" s="27">
        <f>IF(ISNUMBER(MF5),MF5*(1+PortfolioFrontier[[#This Row],[P86 Return]]),1+PortfolioFrontier[[#This Row],[P86 Return]])</f>
        <v>1.0678116504942585</v>
      </c>
      <c r="MG6" s="27">
        <f>MAX(MG5,PortfolioFrontier[[#This Row],[P86 Growth]])</f>
        <v>1.0678116504942585</v>
      </c>
      <c r="MH6" s="27">
        <f>PortfolioFrontier[[#This Row],[P86 Growth]]/PortfolioFrontier[[#This Row],[P86 HWM]]-1</f>
        <v>0</v>
      </c>
      <c r="MI6" s="28">
        <f>SUMPRODUCT(INDEX(PortfolioRef[[SPY]:[PE]],MATCH(MI$1,PortfolioRef[Reference '#]),0),AssetMonthlyReturns[[#This Row],[SPY]:[PE]])</f>
        <v>3.356657442540565E-2</v>
      </c>
      <c r="MJ6" s="27">
        <f>IF(ISNUMBER(MJ5),MJ5*(1+PortfolioFrontier[[#This Row],[P87 Return]]),1+PortfolioFrontier[[#This Row],[P87 Return]])</f>
        <v>1.0629118527567989</v>
      </c>
      <c r="MK6" s="27">
        <f>MAX(MK5,PortfolioFrontier[[#This Row],[P87 Growth]])</f>
        <v>1.0629118527567989</v>
      </c>
      <c r="ML6" s="27">
        <f>PortfolioFrontier[[#This Row],[P87 Growth]]/PortfolioFrontier[[#This Row],[P87 HWM]]-1</f>
        <v>0</v>
      </c>
      <c r="MM6" s="28">
        <f>SUMPRODUCT(INDEX(PortfolioRef[[SPY]:[PE]],MATCH(MM$1,PortfolioRef[Reference '#]),0),AssetMonthlyReturns[[#This Row],[SPY]:[PE]])</f>
        <v>3.4116302526745801E-2</v>
      </c>
      <c r="MN6" s="27">
        <f>IF(ISNUMBER(MN5),MN5*(1+PortfolioFrontier[[#This Row],[P88 Return]]),1+PortfolioFrontier[[#This Row],[P88 Return]])</f>
        <v>1.0692295641878635</v>
      </c>
      <c r="MO6" s="27">
        <f>MAX(MO5,PortfolioFrontier[[#This Row],[P88 Growth]])</f>
        <v>1.0692295641878635</v>
      </c>
      <c r="MP6" s="27">
        <f>PortfolioFrontier[[#This Row],[P88 Growth]]/PortfolioFrontier[[#This Row],[P88 HWM]]-1</f>
        <v>0</v>
      </c>
      <c r="MQ6" s="28">
        <f>SUMPRODUCT(INDEX(PortfolioRef[[SPY]:[PE]],MATCH(MQ$1,PortfolioRef[Reference '#]),0),AssetMonthlyReturns[[#This Row],[SPY]:[PE]])</f>
        <v>3.3395437337150259E-2</v>
      </c>
      <c r="MR6" s="27">
        <f>IF(ISNUMBER(MR5),MR5*(1+PortfolioFrontier[[#This Row],[P89 Return]]),1+PortfolioFrontier[[#This Row],[P89 Return]])</f>
        <v>1.0643394343272528</v>
      </c>
      <c r="MS6" s="27">
        <f>MAX(MS5,PortfolioFrontier[[#This Row],[P89 Growth]])</f>
        <v>1.0643394343272528</v>
      </c>
      <c r="MT6" s="27">
        <f>PortfolioFrontier[[#This Row],[P89 Growth]]/PortfolioFrontier[[#This Row],[P89 HWM]]-1</f>
        <v>0</v>
      </c>
      <c r="MU6" s="28">
        <f>SUMPRODUCT(INDEX(PortfolioRef[[SPY]:[PE]],MATCH(MU$1,PortfolioRef[Reference '#]),0),AssetMonthlyReturns[[#This Row],[SPY]:[PE]])</f>
        <v>3.2674572147554717E-2</v>
      </c>
      <c r="MV6" s="27">
        <f>IF(ISNUMBER(MV5),MV5*(1+PortfolioFrontier[[#This Row],[P90 Return]]),1+PortfolioFrontier[[#This Row],[P90 Return]])</f>
        <v>1.059461474746517</v>
      </c>
      <c r="MW6" s="27">
        <f>MAX(MW5,PortfolioFrontier[[#This Row],[P90 Growth]])</f>
        <v>1.059461474746517</v>
      </c>
      <c r="MX6" s="27">
        <f>PortfolioFrontier[[#This Row],[P90 Growth]]/PortfolioFrontier[[#This Row],[P90 HWM]]-1</f>
        <v>0</v>
      </c>
      <c r="MY6" s="28">
        <f>SUMPRODUCT(INDEX(PortfolioRef[[SPY]:[PE]],MATCH(MY$1,PortfolioRef[Reference '#]),0),AssetMonthlyReturns[[#This Row],[SPY]:[PE]])</f>
        <v>3.572405248132994E-2</v>
      </c>
      <c r="MZ6" s="27">
        <f>IF(ISNUMBER(MZ5),MZ5*(1+PortfolioFrontier[[#This Row],[P91 Return]]),1+PortfolioFrontier[[#This Row],[P91 Return]])</f>
        <v>1.0738341548377508</v>
      </c>
      <c r="NA6" s="27">
        <f>MAX(NA5,PortfolioFrontier[[#This Row],[P91 Growth]])</f>
        <v>1.0738341548377508</v>
      </c>
      <c r="NB6" s="27">
        <f>PortfolioFrontier[[#This Row],[P91 Growth]]/PortfolioFrontier[[#This Row],[P91 HWM]]-1</f>
        <v>0</v>
      </c>
      <c r="NC6" s="28">
        <f>SUMPRODUCT(INDEX(PortfolioRef[[SPY]:[PE]],MATCH(NC$1,PortfolioRef[Reference '#]),0),AssetMonthlyReturns[[#This Row],[SPY]:[PE]])</f>
        <v>3.5003187291734392E-2</v>
      </c>
      <c r="ND6" s="27">
        <f>IF(ISNUMBER(ND5),ND5*(1+PortfolioFrontier[[#This Row],[P92 Return]]),1+PortfolioFrontier[[#This Row],[P92 Return]])</f>
        <v>1.0689244859802776</v>
      </c>
      <c r="NE6" s="27">
        <f>MAX(NE5,PortfolioFrontier[[#This Row],[P92 Growth]])</f>
        <v>1.0689244859802776</v>
      </c>
      <c r="NF6" s="27">
        <f>PortfolioFrontier[[#This Row],[P92 Growth]]/PortfolioFrontier[[#This Row],[P92 HWM]]-1</f>
        <v>0</v>
      </c>
      <c r="NG6" s="28">
        <f>SUMPRODUCT(INDEX(PortfolioRef[[SPY]:[PE]],MATCH(NG$1,PortfolioRef[Reference '#]),0),AssetMonthlyReturns[[#This Row],[SPY]:[PE]])</f>
        <v>3.4282322102138857E-2</v>
      </c>
      <c r="NH6" s="27">
        <f>IF(ISNUMBER(NH5),NH5*(1+PortfolioFrontier[[#This Row],[P93 Return]]),1+PortfolioFrontier[[#This Row],[P93 Return]])</f>
        <v>1.0640270127298419</v>
      </c>
      <c r="NI6" s="27">
        <f>MAX(NI5,PortfolioFrontier[[#This Row],[P93 Growth]])</f>
        <v>1.0640270127298419</v>
      </c>
      <c r="NJ6" s="27">
        <f>PortfolioFrontier[[#This Row],[P93 Growth]]/PortfolioFrontier[[#This Row],[P93 HWM]]-1</f>
        <v>0</v>
      </c>
      <c r="NK6" s="28">
        <f>SUMPRODUCT(INDEX(PortfolioRef[[SPY]:[PE]],MATCH(NK$1,PortfolioRef[Reference '#]),0),AssetMonthlyReturns[[#This Row],[SPY]:[PE]])</f>
        <v>3.7331802435914073E-2</v>
      </c>
      <c r="NL6" s="27">
        <f>IF(ISNUMBER(NL5),NL5*(1+PortfolioFrontier[[#This Row],[P94 Return]]),1+PortfolioFrontier[[#This Row],[P94 Return]])</f>
        <v>1.0784348579235736</v>
      </c>
      <c r="NM6" s="27">
        <f>MAX(NM5,PortfolioFrontier[[#This Row],[P94 Growth]])</f>
        <v>1.0784348579235736</v>
      </c>
      <c r="NN6" s="27">
        <f>PortfolioFrontier[[#This Row],[P94 Growth]]/PortfolioFrontier[[#This Row],[P94 HWM]]-1</f>
        <v>0</v>
      </c>
      <c r="NO6" s="28">
        <f>SUMPRODUCT(INDEX(PortfolioRef[[SPY]:[PE]],MATCH(NO$1,PortfolioRef[Reference '#]),0),AssetMonthlyReturns[[#This Row],[SPY]:[PE]])</f>
        <v>3.6610937246318531E-2</v>
      </c>
      <c r="NP6" s="27">
        <f>IF(ISNUMBER(NP5),NP5*(1+PortfolioFrontier[[#This Row],[P95 Return]]),1+PortfolioFrontier[[#This Row],[P95 Return]])</f>
        <v>1.0735056248114374</v>
      </c>
      <c r="NQ6" s="27">
        <f>MAX(NQ5,PortfolioFrontier[[#This Row],[P95 Growth]])</f>
        <v>1.0735056248114374</v>
      </c>
      <c r="NR6" s="27">
        <f>PortfolioFrontier[[#This Row],[P95 Growth]]/PortfolioFrontier[[#This Row],[P95 HWM]]-1</f>
        <v>0</v>
      </c>
      <c r="NS6" s="28">
        <f>SUMPRODUCT(INDEX(PortfolioRef[[SPY]:[PE]],MATCH(NS$1,PortfolioRef[Reference '#]),0),AssetMonthlyReturns[[#This Row],[SPY]:[PE]])</f>
        <v>3.5890072056722989E-2</v>
      </c>
      <c r="NT6" s="27">
        <f>IF(ISNUMBER(NT5),NT5*(1+PortfolioFrontier[[#This Row],[P96 Return]]),1+PortfolioFrontier[[#This Row],[P96 Return]])</f>
        <v>1.0685886126335014</v>
      </c>
      <c r="NU6" s="27">
        <f>MAX(NU5,PortfolioFrontier[[#This Row],[P96 Growth]])</f>
        <v>1.0685886126335014</v>
      </c>
      <c r="NV6" s="27">
        <f>PortfolioFrontier[[#This Row],[P96 Growth]]/PortfolioFrontier[[#This Row],[P96 HWM]]-1</f>
        <v>0</v>
      </c>
      <c r="NW6" s="28">
        <f>SUMPRODUCT(INDEX(PortfolioRef[[SPY]:[PE]],MATCH(NW$1,PortfolioRef[Reference '#]),0),AssetMonthlyReturns[[#This Row],[SPY]:[PE]])</f>
        <v>2.3897822270387215E-2</v>
      </c>
      <c r="NX6" s="27">
        <f>IF(ISNUMBER(NX5),NX5*(1+PortfolioFrontier[[#This Row],[P97 Return]]),1+PortfolioFrontier[[#This Row],[P97 Return]])</f>
        <v>1.0484110933688224</v>
      </c>
      <c r="NY6" s="27">
        <f>MAX(NY5,PortfolioFrontier[[#This Row],[P97 Growth]])</f>
        <v>1.0484110933688224</v>
      </c>
      <c r="NZ6" s="27">
        <f>PortfolioFrontier[[#This Row],[P97 Growth]]/PortfolioFrontier[[#This Row],[P97 HWM]]-1</f>
        <v>0</v>
      </c>
      <c r="OA6" s="28">
        <f>SUMPRODUCT(INDEX(PortfolioRef[[SPY]:[PE]],MATCH(OA$1,PortfolioRef[Reference '#]),0),AssetMonthlyReturns[[#This Row],[SPY]:[PE]])</f>
        <v>2.4613569947120419E-2</v>
      </c>
      <c r="OB6" s="27">
        <f>IF(ISNUMBER(OB5),OB5*(1+PortfolioFrontier[[#This Row],[P98 Return]]),1+PortfolioFrontier[[#This Row],[P98 Return]])</f>
        <v>1.0495119600802785</v>
      </c>
      <c r="OC6" s="27">
        <f>MAX(OC5,PortfolioFrontier[[#This Row],[P98 Growth]])</f>
        <v>1.0495119600802785</v>
      </c>
      <c r="OD6" s="27">
        <f>PortfolioFrontier[[#This Row],[P98 Growth]]/PortfolioFrontier[[#This Row],[P98 HWM]]-1</f>
        <v>0</v>
      </c>
      <c r="OE6" s="28">
        <f>SUMPRODUCT(INDEX(PortfolioRef[[SPY]:[PE]],MATCH(OE$1,PortfolioRef[Reference '#]),0),AssetMonthlyReturns[[#This Row],[SPY]:[PE]])</f>
        <v>2.6221319901704551E-2</v>
      </c>
      <c r="OF6" s="27">
        <f>IF(ISNUMBER(OF5),OF5*(1+PortfolioFrontier[[#This Row],[P99 Return]]),1+PortfolioFrontier[[#This Row],[P99 Return]])</f>
        <v>1.0540388768476066</v>
      </c>
      <c r="OG6" s="27">
        <f>MAX(OG5,PortfolioFrontier[[#This Row],[P99 Growth]])</f>
        <v>1.0540388768476066</v>
      </c>
      <c r="OH6" s="27">
        <f>PortfolioFrontier[[#This Row],[P99 Growth]]/PortfolioFrontier[[#This Row],[P99 HWM]]-1</f>
        <v>0</v>
      </c>
      <c r="OI6" s="28">
        <f>SUMPRODUCT(INDEX(PortfolioRef[[SPY]:[PE]],MATCH(OI$1,PortfolioRef[Reference '#]),0),AssetMonthlyReturns[[#This Row],[SPY]:[PE]])</f>
        <v>2.5500454712109009E-2</v>
      </c>
      <c r="OJ6" s="27">
        <f>IF(ISNUMBER(OJ5),OJ5*(1+PortfolioFrontier[[#This Row],[P100 Return]]),1+PortfolioFrontier[[#This Row],[P100 Return]])</f>
        <v>1.0491869354790497</v>
      </c>
      <c r="OK6" s="27">
        <f>MAX(OK5,PortfolioFrontier[[#This Row],[P100 Growth]])</f>
        <v>1.0491869354790497</v>
      </c>
      <c r="OL6" s="27">
        <f>PortfolioFrontier[[#This Row],[P100 Growth]]/PortfolioFrontier[[#This Row],[P100 HWM]]-1</f>
        <v>0</v>
      </c>
      <c r="OM6" s="28">
        <f>SUMPRODUCT(INDEX(PortfolioRef[[SPY]:[PE]],MATCH(OM$1,PortfolioRef[Reference '#]),0),AssetMonthlyReturns[[#This Row],[SPY]:[PE]])</f>
        <v>2.5329317623853622E-2</v>
      </c>
      <c r="ON6" s="27">
        <f>IF(ISNUMBER(ON5),ON5*(1+PortfolioFrontier[[#This Row],[P101 Return]]),1+PortfolioFrontier[[#This Row],[P101 Return]])</f>
        <v>1.05059106106777</v>
      </c>
      <c r="OO6" s="27">
        <f>MAX(OO5,PortfolioFrontier[[#This Row],[P101 Growth]])</f>
        <v>1.05059106106777</v>
      </c>
      <c r="OP6" s="27">
        <f>PortfolioFrontier[[#This Row],[P101 Growth]]/PortfolioFrontier[[#This Row],[P101 HWM]]-1</f>
        <v>0</v>
      </c>
      <c r="OQ6" s="28">
        <f>SUMPRODUCT(INDEX(PortfolioRef[[SPY]:[PE]],MATCH(OQ$1,PortfolioRef[Reference '#]),0),AssetMonthlyReturns[[#This Row],[SPY]:[PE]])</f>
        <v>2.6937067578437758E-2</v>
      </c>
      <c r="OR6" s="27">
        <f>IF(ISNUMBER(OR5),OR5*(1+PortfolioFrontier[[#This Row],[P102 Return]]),1+PortfolioFrontier[[#This Row],[P102 Return]])</f>
        <v>1.0551404417516972</v>
      </c>
      <c r="OS6" s="27">
        <f>MAX(OS5,PortfolioFrontier[[#This Row],[P102 Growth]])</f>
        <v>1.0551404417516972</v>
      </c>
      <c r="OT6" s="27">
        <f>PortfolioFrontier[[#This Row],[P102 Growth]]/PortfolioFrontier[[#This Row],[P102 HWM]]-1</f>
        <v>0</v>
      </c>
      <c r="OU6" s="28">
        <f>SUMPRODUCT(INDEX(PortfolioRef[[SPY]:[PE]],MATCH(OU$1,PortfolioRef[Reference '#]),0),AssetMonthlyReturns[[#This Row],[SPY]:[PE]])</f>
        <v>2.6216202388842216E-2</v>
      </c>
      <c r="OV6" s="27">
        <f>IF(ISNUMBER(OV5),OV5*(1+PortfolioFrontier[[#This Row],[P103 Return]]),1+PortfolioFrontier[[#This Row],[P103 Return]])</f>
        <v>1.050290793565243</v>
      </c>
      <c r="OW6" s="27">
        <f>MAX(OW5,PortfolioFrontier[[#This Row],[P103 Growth]])</f>
        <v>1.050290793565243</v>
      </c>
      <c r="OX6" s="27">
        <f>PortfolioFrontier[[#This Row],[P103 Growth]]/PortfolioFrontier[[#This Row],[P103 HWM]]-1</f>
        <v>0</v>
      </c>
      <c r="OY6" s="28">
        <f>SUMPRODUCT(INDEX(PortfolioRef[[SPY]:[PE]],MATCH(OY$1,PortfolioRef[Reference '#]),0),AssetMonthlyReturns[[#This Row],[SPY]:[PE]])</f>
        <v>2.8544817533021898E-2</v>
      </c>
      <c r="OZ6" s="27">
        <f>IF(ISNUMBER(OZ5),OZ5*(1+PortfolioFrontier[[#This Row],[P104 Return]]),1+PortfolioFrontier[[#This Row],[P104 Return]])</f>
        <v>1.0596859973699932</v>
      </c>
      <c r="PA6" s="27">
        <f>MAX(PA5,PortfolioFrontier[[#This Row],[P104 Growth]])</f>
        <v>1.0596859973699932</v>
      </c>
      <c r="PB6" s="27">
        <f>PortfolioFrontier[[#This Row],[P104 Growth]]/PortfolioFrontier[[#This Row],[P104 HWM]]-1</f>
        <v>0</v>
      </c>
      <c r="PC6" s="28">
        <f>SUMPRODUCT(INDEX(PortfolioRef[[SPY]:[PE]],MATCH(PC$1,PortfolioRef[Reference '#]),0),AssetMonthlyReturns[[#This Row],[SPY]:[PE]])</f>
        <v>2.7823952343426349E-2</v>
      </c>
      <c r="PD6" s="27">
        <f>IF(ISNUMBER(PD5),PD5*(1+PortfolioFrontier[[#This Row],[P105 Return]]),1+PortfolioFrontier[[#This Row],[P105 Return]])</f>
        <v>1.0548169175297899</v>
      </c>
      <c r="PE6" s="27">
        <f>MAX(PE5,PortfolioFrontier[[#This Row],[P105 Growth]])</f>
        <v>1.0548169175297899</v>
      </c>
      <c r="PF6" s="27">
        <f>PortfolioFrontier[[#This Row],[P105 Growth]]/PortfolioFrontier[[#This Row],[P105 HWM]]-1</f>
        <v>0</v>
      </c>
      <c r="PG6" s="28">
        <f>SUMPRODUCT(INDEX(PortfolioRef[[SPY]:[PE]],MATCH(PG$1,PortfolioRef[Reference '#]),0),AssetMonthlyReturns[[#This Row],[SPY]:[PE]])</f>
        <v>2.7103087153830807E-2</v>
      </c>
      <c r="PH6" s="27">
        <f>IF(ISNUMBER(PH5),PH5*(1+PortfolioFrontier[[#This Row],[P106 Return]]),1+PortfolioFrontier[[#This Row],[P106 Return]])</f>
        <v>1.0499599790437477</v>
      </c>
      <c r="PI6" s="27">
        <f>MAX(PI5,PortfolioFrontier[[#This Row],[P106 Growth]])</f>
        <v>1.0499599790437477</v>
      </c>
      <c r="PJ6" s="27">
        <f>PortfolioFrontier[[#This Row],[P106 Growth]]/PortfolioFrontier[[#This Row],[P106 HWM]]-1</f>
        <v>0</v>
      </c>
      <c r="PK6" s="28">
        <f>SUMPRODUCT(INDEX(PortfolioRef[[SPY]:[PE]],MATCH(PK$1,PortfolioRef[Reference '#]),0),AssetMonthlyReturns[[#This Row],[SPY]:[PE]])</f>
        <v>2.7652815255170958E-2</v>
      </c>
      <c r="PL6" s="27">
        <f>IF(ISNUMBER(PL5),PL5*(1+PortfolioFrontier[[#This Row],[P107 Return]]),1+PortfolioFrontier[[#This Row],[P107 Return]])</f>
        <v>1.0562201870951351</v>
      </c>
      <c r="PM6" s="27">
        <f>MAX(PM5,PortfolioFrontier[[#This Row],[P107 Growth]])</f>
        <v>1.0562201870951351</v>
      </c>
      <c r="PN6" s="27">
        <f>PortfolioFrontier[[#This Row],[P107 Growth]]/PortfolioFrontier[[#This Row],[P107 HWM]]-1</f>
        <v>0</v>
      </c>
      <c r="PO6" s="28">
        <f>SUMPRODUCT(INDEX(PortfolioRef[[SPY]:[PE]],MATCH(PO$1,PortfolioRef[Reference '#]),0),AssetMonthlyReturns[[#This Row],[SPY]:[PE]])</f>
        <v>2.6931950065575416E-2</v>
      </c>
      <c r="PP6" s="27">
        <f>IF(ISNUMBER(PP5),PP5*(1+PortfolioFrontier[[#This Row],[P108 Return]]),1+PortfolioFrontier[[#This Row],[P108 Return]])</f>
        <v>1.051372855315329</v>
      </c>
      <c r="PQ6" s="27">
        <f>MAX(PQ5,PortfolioFrontier[[#This Row],[P108 Growth]])</f>
        <v>1.051372855315329</v>
      </c>
      <c r="PR6" s="27">
        <f>PortfolioFrontier[[#This Row],[P108 Growth]]/PortfolioFrontier[[#This Row],[P108 HWM]]-1</f>
        <v>0</v>
      </c>
      <c r="PS6" s="28">
        <f>SUMPRODUCT(INDEX(PortfolioRef[[SPY]:[PE]],MATCH(PS$1,PortfolioRef[Reference '#]),0),AssetMonthlyReturns[[#This Row],[SPY]:[PE]])</f>
        <v>2.9260565209755098E-2</v>
      </c>
      <c r="PT6" s="27">
        <f>IF(ISNUMBER(PT5),PT5*(1+PortfolioFrontier[[#This Row],[P109 Return]]),1+PortfolioFrontier[[#This Row],[P109 Return]])</f>
        <v>1.0607882528163963</v>
      </c>
      <c r="PU6" s="27">
        <f>MAX(PU5,PortfolioFrontier[[#This Row],[P109 Growth]])</f>
        <v>1.0607882528163963</v>
      </c>
      <c r="PV6" s="27">
        <f>PortfolioFrontier[[#This Row],[P109 Growth]]/PortfolioFrontier[[#This Row],[P109 HWM]]-1</f>
        <v>0</v>
      </c>
      <c r="PW6" s="28">
        <f>SUMPRODUCT(INDEX(PortfolioRef[[SPY]:[PE]],MATCH(PW$1,PortfolioRef[Reference '#]),0),AssetMonthlyReturns[[#This Row],[SPY]:[PE]])</f>
        <v>2.8539700020159552E-2</v>
      </c>
      <c r="PX6" s="27">
        <f>IF(ISNUMBER(PX5),PX5*(1+PortfolioFrontier[[#This Row],[P110 Return]]),1+PortfolioFrontier[[#This Row],[P110 Return]])</f>
        <v>1.0559214762599245</v>
      </c>
      <c r="PY6" s="27">
        <f>MAX(PY5,PortfolioFrontier[[#This Row],[P110 Growth]])</f>
        <v>1.0559214762599245</v>
      </c>
      <c r="PZ6" s="27">
        <f>PortfolioFrontier[[#This Row],[P110 Growth]]/PortfolioFrontier[[#This Row],[P110 HWM]]-1</f>
        <v>0</v>
      </c>
      <c r="QA6" s="28">
        <f>SUMPRODUCT(INDEX(PortfolioRef[[SPY]:[PE]],MATCH(QA$1,PortfolioRef[Reference '#]),0),AssetMonthlyReturns[[#This Row],[SPY]:[PE]])</f>
        <v>2.7818834830564011E-2</v>
      </c>
      <c r="QB6" s="27">
        <f>IF(ISNUMBER(QB5),QB5*(1+PortfolioFrontier[[#This Row],[P111 Return]]),1+PortfolioFrontier[[#This Row],[P111 Return]])</f>
        <v>1.0510668378703485</v>
      </c>
      <c r="QC6" s="27">
        <f>MAX(QC5,PortfolioFrontier[[#This Row],[P111 Growth]])</f>
        <v>1.0510668378703485</v>
      </c>
      <c r="QD6" s="27">
        <f>PortfolioFrontier[[#This Row],[P111 Growth]]/PortfolioFrontier[[#This Row],[P111 HWM]]-1</f>
        <v>0</v>
      </c>
      <c r="QE6" s="28">
        <f>SUMPRODUCT(INDEX(PortfolioRef[[SPY]:[PE]],MATCH(QE$1,PortfolioRef[Reference '#]),0),AssetMonthlyReturns[[#This Row],[SPY]:[PE]])</f>
        <v>3.0868315164339234E-2</v>
      </c>
      <c r="QF6" s="27">
        <f>IF(ISNUMBER(QF5),QF5*(1+PortfolioFrontier[[#This Row],[P112 Return]]),1+PortfolioFrontier[[#This Row],[P112 Return]])</f>
        <v>1.0653524862884685</v>
      </c>
      <c r="QG6" s="27">
        <f>MAX(QG5,PortfolioFrontier[[#This Row],[P112 Growth]])</f>
        <v>1.0653524862884685</v>
      </c>
      <c r="QH6" s="27">
        <f>PortfolioFrontier[[#This Row],[P112 Growth]]/PortfolioFrontier[[#This Row],[P112 HWM]]-1</f>
        <v>0</v>
      </c>
      <c r="QI6" s="28">
        <f>SUMPRODUCT(INDEX(PortfolioRef[[SPY]:[PE]],MATCH(QI$1,PortfolioRef[Reference '#]),0),AssetMonthlyReturns[[#This Row],[SPY]:[PE]])</f>
        <v>3.0147449974743692E-2</v>
      </c>
      <c r="QJ6" s="27">
        <f>IF(ISNUMBER(QJ5),QJ5*(1+PortfolioFrontier[[#This Row],[P113 Return]]),1+PortfolioFrontier[[#This Row],[P113 Return]])</f>
        <v>1.0604662396975308</v>
      </c>
      <c r="QK6" s="27">
        <f>MAX(QK5,PortfolioFrontier[[#This Row],[P113 Growth]])</f>
        <v>1.0604662396975308</v>
      </c>
      <c r="QL6" s="27">
        <f>PortfolioFrontier[[#This Row],[P113 Growth]]/PortfolioFrontier[[#This Row],[P113 HWM]]-1</f>
        <v>0</v>
      </c>
      <c r="QM6" s="28">
        <f>SUMPRODUCT(INDEX(PortfolioRef[[SPY]:[PE]],MATCH(QM$1,PortfolioRef[Reference '#]),0),AssetMonthlyReturns[[#This Row],[SPY]:[PE]])</f>
        <v>2.9426584785148147E-2</v>
      </c>
      <c r="QN6" s="27">
        <f>IF(ISNUMBER(QN5),QN5*(1+PortfolioFrontier[[#This Row],[P114 Return]]),1+PortfolioFrontier[[#This Row],[P114 Return]])</f>
        <v>1.0555921566006516</v>
      </c>
      <c r="QO6" s="27">
        <f>MAX(QO5,PortfolioFrontier[[#This Row],[P114 Growth]])</f>
        <v>1.0555921566006516</v>
      </c>
      <c r="QP6" s="27">
        <f>PortfolioFrontier[[#This Row],[P114 Growth]]/PortfolioFrontier[[#This Row],[P114 HWM]]-1</f>
        <v>0</v>
      </c>
      <c r="QQ6" s="28">
        <f>SUMPRODUCT(INDEX(PortfolioRef[[SPY]:[PE]],MATCH(QQ$1,PortfolioRef[Reference '#]),0),AssetMonthlyReturns[[#This Row],[SPY]:[PE]])</f>
        <v>2.9976312886488301E-2</v>
      </c>
      <c r="QR6" s="27">
        <f>IF(ISNUMBER(QR5),QR5*(1+PortfolioFrontier[[#This Row],[P115 Return]]),1+PortfolioFrontier[[#This Row],[P115 Return]])</f>
        <v>1.0618686348654582</v>
      </c>
      <c r="QS6" s="27">
        <f>MAX(QS5,PortfolioFrontier[[#This Row],[P115 Growth]])</f>
        <v>1.0618686348654582</v>
      </c>
      <c r="QT6" s="27">
        <f>PortfolioFrontier[[#This Row],[P115 Growth]]/PortfolioFrontier[[#This Row],[P115 HWM]]-1</f>
        <v>0</v>
      </c>
      <c r="QU6" s="28">
        <f>SUMPRODUCT(INDEX(PortfolioRef[[SPY]:[PE]],MATCH(QU$1,PortfolioRef[Reference '#]),0),AssetMonthlyReturns[[#This Row],[SPY]:[PE]])</f>
        <v>2.9255447696892756E-2</v>
      </c>
      <c r="QV6" s="27">
        <f>IF(ISNUMBER(QV5),QV5*(1+PortfolioFrontier[[#This Row],[P116 Return]]),1+PortfolioFrontier[[#This Row],[P116 Return]])</f>
        <v>1.0570041848172638</v>
      </c>
      <c r="QW6" s="27">
        <f>MAX(QW5,PortfolioFrontier[[#This Row],[P116 Growth]])</f>
        <v>1.0570041848172638</v>
      </c>
      <c r="QX6" s="27">
        <f>PortfolioFrontier[[#This Row],[P116 Growth]]/PortfolioFrontier[[#This Row],[P116 HWM]]-1</f>
        <v>0</v>
      </c>
      <c r="QY6" s="28">
        <f>SUMPRODUCT(INDEX(PortfolioRef[[SPY]:[PE]],MATCH(QY$1,PortfolioRef[Reference '#]),0),AssetMonthlyReturns[[#This Row],[SPY]:[PE]])</f>
        <v>2.8534582507297214E-2</v>
      </c>
      <c r="QZ6" s="27">
        <f>IF(ISNUMBER(QZ5),QZ5*(1+PortfolioFrontier[[#This Row],[P117 Return]]),1+PortfolioFrontier[[#This Row],[P117 Return]])</f>
        <v>1.0521518697486996</v>
      </c>
      <c r="RA6" s="27">
        <f>MAX(RA5,PortfolioFrontier[[#This Row],[P117 Growth]])</f>
        <v>1.0521518697486996</v>
      </c>
      <c r="RB6" s="27">
        <f>PortfolioFrontier[[#This Row],[P117 Growth]]/PortfolioFrontier[[#This Row],[P117 HWM]]-1</f>
        <v>0</v>
      </c>
      <c r="RC6" s="28">
        <f>SUMPRODUCT(INDEX(PortfolioRef[[SPY]:[PE]],MATCH(RC$1,PortfolioRef[Reference '#]),0),AssetMonthlyReturns[[#This Row],[SPY]:[PE]])</f>
        <v>3.1584062841072437E-2</v>
      </c>
      <c r="RD6" s="27">
        <f>IF(ISNUMBER(RD5),RD5*(1+PortfolioFrontier[[#This Row],[P118 Return]]),1+PortfolioFrontier[[#This Row],[P118 Return]])</f>
        <v>1.0664554246268612</v>
      </c>
      <c r="RE6" s="27">
        <f>MAX(RE5,PortfolioFrontier[[#This Row],[P118 Growth]])</f>
        <v>1.0664554246268612</v>
      </c>
      <c r="RF6" s="27">
        <f>PortfolioFrontier[[#This Row],[P118 Growth]]/PortfolioFrontier[[#This Row],[P118 HWM]]-1</f>
        <v>0</v>
      </c>
      <c r="RG6" s="28">
        <f>SUMPRODUCT(INDEX(PortfolioRef[[SPY]:[PE]],MATCH(RG$1,PortfolioRef[Reference '#]),0),AssetMonthlyReturns[[#This Row],[SPY]:[PE]])</f>
        <v>3.0863197651476895E-2</v>
      </c>
      <c r="RH6" s="27">
        <f>IF(ISNUMBER(RH5),RH5*(1+PortfolioFrontier[[#This Row],[P119 Return]]),1+PortfolioFrontier[[#This Row],[P119 Return]])</f>
        <v>1.0615714914212842</v>
      </c>
      <c r="RI6" s="27">
        <f>MAX(RI5,PortfolioFrontier[[#This Row],[P119 Growth]])</f>
        <v>1.0615714914212842</v>
      </c>
      <c r="RJ6" s="27">
        <f>PortfolioFrontier[[#This Row],[P119 Growth]]/PortfolioFrontier[[#This Row],[P119 HWM]]-1</f>
        <v>0</v>
      </c>
      <c r="RK6" s="28">
        <f>SUMPRODUCT(INDEX(PortfolioRef[[SPY]:[PE]],MATCH(RK$1,PortfolioRef[Reference '#]),0),AssetMonthlyReturns[[#This Row],[SPY]:[PE]])</f>
        <v>3.0142332461881347E-2</v>
      </c>
      <c r="RL6" s="27">
        <f>IF(ISNUMBER(RL5),RL5*(1+PortfolioFrontier[[#This Row],[P120 Return]]),1+PortfolioFrontier[[#This Row],[P120 Return]])</f>
        <v>1.0566997185225</v>
      </c>
      <c r="RM6" s="27">
        <f>MAX(RM5,PortfolioFrontier[[#This Row],[P120 Growth]])</f>
        <v>1.0566997185225</v>
      </c>
      <c r="RN6" s="27">
        <f>PortfolioFrontier[[#This Row],[P120 Growth]]/PortfolioFrontier[[#This Row],[P120 HWM]]-1</f>
        <v>0</v>
      </c>
      <c r="RO6" s="28">
        <f>SUMPRODUCT(INDEX(PortfolioRef[[SPY]:[PE]],MATCH(RO$1,PortfolioRef[Reference '#]),0),AssetMonthlyReturns[[#This Row],[SPY]:[PE]])</f>
        <v>3.319181279565657E-2</v>
      </c>
      <c r="RP6" s="27">
        <f>IF(ISNUMBER(RP5),RP5*(1+PortfolioFrontier[[#This Row],[P121 Return]]),1+PortfolioFrontier[[#This Row],[P121 Return]])</f>
        <v>1.0710383749555177</v>
      </c>
      <c r="RQ6" s="27">
        <f>MAX(RQ5,PortfolioFrontier[[#This Row],[P121 Growth]])</f>
        <v>1.0710383749555177</v>
      </c>
      <c r="RR6" s="27">
        <f>PortfolioFrontier[[#This Row],[P121 Growth]]/PortfolioFrontier[[#This Row],[P121 HWM]]-1</f>
        <v>0</v>
      </c>
      <c r="RS6" s="28">
        <f>SUMPRODUCT(INDEX(PortfolioRef[[SPY]:[PE]],MATCH(RS$1,PortfolioRef[Reference '#]),0),AssetMonthlyReturns[[#This Row],[SPY]:[PE]])</f>
        <v>3.2470947606061028E-2</v>
      </c>
      <c r="RT6" s="27">
        <f>IF(ISNUMBER(RT5),RT5*(1+PortfolioFrontier[[#This Row],[P122 Return]]),1+PortfolioFrontier[[#This Row],[P122 Return]])</f>
        <v>1.0661349333347574</v>
      </c>
      <c r="RU6" s="27">
        <f>MAX(RU5,PortfolioFrontier[[#This Row],[P122 Growth]])</f>
        <v>1.0661349333347574</v>
      </c>
      <c r="RV6" s="27">
        <f>PortfolioFrontier[[#This Row],[P122 Growth]]/PortfolioFrontier[[#This Row],[P122 HWM]]-1</f>
        <v>0</v>
      </c>
      <c r="RW6" s="28">
        <f>SUMPRODUCT(INDEX(PortfolioRef[[SPY]:[PE]],MATCH(RW$1,PortfolioRef[Reference '#]),0),AssetMonthlyReturns[[#This Row],[SPY]:[PE]])</f>
        <v>3.1750082416465486E-2</v>
      </c>
      <c r="RX6" s="27">
        <f>IF(ISNUMBER(RX5),RX5*(1+PortfolioFrontier[[#This Row],[P123 Return]]),1+PortfolioFrontier[[#This Row],[P123 Return]])</f>
        <v>1.0612436773479528</v>
      </c>
      <c r="RY6" s="27">
        <f>MAX(RY5,PortfolioFrontier[[#This Row],[P123 Growth]])</f>
        <v>1.0612436773479528</v>
      </c>
      <c r="RZ6" s="27">
        <f>PortfolioFrontier[[#This Row],[P123 Growth]]/PortfolioFrontier[[#This Row],[P123 HWM]]-1</f>
        <v>0</v>
      </c>
      <c r="SA6" s="28">
        <f>SUMPRODUCT(INDEX(PortfolioRef[[SPY]:[PE]],MATCH(SA$1,PortfolioRef[Reference '#]),0),AssetMonthlyReturns[[#This Row],[SPY]:[PE]])</f>
        <v>3.2299810517805637E-2</v>
      </c>
      <c r="SB6" s="27">
        <f>IF(ISNUMBER(SB5),SB5*(1+PortfolioFrontier[[#This Row],[P124 Return]]),1+PortfolioFrontier[[#This Row],[P124 Return]])</f>
        <v>1.0675364357312243</v>
      </c>
      <c r="SC6" s="27">
        <f>MAX(SC5,PortfolioFrontier[[#This Row],[P124 Growth]])</f>
        <v>1.0675364357312243</v>
      </c>
      <c r="SD6" s="27">
        <f>PortfolioFrontier[[#This Row],[P124 Growth]]/PortfolioFrontier[[#This Row],[P124 HWM]]-1</f>
        <v>0</v>
      </c>
      <c r="SE6" s="28">
        <f>SUMPRODUCT(INDEX(PortfolioRef[[SPY]:[PE]],MATCH(SE$1,PortfolioRef[Reference '#]),0),AssetMonthlyReturns[[#This Row],[SPY]:[PE]])</f>
        <v>3.1578945328210095E-2</v>
      </c>
      <c r="SF6" s="27">
        <f>IF(ISNUMBER(SF5),SF5*(1+PortfolioFrontier[[#This Row],[P125 Return]]),1+PortfolioFrontier[[#This Row],[P125 Return]])</f>
        <v>1.0626548391355537</v>
      </c>
      <c r="SG6" s="27">
        <f>MAX(SG5,PortfolioFrontier[[#This Row],[P125 Growth]])</f>
        <v>1.0626548391355537</v>
      </c>
      <c r="SH6" s="27">
        <f>PortfolioFrontier[[#This Row],[P125 Growth]]/PortfolioFrontier[[#This Row],[P125 HWM]]-1</f>
        <v>0</v>
      </c>
      <c r="SI6" s="28">
        <f>SUMPRODUCT(INDEX(PortfolioRef[[SPY]:[PE]],MATCH(SI$1,PortfolioRef[Reference '#]),0),AssetMonthlyReturns[[#This Row],[SPY]:[PE]])</f>
        <v>3.085808013861455E-2</v>
      </c>
      <c r="SJ6" s="27">
        <f>IF(ISNUMBER(SJ5),SJ5*(1+PortfolioFrontier[[#This Row],[P126 Return]]),1+PortfolioFrontier[[#This Row],[P126 Return]])</f>
        <v>1.0577853996594109</v>
      </c>
      <c r="SK6" s="27">
        <f>MAX(SK5,PortfolioFrontier[[#This Row],[P126 Growth]])</f>
        <v>1.0577853996594109</v>
      </c>
      <c r="SL6" s="27">
        <f>PortfolioFrontier[[#This Row],[P126 Growth]]/PortfolioFrontier[[#This Row],[P126 HWM]]-1</f>
        <v>0</v>
      </c>
      <c r="SM6" s="28">
        <f>SUMPRODUCT(INDEX(PortfolioRef[[SPY]:[PE]],MATCH(SM$1,PortfolioRef[Reference '#]),0),AssetMonthlyReturns[[#This Row],[SPY]:[PE]])</f>
        <v>3.3907560472389769E-2</v>
      </c>
      <c r="SN6" s="27">
        <f>IF(ISNUMBER(SN5),SN5*(1+PortfolioFrontier[[#This Row],[P127 Return]]),1+PortfolioFrontier[[#This Row],[P127 Return]])</f>
        <v>1.072141988535577</v>
      </c>
      <c r="SO6" s="27">
        <f>MAX(SO5,PortfolioFrontier[[#This Row],[P127 Growth]])</f>
        <v>1.072141988535577</v>
      </c>
      <c r="SP6" s="27">
        <f>PortfolioFrontier[[#This Row],[P127 Growth]]/PortfolioFrontier[[#This Row],[P127 HWM]]-1</f>
        <v>0</v>
      </c>
      <c r="SQ6" s="28">
        <f>SUMPRODUCT(INDEX(PortfolioRef[[SPY]:[PE]],MATCH(SQ$1,PortfolioRef[Reference '#]),0),AssetMonthlyReturns[[#This Row],[SPY]:[PE]])</f>
        <v>3.3186695282794235E-2</v>
      </c>
      <c r="SR6" s="27">
        <f>IF(ISNUMBER(SR5),SR5*(1+PortfolioFrontier[[#This Row],[P128 Return]]),1+PortfolioFrontier[[#This Row],[P128 Return]])</f>
        <v>1.0672408704018066</v>
      </c>
      <c r="SS6" s="27">
        <f>MAX(SS5,PortfolioFrontier[[#This Row],[P128 Growth]])</f>
        <v>1.0672408704018066</v>
      </c>
      <c r="ST6" s="27">
        <f>PortfolioFrontier[[#This Row],[P128 Growth]]/PortfolioFrontier[[#This Row],[P128 HWM]]-1</f>
        <v>0</v>
      </c>
      <c r="SU6" s="28">
        <f>SUMPRODUCT(INDEX(PortfolioRef[[SPY]:[PE]],MATCH(SU$1,PortfolioRef[Reference '#]),0),AssetMonthlyReturns[[#This Row],[SPY]:[PE]])</f>
        <v>3.2465830093198686E-2</v>
      </c>
      <c r="SV6" s="27">
        <f>IF(ISNUMBER(SV5),SV5*(1+PortfolioFrontier[[#This Row],[P129 Return]]),1+PortfolioFrontier[[#This Row],[P129 Return]])</f>
        <v>1.0623519347147268</v>
      </c>
      <c r="SW6" s="27">
        <f>MAX(SW5,PortfolioFrontier[[#This Row],[P129 Growth]])</f>
        <v>1.0623519347147268</v>
      </c>
      <c r="SX6" s="27">
        <f>PortfolioFrontier[[#This Row],[P129 Growth]]/PortfolioFrontier[[#This Row],[P129 HWM]]-1</f>
        <v>0</v>
      </c>
      <c r="SY6" s="28">
        <f>SUMPRODUCT(INDEX(PortfolioRef[[SPY]:[PE]],MATCH(SY$1,PortfolioRef[Reference '#]),0),AssetMonthlyReturns[[#This Row],[SPY]:[PE]])</f>
        <v>3.5515310426973909E-2</v>
      </c>
      <c r="SZ6" s="27">
        <f>IF(ISNUMBER(SZ5),SZ5*(1+PortfolioFrontier[[#This Row],[P130 Return]]),1+PortfolioFrontier[[#This Row],[P130 Return]])</f>
        <v>1.0767436947236253</v>
      </c>
      <c r="TA6" s="27">
        <f>MAX(TA5,PortfolioFrontier[[#This Row],[P130 Growth]])</f>
        <v>1.0767436947236253</v>
      </c>
      <c r="TB6" s="27">
        <f>PortfolioFrontier[[#This Row],[P130 Growth]]/PortfolioFrontier[[#This Row],[P130 HWM]]-1</f>
        <v>0</v>
      </c>
      <c r="TC6" s="28">
        <f>SUMPRODUCT(INDEX(PortfolioRef[[SPY]:[PE]],MATCH(TC$1,PortfolioRef[Reference '#]),0),AssetMonthlyReturns[[#This Row],[SPY]:[PE]])</f>
        <v>3.4794445237378367E-2</v>
      </c>
      <c r="TD6" s="27">
        <f>IF(ISNUMBER(TD5),TD5*(1+PortfolioFrontier[[#This Row],[P131 Return]]),1+PortfolioFrontier[[#This Row],[P131 Return]])</f>
        <v>1.0718230297939548</v>
      </c>
      <c r="TE6" s="27">
        <f>MAX(TE5,PortfolioFrontier[[#This Row],[P131 Growth]])</f>
        <v>1.0718230297939548</v>
      </c>
      <c r="TF6" s="27">
        <f>PortfolioFrontier[[#This Row],[P131 Growth]]/PortfolioFrontier[[#This Row],[P131 HWM]]-1</f>
        <v>0</v>
      </c>
      <c r="TG6" s="28">
        <f>SUMPRODUCT(INDEX(PortfolioRef[[SPY]:[PE]],MATCH(TG$1,PortfolioRef[Reference '#]),0),AssetMonthlyReturns[[#This Row],[SPY]:[PE]])</f>
        <v>3.4073580047782825E-2</v>
      </c>
      <c r="TH6" s="27">
        <f>IF(ISNUMBER(TH5),TH5*(1+PortfolioFrontier[[#This Row],[P132 Return]]),1+PortfolioFrontier[[#This Row],[P132 Return]])</f>
        <v>1.0669145726381379</v>
      </c>
      <c r="TI6" s="27">
        <f>MAX(TI5,PortfolioFrontier[[#This Row],[P132 Growth]])</f>
        <v>1.0669145726381379</v>
      </c>
      <c r="TJ6" s="27">
        <f>PortfolioFrontier[[#This Row],[P132 Growth]]/PortfolioFrontier[[#This Row],[P132 HWM]]-1</f>
        <v>0</v>
      </c>
      <c r="TK6" s="28">
        <f>SUMPRODUCT(INDEX(PortfolioRef[[SPY]:[PE]],MATCH(TK$1,PortfolioRef[Reference '#]),0),AssetMonthlyReturns[[#This Row],[SPY]:[PE]])</f>
        <v>3.4623308149122976E-2</v>
      </c>
      <c r="TL6" s="27">
        <f>IF(ISNUMBER(TL5),TL5*(1+PortfolioFrontier[[#This Row],[P133 Return]]),1+PortfolioFrontier[[#This Row],[P133 Return]])</f>
        <v>1.0732236210449184</v>
      </c>
      <c r="TM6" s="27">
        <f>MAX(TM5,PortfolioFrontier[[#This Row],[P133 Growth]])</f>
        <v>1.0732236210449184</v>
      </c>
      <c r="TN6" s="27">
        <f>PortfolioFrontier[[#This Row],[P133 Growth]]/PortfolioFrontier[[#This Row],[P133 HWM]]-1</f>
        <v>0</v>
      </c>
      <c r="TO6" s="28">
        <f>SUMPRODUCT(INDEX(PortfolioRef[[SPY]:[PE]],MATCH(TO$1,PortfolioRef[Reference '#]),0),AssetMonthlyReturns[[#This Row],[SPY]:[PE]])</f>
        <v>3.3902442959527435E-2</v>
      </c>
      <c r="TP6" s="27">
        <f>IF(ISNUMBER(TP5),TP5*(1+PortfolioFrontier[[#This Row],[P134 Return]]),1+PortfolioFrontier[[#This Row],[P134 Return]])</f>
        <v>1.0683248496226843</v>
      </c>
      <c r="TQ6" s="27">
        <f>MAX(TQ5,PortfolioFrontier[[#This Row],[P134 Growth]])</f>
        <v>1.0683248496226843</v>
      </c>
      <c r="TR6" s="27">
        <f>PortfolioFrontier[[#This Row],[P134 Growth]]/PortfolioFrontier[[#This Row],[P134 HWM]]-1</f>
        <v>0</v>
      </c>
      <c r="TS6" s="28">
        <f>SUMPRODUCT(INDEX(PortfolioRef[[SPY]:[PE]],MATCH(TS$1,PortfolioRef[Reference '#]),0),AssetMonthlyReturns[[#This Row],[SPY]:[PE]])</f>
        <v>3.3181577769931893E-2</v>
      </c>
      <c r="TT6" s="27">
        <f>IF(ISNUMBER(TT5),TT5*(1+PortfolioFrontier[[#This Row],[P135 Return]]),1+PortfolioFrontier[[#This Row],[P135 Return]])</f>
        <v>1.0634382574598751</v>
      </c>
      <c r="TU6" s="27">
        <f>MAX(TU5,PortfolioFrontier[[#This Row],[P135 Growth]])</f>
        <v>1.0634382574598751</v>
      </c>
      <c r="TV6" s="27">
        <f>PortfolioFrontier[[#This Row],[P135 Growth]]/PortfolioFrontier[[#This Row],[P135 HWM]]-1</f>
        <v>0</v>
      </c>
      <c r="TW6" s="28">
        <f>SUMPRODUCT(INDEX(PortfolioRef[[SPY]:[PE]],MATCH(TW$1,PortfolioRef[Reference '#]),0),AssetMonthlyReturns[[#This Row],[SPY]:[PE]])</f>
        <v>3.6231058103707109E-2</v>
      </c>
      <c r="TX6" s="27">
        <f>IF(ISNUMBER(TX5),TX5*(1+PortfolioFrontier[[#This Row],[P136 Return]]),1+PortfolioFrontier[[#This Row],[P136 Return]])</f>
        <v>1.0778479758950288</v>
      </c>
      <c r="TY6" s="27">
        <f>MAX(TY5,PortfolioFrontier[[#This Row],[P136 Growth]])</f>
        <v>1.0778479758950288</v>
      </c>
      <c r="TZ6" s="27">
        <f>PortfolioFrontier[[#This Row],[P136 Growth]]/PortfolioFrontier[[#This Row],[P136 HWM]]-1</f>
        <v>0</v>
      </c>
      <c r="UA6" s="28">
        <f>SUMPRODUCT(INDEX(PortfolioRef[[SPY]:[PE]],MATCH(UA$1,PortfolioRef[Reference '#]),0),AssetMonthlyReturns[[#This Row],[SPY]:[PE]])</f>
        <v>3.5510192914111567E-2</v>
      </c>
      <c r="UB6" s="27">
        <f>IF(ISNUMBER(UB5),UB5*(1+PortfolioFrontier[[#This Row],[P137 Return]]),1+PortfolioFrontier[[#This Row],[P137 Return]])</f>
        <v>1.0729296445539775</v>
      </c>
      <c r="UC6" s="27">
        <f>MAX(UC5,PortfolioFrontier[[#This Row],[P137 Growth]])</f>
        <v>1.0729296445539775</v>
      </c>
      <c r="UD6" s="27">
        <f>PortfolioFrontier[[#This Row],[P137 Growth]]/PortfolioFrontier[[#This Row],[P137 HWM]]-1</f>
        <v>0</v>
      </c>
      <c r="UE6" s="28">
        <f>SUMPRODUCT(INDEX(PortfolioRef[[SPY]:[PE]],MATCH(UE$1,PortfolioRef[Reference '#]),0),AssetMonthlyReturns[[#This Row],[SPY]:[PE]])</f>
        <v>3.4789327724516025E-2</v>
      </c>
      <c r="UF6" s="27">
        <f>IF(ISNUMBER(UF5),UF5*(1+PortfolioFrontier[[#This Row],[P138 Return]]),1+PortfolioFrontier[[#This Row],[P138 Return]])</f>
        <v>1.0680235177995143</v>
      </c>
      <c r="UG6" s="27">
        <f>MAX(UG5,PortfolioFrontier[[#This Row],[P138 Growth]])</f>
        <v>1.0680235177995143</v>
      </c>
      <c r="UH6" s="27">
        <f>PortfolioFrontier[[#This Row],[P138 Growth]]/PortfolioFrontier[[#This Row],[P138 HWM]]-1</f>
        <v>0</v>
      </c>
      <c r="UI6" s="28">
        <f>SUMPRODUCT(INDEX(PortfolioRef[[SPY]:[PE]],MATCH(UI$1,PortfolioRef[Reference '#]),0),AssetMonthlyReturns[[#This Row],[SPY]:[PE]])</f>
        <v>3.7838808058291255E-2</v>
      </c>
      <c r="UJ6" s="27">
        <f>IF(ISNUMBER(UJ5),UJ5*(1+PortfolioFrontier[[#This Row],[P139 Return]]),1+PortfolioFrontier[[#This Row],[P139 Return]])</f>
        <v>1.0824684769452779</v>
      </c>
      <c r="UK6" s="27">
        <f>MAX(UK5,PortfolioFrontier[[#This Row],[P139 Growth]])</f>
        <v>1.0824684769452779</v>
      </c>
      <c r="UL6" s="27">
        <f>PortfolioFrontier[[#This Row],[P139 Growth]]/PortfolioFrontier[[#This Row],[P139 HWM]]-1</f>
        <v>0</v>
      </c>
      <c r="UM6" s="28">
        <f>SUMPRODUCT(INDEX(PortfolioRef[[SPY]:[PE]],MATCH(UM$1,PortfolioRef[Reference '#]),0),AssetMonthlyReturns[[#This Row],[SPY]:[PE]])</f>
        <v>3.7117942868695707E-2</v>
      </c>
      <c r="UN6" s="27">
        <f>IF(ISNUMBER(UN5),UN5*(1+PortfolioFrontier[[#This Row],[P140 Return]]),1+PortfolioFrontier[[#This Row],[P140 Return]])</f>
        <v>1.0775305604276091</v>
      </c>
      <c r="UO6" s="27">
        <f>MAX(UO5,PortfolioFrontier[[#This Row],[P140 Growth]])</f>
        <v>1.0775305604276091</v>
      </c>
      <c r="UP6" s="27">
        <f>PortfolioFrontier[[#This Row],[P140 Growth]]/PortfolioFrontier[[#This Row],[P140 HWM]]-1</f>
        <v>0</v>
      </c>
      <c r="UQ6" s="28">
        <f>SUMPRODUCT(INDEX(PortfolioRef[[SPY]:[PE]],MATCH(UQ$1,PortfolioRef[Reference '#]),0),AssetMonthlyReturns[[#This Row],[SPY]:[PE]])</f>
        <v>3.6397077679100165E-2</v>
      </c>
      <c r="UR6" s="27">
        <f>IF(ISNUMBER(UR5),UR5*(1+PortfolioFrontier[[#This Row],[P141 Return]]),1+PortfolioFrontier[[#This Row],[P141 Return]])</f>
        <v>1.0726048738236913</v>
      </c>
      <c r="US6" s="27">
        <f>MAX(US5,PortfolioFrontier[[#This Row],[P141 Growth]])</f>
        <v>1.0726048738236913</v>
      </c>
      <c r="UT6" s="27">
        <f>PortfolioFrontier[[#This Row],[P141 Growth]]/PortfolioFrontier[[#This Row],[P141 HWM]]-1</f>
        <v>0</v>
      </c>
    </row>
    <row r="7" spans="1:566" x14ac:dyDescent="0.2">
      <c r="B7" s="41">
        <f>AssetMonthlyReturns[[#This Row],[Date]]</f>
        <v>42583</v>
      </c>
      <c r="C7" s="28">
        <f>SUMPRODUCT(INDEX(PortfolioRef[[SPY]:[PE]],MATCH(C$1,PortfolioRef[Reference '#]),0),AssetMonthlyReturns[[#This Row],[SPY]:[PE]])</f>
        <v>-4.5425560429194385E-3</v>
      </c>
      <c r="D7" s="29">
        <f>IF(ISNUMBER(D6),D6*(1+PortfolioFrontier[[#This Row],[P1 Return]]),1+PortfolioFrontier[[#This Row],[P1 Return]])</f>
        <v>1.0535366803800146</v>
      </c>
      <c r="E7" s="29">
        <f>MAX(E6,PortfolioFrontier[[#This Row],[P1 Growth]])</f>
        <v>1.0583442685325262</v>
      </c>
      <c r="F7" s="29">
        <f>PortfolioFrontier[[#This Row],[P1 Growth]]/PortfolioFrontier[[#This Row],[P1 HWM]]-1</f>
        <v>-4.5425560429194212E-3</v>
      </c>
      <c r="G7" s="28">
        <f>SUMPRODUCT(INDEX(PortfolioRef[[SPY]:[PE]],MATCH(G$1,PortfolioRef[Reference '#]),0),AssetMonthlyReturns[[#This Row],[SPY]:[PE]])</f>
        <v>-4.7076246037522813E-3</v>
      </c>
      <c r="H7" s="27">
        <f>IF(ISNUMBER(H6),H6*(1+PortfolioFrontier[[#This Row],[P2 Return]]),1+PortfolioFrontier[[#This Row],[P2 Return]])</f>
        <v>1.0517205322947398</v>
      </c>
      <c r="I7" s="27">
        <f>MAX(I6,PortfolioFrontier[[#This Row],[P2 Growth]])</f>
        <v>1.0566950559387405</v>
      </c>
      <c r="J7" s="27">
        <f>PortfolioFrontier[[#This Row],[P2 Growth]]/PortfolioFrontier[[#This Row],[P2 HWM]]-1</f>
        <v>-4.7076246037522917E-3</v>
      </c>
      <c r="K7" s="28">
        <f>SUMPRODUCT(INDEX(PortfolioRef[[SPY]:[PE]],MATCH(K$1,PortfolioRef[Reference '#]),0),AssetMonthlyReturns[[#This Row],[SPY]:[PE]])</f>
        <v>-6.2305941896780345E-3</v>
      </c>
      <c r="L7" s="27">
        <f>IF(ISNUMBER(L6),L6*(1+PortfolioFrontier[[#This Row],[P3 Return]]),1+PortfolioFrontier[[#This Row],[P3 Return]])</f>
        <v>1.0512394841012427</v>
      </c>
      <c r="M7" s="27">
        <f>MAX(M6,PortfolioFrontier[[#This Row],[P3 Growth]])</f>
        <v>1.0578303960203519</v>
      </c>
      <c r="N7" s="27">
        <f>PortfolioFrontier[[#This Row],[P3 Growth]]/PortfolioFrontier[[#This Row],[P3 HWM]]-1</f>
        <v>-6.2305941896779737E-3</v>
      </c>
      <c r="O7" s="28">
        <f>SUMPRODUCT(INDEX(PortfolioRef[[SPY]:[PE]],MATCH(O$1,PortfolioRef[Reference '#]),0),AssetMonthlyReturns[[#This Row],[SPY]:[PE]])</f>
        <v>-6.4845468480771318E-3</v>
      </c>
      <c r="P7" s="27">
        <f>IF(ISNUMBER(P6),P6*(1+PortfolioFrontier[[#This Row],[P4 Return]]),1+PortfolioFrontier[[#This Row],[P4 Return]])</f>
        <v>1.0554631891376607</v>
      </c>
      <c r="Q7" s="27">
        <f>MAX(Q6,PortfolioFrontier[[#This Row],[P4 Growth]])</f>
        <v>1.0623520608453636</v>
      </c>
      <c r="R7" s="27">
        <f>PortfolioFrontier[[#This Row],[P4 Growth]]/PortfolioFrontier[[#This Row],[P4 HWM]]-1</f>
        <v>-6.4845468480769775E-3</v>
      </c>
      <c r="S7" s="28">
        <f>SUMPRODUCT(INDEX(PortfolioRef[[SPY]:[PE]],MATCH(S$1,PortfolioRef[Reference '#]),0),AssetMonthlyReturns[[#This Row],[SPY]:[PE]])</f>
        <v>-3.535001167774604E-3</v>
      </c>
      <c r="T7" s="27">
        <f>IF(ISNUMBER(T6),T6*(1+PortfolioFrontier[[#This Row],[P5 Return]]),1+PortfolioFrontier[[#This Row],[P5 Return]])</f>
        <v>1.0537193946023871</v>
      </c>
      <c r="U7" s="27">
        <f>MAX(U6,PortfolioFrontier[[#This Row],[P5 Growth]])</f>
        <v>1.0574575081284934</v>
      </c>
      <c r="V7" s="27">
        <f>PortfolioFrontier[[#This Row],[P5 Growth]]/PortfolioFrontier[[#This Row],[P5 HWM]]-1</f>
        <v>-3.5350011677747206E-3</v>
      </c>
      <c r="W7" s="28">
        <f>SUMPRODUCT(INDEX(PortfolioRef[[SPY]:[PE]],MATCH(W$1,PortfolioRef[Reference '#]),0),AssetMonthlyReturns[[#This Row],[SPY]:[PE]])</f>
        <v>-4.8726931645851242E-3</v>
      </c>
      <c r="X7" s="27">
        <f>IF(ISNUMBER(X6),X6*(1+PortfolioFrontier[[#This Row],[P6 Return]]),1+PortfolioFrontier[[#This Row],[P6 Return]])</f>
        <v>1.0499024016858325</v>
      </c>
      <c r="Y7" s="27">
        <f>MAX(Y6,PortfolioFrontier[[#This Row],[P6 Growth]])</f>
        <v>1.0550433039814844</v>
      </c>
      <c r="Z7" s="27">
        <f>PortfolioFrontier[[#This Row],[P6 Growth]]/PortfolioFrontier[[#This Row],[P6 HWM]]-1</f>
        <v>-4.8726931645851623E-3</v>
      </c>
      <c r="AA7" s="28">
        <f>SUMPRODUCT(INDEX(PortfolioRef[[SPY]:[PE]],MATCH(AA$1,PortfolioRef[Reference '#]),0),AssetMonthlyReturns[[#This Row],[SPY]:[PE]])</f>
        <v>-6.3956627505108773E-3</v>
      </c>
      <c r="AB7" s="27">
        <f>IF(ISNUMBER(AB6),AB6*(1+PortfolioFrontier[[#This Row],[P7 Return]]),1+PortfolioFrontier[[#This Row],[P7 Return]])</f>
        <v>1.0494167889835546</v>
      </c>
      <c r="AC7" s="27">
        <f>MAX(AC6,PortfolioFrontier[[#This Row],[P7 Growth]])</f>
        <v>1.0561717070283392</v>
      </c>
      <c r="AD7" s="27">
        <f>PortfolioFrontier[[#This Row],[P7 Growth]]/PortfolioFrontier[[#This Row],[P7 HWM]]-1</f>
        <v>-6.3956627505108443E-3</v>
      </c>
      <c r="AE7" s="28">
        <f>SUMPRODUCT(INDEX(PortfolioRef[[SPY]:[PE]],MATCH(AE$1,PortfolioRef[Reference '#]),0),AssetMonthlyReturns[[#This Row],[SPY]:[PE]])</f>
        <v>-6.6496154089099747E-3</v>
      </c>
      <c r="AF7" s="27">
        <f>IF(ISNUMBER(AF6),AF6*(1+PortfolioFrontier[[#This Row],[P8 Return]]),1+PortfolioFrontier[[#This Row],[P8 Return]])</f>
        <v>1.0536412585888999</v>
      </c>
      <c r="AG7" s="27">
        <f>MAX(AG6,PortfolioFrontier[[#This Row],[P8 Growth]])</f>
        <v>1.0606944688732651</v>
      </c>
      <c r="AH7" s="27">
        <f>PortfolioFrontier[[#This Row],[P8 Growth]]/PortfolioFrontier[[#This Row],[P8 HWM]]-1</f>
        <v>-6.6496154089099591E-3</v>
      </c>
      <c r="AI7" s="28">
        <f>SUMPRODUCT(INDEX(PortfolioRef[[SPY]:[PE]],MATCH(AI$1,PortfolioRef[Reference '#]),0),AssetMonthlyReturns[[#This Row],[SPY]:[PE]])</f>
        <v>-3.7000697286074468E-3</v>
      </c>
      <c r="AJ7" s="27">
        <f>IF(ISNUMBER(AJ6),AJ6*(1+PortfolioFrontier[[#This Row],[P9 Return]]),1+PortfolioFrontier[[#This Row],[P9 Return]])</f>
        <v>1.0519018807303389</v>
      </c>
      <c r="AK7" s="27">
        <f>MAX(AK6,PortfolioFrontier[[#This Row],[P9 Growth]])</f>
        <v>1.0558084455991081</v>
      </c>
      <c r="AL7" s="27">
        <f>PortfolioFrontier[[#This Row],[P9 Growth]]/PortfolioFrontier[[#This Row],[P9 HWM]]-1</f>
        <v>-3.7000697286073692E-3</v>
      </c>
      <c r="AM7" s="28">
        <f>SUMPRODUCT(INDEX(PortfolioRef[[SPY]:[PE]],MATCH(AM$1,PortfolioRef[Reference '#]),0),AssetMonthlyReturns[[#This Row],[SPY]:[PE]])</f>
        <v>-7.9186323364366321E-3</v>
      </c>
      <c r="AN7" s="27">
        <f>IF(ISNUMBER(AN6),AN6*(1+PortfolioFrontier[[#This Row],[P10 Return]]),1+PortfolioFrontier[[#This Row],[P10 Return]])</f>
        <v>1.0489060243078199</v>
      </c>
      <c r="AO7" s="27">
        <f>MAX(AO6,PortfolioFrontier[[#This Row],[P10 Growth]])</f>
        <v>1.0572782218237637</v>
      </c>
      <c r="AP7" s="27">
        <f>PortfolioFrontier[[#This Row],[P10 Growth]]/PortfolioFrontier[[#This Row],[P10 HWM]]-1</f>
        <v>-7.9186323364366373E-3</v>
      </c>
      <c r="AQ7" s="28">
        <f>SUMPRODUCT(INDEX(PortfolioRef[[SPY]:[PE]],MATCH(AQ$1,PortfolioRef[Reference '#]),0),AssetMonthlyReturns[[#This Row],[SPY]:[PE]])</f>
        <v>-8.1725849948357295E-3</v>
      </c>
      <c r="AR7" s="27">
        <f>IF(ISNUMBER(AR6),AR6*(1+PortfolioFrontier[[#This Row],[P11 Return]]),1+PortfolioFrontier[[#This Row],[P11 Return]])</f>
        <v>1.053145768312272</v>
      </c>
      <c r="AS7" s="27">
        <f>MAX(AS6,PortfolioFrontier[[#This Row],[P11 Growth]])</f>
        <v>1.0618236120311197</v>
      </c>
      <c r="AT7" s="27">
        <f>PortfolioFrontier[[#This Row],[P11 Growth]]/PortfolioFrontier[[#This Row],[P11 HWM]]-1</f>
        <v>-8.172584994835641E-3</v>
      </c>
      <c r="AU7" s="28">
        <f>SUMPRODUCT(INDEX(PortfolioRef[[SPY]:[PE]],MATCH(AU$1,PortfolioRef[Reference '#]),0),AssetMonthlyReturns[[#This Row],[SPY]:[PE]])</f>
        <v>-5.2230393145332021E-3</v>
      </c>
      <c r="AV7" s="27">
        <f>IF(ISNUMBER(AV6),AV6*(1+PortfolioFrontier[[#This Row],[P12 Return]]),1+PortfolioFrontier[[#This Row],[P12 Return]])</f>
        <v>1.0514194600443147</v>
      </c>
      <c r="AW7" s="27">
        <f>MAX(AW6,PortfolioFrontier[[#This Row],[P12 Growth]])</f>
        <v>1.0569398986882623</v>
      </c>
      <c r="AX7" s="27">
        <f>PortfolioFrontier[[#This Row],[P12 Growth]]/PortfolioFrontier[[#This Row],[P12 HWM]]-1</f>
        <v>-5.2230393145332732E-3</v>
      </c>
      <c r="AY7" s="28">
        <f>SUMPRODUCT(INDEX(PortfolioRef[[SPY]:[PE]],MATCH(AY$1,PortfolioRef[Reference '#]),0),AssetMonthlyReturns[[#This Row],[SPY]:[PE]])</f>
        <v>-8.4265376532348286E-3</v>
      </c>
      <c r="AZ7" s="27">
        <f>IF(ISNUMBER(AZ6),AZ6*(1+PortfolioFrontier[[#This Row],[P13 Return]]),1+PortfolioFrontier[[#This Row],[P13 Return]])</f>
        <v>1.0573792484444458</v>
      </c>
      <c r="BA7" s="27">
        <f>MAX(BA6,PortfolioFrontier[[#This Row],[P13 Growth]])</f>
        <v>1.0663650133817999</v>
      </c>
      <c r="BB7" s="27">
        <f>PortfolioFrontier[[#This Row],[P13 Growth]]/PortfolioFrontier[[#This Row],[P13 HWM]]-1</f>
        <v>-8.4265376532349778E-3</v>
      </c>
      <c r="BC7" s="28">
        <f>SUMPRODUCT(INDEX(PortfolioRef[[SPY]:[PE]],MATCH(BC$1,PortfolioRef[Reference '#]),0),AssetMonthlyReturns[[#This Row],[SPY]:[PE]])</f>
        <v>-5.4769919729322995E-3</v>
      </c>
      <c r="BD7" s="27">
        <f>IF(ISNUMBER(BD6),BD6*(1+PortfolioFrontier[[#This Row],[P14 Return]]),1+PortfolioFrontier[[#This Row],[P14 Return]])</f>
        <v>1.055648180799909</v>
      </c>
      <c r="BE7" s="27">
        <f>MAX(BE6,PortfolioFrontier[[#This Row],[P14 Growth]])</f>
        <v>1.0614617985501424</v>
      </c>
      <c r="BF7" s="27">
        <f>PortfolioFrontier[[#This Row],[P14 Growth]]/PortfolioFrontier[[#This Row],[P14 HWM]]-1</f>
        <v>-5.4769919729323879E-3</v>
      </c>
      <c r="BG7" s="28">
        <f>SUMPRODUCT(INDEX(PortfolioRef[[SPY]:[PE]],MATCH(BG$1,PortfolioRef[Reference '#]),0),AssetMonthlyReturns[[#This Row],[SPY]:[PE]])</f>
        <v>-2.5274462926297711E-3</v>
      </c>
      <c r="BH7" s="27">
        <f>IF(ISNUMBER(BH6),BH6*(1+PortfolioFrontier[[#This Row],[P15 Return]]),1+PortfolioFrontier[[#This Row],[P15 Return]])</f>
        <v>1.0539003518190002</v>
      </c>
      <c r="BI7" s="27">
        <f>MAX(BI6,PortfolioFrontier[[#This Row],[P15 Growth]])</f>
        <v>1.0565707777140345</v>
      </c>
      <c r="BJ7" s="27">
        <f>PortfolioFrontier[[#This Row],[P15 Growth]]/PortfolioFrontier[[#This Row],[P15 HWM]]-1</f>
        <v>-2.527446292629798E-3</v>
      </c>
      <c r="BK7" s="28">
        <f>SUMPRODUCT(INDEX(PortfolioRef[[SPY]:[PE]],MATCH(BK$1,PortfolioRef[Reference '#]),0),AssetMonthlyReturns[[#This Row],[SPY]:[PE]])</f>
        <v>-5.037761725417967E-3</v>
      </c>
      <c r="BL7" s="27">
        <f>IF(ISNUMBER(BL6),BL6*(1+PortfolioFrontier[[#This Row],[P16 Return]]),1+PortfolioFrontier[[#This Row],[P16 Return]])</f>
        <v>1.0480822993052794</v>
      </c>
      <c r="BM7" s="27">
        <f>MAX(BM6,PortfolioFrontier[[#This Row],[P16 Growth]])</f>
        <v>1.0533890222033107</v>
      </c>
      <c r="BN7" s="27">
        <f>PortfolioFrontier[[#This Row],[P16 Growth]]/PortfolioFrontier[[#This Row],[P16 HWM]]-1</f>
        <v>-5.0377617254179219E-3</v>
      </c>
      <c r="BO7" s="28">
        <f>SUMPRODUCT(INDEX(PortfolioRef[[SPY]:[PE]],MATCH(BO$1,PortfolioRef[Reference '#]),0),AssetMonthlyReturns[[#This Row],[SPY]:[PE]])</f>
        <v>-6.5607313113437201E-3</v>
      </c>
      <c r="BP7" s="27">
        <f>IF(ISNUMBER(BP6),BP6*(1+PortfolioFrontier[[#This Row],[P17 Return]]),1+PortfolioFrontier[[#This Row],[P17 Return]])</f>
        <v>1.047592149278638</v>
      </c>
      <c r="BQ7" s="27">
        <f>MAX(BQ6,PortfolioFrontier[[#This Row],[P17 Growth]])</f>
        <v>1.0545105093957718</v>
      </c>
      <c r="BR7" s="27">
        <f>PortfolioFrontier[[#This Row],[P17 Growth]]/PortfolioFrontier[[#This Row],[P17 HWM]]-1</f>
        <v>-6.5607313113437149E-3</v>
      </c>
      <c r="BS7" s="28">
        <f>SUMPRODUCT(INDEX(PortfolioRef[[SPY]:[PE]],MATCH(BS$1,PortfolioRef[Reference '#]),0),AssetMonthlyReturns[[#This Row],[SPY]:[PE]])</f>
        <v>-6.8146839697428175E-3</v>
      </c>
      <c r="BT7" s="27">
        <f>IF(ISNUMBER(BT6),BT6*(1+PortfolioFrontier[[#This Row],[P18 Return]]),1+PortfolioFrontier[[#This Row],[P18 Return]])</f>
        <v>1.0518173605709837</v>
      </c>
      <c r="BU7" s="27">
        <f>MAX(BU6,PortfolioFrontier[[#This Row],[P18 Growth]])</f>
        <v>1.0590343449448867</v>
      </c>
      <c r="BV7" s="27">
        <f>PortfolioFrontier[[#This Row],[P18 Growth]]/PortfolioFrontier[[#This Row],[P18 HWM]]-1</f>
        <v>-6.8146839697427186E-3</v>
      </c>
      <c r="BW7" s="28">
        <f>SUMPRODUCT(INDEX(PortfolioRef[[SPY]:[PE]],MATCH(BW$1,PortfolioRef[Reference '#]),0),AssetMonthlyReturns[[#This Row],[SPY]:[PE]])</f>
        <v>-3.8651382894402896E-3</v>
      </c>
      <c r="BX7" s="27">
        <f>IF(ISNUMBER(BX6),BX6*(1+PortfolioFrontier[[#This Row],[P19 Return]]),1+PortfolioFrontier[[#This Row],[P19 Return]])</f>
        <v>1.0500823855324657</v>
      </c>
      <c r="BY7" s="27">
        <f>MAX(BY6,PortfolioFrontier[[#This Row],[P19 Growth]])</f>
        <v>1.0541568475269176</v>
      </c>
      <c r="BZ7" s="27">
        <f>PortfolioFrontier[[#This Row],[P19 Growth]]/PortfolioFrontier[[#This Row],[P19 HWM]]-1</f>
        <v>-3.8651382894402397E-3</v>
      </c>
      <c r="CA7" s="28">
        <f>SUMPRODUCT(INDEX(PortfolioRef[[SPY]:[PE]],MATCH(CA$1,PortfolioRef[Reference '#]),0),AssetMonthlyReturns[[#This Row],[SPY]:[PE]])</f>
        <v>-8.083700897269475E-3</v>
      </c>
      <c r="CB7" s="27">
        <f>IF(ISNUMBER(CB6),CB6*(1+PortfolioFrontier[[#This Row],[P20 Return]]),1+PortfolioFrontier[[#This Row],[P20 Return]])</f>
        <v>1.0470769023411213</v>
      </c>
      <c r="CC7" s="27">
        <f>MAX(CC6,PortfolioFrontier[[#This Row],[P20 Growth]])</f>
        <v>1.0556101389686692</v>
      </c>
      <c r="CD7" s="27">
        <f>PortfolioFrontier[[#This Row],[P20 Growth]]/PortfolioFrontier[[#This Row],[P20 HWM]]-1</f>
        <v>-8.0837008972696189E-3</v>
      </c>
      <c r="CE7" s="28">
        <f>SUMPRODUCT(INDEX(PortfolioRef[[SPY]:[PE]],MATCH(CE$1,PortfolioRef[Reference '#]),0),AssetMonthlyReturns[[#This Row],[SPY]:[PE]])</f>
        <v>-8.3376535556685723E-3</v>
      </c>
      <c r="CF7" s="27">
        <f>IF(ISNUMBER(CF6),CF6*(1+PortfolioFrontier[[#This Row],[P21 Return]]),1+PortfolioFrontier[[#This Row],[P21 Return]])</f>
        <v>1.0513173436419592</v>
      </c>
      <c r="CG7" s="27">
        <f>MAX(CG6,PortfolioFrontier[[#This Row],[P21 Growth]])</f>
        <v>1.0601565617687558</v>
      </c>
      <c r="CH7" s="27">
        <f>PortfolioFrontier[[#This Row],[P21 Growth]]/PortfolioFrontier[[#This Row],[P21 HWM]]-1</f>
        <v>-8.3376535556686227E-3</v>
      </c>
      <c r="CI7" s="28">
        <f>SUMPRODUCT(INDEX(PortfolioRef[[SPY]:[PE]],MATCH(CI$1,PortfolioRef[Reference '#]),0),AssetMonthlyReturns[[#This Row],[SPY]:[PE]])</f>
        <v>-5.3881078753660449E-3</v>
      </c>
      <c r="CJ7" s="27">
        <f>IF(ISNUMBER(CJ6),CJ6*(1+PortfolioFrontier[[#This Row],[P22 Return]]),1+PortfolioFrontier[[#This Row],[P22 Return]])</f>
        <v>1.0495954002338528</v>
      </c>
      <c r="CK7" s="27">
        <f>MAX(CK6,PortfolioFrontier[[#This Row],[P22 Growth]])</f>
        <v>1.0552813700947876</v>
      </c>
      <c r="CL7" s="27">
        <f>PortfolioFrontier[[#This Row],[P22 Growth]]/PortfolioFrontier[[#This Row],[P22 HWM]]-1</f>
        <v>-5.3881078753660328E-3</v>
      </c>
      <c r="CM7" s="28">
        <f>SUMPRODUCT(INDEX(PortfolioRef[[SPY]:[PE]],MATCH(CM$1,PortfolioRef[Reference '#]),0),AssetMonthlyReturns[[#This Row],[SPY]:[PE]])</f>
        <v>-8.5916062140676715E-3</v>
      </c>
      <c r="CN7" s="27">
        <f>IF(ISNUMBER(CN6),CN6*(1+PortfolioFrontier[[#This Row],[P23 Return]]),1+PortfolioFrontier[[#This Row],[P23 Return]])</f>
        <v>1.0555515618004494</v>
      </c>
      <c r="CO7" s="27">
        <f>MAX(CO6,PortfolioFrontier[[#This Row],[P23 Growth]])</f>
        <v>1.0646990366599287</v>
      </c>
      <c r="CP7" s="27">
        <f>PortfolioFrontier[[#This Row],[P23 Growth]]/PortfolioFrontier[[#This Row],[P23 HWM]]-1</f>
        <v>-8.5916062140676264E-3</v>
      </c>
      <c r="CQ7" s="28">
        <f>SUMPRODUCT(INDEX(PortfolioRef[[SPY]:[PE]],MATCH(CQ$1,PortfolioRef[Reference '#]),0),AssetMonthlyReturns[[#This Row],[SPY]:[PE]])</f>
        <v>-5.6420605337651423E-3</v>
      </c>
      <c r="CR7" s="27">
        <f>IF(ISNUMBER(CR6),CR6*(1+PortfolioFrontier[[#This Row],[P24 Return]]),1+PortfolioFrontier[[#This Row],[P24 Return]])</f>
        <v>1.0538248805974608</v>
      </c>
      <c r="CS7" s="27">
        <f>MAX(CS6,PortfolioFrontier[[#This Row],[P24 Growth]])</f>
        <v>1.0598043609559225</v>
      </c>
      <c r="CT7" s="27">
        <f>PortfolioFrontier[[#This Row],[P24 Growth]]/PortfolioFrontier[[#This Row],[P24 HWM]]-1</f>
        <v>-5.6420605337651475E-3</v>
      </c>
      <c r="CU7" s="28">
        <f>SUMPRODUCT(INDEX(PortfolioRef[[SPY]:[PE]],MATCH(CU$1,PortfolioRef[Reference '#]),0),AssetMonthlyReturns[[#This Row],[SPY]:[PE]])</f>
        <v>-2.692514853462614E-3</v>
      </c>
      <c r="CV7" s="27">
        <f>IF(ISNUMBER(CV6),CV6*(1+PortfolioFrontier[[#This Row],[P25 Return]]),1+PortfolioFrontier[[#This Row],[P25 Return]])</f>
        <v>1.0520814732934365</v>
      </c>
      <c r="CW7" s="27">
        <f>MAX(CW6,PortfolioFrontier[[#This Row],[P25 Growth]])</f>
        <v>1.0549218660871187</v>
      </c>
      <c r="CX7" s="27">
        <f>PortfolioFrontier[[#This Row],[P25 Growth]]/PortfolioFrontier[[#This Row],[P25 HWM]]-1</f>
        <v>-2.6925148534627796E-3</v>
      </c>
      <c r="CY7" s="28">
        <f>SUMPRODUCT(INDEX(PortfolioRef[[SPY]:[PE]],MATCH(CY$1,PortfolioRef[Reference '#]),0),AssetMonthlyReturns[[#This Row],[SPY]:[PE]])</f>
        <v>-9.8606231415943272E-3</v>
      </c>
      <c r="CZ7" s="27">
        <f>IF(ISNUMBER(CZ6),CZ6*(1+PortfolioFrontier[[#This Row],[P26 Return]]),1+PortfolioFrontier[[#This Row],[P26 Return]])</f>
        <v>1.0507922131131124</v>
      </c>
      <c r="DA7" s="27">
        <f>MAX(DA6,PortfolioFrontier[[#This Row],[P26 Growth]])</f>
        <v>1.0612568671363731</v>
      </c>
      <c r="DB7" s="27">
        <f>PortfolioFrontier[[#This Row],[P26 Growth]]/PortfolioFrontier[[#This Row],[P26 HWM]]-1</f>
        <v>-9.8606231415941936E-3</v>
      </c>
      <c r="DC7" s="28">
        <f>SUMPRODUCT(INDEX(PortfolioRef[[SPY]:[PE]],MATCH(DC$1,PortfolioRef[Reference '#]),0),AssetMonthlyReturns[[#This Row],[SPY]:[PE]])</f>
        <v>-6.9110774612917997E-3</v>
      </c>
      <c r="DD7" s="27">
        <f>IF(ISNUMBER(DD6),DD6*(1+PortfolioFrontier[[#This Row],[P27 Return]]),1+PortfolioFrontier[[#This Row],[P27 Return]])</f>
        <v>1.0490832527474592</v>
      </c>
      <c r="DE7" s="27">
        <f>MAX(DE6,PortfolioFrontier[[#This Row],[P27 Growth]])</f>
        <v>1.0563840044309512</v>
      </c>
      <c r="DF7" s="27">
        <f>PortfolioFrontier[[#This Row],[P27 Growth]]/PortfolioFrontier[[#This Row],[P27 HWM]]-1</f>
        <v>-6.9110774612918258E-3</v>
      </c>
      <c r="DG7" s="28">
        <f>SUMPRODUCT(INDEX(PortfolioRef[[SPY]:[PE]],MATCH(DG$1,PortfolioRef[Reference '#]),0),AssetMonthlyReturns[[#This Row],[SPY]:[PE]])</f>
        <v>-1.0114575799993425E-2</v>
      </c>
      <c r="DH7" s="27">
        <f>IF(ISNUMBER(DH6),DH6*(1+PortfolioFrontier[[#This Row],[P28 Return]]),1+PortfolioFrontier[[#This Row],[P28 Return]])</f>
        <v>1.0550416383047452</v>
      </c>
      <c r="DI7" s="27">
        <f>MAX(DI6,PortfolioFrontier[[#This Row],[P28 Growth]])</f>
        <v>1.0658219754648834</v>
      </c>
      <c r="DJ7" s="27">
        <f>PortfolioFrontier[[#This Row],[P28 Growth]]/PortfolioFrontier[[#This Row],[P28 HWM]]-1</f>
        <v>-1.0114575799993419E-2</v>
      </c>
      <c r="DK7" s="28">
        <f>SUMPRODUCT(INDEX(PortfolioRef[[SPY]:[PE]],MATCH(DK$1,PortfolioRef[Reference '#]),0),AssetMonthlyReturns[[#This Row],[SPY]:[PE]])</f>
        <v>-7.1650301196908971E-3</v>
      </c>
      <c r="DL7" s="27">
        <f>IF(ISNUMBER(DL6),DL6*(1+PortfolioFrontier[[#This Row],[P29 Return]]),1+PortfolioFrontier[[#This Row],[P29 Return]])</f>
        <v>1.0533280229558148</v>
      </c>
      <c r="DM7" s="27">
        <f>MAX(DM6,PortfolioFrontier[[#This Row],[P29 Growth]])</f>
        <v>1.0609296156065076</v>
      </c>
      <c r="DN7" s="27">
        <f>PortfolioFrontier[[#This Row],[P29 Growth]]/PortfolioFrontier[[#This Row],[P29 HWM]]-1</f>
        <v>-7.1650301196909405E-3</v>
      </c>
      <c r="DO7" s="28">
        <f>SUMPRODUCT(INDEX(PortfolioRef[[SPY]:[PE]],MATCH(DO$1,PortfolioRef[Reference '#]),0),AssetMonthlyReturns[[#This Row],[SPY]:[PE]])</f>
        <v>-4.2154844393883688E-3</v>
      </c>
      <c r="DP7" s="27">
        <f>IF(ISNUMBER(DP6),DP6*(1+PortfolioFrontier[[#This Row],[P30 Return]]),1+PortfolioFrontier[[#This Row],[P30 Return]])</f>
        <v>1.0515976734423624</v>
      </c>
      <c r="DQ7" s="27">
        <f>MAX(DQ6,PortfolioFrontier[[#This Row],[P30 Growth]])</f>
        <v>1.0560494333960684</v>
      </c>
      <c r="DR7" s="27">
        <f>PortfolioFrontier[[#This Row],[P30 Growth]]/PortfolioFrontier[[#This Row],[P30 HWM]]-1</f>
        <v>-4.2154844393882396E-3</v>
      </c>
      <c r="DS7" s="28">
        <f>SUMPRODUCT(INDEX(PortfolioRef[[SPY]:[PE]],MATCH(DS$1,PortfolioRef[Reference '#]),0),AssetMonthlyReturns[[#This Row],[SPY]:[PE]])</f>
        <v>-1.0368528458392522E-2</v>
      </c>
      <c r="DT7" s="27">
        <f>IF(ISNUMBER(DT6),DT6*(1+PortfolioFrontier[[#This Row],[P31 Return]]),1+PortfolioFrontier[[#This Row],[P31 Return]])</f>
        <v>1.059284830769603</v>
      </c>
      <c r="DU7" s="27">
        <f>MAX(DU6,PortfolioFrontier[[#This Row],[P31 Growth]])</f>
        <v>1.0703831287009218</v>
      </c>
      <c r="DV7" s="27">
        <f>PortfolioFrontier[[#This Row],[P31 Growth]]/PortfolioFrontier[[#This Row],[P31 HWM]]-1</f>
        <v>-1.0368528458392534E-2</v>
      </c>
      <c r="DW7" s="28">
        <f>SUMPRODUCT(INDEX(PortfolioRef[[SPY]:[PE]],MATCH(DW$1,PortfolioRef[Reference '#]),0),AssetMonthlyReturns[[#This Row],[SPY]:[PE]])</f>
        <v>-7.4189827780899945E-3</v>
      </c>
      <c r="DX7" s="27">
        <f>IF(ISNUMBER(DX6),DX6*(1+PortfolioFrontier[[#This Row],[P32 Return]]),1+PortfolioFrontier[[#This Row],[P32 Return]])</f>
        <v>1.0575665336039639</v>
      </c>
      <c r="DY7" s="27">
        <f>MAX(DY6,PortfolioFrontier[[#This Row],[P32 Growth]])</f>
        <v>1.0654712464317915</v>
      </c>
      <c r="DZ7" s="27">
        <f>PortfolioFrontier[[#This Row],[P32 Growth]]/PortfolioFrontier[[#This Row],[P32 HWM]]-1</f>
        <v>-7.4189827780900552E-3</v>
      </c>
      <c r="EA7" s="28">
        <f>SUMPRODUCT(INDEX(PortfolioRef[[SPY]:[PE]],MATCH(EA$1,PortfolioRef[Reference '#]),0),AssetMonthlyReturns[[#This Row],[SPY]:[PE]])</f>
        <v>-4.4694370977874662E-3</v>
      </c>
      <c r="EB7" s="27">
        <f>IF(ISNUMBER(EB6),EB6*(1+PortfolioFrontier[[#This Row],[P33 Return]]),1+PortfolioFrontier[[#This Row],[P33 Return]])</f>
        <v>1.0558314092307364</v>
      </c>
      <c r="EC7" s="27">
        <f>MAX(EC6,PortfolioFrontier[[#This Row],[P33 Growth]])</f>
        <v>1.0605715671377605</v>
      </c>
      <c r="ED7" s="27">
        <f>PortfolioFrontier[[#This Row],[P33 Growth]]/PortfolioFrontier[[#This Row],[P33 HWM]]-1</f>
        <v>-4.4694370977874653E-3</v>
      </c>
      <c r="EE7" s="28">
        <f>SUMPRODUCT(INDEX(PortfolioRef[[SPY]:[PE]],MATCH(EE$1,PortfolioRef[Reference '#]),0),AssetMonthlyReturns[[#This Row],[SPY]:[PE]])</f>
        <v>-5.2028302862508098E-3</v>
      </c>
      <c r="EF7" s="27">
        <f>IF(ISNUMBER(EF6),EF6*(1+PortfolioFrontier[[#This Row],[P34 Return]]),1+PortfolioFrontier[[#This Row],[P34 Return]])</f>
        <v>1.0462602358987685</v>
      </c>
      <c r="EG7" s="27">
        <f>MAX(EG6,PortfolioFrontier[[#This Row],[P34 Growth]])</f>
        <v>1.0517322201467738</v>
      </c>
      <c r="EH7" s="27">
        <f>PortfolioFrontier[[#This Row],[P34 Growth]]/PortfolioFrontier[[#This Row],[P34 HWM]]-1</f>
        <v>-5.2028302862506814E-3</v>
      </c>
      <c r="EI7" s="28">
        <f>SUMPRODUCT(INDEX(PortfolioRef[[SPY]:[PE]],MATCH(EI$1,PortfolioRef[Reference '#]),0),AssetMonthlyReturns[[#This Row],[SPY]:[PE]])</f>
        <v>-6.7257998721765629E-3</v>
      </c>
      <c r="EJ7" s="27">
        <f>IF(ISNUMBER(EJ6),EJ6*(1+PortfolioFrontier[[#This Row],[P35 Return]]),1+PortfolioFrontier[[#This Row],[P35 Return]])</f>
        <v>1.0457655757071587</v>
      </c>
      <c r="EK7" s="27">
        <f>MAX(EK6,PortfolioFrontier[[#This Row],[P35 Growth]])</f>
        <v>1.0528468126652037</v>
      </c>
      <c r="EL7" s="27">
        <f>PortfolioFrontier[[#This Row],[P35 Growth]]/PortfolioFrontier[[#This Row],[P35 HWM]]-1</f>
        <v>-6.7257998721764745E-3</v>
      </c>
      <c r="EM7" s="28">
        <f>SUMPRODUCT(INDEX(PortfolioRef[[SPY]:[PE]],MATCH(EM$1,PortfolioRef[Reference '#]),0),AssetMonthlyReturns[[#This Row],[SPY]:[PE]])</f>
        <v>-6.9797525305756603E-3</v>
      </c>
      <c r="EN7" s="27">
        <f>IF(ISNUMBER(EN6),EN6*(1+PortfolioFrontier[[#This Row],[P36 Return]]),1+PortfolioFrontier[[#This Row],[P36 Return]])</f>
        <v>1.0499915058136995</v>
      </c>
      <c r="EO7" s="27">
        <f>MAX(EO6,PortfolioFrontier[[#This Row],[P36 Growth]])</f>
        <v>1.0573716986027815</v>
      </c>
      <c r="EP7" s="27">
        <f>PortfolioFrontier[[#This Row],[P36 Growth]]/PortfolioFrontier[[#This Row],[P36 HWM]]-1</f>
        <v>-6.9797525305758112E-3</v>
      </c>
      <c r="EQ7" s="28">
        <f>SUMPRODUCT(INDEX(PortfolioRef[[SPY]:[PE]],MATCH(EQ$1,PortfolioRef[Reference '#]),0),AssetMonthlyReturns[[#This Row],[SPY]:[PE]])</f>
        <v>-4.0302068502731329E-3</v>
      </c>
      <c r="ER7" s="27">
        <f>IF(ISNUMBER(ER6),ER6*(1+PortfolioFrontier[[#This Row],[P37 Return]]),1+PortfolioFrontier[[#This Row],[P37 Return]])</f>
        <v>1.048260919768478</v>
      </c>
      <c r="ES7" s="27">
        <f>MAX(ES6,PortfolioFrontier[[#This Row],[P37 Growth]])</f>
        <v>1.0525027234544753</v>
      </c>
      <c r="ET7" s="27">
        <f>PortfolioFrontier[[#This Row],[P37 Growth]]/PortfolioFrontier[[#This Row],[P37 HWM]]-1</f>
        <v>-4.0302068502729993E-3</v>
      </c>
      <c r="EU7" s="28">
        <f>SUMPRODUCT(INDEX(PortfolioRef[[SPY]:[PE]],MATCH(EU$1,PortfolioRef[Reference '#]),0),AssetMonthlyReturns[[#This Row],[SPY]:[PE]])</f>
        <v>-8.2487694581023178E-3</v>
      </c>
      <c r="EV7" s="27">
        <f>IF(ISNUMBER(EV6),EV6*(1+PortfolioFrontier[[#This Row],[P38 Return]]),1+PortfolioFrontier[[#This Row],[P38 Return]])</f>
        <v>1.0452458735926287</v>
      </c>
      <c r="EW7" s="27">
        <f>MAX(EW6,PortfolioFrontier[[#This Row],[P38 Growth]])</f>
        <v>1.0539395781959364</v>
      </c>
      <c r="EX7" s="27">
        <f>PortfolioFrontier[[#This Row],[P38 Growth]]/PortfolioFrontier[[#This Row],[P38 HWM]]-1</f>
        <v>-8.2487694581021564E-3</v>
      </c>
      <c r="EY7" s="28">
        <f>SUMPRODUCT(INDEX(PortfolioRef[[SPY]:[PE]],MATCH(EY$1,PortfolioRef[Reference '#]),0),AssetMonthlyReturns[[#This Row],[SPY]:[PE]])</f>
        <v>-8.5027221165014152E-3</v>
      </c>
      <c r="EZ7" s="27">
        <f>IF(ISNUMBER(EZ6),EZ6*(1+PortfolioFrontier[[#This Row],[P39 Return]]),1+PortfolioFrontier[[#This Row],[P39 Return]])</f>
        <v>1.049486989360751</v>
      </c>
      <c r="FA7" s="27">
        <f>MAX(FA6,PortfolioFrontier[[#This Row],[P39 Growth]])</f>
        <v>1.0584870102730288</v>
      </c>
      <c r="FB7" s="27">
        <f>PortfolioFrontier[[#This Row],[P39 Growth]]/PortfolioFrontier[[#This Row],[P39 HWM]]-1</f>
        <v>-8.5027221165012712E-3</v>
      </c>
      <c r="FC7" s="28">
        <f>SUMPRODUCT(INDEX(PortfolioRef[[SPY]:[PE]],MATCH(FC$1,PortfolioRef[Reference '#]),0),AssetMonthlyReturns[[#This Row],[SPY]:[PE]])</f>
        <v>-5.5531764361988877E-3</v>
      </c>
      <c r="FD7" s="27">
        <f>IF(ISNUMBER(FD6),FD6*(1+PortfolioFrontier[[#This Row],[P40 Return]]),1+PortfolioFrontier[[#This Row],[P40 Return]])</f>
        <v>1.0477693970550643</v>
      </c>
      <c r="FE7" s="27">
        <f>MAX(FE6,PortfolioFrontier[[#This Row],[P40 Growth]])</f>
        <v>1.0536203366814236</v>
      </c>
      <c r="FF7" s="27">
        <f>PortfolioFrontier[[#This Row],[P40 Growth]]/PortfolioFrontier[[#This Row],[P40 HWM]]-1</f>
        <v>-5.5531764361990144E-3</v>
      </c>
      <c r="FG7" s="28">
        <f>SUMPRODUCT(INDEX(PortfolioRef[[SPY]:[PE]],MATCH(FG$1,PortfolioRef[Reference '#]),0),AssetMonthlyReturns[[#This Row],[SPY]:[PE]])</f>
        <v>-8.7566747749005143E-3</v>
      </c>
      <c r="FH7" s="27">
        <f>IF(ISNUMBER(FH6),FH6*(1+PortfolioFrontier[[#This Row],[P41 Return]]),1+PortfolioFrontier[[#This Row],[P41 Return]])</f>
        <v>1.0537219227147787</v>
      </c>
      <c r="FI7" s="27">
        <f>MAX(FI6,PortfolioFrontier[[#This Row],[P41 Growth]])</f>
        <v>1.0630305353889682</v>
      </c>
      <c r="FJ7" s="27">
        <f>PortfolioFrontier[[#This Row],[P41 Growth]]/PortfolioFrontier[[#This Row],[P41 HWM]]-1</f>
        <v>-8.7566747749003859E-3</v>
      </c>
      <c r="FK7" s="28">
        <f>SUMPRODUCT(INDEX(PortfolioRef[[SPY]:[PE]],MATCH(FK$1,PortfolioRef[Reference '#]),0),AssetMonthlyReturns[[#This Row],[SPY]:[PE]])</f>
        <v>-5.8071290945979851E-3</v>
      </c>
      <c r="FL7" s="27">
        <f>IF(ISNUMBER(FL6),FL6*(1+PortfolioFrontier[[#This Row],[P42 Return]]),1+PortfolioFrontier[[#This Row],[P42 Return]])</f>
        <v>1.0519996141222847</v>
      </c>
      <c r="FM7" s="27">
        <f>MAX(FM6,PortfolioFrontier[[#This Row],[P42 Growth]])</f>
        <v>1.0581443952260881</v>
      </c>
      <c r="FN7" s="27">
        <f>PortfolioFrontier[[#This Row],[P42 Growth]]/PortfolioFrontier[[#This Row],[P42 HWM]]-1</f>
        <v>-5.8071290945981291E-3</v>
      </c>
      <c r="FO7" s="28">
        <f>SUMPRODUCT(INDEX(PortfolioRef[[SPY]:[PE]],MATCH(FO$1,PortfolioRef[Reference '#]),0),AssetMonthlyReturns[[#This Row],[SPY]:[PE]])</f>
        <v>-2.8575834142954568E-3</v>
      </c>
      <c r="FP7" s="27">
        <f>IF(ISNUMBER(FP6),FP6*(1+PortfolioFrontier[[#This Row],[P43 Return]]),1+PortfolioFrontier[[#This Row],[P43 Return]])</f>
        <v>1.0502606146472793</v>
      </c>
      <c r="FQ7" s="27">
        <f>MAX(FQ6,PortfolioFrontier[[#This Row],[P43 Growth]])</f>
        <v>1.0532704227380636</v>
      </c>
      <c r="FR7" s="27">
        <f>PortfolioFrontier[[#This Row],[P43 Growth]]/PortfolioFrontier[[#This Row],[P43 HWM]]-1</f>
        <v>-2.8575834142955392E-3</v>
      </c>
      <c r="FS7" s="28">
        <f>SUMPRODUCT(INDEX(PortfolioRef[[SPY]:[PE]],MATCH(FS$1,PortfolioRef[Reference '#]),0),AssetMonthlyReturns[[#This Row],[SPY]:[PE]])</f>
        <v>-1.002569170242717E-2</v>
      </c>
      <c r="FT7" s="27">
        <f>IF(ISNUMBER(FT6),FT6*(1+PortfolioFrontier[[#This Row],[P44 Return]]),1+PortfolioFrontier[[#This Row],[P44 Return]])</f>
        <v>1.0489574142823106</v>
      </c>
      <c r="FU7" s="27">
        <f>MAX(FU6,PortfolioFrontier[[#This Row],[P44 Growth]])</f>
        <v>1.0595804411188903</v>
      </c>
      <c r="FV7" s="27">
        <f>PortfolioFrontier[[#This Row],[P44 Growth]]/PortfolioFrontier[[#This Row],[P44 HWM]]-1</f>
        <v>-1.0025691702427064E-2</v>
      </c>
      <c r="FW7" s="28">
        <f>SUMPRODUCT(INDEX(PortfolioRef[[SPY]:[PE]],MATCH(FW$1,PortfolioRef[Reference '#]),0),AssetMonthlyReturns[[#This Row],[SPY]:[PE]])</f>
        <v>-7.0761460221246426E-3</v>
      </c>
      <c r="FX7" s="27">
        <f>IF(ISNUMBER(FX6),FX6*(1+PortfolioFrontier[[#This Row],[P45 Return]]),1+PortfolioFrontier[[#This Row],[P45 Return]])</f>
        <v>1.0472527672274723</v>
      </c>
      <c r="FY7" s="27">
        <f>MAX(FY6,PortfolioFrontier[[#This Row],[P45 Growth]])</f>
        <v>1.0547160923085321</v>
      </c>
      <c r="FZ7" s="27">
        <f>PortfolioFrontier[[#This Row],[P45 Growth]]/PortfolioFrontier[[#This Row],[P45 HWM]]-1</f>
        <v>-7.0761460221245853E-3</v>
      </c>
      <c r="GA7" s="28">
        <f>SUMPRODUCT(INDEX(PortfolioRef[[SPY]:[PE]],MATCH(GA$1,PortfolioRef[Reference '#]),0),AssetMonthlyReturns[[#This Row],[SPY]:[PE]])</f>
        <v>-1.0279644360826267E-2</v>
      </c>
      <c r="GB7" s="27">
        <f>IF(ISNUMBER(GB6),GB6*(1+PortfolioFrontier[[#This Row],[P46 Return]]),1+PortfolioFrontier[[#This Row],[P46 Return]])</f>
        <v>1.0532075103909082</v>
      </c>
      <c r="GC7" s="27">
        <f>MAX(GC6,PortfolioFrontier[[#This Row],[P46 Growth]])</f>
        <v>1.0641465585607095</v>
      </c>
      <c r="GD7" s="27">
        <f>PortfolioFrontier[[#This Row],[P46 Growth]]/PortfolioFrontier[[#This Row],[P46 HWM]]-1</f>
        <v>-1.027964436082629E-2</v>
      </c>
      <c r="GE7" s="28">
        <f>SUMPRODUCT(INDEX(PortfolioRef[[SPY]:[PE]],MATCH(GE$1,PortfolioRef[Reference '#]),0),AssetMonthlyReturns[[#This Row],[SPY]:[PE]])</f>
        <v>-7.33009868052374E-3</v>
      </c>
      <c r="GF7" s="27">
        <f>IF(ISNUMBER(GF6),GF6*(1+PortfolioFrontier[[#This Row],[P47 Return]]),1+PortfolioFrontier[[#This Row],[P47 Return]])</f>
        <v>1.0514982297162476</v>
      </c>
      <c r="GG7" s="27">
        <f>MAX(GG6,PortfolioFrontier[[#This Row],[P47 Growth]])</f>
        <v>1.0592627300561601</v>
      </c>
      <c r="GH7" s="27">
        <f>PortfolioFrontier[[#This Row],[P47 Growth]]/PortfolioFrontier[[#This Row],[P47 HWM]]-1</f>
        <v>-7.330098680523589E-3</v>
      </c>
      <c r="GI7" s="28">
        <f>SUMPRODUCT(INDEX(PortfolioRef[[SPY]:[PE]],MATCH(GI$1,PortfolioRef[Reference '#]),0),AssetMonthlyReturns[[#This Row],[SPY]:[PE]])</f>
        <v>-4.3805530002212116E-3</v>
      </c>
      <c r="GJ7" s="27">
        <f>IF(ISNUMBER(GJ6),GJ6*(1+PortfolioFrontier[[#This Row],[P48 Return]]),1+PortfolioFrontier[[#This Row],[P48 Return]])</f>
        <v>1.0497722500914561</v>
      </c>
      <c r="GK7" s="27">
        <f>MAX(GK6,PortfolioFrontier[[#This Row],[P48 Growth]])</f>
        <v>1.0543910660392006</v>
      </c>
      <c r="GL7" s="27">
        <f>PortfolioFrontier[[#This Row],[P48 Growth]]/PortfolioFrontier[[#This Row],[P48 HWM]]-1</f>
        <v>-4.3805530002212212E-3</v>
      </c>
      <c r="GM7" s="28">
        <f>SUMPRODUCT(INDEX(PortfolioRef[[SPY]:[PE]],MATCH(GM$1,PortfolioRef[Reference '#]),0),AssetMonthlyReturns[[#This Row],[SPY]:[PE]])</f>
        <v>-1.0533597019225365E-2</v>
      </c>
      <c r="GN7" s="27">
        <f>IF(ISNUMBER(GN6),GN6*(1+PortfolioFrontier[[#This Row],[P49 Return]]),1+PortfolioFrontier[[#This Row],[P49 Return]])</f>
        <v>1.0574514144294924</v>
      </c>
      <c r="GO7" s="27">
        <f>MAX(GO6,PortfolioFrontier[[#This Row],[P49 Growth]])</f>
        <v>1.0687087618578179</v>
      </c>
      <c r="GP7" s="27">
        <f>PortfolioFrontier[[#This Row],[P49 Growth]]/PortfolioFrontier[[#This Row],[P49 HWM]]-1</f>
        <v>-1.0533597019225294E-2</v>
      </c>
      <c r="GQ7" s="28">
        <f>SUMPRODUCT(INDEX(PortfolioRef[[SPY]:[PE]],MATCH(GQ$1,PortfolioRef[Reference '#]),0),AssetMonthlyReturns[[#This Row],[SPY]:[PE]])</f>
        <v>-7.5840513389228374E-3</v>
      </c>
      <c r="GR7" s="27">
        <f>IF(ISNUMBER(GR6),GR6*(1+PortfolioFrontier[[#This Row],[P50 Return]]),1+PortfolioFrontier[[#This Row],[P50 Return]])</f>
        <v>1.055737473417657</v>
      </c>
      <c r="GS7" s="27">
        <f>MAX(GS6,PortfolioFrontier[[#This Row],[P50 Growth]])</f>
        <v>1.063805428401277</v>
      </c>
      <c r="GT7" s="27">
        <f>PortfolioFrontier[[#This Row],[P50 Growth]]/PortfolioFrontier[[#This Row],[P50 HWM]]-1</f>
        <v>-7.5840513389228148E-3</v>
      </c>
      <c r="GU7" s="28">
        <f>SUMPRODUCT(INDEX(PortfolioRef[[SPY]:[PE]],MATCH(GU$1,PortfolioRef[Reference '#]),0),AssetMonthlyReturns[[#This Row],[SPY]:[PE]])</f>
        <v>-4.634505658620309E-3</v>
      </c>
      <c r="GV7" s="27">
        <f>IF(ISNUMBER(GV6),GV6*(1+PortfolioFrontier[[#This Row],[P51 Return]]),1+PortfolioFrontier[[#This Row],[P51 Return]])</f>
        <v>1.0540067405147766</v>
      </c>
      <c r="GW7" s="27">
        <f>MAX(GW6,PortfolioFrontier[[#This Row],[P51 Growth]])</f>
        <v>1.0589142847594883</v>
      </c>
      <c r="GX7" s="27">
        <f>PortfolioFrontier[[#This Row],[P51 Growth]]/PortfolioFrontier[[#This Row],[P51 HWM]]-1</f>
        <v>-4.6345056586203359E-3</v>
      </c>
      <c r="GY7" s="28">
        <f>SUMPRODUCT(INDEX(PortfolioRef[[SPY]:[PE]],MATCH(GY$1,PortfolioRef[Reference '#]),0),AssetMonthlyReturns[[#This Row],[SPY]:[PE]])</f>
        <v>-1.1802613946752022E-2</v>
      </c>
      <c r="GZ7" s="27">
        <f>IF(ISNUMBER(GZ6),GZ6*(1+PortfolioFrontier[[#This Row],[P52 Return]]),1+PortfolioFrontier[[#This Row],[P52 Return]])</f>
        <v>1.0526680229536056</v>
      </c>
      <c r="HA7" s="27">
        <f>MAX(HA6,PortfolioFrontier[[#This Row],[P52 Growth]])</f>
        <v>1.0652406470713773</v>
      </c>
      <c r="HB7" s="27">
        <f>PortfolioFrontier[[#This Row],[P52 Growth]]/PortfolioFrontier[[#This Row],[P52 HWM]]-1</f>
        <v>-1.1802613946751972E-2</v>
      </c>
      <c r="HC7" s="28">
        <f>SUMPRODUCT(INDEX(PortfolioRef[[SPY]:[PE]],MATCH(HC$1,PortfolioRef[Reference '#]),0),AssetMonthlyReturns[[#This Row],[SPY]:[PE]])</f>
        <v>-8.8530682664494931E-3</v>
      </c>
      <c r="HD7" s="27">
        <f>IF(ISNUMBER(HD6),HD6*(1+PortfolioFrontier[[#This Row],[P53 Return]]),1+PortfolioFrontier[[#This Row],[P53 Return]])</f>
        <v>1.0509717214772596</v>
      </c>
      <c r="HE7" s="27">
        <f>MAX(HE6,PortfolioFrontier[[#This Row],[P53 Growth]])</f>
        <v>1.0603591534497043</v>
      </c>
      <c r="HF7" s="27">
        <f>PortfolioFrontier[[#This Row],[P53 Growth]]/PortfolioFrontier[[#This Row],[P53 HWM]]-1</f>
        <v>-8.8530682664493821E-3</v>
      </c>
      <c r="HG7" s="28">
        <f>SUMPRODUCT(INDEX(PortfolioRef[[SPY]:[PE]],MATCH(HG$1,PortfolioRef[Reference '#]),0),AssetMonthlyReturns[[#This Row],[SPY]:[PE]])</f>
        <v>-5.9035225861469648E-3</v>
      </c>
      <c r="HH7" s="27">
        <f>IF(ISNUMBER(HH6),HH6*(1+PortfolioFrontier[[#This Row],[P54 Return]]),1+PortfolioFrontier[[#This Row],[P54 Return]])</f>
        <v>1.0492587131298758</v>
      </c>
      <c r="HI7" s="27">
        <f>MAX(HI6,PortfolioFrontier[[#This Row],[P54 Growth]])</f>
        <v>1.0554898211283554</v>
      </c>
      <c r="HJ7" s="27">
        <f>PortfolioFrontier[[#This Row],[P54 Growth]]/PortfolioFrontier[[#This Row],[P54 HWM]]-1</f>
        <v>-5.9035225861471252E-3</v>
      </c>
      <c r="HK7" s="28">
        <f>SUMPRODUCT(INDEX(PortfolioRef[[SPY]:[PE]],MATCH(HK$1,PortfolioRef[Reference '#]),0),AssetMonthlyReturns[[#This Row],[SPY]:[PE]])</f>
        <v>-1.205656660515112E-2</v>
      </c>
      <c r="HL7" s="27">
        <f>IF(ISNUMBER(HL6),HL6*(1+PortfolioFrontier[[#This Row],[P55 Return]]),1+PortfolioFrontier[[#This Row],[P55 Return]])</f>
        <v>1.0569270666181525</v>
      </c>
      <c r="HM7" s="27">
        <f>MAX(HM6,PortfolioFrontier[[#This Row],[P55 Growth]])</f>
        <v>1.0698254888807313</v>
      </c>
      <c r="HN7" s="27">
        <f>PortfolioFrontier[[#This Row],[P55 Growth]]/PortfolioFrontier[[#This Row],[P55 HWM]]-1</f>
        <v>-1.2056566605150976E-2</v>
      </c>
      <c r="HO7" s="28">
        <f>SUMPRODUCT(INDEX(PortfolioRef[[SPY]:[PE]],MATCH(HO$1,PortfolioRef[Reference '#]),0),AssetMonthlyReturns[[#This Row],[SPY]:[PE]])</f>
        <v>-9.1070209248485922E-3</v>
      </c>
      <c r="HP7" s="27">
        <f>IF(ISNUMBER(HP6),HP6*(1+PortfolioFrontier[[#This Row],[P56 Return]]),1+PortfolioFrontier[[#This Row],[P56 Return]])</f>
        <v>1.0552261876870503</v>
      </c>
      <c r="HQ7" s="27">
        <f>MAX(HQ6,PortfolioFrontier[[#This Row],[P56 Growth]])</f>
        <v>1.06492447718415</v>
      </c>
      <c r="HR7" s="27">
        <f>PortfolioFrontier[[#This Row],[P56 Growth]]/PortfolioFrontier[[#This Row],[P56 HWM]]-1</f>
        <v>-9.1070209248487188E-3</v>
      </c>
      <c r="HS7" s="28">
        <f>SUMPRODUCT(INDEX(PortfolioRef[[SPY]:[PE]],MATCH(HS$1,PortfolioRef[Reference '#]),0),AssetMonthlyReturns[[#This Row],[SPY]:[PE]])</f>
        <v>-6.1574752445460621E-3</v>
      </c>
      <c r="HT7" s="27">
        <f>IF(ISNUMBER(HT6),HT6*(1+PortfolioFrontier[[#This Row],[P57 Return]]),1+PortfolioFrontier[[#This Row],[P57 Return]])</f>
        <v>1.0535085088288212</v>
      </c>
      <c r="HU7" s="27">
        <f>MAX(HU6,PortfolioFrontier[[#This Row],[P57 Growth]])</f>
        <v>1.0600356521150558</v>
      </c>
      <c r="HV7" s="27">
        <f>PortfolioFrontier[[#This Row],[P57 Growth]]/PortfolioFrontier[[#This Row],[P57 HWM]]-1</f>
        <v>-6.1574752445460179E-3</v>
      </c>
      <c r="HW7" s="28">
        <f>SUMPRODUCT(INDEX(PortfolioRef[[SPY]:[PE]],MATCH(HW$1,PortfolioRef[Reference '#]),0),AssetMonthlyReturns[[#This Row],[SPY]:[PE]])</f>
        <v>-1.2310519263550217E-2</v>
      </c>
      <c r="HX7" s="27">
        <f>IF(ISNUMBER(HX6),HX6*(1+PortfolioFrontier[[#This Row],[P58 Return]]),1+PortfolioFrontier[[#This Row],[P58 Return]])</f>
        <v>1.0611799085624871</v>
      </c>
      <c r="HY7" s="27">
        <f>MAX(HY6,PortfolioFrontier[[#This Row],[P58 Growth]])</f>
        <v>1.0744064093618175</v>
      </c>
      <c r="HZ7" s="27">
        <f>PortfolioFrontier[[#This Row],[P58 Growth]]/PortfolioFrontier[[#This Row],[P58 HWM]]-1</f>
        <v>-1.2310519263550201E-2</v>
      </c>
      <c r="IA7" s="28">
        <f>SUMPRODUCT(INDEX(PortfolioRef[[SPY]:[PE]],MATCH(IA$1,PortfolioRef[Reference '#]),0),AssetMonthlyReturns[[#This Row],[SPY]:[PE]])</f>
        <v>-9.3609735832476896E-3</v>
      </c>
      <c r="IB7" s="27">
        <f>IF(ISNUMBER(IB6),IB6*(1+PortfolioFrontier[[#This Row],[P59 Return]]),1+PortfolioFrontier[[#This Row],[P59 Return]])</f>
        <v>1.0594744255024635</v>
      </c>
      <c r="IC7" s="27">
        <f>MAX(IC6,PortfolioFrontier[[#This Row],[P59 Growth]])</f>
        <v>1.0694858543325274</v>
      </c>
      <c r="ID7" s="27">
        <f>PortfolioFrontier[[#This Row],[P59 Growth]]/PortfolioFrontier[[#This Row],[P59 HWM]]-1</f>
        <v>-9.3609735832477226E-3</v>
      </c>
      <c r="IE7" s="28">
        <f>SUMPRODUCT(INDEX(PortfolioRef[[SPY]:[PE]],MATCH(IE$1,PortfolioRef[Reference '#]),0),AssetMonthlyReturns[[#This Row],[SPY]:[PE]])</f>
        <v>-6.4114279029451613E-3</v>
      </c>
      <c r="IF7" s="27">
        <f>IF(ISNUMBER(IF6),IF6*(1+PortfolioFrontier[[#This Row],[P60 Return]]),1+PortfolioFrontier[[#This Row],[P60 Return]])</f>
        <v>1.05775204929736</v>
      </c>
      <c r="IG7" s="27">
        <f>MAX(IG6,PortfolioFrontier[[#This Row],[P60 Growth]])</f>
        <v>1.0645775112578868</v>
      </c>
      <c r="IH7" s="27">
        <f>PortfolioFrontier[[#This Row],[P60 Growth]]/PortfolioFrontier[[#This Row],[P60 HWM]]-1</f>
        <v>-6.4114279029452437E-3</v>
      </c>
      <c r="II7" s="28">
        <f>SUMPRODUCT(INDEX(PortfolioRef[[SPY]:[PE]],MATCH(II$1,PortfolioRef[Reference '#]),0),AssetMonthlyReturns[[#This Row],[SPY]:[PE]])</f>
        <v>-5.3678988470836526E-3</v>
      </c>
      <c r="IJ7" s="27">
        <f>IF(ISNUMBER(IJ6),IJ6*(1+PortfolioFrontier[[#This Row],[P61 Return]]),1+PortfolioFrontier[[#This Row],[P61 Return]])</f>
        <v>1.0444362222056847</v>
      </c>
      <c r="IK7" s="27">
        <f>MAX(IK6,PortfolioFrontier[[#This Row],[P61 Growth]])</f>
        <v>1.0500729073544264</v>
      </c>
      <c r="IL7" s="27">
        <f>PortfolioFrontier[[#This Row],[P61 Growth]]/PortfolioFrontier[[#This Row],[P61 HWM]]-1</f>
        <v>-5.3678988470837741E-3</v>
      </c>
      <c r="IM7" s="28">
        <f>SUMPRODUCT(INDEX(PortfolioRef[[SPY]:[PE]],MATCH(IM$1,PortfolioRef[Reference '#]),0),AssetMonthlyReturns[[#This Row],[SPY]:[PE]])</f>
        <v>-6.8908684330094058E-3</v>
      </c>
      <c r="IN7" s="27">
        <f>IF(ISNUMBER(IN6),IN6*(1+PortfolioFrontier[[#This Row],[P62 Return]]),1+PortfolioFrontier[[#This Row],[P62 Return]])</f>
        <v>1.0439370789834808</v>
      </c>
      <c r="IO7" s="27">
        <f>MAX(IO6,PortfolioFrontier[[#This Row],[P62 Growth]])</f>
        <v>1.0511806263791883</v>
      </c>
      <c r="IP7" s="27">
        <f>PortfolioFrontier[[#This Row],[P62 Growth]]/PortfolioFrontier[[#This Row],[P62 HWM]]-1</f>
        <v>-6.8908684330095671E-3</v>
      </c>
      <c r="IQ7" s="28">
        <f>SUMPRODUCT(INDEX(PortfolioRef[[SPY]:[PE]],MATCH(IQ$1,PortfolioRef[Reference '#]),0),AssetMonthlyReturns[[#This Row],[SPY]:[PE]])</f>
        <v>-7.1448210914085031E-3</v>
      </c>
      <c r="IR7" s="27">
        <f>IF(ISNUMBER(IR6),IR6*(1+PortfolioFrontier[[#This Row],[P63 Return]]),1+PortfolioFrontier[[#This Row],[P63 Return]])</f>
        <v>1.0481637050405359</v>
      </c>
      <c r="IS7" s="27">
        <f>MAX(IS6,PortfolioFrontier[[#This Row],[P63 Growth]])</f>
        <v>1.0557065393895038</v>
      </c>
      <c r="IT7" s="27">
        <f>PortfolioFrontier[[#This Row],[P63 Growth]]/PortfolioFrontier[[#This Row],[P63 HWM]]-1</f>
        <v>-7.1448210914083488E-3</v>
      </c>
      <c r="IU7" s="28">
        <f>SUMPRODUCT(INDEX(PortfolioRef[[SPY]:[PE]],MATCH(IU$1,PortfolioRef[Reference '#]),0),AssetMonthlyReturns[[#This Row],[SPY]:[PE]])</f>
        <v>-4.1952754111059757E-3</v>
      </c>
      <c r="IV7" s="27">
        <f>IF(ISNUMBER(IV6),IV6*(1+PortfolioFrontier[[#This Row],[P64 Return]]),1+PortfolioFrontier[[#This Row],[P64 Return]])</f>
        <v>1.0464374941917851</v>
      </c>
      <c r="IW7" s="27">
        <f>MAX(IW6,PortfolioFrontier[[#This Row],[P64 Growth]])</f>
        <v>1.0508460829243347</v>
      </c>
      <c r="IX7" s="27">
        <f>PortfolioFrontier[[#This Row],[P64 Growth]]/PortfolioFrontier[[#This Row],[P64 HWM]]-1</f>
        <v>-4.1952754111060919E-3</v>
      </c>
      <c r="IY7" s="28">
        <f>SUMPRODUCT(INDEX(PortfolioRef[[SPY]:[PE]],MATCH(IY$1,PortfolioRef[Reference '#]),0),AssetMonthlyReturns[[#This Row],[SPY]:[PE]])</f>
        <v>-8.4138380189351606E-3</v>
      </c>
      <c r="IZ7" s="27">
        <f>IF(ISNUMBER(IZ6),IZ6*(1+PortfolioFrontier[[#This Row],[P65 Return]]),1+PortfolioFrontier[[#This Row],[P65 Return]])</f>
        <v>1.0434129487516839</v>
      </c>
      <c r="JA7" s="27">
        <f>MAX(JA6,PortfolioFrontier[[#This Row],[P65 Growth]])</f>
        <v>1.0522665490481187</v>
      </c>
      <c r="JB7" s="27">
        <f>PortfolioFrontier[[#This Row],[P65 Growth]]/PortfolioFrontier[[#This Row],[P65 HWM]]-1</f>
        <v>-8.4138380189351381E-3</v>
      </c>
      <c r="JC7" s="28">
        <f>SUMPRODUCT(INDEX(PortfolioRef[[SPY]:[PE]],MATCH(JC$1,PortfolioRef[Reference '#]),0),AssetMonthlyReturns[[#This Row],[SPY]:[PE]])</f>
        <v>-8.667790677334258E-3</v>
      </c>
      <c r="JD7" s="27">
        <f>IF(ISNUMBER(JD6),JD6*(1+PortfolioFrontier[[#This Row],[P66 Return]]),1+PortfolioFrontier[[#This Row],[P66 Return]])</f>
        <v>1.0476547161671119</v>
      </c>
      <c r="JE7" s="27">
        <f>MAX(JE6,PortfolioFrontier[[#This Row],[P66 Growth]])</f>
        <v>1.0568149670864915</v>
      </c>
      <c r="JF7" s="27">
        <f>PortfolioFrontier[[#This Row],[P66 Growth]]/PortfolioFrontier[[#This Row],[P66 HWM]]-1</f>
        <v>-8.6677906773342528E-3</v>
      </c>
      <c r="JG7" s="28">
        <f>SUMPRODUCT(INDEX(PortfolioRef[[SPY]:[PE]],MATCH(JG$1,PortfolioRef[Reference '#]),0),AssetMonthlyReturns[[#This Row],[SPY]:[PE]])</f>
        <v>-5.7182449970317305E-3</v>
      </c>
      <c r="JH7" s="27">
        <f>IF(ISNUMBER(JH6),JH6*(1+PortfolioFrontier[[#This Row],[P67 Return]]),1+PortfolioFrontier[[#This Row],[P67 Return]])</f>
        <v>1.045941461236338</v>
      </c>
      <c r="JI7" s="27">
        <f>MAX(JI6,PortfolioFrontier[[#This Row],[P67 Growth]])</f>
        <v>1.0519568079907244</v>
      </c>
      <c r="JJ7" s="27">
        <f>PortfolioFrontier[[#This Row],[P67 Growth]]/PortfolioFrontier[[#This Row],[P67 HWM]]-1</f>
        <v>-5.7182449970317739E-3</v>
      </c>
      <c r="JK7" s="28">
        <f>SUMPRODUCT(INDEX(PortfolioRef[[SPY]:[PE]],MATCH(JK$1,PortfolioRef[Reference '#]),0),AssetMonthlyReturns[[#This Row],[SPY]:[PE]])</f>
        <v>-8.9217433357333571E-3</v>
      </c>
      <c r="JL7" s="27">
        <f>IF(ISNUMBER(JL6),JL6*(1+PortfolioFrontier[[#This Row],[P68 Return]]),1+PortfolioFrontier[[#This Row],[P68 Return]])</f>
        <v>1.0518903418950216</v>
      </c>
      <c r="JM7" s="27">
        <f>MAX(JM6,PortfolioFrontier[[#This Row],[P68 Growth]])</f>
        <v>1.0613595191114715</v>
      </c>
      <c r="JN7" s="27">
        <f>PortfolioFrontier[[#This Row],[P68 Growth]]/PortfolioFrontier[[#This Row],[P68 HWM]]-1</f>
        <v>-8.9217433357333675E-3</v>
      </c>
      <c r="JO7" s="28">
        <f>SUMPRODUCT(INDEX(PortfolioRef[[SPY]:[PE]],MATCH(JO$1,PortfolioRef[Reference '#]),0),AssetMonthlyReturns[[#This Row],[SPY]:[PE]])</f>
        <v>-5.9721976554308279E-3</v>
      </c>
      <c r="JP7" s="27">
        <f>IF(ISNUMBER(JP6),JP6*(1+PortfolioFrontier[[#This Row],[P69 Return]]),1+PortfolioFrontier[[#This Row],[P69 Return]])</f>
        <v>1.0501723921118917</v>
      </c>
      <c r="JQ7" s="27">
        <f>MAX(JQ6,PortfolioFrontier[[#This Row],[P69 Growth]])</f>
        <v>1.0564819109031929</v>
      </c>
      <c r="JR7" s="27">
        <f>PortfolioFrontier[[#This Row],[P69 Growth]]/PortfolioFrontier[[#This Row],[P69 HWM]]-1</f>
        <v>-5.9721976554308887E-3</v>
      </c>
      <c r="JS7" s="28">
        <f>SUMPRODUCT(INDEX(PortfolioRef[[SPY]:[PE]],MATCH(JS$1,PortfolioRef[Reference '#]),0),AssetMonthlyReturns[[#This Row],[SPY]:[PE]])</f>
        <v>-3.0226519751282996E-3</v>
      </c>
      <c r="JT7" s="27">
        <f>IF(ISNUMBER(JT6),JT6*(1+PortfolioFrontier[[#This Row],[P70 Return]]),1+PortfolioFrontier[[#This Row],[P70 Return]])</f>
        <v>1.0484377866479604</v>
      </c>
      <c r="JU7" s="27">
        <f>MAX(JU6,PortfolioFrontier[[#This Row],[P70 Growth]])</f>
        <v>1.051616457209422</v>
      </c>
      <c r="JV7" s="27">
        <f>PortfolioFrontier[[#This Row],[P70 Growth]]/PortfolioFrontier[[#This Row],[P70 HWM]]-1</f>
        <v>-3.0226519751284098E-3</v>
      </c>
      <c r="JW7" s="28">
        <f>SUMPRODUCT(INDEX(PortfolioRef[[SPY]:[PE]],MATCH(JW$1,PortfolioRef[Reference '#]),0),AssetMonthlyReturns[[#This Row],[SPY]:[PE]])</f>
        <v>-1.0190760263260013E-2</v>
      </c>
      <c r="JX7" s="27">
        <f>IF(ISNUMBER(JX6),JX6*(1+PortfolioFrontier[[#This Row],[P71 Return]]),1+PortfolioFrontier[[#This Row],[P71 Return]])</f>
        <v>1.047120723567901</v>
      </c>
      <c r="JY7" s="27">
        <f>MAX(JY6,PortfolioFrontier[[#This Row],[P71 Growth]])</f>
        <v>1.0579015445909599</v>
      </c>
      <c r="JZ7" s="27">
        <f>PortfolioFrontier[[#This Row],[P71 Growth]]/PortfolioFrontier[[#This Row],[P71 HWM]]-1</f>
        <v>-1.0190760263259935E-2</v>
      </c>
      <c r="KA7" s="28">
        <f>SUMPRODUCT(INDEX(PortfolioRef[[SPY]:[PE]],MATCH(KA$1,PortfolioRef[Reference '#]),0),AssetMonthlyReturns[[#This Row],[SPY]:[PE]])</f>
        <v>-7.2412145829574854E-3</v>
      </c>
      <c r="KB7" s="27">
        <f>IF(ISNUMBER(KB6),KB6*(1+PortfolioFrontier[[#This Row],[P72 Return]]),1+PortfolioFrontier[[#This Row],[P72 Return]])</f>
        <v>1.0454203761656871</v>
      </c>
      <c r="KC7" s="27">
        <f>MAX(KC6,PortfolioFrontier[[#This Row],[P72 Growth]])</f>
        <v>1.0530457060891405</v>
      </c>
      <c r="KD7" s="27">
        <f>PortfolioFrontier[[#This Row],[P72 Growth]]/PortfolioFrontier[[#This Row],[P72 HWM]]-1</f>
        <v>-7.2412145829574559E-3</v>
      </c>
      <c r="KE7" s="28">
        <f>SUMPRODUCT(INDEX(PortfolioRef[[SPY]:[PE]],MATCH(KE$1,PortfolioRef[Reference '#]),0),AssetMonthlyReturns[[#This Row],[SPY]:[PE]])</f>
        <v>-1.044471292165911E-2</v>
      </c>
      <c r="KF7" s="27">
        <f>IF(ISNUMBER(KF6),KF6*(1+PortfolioFrontier[[#This Row],[P73 Return]]),1+PortfolioFrontier[[#This Row],[P73 Return]])</f>
        <v>1.0513714678155113</v>
      </c>
      <c r="KG7" s="27">
        <f>MAX(KG6,PortfolioFrontier[[#This Row],[P73 Growth]])</f>
        <v>1.0624686478303629</v>
      </c>
      <c r="KH7" s="27">
        <f>PortfolioFrontier[[#This Row],[P73 Growth]]/PortfolioFrontier[[#This Row],[P73 HWM]]-1</f>
        <v>-1.0444712921659272E-2</v>
      </c>
      <c r="KI7" s="28">
        <f>SUMPRODUCT(INDEX(PortfolioRef[[SPY]:[PE]],MATCH(KI$1,PortfolioRef[Reference '#]),0),AssetMonthlyReturns[[#This Row],[SPY]:[PE]])</f>
        <v>-7.4951672413565828E-3</v>
      </c>
      <c r="KJ7" s="27">
        <f>IF(ISNUMBER(KJ6),KJ6*(1+PortfolioFrontier[[#This Row],[P74 Return]]),1+PortfolioFrontier[[#This Row],[P74 Return]])</f>
        <v>1.0496665080833056</v>
      </c>
      <c r="KK7" s="27">
        <f>MAX(KK6,PortfolioFrontier[[#This Row],[P74 Growth]])</f>
        <v>1.0575933470931147</v>
      </c>
      <c r="KL7" s="27">
        <f>PortfolioFrontier[[#This Row],[P74 Growth]]/PortfolioFrontier[[#This Row],[P74 HWM]]-1</f>
        <v>-7.4951672413566817E-3</v>
      </c>
      <c r="KM7" s="28">
        <f>SUMPRODUCT(INDEX(PortfolioRef[[SPY]:[PE]],MATCH(KM$1,PortfolioRef[Reference '#]),0),AssetMonthlyReturns[[#This Row],[SPY]:[PE]])</f>
        <v>-4.5456215610540545E-3</v>
      </c>
      <c r="KN7" s="27">
        <f>IF(ISNUMBER(KN6),KN6*(1+PortfolioFrontier[[#This Row],[P75 Return]]),1+PortfolioFrontier[[#This Row],[P75 Return]])</f>
        <v>1.0479448845985486</v>
      </c>
      <c r="KO7" s="27">
        <f>MAX(KO6,PortfolioFrontier[[#This Row],[P75 Growth]])</f>
        <v>1.0527301976831096</v>
      </c>
      <c r="KP7" s="27">
        <f>PortfolioFrontier[[#This Row],[P75 Growth]]/PortfolioFrontier[[#This Row],[P75 HWM]]-1</f>
        <v>-4.5456215610539807E-3</v>
      </c>
      <c r="KQ7" s="28">
        <f>SUMPRODUCT(INDEX(PortfolioRef[[SPY]:[PE]],MATCH(KQ$1,PortfolioRef[Reference '#]),0),AssetMonthlyReturns[[#This Row],[SPY]:[PE]])</f>
        <v>-1.0698665580058208E-2</v>
      </c>
      <c r="KR7" s="27">
        <f>IF(ISNUMBER(KR6),KR6*(1+PortfolioFrontier[[#This Row],[P76 Return]]),1+PortfolioFrontier[[#This Row],[P76 Return]])</f>
        <v>1.0556160606481932</v>
      </c>
      <c r="KS7" s="27">
        <f>MAX(KS6,PortfolioFrontier[[#This Row],[P76 Growth]])</f>
        <v>1.0670318778728161</v>
      </c>
      <c r="KT7" s="27">
        <f>PortfolioFrontier[[#This Row],[P76 Growth]]/PortfolioFrontier[[#This Row],[P76 HWM]]-1</f>
        <v>-1.0698665580058275E-2</v>
      </c>
      <c r="KU7" s="28">
        <f>SUMPRODUCT(INDEX(PortfolioRef[[SPY]:[PE]],MATCH(KU$1,PortfolioRef[Reference '#]),0),AssetMonthlyReturns[[#This Row],[SPY]:[PE]])</f>
        <v>-7.7491198997556802E-3</v>
      </c>
      <c r="KV7" s="27">
        <f>IF(ISNUMBER(KV6),KV6*(1+PortfolioFrontier[[#This Row],[P77 Return]]),1+PortfolioFrontier[[#This Row],[P77 Return]])</f>
        <v>1.0539064619847229</v>
      </c>
      <c r="KW7" s="27">
        <f>MAX(KW6,PortfolioFrontier[[#This Row],[P77 Growth]])</f>
        <v>1.062137089642339</v>
      </c>
      <c r="KX7" s="27">
        <f>PortfolioFrontier[[#This Row],[P77 Growth]]/PortfolioFrontier[[#This Row],[P77 HWM]]-1</f>
        <v>-7.7491198997556854E-3</v>
      </c>
      <c r="KY7" s="28">
        <f>SUMPRODUCT(INDEX(PortfolioRef[[SPY]:[PE]],MATCH(KY$1,PortfolioRef[Reference '#]),0),AssetMonthlyReturns[[#This Row],[SPY]:[PE]])</f>
        <v>-4.7995742194531519E-3</v>
      </c>
      <c r="KZ7" s="27">
        <f>IF(ISNUMBER(KZ6),KZ6*(1+PortfolioFrontier[[#This Row],[P78 Return]]),1+PortfolioFrontier[[#This Row],[P78 Return]])</f>
        <v>1.0521801067299392</v>
      </c>
      <c r="LA7" s="27">
        <f>MAX(LA6,PortfolioFrontier[[#This Row],[P78 Growth]])</f>
        <v>1.0572544780662676</v>
      </c>
      <c r="LB7" s="27">
        <f>PortfolioFrontier[[#This Row],[P78 Growth]]/PortfolioFrontier[[#This Row],[P78 HWM]]-1</f>
        <v>-4.7995742194533175E-3</v>
      </c>
      <c r="LC7" s="28">
        <f>SUMPRODUCT(INDEX(PortfolioRef[[SPY]:[PE]],MATCH(LC$1,PortfolioRef[Reference '#]),0),AssetMonthlyReturns[[#This Row],[SPY]:[PE]])</f>
        <v>-1.1967682507584865E-2</v>
      </c>
      <c r="LD7" s="27">
        <f>IF(ISNUMBER(LD6),LD6*(1+PortfolioFrontier[[#This Row],[P79 Return]]),1+PortfolioFrontier[[#This Row],[P79 Return]])</f>
        <v>1.0508275735086487</v>
      </c>
      <c r="LE7" s="27">
        <f>MAX(LE6,PortfolioFrontier[[#This Row],[P79 Growth]])</f>
        <v>1.063555872520046</v>
      </c>
      <c r="LF7" s="27">
        <f>PortfolioFrontier[[#This Row],[P79 Growth]]/PortfolioFrontier[[#This Row],[P79 HWM]]-1</f>
        <v>-1.1967682507584843E-2</v>
      </c>
      <c r="LG7" s="28">
        <f>SUMPRODUCT(INDEX(PortfolioRef[[SPY]:[PE]],MATCH(LG$1,PortfolioRef[Reference '#]),0),AssetMonthlyReturns[[#This Row],[SPY]:[PE]])</f>
        <v>-9.0181368272823359E-3</v>
      </c>
      <c r="LH7" s="27">
        <f>IF(ISNUMBER(LH6),LH6*(1+PortfolioFrontier[[#This Row],[P80 Return]]),1+PortfolioFrontier[[#This Row],[P80 Return]])</f>
        <v>1.0491355552071207</v>
      </c>
      <c r="LI7" s="27">
        <f>MAX(LI6,PortfolioFrontier[[#This Row],[P80 Growth]])</f>
        <v>1.058682902478375</v>
      </c>
      <c r="LJ7" s="27">
        <f>PortfolioFrontier[[#This Row],[P80 Growth]]/PortfolioFrontier[[#This Row],[P80 HWM]]-1</f>
        <v>-9.0181368272823637E-3</v>
      </c>
      <c r="LK7" s="28">
        <f>SUMPRODUCT(INDEX(PortfolioRef[[SPY]:[PE]],MATCH(LK$1,PortfolioRef[Reference '#]),0),AssetMonthlyReturns[[#This Row],[SPY]:[PE]])</f>
        <v>-6.0685911469798076E-3</v>
      </c>
      <c r="LL7" s="27">
        <f>IF(ISNUMBER(LL6),LL6*(1+PortfolioFrontier[[#This Row],[P81 Return]]),1+PortfolioFrontier[[#This Row],[P81 Return]])</f>
        <v>1.0474268652280017</v>
      </c>
      <c r="LM7" s="27">
        <f>MAX(LM6,PortfolioFrontier[[#This Row],[P81 Growth]])</f>
        <v>1.0538220805766811</v>
      </c>
      <c r="LN7" s="27">
        <f>PortfolioFrontier[[#This Row],[P81 Growth]]/PortfolioFrontier[[#This Row],[P81 HWM]]-1</f>
        <v>-6.0685911469797738E-3</v>
      </c>
      <c r="LO7" s="28">
        <f>SUMPRODUCT(INDEX(PortfolioRef[[SPY]:[PE]],MATCH(LO$1,PortfolioRef[Reference '#]),0),AssetMonthlyReturns[[#This Row],[SPY]:[PE]])</f>
        <v>-1.2221635165983962E-2</v>
      </c>
      <c r="LP7" s="27">
        <f>IF(ISNUMBER(LP6),LP6*(1+PortfolioFrontier[[#This Row],[P82 Return]]),1+PortfolioFrontier[[#This Row],[P82 Return]])</f>
        <v>1.0550872618007625</v>
      </c>
      <c r="LQ7" s="27">
        <f>MAX(LQ6,PortfolioFrontier[[#This Row],[P82 Growth]])</f>
        <v>1.0681416999632878</v>
      </c>
      <c r="LR7" s="27">
        <f>PortfolioFrontier[[#This Row],[P82 Growth]]/PortfolioFrontier[[#This Row],[P82 HWM]]-1</f>
        <v>-1.2221635165984068E-2</v>
      </c>
      <c r="LS7" s="28">
        <f>SUMPRODUCT(INDEX(PortfolioRef[[SPY]:[PE]],MATCH(LS$1,PortfolioRef[Reference '#]),0),AssetMonthlyReturns[[#This Row],[SPY]:[PE]])</f>
        <v>-9.272089485681435E-3</v>
      </c>
      <c r="LT7" s="27">
        <f>IF(ISNUMBER(LT6),LT6*(1+PortfolioFrontier[[#This Row],[P83 Return]]),1+PortfolioFrontier[[#This Row],[P83 Return]])</f>
        <v>1.0533906873057688</v>
      </c>
      <c r="LU7" s="27">
        <f>MAX(LU6,PortfolioFrontier[[#This Row],[P83 Growth]])</f>
        <v>1.0632492293054709</v>
      </c>
      <c r="LV7" s="27">
        <f>PortfolioFrontier[[#This Row],[P83 Growth]]/PortfolioFrontier[[#This Row],[P83 HWM]]-1</f>
        <v>-9.2720894856814784E-3</v>
      </c>
      <c r="LW7" s="28">
        <f>SUMPRODUCT(INDEX(PortfolioRef[[SPY]:[PE]],MATCH(LW$1,PortfolioRef[Reference '#]),0),AssetMonthlyReturns[[#This Row],[SPY]:[PE]])</f>
        <v>-6.322543805378905E-3</v>
      </c>
      <c r="LX7" s="27">
        <f>IF(ISNUMBER(LX6),LX6*(1+PortfolioFrontier[[#This Row],[P84 Return]]),1+PortfolioFrontier[[#This Row],[P84 Return]])</f>
        <v>1.0516773481792463</v>
      </c>
      <c r="LY7" s="27">
        <f>MAX(LY6,PortfolioFrontier[[#This Row],[P84 Growth]])</f>
        <v>1.0583689321147942</v>
      </c>
      <c r="LZ7" s="27">
        <f>PortfolioFrontier[[#This Row],[P84 Growth]]/PortfolioFrontier[[#This Row],[P84 HWM]]-1</f>
        <v>-6.3225438053788885E-3</v>
      </c>
      <c r="MA7" s="28">
        <f>SUMPRODUCT(INDEX(PortfolioRef[[SPY]:[PE]],MATCH(MA$1,PortfolioRef[Reference '#]),0),AssetMonthlyReturns[[#This Row],[SPY]:[PE]])</f>
        <v>-1.247558782438306E-2</v>
      </c>
      <c r="MB7" s="27">
        <f>IF(ISNUMBER(MB6),MB6*(1+PortfolioFrontier[[#This Row],[P85 Return]]),1+PortfolioFrontier[[#This Row],[P85 Return]])</f>
        <v>1.0593407889562558</v>
      </c>
      <c r="MC7" s="27">
        <f>MAX(MC6,PortfolioFrontier[[#This Row],[P85 Growth]])</f>
        <v>1.0727236470260215</v>
      </c>
      <c r="MD7" s="27">
        <f>PortfolioFrontier[[#This Row],[P85 Growth]]/PortfolioFrontier[[#This Row],[P85 HWM]]-1</f>
        <v>-1.2475587824383072E-2</v>
      </c>
      <c r="ME7" s="28">
        <f>SUMPRODUCT(INDEX(PortfolioRef[[SPY]:[PE]],MATCH(ME$1,PortfolioRef[Reference '#]),0),AssetMonthlyReturns[[#This Row],[SPY]:[PE]])</f>
        <v>-9.5260421440805324E-3</v>
      </c>
      <c r="MF7" s="27">
        <f>IF(ISNUMBER(MF6),MF6*(1+PortfolioFrontier[[#This Row],[P86 Return]]),1+PortfolioFrontier[[#This Row],[P86 Return]])</f>
        <v>1.0576396317097101</v>
      </c>
      <c r="MG7" s="27">
        <f>MAX(MG6,PortfolioFrontier[[#This Row],[P86 Growth]])</f>
        <v>1.0678116504942585</v>
      </c>
      <c r="MH7" s="27">
        <f>PortfolioFrontier[[#This Row],[P86 Growth]]/PortfolioFrontier[[#This Row],[P86 HWM]]-1</f>
        <v>-9.5260421440804821E-3</v>
      </c>
      <c r="MI7" s="28">
        <f>SUMPRODUCT(INDEX(PortfolioRef[[SPY]:[PE]],MATCH(MI$1,PortfolioRef[Reference '#]),0),AssetMonthlyReturns[[#This Row],[SPY]:[PE]])</f>
        <v>-6.5764964637780041E-3</v>
      </c>
      <c r="MJ7" s="27">
        <f>IF(ISNUMBER(MJ6),MJ6*(1+PortfolioFrontier[[#This Row],[P87 Return]]),1+PortfolioFrontier[[#This Row],[P87 Return]])</f>
        <v>1.0559216167158361</v>
      </c>
      <c r="MK7" s="27">
        <f>MAX(MK6,PortfolioFrontier[[#This Row],[P87 Growth]])</f>
        <v>1.0629118527567989</v>
      </c>
      <c r="ML7" s="27">
        <f>PortfolioFrontier[[#This Row],[P87 Growth]]/PortfolioFrontier[[#This Row],[P87 HWM]]-1</f>
        <v>-6.5764964637780032E-3</v>
      </c>
      <c r="MM7" s="28">
        <f>SUMPRODUCT(INDEX(PortfolioRef[[SPY]:[PE]],MATCH(MM$1,PortfolioRef[Reference '#]),0),AssetMonthlyReturns[[#This Row],[SPY]:[PE]])</f>
        <v>-1.3744604751909717E-2</v>
      </c>
      <c r="MN7" s="27">
        <f>IF(ISNUMBER(MN6),MN6*(1+PortfolioFrontier[[#This Row],[P88 Return]]),1+PortfolioFrontier[[#This Row],[P88 Return]])</f>
        <v>1.0545334264390447</v>
      </c>
      <c r="MO7" s="27">
        <f>MAX(MO6,PortfolioFrontier[[#This Row],[P88 Growth]])</f>
        <v>1.0692295641878635</v>
      </c>
      <c r="MP7" s="27">
        <f>PortfolioFrontier[[#This Row],[P88 Growth]]/PortfolioFrontier[[#This Row],[P88 HWM]]-1</f>
        <v>-1.3744604751909639E-2</v>
      </c>
      <c r="MQ7" s="28">
        <f>SUMPRODUCT(INDEX(PortfolioRef[[SPY]:[PE]],MATCH(MQ$1,PortfolioRef[Reference '#]),0),AssetMonthlyReturns[[#This Row],[SPY]:[PE]])</f>
        <v>-1.079505907160719E-2</v>
      </c>
      <c r="MR7" s="27">
        <f>IF(ISNUMBER(MR6),MR6*(1+PortfolioFrontier[[#This Row],[P89 Return]]),1+PortfolioFrontier[[#This Row],[P89 Return]])</f>
        <v>1.052849827261449</v>
      </c>
      <c r="MS7" s="27">
        <f>MAX(MS6,PortfolioFrontier[[#This Row],[P89 Growth]])</f>
        <v>1.0643394343272528</v>
      </c>
      <c r="MT7" s="27">
        <f>PortfolioFrontier[[#This Row],[P89 Growth]]/PortfolioFrontier[[#This Row],[P89 HWM]]-1</f>
        <v>-1.0795059071607271E-2</v>
      </c>
      <c r="MU7" s="28">
        <f>SUMPRODUCT(INDEX(PortfolioRef[[SPY]:[PE]],MATCH(MU$1,PortfolioRef[Reference '#]),0),AssetMonthlyReturns[[#This Row],[SPY]:[PE]])</f>
        <v>-7.8455133913046572E-3</v>
      </c>
      <c r="MV7" s="27">
        <f>IF(ISNUMBER(MV6),MV6*(1+PortfolioFrontier[[#This Row],[P90 Return]]),1+PortfolioFrontier[[#This Row],[P90 Return]])</f>
        <v>1.0511494555588217</v>
      </c>
      <c r="MW7" s="27">
        <f>MAX(MW6,PortfolioFrontier[[#This Row],[P90 Growth]])</f>
        <v>1.059461474746517</v>
      </c>
      <c r="MX7" s="27">
        <f>PortfolioFrontier[[#This Row],[P90 Growth]]/PortfolioFrontier[[#This Row],[P90 HWM]]-1</f>
        <v>-7.8455133913047925E-3</v>
      </c>
      <c r="MY7" s="28">
        <f>SUMPRODUCT(INDEX(PortfolioRef[[SPY]:[PE]],MATCH(MY$1,PortfolioRef[Reference '#]),0),AssetMonthlyReturns[[#This Row],[SPY]:[PE]])</f>
        <v>-1.3998557410308815E-2</v>
      </c>
      <c r="MZ7" s="27">
        <f>IF(ISNUMBER(MZ6),MZ6*(1+PortfolioFrontier[[#This Row],[P91 Return]]),1+PortfolioFrontier[[#This Row],[P91 Return]])</f>
        <v>1.058802025772104</v>
      </c>
      <c r="NA7" s="27">
        <f>MAX(NA6,PortfolioFrontier[[#This Row],[P91 Growth]])</f>
        <v>1.0738341548377508</v>
      </c>
      <c r="NB7" s="27">
        <f>PortfolioFrontier[[#This Row],[P91 Growth]]/PortfolioFrontier[[#This Row],[P91 HWM]]-1</f>
        <v>-1.3998557410308865E-2</v>
      </c>
      <c r="NC7" s="28">
        <f>SUMPRODUCT(INDEX(PortfolioRef[[SPY]:[PE]],MATCH(NC$1,PortfolioRef[Reference '#]),0),AssetMonthlyReturns[[#This Row],[SPY]:[PE]])</f>
        <v>-1.1049011730006287E-2</v>
      </c>
      <c r="ND7" s="27">
        <f>IF(ISNUMBER(ND6),ND6*(1+PortfolioFrontier[[#This Row],[P92 Return]]),1+PortfolioFrontier[[#This Row],[P92 Return]])</f>
        <v>1.0571139267961907</v>
      </c>
      <c r="NE7" s="27">
        <f>MAX(NE6,PortfolioFrontier[[#This Row],[P92 Growth]])</f>
        <v>1.0689244859802776</v>
      </c>
      <c r="NF7" s="27">
        <f>PortfolioFrontier[[#This Row],[P92 Growth]]/PortfolioFrontier[[#This Row],[P92 HWM]]-1</f>
        <v>-1.1049011730006164E-2</v>
      </c>
      <c r="NG7" s="28">
        <f>SUMPRODUCT(INDEX(PortfolioRef[[SPY]:[PE]],MATCH(NG$1,PortfolioRef[Reference '#]),0),AssetMonthlyReturns[[#This Row],[SPY]:[PE]])</f>
        <v>-8.0994660497037581E-3</v>
      </c>
      <c r="NH7" s="27">
        <f>IF(ISNUMBER(NH6),NH6*(1+PortfolioFrontier[[#This Row],[P93 Return]]),1+PortfolioFrontier[[#This Row],[P93 Return]])</f>
        <v>1.0554089620642688</v>
      </c>
      <c r="NI7" s="27">
        <f>MAX(NI6,PortfolioFrontier[[#This Row],[P93 Growth]])</f>
        <v>1.0640270127298419</v>
      </c>
      <c r="NJ7" s="27">
        <f>PortfolioFrontier[[#This Row],[P93 Growth]]/PortfolioFrontier[[#This Row],[P93 HWM]]-1</f>
        <v>-8.0994660497037962E-3</v>
      </c>
      <c r="NK7" s="28">
        <f>SUMPRODUCT(INDEX(PortfolioRef[[SPY]:[PE]],MATCH(NK$1,PortfolioRef[Reference '#]),0),AssetMonthlyReturns[[#This Row],[SPY]:[PE]])</f>
        <v>-1.4252510068707912E-2</v>
      </c>
      <c r="NL7" s="27">
        <f>IF(ISNUMBER(NL6),NL6*(1+PortfolioFrontier[[#This Row],[P94 Return]]),1+PortfolioFrontier[[#This Row],[P94 Return]])</f>
        <v>1.0630644542525725</v>
      </c>
      <c r="NM7" s="27">
        <f>MAX(NM6,PortfolioFrontier[[#This Row],[P94 Growth]])</f>
        <v>1.0784348579235736</v>
      </c>
      <c r="NN7" s="27">
        <f>PortfolioFrontier[[#This Row],[P94 Growth]]/PortfolioFrontier[[#This Row],[P94 HWM]]-1</f>
        <v>-1.4252510068707758E-2</v>
      </c>
      <c r="NO7" s="28">
        <f>SUMPRODUCT(INDEX(PortfolioRef[[SPY]:[PE]],MATCH(NO$1,PortfolioRef[Reference '#]),0),AssetMonthlyReturns[[#This Row],[SPY]:[PE]])</f>
        <v>-1.1302964388405385E-2</v>
      </c>
      <c r="NP7" s="27">
        <f>IF(ISNUMBER(NP6),NP6*(1+PortfolioFrontier[[#This Row],[P95 Return]]),1+PortfolioFrontier[[#This Row],[P95 Return]])</f>
        <v>1.0613718289634408</v>
      </c>
      <c r="NQ7" s="27">
        <f>MAX(NQ6,PortfolioFrontier[[#This Row],[P95 Growth]])</f>
        <v>1.0735056248114374</v>
      </c>
      <c r="NR7" s="27">
        <f>PortfolioFrontier[[#This Row],[P95 Growth]]/PortfolioFrontier[[#This Row],[P95 HWM]]-1</f>
        <v>-1.130296438840539E-2</v>
      </c>
      <c r="NS7" s="28">
        <f>SUMPRODUCT(INDEX(PortfolioRef[[SPY]:[PE]],MATCH(NS$1,PortfolioRef[Reference '#]),0),AssetMonthlyReturns[[#This Row],[SPY]:[PE]])</f>
        <v>-8.3534187081028555E-3</v>
      </c>
      <c r="NT7" s="27">
        <f>IF(ISNUMBER(NT6),NT6*(1+PortfolioFrontier[[#This Row],[P96 Return]]),1+PortfolioFrontier[[#This Row],[P96 Return]])</f>
        <v>1.0596622445254629</v>
      </c>
      <c r="NU7" s="27">
        <f>MAX(NU6,PortfolioFrontier[[#This Row],[P96 Growth]])</f>
        <v>1.0685886126335014</v>
      </c>
      <c r="NV7" s="27">
        <f>PortfolioFrontier[[#This Row],[P96 Growth]]/PortfolioFrontier[[#This Row],[P96 HWM]]-1</f>
        <v>-8.353418708103022E-3</v>
      </c>
      <c r="NW7" s="28">
        <f>SUMPRODUCT(INDEX(PortfolioRef[[SPY]:[PE]],MATCH(NW$1,PortfolioRef[Reference '#]),0),AssetMonthlyReturns[[#This Row],[SPY]:[PE]])</f>
        <v>-5.5329674079164955E-3</v>
      </c>
      <c r="NX7" s="27">
        <f>IF(ISNUMBER(NX6),NX6*(1+PortfolioFrontier[[#This Row],[P97 Return]]),1+PortfolioFrontier[[#This Row],[P97 Return]])</f>
        <v>1.0426102689591146</v>
      </c>
      <c r="NY7" s="27">
        <f>MAX(NY6,PortfolioFrontier[[#This Row],[P97 Growth]])</f>
        <v>1.0484110933688224</v>
      </c>
      <c r="NZ7" s="27">
        <f>PortfolioFrontier[[#This Row],[P97 Growth]]/PortfolioFrontier[[#This Row],[P97 HWM]]-1</f>
        <v>-5.5329674079165336E-3</v>
      </c>
      <c r="OA7" s="28">
        <f>SUMPRODUCT(INDEX(PortfolioRef[[SPY]:[PE]],MATCH(OA$1,PortfolioRef[Reference '#]),0),AssetMonthlyReturns[[#This Row],[SPY]:[PE]])</f>
        <v>-7.0559369938422486E-3</v>
      </c>
      <c r="OB7" s="27">
        <f>IF(ISNUMBER(OB6),OB6*(1+PortfolioFrontier[[#This Row],[P98 Return]]),1+PortfolioFrontier[[#This Row],[P98 Return]])</f>
        <v>1.0421066698156682</v>
      </c>
      <c r="OC7" s="27">
        <f>MAX(OC6,PortfolioFrontier[[#This Row],[P98 Growth]])</f>
        <v>1.0495119600802785</v>
      </c>
      <c r="OD7" s="27">
        <f>PortfolioFrontier[[#This Row],[P98 Growth]]/PortfolioFrontier[[#This Row],[P98 HWM]]-1</f>
        <v>-7.0559369938421046E-3</v>
      </c>
      <c r="OE7" s="28">
        <f>SUMPRODUCT(INDEX(PortfolioRef[[SPY]:[PE]],MATCH(OE$1,PortfolioRef[Reference '#]),0),AssetMonthlyReturns[[#This Row],[SPY]:[PE]])</f>
        <v>-7.309889652241346E-3</v>
      </c>
      <c r="OF7" s="27">
        <f>IF(ISNUMBER(OF6),OF6*(1+PortfolioFrontier[[#This Row],[P99 Return]]),1+PortfolioFrontier[[#This Row],[P99 Return]])</f>
        <v>1.0463339689686781</v>
      </c>
      <c r="OG7" s="27">
        <f>MAX(OG6,PortfolioFrontier[[#This Row],[P99 Growth]])</f>
        <v>1.0540388768476066</v>
      </c>
      <c r="OH7" s="27">
        <f>PortfolioFrontier[[#This Row],[P99 Growth]]/PortfolioFrontier[[#This Row],[P99 HWM]]-1</f>
        <v>-7.3098896522413304E-3</v>
      </c>
      <c r="OI7" s="28">
        <f>SUMPRODUCT(INDEX(PortfolioRef[[SPY]:[PE]],MATCH(OI$1,PortfolioRef[Reference '#]),0),AssetMonthlyReturns[[#This Row],[SPY]:[PE]])</f>
        <v>-4.3603439719388185E-3</v>
      </c>
      <c r="OJ7" s="27">
        <f>IF(ISNUMBER(OJ6),OJ6*(1+PortfolioFrontier[[#This Row],[P100 Return]]),1+PortfolioFrontier[[#This Row],[P100 Return]])</f>
        <v>1.0446121195494966</v>
      </c>
      <c r="OK7" s="27">
        <f>MAX(OK6,PortfolioFrontier[[#This Row],[P100 Growth]])</f>
        <v>1.0491869354790497</v>
      </c>
      <c r="OL7" s="27">
        <f>PortfolioFrontier[[#This Row],[P100 Growth]]/PortfolioFrontier[[#This Row],[P100 HWM]]-1</f>
        <v>-4.3603439719388515E-3</v>
      </c>
      <c r="OM7" s="28">
        <f>SUMPRODUCT(INDEX(PortfolioRef[[SPY]:[PE]],MATCH(OM$1,PortfolioRef[Reference '#]),0),AssetMonthlyReturns[[#This Row],[SPY]:[PE]])</f>
        <v>-8.5789065797680034E-3</v>
      </c>
      <c r="ON7" s="27">
        <f>IF(ISNUMBER(ON6),ON6*(1+PortfolioFrontier[[#This Row],[P101 Return]]),1+PortfolioFrontier[[#This Row],[P101 Return]])</f>
        <v>1.0415781385013303</v>
      </c>
      <c r="OO7" s="27">
        <f>MAX(OO6,PortfolioFrontier[[#This Row],[P101 Growth]])</f>
        <v>1.05059106106777</v>
      </c>
      <c r="OP7" s="27">
        <f>PortfolioFrontier[[#This Row],[P101 Growth]]/PortfolioFrontier[[#This Row],[P101 HWM]]-1</f>
        <v>-8.5789065797680086E-3</v>
      </c>
      <c r="OQ7" s="28">
        <f>SUMPRODUCT(INDEX(PortfolioRef[[SPY]:[PE]],MATCH(OQ$1,PortfolioRef[Reference '#]),0),AssetMonthlyReturns[[#This Row],[SPY]:[PE]])</f>
        <v>-8.8328592381671008E-3</v>
      </c>
      <c r="OR7" s="27">
        <f>IF(ISNUMBER(OR6),OR6*(1+PortfolioFrontier[[#This Row],[P102 Return]]),1+PortfolioFrontier[[#This Row],[P102 Return]])</f>
        <v>1.045820534753207</v>
      </c>
      <c r="OS7" s="27">
        <f>MAX(OS6,PortfolioFrontier[[#This Row],[P102 Growth]])</f>
        <v>1.0551404417516972</v>
      </c>
      <c r="OT7" s="27">
        <f>PortfolioFrontier[[#This Row],[P102 Growth]]/PortfolioFrontier[[#This Row],[P102 HWM]]-1</f>
        <v>-8.8328592381671234E-3</v>
      </c>
      <c r="OU7" s="28">
        <f>SUMPRODUCT(INDEX(PortfolioRef[[SPY]:[PE]],MATCH(OU$1,PortfolioRef[Reference '#]),0),AssetMonthlyReturns[[#This Row],[SPY]:[PE]])</f>
        <v>-5.8833135578645734E-3</v>
      </c>
      <c r="OV7" s="27">
        <f>IF(ISNUMBER(OV6),OV6*(1+PortfolioFrontier[[#This Row],[P103 Return]]),1+PortfolioFrontier[[#This Row],[P103 Return]])</f>
        <v>1.0441116034997604</v>
      </c>
      <c r="OW7" s="27">
        <f>MAX(OW6,PortfolioFrontier[[#This Row],[P103 Growth]])</f>
        <v>1.050290793565243</v>
      </c>
      <c r="OX7" s="27">
        <f>PortfolioFrontier[[#This Row],[P103 Growth]]/PortfolioFrontier[[#This Row],[P103 HWM]]-1</f>
        <v>-5.8833135578644224E-3</v>
      </c>
      <c r="OY7" s="28">
        <f>SUMPRODUCT(INDEX(PortfolioRef[[SPY]:[PE]],MATCH(OY$1,PortfolioRef[Reference '#]),0),AssetMonthlyReturns[[#This Row],[SPY]:[PE]])</f>
        <v>-9.0868118965661999E-3</v>
      </c>
      <c r="OZ7" s="27">
        <f>IF(ISNUMBER(OZ6),OZ6*(1+PortfolioFrontier[[#This Row],[P104 Return]]),1+PortfolioFrontier[[#This Row],[P104 Return]])</f>
        <v>1.0500568300424669</v>
      </c>
      <c r="PA7" s="27">
        <f>MAX(PA6,PortfolioFrontier[[#This Row],[P104 Growth]])</f>
        <v>1.0596859973699932</v>
      </c>
      <c r="PB7" s="27">
        <f>PortfolioFrontier[[#This Row],[P104 Growth]]/PortfolioFrontier[[#This Row],[P104 HWM]]-1</f>
        <v>-9.0868118965663491E-3</v>
      </c>
      <c r="PC7" s="28">
        <f>SUMPRODUCT(INDEX(PortfolioRef[[SPY]:[PE]],MATCH(PC$1,PortfolioRef[Reference '#]),0),AssetMonthlyReturns[[#This Row],[SPY]:[PE]])</f>
        <v>-6.1372662162636708E-3</v>
      </c>
      <c r="PD7" s="27">
        <f>IF(ISNUMBER(PD6),PD6*(1+PortfolioFrontier[[#This Row],[P105 Return]]),1+PortfolioFrontier[[#This Row],[P105 Return]])</f>
        <v>1.0483432252974909</v>
      </c>
      <c r="PE7" s="27">
        <f>MAX(PE6,PortfolioFrontier[[#This Row],[P105 Growth]])</f>
        <v>1.0548169175297899</v>
      </c>
      <c r="PF7" s="27">
        <f>PortfolioFrontier[[#This Row],[P105 Growth]]/PortfolioFrontier[[#This Row],[P105 HWM]]-1</f>
        <v>-6.1372662162636482E-3</v>
      </c>
      <c r="PG7" s="28">
        <f>SUMPRODUCT(INDEX(PortfolioRef[[SPY]:[PE]],MATCH(PG$1,PortfolioRef[Reference '#]),0),AssetMonthlyReturns[[#This Row],[SPY]:[PE]])</f>
        <v>-3.1877205359611424E-3</v>
      </c>
      <c r="PH7" s="27">
        <f>IF(ISNUMBER(PH6),PH6*(1+PortfolioFrontier[[#This Row],[P106 Return]]),1+PortfolioFrontier[[#This Row],[P106 Return]])</f>
        <v>1.0466130000566125</v>
      </c>
      <c r="PI7" s="27">
        <f>MAX(PI6,PortfolioFrontier[[#This Row],[P106 Growth]])</f>
        <v>1.0499599790437477</v>
      </c>
      <c r="PJ7" s="27">
        <f>PortfolioFrontier[[#This Row],[P106 Growth]]/PortfolioFrontier[[#This Row],[P106 HWM]]-1</f>
        <v>-3.1877205359612804E-3</v>
      </c>
      <c r="PK7" s="28">
        <f>SUMPRODUCT(INDEX(PortfolioRef[[SPY]:[PE]],MATCH(PK$1,PortfolioRef[Reference '#]),0),AssetMonthlyReturns[[#This Row],[SPY]:[PE]])</f>
        <v>-1.0355828824092856E-2</v>
      </c>
      <c r="PL7" s="27">
        <f>IF(ISNUMBER(PL6),PL6*(1+PortfolioFrontier[[#This Row],[P107 Return]]),1+PortfolioFrontier[[#This Row],[P107 Return]])</f>
        <v>1.0452821516370265</v>
      </c>
      <c r="PM7" s="27">
        <f>MAX(PM6,PortfolioFrontier[[#This Row],[P107 Growth]])</f>
        <v>1.0562201870951351</v>
      </c>
      <c r="PN7" s="27">
        <f>PortfolioFrontier[[#This Row],[P107 Growth]]/PortfolioFrontier[[#This Row],[P107 HWM]]-1</f>
        <v>-1.0355828824092916E-2</v>
      </c>
      <c r="PO7" s="28">
        <f>SUMPRODUCT(INDEX(PortfolioRef[[SPY]:[PE]],MATCH(PO$1,PortfolioRef[Reference '#]),0),AssetMonthlyReturns[[#This Row],[SPY]:[PE]])</f>
        <v>-7.4062831437903282E-3</v>
      </c>
      <c r="PP7" s="27">
        <f>IF(ISNUMBER(PP6),PP6*(1+PortfolioFrontier[[#This Row],[P108 Return]]),1+PortfolioFrontier[[#This Row],[P108 Return]])</f>
        <v>1.0435860902591683</v>
      </c>
      <c r="PQ7" s="27">
        <f>MAX(PQ6,PortfolioFrontier[[#This Row],[P108 Growth]])</f>
        <v>1.051372855315329</v>
      </c>
      <c r="PR7" s="27">
        <f>PortfolioFrontier[[#This Row],[P108 Growth]]/PortfolioFrontier[[#This Row],[P108 HWM]]-1</f>
        <v>-7.4062831437904375E-3</v>
      </c>
      <c r="PS7" s="28">
        <f>SUMPRODUCT(INDEX(PortfolioRef[[SPY]:[PE]],MATCH(PS$1,PortfolioRef[Reference '#]),0),AssetMonthlyReturns[[#This Row],[SPY]:[PE]])</f>
        <v>-1.0609781482491953E-2</v>
      </c>
      <c r="PT7" s="27">
        <f>IF(ISNUMBER(PT6),PT6*(1+PortfolioFrontier[[#This Row],[P109 Return]]),1+PortfolioFrontier[[#This Row],[P109 Return]])</f>
        <v>1.04953352125482</v>
      </c>
      <c r="PU7" s="27">
        <f>MAX(PU6,PortfolioFrontier[[#This Row],[P109 Growth]])</f>
        <v>1.0607882528163963</v>
      </c>
      <c r="PV7" s="27">
        <f>PortfolioFrontier[[#This Row],[P109 Growth]]/PortfolioFrontier[[#This Row],[P109 HWM]]-1</f>
        <v>-1.060978148249192E-2</v>
      </c>
      <c r="PW7" s="28">
        <f>SUMPRODUCT(INDEX(PortfolioRef[[SPY]:[PE]],MATCH(PW$1,PortfolioRef[Reference '#]),0),AssetMonthlyReturns[[#This Row],[SPY]:[PE]])</f>
        <v>-7.6602358021894256E-3</v>
      </c>
      <c r="PX7" s="27">
        <f>IF(ISNUMBER(PX6),PX6*(1+PortfolioFrontier[[#This Row],[P110 Return]]),1+PortfolioFrontier[[#This Row],[P110 Return]])</f>
        <v>1.0478328687631775</v>
      </c>
      <c r="PY7" s="27">
        <f>MAX(PY6,PortfolioFrontier[[#This Row],[P110 Growth]])</f>
        <v>1.0559214762599245</v>
      </c>
      <c r="PZ7" s="27">
        <f>PortfolioFrontier[[#This Row],[P110 Growth]]/PortfolioFrontier[[#This Row],[P110 HWM]]-1</f>
        <v>-7.6602358021894412E-3</v>
      </c>
      <c r="QA7" s="28">
        <f>SUMPRODUCT(INDEX(PortfolioRef[[SPY]:[PE]],MATCH(QA$1,PortfolioRef[Reference '#]),0),AssetMonthlyReturns[[#This Row],[SPY]:[PE]])</f>
        <v>-4.7106901218868973E-3</v>
      </c>
      <c r="QB7" s="27">
        <f>IF(ISNUMBER(QB6),QB6*(1+PortfolioFrontier[[#This Row],[P111 Return]]),1+PortfolioFrontier[[#This Row],[P111 Return]])</f>
        <v>1.0461155876997499</v>
      </c>
      <c r="QC7" s="27">
        <f>MAX(QC6,PortfolioFrontier[[#This Row],[P111 Growth]])</f>
        <v>1.0510668378703485</v>
      </c>
      <c r="QD7" s="27">
        <f>PortfolioFrontier[[#This Row],[P111 Growth]]/PortfolioFrontier[[#This Row],[P111 HWM]]-1</f>
        <v>-4.7106901218867403E-3</v>
      </c>
      <c r="QE7" s="28">
        <f>SUMPRODUCT(INDEX(PortfolioRef[[SPY]:[PE]],MATCH(QE$1,PortfolioRef[Reference '#]),0),AssetMonthlyReturns[[#This Row],[SPY]:[PE]])</f>
        <v>-1.086373414089105E-2</v>
      </c>
      <c r="QF7" s="27">
        <f>IF(ISNUMBER(QF6),QF6*(1+PortfolioFrontier[[#This Row],[P112 Return]]),1+PortfolioFrontier[[#This Row],[P112 Return]])</f>
        <v>1.0537787801110934</v>
      </c>
      <c r="QG7" s="27">
        <f>MAX(QG6,PortfolioFrontier[[#This Row],[P112 Growth]])</f>
        <v>1.0653524862884685</v>
      </c>
      <c r="QH7" s="27">
        <f>PortfolioFrontier[[#This Row],[P112 Growth]]/PortfolioFrontier[[#This Row],[P112 HWM]]-1</f>
        <v>-1.0863734140890924E-2</v>
      </c>
      <c r="QI7" s="28">
        <f>SUMPRODUCT(INDEX(PortfolioRef[[SPY]:[PE]],MATCH(QI$1,PortfolioRef[Reference '#]),0),AssetMonthlyReturns[[#This Row],[SPY]:[PE]])</f>
        <v>-7.914188460588523E-3</v>
      </c>
      <c r="QJ7" s="27">
        <f>IF(ISNUMBER(QJ6),QJ6*(1+PortfolioFrontier[[#This Row],[P113 Return]]),1+PortfolioFrontier[[#This Row],[P113 Return]])</f>
        <v>1.052073510020473</v>
      </c>
      <c r="QK7" s="27">
        <f>MAX(QK6,PortfolioFrontier[[#This Row],[P113 Growth]])</f>
        <v>1.0604662396975308</v>
      </c>
      <c r="QL7" s="27">
        <f>PortfolioFrontier[[#This Row],[P113 Growth]]/PortfolioFrontier[[#This Row],[P113 HWM]]-1</f>
        <v>-7.9141884605884449E-3</v>
      </c>
      <c r="QM7" s="28">
        <f>SUMPRODUCT(INDEX(PortfolioRef[[SPY]:[PE]],MATCH(QM$1,PortfolioRef[Reference '#]),0),AssetMonthlyReturns[[#This Row],[SPY]:[PE]])</f>
        <v>-4.9646427802859947E-3</v>
      </c>
      <c r="QN7" s="27">
        <f>IF(ISNUMBER(QN6),QN6*(1+PortfolioFrontier[[#This Row],[P114 Return]]),1+PortfolioFrontier[[#This Row],[P114 Return]])</f>
        <v>1.0503515186214578</v>
      </c>
      <c r="QO7" s="27">
        <f>MAX(QO6,PortfolioFrontier[[#This Row],[P114 Growth]])</f>
        <v>1.0555921566006516</v>
      </c>
      <c r="QP7" s="27">
        <f>PortfolioFrontier[[#This Row],[P114 Growth]]/PortfolioFrontier[[#This Row],[P114 HWM]]-1</f>
        <v>-4.964642780285855E-3</v>
      </c>
      <c r="QQ7" s="28">
        <f>SUMPRODUCT(INDEX(PortfolioRef[[SPY]:[PE]],MATCH(QQ$1,PortfolioRef[Reference '#]),0),AssetMonthlyReturns[[#This Row],[SPY]:[PE]])</f>
        <v>-1.2132751068417708E-2</v>
      </c>
      <c r="QR7" s="27">
        <f>IF(ISNUMBER(QR6),QR6*(1+PortfolioFrontier[[#This Row],[P115 Return]]),1+PortfolioFrontier[[#This Row],[P115 Return]])</f>
        <v>1.048985247051275</v>
      </c>
      <c r="QS7" s="27">
        <f>MAX(QS6,PortfolioFrontier[[#This Row],[P115 Growth]])</f>
        <v>1.0618686348654582</v>
      </c>
      <c r="QT7" s="27">
        <f>PortfolioFrontier[[#This Row],[P115 Growth]]/PortfolioFrontier[[#This Row],[P115 HWM]]-1</f>
        <v>-1.2132751068417713E-2</v>
      </c>
      <c r="QU7" s="28">
        <f>SUMPRODUCT(INDEX(PortfolioRef[[SPY]:[PE]],MATCH(QU$1,PortfolioRef[Reference '#]),0),AssetMonthlyReturns[[#This Row],[SPY]:[PE]])</f>
        <v>-9.1832053881151787E-3</v>
      </c>
      <c r="QV7" s="27">
        <f>IF(ISNUMBER(QV6),QV6*(1+PortfolioFrontier[[#This Row],[P116 Return]]),1+PortfolioFrontier[[#This Row],[P116 Return]])</f>
        <v>1.0472974982919896</v>
      </c>
      <c r="QW7" s="27">
        <f>MAX(QW6,PortfolioFrontier[[#This Row],[P116 Growth]])</f>
        <v>1.0570041848172638</v>
      </c>
      <c r="QX7" s="27">
        <f>PortfolioFrontier[[#This Row],[P116 Growth]]/PortfolioFrontier[[#This Row],[P116 HWM]]-1</f>
        <v>-9.1832053881151232E-3</v>
      </c>
      <c r="QY7" s="28">
        <f>SUMPRODUCT(INDEX(PortfolioRef[[SPY]:[PE]],MATCH(QY$1,PortfolioRef[Reference '#]),0),AssetMonthlyReturns[[#This Row],[SPY]:[PE]])</f>
        <v>-6.2336597078126504E-3</v>
      </c>
      <c r="QZ7" s="27">
        <f>IF(ISNUMBER(QZ6),QZ6*(1+PortfolioFrontier[[#This Row],[P117 Return]]),1+PortfolioFrontier[[#This Row],[P117 Return]])</f>
        <v>1.0455931130317473</v>
      </c>
      <c r="RA7" s="27">
        <f>MAX(RA6,PortfolioFrontier[[#This Row],[P117 Growth]])</f>
        <v>1.0521518697486996</v>
      </c>
      <c r="RB7" s="27">
        <f>PortfolioFrontier[[#This Row],[P117 Growth]]/PortfolioFrontier[[#This Row],[P117 HWM]]-1</f>
        <v>-6.2336597078127554E-3</v>
      </c>
      <c r="RC7" s="28">
        <f>SUMPRODUCT(INDEX(PortfolioRef[[SPY]:[PE]],MATCH(RC$1,PortfolioRef[Reference '#]),0),AssetMonthlyReturns[[#This Row],[SPY]:[PE]])</f>
        <v>-1.2386703726816805E-2</v>
      </c>
      <c r="RD7" s="27">
        <f>IF(ISNUMBER(RD6),RD6*(1+PortfolioFrontier[[#This Row],[P118 Return]]),1+PortfolioFrontier[[#This Row],[P118 Return]])</f>
        <v>1.0532455572441517</v>
      </c>
      <c r="RE7" s="27">
        <f>MAX(RE6,PortfolioFrontier[[#This Row],[P118 Growth]])</f>
        <v>1.0664554246268612</v>
      </c>
      <c r="RF7" s="27">
        <f>PortfolioFrontier[[#This Row],[P118 Growth]]/PortfolioFrontier[[#This Row],[P118 HWM]]-1</f>
        <v>-1.2386703726816717E-2</v>
      </c>
      <c r="RG7" s="28">
        <f>SUMPRODUCT(INDEX(PortfolioRef[[SPY]:[PE]],MATCH(RG$1,PortfolioRef[Reference '#]),0),AssetMonthlyReturns[[#This Row],[SPY]:[PE]])</f>
        <v>-9.4371580465142779E-3</v>
      </c>
      <c r="RH7" s="27">
        <f>IF(ISNUMBER(RH6),RH6*(1+PortfolioFrontier[[#This Row],[P119 Return]]),1+PortfolioFrontier[[#This Row],[P119 Return]])</f>
        <v>1.0515532734790676</v>
      </c>
      <c r="RI7" s="27">
        <f>MAX(RI6,PortfolioFrontier[[#This Row],[P119 Growth]])</f>
        <v>1.0615714914212842</v>
      </c>
      <c r="RJ7" s="27">
        <f>PortfolioFrontier[[#This Row],[P119 Growth]]/PortfolioFrontier[[#This Row],[P119 HWM]]-1</f>
        <v>-9.437158046514349E-3</v>
      </c>
      <c r="RK7" s="28">
        <f>SUMPRODUCT(INDEX(PortfolioRef[[SPY]:[PE]],MATCH(RK$1,PortfolioRef[Reference '#]),0),AssetMonthlyReturns[[#This Row],[SPY]:[PE]])</f>
        <v>-6.4876123662117478E-3</v>
      </c>
      <c r="RL7" s="27">
        <f>IF(ISNUMBER(RL6),RL6*(1+PortfolioFrontier[[#This Row],[P120 Return]]),1+PortfolioFrontier[[#This Row],[P120 Return]])</f>
        <v>1.049844260361241</v>
      </c>
      <c r="RM7" s="27">
        <f>MAX(RM6,PortfolioFrontier[[#This Row],[P120 Growth]])</f>
        <v>1.0566997185225</v>
      </c>
      <c r="RN7" s="27">
        <f>PortfolioFrontier[[#This Row],[P120 Growth]]/PortfolioFrontier[[#This Row],[P120 HWM]]-1</f>
        <v>-6.4876123662116481E-3</v>
      </c>
      <c r="RO7" s="28">
        <f>SUMPRODUCT(INDEX(PortfolioRef[[SPY]:[PE]],MATCH(RO$1,PortfolioRef[Reference '#]),0),AssetMonthlyReturns[[#This Row],[SPY]:[PE]])</f>
        <v>-1.2640656385215903E-2</v>
      </c>
      <c r="RP7" s="27">
        <f>IF(ISNUMBER(RP6),RP6*(1+PortfolioFrontier[[#This Row],[P121 Return]]),1+PortfolioFrontier[[#This Row],[P121 Return]])</f>
        <v>1.0574997468823248</v>
      </c>
      <c r="RQ7" s="27">
        <f>MAX(RQ6,PortfolioFrontier[[#This Row],[P121 Growth]])</f>
        <v>1.0710383749555177</v>
      </c>
      <c r="RR7" s="27">
        <f>PortfolioFrontier[[#This Row],[P121 Growth]]/PortfolioFrontier[[#This Row],[P121 HWM]]-1</f>
        <v>-1.2640656385216054E-2</v>
      </c>
      <c r="RS7" s="28">
        <f>SUMPRODUCT(INDEX(PortfolioRef[[SPY]:[PE]],MATCH(RS$1,PortfolioRef[Reference '#]),0),AssetMonthlyReturns[[#This Row],[SPY]:[PE]])</f>
        <v>-9.6911107049133752E-3</v>
      </c>
      <c r="RT7" s="27">
        <f>IF(ISNUMBER(RT6),RT6*(1+PortfolioFrontier[[#This Row],[P122 Return]]),1+PortfolioFrontier[[#This Row],[P122 Return]])</f>
        <v>1.0558029016694348</v>
      </c>
      <c r="RU7" s="27">
        <f>MAX(RU6,PortfolioFrontier[[#This Row],[P122 Growth]])</f>
        <v>1.0661349333347574</v>
      </c>
      <c r="RV7" s="27">
        <f>PortfolioFrontier[[#This Row],[P122 Growth]]/PortfolioFrontier[[#This Row],[P122 HWM]]-1</f>
        <v>-9.6911107049133527E-3</v>
      </c>
      <c r="RW7" s="28">
        <f>SUMPRODUCT(INDEX(PortfolioRef[[SPY]:[PE]],MATCH(RW$1,PortfolioRef[Reference '#]),0),AssetMonthlyReturns[[#This Row],[SPY]:[PE]])</f>
        <v>-6.7415650246108469E-3</v>
      </c>
      <c r="RX7" s="27">
        <f>IF(ISNUMBER(RX6),RX6*(1+PortfolioFrontier[[#This Row],[P123 Return]]),1+PortfolioFrontier[[#This Row],[P123 Return]])</f>
        <v>1.0540892340901544</v>
      </c>
      <c r="RY7" s="27">
        <f>MAX(RY6,PortfolioFrontier[[#This Row],[P123 Growth]])</f>
        <v>1.0612436773479528</v>
      </c>
      <c r="RZ7" s="27">
        <f>PortfolioFrontier[[#This Row],[P123 Growth]]/PortfolioFrontier[[#This Row],[P123 HWM]]-1</f>
        <v>-6.7415650246108738E-3</v>
      </c>
      <c r="SA7" s="28">
        <f>SUMPRODUCT(INDEX(PortfolioRef[[SPY]:[PE]],MATCH(SA$1,PortfolioRef[Reference '#]),0),AssetMonthlyReturns[[#This Row],[SPY]:[PE]])</f>
        <v>-1.390967331274256E-2</v>
      </c>
      <c r="SB7" s="27">
        <f>IF(ISNUMBER(SB6),SB6*(1+PortfolioFrontier[[#This Row],[P124 Return]]),1+PortfolioFrontier[[#This Row],[P124 Return]])</f>
        <v>1.0526873526607534</v>
      </c>
      <c r="SC7" s="27">
        <f>MAX(SC6,PortfolioFrontier[[#This Row],[P124 Growth]])</f>
        <v>1.0675364357312243</v>
      </c>
      <c r="SD7" s="27">
        <f>PortfolioFrontier[[#This Row],[P124 Growth]]/PortfolioFrontier[[#This Row],[P124 HWM]]-1</f>
        <v>-1.390967331274251E-2</v>
      </c>
      <c r="SE7" s="28">
        <f>SUMPRODUCT(INDEX(PortfolioRef[[SPY]:[PE]],MATCH(SE$1,PortfolioRef[Reference '#]),0),AssetMonthlyReturns[[#This Row],[SPY]:[PE]])</f>
        <v>-1.0960127632440033E-2</v>
      </c>
      <c r="SF7" s="27">
        <f>IF(ISNUMBER(SF6),SF6*(1+PortfolioFrontier[[#This Row],[P125 Return]]),1+PortfolioFrontier[[#This Row],[P125 Return]])</f>
        <v>1.0510080064693981</v>
      </c>
      <c r="SG7" s="27">
        <f>MAX(SG6,PortfolioFrontier[[#This Row],[P125 Growth]])</f>
        <v>1.0626548391355537</v>
      </c>
      <c r="SH7" s="27">
        <f>PortfolioFrontier[[#This Row],[P125 Growth]]/PortfolioFrontier[[#This Row],[P125 HWM]]-1</f>
        <v>-1.096012763243992E-2</v>
      </c>
      <c r="SI7" s="28">
        <f>SUMPRODUCT(INDEX(PortfolioRef[[SPY]:[PE]],MATCH(SI$1,PortfolioRef[Reference '#]),0),AssetMonthlyReturns[[#This Row],[SPY]:[PE]])</f>
        <v>-8.0105819521375E-3</v>
      </c>
      <c r="SJ7" s="27">
        <f>IF(ISNUMBER(SJ6),SJ6*(1+PortfolioFrontier[[#This Row],[P126 Return]]),1+PortfolioFrontier[[#This Row],[P126 Return]])</f>
        <v>1.0493119230276646</v>
      </c>
      <c r="SK7" s="27">
        <f>MAX(SK6,PortfolioFrontier[[#This Row],[P126 Growth]])</f>
        <v>1.0577853996594109</v>
      </c>
      <c r="SL7" s="27">
        <f>PortfolioFrontier[[#This Row],[P126 Growth]]/PortfolioFrontier[[#This Row],[P126 HWM]]-1</f>
        <v>-8.0105819521375521E-3</v>
      </c>
      <c r="SM7" s="28">
        <f>SUMPRODUCT(INDEX(PortfolioRef[[SPY]:[PE]],MATCH(SM$1,PortfolioRef[Reference '#]),0),AssetMonthlyReturns[[#This Row],[SPY]:[PE]])</f>
        <v>-1.4163625971141658E-2</v>
      </c>
      <c r="SN7" s="27">
        <f>IF(ISNUMBER(SN6),SN6*(1+PortfolioFrontier[[#This Row],[P127 Return]]),1+PortfolioFrontier[[#This Row],[P127 Return]])</f>
        <v>1.056956570422003</v>
      </c>
      <c r="SO7" s="27">
        <f>MAX(SO6,PortfolioFrontier[[#This Row],[P127 Growth]])</f>
        <v>1.072141988535577</v>
      </c>
      <c r="SP7" s="27">
        <f>PortfolioFrontier[[#This Row],[P127 Growth]]/PortfolioFrontier[[#This Row],[P127 HWM]]-1</f>
        <v>-1.4163625971141736E-2</v>
      </c>
      <c r="SQ7" s="28">
        <f>SUMPRODUCT(INDEX(PortfolioRef[[SPY]:[PE]],MATCH(SQ$1,PortfolioRef[Reference '#]),0),AssetMonthlyReturns[[#This Row],[SPY]:[PE]])</f>
        <v>-1.121408029083913E-2</v>
      </c>
      <c r="SR7" s="27">
        <f>IF(ISNUMBER(SR6),SR6*(1+PortfolioFrontier[[#This Row],[P128 Return]]),1+PortfolioFrontier[[#This Row],[P128 Return]])</f>
        <v>1.0552727455914557</v>
      </c>
      <c r="SS7" s="27">
        <f>MAX(SS6,PortfolioFrontier[[#This Row],[P128 Growth]])</f>
        <v>1.0672408704018066</v>
      </c>
      <c r="ST7" s="27">
        <f>PortfolioFrontier[[#This Row],[P128 Growth]]/PortfolioFrontier[[#This Row],[P128 HWM]]-1</f>
        <v>-1.1214080290839146E-2</v>
      </c>
      <c r="SU7" s="28">
        <f>SUMPRODUCT(INDEX(PortfolioRef[[SPY]:[PE]],MATCH(SU$1,PortfolioRef[Reference '#]),0),AssetMonthlyReturns[[#This Row],[SPY]:[PE]])</f>
        <v>-8.2645346105366009E-3</v>
      </c>
      <c r="SV7" s="27">
        <f>IF(ISNUMBER(SV6),SV6*(1+PortfolioFrontier[[#This Row],[P129 Return]]),1+PortfolioFrontier[[#This Row],[P129 Return]])</f>
        <v>1.0535720903817065</v>
      </c>
      <c r="SW7" s="27">
        <f>MAX(SW6,PortfolioFrontier[[#This Row],[P129 Growth]])</f>
        <v>1.0623519347147268</v>
      </c>
      <c r="SX7" s="27">
        <f>PortfolioFrontier[[#This Row],[P129 Growth]]/PortfolioFrontier[[#This Row],[P129 HWM]]-1</f>
        <v>-8.2645346105364448E-3</v>
      </c>
      <c r="SY7" s="28">
        <f>SUMPRODUCT(INDEX(PortfolioRef[[SPY]:[PE]],MATCH(SY$1,PortfolioRef[Reference '#]),0),AssetMonthlyReturns[[#This Row],[SPY]:[PE]])</f>
        <v>-1.4417578629540755E-2</v>
      </c>
      <c r="SZ7" s="27">
        <f>IF(ISNUMBER(SZ6),SZ6*(1+PortfolioFrontier[[#This Row],[P130 Return]]),1+PortfolioFrontier[[#This Row],[P130 Return]])</f>
        <v>1.0612196578410853</v>
      </c>
      <c r="TA7" s="27">
        <f>MAX(TA6,PortfolioFrontier[[#This Row],[P130 Growth]])</f>
        <v>1.0767436947236253</v>
      </c>
      <c r="TB7" s="27">
        <f>PortfolioFrontier[[#This Row],[P130 Growth]]/PortfolioFrontier[[#This Row],[P130 HWM]]-1</f>
        <v>-1.4417578629540628E-2</v>
      </c>
      <c r="TC7" s="28">
        <f>SUMPRODUCT(INDEX(PortfolioRef[[SPY]:[PE]],MATCH(TC$1,PortfolioRef[Reference '#]),0),AssetMonthlyReturns[[#This Row],[SPY]:[PE]])</f>
        <v>-1.1468032949238227E-2</v>
      </c>
      <c r="TD7" s="27">
        <f>IF(ISNUMBER(TD6),TD6*(1+PortfolioFrontier[[#This Row],[P131 Return]]),1+PortfolioFrontier[[#This Row],[P131 Return]])</f>
        <v>1.0595313279725254</v>
      </c>
      <c r="TE7" s="27">
        <f>MAX(TE6,PortfolioFrontier[[#This Row],[P131 Growth]])</f>
        <v>1.0718230297939548</v>
      </c>
      <c r="TF7" s="27">
        <f>PortfolioFrontier[[#This Row],[P131 Growth]]/PortfolioFrontier[[#This Row],[P131 HWM]]-1</f>
        <v>-1.146803294923826E-2</v>
      </c>
      <c r="TG7" s="28">
        <f>SUMPRODUCT(INDEX(PortfolioRef[[SPY]:[PE]],MATCH(TG$1,PortfolioRef[Reference '#]),0),AssetMonthlyReturns[[#This Row],[SPY]:[PE]])</f>
        <v>-8.5184872689356983E-3</v>
      </c>
      <c r="TH7" s="27">
        <f>IF(ISNUMBER(TH6),TH6*(1+PortfolioFrontier[[#This Row],[P132 Return]]),1+PortfolioFrontier[[#This Row],[P132 Return]])</f>
        <v>1.0578260744340779</v>
      </c>
      <c r="TI7" s="27">
        <f>MAX(TI6,PortfolioFrontier[[#This Row],[P132 Growth]])</f>
        <v>1.0669145726381379</v>
      </c>
      <c r="TJ7" s="27">
        <f>PortfolioFrontier[[#This Row],[P132 Growth]]/PortfolioFrontier[[#This Row],[P132 HWM]]-1</f>
        <v>-8.5184872689357816E-3</v>
      </c>
      <c r="TK7" s="28">
        <f>SUMPRODUCT(INDEX(PortfolioRef[[SPY]:[PE]],MATCH(TK$1,PortfolioRef[Reference '#]),0),AssetMonthlyReturns[[#This Row],[SPY]:[PE]])</f>
        <v>-1.5686595557067411E-2</v>
      </c>
      <c r="TL7" s="27">
        <f>IF(ISNUMBER(TL6),TL6*(1+PortfolioFrontier[[#This Row],[P133 Return]]),1+PortfolioFrontier[[#This Row],[P133 Return]])</f>
        <v>1.0563883961592955</v>
      </c>
      <c r="TM7" s="27">
        <f>MAX(TM6,PortfolioFrontier[[#This Row],[P133 Growth]])</f>
        <v>1.0732236210449184</v>
      </c>
      <c r="TN7" s="27">
        <f>PortfolioFrontier[[#This Row],[P133 Growth]]/PortfolioFrontier[[#This Row],[P133 HWM]]-1</f>
        <v>-1.5686595557067307E-2</v>
      </c>
      <c r="TO7" s="28">
        <f>SUMPRODUCT(INDEX(PortfolioRef[[SPY]:[PE]],MATCH(TO$1,PortfolioRef[Reference '#]),0),AssetMonthlyReturns[[#This Row],[SPY]:[PE]])</f>
        <v>-1.2737049876764885E-2</v>
      </c>
      <c r="TP7" s="27">
        <f>IF(ISNUMBER(TP6),TP6*(1+PortfolioFrontier[[#This Row],[P134 Return]]),1+PortfolioFrontier[[#This Row],[P134 Return]])</f>
        <v>1.0547175427284528</v>
      </c>
      <c r="TQ7" s="27">
        <f>MAX(TQ6,PortfolioFrontier[[#This Row],[P134 Growth]])</f>
        <v>1.0683248496226843</v>
      </c>
      <c r="TR7" s="27">
        <f>PortfolioFrontier[[#This Row],[P134 Growth]]/PortfolioFrontier[[#This Row],[P134 HWM]]-1</f>
        <v>-1.2737049876764939E-2</v>
      </c>
      <c r="TS7" s="28">
        <f>SUMPRODUCT(INDEX(PortfolioRef[[SPY]:[PE]],MATCH(TS$1,PortfolioRef[Reference '#]),0),AssetMonthlyReturns[[#This Row],[SPY]:[PE]])</f>
        <v>-9.7875041964623558E-3</v>
      </c>
      <c r="TT7" s="27">
        <f>IF(ISNUMBER(TT6),TT6*(1+PortfolioFrontier[[#This Row],[P135 Return]]),1+PortfolioFrontier[[#This Row],[P135 Return]])</f>
        <v>1.053029851052308</v>
      </c>
      <c r="TU7" s="27">
        <f>MAX(TU6,PortfolioFrontier[[#This Row],[P135 Growth]])</f>
        <v>1.0634382574598751</v>
      </c>
      <c r="TV7" s="27">
        <f>PortfolioFrontier[[#This Row],[P135 Growth]]/PortfolioFrontier[[#This Row],[P135 HWM]]-1</f>
        <v>-9.7875041964623488E-3</v>
      </c>
      <c r="TW7" s="28">
        <f>SUMPRODUCT(INDEX(PortfolioRef[[SPY]:[PE]],MATCH(TW$1,PortfolioRef[Reference '#]),0),AssetMonthlyReturns[[#This Row],[SPY]:[PE]])</f>
        <v>-1.5940548215466512E-2</v>
      </c>
      <c r="TX7" s="27">
        <f>IF(ISNUMBER(TX6),TX6*(1+PortfolioFrontier[[#This Row],[P136 Return]]),1+PortfolioFrontier[[#This Row],[P136 Return]])</f>
        <v>1.060666488266331</v>
      </c>
      <c r="TY7" s="27">
        <f>MAX(TY6,PortfolioFrontier[[#This Row],[P136 Growth]])</f>
        <v>1.0778479758950288</v>
      </c>
      <c r="TZ7" s="27">
        <f>PortfolioFrontier[[#This Row],[P136 Growth]]/PortfolioFrontier[[#This Row],[P136 HWM]]-1</f>
        <v>-1.5940548215466532E-2</v>
      </c>
      <c r="UA7" s="28">
        <f>SUMPRODUCT(INDEX(PortfolioRef[[SPY]:[PE]],MATCH(UA$1,PortfolioRef[Reference '#]),0),AssetMonthlyReturns[[#This Row],[SPY]:[PE]])</f>
        <v>-1.2991002535163979E-2</v>
      </c>
      <c r="UB7" s="27">
        <f>IF(ISNUMBER(UB6),UB6*(1+PortfolioFrontier[[#This Row],[P137 Return]]),1+PortfolioFrontier[[#This Row],[P137 Return]])</f>
        <v>1.0589912128215242</v>
      </c>
      <c r="UC7" s="27">
        <f>MAX(UC6,PortfolioFrontier[[#This Row],[P137 Growth]])</f>
        <v>1.0729296445539775</v>
      </c>
      <c r="UD7" s="27">
        <f>PortfolioFrontier[[#This Row],[P137 Growth]]/PortfolioFrontier[[#This Row],[P137 HWM]]-1</f>
        <v>-1.2991002535164053E-2</v>
      </c>
      <c r="UE7" s="28">
        <f>SUMPRODUCT(INDEX(PortfolioRef[[SPY]:[PE]],MATCH(UE$1,PortfolioRef[Reference '#]),0),AssetMonthlyReturns[[#This Row],[SPY]:[PE]])</f>
        <v>-1.0041456854861453E-2</v>
      </c>
      <c r="UF7" s="27">
        <f>IF(ISNUMBER(UF6),UF6*(1+PortfolioFrontier[[#This Row],[P138 Return]]),1+PortfolioFrontier[[#This Row],[P138 Return]])</f>
        <v>1.0572990057255531</v>
      </c>
      <c r="UG7" s="27">
        <f>MAX(UG6,PortfolioFrontier[[#This Row],[P138 Growth]])</f>
        <v>1.0680235177995143</v>
      </c>
      <c r="UH7" s="27">
        <f>PortfolioFrontier[[#This Row],[P138 Growth]]/PortfolioFrontier[[#This Row],[P138 HWM]]-1</f>
        <v>-1.0041456854861464E-2</v>
      </c>
      <c r="UI7" s="28">
        <f>SUMPRODUCT(INDEX(PortfolioRef[[SPY]:[PE]],MATCH(UI$1,PortfolioRef[Reference '#]),0),AssetMonthlyReturns[[#This Row],[SPY]:[PE]])</f>
        <v>-1.6194500873865612E-2</v>
      </c>
      <c r="UJ7" s="27">
        <f>IF(ISNUMBER(UJ6),UJ6*(1+PortfolioFrontier[[#This Row],[P139 Return]]),1+PortfolioFrontier[[#This Row],[P139 Return]])</f>
        <v>1.0649384402494555</v>
      </c>
      <c r="UK7" s="27">
        <f>MAX(UK6,PortfolioFrontier[[#This Row],[P139 Growth]])</f>
        <v>1.0824684769452779</v>
      </c>
      <c r="UL7" s="27">
        <f>PortfolioFrontier[[#This Row],[P139 Growth]]/PortfolioFrontier[[#This Row],[P139 HWM]]-1</f>
        <v>-1.6194500873865758E-2</v>
      </c>
      <c r="UM7" s="28">
        <f>SUMPRODUCT(INDEX(PortfolioRef[[SPY]:[PE]],MATCH(UM$1,PortfolioRef[Reference '#]),0),AssetMonthlyReturns[[#This Row],[SPY]:[PE]])</f>
        <v>-1.324495519356308E-2</v>
      </c>
      <c r="UN7" s="27">
        <f>IF(ISNUMBER(UN6),UN6*(1+PortfolioFrontier[[#This Row],[P140 Return]]),1+PortfolioFrontier[[#This Row],[P140 Return]])</f>
        <v>1.0632587164350504</v>
      </c>
      <c r="UO7" s="27">
        <f>MAX(UO6,PortfolioFrontier[[#This Row],[P140 Growth]])</f>
        <v>1.0775305604276091</v>
      </c>
      <c r="UP7" s="27">
        <f>PortfolioFrontier[[#This Row],[P140 Growth]]/PortfolioFrontier[[#This Row],[P140 HWM]]-1</f>
        <v>-1.3244955193563168E-2</v>
      </c>
      <c r="UQ7" s="28">
        <f>SUMPRODUCT(INDEX(PortfolioRef[[SPY]:[PE]],MATCH(UQ$1,PortfolioRef[Reference '#]),0),AssetMonthlyReturns[[#This Row],[SPY]:[PE]])</f>
        <v>-1.0295409513260551E-2</v>
      </c>
      <c r="UR7" s="27">
        <f>IF(ISNUMBER(UR6),UR6*(1+PortfolioFrontier[[#This Row],[P141 Return]]),1+PortfolioFrontier[[#This Row],[P141 Return]])</f>
        <v>1.0615619674017571</v>
      </c>
      <c r="US7" s="27">
        <f>MAX(US6,PortfolioFrontier[[#This Row],[P141 Growth]])</f>
        <v>1.0726048738236913</v>
      </c>
      <c r="UT7" s="27">
        <f>PortfolioFrontier[[#This Row],[P141 Growth]]/PortfolioFrontier[[#This Row],[P141 HWM]]-1</f>
        <v>-1.0295409513260689E-2</v>
      </c>
    </row>
    <row r="8" spans="1:566" x14ac:dyDescent="0.2">
      <c r="B8" s="41">
        <f>AssetMonthlyReturns[[#This Row],[Date]]</f>
        <v>42614</v>
      </c>
      <c r="C8" s="28">
        <f>SUMPRODUCT(INDEX(PortfolioRef[[SPY]:[PE]],MATCH(C$1,PortfolioRef[Reference '#]),0),AssetMonthlyReturns[[#This Row],[SPY]:[PE]])</f>
        <v>-4.8137819827954176E-3</v>
      </c>
      <c r="D8" s="29">
        <f>IF(ISNUMBER(D7),D7*(1+PortfolioFrontier[[#This Row],[P1 Return]]),1+PortfolioFrontier[[#This Row],[P1 Return]])</f>
        <v>1.0484651844897872</v>
      </c>
      <c r="E8" s="29">
        <f>MAX(E7,PortfolioFrontier[[#This Row],[P1 Growth]])</f>
        <v>1.0583442685325262</v>
      </c>
      <c r="F8" s="29">
        <f>PortfolioFrontier[[#This Row],[P1 Growth]]/PortfolioFrontier[[#This Row],[P1 HWM]]-1</f>
        <v>-9.3344711512796108E-3</v>
      </c>
      <c r="G8" s="28">
        <f>SUMPRODUCT(INDEX(PortfolioRef[[SPY]:[PE]],MATCH(G$1,PortfolioRef[Reference '#]),0),AssetMonthlyReturns[[#This Row],[SPY]:[PE]])</f>
        <v>-4.5403455196516337E-3</v>
      </c>
      <c r="H8" s="27">
        <f>IF(ISNUMBER(H7),H7*(1+PortfolioFrontier[[#This Row],[P2 Return]]),1+PortfolioFrontier[[#This Row],[P2 Return]])</f>
        <v>1.0469453576880097</v>
      </c>
      <c r="I8" s="27">
        <f>MAX(I7,PortfolioFrontier[[#This Row],[P2 Growth]])</f>
        <v>1.0566950559387405</v>
      </c>
      <c r="J8" s="27">
        <f>PortfolioFrontier[[#This Row],[P2 Growth]]/PortfolioFrontier[[#This Row],[P2 HWM]]-1</f>
        <v>-9.2265958811261761E-3</v>
      </c>
      <c r="K8" s="28">
        <f>SUMPRODUCT(INDEX(PortfolioRef[[SPY]:[PE]],MATCH(K$1,PortfolioRef[Reference '#]),0),AssetMonthlyReturns[[#This Row],[SPY]:[PE]])</f>
        <v>-4.2207529195926298E-3</v>
      </c>
      <c r="L8" s="27">
        <f>IF(ISNUMBER(L7),L7*(1+PortfolioFrontier[[#This Row],[P3 Return]]),1+PortfolioFrontier[[#This Row],[P3 Return]])</f>
        <v>1.0468024619795313</v>
      </c>
      <c r="M8" s="27">
        <f>MAX(M7,PortfolioFrontier[[#This Row],[P3 Growth]])</f>
        <v>1.0578303960203519</v>
      </c>
      <c r="N8" s="27">
        <f>PortfolioFrontier[[#This Row],[P3 Growth]]/PortfolioFrontier[[#This Row],[P3 HWM]]-1</f>
        <v>-1.04250493106538E-2</v>
      </c>
      <c r="O8" s="28">
        <f>SUMPRODUCT(INDEX(PortfolioRef[[SPY]:[PE]],MATCH(O$1,PortfolioRef[Reference '#]),0),AssetMonthlyReturns[[#This Row],[SPY]:[PE]])</f>
        <v>-5.8185815334815261E-3</v>
      </c>
      <c r="P8" s="27">
        <f>IF(ISNUMBER(P7),P7*(1+PortfolioFrontier[[#This Row],[P4 Return]]),1+PortfolioFrontier[[#This Row],[P4 Return]])</f>
        <v>1.0493218905160748</v>
      </c>
      <c r="Q8" s="27">
        <f>MAX(Q7,PortfolioFrontier[[#This Row],[P4 Growth]])</f>
        <v>1.0623520608453636</v>
      </c>
      <c r="R8" s="27">
        <f>PortfolioFrontier[[#This Row],[P4 Growth]]/PortfolioFrontier[[#This Row],[P4 HWM]]-1</f>
        <v>-1.2265397517015275E-2</v>
      </c>
      <c r="S8" s="28">
        <f>SUMPRODUCT(INDEX(PortfolioRef[[SPY]:[PE]],MATCH(S$1,PortfolioRef[Reference '#]),0),AssetMonthlyReturns[[#This Row],[SPY]:[PE]])</f>
        <v>-4.7348340613007304E-3</v>
      </c>
      <c r="T8" s="27">
        <f>IF(ISNUMBER(T7),T7*(1+PortfolioFrontier[[#This Row],[P5 Return]]),1+PortfolioFrontier[[#This Row],[P5 Return]])</f>
        <v>1.0487302081217704</v>
      </c>
      <c r="U8" s="27">
        <f>MAX(U7,PortfolioFrontier[[#This Row],[P5 Growth]])</f>
        <v>1.0574575081284934</v>
      </c>
      <c r="V8" s="27">
        <f>PortfolioFrontier[[#This Row],[P5 Growth]]/PortfolioFrontier[[#This Row],[P5 HWM]]-1</f>
        <v>-8.2530975851395905E-3</v>
      </c>
      <c r="W8" s="28">
        <f>SUMPRODUCT(INDEX(PortfolioRef[[SPY]:[PE]],MATCH(W$1,PortfolioRef[Reference '#]),0),AssetMonthlyReturns[[#This Row],[SPY]:[PE]])</f>
        <v>-4.2669090565078506E-3</v>
      </c>
      <c r="X8" s="27">
        <f>IF(ISNUMBER(X7),X7*(1+PortfolioFrontier[[#This Row],[P6 Return]]),1+PortfolioFrontier[[#This Row],[P6 Return]])</f>
        <v>1.0454225636196299</v>
      </c>
      <c r="Y8" s="27">
        <f>MAX(Y7,PortfolioFrontier[[#This Row],[P6 Growth]])</f>
        <v>1.0550433039814844</v>
      </c>
      <c r="Z8" s="27">
        <f>PortfolioFrontier[[#This Row],[P6 Growth]]/PortfolioFrontier[[#This Row],[P6 HWM]]-1</f>
        <v>-9.1188108824993286E-3</v>
      </c>
      <c r="AA8" s="28">
        <f>SUMPRODUCT(INDEX(PortfolioRef[[SPY]:[PE]],MATCH(AA$1,PortfolioRef[Reference '#]),0),AssetMonthlyReturns[[#This Row],[SPY]:[PE]])</f>
        <v>-3.9473164564488459E-3</v>
      </c>
      <c r="AB8" s="27">
        <f>IF(ISNUMBER(AB7),AB7*(1+PortfolioFrontier[[#This Row],[P7 Return]]),1+PortfolioFrontier[[#This Row],[P7 Return]])</f>
        <v>1.0452744088227262</v>
      </c>
      <c r="AC8" s="27">
        <f>MAX(AC7,PortfolioFrontier[[#This Row],[P7 Growth]])</f>
        <v>1.0561717070283392</v>
      </c>
      <c r="AD8" s="27">
        <f>PortfolioFrontier[[#This Row],[P7 Growth]]/PortfolioFrontier[[#This Row],[P7 HWM]]-1</f>
        <v>-1.0317733502134607E-2</v>
      </c>
      <c r="AE8" s="28">
        <f>SUMPRODUCT(INDEX(PortfolioRef[[SPY]:[PE]],MATCH(AE$1,PortfolioRef[Reference '#]),0),AssetMonthlyReturns[[#This Row],[SPY]:[PE]])</f>
        <v>-5.5451450703377422E-3</v>
      </c>
      <c r="AF8" s="27">
        <f>IF(ISNUMBER(AF7),AF7*(1+PortfolioFrontier[[#This Row],[P8 Return]]),1+PortfolioFrontier[[#This Row],[P8 Return]])</f>
        <v>1.0477986649579312</v>
      </c>
      <c r="AG8" s="27">
        <f>MAX(AG7,PortfolioFrontier[[#This Row],[P8 Growth]])</f>
        <v>1.0606944688732651</v>
      </c>
      <c r="AH8" s="27">
        <f>PortfolioFrontier[[#This Row],[P8 Growth]]/PortfolioFrontier[[#This Row],[P8 HWM]]-1</f>
        <v>-1.2157887397143408E-2</v>
      </c>
      <c r="AI8" s="28">
        <f>SUMPRODUCT(INDEX(PortfolioRef[[SPY]:[PE]],MATCH(AI$1,PortfolioRef[Reference '#]),0),AssetMonthlyReturns[[#This Row],[SPY]:[PE]])</f>
        <v>-4.4613975981569465E-3</v>
      </c>
      <c r="AJ8" s="27">
        <f>IF(ISNUMBER(AJ7),AJ7*(1+PortfolioFrontier[[#This Row],[P9 Return]]),1+PortfolioFrontier[[#This Row],[P9 Return]])</f>
        <v>1.0472089282061519</v>
      </c>
      <c r="AK8" s="27">
        <f>MAX(AK7,PortfolioFrontier[[#This Row],[P9 Growth]])</f>
        <v>1.0558084455991081</v>
      </c>
      <c r="AL8" s="27">
        <f>PortfolioFrontier[[#This Row],[P9 Growth]]/PortfolioFrontier[[#This Row],[P9 HWM]]-1</f>
        <v>-8.1449598445639815E-3</v>
      </c>
      <c r="AM8" s="28">
        <f>SUMPRODUCT(INDEX(PortfolioRef[[SPY]:[PE]],MATCH(AM$1,PortfolioRef[Reference '#]),0),AssetMonthlyReturns[[#This Row],[SPY]:[PE]])</f>
        <v>-3.6277238563898421E-3</v>
      </c>
      <c r="AN8" s="27">
        <f>IF(ISNUMBER(AN7),AN7*(1+PortfolioFrontier[[#This Row],[P10 Return]]),1+PortfolioFrontier[[#This Row],[P10 Return]])</f>
        <v>1.0451008829003274</v>
      </c>
      <c r="AO8" s="27">
        <f>MAX(AO7,PortfolioFrontier[[#This Row],[P10 Growth]])</f>
        <v>1.0572782218237637</v>
      </c>
      <c r="AP8" s="27">
        <f>PortfolioFrontier[[#This Row],[P10 Growth]]/PortfolioFrontier[[#This Row],[P10 HWM]]-1</f>
        <v>-1.1517629581389577E-2</v>
      </c>
      <c r="AQ8" s="28">
        <f>SUMPRODUCT(INDEX(PortfolioRef[[SPY]:[PE]],MATCH(AQ$1,PortfolioRef[Reference '#]),0),AssetMonthlyReturns[[#This Row],[SPY]:[PE]])</f>
        <v>-5.2255524702787383E-3</v>
      </c>
      <c r="AR8" s="27">
        <f>IF(ISNUMBER(AR7),AR7*(1+PortfolioFrontier[[#This Row],[P11 Return]]),1+PortfolioFrontier[[#This Row],[P11 Return]])</f>
        <v>1.0476424998411042</v>
      </c>
      <c r="AS8" s="27">
        <f>MAX(AS7,PortfolioFrontier[[#This Row],[P11 Growth]])</f>
        <v>1.0618236120311197</v>
      </c>
      <c r="AT8" s="27">
        <f>PortfolioFrontier[[#This Row],[P11 Growth]]/PortfolioFrontier[[#This Row],[P11 HWM]]-1</f>
        <v>-1.3355431193406098E-2</v>
      </c>
      <c r="AU8" s="28">
        <f>SUMPRODUCT(INDEX(PortfolioRef[[SPY]:[PE]],MATCH(AU$1,PortfolioRef[Reference '#]),0),AssetMonthlyReturns[[#This Row],[SPY]:[PE]])</f>
        <v>-4.1418049980979426E-3</v>
      </c>
      <c r="AV8" s="27">
        <f>IF(ISNUMBER(AV7),AV7*(1+PortfolioFrontier[[#This Row],[P12 Return]]),1+PortfolioFrontier[[#This Row],[P12 Return]])</f>
        <v>1.0470646856696058</v>
      </c>
      <c r="AW8" s="27">
        <f>MAX(AW7,PortfolioFrontier[[#This Row],[P12 Growth]])</f>
        <v>1.0569398986882623</v>
      </c>
      <c r="AX8" s="27">
        <f>PortfolioFrontier[[#This Row],[P12 Growth]]/PortfolioFrontier[[#This Row],[P12 HWM]]-1</f>
        <v>-9.3432115022930029E-3</v>
      </c>
      <c r="AY8" s="28">
        <f>SUMPRODUCT(INDEX(PortfolioRef[[SPY]:[PE]],MATCH(AY$1,PortfolioRef[Reference '#]),0),AssetMonthlyReturns[[#This Row],[SPY]:[PE]])</f>
        <v>-6.8233810841676346E-3</v>
      </c>
      <c r="AZ8" s="27">
        <f>IF(ISNUMBER(AZ7),AZ7*(1+PortfolioFrontier[[#This Row],[P13 Return]]),1+PortfolioFrontier[[#This Row],[P13 Return]])</f>
        <v>1.0501643468818187</v>
      </c>
      <c r="BA8" s="27">
        <f>MAX(BA7,PortfolioFrontier[[#This Row],[P13 Growth]])</f>
        <v>1.0663650133817999</v>
      </c>
      <c r="BB8" s="27">
        <f>PortfolioFrontier[[#This Row],[P13 Growth]]/PortfolioFrontier[[#This Row],[P13 HWM]]-1</f>
        <v>-1.519242125977438E-2</v>
      </c>
      <c r="BC8" s="28">
        <f>SUMPRODUCT(INDEX(PortfolioRef[[SPY]:[PE]],MATCH(BC$1,PortfolioRef[Reference '#]),0),AssetMonthlyReturns[[#This Row],[SPY]:[PE]])</f>
        <v>-5.7396336119868389E-3</v>
      </c>
      <c r="BD8" s="27">
        <f>IF(ISNUMBER(BD7),BD7*(1+PortfolioFrontier[[#This Row],[P14 Return]]),1+PortfolioFrontier[[#This Row],[P14 Return]])</f>
        <v>1.0495891470189571</v>
      </c>
      <c r="BE8" s="27">
        <f>MAX(BE7,PortfolioFrontier[[#This Row],[P14 Growth]])</f>
        <v>1.0614617985501424</v>
      </c>
      <c r="BF8" s="27">
        <f>PortfolioFrontier[[#This Row],[P14 Growth]]/PortfolioFrontier[[#This Row],[P14 HWM]]-1</f>
        <v>-1.1185189657698769E-2</v>
      </c>
      <c r="BG8" s="28">
        <f>SUMPRODUCT(INDEX(PortfolioRef[[SPY]:[PE]],MATCH(BG$1,PortfolioRef[Reference '#]),0),AssetMonthlyReturns[[#This Row],[SPY]:[PE]])</f>
        <v>-4.6558861398060432E-3</v>
      </c>
      <c r="BH8" s="27">
        <f>IF(ISNUMBER(BH7),BH7*(1+PortfolioFrontier[[#This Row],[P15 Return]]),1+PortfolioFrontier[[#This Row],[P15 Return]])</f>
        <v>1.0489935117782294</v>
      </c>
      <c r="BI8" s="27">
        <f>MAX(BI7,PortfolioFrontier[[#This Row],[P15 Growth]])</f>
        <v>1.0565707777140345</v>
      </c>
      <c r="BJ8" s="27">
        <f>PortfolioFrontier[[#This Row],[P15 Growth]]/PortfolioFrontier[[#This Row],[P15 HWM]]-1</f>
        <v>-7.1715649302728224E-3</v>
      </c>
      <c r="BK8" s="28">
        <f>SUMPRODUCT(INDEX(PortfolioRef[[SPY]:[PE]],MATCH(BK$1,PortfolioRef[Reference '#]),0),AssetMonthlyReturns[[#This Row],[SPY]:[PE]])</f>
        <v>-3.9934725933640676E-3</v>
      </c>
      <c r="BL8" s="27">
        <f>IF(ISNUMBER(BL7),BL7*(1+PortfolioFrontier[[#This Row],[P16 Return]]),1+PortfolioFrontier[[#This Row],[P16 Return]])</f>
        <v>1.0438968113674139</v>
      </c>
      <c r="BM8" s="27">
        <f>MAX(BM7,PortfolioFrontier[[#This Row],[P16 Growth]])</f>
        <v>1.0533890222033107</v>
      </c>
      <c r="BN8" s="27">
        <f>PortfolioFrontier[[#This Row],[P16 Growth]]/PortfolioFrontier[[#This Row],[P16 HWM]]-1</f>
        <v>-9.0111161553995123E-3</v>
      </c>
      <c r="BO8" s="28">
        <f>SUMPRODUCT(INDEX(PortfolioRef[[SPY]:[PE]],MATCH(BO$1,PortfolioRef[Reference '#]),0),AssetMonthlyReturns[[#This Row],[SPY]:[PE]])</f>
        <v>-3.6738799933050629E-3</v>
      </c>
      <c r="BP8" s="27">
        <f>IF(ISNUMBER(BP7),BP7*(1+PortfolioFrontier[[#This Row],[P17 Return]]),1+PortfolioFrontier[[#This Row],[P17 Return]])</f>
        <v>1.0437434214402597</v>
      </c>
      <c r="BQ8" s="27">
        <f>MAX(BQ7,PortfolioFrontier[[#This Row],[P17 Growth]])</f>
        <v>1.0545105093957718</v>
      </c>
      <c r="BR8" s="27">
        <f>PortfolioFrontier[[#This Row],[P17 Growth]]/PortfolioFrontier[[#This Row],[P17 HWM]]-1</f>
        <v>-1.0210507965142668E-2</v>
      </c>
      <c r="BS8" s="28">
        <f>SUMPRODUCT(INDEX(PortfolioRef[[SPY]:[PE]],MATCH(BS$1,PortfolioRef[Reference '#]),0),AssetMonthlyReturns[[#This Row],[SPY]:[PE]])</f>
        <v>-5.2717086071939591E-3</v>
      </c>
      <c r="BT8" s="27">
        <f>IF(ISNUMBER(BT7),BT7*(1+PortfolioFrontier[[#This Row],[P18 Return]]),1+PortfolioFrontier[[#This Row],[P18 Return]])</f>
        <v>1.0462724859380657</v>
      </c>
      <c r="BU8" s="27">
        <f>MAX(BU7,PortfolioFrontier[[#This Row],[P18 Growth]])</f>
        <v>1.0590343449448867</v>
      </c>
      <c r="BV8" s="27">
        <f>PortfolioFrontier[[#This Row],[P18 Growth]]/PortfolioFrontier[[#This Row],[P18 HWM]]-1</f>
        <v>-1.2050467548798127E-2</v>
      </c>
      <c r="BW8" s="28">
        <f>SUMPRODUCT(INDEX(PortfolioRef[[SPY]:[PE]],MATCH(BW$1,PortfolioRef[Reference '#]),0),AssetMonthlyReturns[[#This Row],[SPY]:[PE]])</f>
        <v>-4.1879611350131634E-3</v>
      </c>
      <c r="BX8" s="27">
        <f>IF(ISNUMBER(BX7),BX7*(1+PortfolioFrontier[[#This Row],[P19 Return]]),1+PortfolioFrontier[[#This Row],[P19 Return]])</f>
        <v>1.0456846813132938</v>
      </c>
      <c r="BY8" s="27">
        <f>MAX(BY7,PortfolioFrontier[[#This Row],[P19 Growth]])</f>
        <v>1.0541568475269176</v>
      </c>
      <c r="BZ8" s="27">
        <f>PortfolioFrontier[[#This Row],[P19 Growth]]/PortfolioFrontier[[#This Row],[P19 HWM]]-1</f>
        <v>-8.0369123755157368E-3</v>
      </c>
      <c r="CA8" s="28">
        <f>SUMPRODUCT(INDEX(PortfolioRef[[SPY]:[PE]],MATCH(CA$1,PortfolioRef[Reference '#]),0),AssetMonthlyReturns[[#This Row],[SPY]:[PE]])</f>
        <v>-3.3542873932460586E-3</v>
      </c>
      <c r="CB8" s="27">
        <f>IF(ISNUMBER(CB7),CB7*(1+PortfolioFrontier[[#This Row],[P20 Return]]),1+PortfolioFrontier[[#This Row],[P20 Return]])</f>
        <v>1.0435647054878394</v>
      </c>
      <c r="CC8" s="27">
        <f>MAX(CC7,PortfolioFrontier[[#This Row],[P20 Growth]])</f>
        <v>1.0556101389686692</v>
      </c>
      <c r="CD8" s="27">
        <f>PortfolioFrontier[[#This Row],[P20 Growth]]/PortfolioFrontier[[#This Row],[P20 HWM]]-1</f>
        <v>-1.141087323450507E-2</v>
      </c>
      <c r="CE8" s="28">
        <f>SUMPRODUCT(INDEX(PortfolioRef[[SPY]:[PE]],MATCH(CE$1,PortfolioRef[Reference '#]),0),AssetMonthlyReturns[[#This Row],[SPY]:[PE]])</f>
        <v>-4.9521160071349553E-3</v>
      </c>
      <c r="CF8" s="27">
        <f>IF(ISNUMBER(CF7),CF7*(1+PortfolioFrontier[[#This Row],[P21 Return]]),1+PortfolioFrontier[[#This Row],[P21 Return]])</f>
        <v>1.0461110981959312</v>
      </c>
      <c r="CG8" s="27">
        <f>MAX(CG7,PortfolioFrontier[[#This Row],[P21 Growth]])</f>
        <v>1.0601565617687558</v>
      </c>
      <c r="CH8" s="27">
        <f>PortfolioFrontier[[#This Row],[P21 Growth]]/PortfolioFrontier[[#This Row],[P21 HWM]]-1</f>
        <v>-1.3248480535168583E-2</v>
      </c>
      <c r="CI8" s="28">
        <f>SUMPRODUCT(INDEX(PortfolioRef[[SPY]:[PE]],MATCH(CI$1,PortfolioRef[Reference '#]),0),AssetMonthlyReturns[[#This Row],[SPY]:[PE]])</f>
        <v>-3.8683685349541592E-3</v>
      </c>
      <c r="CJ8" s="27">
        <f>IF(ISNUMBER(CJ7),CJ7*(1+PortfolioFrontier[[#This Row],[P22 Return]]),1+PortfolioFrontier[[#This Row],[P22 Return]])</f>
        <v>1.0455351784131555</v>
      </c>
      <c r="CK8" s="27">
        <f>MAX(CK7,PortfolioFrontier[[#This Row],[P22 Growth]])</f>
        <v>1.0552813700947876</v>
      </c>
      <c r="CL8" s="27">
        <f>PortfolioFrontier[[#This Row],[P22 Growth]]/PortfolioFrontier[[#This Row],[P22 HWM]]-1</f>
        <v>-9.235633223352302E-3</v>
      </c>
      <c r="CM8" s="28">
        <f>SUMPRODUCT(INDEX(PortfolioRef[[SPY]:[PE]],MATCH(CM$1,PortfolioRef[Reference '#]),0),AssetMonthlyReturns[[#This Row],[SPY]:[PE]])</f>
        <v>-6.5499446210238515E-3</v>
      </c>
      <c r="CN8" s="27">
        <f>IF(ISNUMBER(CN7),CN7*(1+PortfolioFrontier[[#This Row],[P23 Return]]),1+PortfolioFrontier[[#This Row],[P23 Return]])</f>
        <v>1.0486377575260213</v>
      </c>
      <c r="CO8" s="27">
        <f>MAX(CO7,PortfolioFrontier[[#This Row],[P23 Growth]])</f>
        <v>1.0646990366599287</v>
      </c>
      <c r="CP8" s="27">
        <f>PortfolioFrontier[[#This Row],[P23 Growth]]/PortfolioFrontier[[#This Row],[P23 HWM]]-1</f>
        <v>-1.5085276290183636E-2</v>
      </c>
      <c r="CQ8" s="28">
        <f>SUMPRODUCT(INDEX(PortfolioRef[[SPY]:[PE]],MATCH(CQ$1,PortfolioRef[Reference '#]),0),AssetMonthlyReturns[[#This Row],[SPY]:[PE]])</f>
        <v>-5.466197148843055E-3</v>
      </c>
      <c r="CR8" s="27">
        <f>IF(ISNUMBER(CR7),CR7*(1+PortfolioFrontier[[#This Row],[P24 Return]]),1+PortfolioFrontier[[#This Row],[P24 Return]])</f>
        <v>1.0480644660397591</v>
      </c>
      <c r="CS8" s="27">
        <f>MAX(CS7,PortfolioFrontier[[#This Row],[P24 Growth]])</f>
        <v>1.0598043609559225</v>
      </c>
      <c r="CT8" s="27">
        <f>PortfolioFrontier[[#This Row],[P24 Growth]]/PortfolioFrontier[[#This Row],[P24 HWM]]-1</f>
        <v>-1.1077417067404949E-2</v>
      </c>
      <c r="CU8" s="28">
        <f>SUMPRODUCT(INDEX(PortfolioRef[[SPY]:[PE]],MATCH(CU$1,PortfolioRef[Reference '#]),0),AssetMonthlyReturns[[#This Row],[SPY]:[PE]])</f>
        <v>-4.3824496766622593E-3</v>
      </c>
      <c r="CV8" s="27">
        <f>IF(ISNUMBER(CV7),CV7*(1+PortfolioFrontier[[#This Row],[P25 Return]]),1+PortfolioFrontier[[#This Row],[P25 Return]])</f>
        <v>1.0474707791809794</v>
      </c>
      <c r="CW8" s="27">
        <f>MAX(CW7,PortfolioFrontier[[#This Row],[P25 Growth]])</f>
        <v>1.0549218660871187</v>
      </c>
      <c r="CX8" s="27">
        <f>PortfolioFrontier[[#This Row],[P25 Growth]]/PortfolioFrontier[[#This Row],[P25 HWM]]-1</f>
        <v>-7.0631647192759273E-3</v>
      </c>
      <c r="CY8" s="28">
        <f>SUMPRODUCT(INDEX(PortfolioRef[[SPY]:[PE]],MATCH(CY$1,PortfolioRef[Reference '#]),0),AssetMonthlyReturns[[#This Row],[SPY]:[PE]])</f>
        <v>-4.6325234070759506E-3</v>
      </c>
      <c r="CZ8" s="27">
        <f>IF(ISNUMBER(CZ7),CZ7*(1+PortfolioFrontier[[#This Row],[P26 Return]]),1+PortfolioFrontier[[#This Row],[P26 Return]])</f>
        <v>1.0459243935898928</v>
      </c>
      <c r="DA8" s="27">
        <f>MAX(DA7,PortfolioFrontier[[#This Row],[P26 Growth]])</f>
        <v>1.0612568671363731</v>
      </c>
      <c r="DB8" s="27">
        <f>PortfolioFrontier[[#This Row],[P26 Growth]]/PortfolioFrontier[[#This Row],[P26 HWM]]-1</f>
        <v>-1.4447466981158397E-2</v>
      </c>
      <c r="DC8" s="28">
        <f>SUMPRODUCT(INDEX(PortfolioRef[[SPY]:[PE]],MATCH(DC$1,PortfolioRef[Reference '#]),0),AssetMonthlyReturns[[#This Row],[SPY]:[PE]])</f>
        <v>-3.5487759348951549E-3</v>
      </c>
      <c r="DD8" s="27">
        <f>IF(ISNUMBER(DD7),DD7*(1+PortfolioFrontier[[#This Row],[P27 Return]]),1+PortfolioFrontier[[#This Row],[P27 Return]])</f>
        <v>1.0453602913464075</v>
      </c>
      <c r="DE8" s="27">
        <f>MAX(DE7,PortfolioFrontier[[#This Row],[P27 Growth]])</f>
        <v>1.0563840044309512</v>
      </c>
      <c r="DF8" s="27">
        <f>PortfolioFrontier[[#This Row],[P27 Growth]]/PortfolioFrontier[[#This Row],[P27 HWM]]-1</f>
        <v>-1.0435327530808114E-2</v>
      </c>
      <c r="DG8" s="28">
        <f>SUMPRODUCT(INDEX(PortfolioRef[[SPY]:[PE]],MATCH(DG$1,PortfolioRef[Reference '#]),0),AssetMonthlyReturns[[#This Row],[SPY]:[PE]])</f>
        <v>-6.2303520209648477E-3</v>
      </c>
      <c r="DH8" s="27">
        <f>IF(ISNUMBER(DH7),DH7*(1+PortfolioFrontier[[#This Row],[P28 Return]]),1+PortfolioFrontier[[#This Row],[P28 Return]])</f>
        <v>1.0484683575013312</v>
      </c>
      <c r="DI8" s="27">
        <f>MAX(DI7,PortfolioFrontier[[#This Row],[P28 Growth]])</f>
        <v>1.0658219754648834</v>
      </c>
      <c r="DJ8" s="27">
        <f>PortfolioFrontier[[#This Row],[P28 Growth]]/PortfolioFrontier[[#This Row],[P28 HWM]]-1</f>
        <v>-1.6281910453181503E-2</v>
      </c>
      <c r="DK8" s="28">
        <f>SUMPRODUCT(INDEX(PortfolioRef[[SPY]:[PE]],MATCH(DK$1,PortfolioRef[Reference '#]),0),AssetMonthlyReturns[[#This Row],[SPY]:[PE]])</f>
        <v>-5.1466045487840511E-3</v>
      </c>
      <c r="DL8" s="27">
        <f>IF(ISNUMBER(DL7),DL7*(1+PortfolioFrontier[[#This Row],[P29 Return]]),1+PortfolioFrontier[[#This Row],[P29 Return]])</f>
        <v>1.0479069601615087</v>
      </c>
      <c r="DM8" s="27">
        <f>MAX(DM7,PortfolioFrontier[[#This Row],[P29 Growth]])</f>
        <v>1.0609296156065076</v>
      </c>
      <c r="DN8" s="27">
        <f>PortfolioFrontier[[#This Row],[P29 Growth]]/PortfolioFrontier[[#This Row],[P29 HWM]]-1</f>
        <v>-1.2274759091868814E-2</v>
      </c>
      <c r="DO8" s="28">
        <f>SUMPRODUCT(INDEX(PortfolioRef[[SPY]:[PE]],MATCH(DO$1,PortfolioRef[Reference '#]),0),AssetMonthlyReturns[[#This Row],[SPY]:[PE]])</f>
        <v>-4.0628570766032554E-3</v>
      </c>
      <c r="DP8" s="27">
        <f>IF(ISNUMBER(DP7),DP7*(1+PortfolioFrontier[[#This Row],[P30 Return]]),1+PortfolioFrontier[[#This Row],[P30 Return]])</f>
        <v>1.0473251823930776</v>
      </c>
      <c r="DQ8" s="27">
        <f>MAX(DQ7,PortfolioFrontier[[#This Row],[P30 Growth]])</f>
        <v>1.0560494333960684</v>
      </c>
      <c r="DR8" s="27">
        <f>PortfolioFrontier[[#This Row],[P30 Growth]]/PortfolioFrontier[[#This Row],[P30 HWM]]-1</f>
        <v>-8.2612146052056801E-3</v>
      </c>
      <c r="DS8" s="28">
        <f>SUMPRODUCT(INDEX(PortfolioRef[[SPY]:[PE]],MATCH(DS$1,PortfolioRef[Reference '#]),0),AssetMonthlyReturns[[#This Row],[SPY]:[PE]])</f>
        <v>-7.828180634853743E-3</v>
      </c>
      <c r="DT8" s="27">
        <f>IF(ISNUMBER(DT7),DT7*(1+PortfolioFrontier[[#This Row],[P31 Return]]),1+PortfolioFrontier[[#This Row],[P31 Return]])</f>
        <v>1.0509925577705781</v>
      </c>
      <c r="DU8" s="27">
        <f>MAX(DU7,PortfolioFrontier[[#This Row],[P31 Growth]])</f>
        <v>1.0703831287009218</v>
      </c>
      <c r="DV8" s="27">
        <f>PortfolioFrontier[[#This Row],[P31 Growth]]/PortfolioFrontier[[#This Row],[P31 HWM]]-1</f>
        <v>-1.8115542379556371E-2</v>
      </c>
      <c r="DW8" s="28">
        <f>SUMPRODUCT(INDEX(PortfolioRef[[SPY]:[PE]],MATCH(DW$1,PortfolioRef[Reference '#]),0),AssetMonthlyReturns[[#This Row],[SPY]:[PE]])</f>
        <v>-6.7444331626729474E-3</v>
      </c>
      <c r="DX8" s="27">
        <f>IF(ISNUMBER(DX7),DX7*(1+PortfolioFrontier[[#This Row],[P32 Return]]),1+PortfolioFrontier[[#This Row],[P32 Return]])</f>
        <v>1.0504338468029923</v>
      </c>
      <c r="DY8" s="27">
        <f>MAX(DY7,PortfolioFrontier[[#This Row],[P32 Growth]])</f>
        <v>1.0654712464317915</v>
      </c>
      <c r="DZ8" s="27">
        <f>PortfolioFrontier[[#This Row],[P32 Growth]]/PortfolioFrontier[[#This Row],[P32 HWM]]-1</f>
        <v>-1.4113379107281054E-2</v>
      </c>
      <c r="EA8" s="28">
        <f>SUMPRODUCT(INDEX(PortfolioRef[[SPY]:[PE]],MATCH(EA$1,PortfolioRef[Reference '#]),0),AssetMonthlyReturns[[#This Row],[SPY]:[PE]])</f>
        <v>-5.6606856904921517E-3</v>
      </c>
      <c r="EB8" s="27">
        <f>IF(ISNUMBER(EB7),EB7*(1+PortfolioFrontier[[#This Row],[P33 Return]]),1+PortfolioFrontier[[#This Row],[P33 Return]])</f>
        <v>1.0498546794809318</v>
      </c>
      <c r="EC8" s="27">
        <f>MAX(EC7,PortfolioFrontier[[#This Row],[P33 Growth]])</f>
        <v>1.0605715671377605</v>
      </c>
      <c r="ED8" s="27">
        <f>PortfolioFrontier[[#This Row],[P33 Growth]]/PortfolioFrontier[[#This Row],[P33 HWM]]-1</f>
        <v>-1.0104822709655625E-2</v>
      </c>
      <c r="EE8" s="28">
        <f>SUMPRODUCT(INDEX(PortfolioRef[[SPY]:[PE]],MATCH(EE$1,PortfolioRef[Reference '#]),0),AssetMonthlyReturns[[#This Row],[SPY]:[PE]])</f>
        <v>-3.7200361302202837E-3</v>
      </c>
      <c r="EF8" s="27">
        <f>IF(ISNUMBER(EF7),EF7*(1+PortfolioFrontier[[#This Row],[P34 Return]]),1+PortfolioFrontier[[#This Row],[P34 Return]])</f>
        <v>1.0423681100196123</v>
      </c>
      <c r="EG8" s="27">
        <f>MAX(EG7,PortfolioFrontier[[#This Row],[P34 Growth]])</f>
        <v>1.0517322201467738</v>
      </c>
      <c r="EH8" s="27">
        <f>PortfolioFrontier[[#This Row],[P34 Growth]]/PortfolioFrontier[[#This Row],[P34 HWM]]-1</f>
        <v>-8.9035116998267272E-3</v>
      </c>
      <c r="EI8" s="28">
        <f>SUMPRODUCT(INDEX(PortfolioRef[[SPY]:[PE]],MATCH(EI$1,PortfolioRef[Reference '#]),0),AssetMonthlyReturns[[#This Row],[SPY]:[PE]])</f>
        <v>-3.400443530161279E-3</v>
      </c>
      <c r="EJ8" s="27">
        <f>IF(ISNUMBER(EJ7),EJ7*(1+PortfolioFrontier[[#This Row],[P35 Return]]),1+PortfolioFrontier[[#This Row],[P35 Return]])</f>
        <v>1.0422095089211798</v>
      </c>
      <c r="EK8" s="27">
        <f>MAX(EK7,PortfolioFrontier[[#This Row],[P35 Growth]])</f>
        <v>1.0528468126652037</v>
      </c>
      <c r="EL8" s="27">
        <f>PortfolioFrontier[[#This Row],[P35 Growth]]/PortfolioFrontier[[#This Row],[P35 HWM]]-1</f>
        <v>-1.0103372699677315E-2</v>
      </c>
      <c r="EM8" s="28">
        <f>SUMPRODUCT(INDEX(PortfolioRef[[SPY]:[PE]],MATCH(EM$1,PortfolioRef[Reference '#]),0),AssetMonthlyReturns[[#This Row],[SPY]:[PE]])</f>
        <v>-4.9982721440501752E-3</v>
      </c>
      <c r="EN8" s="27">
        <f>IF(ISNUMBER(EN7),EN7*(1+PortfolioFrontier[[#This Row],[P36 Return]]),1+PortfolioFrontier[[#This Row],[P36 Return]])</f>
        <v>1.0447433625187017</v>
      </c>
      <c r="EO8" s="27">
        <f>MAX(EO7,PortfolioFrontier[[#This Row],[P36 Growth]])</f>
        <v>1.0573716986027815</v>
      </c>
      <c r="EP8" s="27">
        <f>PortfolioFrontier[[#This Row],[P36 Growth]]/PortfolioFrontier[[#This Row],[P36 HWM]]-1</f>
        <v>-1.1943137971979878E-2</v>
      </c>
      <c r="EQ8" s="28">
        <f>SUMPRODUCT(INDEX(PortfolioRef[[SPY]:[PE]],MATCH(EQ$1,PortfolioRef[Reference '#]),0),AssetMonthlyReturns[[#This Row],[SPY]:[PE]])</f>
        <v>-3.9145246718693795E-3</v>
      </c>
      <c r="ER8" s="27">
        <f>IF(ISNUMBER(ER7),ER7*(1+PortfolioFrontier[[#This Row],[P37 Return]]),1+PortfolioFrontier[[#This Row],[P37 Return]])</f>
        <v>1.0441574765354877</v>
      </c>
      <c r="ES8" s="27">
        <f>MAX(ES7,PortfolioFrontier[[#This Row],[P37 Growth]])</f>
        <v>1.0525027234544753</v>
      </c>
      <c r="ET8" s="27">
        <f>PortfolioFrontier[[#This Row],[P37 Growth]]/PortfolioFrontier[[#This Row],[P37 HWM]]-1</f>
        <v>-7.9289551779944123E-3</v>
      </c>
      <c r="EU8" s="28">
        <f>SUMPRODUCT(INDEX(PortfolioRef[[SPY]:[PE]],MATCH(EU$1,PortfolioRef[Reference '#]),0),AssetMonthlyReturns[[#This Row],[SPY]:[PE]])</f>
        <v>-3.0808509301022747E-3</v>
      </c>
      <c r="EV8" s="27">
        <f>IF(ISNUMBER(EV7),EV7*(1+PortfolioFrontier[[#This Row],[P38 Return]]),1+PortfolioFrontier[[#This Row],[P38 Return]])</f>
        <v>1.0420256268707853</v>
      </c>
      <c r="EW8" s="27">
        <f>MAX(EW7,PortfolioFrontier[[#This Row],[P38 Growth]])</f>
        <v>1.0539395781959364</v>
      </c>
      <c r="EX8" s="27">
        <f>PortfolioFrontier[[#This Row],[P38 Growth]]/PortfolioFrontier[[#This Row],[P38 HWM]]-1</f>
        <v>-1.1304207159147261E-2</v>
      </c>
      <c r="EY8" s="28">
        <f>SUMPRODUCT(INDEX(PortfolioRef[[SPY]:[PE]],MATCH(EY$1,PortfolioRef[Reference '#]),0),AssetMonthlyReturns[[#This Row],[SPY]:[PE]])</f>
        <v>-4.6786795439911714E-3</v>
      </c>
      <c r="EZ8" s="27">
        <f>IF(ISNUMBER(EZ7),EZ7*(1+PortfolioFrontier[[#This Row],[P39 Return]]),1+PortfolioFrontier[[#This Row],[P39 Return]])</f>
        <v>1.044576776051944</v>
      </c>
      <c r="FA8" s="27">
        <f>MAX(FA7,PortfolioFrontier[[#This Row],[P39 Growth]])</f>
        <v>1.0584870102730288</v>
      </c>
      <c r="FB8" s="27">
        <f>PortfolioFrontier[[#This Row],[P39 Growth]]/PortfolioFrontier[[#This Row],[P39 HWM]]-1</f>
        <v>-1.3141620148457767E-2</v>
      </c>
      <c r="FC8" s="28">
        <f>SUMPRODUCT(INDEX(PortfolioRef[[SPY]:[PE]],MATCH(FC$1,PortfolioRef[Reference '#]),0),AssetMonthlyReturns[[#This Row],[SPY]:[PE]])</f>
        <v>-3.5949320718103753E-3</v>
      </c>
      <c r="FD8" s="27">
        <f>IF(ISNUMBER(FD7),FD7*(1+PortfolioFrontier[[#This Row],[P40 Return]]),1+PortfolioFrontier[[#This Row],[P40 Return]])</f>
        <v>1.0440027372457297</v>
      </c>
      <c r="FE8" s="27">
        <f>MAX(FE7,PortfolioFrontier[[#This Row],[P40 Growth]])</f>
        <v>1.0536203366814236</v>
      </c>
      <c r="FF8" s="27">
        <f>PortfolioFrontier[[#This Row],[P40 Growth]]/PortfolioFrontier[[#This Row],[P40 HWM]]-1</f>
        <v>-9.1281452159384102E-3</v>
      </c>
      <c r="FG8" s="28">
        <f>SUMPRODUCT(INDEX(PortfolioRef[[SPY]:[PE]],MATCH(FG$1,PortfolioRef[Reference '#]),0),AssetMonthlyReturns[[#This Row],[SPY]:[PE]])</f>
        <v>-6.2765081578800676E-3</v>
      </c>
      <c r="FH8" s="27">
        <f>IF(ISNUMBER(FH7),FH7*(1+PortfolioFrontier[[#This Row],[P41 Return]]),1+PortfolioFrontier[[#This Row],[P41 Return]])</f>
        <v>1.0471082284707223</v>
      </c>
      <c r="FI8" s="27">
        <f>MAX(FI7,PortfolioFrontier[[#This Row],[P41 Growth]])</f>
        <v>1.0630305353889682</v>
      </c>
      <c r="FJ8" s="27">
        <f>PortfolioFrontier[[#This Row],[P41 Growth]]/PortfolioFrontier[[#This Row],[P41 HWM]]-1</f>
        <v>-1.4978221592120033E-2</v>
      </c>
      <c r="FK8" s="28">
        <f>SUMPRODUCT(INDEX(PortfolioRef[[SPY]:[PE]],MATCH(FK$1,PortfolioRef[Reference '#]),0),AssetMonthlyReturns[[#This Row],[SPY]:[PE]])</f>
        <v>-5.1927606856992711E-3</v>
      </c>
      <c r="FL8" s="27">
        <f>IF(ISNUMBER(FL7),FL7*(1+PortfolioFrontier[[#This Row],[P42 Return]]),1+PortfolioFrontier[[#This Row],[P42 Return]])</f>
        <v>1.0465368318846997</v>
      </c>
      <c r="FM8" s="27">
        <f>MAX(FM7,PortfolioFrontier[[#This Row],[P42 Growth]])</f>
        <v>1.0581443952260881</v>
      </c>
      <c r="FN8" s="27">
        <f>PortfolioFrontier[[#This Row],[P42 Growth]]/PortfolioFrontier[[#This Row],[P42 HWM]]-1</f>
        <v>-1.096973474863816E-2</v>
      </c>
      <c r="FO8" s="28">
        <f>SUMPRODUCT(INDEX(PortfolioRef[[SPY]:[PE]],MATCH(FO$1,PortfolioRef[Reference '#]),0),AssetMonthlyReturns[[#This Row],[SPY]:[PE]])</f>
        <v>-4.1090132135184754E-3</v>
      </c>
      <c r="FP8" s="27">
        <f>IF(ISNUMBER(FP7),FP7*(1+PortfolioFrontier[[#This Row],[P43 Return]]),1+PortfolioFrontier[[#This Row],[P43 Return]])</f>
        <v>1.0459450799040557</v>
      </c>
      <c r="FQ8" s="27">
        <f>MAX(FQ7,PortfolioFrontier[[#This Row],[P43 Growth]])</f>
        <v>1.0532704227380636</v>
      </c>
      <c r="FR8" s="27">
        <f>PortfolioFrontier[[#This Row],[P43 Growth]]/PortfolioFrontier[[#This Row],[P43 HWM]]-1</f>
        <v>-6.9548547798057303E-3</v>
      </c>
      <c r="FS8" s="28">
        <f>SUMPRODUCT(INDEX(PortfolioRef[[SPY]:[PE]],MATCH(FS$1,PortfolioRef[Reference '#]),0),AssetMonthlyReturns[[#This Row],[SPY]:[PE]])</f>
        <v>-4.3590869439321667E-3</v>
      </c>
      <c r="FT8" s="27">
        <f>IF(ISNUMBER(FT7),FT7*(1+PortfolioFrontier[[#This Row],[P44 Return]]),1+PortfolioFrontier[[#This Row],[P44 Return]])</f>
        <v>1.0443849177129718</v>
      </c>
      <c r="FU8" s="27">
        <f>MAX(FU7,PortfolioFrontier[[#This Row],[P44 Growth]])</f>
        <v>1.0595804411188903</v>
      </c>
      <c r="FV8" s="27">
        <f>PortfolioFrontier[[#This Row],[P44 Growth]]/PortfolioFrontier[[#This Row],[P44 HWM]]-1</f>
        <v>-1.4341075784555235E-2</v>
      </c>
      <c r="FW8" s="28">
        <f>SUMPRODUCT(INDEX(PortfolioRef[[SPY]:[PE]],MATCH(FW$1,PortfolioRef[Reference '#]),0),AssetMonthlyReturns[[#This Row],[SPY]:[PE]])</f>
        <v>-3.275339471751371E-3</v>
      </c>
      <c r="FX8" s="27">
        <f>IF(ISNUMBER(FX7),FX7*(1+PortfolioFrontier[[#This Row],[P45 Return]]),1+PortfolioFrontier[[#This Row],[P45 Return]])</f>
        <v>1.0438226589020714</v>
      </c>
      <c r="FY8" s="27">
        <f>MAX(FY7,PortfolioFrontier[[#This Row],[P45 Growth]])</f>
        <v>1.0547160923085321</v>
      </c>
      <c r="FZ8" s="27">
        <f>PortfolioFrontier[[#This Row],[P45 Growth]]/PortfolioFrontier[[#This Row],[P45 HWM]]-1</f>
        <v>-1.0328308713501766E-2</v>
      </c>
      <c r="GA8" s="28">
        <f>SUMPRODUCT(INDEX(PortfolioRef[[SPY]:[PE]],MATCH(GA$1,PortfolioRef[Reference '#]),0),AssetMonthlyReturns[[#This Row],[SPY]:[PE]])</f>
        <v>-5.9569155578210638E-3</v>
      </c>
      <c r="GB8" s="27">
        <f>IF(ISNUMBER(GB7),GB7*(1+PortfolioFrontier[[#This Row],[P46 Return]]),1+PortfolioFrontier[[#This Row],[P46 Return]])</f>
        <v>1.0469336421866466</v>
      </c>
      <c r="GC8" s="27">
        <f>MAX(GC7,PortfolioFrontier[[#This Row],[P46 Growth]])</f>
        <v>1.0641465585607095</v>
      </c>
      <c r="GD8" s="27">
        <f>PortfolioFrontier[[#This Row],[P46 Growth]]/PortfolioFrontier[[#This Row],[P46 HWM]]-1</f>
        <v>-1.6175324945225444E-2</v>
      </c>
      <c r="GE8" s="28">
        <f>SUMPRODUCT(INDEX(PortfolioRef[[SPY]:[PE]],MATCH(GE$1,PortfolioRef[Reference '#]),0),AssetMonthlyReturns[[#This Row],[SPY]:[PE]])</f>
        <v>-4.8731680856402672E-3</v>
      </c>
      <c r="GF8" s="27">
        <f>IF(ISNUMBER(GF7),GF7*(1+PortfolioFrontier[[#This Row],[P47 Return]]),1+PortfolioFrontier[[#This Row],[P47 Return]])</f>
        <v>1.0463741021010871</v>
      </c>
      <c r="GG8" s="27">
        <f>MAX(GG7,PortfolioFrontier[[#This Row],[P47 Growth]])</f>
        <v>1.0592627300561601</v>
      </c>
      <c r="GH8" s="27">
        <f>PortfolioFrontier[[#This Row],[P47 Growth]]/PortfolioFrontier[[#This Row],[P47 HWM]]-1</f>
        <v>-1.2167545963209458E-2</v>
      </c>
      <c r="GI8" s="28">
        <f>SUMPRODUCT(INDEX(PortfolioRef[[SPY]:[PE]],MATCH(GI$1,PortfolioRef[Reference '#]),0),AssetMonthlyReturns[[#This Row],[SPY]:[PE]])</f>
        <v>-3.7894206134594715E-3</v>
      </c>
      <c r="GJ8" s="27">
        <f>IF(ISNUMBER(GJ7),GJ7*(1+PortfolioFrontier[[#This Row],[P48 Return]]),1+PortfolioFrontier[[#This Row],[P48 Return]])</f>
        <v>1.0457942214875218</v>
      </c>
      <c r="GK8" s="27">
        <f>MAX(GK7,PortfolioFrontier[[#This Row],[P48 Growth]])</f>
        <v>1.0543910660392006</v>
      </c>
      <c r="GL8" s="27">
        <f>PortfolioFrontier[[#This Row],[P48 Growth]]/PortfolioFrontier[[#This Row],[P48 HWM]]-1</f>
        <v>-8.1533738558433599E-3</v>
      </c>
      <c r="GM8" s="28">
        <f>SUMPRODUCT(INDEX(PortfolioRef[[SPY]:[PE]],MATCH(GM$1,PortfolioRef[Reference '#]),0),AssetMonthlyReturns[[#This Row],[SPY]:[PE]])</f>
        <v>-7.5547441717099591E-3</v>
      </c>
      <c r="GN8" s="27">
        <f>IF(ISNUMBER(GN7),GN7*(1+PortfolioFrontier[[#This Row],[P49 Return]]),1+PortfolioFrontier[[#This Row],[P49 Return]])</f>
        <v>1.0494626395194648</v>
      </c>
      <c r="GO8" s="27">
        <f>MAX(GO7,PortfolioFrontier[[#This Row],[P49 Growth]])</f>
        <v>1.0687087618578179</v>
      </c>
      <c r="GP8" s="27">
        <f>PortfolioFrontier[[#This Row],[P49 Growth]]/PortfolioFrontier[[#This Row],[P49 HWM]]-1</f>
        <v>-1.8008762560247082E-2</v>
      </c>
      <c r="GQ8" s="28">
        <f>SUMPRODUCT(INDEX(PortfolioRef[[SPY]:[PE]],MATCH(GQ$1,PortfolioRef[Reference '#]),0),AssetMonthlyReturns[[#This Row],[SPY]:[PE]])</f>
        <v>-6.4709966995291635E-3</v>
      </c>
      <c r="GR8" s="27">
        <f>IF(ISNUMBER(GR7),GR7*(1+PortfolioFrontier[[#This Row],[P50 Return]]),1+PortfolioFrontier[[#This Row],[P50 Return]])</f>
        <v>1.0489057997116022</v>
      </c>
      <c r="GS8" s="27">
        <f>MAX(GS7,PortfolioFrontier[[#This Row],[P50 Growth]])</f>
        <v>1.063805428401277</v>
      </c>
      <c r="GT8" s="27">
        <f>PortfolioFrontier[[#This Row],[P50 Growth]]/PortfolioFrontier[[#This Row],[P50 HWM]]-1</f>
        <v>-1.400597166726858E-2</v>
      </c>
      <c r="GU8" s="28">
        <f>SUMPRODUCT(INDEX(PortfolioRef[[SPY]:[PE]],MATCH(GU$1,PortfolioRef[Reference '#]),0),AssetMonthlyReturns[[#This Row],[SPY]:[PE]])</f>
        <v>-5.3872492273483669E-3</v>
      </c>
      <c r="GV8" s="27">
        <f>IF(ISNUMBER(GV7),GV7*(1+PortfolioFrontier[[#This Row],[P51 Return]]),1+PortfolioFrontier[[#This Row],[P51 Return]])</f>
        <v>1.0483285435163183</v>
      </c>
      <c r="GW8" s="27">
        <f>MAX(GW7,PortfolioFrontier[[#This Row],[P51 Growth]])</f>
        <v>1.0589142847594883</v>
      </c>
      <c r="GX8" s="27">
        <f>PortfolioFrontier[[#This Row],[P51 Growth]]/PortfolioFrontier[[#This Row],[P51 HWM]]-1</f>
        <v>-9.9967876489401863E-3</v>
      </c>
      <c r="GY8" s="28">
        <f>SUMPRODUCT(INDEX(PortfolioRef[[SPY]:[PE]],MATCH(GY$1,PortfolioRef[Reference '#]),0),AssetMonthlyReturns[[#This Row],[SPY]:[PE]])</f>
        <v>-5.6373229577620591E-3</v>
      </c>
      <c r="GZ8" s="27">
        <f>IF(ISNUMBER(GZ7),GZ7*(1+PortfolioFrontier[[#This Row],[P52 Return]]),1+PortfolioFrontier[[#This Row],[P52 Return]])</f>
        <v>1.0467337933409073</v>
      </c>
      <c r="HA8" s="27">
        <f>MAX(HA7,PortfolioFrontier[[#This Row],[P52 Growth]])</f>
        <v>1.0652406470713773</v>
      </c>
      <c r="HB8" s="27">
        <f>PortfolioFrontier[[#This Row],[P52 Growth]]/PortfolioFrontier[[#This Row],[P52 HWM]]-1</f>
        <v>-1.7373401757950324E-2</v>
      </c>
      <c r="HC8" s="28">
        <f>SUMPRODUCT(INDEX(PortfolioRef[[SPY]:[PE]],MATCH(HC$1,PortfolioRef[Reference '#]),0),AssetMonthlyReturns[[#This Row],[SPY]:[PE]])</f>
        <v>-4.5535754855812625E-3</v>
      </c>
      <c r="HD8" s="27">
        <f>IF(ISNUMBER(HD7),HD7*(1+PortfolioFrontier[[#This Row],[P53 Return]]),1+PortfolioFrontier[[#This Row],[P53 Return]])</f>
        <v>1.0461860424103016</v>
      </c>
      <c r="HE8" s="27">
        <f>MAX(HE7,PortfolioFrontier[[#This Row],[P53 Growth]])</f>
        <v>1.0603591534497043</v>
      </c>
      <c r="HF8" s="27">
        <f>PortfolioFrontier[[#This Row],[P53 Growth]]/PortfolioFrontier[[#This Row],[P53 HWM]]-1</f>
        <v>-1.3366330637400448E-2</v>
      </c>
      <c r="HG8" s="28">
        <f>SUMPRODUCT(INDEX(PortfolioRef[[SPY]:[PE]],MATCH(HG$1,PortfolioRef[Reference '#]),0),AssetMonthlyReturns[[#This Row],[SPY]:[PE]])</f>
        <v>-3.4698280134004668E-3</v>
      </c>
      <c r="HH8" s="27">
        <f>IF(ISNUMBER(HH7),HH7*(1+PortfolioFrontier[[#This Row],[P54 Return]]),1+PortfolioFrontier[[#This Row],[P54 Return]])</f>
        <v>1.0456179658537532</v>
      </c>
      <c r="HI8" s="27">
        <f>MAX(HI7,PortfolioFrontier[[#This Row],[P54 Growth]])</f>
        <v>1.0554898211283554</v>
      </c>
      <c r="HJ8" s="27">
        <f>PortfolioFrontier[[#This Row],[P54 Growth]]/PortfolioFrontier[[#This Row],[P54 HWM]]-1</f>
        <v>-9.3528663915004584E-3</v>
      </c>
      <c r="HK8" s="28">
        <f>SUMPRODUCT(INDEX(PortfolioRef[[SPY]:[PE]],MATCH(HK$1,PortfolioRef[Reference '#]),0),AssetMonthlyReturns[[#This Row],[SPY]:[PE]])</f>
        <v>-7.2351515716509553E-3</v>
      </c>
      <c r="HL8" s="27">
        <f>IF(ISNUMBER(HL7),HL7*(1+PortfolioFrontier[[#This Row],[P55 Return]]),1+PortfolioFrontier[[#This Row],[P55 Return]])</f>
        <v>1.0492800390909898</v>
      </c>
      <c r="HM8" s="27">
        <f>MAX(HM7,PortfolioFrontier[[#This Row],[P55 Growth]])</f>
        <v>1.0698254888807313</v>
      </c>
      <c r="HN8" s="27">
        <f>PortfolioFrontier[[#This Row],[P55 Growth]]/PortfolioFrontier[[#This Row],[P55 HWM]]-1</f>
        <v>-1.9204487089979905E-2</v>
      </c>
      <c r="HO8" s="28">
        <f>SUMPRODUCT(INDEX(PortfolioRef[[SPY]:[PE]],MATCH(HO$1,PortfolioRef[Reference '#]),0),AssetMonthlyReturns[[#This Row],[SPY]:[PE]])</f>
        <v>-6.1514040994701596E-3</v>
      </c>
      <c r="HP8" s="27">
        <f>IF(ISNUMBER(HP7),HP7*(1+PortfolioFrontier[[#This Row],[P56 Return]]),1+PortfolioFrontier[[#This Row],[P56 Return]])</f>
        <v>1.048735064990244</v>
      </c>
      <c r="HQ8" s="27">
        <f>MAX(HQ7,PortfolioFrontier[[#This Row],[P56 Growth]])</f>
        <v>1.06492447718415</v>
      </c>
      <c r="HR8" s="27">
        <f>PortfolioFrontier[[#This Row],[P56 Growth]]/PortfolioFrontier[[#This Row],[P56 HWM]]-1</f>
        <v>-1.5202404058467733E-2</v>
      </c>
      <c r="HS8" s="28">
        <f>SUMPRODUCT(INDEX(PortfolioRef[[SPY]:[PE]],MATCH(HS$1,PortfolioRef[Reference '#]),0),AssetMonthlyReturns[[#This Row],[SPY]:[PE]])</f>
        <v>-5.0676566272893631E-3</v>
      </c>
      <c r="HT8" s="27">
        <f>IF(ISNUMBER(HT7),HT7*(1+PortfolioFrontier[[#This Row],[P57 Return]]),1+PortfolioFrontier[[#This Row],[P57 Return]])</f>
        <v>1.0481696894521491</v>
      </c>
      <c r="HU8" s="27">
        <f>MAX(HU7,PortfolioFrontier[[#This Row],[P57 Growth]])</f>
        <v>1.0600356521150558</v>
      </c>
      <c r="HV8" s="27">
        <f>PortfolioFrontier[[#This Row],[P57 Growth]]/PortfolioFrontier[[#This Row],[P57 HWM]]-1</f>
        <v>-1.1193927901605005E-2</v>
      </c>
      <c r="HW8" s="28">
        <f>SUMPRODUCT(INDEX(PortfolioRef[[SPY]:[PE]],MATCH(HW$1,PortfolioRef[Reference '#]),0),AssetMonthlyReturns[[#This Row],[SPY]:[PE]])</f>
        <v>-8.8329801855398515E-3</v>
      </c>
      <c r="HX8" s="27">
        <f>IF(ISNUMBER(HX7),HX7*(1+PortfolioFrontier[[#This Row],[P58 Return]]),1+PortfolioFrontier[[#This Row],[P58 Return]])</f>
        <v>1.0518065274568618</v>
      </c>
      <c r="HY8" s="27">
        <f>MAX(HY7,PortfolioFrontier[[#This Row],[P58 Growth]])</f>
        <v>1.0744064093618175</v>
      </c>
      <c r="HZ8" s="27">
        <f>PortfolioFrontier[[#This Row],[P58 Growth]]/PortfolioFrontier[[#This Row],[P58 HWM]]-1</f>
        <v>-2.1034760876361247E-2</v>
      </c>
      <c r="IA8" s="28">
        <f>SUMPRODUCT(INDEX(PortfolioRef[[SPY]:[PE]],MATCH(IA$1,PortfolioRef[Reference '#]),0),AssetMonthlyReturns[[#This Row],[SPY]:[PE]])</f>
        <v>-7.7492327133590558E-3</v>
      </c>
      <c r="IB8" s="27">
        <f>IF(ISNUMBER(IB7),IB7*(1+PortfolioFrontier[[#This Row],[P59 Return]]),1+PortfolioFrontier[[#This Row],[P59 Return]])</f>
        <v>1.0512643116253926</v>
      </c>
      <c r="IC8" s="27">
        <f>MAX(IC7,PortfolioFrontier[[#This Row],[P59 Growth]])</f>
        <v>1.0694858543325274</v>
      </c>
      <c r="ID8" s="27">
        <f>PortfolioFrontier[[#This Row],[P59 Growth]]/PortfolioFrontier[[#This Row],[P59 HWM]]-1</f>
        <v>-1.7037665933886559E-2</v>
      </c>
      <c r="IE8" s="28">
        <f>SUMPRODUCT(INDEX(PortfolioRef[[SPY]:[PE]],MATCH(IE$1,PortfolioRef[Reference '#]),0),AssetMonthlyReturns[[#This Row],[SPY]:[PE]])</f>
        <v>-6.6654852411782602E-3</v>
      </c>
      <c r="IF8" s="27">
        <f>IF(ISNUMBER(IF7),IF7*(1+PortfolioFrontier[[#This Row],[P60 Return]]),1+PortfolioFrontier[[#This Row],[P60 Return]])</f>
        <v>1.0507016186239424</v>
      </c>
      <c r="IG8" s="27">
        <f>MAX(IG7,PortfolioFrontier[[#This Row],[P60 Growth]])</f>
        <v>1.0645775112578868</v>
      </c>
      <c r="IH8" s="27">
        <f>PortfolioFrontier[[#This Row],[P60 Growth]]/PortfolioFrontier[[#This Row],[P60 HWM]]-1</f>
        <v>-1.3034177866061536E-2</v>
      </c>
      <c r="II8" s="28">
        <f>SUMPRODUCT(INDEX(PortfolioRef[[SPY]:[PE]],MATCH(II$1,PortfolioRef[Reference '#]),0),AssetMonthlyReturns[[#This Row],[SPY]:[PE]])</f>
        <v>-3.4465996670764998E-3</v>
      </c>
      <c r="IJ8" s="27">
        <f>IF(ISNUMBER(IJ7),IJ7*(1+PortfolioFrontier[[#This Row],[P61 Return]]),1+PortfolioFrontier[[#This Row],[P61 Return]])</f>
        <v>1.0408364686699478</v>
      </c>
      <c r="IK8" s="27">
        <f>MAX(IK7,PortfolioFrontier[[#This Row],[P61 Growth]])</f>
        <v>1.0500729073544264</v>
      </c>
      <c r="IL8" s="27">
        <f>PortfolioFrontier[[#This Row],[P61 Growth]]/PortfolioFrontier[[#This Row],[P61 HWM]]-1</f>
        <v>-8.7959975157810844E-3</v>
      </c>
      <c r="IM8" s="28">
        <f>SUMPRODUCT(INDEX(PortfolioRef[[SPY]:[PE]],MATCH(IM$1,PortfolioRef[Reference '#]),0),AssetMonthlyReturns[[#This Row],[SPY]:[PE]])</f>
        <v>-3.1270070670174959E-3</v>
      </c>
      <c r="IN8" s="27">
        <f>IF(ISNUMBER(IN7),IN7*(1+PortfolioFrontier[[#This Row],[P62 Return]]),1+PortfolioFrontier[[#This Row],[P62 Return]])</f>
        <v>1.0406726803599777</v>
      </c>
      <c r="IO8" s="27">
        <f>MAX(IO7,PortfolioFrontier[[#This Row],[P62 Growth]])</f>
        <v>1.0511806263791883</v>
      </c>
      <c r="IP8" s="27">
        <f>PortfolioFrontier[[#This Row],[P62 Growth]]/PortfolioFrontier[[#This Row],[P62 HWM]]-1</f>
        <v>-9.9963277057392164E-3</v>
      </c>
      <c r="IQ8" s="28">
        <f>SUMPRODUCT(INDEX(PortfolioRef[[SPY]:[PE]],MATCH(IQ$1,PortfolioRef[Reference '#]),0),AssetMonthlyReturns[[#This Row],[SPY]:[PE]])</f>
        <v>-4.7248356809063913E-3</v>
      </c>
      <c r="IR8" s="27">
        <f>IF(ISNUMBER(IR7),IR7*(1+PortfolioFrontier[[#This Row],[P63 Return]]),1+PortfolioFrontier[[#This Row],[P63 Return]])</f>
        <v>1.0432113037675292</v>
      </c>
      <c r="IS8" s="27">
        <f>MAX(IS7,PortfolioFrontier[[#This Row],[P63 Growth]])</f>
        <v>1.0557065393895038</v>
      </c>
      <c r="IT8" s="27">
        <f>PortfolioFrontier[[#This Row],[P63 Growth]]/PortfolioFrontier[[#This Row],[P63 HWM]]-1</f>
        <v>-1.1835898666688438E-2</v>
      </c>
      <c r="IU8" s="28">
        <f>SUMPRODUCT(INDEX(PortfolioRef[[SPY]:[PE]],MATCH(IU$1,PortfolioRef[Reference '#]),0),AssetMonthlyReturns[[#This Row],[SPY]:[PE]])</f>
        <v>-3.6410882087255961E-3</v>
      </c>
      <c r="IV8" s="27">
        <f>IF(ISNUMBER(IV7),IV7*(1+PortfolioFrontier[[#This Row],[P64 Return]]),1+PortfolioFrontier[[#This Row],[P64 Return]])</f>
        <v>1.0426273229705152</v>
      </c>
      <c r="IW8" s="27">
        <f>MAX(IW7,PortfolioFrontier[[#This Row],[P64 Growth]])</f>
        <v>1.0508460829243347</v>
      </c>
      <c r="IX8" s="27">
        <f>PortfolioFrontier[[#This Row],[P64 Growth]]/PortfolioFrontier[[#This Row],[P64 HWM]]-1</f>
        <v>-7.821088251999786E-3</v>
      </c>
      <c r="IY8" s="28">
        <f>SUMPRODUCT(INDEX(PortfolioRef[[SPY]:[PE]],MATCH(IY$1,PortfolioRef[Reference '#]),0),AssetMonthlyReturns[[#This Row],[SPY]:[PE]])</f>
        <v>-2.8074144669584912E-3</v>
      </c>
      <c r="IZ8" s="27">
        <f>IF(ISNUMBER(IZ7),IZ7*(1+PortfolioFrontier[[#This Row],[P65 Return]]),1+PortfolioFrontier[[#This Row],[P65 Return]])</f>
        <v>1.0404836561443465</v>
      </c>
      <c r="JA8" s="27">
        <f>MAX(JA7,PortfolioFrontier[[#This Row],[P65 Growth]])</f>
        <v>1.0522665490481187</v>
      </c>
      <c r="JB8" s="27">
        <f>PortfolioFrontier[[#This Row],[P65 Growth]]/PortfolioFrontier[[#This Row],[P65 HWM]]-1</f>
        <v>-1.1197631355316817E-2</v>
      </c>
      <c r="JC8" s="28">
        <f>SUMPRODUCT(INDEX(PortfolioRef[[SPY]:[PE]],MATCH(JC$1,PortfolioRef[Reference '#]),0),AssetMonthlyReturns[[#This Row],[SPY]:[PE]])</f>
        <v>-4.4052430808473875E-3</v>
      </c>
      <c r="JD8" s="27">
        <f>IF(ISNUMBER(JD7),JD7*(1+PortfolioFrontier[[#This Row],[P66 Return]]),1+PortfolioFrontier[[#This Row],[P66 Return]])</f>
        <v>1.0430395424775996</v>
      </c>
      <c r="JE8" s="27">
        <f>MAX(JE7,PortfolioFrontier[[#This Row],[P66 Growth]])</f>
        <v>1.0568149670864915</v>
      </c>
      <c r="JF8" s="27">
        <f>PortfolioFrontier[[#This Row],[P66 Growth]]/PortfolioFrontier[[#This Row],[P66 HWM]]-1</f>
        <v>-1.3034850033274092E-2</v>
      </c>
      <c r="JG8" s="28">
        <f>SUMPRODUCT(INDEX(PortfolioRef[[SPY]:[PE]],MATCH(JG$1,PortfolioRef[Reference '#]),0),AssetMonthlyReturns[[#This Row],[SPY]:[PE]])</f>
        <v>-3.3214956086665918E-3</v>
      </c>
      <c r="JH8" s="27">
        <f>IF(ISNUMBER(JH7),JH7*(1+PortfolioFrontier[[#This Row],[P67 Return]]),1+PortfolioFrontier[[#This Row],[P67 Return]])</f>
        <v>1.0424673712659192</v>
      </c>
      <c r="JI8" s="27">
        <f>MAX(JI7,PortfolioFrontier[[#This Row],[P67 Growth]])</f>
        <v>1.0519568079907244</v>
      </c>
      <c r="JJ8" s="27">
        <f>PortfolioFrontier[[#This Row],[P67 Growth]]/PortfolioFrontier[[#This Row],[P67 HWM]]-1</f>
        <v>-9.0207474800514387E-3</v>
      </c>
      <c r="JK8" s="28">
        <f>SUMPRODUCT(INDEX(PortfolioRef[[SPY]:[PE]],MATCH(JK$1,PortfolioRef[Reference '#]),0),AssetMonthlyReturns[[#This Row],[SPY]:[PE]])</f>
        <v>-6.0030716947362837E-3</v>
      </c>
      <c r="JL8" s="27">
        <f>IF(ISNUMBER(JL7),JL7*(1+PortfolioFrontier[[#This Row],[P68 Return]]),1+PortfolioFrontier[[#This Row],[P68 Return]])</f>
        <v>1.0455757687576253</v>
      </c>
      <c r="JM8" s="27">
        <f>MAX(JM7,PortfolioFrontier[[#This Row],[P68 Growth]])</f>
        <v>1.0613595191114715</v>
      </c>
      <c r="JN8" s="27">
        <f>PortfolioFrontier[[#This Row],[P68 Growth]]/PortfolioFrontier[[#This Row],[P68 HWM]]-1</f>
        <v>-1.4871257165583018E-2</v>
      </c>
      <c r="JO8" s="28">
        <f>SUMPRODUCT(INDEX(PortfolioRef[[SPY]:[PE]],MATCH(JO$1,PortfolioRef[Reference '#]),0),AssetMonthlyReturns[[#This Row],[SPY]:[PE]])</f>
        <v>-4.9193242225554872E-3</v>
      </c>
      <c r="JP8" s="27">
        <f>IF(ISNUMBER(JP7),JP7*(1+PortfolioFrontier[[#This Row],[P69 Return]]),1+PortfolioFrontier[[#This Row],[P69 Return]])</f>
        <v>1.0450062536255167</v>
      </c>
      <c r="JQ8" s="27">
        <f>MAX(JQ7,PortfolioFrontier[[#This Row],[P69 Growth]])</f>
        <v>1.0564819109031929</v>
      </c>
      <c r="JR8" s="27">
        <f>PortfolioFrontier[[#This Row],[P69 Growth]]/PortfolioFrontier[[#This Row],[P69 HWM]]-1</f>
        <v>-1.086214270139807E-2</v>
      </c>
      <c r="JS8" s="28">
        <f>SUMPRODUCT(INDEX(PortfolioRef[[SPY]:[PE]],MATCH(JS$1,PortfolioRef[Reference '#]),0),AssetMonthlyReturns[[#This Row],[SPY]:[PE]])</f>
        <v>-3.8355767503746919E-3</v>
      </c>
      <c r="JT8" s="27">
        <f>IF(ISNUMBER(JT7),JT7*(1+PortfolioFrontier[[#This Row],[P70 Return]]),1+PortfolioFrontier[[#This Row],[P70 Return]])</f>
        <v>1.0444164230492792</v>
      </c>
      <c r="JU8" s="27">
        <f>MAX(JU7,PortfolioFrontier[[#This Row],[P70 Growth]])</f>
        <v>1.051616457209422</v>
      </c>
      <c r="JV8" s="27">
        <f>PortfolioFrontier[[#This Row],[P70 Growth]]/PortfolioFrontier[[#This Row],[P70 HWM]]-1</f>
        <v>-6.8466351118627866E-3</v>
      </c>
      <c r="JW8" s="28">
        <f>SUMPRODUCT(INDEX(PortfolioRef[[SPY]:[PE]],MATCH(JW$1,PortfolioRef[Reference '#]),0),AssetMonthlyReturns[[#This Row],[SPY]:[PE]])</f>
        <v>-4.0856504807883828E-3</v>
      </c>
      <c r="JX8" s="27">
        <f>IF(ISNUMBER(JX7),JX7*(1+PortfolioFrontier[[#This Row],[P71 Return]]),1+PortfolioFrontier[[#This Row],[P71 Return]])</f>
        <v>1.0428425542802124</v>
      </c>
      <c r="JY8" s="27">
        <f>MAX(JY7,PortfolioFrontier[[#This Row],[P71 Growth]])</f>
        <v>1.0579015445909599</v>
      </c>
      <c r="JZ8" s="27">
        <f>PortfolioFrontier[[#This Row],[P71 Growth]]/PortfolioFrontier[[#This Row],[P71 HWM]]-1</f>
        <v>-1.4234774859478994E-2</v>
      </c>
      <c r="KA8" s="28">
        <f>SUMPRODUCT(INDEX(PortfolioRef[[SPY]:[PE]],MATCH(KA$1,PortfolioRef[Reference '#]),0),AssetMonthlyReturns[[#This Row],[SPY]:[PE]])</f>
        <v>-3.0019030086075871E-3</v>
      </c>
      <c r="KB8" s="27">
        <f>IF(ISNUMBER(KB7),KB7*(1+PortfolioFrontier[[#This Row],[P72 Return]]),1+PortfolioFrontier[[#This Row],[P72 Return]])</f>
        <v>1.0422821255932155</v>
      </c>
      <c r="KC8" s="27">
        <f>MAX(KC7,PortfolioFrontier[[#This Row],[P72 Growth]])</f>
        <v>1.0530457060891405</v>
      </c>
      <c r="KD8" s="27">
        <f>PortfolioFrontier[[#This Row],[P72 Growth]]/PortfolioFrontier[[#This Row],[P72 HWM]]-1</f>
        <v>-1.022138016772256E-2</v>
      </c>
      <c r="KE8" s="28">
        <f>SUMPRODUCT(INDEX(PortfolioRef[[SPY]:[PE]],MATCH(KE$1,PortfolioRef[Reference '#]),0),AssetMonthlyReturns[[#This Row],[SPY]:[PE]])</f>
        <v>-5.6834790946772799E-3</v>
      </c>
      <c r="KF8" s="27">
        <f>IF(ISNUMBER(KF7),KF7*(1+PortfolioFrontier[[#This Row],[P73 Return]]),1+PortfolioFrontier[[#This Row],[P73 Return]])</f>
        <v>1.0453960200574417</v>
      </c>
      <c r="KG8" s="27">
        <f>MAX(KG7,PortfolioFrontier[[#This Row],[P73 Growth]])</f>
        <v>1.0624686478303629</v>
      </c>
      <c r="KH8" s="27">
        <f>PortfolioFrontier[[#This Row],[P73 Growth]]/PortfolioFrontier[[#This Row],[P73 HWM]]-1</f>
        <v>-1.6068829708796306E-2</v>
      </c>
      <c r="KI8" s="28">
        <f>SUMPRODUCT(INDEX(PortfolioRef[[SPY]:[PE]],MATCH(KI$1,PortfolioRef[Reference '#]),0),AssetMonthlyReturns[[#This Row],[SPY]:[PE]])</f>
        <v>-4.5997316224964833E-3</v>
      </c>
      <c r="KJ8" s="27">
        <f>IF(ISNUMBER(KJ7),KJ7*(1+PortfolioFrontier[[#This Row],[P74 Return]]),1+PortfolioFrontier[[#This Row],[P74 Return]])</f>
        <v>1.0448383238529995</v>
      </c>
      <c r="KK8" s="27">
        <f>MAX(KK7,PortfolioFrontier[[#This Row],[P74 Growth]])</f>
        <v>1.0575933470931147</v>
      </c>
      <c r="KL8" s="27">
        <f>PortfolioFrontier[[#This Row],[P74 Growth]]/PortfolioFrontier[[#This Row],[P74 HWM]]-1</f>
        <v>-1.2060423106077134E-2</v>
      </c>
      <c r="KM8" s="28">
        <f>SUMPRODUCT(INDEX(PortfolioRef[[SPY]:[PE]],MATCH(KM$1,PortfolioRef[Reference '#]),0),AssetMonthlyReturns[[#This Row],[SPY]:[PE]])</f>
        <v>-3.5159841503156876E-3</v>
      </c>
      <c r="KN8" s="27">
        <f>IF(ISNUMBER(KN7),KN7*(1+PortfolioFrontier[[#This Row],[P75 Return]]),1+PortfolioFrontier[[#This Row],[P75 Return]])</f>
        <v>1.0442603269938957</v>
      </c>
      <c r="KO8" s="27">
        <f>MAX(KO7,PortfolioFrontier[[#This Row],[P75 Growth]])</f>
        <v>1.0527301976831096</v>
      </c>
      <c r="KP8" s="27">
        <f>PortfolioFrontier[[#This Row],[P75 Growth]]/PortfolioFrontier[[#This Row],[P75 HWM]]-1</f>
        <v>-8.045623378007738E-3</v>
      </c>
      <c r="KQ8" s="28">
        <f>SUMPRODUCT(INDEX(PortfolioRef[[SPY]:[PE]],MATCH(KQ$1,PortfolioRef[Reference '#]),0),AssetMonthlyReturns[[#This Row],[SPY]:[PE]])</f>
        <v>-7.2813077085661761E-3</v>
      </c>
      <c r="KR8" s="27">
        <f>IF(ISNUMBER(KR7),KR7*(1+PortfolioFrontier[[#This Row],[P76 Return]]),1+PortfolioFrontier[[#This Row],[P76 Return]])</f>
        <v>1.0479297952885094</v>
      </c>
      <c r="KS8" s="27">
        <f>MAX(KS7,PortfolioFrontier[[#This Row],[P76 Growth]])</f>
        <v>1.0670318778728161</v>
      </c>
      <c r="KT8" s="27">
        <f>PortfolioFrontier[[#This Row],[P76 Growth]]/PortfolioFrontier[[#This Row],[P76 HWM]]-1</f>
        <v>-1.7902073012464936E-2</v>
      </c>
      <c r="KU8" s="28">
        <f>SUMPRODUCT(INDEX(PortfolioRef[[SPY]:[PE]],MATCH(KU$1,PortfolioRef[Reference '#]),0),AssetMonthlyReturns[[#This Row],[SPY]:[PE]])</f>
        <v>-6.1975602363853804E-3</v>
      </c>
      <c r="KV8" s="27">
        <f>IF(ISNUMBER(KV7),KV7*(1+PortfolioFrontier[[#This Row],[P77 Return]]),1+PortfolioFrontier[[#This Row],[P77 Return]])</f>
        <v>1.0473748132030567</v>
      </c>
      <c r="KW8" s="27">
        <f>MAX(KW7,PortfolioFrontier[[#This Row],[P77 Growth]])</f>
        <v>1.062137089642339</v>
      </c>
      <c r="KX8" s="27">
        <f>PortfolioFrontier[[#This Row],[P77 Growth]]/PortfolioFrontier[[#This Row],[P77 HWM]]-1</f>
        <v>-1.3898654498783469E-2</v>
      </c>
      <c r="KY8" s="28">
        <f>SUMPRODUCT(INDEX(PortfolioRef[[SPY]:[PE]],MATCH(KY$1,PortfolioRef[Reference '#]),0),AssetMonthlyReturns[[#This Row],[SPY]:[PE]])</f>
        <v>-5.1138127642045839E-3</v>
      </c>
      <c r="KZ8" s="27">
        <f>IF(ISNUMBER(KZ7),KZ7*(1+PortfolioFrontier[[#This Row],[P78 Return]]),1+PortfolioFrontier[[#This Row],[P78 Return]])</f>
        <v>1.0467994546699015</v>
      </c>
      <c r="LA8" s="27">
        <f>MAX(LA7,PortfolioFrontier[[#This Row],[P78 Growth]])</f>
        <v>1.0572544780662676</v>
      </c>
      <c r="LB8" s="27">
        <f>PortfolioFrontier[[#This Row],[P78 Growth]]/PortfolioFrontier[[#This Row],[P78 HWM]]-1</f>
        <v>-9.8888428597516675E-3</v>
      </c>
      <c r="LC8" s="28">
        <f>SUMPRODUCT(INDEX(PortfolioRef[[SPY]:[PE]],MATCH(LC$1,PortfolioRef[Reference '#]),0),AssetMonthlyReturns[[#This Row],[SPY]:[PE]])</f>
        <v>-5.3638864946182752E-3</v>
      </c>
      <c r="LD8" s="27">
        <f>IF(ISNUMBER(LD7),LD7*(1+PortfolioFrontier[[#This Row],[P79 Return]]),1+PortfolioFrontier[[#This Row],[P79 Return]])</f>
        <v>1.0451910536789333</v>
      </c>
      <c r="LE8" s="27">
        <f>MAX(LE7,PortfolioFrontier[[#This Row],[P79 Growth]])</f>
        <v>1.063555872520046</v>
      </c>
      <c r="LF8" s="27">
        <f>PortfolioFrontier[[#This Row],[P79 Growth]]/PortfolioFrontier[[#This Row],[P79 HWM]]-1</f>
        <v>-1.726737571162873E-2</v>
      </c>
      <c r="LG8" s="28">
        <f>SUMPRODUCT(INDEX(PortfolioRef[[SPY]:[PE]],MATCH(LG$1,PortfolioRef[Reference '#]),0),AssetMonthlyReturns[[#This Row],[SPY]:[PE]])</f>
        <v>-4.2801390224374786E-3</v>
      </c>
      <c r="LH8" s="27">
        <f>IF(ISNUMBER(LH7),LH7*(1+PortfolioFrontier[[#This Row],[P80 Return]]),1+PortfolioFrontier[[#This Row],[P80 Return]])</f>
        <v>1.044645109177452</v>
      </c>
      <c r="LI8" s="27">
        <f>MAX(LI7,PortfolioFrontier[[#This Row],[P80 Growth]])</f>
        <v>1.058682902478375</v>
      </c>
      <c r="LJ8" s="27">
        <f>PortfolioFrontier[[#This Row],[P80 Growth]]/PortfolioFrontier[[#This Row],[P80 HWM]]-1</f>
        <v>-1.3259676970375667E-2</v>
      </c>
      <c r="LK8" s="28">
        <f>SUMPRODUCT(INDEX(PortfolioRef[[SPY]:[PE]],MATCH(LK$1,PortfolioRef[Reference '#]),0),AssetMonthlyReturns[[#This Row],[SPY]:[PE]])</f>
        <v>-3.1963915502566829E-3</v>
      </c>
      <c r="LL8" s="27">
        <f>IF(ISNUMBER(LL7),LL7*(1+PortfolioFrontier[[#This Row],[P81 Return]]),1+PortfolioFrontier[[#This Row],[P81 Return]])</f>
        <v>1.044078878846475</v>
      </c>
      <c r="LM8" s="27">
        <f>MAX(LM7,PortfolioFrontier[[#This Row],[P81 Growth]])</f>
        <v>1.0538220805766811</v>
      </c>
      <c r="LN8" s="27">
        <f>PortfolioFrontier[[#This Row],[P81 Growth]]/PortfolioFrontier[[#This Row],[P81 HWM]]-1</f>
        <v>-9.2455851037723802E-3</v>
      </c>
      <c r="LO8" s="28">
        <f>SUMPRODUCT(INDEX(PortfolioRef[[SPY]:[PE]],MATCH(LO$1,PortfolioRef[Reference '#]),0),AssetMonthlyReturns[[#This Row],[SPY]:[PE]])</f>
        <v>-6.9617151085071714E-3</v>
      </c>
      <c r="LP8" s="27">
        <f>IF(ISNUMBER(LP7),LP7*(1+PortfolioFrontier[[#This Row],[P82 Return]]),1+PortfolioFrontier[[#This Row],[P82 Return]])</f>
        <v>1.0477420448694907</v>
      </c>
      <c r="LQ8" s="27">
        <f>MAX(LQ7,PortfolioFrontier[[#This Row],[P82 Growth]])</f>
        <v>1.0681416999632878</v>
      </c>
      <c r="LR8" s="27">
        <f>PortfolioFrontier[[#This Row],[P82 Growth]]/PortfolioFrontier[[#This Row],[P82 HWM]]-1</f>
        <v>-1.9098266732305413E-2</v>
      </c>
      <c r="LS8" s="28">
        <f>SUMPRODUCT(INDEX(PortfolioRef[[SPY]:[PE]],MATCH(LS$1,PortfolioRef[Reference '#]),0),AssetMonthlyReturns[[#This Row],[SPY]:[PE]])</f>
        <v>-5.8779676363263757E-3</v>
      </c>
      <c r="LT8" s="27">
        <f>IF(ISNUMBER(LT7),LT7*(1+PortfolioFrontier[[#This Row],[P83 Return]]),1+PortfolioFrontier[[#This Row],[P83 Return]])</f>
        <v>1.0471988909373779</v>
      </c>
      <c r="LU8" s="27">
        <f>MAX(LU7,PortfolioFrontier[[#This Row],[P83 Growth]])</f>
        <v>1.0632492293054709</v>
      </c>
      <c r="LV8" s="27">
        <f>PortfolioFrontier[[#This Row],[P83 Growth]]/PortfolioFrontier[[#This Row],[P83 HWM]]-1</f>
        <v>-1.5095556080089834E-2</v>
      </c>
      <c r="LW8" s="28">
        <f>SUMPRODUCT(INDEX(PortfolioRef[[SPY]:[PE]],MATCH(LW$1,PortfolioRef[Reference '#]),0),AssetMonthlyReturns[[#This Row],[SPY]:[PE]])</f>
        <v>-4.7942201641455792E-3</v>
      </c>
      <c r="LX8" s="27">
        <f>IF(ISNUMBER(LX7),LX7*(1+PortfolioFrontier[[#This Row],[P84 Return]]),1+PortfolioFrontier[[#This Row],[P84 Return]])</f>
        <v>1.0466353754304303</v>
      </c>
      <c r="LY8" s="27">
        <f>MAX(LY7,PortfolioFrontier[[#This Row],[P84 Growth]])</f>
        <v>1.0583689321147942</v>
      </c>
      <c r="LZ8" s="27">
        <f>PortfolioFrontier[[#This Row],[P84 Growth]]/PortfolioFrontier[[#This Row],[P84 HWM]]-1</f>
        <v>-1.108645230252403E-2</v>
      </c>
      <c r="MA8" s="28">
        <f>SUMPRODUCT(INDEX(PortfolioRef[[SPY]:[PE]],MATCH(MA$1,PortfolioRef[Reference '#]),0),AssetMonthlyReturns[[#This Row],[SPY]:[PE]])</f>
        <v>-8.5595437223960676E-3</v>
      </c>
      <c r="MB8" s="27">
        <f>IF(ISNUMBER(MB7),MB7*(1+PortfolioFrontier[[#This Row],[P85 Return]]),1+PortfolioFrontier[[#This Row],[P85 Return]])</f>
        <v>1.0502733151562671</v>
      </c>
      <c r="MC8" s="27">
        <f>MAX(MC7,PortfolioFrontier[[#This Row],[P85 Growth]])</f>
        <v>1.0727236470260215</v>
      </c>
      <c r="MD8" s="27">
        <f>PortfolioFrontier[[#This Row],[P85 Growth]]/PortfolioFrontier[[#This Row],[P85 HWM]]-1</f>
        <v>-2.0928346207333859E-2</v>
      </c>
      <c r="ME8" s="28">
        <f>SUMPRODUCT(INDEX(PortfolioRef[[SPY]:[PE]],MATCH(ME$1,PortfolioRef[Reference '#]),0),AssetMonthlyReturns[[#This Row],[SPY]:[PE]])</f>
        <v>-7.4757962502152719E-3</v>
      </c>
      <c r="MF8" s="27">
        <f>IF(ISNUMBER(MF7),MF7*(1+PortfolioFrontier[[#This Row],[P86 Return]]),1+PortfolioFrontier[[#This Row],[P86 Return]])</f>
        <v>1.0497329333168957</v>
      </c>
      <c r="MG8" s="27">
        <f>MAX(MG7,PortfolioFrontier[[#This Row],[P86 Growth]])</f>
        <v>1.0678116504942585</v>
      </c>
      <c r="MH8" s="27">
        <f>PortfolioFrontier[[#This Row],[P86 Growth]]/PortfolioFrontier[[#This Row],[P86 HWM]]-1</f>
        <v>-1.693062364415554E-2</v>
      </c>
      <c r="MI8" s="28">
        <f>SUMPRODUCT(INDEX(PortfolioRef[[SPY]:[PE]],MATCH(MI$1,PortfolioRef[Reference '#]),0),AssetMonthlyReturns[[#This Row],[SPY]:[PE]])</f>
        <v>-6.3920487780344763E-3</v>
      </c>
      <c r="MJ8" s="27">
        <f>IF(ISNUMBER(MJ7),MJ7*(1+PortfolioFrontier[[#This Row],[P87 Return]]),1+PortfolioFrontier[[#This Row],[P87 Return]])</f>
        <v>1.0491721142360075</v>
      </c>
      <c r="MK8" s="27">
        <f>MAX(MK7,PortfolioFrontier[[#This Row],[P87 Growth]])</f>
        <v>1.0629118527567989</v>
      </c>
      <c r="ML8" s="27">
        <f>PortfolioFrontier[[#This Row],[P87 Growth]]/PortfolioFrontier[[#This Row],[P87 HWM]]-1</f>
        <v>-1.2926507955627331E-2</v>
      </c>
      <c r="MM8" s="28">
        <f>SUMPRODUCT(INDEX(PortfolioRef[[SPY]:[PE]],MATCH(MM$1,PortfolioRef[Reference '#]),0),AssetMonthlyReturns[[#This Row],[SPY]:[PE]])</f>
        <v>-6.6421225084481676E-3</v>
      </c>
      <c r="MN8" s="27">
        <f>IF(ISNUMBER(MN7),MN7*(1+PortfolioFrontier[[#This Row],[P88 Return]]),1+PortfolioFrontier[[#This Row],[P88 Return]])</f>
        <v>1.0475290862313829</v>
      </c>
      <c r="MO8" s="27">
        <f>MAX(MO7,PortfolioFrontier[[#This Row],[P88 Growth]])</f>
        <v>1.0692295641878635</v>
      </c>
      <c r="MP8" s="27">
        <f>PortfolioFrontier[[#This Row],[P88 Growth]]/PortfolioFrontier[[#This Row],[P88 HWM]]-1</f>
        <v>-2.0295433911765581E-2</v>
      </c>
      <c r="MQ8" s="28">
        <f>SUMPRODUCT(INDEX(PortfolioRef[[SPY]:[PE]],MATCH(MQ$1,PortfolioRef[Reference '#]),0),AssetMonthlyReturns[[#This Row],[SPY]:[PE]])</f>
        <v>-5.5583750362673719E-3</v>
      </c>
      <c r="MR8" s="27">
        <f>IF(ISNUMBER(MR7),MR7*(1+PortfolioFrontier[[#This Row],[P89 Return]]),1+PortfolioFrontier[[#This Row],[P89 Return]])</f>
        <v>1.0469976930646607</v>
      </c>
      <c r="MS8" s="27">
        <f>MAX(MS7,PortfolioFrontier[[#This Row],[P89 Growth]])</f>
        <v>1.0643394343272528</v>
      </c>
      <c r="MT8" s="27">
        <f>PortfolioFrontier[[#This Row],[P89 Growth]]/PortfolioFrontier[[#This Row],[P89 HWM]]-1</f>
        <v>-1.6293431121015778E-2</v>
      </c>
      <c r="MU8" s="28">
        <f>SUMPRODUCT(INDEX(PortfolioRef[[SPY]:[PE]],MATCH(MU$1,PortfolioRef[Reference '#]),0),AssetMonthlyReturns[[#This Row],[SPY]:[PE]])</f>
        <v>-4.4746275640865744E-3</v>
      </c>
      <c r="MV8" s="27">
        <f>IF(ISNUMBER(MV7),MV7*(1+PortfolioFrontier[[#This Row],[P90 Return]]),1+PortfolioFrontier[[#This Row],[P90 Return]])</f>
        <v>1.0464459532310035</v>
      </c>
      <c r="MW8" s="27">
        <f>MAX(MW7,PortfolioFrontier[[#This Row],[P90 Growth]])</f>
        <v>1.059461474746517</v>
      </c>
      <c r="MX8" s="27">
        <f>PortfolioFrontier[[#This Row],[P90 Growth]]/PortfolioFrontier[[#This Row],[P90 HWM]]-1</f>
        <v>-1.2285035204916195E-2</v>
      </c>
      <c r="MY8" s="28">
        <f>SUMPRODUCT(INDEX(PortfolioRef[[SPY]:[PE]],MATCH(MY$1,PortfolioRef[Reference '#]),0),AssetMonthlyReturns[[#This Row],[SPY]:[PE]])</f>
        <v>-8.2399511223370629E-3</v>
      </c>
      <c r="MZ8" s="27">
        <f>IF(ISNUMBER(MZ7),MZ7*(1+PortfolioFrontier[[#This Row],[P91 Return]]),1+PortfolioFrontier[[#This Row],[P91 Return]])</f>
        <v>1.0500775488315104</v>
      </c>
      <c r="NA8" s="27">
        <f>MAX(NA7,PortfolioFrontier[[#This Row],[P91 Growth]])</f>
        <v>1.0738341548377508</v>
      </c>
      <c r="NB8" s="27">
        <f>PortfolioFrontier[[#This Row],[P91 Growth]]/PortfolioFrontier[[#This Row],[P91 HWM]]-1</f>
        <v>-2.2123161103801747E-2</v>
      </c>
      <c r="NC8" s="28">
        <f>SUMPRODUCT(INDEX(PortfolioRef[[SPY]:[PE]],MATCH(NC$1,PortfolioRef[Reference '#]),0),AssetMonthlyReturns[[#This Row],[SPY]:[PE]])</f>
        <v>-7.1562036501562672E-3</v>
      </c>
      <c r="ND8" s="27">
        <f>IF(ISNUMBER(ND7),ND7*(1+PortfolioFrontier[[#This Row],[P92 Return]]),1+PortfolioFrontier[[#This Row],[P92 Return]])</f>
        <v>1.0495490042546207</v>
      </c>
      <c r="NE8" s="27">
        <f>MAX(NE7,PortfolioFrontier[[#This Row],[P92 Growth]])</f>
        <v>1.0689244859802776</v>
      </c>
      <c r="NF8" s="27">
        <f>PortfolioFrontier[[#This Row],[P92 Growth]]/PortfolioFrontier[[#This Row],[P92 HWM]]-1</f>
        <v>-1.8126146402089538E-2</v>
      </c>
      <c r="NG8" s="28">
        <f>SUMPRODUCT(INDEX(PortfolioRef[[SPY]:[PE]],MATCH(NG$1,PortfolioRef[Reference '#]),0),AssetMonthlyReturns[[#This Row],[SPY]:[PE]])</f>
        <v>-6.0724561779754715E-3</v>
      </c>
      <c r="NH8" s="27">
        <f>IF(ISNUMBER(NH7),NH7*(1+PortfolioFrontier[[#This Row],[P93 Return]]),1+PortfolioFrontier[[#This Row],[P93 Return]])</f>
        <v>1.049000037392291</v>
      </c>
      <c r="NI8" s="27">
        <f>MAX(NI7,PortfolioFrontier[[#This Row],[P93 Growth]])</f>
        <v>1.0640270127298419</v>
      </c>
      <c r="NJ8" s="27">
        <f>PortfolioFrontier[[#This Row],[P93 Growth]]/PortfolioFrontier[[#This Row],[P93 HWM]]-1</f>
        <v>-1.4122738575027438E-2</v>
      </c>
      <c r="NK8" s="28">
        <f>SUMPRODUCT(INDEX(PortfolioRef[[SPY]:[PE]],MATCH(NK$1,PortfolioRef[Reference '#]),0),AssetMonthlyReturns[[#This Row],[SPY]:[PE]])</f>
        <v>-9.83777973622596E-3</v>
      </c>
      <c r="NL8" s="27">
        <f>IF(ISNUMBER(NL7),NL7*(1+PortfolioFrontier[[#This Row],[P94 Return]]),1+PortfolioFrontier[[#This Row],[P94 Return]])</f>
        <v>1.0526062603062245</v>
      </c>
      <c r="NM8" s="27">
        <f>MAX(NM7,PortfolioFrontier[[#This Row],[P94 Growth]])</f>
        <v>1.0784348579235736</v>
      </c>
      <c r="NN8" s="27">
        <f>PortfolioFrontier[[#This Row],[P94 Growth]]/PortfolioFrontier[[#This Row],[P94 HWM]]-1</f>
        <v>-2.3950076750189342E-2</v>
      </c>
      <c r="NO8" s="28">
        <f>SUMPRODUCT(INDEX(PortfolioRef[[SPY]:[PE]],MATCH(NO$1,PortfolioRef[Reference '#]),0),AssetMonthlyReturns[[#This Row],[SPY]:[PE]])</f>
        <v>-8.7540322640451643E-3</v>
      </c>
      <c r="NP8" s="27">
        <f>IF(ISNUMBER(NP7),NP7*(1+PortfolioFrontier[[#This Row],[P95 Return]]),1+PortfolioFrontier[[#This Row],[P95 Return]])</f>
        <v>1.0520805457285463</v>
      </c>
      <c r="NQ8" s="27">
        <f>MAX(NQ7,PortfolioFrontier[[#This Row],[P95 Growth]])</f>
        <v>1.0735056248114374</v>
      </c>
      <c r="NR8" s="27">
        <f>PortfolioFrontier[[#This Row],[P95 Growth]]/PortfolioFrontier[[#This Row],[P95 HWM]]-1</f>
        <v>-1.995805013751506E-2</v>
      </c>
      <c r="NS8" s="28">
        <f>SUMPRODUCT(INDEX(PortfolioRef[[SPY]:[PE]],MATCH(NS$1,PortfolioRef[Reference '#]),0),AssetMonthlyReturns[[#This Row],[SPY]:[PE]])</f>
        <v>-7.6702847918643678E-3</v>
      </c>
      <c r="NT8" s="27">
        <f>IF(ISNUMBER(NT7),NT7*(1+PortfolioFrontier[[#This Row],[P96 Return]]),1+PortfolioFrontier[[#This Row],[P96 Return]])</f>
        <v>1.0515343333267664</v>
      </c>
      <c r="NU8" s="27">
        <f>MAX(NU7,PortfolioFrontier[[#This Row],[P96 Growth]])</f>
        <v>1.0685886126335014</v>
      </c>
      <c r="NV8" s="27">
        <f>PortfolioFrontier[[#This Row],[P96 Growth]]/PortfolioFrontier[[#This Row],[P96 HWM]]-1</f>
        <v>-1.5959630399490443E-2</v>
      </c>
      <c r="NW8" s="28">
        <f>SUMPRODUCT(INDEX(PortfolioRef[[SPY]:[PE]],MATCH(NW$1,PortfolioRef[Reference '#]),0),AssetMonthlyReturns[[#This Row],[SPY]:[PE]])</f>
        <v>-3.1731632039327163E-3</v>
      </c>
      <c r="NX8" s="27">
        <f>IF(ISNUMBER(NX7),NX7*(1+PortfolioFrontier[[#This Row],[P97 Return]]),1+PortfolioFrontier[[#This Row],[P97 Return]])</f>
        <v>1.0393018964176111</v>
      </c>
      <c r="NY8" s="27">
        <f>MAX(NY7,PortfolioFrontier[[#This Row],[P97 Growth]])</f>
        <v>1.0484110933688224</v>
      </c>
      <c r="NZ8" s="27">
        <f>PortfolioFrontier[[#This Row],[P97 Growth]]/PortfolioFrontier[[#This Row],[P97 HWM]]-1</f>
        <v>-8.6885736032619176E-3</v>
      </c>
      <c r="OA8" s="28">
        <f>SUMPRODUCT(INDEX(PortfolioRef[[SPY]:[PE]],MATCH(OA$1,PortfolioRef[Reference '#]),0),AssetMonthlyReturns[[#This Row],[SPY]:[PE]])</f>
        <v>-2.853570603873712E-3</v>
      </c>
      <c r="OB8" s="27">
        <f>IF(ISNUMBER(OB7),OB7*(1+PortfolioFrontier[[#This Row],[P98 Return]]),1+PortfolioFrontier[[#This Row],[P98 Return]])</f>
        <v>1.0391329448565816</v>
      </c>
      <c r="OC8" s="27">
        <f>MAX(OC7,PortfolioFrontier[[#This Row],[P98 Growth]])</f>
        <v>1.0495119600802785</v>
      </c>
      <c r="OD8" s="27">
        <f>PortfolioFrontier[[#This Row],[P98 Growth]]/PortfolioFrontier[[#This Row],[P98 HWM]]-1</f>
        <v>-9.8893729833273714E-3</v>
      </c>
      <c r="OE8" s="28">
        <f>SUMPRODUCT(INDEX(PortfolioRef[[SPY]:[PE]],MATCH(OE$1,PortfolioRef[Reference '#]),0),AssetMonthlyReturns[[#This Row],[SPY]:[PE]])</f>
        <v>-4.4513992177626083E-3</v>
      </c>
      <c r="OF8" s="27">
        <f>IF(ISNUMBER(OF7),OF7*(1+PortfolioFrontier[[#This Row],[P99 Return]]),1+PortfolioFrontier[[#This Row],[P99 Return]])</f>
        <v>1.0416763187576925</v>
      </c>
      <c r="OG8" s="27">
        <f>MAX(OG7,PortfolioFrontier[[#This Row],[P99 Growth]])</f>
        <v>1.0540388768476066</v>
      </c>
      <c r="OH8" s="27">
        <f>PortfolioFrontier[[#This Row],[P99 Growth]]/PortfolioFrontier[[#This Row],[P99 HWM]]-1</f>
        <v>-1.1728749632924029E-2</v>
      </c>
      <c r="OI8" s="28">
        <f>SUMPRODUCT(INDEX(PortfolioRef[[SPY]:[PE]],MATCH(OI$1,PortfolioRef[Reference '#]),0),AssetMonthlyReturns[[#This Row],[SPY]:[PE]])</f>
        <v>-3.3676517455818126E-3</v>
      </c>
      <c r="OJ8" s="27">
        <f>IF(ISNUMBER(OJ7),OJ7*(1+PortfolioFrontier[[#This Row],[P100 Return]]),1+PortfolioFrontier[[#This Row],[P100 Return]])</f>
        <v>1.0410942297216399</v>
      </c>
      <c r="OK8" s="27">
        <f>MAX(OK7,PortfolioFrontier[[#This Row],[P100 Growth]])</f>
        <v>1.0491869354790497</v>
      </c>
      <c r="OL8" s="27">
        <f>PortfolioFrontier[[#This Row],[P100 Growth]]/PortfolioFrontier[[#This Row],[P100 HWM]]-1</f>
        <v>-7.7133115975321909E-3</v>
      </c>
      <c r="OM8" s="28">
        <f>SUMPRODUCT(INDEX(PortfolioRef[[SPY]:[PE]],MATCH(OM$1,PortfolioRef[Reference '#]),0),AssetMonthlyReturns[[#This Row],[SPY]:[PE]])</f>
        <v>-2.5339780038147073E-3</v>
      </c>
      <c r="ON8" s="27">
        <f>IF(ISNUMBER(ON7),ON7*(1+PortfolioFrontier[[#This Row],[P101 Return]]),1+PortfolioFrontier[[#This Row],[P101 Return]])</f>
        <v>1.0389388024091137</v>
      </c>
      <c r="OO8" s="27">
        <f>MAX(OO7,PortfolioFrontier[[#This Row],[P101 Growth]])</f>
        <v>1.05059106106777</v>
      </c>
      <c r="OP8" s="27">
        <f>PortfolioFrontier[[#This Row],[P101 Growth]]/PortfolioFrontier[[#This Row],[P101 HWM]]-1</f>
        <v>-1.1091145823012738E-2</v>
      </c>
      <c r="OQ8" s="28">
        <f>SUMPRODUCT(INDEX(PortfolioRef[[SPY]:[PE]],MATCH(OQ$1,PortfolioRef[Reference '#]),0),AssetMonthlyReturns[[#This Row],[SPY]:[PE]])</f>
        <v>-4.1318066177036036E-3</v>
      </c>
      <c r="OR8" s="27">
        <f>IF(ISNUMBER(OR7),OR7*(1+PortfolioFrontier[[#This Row],[P102 Return]]),1+PortfolioFrontier[[#This Row],[P102 Return]])</f>
        <v>1.0414994065467833</v>
      </c>
      <c r="OS8" s="27">
        <f>MAX(OS7,PortfolioFrontier[[#This Row],[P102 Growth]])</f>
        <v>1.0551404417516972</v>
      </c>
      <c r="OT8" s="27">
        <f>PortfolioFrontier[[#This Row],[P102 Growth]]/PortfolioFrontier[[#This Row],[P102 HWM]]-1</f>
        <v>-1.2928170189617227E-2</v>
      </c>
      <c r="OU8" s="28">
        <f>SUMPRODUCT(INDEX(PortfolioRef[[SPY]:[PE]],MATCH(OU$1,PortfolioRef[Reference '#]),0),AssetMonthlyReturns[[#This Row],[SPY]:[PE]])</f>
        <v>-3.0480591455228079E-3</v>
      </c>
      <c r="OV8" s="27">
        <f>IF(ISNUMBER(OV7),OV7*(1+PortfolioFrontier[[#This Row],[P103 Return]]),1+PortfolioFrontier[[#This Row],[P103 Return]])</f>
        <v>1.0409290895777663</v>
      </c>
      <c r="OW8" s="27">
        <f>MAX(OW7,PortfolioFrontier[[#This Row],[P103 Growth]])</f>
        <v>1.050290793565243</v>
      </c>
      <c r="OX8" s="27">
        <f>PortfolioFrontier[[#This Row],[P103 Growth]]/PortfolioFrontier[[#This Row],[P103 HWM]]-1</f>
        <v>-8.9134400156913873E-3</v>
      </c>
      <c r="OY8" s="28">
        <f>SUMPRODUCT(INDEX(PortfolioRef[[SPY]:[PE]],MATCH(OY$1,PortfolioRef[Reference '#]),0),AssetMonthlyReturns[[#This Row],[SPY]:[PE]])</f>
        <v>-5.7296352315925007E-3</v>
      </c>
      <c r="OZ8" s="27">
        <f>IF(ISNUMBER(OZ7),OZ7*(1+PortfolioFrontier[[#This Row],[P104 Return]]),1+PortfolioFrontier[[#This Row],[P104 Return]])</f>
        <v>1.0440403874338813</v>
      </c>
      <c r="PA8" s="27">
        <f>MAX(PA7,PortfolioFrontier[[#This Row],[P104 Growth]])</f>
        <v>1.0596859973699932</v>
      </c>
      <c r="PB8" s="27">
        <f>PortfolioFrontier[[#This Row],[P104 Growth]]/PortfolioFrontier[[#This Row],[P104 HWM]]-1</f>
        <v>-1.4764383010573368E-2</v>
      </c>
      <c r="PC8" s="28">
        <f>SUMPRODUCT(INDEX(PortfolioRef[[SPY]:[PE]],MATCH(PC$1,PortfolioRef[Reference '#]),0),AssetMonthlyReturns[[#This Row],[SPY]:[PE]])</f>
        <v>-4.6458877594117041E-3</v>
      </c>
      <c r="PD8" s="27">
        <f>IF(ISNUMBER(PD7),PD7*(1+PortfolioFrontier[[#This Row],[P105 Return]]),1+PortfolioFrontier[[#This Row],[P105 Return]])</f>
        <v>1.0434727403394191</v>
      </c>
      <c r="PE8" s="27">
        <f>MAX(PE7,PortfolioFrontier[[#This Row],[P105 Growth]])</f>
        <v>1.0548169175297899</v>
      </c>
      <c r="PF8" s="27">
        <f>PortfolioFrontier[[#This Row],[P105 Growth]]/PortfolioFrontier[[#This Row],[P105 HWM]]-1</f>
        <v>-1.0754640925685011E-2</v>
      </c>
      <c r="PG8" s="28">
        <f>SUMPRODUCT(INDEX(PortfolioRef[[SPY]:[PE]],MATCH(PG$1,PortfolioRef[Reference '#]),0),AssetMonthlyReturns[[#This Row],[SPY]:[PE]])</f>
        <v>-3.5621402872309084E-3</v>
      </c>
      <c r="PH8" s="27">
        <f>IF(ISNUMBER(PH7),PH7*(1+PortfolioFrontier[[#This Row],[P106 Return]]),1+PortfolioFrontier[[#This Row],[P106 Return]])</f>
        <v>1.0428848177239713</v>
      </c>
      <c r="PI8" s="27">
        <f>MAX(PI7,PortfolioFrontier[[#This Row],[P106 Growth]])</f>
        <v>1.0499599790437477</v>
      </c>
      <c r="PJ8" s="27">
        <f>PortfolioFrontier[[#This Row],[P106 Growth]]/PortfolioFrontier[[#This Row],[P106 HWM]]-1</f>
        <v>-6.7385057154465411E-3</v>
      </c>
      <c r="PK8" s="28">
        <f>SUMPRODUCT(INDEX(PortfolioRef[[SPY]:[PE]],MATCH(PK$1,PortfolioRef[Reference '#]),0),AssetMonthlyReturns[[#This Row],[SPY]:[PE]])</f>
        <v>-3.8122140176445993E-3</v>
      </c>
      <c r="PL8" s="27">
        <f>IF(ISNUMBER(PL7),PL7*(1+PortfolioFrontier[[#This Row],[P107 Return]]),1+PortfolioFrontier[[#This Row],[P107 Return]])</f>
        <v>1.0412973123661622</v>
      </c>
      <c r="PM8" s="27">
        <f>MAX(PM7,PortfolioFrontier[[#This Row],[P107 Growth]])</f>
        <v>1.0562201870951351</v>
      </c>
      <c r="PN8" s="27">
        <f>PortfolioFrontier[[#This Row],[P107 Growth]]/PortfolioFrontier[[#This Row],[P107 HWM]]-1</f>
        <v>-1.4128564205929894E-2</v>
      </c>
      <c r="PO8" s="28">
        <f>SUMPRODUCT(INDEX(PortfolioRef[[SPY]:[PE]],MATCH(PO$1,PortfolioRef[Reference '#]),0),AssetMonthlyReturns[[#This Row],[SPY]:[PE]])</f>
        <v>-2.7284665454638036E-3</v>
      </c>
      <c r="PP8" s="27">
        <f>IF(ISNUMBER(PP7),PP7*(1+PortfolioFrontier[[#This Row],[P108 Return]]),1+PortfolioFrontier[[#This Row],[P108 Return]])</f>
        <v>1.0407387005245847</v>
      </c>
      <c r="PQ8" s="27">
        <f>MAX(PQ7,PortfolioFrontier[[#This Row],[P108 Growth]])</f>
        <v>1.051372855315329</v>
      </c>
      <c r="PR8" s="27">
        <f>PortfolioFrontier[[#This Row],[P108 Growth]]/PortfolioFrontier[[#This Row],[P108 HWM]]-1</f>
        <v>-1.0114541893470164E-2</v>
      </c>
      <c r="PS8" s="28">
        <f>SUMPRODUCT(INDEX(PortfolioRef[[SPY]:[PE]],MATCH(PS$1,PortfolioRef[Reference '#]),0),AssetMonthlyReturns[[#This Row],[SPY]:[PE]])</f>
        <v>-5.410042631533496E-3</v>
      </c>
      <c r="PT8" s="27">
        <f>IF(ISNUMBER(PT7),PT7*(1+PortfolioFrontier[[#This Row],[P109 Return]]),1+PortfolioFrontier[[#This Row],[P109 Return]])</f>
        <v>1.0438555001616079</v>
      </c>
      <c r="PU8" s="27">
        <f>MAX(PU7,PortfolioFrontier[[#This Row],[P109 Growth]])</f>
        <v>1.0607882528163963</v>
      </c>
      <c r="PV8" s="27">
        <f>PortfolioFrontier[[#This Row],[P109 Growth]]/PortfolioFrontier[[#This Row],[P109 HWM]]-1</f>
        <v>-1.5962424743893866E-2</v>
      </c>
      <c r="PW8" s="28">
        <f>SUMPRODUCT(INDEX(PortfolioRef[[SPY]:[PE]],MATCH(PW$1,PortfolioRef[Reference '#]),0),AssetMonthlyReturns[[#This Row],[SPY]:[PE]])</f>
        <v>-4.3262951593527003E-3</v>
      </c>
      <c r="PX8" s="27">
        <f>IF(ISNUMBER(PX7),PX7*(1+PortfolioFrontier[[#This Row],[P110 Return]]),1+PortfolioFrontier[[#This Row],[P110 Return]])</f>
        <v>1.0432996344952368</v>
      </c>
      <c r="PY8" s="27">
        <f>MAX(PY7,PortfolioFrontier[[#This Row],[P110 Growth]])</f>
        <v>1.0559214762599245</v>
      </c>
      <c r="PZ8" s="27">
        <f>PortfolioFrontier[[#This Row],[P110 Growth]]/PortfolioFrontier[[#This Row],[P110 HWM]]-1</f>
        <v>-1.1953390520471618E-2</v>
      </c>
      <c r="QA8" s="28">
        <f>SUMPRODUCT(INDEX(PortfolioRef[[SPY]:[PE]],MATCH(QA$1,PortfolioRef[Reference '#]),0),AssetMonthlyReturns[[#This Row],[SPY]:[PE]])</f>
        <v>-3.2425476871719042E-3</v>
      </c>
      <c r="QB8" s="27">
        <f>IF(ISNUMBER(QB7),QB7*(1+PortfolioFrontier[[#This Row],[P111 Return]]),1+PortfolioFrontier[[#This Row],[P111 Return]])</f>
        <v>1.0427235080203396</v>
      </c>
      <c r="QC8" s="27">
        <f>MAX(QC7,PortfolioFrontier[[#This Row],[P111 Growth]])</f>
        <v>1.0510668378703485</v>
      </c>
      <c r="QD8" s="27">
        <f>PortfolioFrontier[[#This Row],[P111 Growth]]/PortfolioFrontier[[#This Row],[P111 HWM]]-1</f>
        <v>-7.9379631716989252E-3</v>
      </c>
      <c r="QE8" s="28">
        <f>SUMPRODUCT(INDEX(PortfolioRef[[SPY]:[PE]],MATCH(QE$1,PortfolioRef[Reference '#]),0),AssetMonthlyReturns[[#This Row],[SPY]:[PE]])</f>
        <v>-7.0078712454223922E-3</v>
      </c>
      <c r="QF8" s="27">
        <f>IF(ISNUMBER(QF7),QF7*(1+PortfolioFrontier[[#This Row],[P112 Return]]),1+PortfolioFrontier[[#This Row],[P112 Return]])</f>
        <v>1.0463940340989166</v>
      </c>
      <c r="QG8" s="27">
        <f>MAX(QG7,PortfolioFrontier[[#This Row],[P112 Growth]])</f>
        <v>1.0653524862884685</v>
      </c>
      <c r="QH8" s="27">
        <f>PortfolioFrontier[[#This Row],[P112 Growth]]/PortfolioFrontier[[#This Row],[P112 HWM]]-1</f>
        <v>-1.7795473736209377E-2</v>
      </c>
      <c r="QI8" s="28">
        <f>SUMPRODUCT(INDEX(PortfolioRef[[SPY]:[PE]],MATCH(QI$1,PortfolioRef[Reference '#]),0),AssetMonthlyReturns[[#This Row],[SPY]:[PE]])</f>
        <v>-5.9241237732415965E-3</v>
      </c>
      <c r="QJ8" s="27">
        <f>IF(ISNUMBER(QJ7),QJ7*(1+PortfolioFrontier[[#This Row],[P113 Return]]),1+PortfolioFrontier[[#This Row],[P113 Return]])</f>
        <v>1.045840896328563</v>
      </c>
      <c r="QK8" s="27">
        <f>MAX(QK7,PortfolioFrontier[[#This Row],[P113 Growth]])</f>
        <v>1.0604662396975308</v>
      </c>
      <c r="QL8" s="27">
        <f>PortfolioFrontier[[#This Row],[P113 Growth]]/PortfolioFrontier[[#This Row],[P113 HWM]]-1</f>
        <v>-1.3791427601824724E-2</v>
      </c>
      <c r="QM8" s="28">
        <f>SUMPRODUCT(INDEX(PortfolioRef[[SPY]:[PE]],MATCH(QM$1,PortfolioRef[Reference '#]),0),AssetMonthlyReturns[[#This Row],[SPY]:[PE]])</f>
        <v>-4.8403763010608E-3</v>
      </c>
      <c r="QN8" s="27">
        <f>IF(ISNUMBER(QN7),QN7*(1+PortfolioFrontier[[#This Row],[P114 Return]]),1+PortfolioFrontier[[#This Row],[P114 Return]])</f>
        <v>1.0452674220229392</v>
      </c>
      <c r="QO8" s="27">
        <f>MAX(QO7,PortfolioFrontier[[#This Row],[P114 Growth]])</f>
        <v>1.0555921566006516</v>
      </c>
      <c r="QP8" s="27">
        <f>PortfolioFrontier[[#This Row],[P114 Growth]]/PortfolioFrontier[[#This Row],[P114 HWM]]-1</f>
        <v>-9.7809883420898469E-3</v>
      </c>
      <c r="QQ8" s="28">
        <f>SUMPRODUCT(INDEX(PortfolioRef[[SPY]:[PE]],MATCH(QQ$1,PortfolioRef[Reference '#]),0),AssetMonthlyReturns[[#This Row],[SPY]:[PE]])</f>
        <v>-5.0904500314744921E-3</v>
      </c>
      <c r="QR8" s="27">
        <f>IF(ISNUMBER(QR7),QR7*(1+PortfolioFrontier[[#This Row],[P115 Return]]),1+PortfolioFrontier[[#This Row],[P115 Return]])</f>
        <v>1.0436454400674067</v>
      </c>
      <c r="QS8" s="27">
        <f>MAX(QS7,PortfolioFrontier[[#This Row],[P115 Growth]])</f>
        <v>1.0618686348654582</v>
      </c>
      <c r="QT8" s="27">
        <f>PortfolioFrontier[[#This Row],[P115 Growth]]/PortfolioFrontier[[#This Row],[P115 HWM]]-1</f>
        <v>-1.7161439936834055E-2</v>
      </c>
      <c r="QU8" s="28">
        <f>SUMPRODUCT(INDEX(PortfolioRef[[SPY]:[PE]],MATCH(QU$1,PortfolioRef[Reference '#]),0),AssetMonthlyReturns[[#This Row],[SPY]:[PE]])</f>
        <v>-4.0067025592936956E-3</v>
      </c>
      <c r="QV8" s="27">
        <f>IF(ISNUMBER(QV7),QV7*(1+PortfolioFrontier[[#This Row],[P116 Return]]),1+PortfolioFrontier[[#This Row],[P116 Return]])</f>
        <v>1.0431012887252411</v>
      </c>
      <c r="QW8" s="27">
        <f>MAX(QW7,PortfolioFrontier[[#This Row],[P116 Growth]])</f>
        <v>1.0570041848172638</v>
      </c>
      <c r="QX8" s="27">
        <f>PortfolioFrontier[[#This Row],[P116 Growth]]/PortfolioFrontier[[#This Row],[P116 HWM]]-1</f>
        <v>-1.3153113574877917E-2</v>
      </c>
      <c r="QY8" s="28">
        <f>SUMPRODUCT(INDEX(PortfolioRef[[SPY]:[PE]],MATCH(QY$1,PortfolioRef[Reference '#]),0),AssetMonthlyReturns[[#This Row],[SPY]:[PE]])</f>
        <v>-2.9229550871128999E-3</v>
      </c>
      <c r="QZ8" s="27">
        <f>IF(ISNUMBER(QZ7),QZ7*(1+PortfolioFrontier[[#This Row],[P117 Return]]),1+PortfolioFrontier[[#This Row],[P117 Return]])</f>
        <v>1.0425368913229609</v>
      </c>
      <c r="RA8" s="27">
        <f>MAX(RA7,PortfolioFrontier[[#This Row],[P117 Growth]])</f>
        <v>1.0521518697486996</v>
      </c>
      <c r="RB8" s="27">
        <f>PortfolioFrontier[[#This Row],[P117 Growth]]/PortfolioFrontier[[#This Row],[P117 HWM]]-1</f>
        <v>-9.1383940875713332E-3</v>
      </c>
      <c r="RC8" s="28">
        <f>SUMPRODUCT(INDEX(PortfolioRef[[SPY]:[PE]],MATCH(RC$1,PortfolioRef[Reference '#]),0),AssetMonthlyReturns[[#This Row],[SPY]:[PE]])</f>
        <v>-6.6882786453633884E-3</v>
      </c>
      <c r="RD8" s="27">
        <f>IF(ISNUMBER(RD7),RD7*(1+PortfolioFrontier[[#This Row],[P118 Return]]),1+PortfolioFrontier[[#This Row],[P118 Return]])</f>
        <v>1.0462011574753118</v>
      </c>
      <c r="RE8" s="27">
        <f>MAX(RE7,PortfolioFrontier[[#This Row],[P118 Growth]])</f>
        <v>1.0664554246268612</v>
      </c>
      <c r="RF8" s="27">
        <f>PortfolioFrontier[[#This Row],[P118 Growth]]/PortfolioFrontier[[#This Row],[P118 HWM]]-1</f>
        <v>-1.8992136646157509E-2</v>
      </c>
      <c r="RG8" s="28">
        <f>SUMPRODUCT(INDEX(PortfolioRef[[SPY]:[PE]],MATCH(RG$1,PortfolioRef[Reference '#]),0),AssetMonthlyReturns[[#This Row],[SPY]:[PE]])</f>
        <v>-5.6045311731825927E-3</v>
      </c>
      <c r="RH8" s="27">
        <f>IF(ISNUMBER(RH7),RH7*(1+PortfolioFrontier[[#This Row],[P119 Return]]),1+PortfolioFrontier[[#This Row],[P119 Return]])</f>
        <v>1.045659810377592</v>
      </c>
      <c r="RI8" s="27">
        <f>MAX(RI7,PortfolioFrontier[[#This Row],[P119 Growth]])</f>
        <v>1.0615714914212842</v>
      </c>
      <c r="RJ8" s="27">
        <f>PortfolioFrontier[[#This Row],[P119 Growth]]/PortfolioFrontier[[#This Row],[P119 HWM]]-1</f>
        <v>-1.4988798373238854E-2</v>
      </c>
      <c r="RK8" s="28">
        <f>SUMPRODUCT(INDEX(PortfolioRef[[SPY]:[PE]],MATCH(RK$1,PortfolioRef[Reference '#]),0),AssetMonthlyReturns[[#This Row],[SPY]:[PE]])</f>
        <v>-4.5207837010017961E-3</v>
      </c>
      <c r="RL8" s="27">
        <f>IF(ISNUMBER(RL7),RL7*(1+PortfolioFrontier[[#This Row],[P120 Return]]),1+PortfolioFrontier[[#This Row],[P120 Return]])</f>
        <v>1.0450981415404095</v>
      </c>
      <c r="RM8" s="27">
        <f>MAX(RM7,PortfolioFrontier[[#This Row],[P120 Growth]])</f>
        <v>1.0566997185225</v>
      </c>
      <c r="RN8" s="27">
        <f>PortfolioFrontier[[#This Row],[P120 Growth]]/PortfolioFrontier[[#This Row],[P120 HWM]]-1</f>
        <v>-1.0979066974970086E-2</v>
      </c>
      <c r="RO8" s="28">
        <f>SUMPRODUCT(INDEX(PortfolioRef[[SPY]:[PE]],MATCH(RO$1,PortfolioRef[Reference '#]),0),AssetMonthlyReturns[[#This Row],[SPY]:[PE]])</f>
        <v>-8.2861072592522837E-3</v>
      </c>
      <c r="RP8" s="27">
        <f>IF(ISNUMBER(RP7),RP7*(1+PortfolioFrontier[[#This Row],[P121 Return]]),1+PortfolioFrontier[[#This Row],[P121 Return]])</f>
        <v>1.0487371905530258</v>
      </c>
      <c r="RQ8" s="27">
        <f>MAX(RQ7,PortfolioFrontier[[#This Row],[P121 Growth]])</f>
        <v>1.0710383749555177</v>
      </c>
      <c r="RR8" s="27">
        <f>PortfolioFrontier[[#This Row],[P121 Growth]]/PortfolioFrontier[[#This Row],[P121 HWM]]-1</f>
        <v>-2.0822021809832947E-2</v>
      </c>
      <c r="RS8" s="28">
        <f>SUMPRODUCT(INDEX(PortfolioRef[[SPY]:[PE]],MATCH(RS$1,PortfolioRef[Reference '#]),0),AssetMonthlyReturns[[#This Row],[SPY]:[PE]])</f>
        <v>-7.202359787071488E-3</v>
      </c>
      <c r="RT8" s="27">
        <f>IF(ISNUMBER(RT7),RT7*(1+PortfolioFrontier[[#This Row],[P122 Return]]),1+PortfolioFrontier[[#This Row],[P122 Return]])</f>
        <v>1.0481986293073775</v>
      </c>
      <c r="RU8" s="27">
        <f>MAX(RU7,PortfolioFrontier[[#This Row],[P122 Growth]])</f>
        <v>1.0661349333347574</v>
      </c>
      <c r="RV8" s="27">
        <f>PortfolioFrontier[[#This Row],[P122 Growth]]/PortfolioFrontier[[#This Row],[P122 HWM]]-1</f>
        <v>-1.6823671625951775E-2</v>
      </c>
      <c r="RW8" s="28">
        <f>SUMPRODUCT(INDEX(PortfolioRef[[SPY]:[PE]],MATCH(RW$1,PortfolioRef[Reference '#]),0),AssetMonthlyReturns[[#This Row],[SPY]:[PE]])</f>
        <v>-6.1186123148906923E-3</v>
      </c>
      <c r="RX8" s="27">
        <f>IF(ISNUMBER(RX7),RX7*(1+PortfolioFrontier[[#This Row],[P123 Return]]),1+PortfolioFrontier[[#This Row],[P123 Return]])</f>
        <v>1.0476396707214568</v>
      </c>
      <c r="RY8" s="27">
        <f>MAX(RY7,PortfolioFrontier[[#This Row],[P123 Growth]])</f>
        <v>1.0612436773479528</v>
      </c>
      <c r="RZ8" s="27">
        <f>PortfolioFrontier[[#This Row],[P123 Growth]]/PortfolioFrontier[[#This Row],[P123 HWM]]-1</f>
        <v>-1.2818928316720268E-2</v>
      </c>
      <c r="SA8" s="28">
        <f>SUMPRODUCT(INDEX(PortfolioRef[[SPY]:[PE]],MATCH(SA$1,PortfolioRef[Reference '#]),0),AssetMonthlyReturns[[#This Row],[SPY]:[PE]])</f>
        <v>-6.3686860453043836E-3</v>
      </c>
      <c r="SB8" s="27">
        <f>IF(ISNUMBER(SB7),SB7*(1+PortfolioFrontier[[#This Row],[P124 Return]]),1+PortfolioFrontier[[#This Row],[P124 Return]])</f>
        <v>1.0459831174077945</v>
      </c>
      <c r="SC8" s="27">
        <f>MAX(SC7,PortfolioFrontier[[#This Row],[P124 Growth]])</f>
        <v>1.0675364357312243</v>
      </c>
      <c r="SD8" s="27">
        <f>PortfolioFrontier[[#This Row],[P124 Growth]]/PortfolioFrontier[[#This Row],[P124 HWM]]-1</f>
        <v>-2.0189773015725221E-2</v>
      </c>
      <c r="SE8" s="28">
        <f>SUMPRODUCT(INDEX(PortfolioRef[[SPY]:[PE]],MATCH(SE$1,PortfolioRef[Reference '#]),0),AssetMonthlyReturns[[#This Row],[SPY]:[PE]])</f>
        <v>-5.284938573123588E-3</v>
      </c>
      <c r="SF8" s="27">
        <f>IF(ISNUMBER(SF7),SF7*(1+PortfolioFrontier[[#This Row],[P125 Return]]),1+PortfolioFrontier[[#This Row],[P125 Return]])</f>
        <v>1.0454534937153461</v>
      </c>
      <c r="SG8" s="27">
        <f>MAX(SG7,PortfolioFrontier[[#This Row],[P125 Growth]])</f>
        <v>1.0626548391355537</v>
      </c>
      <c r="SH8" s="27">
        <f>PortfolioFrontier[[#This Row],[P125 Growth]]/PortfolioFrontier[[#This Row],[P125 HWM]]-1</f>
        <v>-1.6187142604272564E-2</v>
      </c>
      <c r="SI8" s="28">
        <f>SUMPRODUCT(INDEX(PortfolioRef[[SPY]:[PE]],MATCH(SI$1,PortfolioRef[Reference '#]),0),AssetMonthlyReturns[[#This Row],[SPY]:[PE]])</f>
        <v>-4.2011911009427914E-3</v>
      </c>
      <c r="SJ8" s="27">
        <f>IF(ISNUMBER(SJ7),SJ7*(1+PortfolioFrontier[[#This Row],[P126 Return]]),1+PortfolioFrontier[[#This Row],[P126 Return]])</f>
        <v>1.0449035631145276</v>
      </c>
      <c r="SK8" s="27">
        <f>MAX(SK7,PortfolioFrontier[[#This Row],[P126 Growth]])</f>
        <v>1.0577853996594109</v>
      </c>
      <c r="SL8" s="27">
        <f>PortfolioFrontier[[#This Row],[P126 Growth]]/PortfolioFrontier[[#This Row],[P126 HWM]]-1</f>
        <v>-1.2178119067469684E-2</v>
      </c>
      <c r="SM8" s="28">
        <f>SUMPRODUCT(INDEX(PortfolioRef[[SPY]:[PE]],MATCH(SM$1,PortfolioRef[Reference '#]),0),AssetMonthlyReturns[[#This Row],[SPY]:[PE]])</f>
        <v>-7.9665146591932808E-3</v>
      </c>
      <c r="SN8" s="27">
        <f>IF(ISNUMBER(SN7),SN7*(1+PortfolioFrontier[[#This Row],[P127 Return]]),1+PortfolioFrontier[[#This Row],[P127 Return]])</f>
        <v>1.0485363104096055</v>
      </c>
      <c r="SO8" s="27">
        <f>MAX(SO7,PortfolioFrontier[[#This Row],[P127 Growth]])</f>
        <v>1.072141988535577</v>
      </c>
      <c r="SP8" s="27">
        <f>PortfolioFrontier[[#This Row],[P127 Growth]]/PortfolioFrontier[[#This Row],[P127 HWM]]-1</f>
        <v>-2.201730589640849E-2</v>
      </c>
      <c r="SQ8" s="28">
        <f>SUMPRODUCT(INDEX(PortfolioRef[[SPY]:[PE]],MATCH(SQ$1,PortfolioRef[Reference '#]),0),AssetMonthlyReturns[[#This Row],[SPY]:[PE]])</f>
        <v>-6.8827671870124842E-3</v>
      </c>
      <c r="SR8" s="27">
        <f>IF(ISNUMBER(SR7),SR7*(1+PortfolioFrontier[[#This Row],[P128 Return]]),1+PortfolioFrontier[[#This Row],[P128 Return]])</f>
        <v>1.0480095489647503</v>
      </c>
      <c r="SS8" s="27">
        <f>MAX(SS7,PortfolioFrontier[[#This Row],[P128 Growth]])</f>
        <v>1.0672408704018066</v>
      </c>
      <c r="ST8" s="27">
        <f>PortfolioFrontier[[#This Row],[P128 Growth]]/PortfolioFrontier[[#This Row],[P128 HWM]]-1</f>
        <v>-1.8019663573993316E-2</v>
      </c>
      <c r="SU8" s="28">
        <f>SUMPRODUCT(INDEX(PortfolioRef[[SPY]:[PE]],MATCH(SU$1,PortfolioRef[Reference '#]),0),AssetMonthlyReturns[[#This Row],[SPY]:[PE]])</f>
        <v>-5.7990197148316885E-3</v>
      </c>
      <c r="SV8" s="27">
        <f>IF(ISNUMBER(SV7),SV7*(1+PortfolioFrontier[[#This Row],[P129 Return]]),1+PortfolioFrontier[[#This Row],[P129 Return]])</f>
        <v>1.0474624050585866</v>
      </c>
      <c r="SW8" s="27">
        <f>MAX(SW7,PortfolioFrontier[[#This Row],[P129 Growth]])</f>
        <v>1.0623519347147268</v>
      </c>
      <c r="SX8" s="27">
        <f>PortfolioFrontier[[#This Row],[P129 Growth]]/PortfolioFrontier[[#This Row],[P129 HWM]]-1</f>
        <v>-1.4015628126227808E-2</v>
      </c>
      <c r="SY8" s="28">
        <f>SUMPRODUCT(INDEX(PortfolioRef[[SPY]:[PE]],MATCH(SY$1,PortfolioRef[Reference '#]),0),AssetMonthlyReturns[[#This Row],[SPY]:[PE]])</f>
        <v>-9.5643432730821761E-3</v>
      </c>
      <c r="SZ8" s="27">
        <f>IF(ISNUMBER(SZ7),SZ7*(1+PortfolioFrontier[[#This Row],[P130 Return]]),1+PortfolioFrontier[[#This Row],[P130 Return]])</f>
        <v>1.0510697887453504</v>
      </c>
      <c r="TA8" s="27">
        <f>MAX(TA7,PortfolioFrontier[[#This Row],[P130 Growth]])</f>
        <v>1.0767436947236253</v>
      </c>
      <c r="TB8" s="27">
        <f>PortfolioFrontier[[#This Row],[P130 Growth]]/PortfolioFrontier[[#This Row],[P130 HWM]]-1</f>
        <v>-2.3844027231443188E-2</v>
      </c>
      <c r="TC8" s="28">
        <f>SUMPRODUCT(INDEX(PortfolioRef[[SPY]:[PE]],MATCH(TC$1,PortfolioRef[Reference '#]),0),AssetMonthlyReturns[[#This Row],[SPY]:[PE]])</f>
        <v>-8.4805958009013804E-3</v>
      </c>
      <c r="TD8" s="27">
        <f>IF(ISNUMBER(TD7),TD7*(1+PortfolioFrontier[[#This Row],[P131 Return]]),1+PortfolioFrontier[[#This Row],[P131 Return]])</f>
        <v>1.0505458710415982</v>
      </c>
      <c r="TE8" s="27">
        <f>MAX(TE7,PortfolioFrontier[[#This Row],[P131 Growth]])</f>
        <v>1.0718230297939548</v>
      </c>
      <c r="TF8" s="27">
        <f>PortfolioFrontier[[#This Row],[P131 Growth]]/PortfolioFrontier[[#This Row],[P131 HWM]]-1</f>
        <v>-1.9851372998065608E-2</v>
      </c>
      <c r="TG8" s="28">
        <f>SUMPRODUCT(INDEX(PortfolioRef[[SPY]:[PE]],MATCH(TG$1,PortfolioRef[Reference '#]),0),AssetMonthlyReturns[[#This Row],[SPY]:[PE]])</f>
        <v>-7.3968483287205847E-3</v>
      </c>
      <c r="TH8" s="27">
        <f>IF(ISNUMBER(TH7),TH7*(1+PortfolioFrontier[[#This Row],[P132 Return]]),1+PortfolioFrontier[[#This Row],[P132 Return]])</f>
        <v>1.0500014954033232</v>
      </c>
      <c r="TI8" s="27">
        <f>MAX(TI7,PortfolioFrontier[[#This Row],[P132 Growth]])</f>
        <v>1.0669145726381379</v>
      </c>
      <c r="TJ8" s="27">
        <f>PortfolioFrontier[[#This Row],[P132 Growth]]/PortfolioFrontier[[#This Row],[P132 HWM]]-1</f>
        <v>-1.5852325639337805E-2</v>
      </c>
      <c r="TK8" s="28">
        <f>SUMPRODUCT(INDEX(PortfolioRef[[SPY]:[PE]],MATCH(TK$1,PortfolioRef[Reference '#]),0),AssetMonthlyReturns[[#This Row],[SPY]:[PE]])</f>
        <v>-7.6469220591342752E-3</v>
      </c>
      <c r="TL8" s="27">
        <f>IF(ISNUMBER(TL7),TL7*(1+PortfolioFrontier[[#This Row],[P133 Return]]),1+PortfolioFrontier[[#This Row],[P133 Return]])</f>
        <v>1.0483102764296914</v>
      </c>
      <c r="TM8" s="27">
        <f>MAX(TM7,PortfolioFrontier[[#This Row],[P133 Growth]])</f>
        <v>1.0732236210449184</v>
      </c>
      <c r="TN8" s="27">
        <f>PortfolioFrontier[[#This Row],[P133 Growth]]/PortfolioFrontier[[#This Row],[P133 HWM]]-1</f>
        <v>-2.3213563442603613E-2</v>
      </c>
      <c r="TO8" s="28">
        <f>SUMPRODUCT(INDEX(PortfolioRef[[SPY]:[PE]],MATCH(TO$1,PortfolioRef[Reference '#]),0),AssetMonthlyReturns[[#This Row],[SPY]:[PE]])</f>
        <v>-6.5631745869534795E-3</v>
      </c>
      <c r="TP8" s="27">
        <f>IF(ISNUMBER(TP7),TP7*(1+PortfolioFrontier[[#This Row],[P134 Return]]),1+PortfolioFrontier[[#This Row],[P134 Return]])</f>
        <v>1.0477952473556034</v>
      </c>
      <c r="TQ8" s="27">
        <f>MAX(TQ7,PortfolioFrontier[[#This Row],[P134 Growth]])</f>
        <v>1.0683248496226843</v>
      </c>
      <c r="TR8" s="27">
        <f>PortfolioFrontier[[#This Row],[P134 Growth]]/PortfolioFrontier[[#This Row],[P134 HWM]]-1</f>
        <v>-1.9216628981654438E-2</v>
      </c>
      <c r="TS8" s="28">
        <f>SUMPRODUCT(INDEX(PortfolioRef[[SPY]:[PE]],MATCH(TS$1,PortfolioRef[Reference '#]),0),AssetMonthlyReturns[[#This Row],[SPY]:[PE]])</f>
        <v>-5.4794271147726838E-3</v>
      </c>
      <c r="TT8" s="27">
        <f>IF(ISNUMBER(TT7),TT7*(1+PortfolioFrontier[[#This Row],[P135 Return]]),1+PortfolioFrontier[[#This Row],[P135 Return]])</f>
        <v>1.0472598507337869</v>
      </c>
      <c r="TU8" s="27">
        <f>MAX(TU7,PortfolioFrontier[[#This Row],[P135 Growth]])</f>
        <v>1.0634382574598751</v>
      </c>
      <c r="TV8" s="27">
        <f>PortfolioFrontier[[#This Row],[P135 Growth]]/PortfolioFrontier[[#This Row],[P135 HWM]]-1</f>
        <v>-1.5213301395354928E-2</v>
      </c>
      <c r="TW8" s="28">
        <f>SUMPRODUCT(INDEX(PortfolioRef[[SPY]:[PE]],MATCH(TW$1,PortfolioRef[Reference '#]),0),AssetMonthlyReturns[[#This Row],[SPY]:[PE]])</f>
        <v>-9.2447506730231714E-3</v>
      </c>
      <c r="TX8" s="27">
        <f>IF(ISNUMBER(TX7),TX7*(1+PortfolioFrontier[[#This Row],[P136 Return]]),1+PortfolioFrontier[[#This Row],[P136 Return]])</f>
        <v>1.0508608910350776</v>
      </c>
      <c r="TY8" s="27">
        <f>MAX(TY7,PortfolioFrontier[[#This Row],[P136 Growth]])</f>
        <v>1.0778479758950288</v>
      </c>
      <c r="TZ8" s="27">
        <f>PortfolioFrontier[[#This Row],[P136 Growth]]/PortfolioFrontier[[#This Row],[P136 HWM]]-1</f>
        <v>-2.5037932494646586E-2</v>
      </c>
      <c r="UA8" s="28">
        <f>SUMPRODUCT(INDEX(PortfolioRef[[SPY]:[PE]],MATCH(UA$1,PortfolioRef[Reference '#]),0),AssetMonthlyReturns[[#This Row],[SPY]:[PE]])</f>
        <v>-8.1610032008423757E-3</v>
      </c>
      <c r="UB8" s="27">
        <f>IF(ISNUMBER(UB7),UB7*(1+PortfolioFrontier[[#This Row],[P137 Return]]),1+PortfolioFrontier[[#This Row],[P137 Return]])</f>
        <v>1.0503487821440238</v>
      </c>
      <c r="UC8" s="27">
        <f>MAX(UC7,PortfolioFrontier[[#This Row],[P137 Growth]])</f>
        <v>1.0729296445539775</v>
      </c>
      <c r="UD8" s="27">
        <f>PortfolioFrontier[[#This Row],[P137 Growth]]/PortfolioFrontier[[#This Row],[P137 HWM]]-1</f>
        <v>-2.1045986122734783E-2</v>
      </c>
      <c r="UE8" s="28">
        <f>SUMPRODUCT(INDEX(PortfolioRef[[SPY]:[PE]],MATCH(UE$1,PortfolioRef[Reference '#]),0),AssetMonthlyReturns[[#This Row],[SPY]:[PE]])</f>
        <v>-7.07725572866158E-3</v>
      </c>
      <c r="UF8" s="27">
        <f>IF(ISNUMBER(UF7),UF7*(1+PortfolioFrontier[[#This Row],[P138 Return]]),1+PortfolioFrontier[[#This Row],[P138 Return]])</f>
        <v>1.0498162302803737</v>
      </c>
      <c r="UG8" s="27">
        <f>MAX(UG7,PortfolioFrontier[[#This Row],[P138 Growth]])</f>
        <v>1.0680235177995143</v>
      </c>
      <c r="UH8" s="27">
        <f>PortfolioFrontier[[#This Row],[P138 Growth]]/PortfolioFrontier[[#This Row],[P138 HWM]]-1</f>
        <v>-1.7047646625472868E-2</v>
      </c>
      <c r="UI8" s="28">
        <f>SUMPRODUCT(INDEX(PortfolioRef[[SPY]:[PE]],MATCH(UI$1,PortfolioRef[Reference '#]),0),AssetMonthlyReturns[[#This Row],[SPY]:[PE]])</f>
        <v>-1.0842579286912069E-2</v>
      </c>
      <c r="UJ8" s="27">
        <f>IF(ISNUMBER(UJ7),UJ7*(1+PortfolioFrontier[[#This Row],[P139 Return]]),1+PortfolioFrontier[[#This Row],[P139 Return]])</f>
        <v>1.0533917607753704</v>
      </c>
      <c r="UK8" s="27">
        <f>MAX(UK7,PortfolioFrontier[[#This Row],[P139 Growth]])</f>
        <v>1.0824684769452779</v>
      </c>
      <c r="UL8" s="27">
        <f>PortfolioFrontier[[#This Row],[P139 Growth]]/PortfolioFrontier[[#This Row],[P139 HWM]]-1</f>
        <v>-2.6861490001040877E-2</v>
      </c>
      <c r="UM8" s="28">
        <f>SUMPRODUCT(INDEX(PortfolioRef[[SPY]:[PE]],MATCH(UM$1,PortfolioRef[Reference '#]),0),AssetMonthlyReturns[[#This Row],[SPY]:[PE]])</f>
        <v>-9.7588318147312711E-3</v>
      </c>
      <c r="UN8" s="27">
        <f>IF(ISNUMBER(UN7),UN7*(1+PortfolioFrontier[[#This Row],[P140 Return]]),1+PortfolioFrontier[[#This Row],[P140 Return]])</f>
        <v>1.0528825534458137</v>
      </c>
      <c r="UO8" s="27">
        <f>MAX(UO7,PortfolioFrontier[[#This Row],[P140 Growth]])</f>
        <v>1.0775305604276091</v>
      </c>
      <c r="UP8" s="27">
        <f>PortfolioFrontier[[#This Row],[P140 Growth]]/PortfolioFrontier[[#This Row],[P140 HWM]]-1</f>
        <v>-2.287453171816678E-2</v>
      </c>
      <c r="UQ8" s="28">
        <f>SUMPRODUCT(INDEX(PortfolioRef[[SPY]:[PE]],MATCH(UQ$1,PortfolioRef[Reference '#]),0),AssetMonthlyReturns[[#This Row],[SPY]:[PE]])</f>
        <v>-8.6750843425504754E-3</v>
      </c>
      <c r="UR8" s="27">
        <f>IF(ISNUMBER(UR7),UR7*(1+PortfolioFrontier[[#This Row],[P141 Return]]),1+PortfolioFrontier[[#This Row],[P141 Return]])</f>
        <v>1.052352827799703</v>
      </c>
      <c r="US8" s="27">
        <f>MAX(US7,PortfolioFrontier[[#This Row],[P141 Growth]])</f>
        <v>1.0726048738236913</v>
      </c>
      <c r="UT8" s="27">
        <f>PortfolioFrontier[[#This Row],[P141 Growth]]/PortfolioFrontier[[#This Row],[P141 HWM]]-1</f>
        <v>-1.8881180309942569E-2</v>
      </c>
    </row>
    <row r="9" spans="1:566" x14ac:dyDescent="0.2">
      <c r="B9" s="41">
        <f>AssetMonthlyReturns[[#This Row],[Date]]</f>
        <v>42644</v>
      </c>
      <c r="C9" s="28">
        <f>SUMPRODUCT(INDEX(PortfolioRef[[SPY]:[PE]],MATCH(C$1,PortfolioRef[Reference '#]),0),AssetMonthlyReturns[[#This Row],[SPY]:[PE]])</f>
        <v>-1.4363094109538321E-2</v>
      </c>
      <c r="D9" s="29">
        <f>IF(ISNUMBER(D8),D8*(1+PortfolioFrontier[[#This Row],[P1 Return]]),1+PortfolioFrontier[[#This Row],[P1 Return]])</f>
        <v>1.033405980374386</v>
      </c>
      <c r="E9" s="29">
        <f>MAX(E8,PortfolioFrontier[[#This Row],[P1 Growth]])</f>
        <v>1.0583442685325262</v>
      </c>
      <c r="F9" s="29">
        <f>PortfolioFrontier[[#This Row],[P1 Growth]]/PortfolioFrontier[[#This Row],[P1 HWM]]-1</f>
        <v>-2.3563493373209177E-2</v>
      </c>
      <c r="G9" s="28">
        <f>SUMPRODUCT(INDEX(PortfolioRef[[SPY]:[PE]],MATCH(G$1,PortfolioRef[Reference '#]),0),AssetMonthlyReturns[[#This Row],[SPY]:[PE]])</f>
        <v>-1.41519391780203E-2</v>
      </c>
      <c r="H9" s="27">
        <f>IF(ISNUMBER(H8),H8*(1+PortfolioFrontier[[#This Row],[P2 Return]]),1+PortfolioFrontier[[#This Row],[P2 Return]])</f>
        <v>1.0321290506632983</v>
      </c>
      <c r="I9" s="27">
        <f>MAX(I8,PortfolioFrontier[[#This Row],[P2 Growth]])</f>
        <v>1.0566950559387405</v>
      </c>
      <c r="J9" s="27">
        <f>PortfolioFrontier[[#This Row],[P2 Growth]]/PortfolioFrontier[[#This Row],[P2 HWM]]-1</f>
        <v>-2.3247960835416581E-2</v>
      </c>
      <c r="K9" s="28">
        <f>SUMPRODUCT(INDEX(PortfolioRef[[SPY]:[PE]],MATCH(K$1,PortfolioRef[Reference '#]),0),AssetMonthlyReturns[[#This Row],[SPY]:[PE]])</f>
        <v>-1.5217909727960903E-2</v>
      </c>
      <c r="L9" s="27">
        <f>IF(ISNUMBER(L8),L8*(1+PortfolioFrontier[[#This Row],[P3 Return]]),1+PortfolioFrontier[[#This Row],[P3 Return]])</f>
        <v>1.0308723166101197</v>
      </c>
      <c r="M9" s="27">
        <f>MAX(M8,PortfolioFrontier[[#This Row],[P3 Growth]])</f>
        <v>1.0578303960203519</v>
      </c>
      <c r="N9" s="27">
        <f>PortfolioFrontier[[#This Row],[P3 Growth]]/PortfolioFrontier[[#This Row],[P3 HWM]]-1</f>
        <v>-2.5484311579295538E-2</v>
      </c>
      <c r="O9" s="28">
        <f>SUMPRODUCT(INDEX(PortfolioRef[[SPY]:[PE]],MATCH(O$1,PortfolioRef[Reference '#]),0),AssetMonthlyReturns[[#This Row],[SPY]:[PE]])</f>
        <v>-1.6290320233732558E-2</v>
      </c>
      <c r="P9" s="27">
        <f>IF(ISNUMBER(P8),P8*(1+PortfolioFrontier[[#This Row],[P4 Return]]),1+PortfolioFrontier[[#This Row],[P4 Return]])</f>
        <v>1.0322281008913023</v>
      </c>
      <c r="Q9" s="27">
        <f>MAX(Q8,PortfolioFrontier[[#This Row],[P4 Growth]])</f>
        <v>1.0623520608453636</v>
      </c>
      <c r="R9" s="27">
        <f>PortfolioFrontier[[#This Row],[P4 Growth]]/PortfolioFrontier[[#This Row],[P4 HWM]]-1</f>
        <v>-2.8355910497401604E-2</v>
      </c>
      <c r="S9" s="28">
        <f>SUMPRODUCT(INDEX(PortfolioRef[[SPY]:[PE]],MATCH(S$1,PortfolioRef[Reference '#]),0),AssetMonthlyReturns[[#This Row],[SPY]:[PE]])</f>
        <v>-1.2902889874932145E-2</v>
      </c>
      <c r="T9" s="27">
        <f>IF(ISNUMBER(T8),T8*(1+PortfolioFrontier[[#This Row],[P5 Return]]),1+PortfolioFrontier[[#This Row],[P5 Return]])</f>
        <v>1.0351985577378606</v>
      </c>
      <c r="U9" s="27">
        <f>MAX(U8,PortfolioFrontier[[#This Row],[P5 Growth]])</f>
        <v>1.0574575081284934</v>
      </c>
      <c r="V9" s="27">
        <f>PortfolioFrontier[[#This Row],[P5 Growth]]/PortfolioFrontier[[#This Row],[P5 HWM]]-1</f>
        <v>-2.1049498650803522E-2</v>
      </c>
      <c r="W9" s="28">
        <f>SUMPRODUCT(INDEX(PortfolioRef[[SPY]:[PE]],MATCH(W$1,PortfolioRef[Reference '#]),0),AssetMonthlyReturns[[#This Row],[SPY]:[PE]])</f>
        <v>-1.394078424650228E-2</v>
      </c>
      <c r="X9" s="27">
        <f>IF(ISNUMBER(X8),X8*(1+PortfolioFrontier[[#This Row],[P6 Return]]),1+PortfolioFrontier[[#This Row],[P6 Return]])</f>
        <v>1.0308485532137834</v>
      </c>
      <c r="Y9" s="27">
        <f>MAX(Y8,PortfolioFrontier[[#This Row],[P6 Growth]])</f>
        <v>1.0550433039814844</v>
      </c>
      <c r="Z9" s="27">
        <f>PortfolioFrontier[[#This Row],[P6 Growth]]/PortfolioFrontier[[#This Row],[P6 HWM]]-1</f>
        <v>-2.2932471753904005E-2</v>
      </c>
      <c r="AA9" s="28">
        <f>SUMPRODUCT(INDEX(PortfolioRef[[SPY]:[PE]],MATCH(AA$1,PortfolioRef[Reference '#]),0),AssetMonthlyReturns[[#This Row],[SPY]:[PE]])</f>
        <v>-1.5006754796442883E-2</v>
      </c>
      <c r="AB9" s="27">
        <f>IF(ISNUMBER(AB8),AB8*(1+PortfolioFrontier[[#This Row],[P7 Return]]),1+PortfolioFrontier[[#This Row],[P7 Return]])</f>
        <v>1.0295882320745267</v>
      </c>
      <c r="AC9" s="27">
        <f>MAX(AC8,PortfolioFrontier[[#This Row],[P7 Growth]])</f>
        <v>1.0561717070283392</v>
      </c>
      <c r="AD9" s="27">
        <f>PortfolioFrontier[[#This Row],[P7 Growth]]/PortfolioFrontier[[#This Row],[P7 HWM]]-1</f>
        <v>-2.5169652601855996E-2</v>
      </c>
      <c r="AE9" s="28">
        <f>SUMPRODUCT(INDEX(PortfolioRef[[SPY]:[PE]],MATCH(AE$1,PortfolioRef[Reference '#]),0),AssetMonthlyReturns[[#This Row],[SPY]:[PE]])</f>
        <v>-1.6079165302214538E-2</v>
      </c>
      <c r="AF9" s="27">
        <f>IF(ISNUMBER(AF8),AF8*(1+PortfolioFrontier[[#This Row],[P8 Return]]),1+PortfolioFrontier[[#This Row],[P8 Return]])</f>
        <v>1.0309509370206329</v>
      </c>
      <c r="AG9" s="27">
        <f>MAX(AG8,PortfolioFrontier[[#This Row],[P8 Growth]])</f>
        <v>1.0606944688732651</v>
      </c>
      <c r="AH9" s="27">
        <f>PortfolioFrontier[[#This Row],[P8 Growth]]/PortfolioFrontier[[#This Row],[P8 HWM]]-1</f>
        <v>-2.8041564018173482E-2</v>
      </c>
      <c r="AI9" s="28">
        <f>SUMPRODUCT(INDEX(PortfolioRef[[SPY]:[PE]],MATCH(AI$1,PortfolioRef[Reference '#]),0),AssetMonthlyReturns[[#This Row],[SPY]:[PE]])</f>
        <v>-1.2691734943414124E-2</v>
      </c>
      <c r="AJ9" s="27">
        <f>IF(ISNUMBER(AJ8),AJ8*(1+PortfolioFrontier[[#This Row],[P9 Return]]),1+PortfolioFrontier[[#This Row],[P9 Return]])</f>
        <v>1.0339180300589825</v>
      </c>
      <c r="AK9" s="27">
        <f>MAX(AK8,PortfolioFrontier[[#This Row],[P9 Growth]])</f>
        <v>1.0558084455991081</v>
      </c>
      <c r="AL9" s="27">
        <f>PortfolioFrontier[[#This Row],[P9 Growth]]/PortfolioFrontier[[#This Row],[P9 HWM]]-1</f>
        <v>-2.0733321116506276E-2</v>
      </c>
      <c r="AM9" s="28">
        <f>SUMPRODUCT(INDEX(PortfolioRef[[SPY]:[PE]],MATCH(AM$1,PortfolioRef[Reference '#]),0),AssetMonthlyReturns[[#This Row],[SPY]:[PE]])</f>
        <v>-1.6072725346383487E-2</v>
      </c>
      <c r="AN9" s="27">
        <f>IF(ISNUMBER(AN8),AN8*(1+PortfolioFrontier[[#This Row],[P10 Return]]),1+PortfolioFrontier[[#This Row],[P10 Return]])</f>
        <v>1.0283032634502076</v>
      </c>
      <c r="AO9" s="27">
        <f>MAX(AO8,PortfolioFrontier[[#This Row],[P10 Growth]])</f>
        <v>1.0572782218237637</v>
      </c>
      <c r="AP9" s="27">
        <f>PortfolioFrontier[[#This Row],[P10 Growth]]/PortfolioFrontier[[#This Row],[P10 HWM]]-1</f>
        <v>-2.7405235230869907E-2</v>
      </c>
      <c r="AQ9" s="28">
        <f>SUMPRODUCT(INDEX(PortfolioRef[[SPY]:[PE]],MATCH(AQ$1,PortfolioRef[Reference '#]),0),AssetMonthlyReturns[[#This Row],[SPY]:[PE]])</f>
        <v>-1.7145135852155144E-2</v>
      </c>
      <c r="AR9" s="27">
        <f>IF(ISNUMBER(AR8),AR8*(1+PortfolioFrontier[[#This Row],[P11 Return]]),1+PortfolioFrontier[[#This Row],[P11 Return]])</f>
        <v>1.029680526856837</v>
      </c>
      <c r="AS9" s="27">
        <f>MAX(AS8,PortfolioFrontier[[#This Row],[P11 Growth]])</f>
        <v>1.0618236120311197</v>
      </c>
      <c r="AT9" s="27">
        <f>PortfolioFrontier[[#This Row],[P11 Growth]]/PortfolioFrontier[[#This Row],[P11 HWM]]-1</f>
        <v>-3.0271586363386227E-2</v>
      </c>
      <c r="AU9" s="28">
        <f>SUMPRODUCT(INDEX(PortfolioRef[[SPY]:[PE]],MATCH(AU$1,PortfolioRef[Reference '#]),0),AssetMonthlyReturns[[#This Row],[SPY]:[PE]])</f>
        <v>-1.3757705493354729E-2</v>
      </c>
      <c r="AV9" s="27">
        <f>IF(ISNUMBER(AV8),AV8*(1+PortfolioFrontier[[#This Row],[P12 Return]]),1+PortfolioFrontier[[#This Row],[P12 Return]])</f>
        <v>1.0326594780916714</v>
      </c>
      <c r="AW9" s="27">
        <f>MAX(AW8,PortfolioFrontier[[#This Row],[P12 Growth]])</f>
        <v>1.0569398986882623</v>
      </c>
      <c r="AX9" s="27">
        <f>PortfolioFrontier[[#This Row],[P12 Growth]]/PortfolioFrontier[[#This Row],[P12 HWM]]-1</f>
        <v>-2.2972375843437032E-2</v>
      </c>
      <c r="AY9" s="28">
        <f>SUMPRODUCT(INDEX(PortfolioRef[[SPY]:[PE]],MATCH(AY$1,PortfolioRef[Reference '#]),0),AssetMonthlyReturns[[#This Row],[SPY]:[PE]])</f>
        <v>-1.8217546357926797E-2</v>
      </c>
      <c r="AZ9" s="27">
        <f>IF(ISNUMBER(AZ8),AZ8*(1+PortfolioFrontier[[#This Row],[P13 Return]]),1+PortfolioFrontier[[#This Row],[P13 Return]])</f>
        <v>1.0310329292090572</v>
      </c>
      <c r="BA9" s="27">
        <f>MAX(BA8,PortfolioFrontier[[#This Row],[P13 Growth]])</f>
        <v>1.0663650133817999</v>
      </c>
      <c r="BB9" s="27">
        <f>PortfolioFrontier[[#This Row],[P13 Growth]]/PortfolioFrontier[[#This Row],[P13 HWM]]-1</f>
        <v>-3.3133198979112044E-2</v>
      </c>
      <c r="BC9" s="28">
        <f>SUMPRODUCT(INDEX(PortfolioRef[[SPY]:[PE]],MATCH(BC$1,PortfolioRef[Reference '#]),0),AssetMonthlyReturns[[#This Row],[SPY]:[PE]])</f>
        <v>-1.4830115999126382E-2</v>
      </c>
      <c r="BD9" s="27">
        <f>IF(ISNUMBER(BD8),BD8*(1+PortfolioFrontier[[#This Row],[P14 Return]]),1+PortfolioFrontier[[#This Row],[P14 Return]])</f>
        <v>1.0340236182172418</v>
      </c>
      <c r="BE9" s="27">
        <f>MAX(BE8,PortfolioFrontier[[#This Row],[P14 Growth]])</f>
        <v>1.0614617985501424</v>
      </c>
      <c r="BF9" s="27">
        <f>PortfolioFrontier[[#This Row],[P14 Growth]]/PortfolioFrontier[[#This Row],[P14 HWM]]-1</f>
        <v>-2.5849427996729291E-2</v>
      </c>
      <c r="BG9" s="28">
        <f>SUMPRODUCT(INDEX(PortfolioRef[[SPY]:[PE]],MATCH(BG$1,PortfolioRef[Reference '#]),0),AssetMonthlyReturns[[#This Row],[SPY]:[PE]])</f>
        <v>-1.1442685640325967E-2</v>
      </c>
      <c r="BH9" s="27">
        <f>IF(ISNUMBER(BH8),BH8*(1+PortfolioFrontier[[#This Row],[P15 Return]]),1+PortfolioFrontier[[#This Row],[P15 Return]])</f>
        <v>1.0369902087842096</v>
      </c>
      <c r="BI9" s="27">
        <f>MAX(BI8,PortfolioFrontier[[#This Row],[P15 Growth]])</f>
        <v>1.0565707777140345</v>
      </c>
      <c r="BJ9" s="27">
        <f>PortfolioFrontier[[#This Row],[P15 Growth]]/PortfolioFrontier[[#This Row],[P15 HWM]]-1</f>
        <v>-1.8532188607552569E-2</v>
      </c>
      <c r="BK9" s="28">
        <f>SUMPRODUCT(INDEX(PortfolioRef[[SPY]:[PE]],MATCH(BK$1,PortfolioRef[Reference '#]),0),AssetMonthlyReturns[[#This Row],[SPY]:[PE]])</f>
        <v>-1.3729629314984259E-2</v>
      </c>
      <c r="BL9" s="27">
        <f>IF(ISNUMBER(BL8),BL8*(1+PortfolioFrontier[[#This Row],[P16 Return]]),1+PortfolioFrontier[[#This Row],[P16 Return]])</f>
        <v>1.0295644951042453</v>
      </c>
      <c r="BM9" s="27">
        <f>MAX(BM8,PortfolioFrontier[[#This Row],[P16 Growth]])</f>
        <v>1.0533890222033107</v>
      </c>
      <c r="BN9" s="27">
        <f>PortfolioFrontier[[#This Row],[P16 Growth]]/PortfolioFrontier[[#This Row],[P16 HWM]]-1</f>
        <v>-2.2617026185855815E-2</v>
      </c>
      <c r="BO9" s="28">
        <f>SUMPRODUCT(INDEX(PortfolioRef[[SPY]:[PE]],MATCH(BO$1,PortfolioRef[Reference '#]),0),AssetMonthlyReturns[[#This Row],[SPY]:[PE]])</f>
        <v>-1.4795599864924862E-2</v>
      </c>
      <c r="BP9" s="27">
        <f>IF(ISNUMBER(BP8),BP8*(1+PortfolioFrontier[[#This Row],[P17 Return]]),1+PortfolioFrontier[[#This Row],[P17 Return]])</f>
        <v>1.028300611414982</v>
      </c>
      <c r="BQ9" s="27">
        <f>MAX(BQ8,PortfolioFrontier[[#This Row],[P17 Growth]])</f>
        <v>1.0545105093957718</v>
      </c>
      <c r="BR9" s="27">
        <f>PortfolioFrontier[[#This Row],[P17 Growth]]/PortfolioFrontier[[#This Row],[P17 HWM]]-1</f>
        <v>-2.485503723979765E-2</v>
      </c>
      <c r="BS9" s="28">
        <f>SUMPRODUCT(INDEX(PortfolioRef[[SPY]:[PE]],MATCH(BS$1,PortfolioRef[Reference '#]),0),AssetMonthlyReturns[[#This Row],[SPY]:[PE]])</f>
        <v>-1.5868010370696517E-2</v>
      </c>
      <c r="BT9" s="27">
        <f>IF(ISNUMBER(BT8),BT8*(1+PortfolioFrontier[[#This Row],[P18 Return]]),1+PortfolioFrontier[[#This Row],[P18 Return]])</f>
        <v>1.0296702232806261</v>
      </c>
      <c r="BU9" s="27">
        <f>MAX(BU8,PortfolioFrontier[[#This Row],[P18 Growth]])</f>
        <v>1.0590343449448867</v>
      </c>
      <c r="BV9" s="27">
        <f>PortfolioFrontier[[#This Row],[P18 Growth]]/PortfolioFrontier[[#This Row],[P18 HWM]]-1</f>
        <v>-2.7727260975458523E-2</v>
      </c>
      <c r="BW9" s="28">
        <f>SUMPRODUCT(INDEX(PortfolioRef[[SPY]:[PE]],MATCH(BW$1,PortfolioRef[Reference '#]),0),AssetMonthlyReturns[[#This Row],[SPY]:[PE]])</f>
        <v>-1.2480580011896104E-2</v>
      </c>
      <c r="BX9" s="27">
        <f>IF(ISNUMBER(BX8),BX8*(1+PortfolioFrontier[[#This Row],[P19 Return]]),1+PortfolioFrontier[[#This Row],[P19 Return]])</f>
        <v>1.0326339299809493</v>
      </c>
      <c r="BY9" s="27">
        <f>MAX(BY8,PortfolioFrontier[[#This Row],[P19 Growth]])</f>
        <v>1.0541568475269176</v>
      </c>
      <c r="BZ9" s="27">
        <f>PortfolioFrontier[[#This Row],[P19 Growth]]/PortfolioFrontier[[#This Row],[P19 HWM]]-1</f>
        <v>-2.0417187059460606E-2</v>
      </c>
      <c r="CA9" s="28">
        <f>SUMPRODUCT(INDEX(PortfolioRef[[SPY]:[PE]],MATCH(CA$1,PortfolioRef[Reference '#]),0),AssetMonthlyReturns[[#This Row],[SPY]:[PE]])</f>
        <v>-1.586157041486547E-2</v>
      </c>
      <c r="CB9" s="27">
        <f>IF(ISNUMBER(CB8),CB8*(1+PortfolioFrontier[[#This Row],[P20 Return]]),1+PortfolioFrontier[[#This Row],[P20 Return]])</f>
        <v>1.0270121304292756</v>
      </c>
      <c r="CC9" s="27">
        <f>MAX(CC8,PortfolioFrontier[[#This Row],[P20 Growth]])</f>
        <v>1.0556101389686692</v>
      </c>
      <c r="CD9" s="27">
        <f>PortfolioFrontier[[#This Row],[P20 Growth]]/PortfolioFrontier[[#This Row],[P20 HWM]]-1</f>
        <v>-2.7091449280066349E-2</v>
      </c>
      <c r="CE9" s="28">
        <f>SUMPRODUCT(INDEX(PortfolioRef[[SPY]:[PE]],MATCH(CE$1,PortfolioRef[Reference '#]),0),AssetMonthlyReturns[[#This Row],[SPY]:[PE]])</f>
        <v>-1.6933980920637123E-2</v>
      </c>
      <c r="CF9" s="27">
        <f>IF(ISNUMBER(CF8),CF8*(1+PortfolioFrontier[[#This Row],[P21 Return]]),1+PortfolioFrontier[[#This Row],[P21 Return]])</f>
        <v>1.0283962728182146</v>
      </c>
      <c r="CG9" s="27">
        <f>MAX(CG8,PortfolioFrontier[[#This Row],[P21 Growth]])</f>
        <v>1.0601565617687558</v>
      </c>
      <c r="CH9" s="27">
        <f>PortfolioFrontier[[#This Row],[P21 Growth]]/PortfolioFrontier[[#This Row],[P21 HWM]]-1</f>
        <v>-2.9958111939195731E-2</v>
      </c>
      <c r="CI9" s="28">
        <f>SUMPRODUCT(INDEX(PortfolioRef[[SPY]:[PE]],MATCH(CI$1,PortfolioRef[Reference '#]),0),AssetMonthlyReturns[[#This Row],[SPY]:[PE]])</f>
        <v>-1.3546550561836708E-2</v>
      </c>
      <c r="CJ9" s="27">
        <f>IF(ISNUMBER(CJ8),CJ8*(1+PortfolioFrontier[[#This Row],[P22 Return]]),1+PortfolioFrontier[[#This Row],[P22 Return]])</f>
        <v>1.0313717832546028</v>
      </c>
      <c r="CK9" s="27">
        <f>MAX(CK8,PortfolioFrontier[[#This Row],[P22 Growth]])</f>
        <v>1.0552813700947876</v>
      </c>
      <c r="CL9" s="27">
        <f>PortfolioFrontier[[#This Row],[P22 Growth]]/PortfolioFrontier[[#This Row],[P22 HWM]]-1</f>
        <v>-2.2657072812758194E-2</v>
      </c>
      <c r="CM9" s="28">
        <f>SUMPRODUCT(INDEX(PortfolioRef[[SPY]:[PE]],MATCH(CM$1,PortfolioRef[Reference '#]),0),AssetMonthlyReturns[[#This Row],[SPY]:[PE]])</f>
        <v>-1.8006391426408776E-2</v>
      </c>
      <c r="CN9" s="27">
        <f>IF(ISNUMBER(CN8),CN8*(1+PortfolioFrontier[[#This Row],[P23 Return]]),1+PortfolioFrontier[[#This Row],[P23 Return]])</f>
        <v>1.0297555755994963</v>
      </c>
      <c r="CO9" s="27">
        <f>MAX(CO8,PortfolioFrontier[[#This Row],[P23 Growth]])</f>
        <v>1.0646990366599287</v>
      </c>
      <c r="CP9" s="27">
        <f>PortfolioFrontier[[#This Row],[P23 Growth]]/PortfolioFrontier[[#This Row],[P23 HWM]]-1</f>
        <v>-3.2820036326935864E-2</v>
      </c>
      <c r="CQ9" s="28">
        <f>SUMPRODUCT(INDEX(PortfolioRef[[SPY]:[PE]],MATCH(CQ$1,PortfolioRef[Reference '#]),0),AssetMonthlyReturns[[#This Row],[SPY]:[PE]])</f>
        <v>-1.4618961067608361E-2</v>
      </c>
      <c r="CR9" s="27">
        <f>IF(ISNUMBER(CR8),CR8*(1+PortfolioFrontier[[#This Row],[P24 Return]]),1+PortfolioFrontier[[#This Row],[P24 Return]])</f>
        <v>1.03274285241438</v>
      </c>
      <c r="CS9" s="27">
        <f>MAX(CS8,PortfolioFrontier[[#This Row],[P24 Growth]])</f>
        <v>1.0598043609559225</v>
      </c>
      <c r="CT9" s="27">
        <f>PortfolioFrontier[[#This Row],[P24 Growth]]/PortfolioFrontier[[#This Row],[P24 HWM]]-1</f>
        <v>-2.553443780617537E-2</v>
      </c>
      <c r="CU9" s="28">
        <f>SUMPRODUCT(INDEX(PortfolioRef[[SPY]:[PE]],MATCH(CU$1,PortfolioRef[Reference '#]),0),AssetMonthlyReturns[[#This Row],[SPY]:[PE]])</f>
        <v>-1.1231530708807946E-2</v>
      </c>
      <c r="CV9" s="27">
        <f>IF(ISNUMBER(CV8),CV8*(1+PortfolioFrontier[[#This Row],[P25 Return]]),1+PortfolioFrontier[[#This Row],[P25 Return]])</f>
        <v>1.0357060789580292</v>
      </c>
      <c r="CW9" s="27">
        <f>MAX(CW8,PortfolioFrontier[[#This Row],[P25 Growth]])</f>
        <v>1.0549218660871187</v>
      </c>
      <c r="CX9" s="27">
        <f>PortfolioFrontier[[#This Row],[P25 Growth]]/PortfolioFrontier[[#This Row],[P25 HWM]]-1</f>
        <v>-1.8215365276638029E-2</v>
      </c>
      <c r="CY9" s="28">
        <f>SUMPRODUCT(INDEX(PortfolioRef[[SPY]:[PE]],MATCH(CY$1,PortfolioRef[Reference '#]),0),AssetMonthlyReturns[[#This Row],[SPY]:[PE]])</f>
        <v>-1.7999951470577726E-2</v>
      </c>
      <c r="CZ9" s="27">
        <f>IF(ISNUMBER(CZ8),CZ8*(1+PortfolioFrontier[[#This Row],[P26 Return]]),1+PortfolioFrontier[[#This Row],[P26 Return]])</f>
        <v>1.0270978052633812</v>
      </c>
      <c r="DA9" s="27">
        <f>MAX(DA8,PortfolioFrontier[[#This Row],[P26 Growth]])</f>
        <v>1.0612568671363731</v>
      </c>
      <c r="DB9" s="27">
        <f>PortfolioFrontier[[#This Row],[P26 Growth]]/PortfolioFrontier[[#This Row],[P26 HWM]]-1</f>
        <v>-3.2187364747202518E-2</v>
      </c>
      <c r="DC9" s="28">
        <f>SUMPRODUCT(INDEX(PortfolioRef[[SPY]:[PE]],MATCH(DC$1,PortfolioRef[Reference '#]),0),AssetMonthlyReturns[[#This Row],[SPY]:[PE]])</f>
        <v>-1.4612521111777311E-2</v>
      </c>
      <c r="DD9" s="27">
        <f>IF(ISNUMBER(DD8),DD8*(1+PortfolioFrontier[[#This Row],[P27 Return]]),1+PortfolioFrontier[[#This Row],[P27 Return]])</f>
        <v>1.0300849420196945</v>
      </c>
      <c r="DE9" s="27">
        <f>MAX(DE8,PortfolioFrontier[[#This Row],[P27 Growth]])</f>
        <v>1.0563840044309512</v>
      </c>
      <c r="DF9" s="27">
        <f>PortfolioFrontier[[#This Row],[P27 Growth]]/PortfolioFrontier[[#This Row],[P27 HWM]]-1</f>
        <v>-2.4895362198733229E-2</v>
      </c>
      <c r="DG9" s="28">
        <f>SUMPRODUCT(INDEX(PortfolioRef[[SPY]:[PE]],MATCH(DG$1,PortfolioRef[Reference '#]),0),AssetMonthlyReturns[[#This Row],[SPY]:[PE]])</f>
        <v>-1.9072361976349379E-2</v>
      </c>
      <c r="DH9" s="27">
        <f>IF(ISNUMBER(DH8),DH8*(1+PortfolioFrontier[[#This Row],[P28 Return]]),1+PortfolioFrontier[[#This Row],[P28 Return]])</f>
        <v>1.0284715894663172</v>
      </c>
      <c r="DI9" s="27">
        <f>MAX(DI8,PortfolioFrontier[[#This Row],[P28 Growth]])</f>
        <v>1.0658219754648834</v>
      </c>
      <c r="DJ9" s="27">
        <f>PortfolioFrontier[[#This Row],[P28 Growth]]/PortfolioFrontier[[#This Row],[P28 HWM]]-1</f>
        <v>-3.5043737939701392E-2</v>
      </c>
      <c r="DK9" s="28">
        <f>SUMPRODUCT(INDEX(PortfolioRef[[SPY]:[PE]],MATCH(DK$1,PortfolioRef[Reference '#]),0),AssetMonthlyReturns[[#This Row],[SPY]:[PE]])</f>
        <v>-1.5684931617548963E-2</v>
      </c>
      <c r="DL9" s="27">
        <f>IF(ISNUMBER(DL8),DL8*(1+PortfolioFrontier[[#This Row],[P29 Return]]),1+PortfolioFrontier[[#This Row],[P29 Return]])</f>
        <v>1.031470611149822</v>
      </c>
      <c r="DM9" s="27">
        <f>MAX(DM8,PortfolioFrontier[[#This Row],[P29 Growth]])</f>
        <v>1.0609296156065076</v>
      </c>
      <c r="DN9" s="27">
        <f>PortfolioFrontier[[#This Row],[P29 Growth]]/PortfolioFrontier[[#This Row],[P29 HWM]]-1</f>
        <v>-2.7767161952439778E-2</v>
      </c>
      <c r="DO9" s="28">
        <f>SUMPRODUCT(INDEX(PortfolioRef[[SPY]:[PE]],MATCH(DO$1,PortfolioRef[Reference '#]),0),AssetMonthlyReturns[[#This Row],[SPY]:[PE]])</f>
        <v>-1.2297501258748549E-2</v>
      </c>
      <c r="DP9" s="27">
        <f>IF(ISNUMBER(DP8),DP8*(1+PortfolioFrontier[[#This Row],[P30 Return]]),1+PortfolioFrontier[[#This Row],[P30 Return]])</f>
        <v>1.0344456996442797</v>
      </c>
      <c r="DQ9" s="27">
        <f>MAX(DQ8,PortfolioFrontier[[#This Row],[P30 Growth]])</f>
        <v>1.0560494333960684</v>
      </c>
      <c r="DR9" s="27">
        <f>PortfolioFrontier[[#This Row],[P30 Growth]]/PortfolioFrontier[[#This Row],[P30 HWM]]-1</f>
        <v>-2.0457123566947955E-2</v>
      </c>
      <c r="DS9" s="28">
        <f>SUMPRODUCT(INDEX(PortfolioRef[[SPY]:[PE]],MATCH(DS$1,PortfolioRef[Reference '#]),0),AssetMonthlyReturns[[#This Row],[SPY]:[PE]])</f>
        <v>-2.0144772482121036E-2</v>
      </c>
      <c r="DT9" s="27">
        <f>IF(ISNUMBER(DT8),DT8*(1+PortfolioFrontier[[#This Row],[P31 Return]]),1+PortfolioFrontier[[#This Row],[P31 Return]])</f>
        <v>1.0298205518138874</v>
      </c>
      <c r="DU9" s="27">
        <f>MAX(DU8,PortfolioFrontier[[#This Row],[P31 Growth]])</f>
        <v>1.0703831287009218</v>
      </c>
      <c r="DV9" s="27">
        <f>PortfolioFrontier[[#This Row],[P31 Growth]]/PortfolioFrontier[[#This Row],[P31 HWM]]-1</f>
        <v>-3.7895381382050952E-2</v>
      </c>
      <c r="DW9" s="28">
        <f>SUMPRODUCT(INDEX(PortfolioRef[[SPY]:[PE]],MATCH(DW$1,PortfolioRef[Reference '#]),0),AssetMonthlyReturns[[#This Row],[SPY]:[PE]])</f>
        <v>-1.6757342123320619E-2</v>
      </c>
      <c r="DX9" s="27">
        <f>IF(ISNUMBER(DX8),DX8*(1+PortfolioFrontier[[#This Row],[P32 Return]]),1+PortfolioFrontier[[#This Row],[P32 Return]])</f>
        <v>1.0328313674541989</v>
      </c>
      <c r="DY9" s="27">
        <f>MAX(DY8,PortfolioFrontier[[#This Row],[P32 Growth]])</f>
        <v>1.0654712464317915</v>
      </c>
      <c r="DZ9" s="27">
        <f>PortfolioFrontier[[#This Row],[P32 Growth]]/PortfolioFrontier[[#This Row],[P32 HWM]]-1</f>
        <v>-3.063421850838477E-2</v>
      </c>
      <c r="EA9" s="28">
        <f>SUMPRODUCT(INDEX(PortfolioRef[[SPY]:[PE]],MATCH(EA$1,PortfolioRef[Reference '#]),0),AssetMonthlyReturns[[#This Row],[SPY]:[PE]])</f>
        <v>-1.3369911764520206E-2</v>
      </c>
      <c r="EB9" s="27">
        <f>IF(ISNUMBER(EB8),EB8*(1+PortfolioFrontier[[#This Row],[P33 Return]]),1+PortfolioFrontier[[#This Row],[P33 Return]])</f>
        <v>1.0358182150507032</v>
      </c>
      <c r="EC9" s="27">
        <f>MAX(EC8,PortfolioFrontier[[#This Row],[P33 Growth]])</f>
        <v>1.0605715671377605</v>
      </c>
      <c r="ED9" s="27">
        <f>PortfolioFrontier[[#This Row],[P33 Growth]]/PortfolioFrontier[[#This Row],[P33 HWM]]-1</f>
        <v>-2.3339633886151567E-2</v>
      </c>
      <c r="EE9" s="28">
        <f>SUMPRODUCT(INDEX(PortfolioRef[[SPY]:[PE]],MATCH(EE$1,PortfolioRef[Reference '#]),0),AssetMonthlyReturns[[#This Row],[SPY]:[PE]])</f>
        <v>-1.3518474383466237E-2</v>
      </c>
      <c r="EF9" s="27">
        <f>IF(ISNUMBER(EF8),EF8*(1+PortfolioFrontier[[#This Row],[P34 Return]]),1+PortfolioFrontier[[#This Row],[P34 Return]])</f>
        <v>1.02827688342617</v>
      </c>
      <c r="EG9" s="27">
        <f>MAX(EG8,PortfolioFrontier[[#This Row],[P34 Growth]])</f>
        <v>1.0517322201467738</v>
      </c>
      <c r="EH9" s="27">
        <f>PortfolioFrontier[[#This Row],[P34 Growth]]/PortfolioFrontier[[#This Row],[P34 HWM]]-1</f>
        <v>-2.2301624188456048E-2</v>
      </c>
      <c r="EI9" s="28">
        <f>SUMPRODUCT(INDEX(PortfolioRef[[SPY]:[PE]],MATCH(EI$1,PortfolioRef[Reference '#]),0),AssetMonthlyReturns[[#This Row],[SPY]:[PE]])</f>
        <v>-1.4584444933406842E-2</v>
      </c>
      <c r="EJ9" s="27">
        <f>IF(ISNUMBER(EJ8),EJ8*(1+PortfolioFrontier[[#This Row],[P35 Return]]),1+PortfolioFrontier[[#This Row],[P35 Return]])</f>
        <v>1.0270094617292458</v>
      </c>
      <c r="EK9" s="27">
        <f>MAX(EK8,PortfolioFrontier[[#This Row],[P35 Growth]])</f>
        <v>1.0528468126652037</v>
      </c>
      <c r="EL9" s="27">
        <f>PortfolioFrontier[[#This Row],[P35 Growth]]/PortfolioFrontier[[#This Row],[P35 HWM]]-1</f>
        <v>-2.4540465550304202E-2</v>
      </c>
      <c r="EM9" s="28">
        <f>SUMPRODUCT(INDEX(PortfolioRef[[SPY]:[PE]],MATCH(EM$1,PortfolioRef[Reference '#]),0),AssetMonthlyReturns[[#This Row],[SPY]:[PE]])</f>
        <v>-1.5656855439178496E-2</v>
      </c>
      <c r="EN9" s="27">
        <f>IF(ISNUMBER(EN8),EN8*(1+PortfolioFrontier[[#This Row],[P36 Return]]),1+PortfolioFrontier[[#This Row],[P36 Return]])</f>
        <v>1.0283859667207051</v>
      </c>
      <c r="EO9" s="27">
        <f>MAX(EO8,PortfolioFrontier[[#This Row],[P36 Growth]])</f>
        <v>1.0573716986027815</v>
      </c>
      <c r="EP9" s="27">
        <f>PortfolioFrontier[[#This Row],[P36 Growth]]/PortfolioFrontier[[#This Row],[P36 HWM]]-1</f>
        <v>-2.7413001426440875E-2</v>
      </c>
      <c r="EQ9" s="28">
        <f>SUMPRODUCT(INDEX(PortfolioRef[[SPY]:[PE]],MATCH(EQ$1,PortfolioRef[Reference '#]),0),AssetMonthlyReturns[[#This Row],[SPY]:[PE]])</f>
        <v>-1.2269425080378081E-2</v>
      </c>
      <c r="ER9" s="27">
        <f>IF(ISNUMBER(ER8),ER8*(1+PortfolioFrontier[[#This Row],[P37 Return]]),1+PortfolioFrontier[[#This Row],[P37 Return]])</f>
        <v>1.0313462646050189</v>
      </c>
      <c r="ES9" s="27">
        <f>MAX(ES8,PortfolioFrontier[[#This Row],[P37 Growth]])</f>
        <v>1.0525027234544753</v>
      </c>
      <c r="ET9" s="27">
        <f>PortfolioFrontier[[#This Row],[P37 Growth]]/PortfolioFrontier[[#This Row],[P37 HWM]]-1</f>
        <v>-2.0101096536850438E-2</v>
      </c>
      <c r="EU9" s="28">
        <f>SUMPRODUCT(INDEX(PortfolioRef[[SPY]:[PE]],MATCH(EU$1,PortfolioRef[Reference '#]),0),AssetMonthlyReturns[[#This Row],[SPY]:[PE]])</f>
        <v>-1.5650415483347446E-2</v>
      </c>
      <c r="EV9" s="27">
        <f>IF(ISNUMBER(EV8),EV8*(1+PortfolioFrontier[[#This Row],[P38 Return]]),1+PortfolioFrontier[[#This Row],[P38 Return]])</f>
        <v>1.0257174928659618</v>
      </c>
      <c r="EW9" s="27">
        <f>MAX(EW8,PortfolioFrontier[[#This Row],[P38 Growth]])</f>
        <v>1.0539395781959364</v>
      </c>
      <c r="EX9" s="27">
        <f>PortfolioFrontier[[#This Row],[P38 Growth]]/PortfolioFrontier[[#This Row],[P38 HWM]]-1</f>
        <v>-2.6777707103744275E-2</v>
      </c>
      <c r="EY9" s="28">
        <f>SUMPRODUCT(INDEX(PortfolioRef[[SPY]:[PE]],MATCH(EY$1,PortfolioRef[Reference '#]),0),AssetMonthlyReturns[[#This Row],[SPY]:[PE]])</f>
        <v>-1.6722825989119099E-2</v>
      </c>
      <c r="EZ9" s="27">
        <f>IF(ISNUMBER(EZ8),EZ8*(1+PortfolioFrontier[[#This Row],[P39 Return]]),1+PortfolioFrontier[[#This Row],[P39 Return]])</f>
        <v>1.0271085003937523</v>
      </c>
      <c r="FA9" s="27">
        <f>MAX(FA8,PortfolioFrontier[[#This Row],[P39 Growth]])</f>
        <v>1.0584870102730288</v>
      </c>
      <c r="FB9" s="27">
        <f>PortfolioFrontier[[#This Row],[P39 Growth]]/PortfolioFrontier[[#This Row],[P39 HWM]]-1</f>
        <v>-2.964468111061902E-2</v>
      </c>
      <c r="FC9" s="28">
        <f>SUMPRODUCT(INDEX(PortfolioRef[[SPY]:[PE]],MATCH(FC$1,PortfolioRef[Reference '#]),0),AssetMonthlyReturns[[#This Row],[SPY]:[PE]])</f>
        <v>-1.3335395630318684E-2</v>
      </c>
      <c r="FD9" s="27">
        <f>IF(ISNUMBER(FD8),FD8*(1+PortfolioFrontier[[#This Row],[P40 Return]]),1+PortfolioFrontier[[#This Row],[P40 Return]])</f>
        <v>1.0300805477054222</v>
      </c>
      <c r="FE9" s="27">
        <f>MAX(FE8,PortfolioFrontier[[#This Row],[P40 Growth]])</f>
        <v>1.0536203366814236</v>
      </c>
      <c r="FF9" s="27">
        <f>PortfolioFrontier[[#This Row],[P40 Growth]]/PortfolioFrontier[[#This Row],[P40 HWM]]-1</f>
        <v>-2.2341813418431555E-2</v>
      </c>
      <c r="FG9" s="28">
        <f>SUMPRODUCT(INDEX(PortfolioRef[[SPY]:[PE]],MATCH(FG$1,PortfolioRef[Reference '#]),0),AssetMonthlyReturns[[#This Row],[SPY]:[PE]])</f>
        <v>-1.7795236494890752E-2</v>
      </c>
      <c r="FH9" s="27">
        <f>IF(ISNUMBER(FH8),FH8*(1+PortfolioFrontier[[#This Row],[P41 Return]]),1+PortfolioFrontier[[#This Row],[P41 Return]])</f>
        <v>1.0284746899093395</v>
      </c>
      <c r="FI9" s="27">
        <f>MAX(FI8,PortfolioFrontier[[#This Row],[P41 Growth]])</f>
        <v>1.0630305353889682</v>
      </c>
      <c r="FJ9" s="27">
        <f>PortfolioFrontier[[#This Row],[P41 Growth]]/PortfolioFrontier[[#This Row],[P41 HWM]]-1</f>
        <v>-3.2506917091506216E-2</v>
      </c>
      <c r="FK9" s="28">
        <f>SUMPRODUCT(INDEX(PortfolioRef[[SPY]:[PE]],MATCH(FK$1,PortfolioRef[Reference '#]),0),AssetMonthlyReturns[[#This Row],[SPY]:[PE]])</f>
        <v>-1.4407806136090337E-2</v>
      </c>
      <c r="FL9" s="27">
        <f>IF(ISNUMBER(FL8),FL8*(1+PortfolioFrontier[[#This Row],[P42 Return]]),1+PortfolioFrontier[[#This Row],[P42 Return]])</f>
        <v>1.0314585320966267</v>
      </c>
      <c r="FM9" s="27">
        <f>MAX(FM8,PortfolioFrontier[[#This Row],[P42 Growth]])</f>
        <v>1.0581443952260881</v>
      </c>
      <c r="FN9" s="27">
        <f>PortfolioFrontier[[#This Row],[P42 Growth]]/PortfolioFrontier[[#This Row],[P42 HWM]]-1</f>
        <v>-2.5219491073105837E-2</v>
      </c>
      <c r="FO9" s="28">
        <f>SUMPRODUCT(INDEX(PortfolioRef[[SPY]:[PE]],MATCH(FO$1,PortfolioRef[Reference '#]),0),AssetMonthlyReturns[[#This Row],[SPY]:[PE]])</f>
        <v>-1.1020375777289924E-2</v>
      </c>
      <c r="FP9" s="27">
        <f>IF(ISNUMBER(FP8),FP8*(1+PortfolioFrontier[[#This Row],[P43 Return]]),1+PortfolioFrontier[[#This Row],[P43 Return]])</f>
        <v>1.0344183720811055</v>
      </c>
      <c r="FQ9" s="27">
        <f>MAX(FQ8,PortfolioFrontier[[#This Row],[P43 Growth]])</f>
        <v>1.0532704227380636</v>
      </c>
      <c r="FR9" s="27">
        <f>PortfolioFrontier[[#This Row],[P43 Growth]]/PortfolioFrontier[[#This Row],[P43 HWM]]-1</f>
        <v>-1.7898585443945736E-2</v>
      </c>
      <c r="FS9" s="28">
        <f>SUMPRODUCT(INDEX(PortfolioRef[[SPY]:[PE]],MATCH(FS$1,PortfolioRef[Reference '#]),0),AssetMonthlyReturns[[#This Row],[SPY]:[PE]])</f>
        <v>-1.7788796539059706E-2</v>
      </c>
      <c r="FT9" s="27">
        <f>IF(ISNUMBER(FT8),FT8*(1+PortfolioFrontier[[#This Row],[P44 Return]]),1+PortfolioFrontier[[#This Row],[P44 Return]])</f>
        <v>1.0258065669033132</v>
      </c>
      <c r="FU9" s="27">
        <f>MAX(FU8,PortfolioFrontier[[#This Row],[P44 Growth]])</f>
        <v>1.0595804411188903</v>
      </c>
      <c r="FV9" s="27">
        <f>PortfolioFrontier[[#This Row],[P44 Growth]]/PortfolioFrontier[[#This Row],[P44 HWM]]-1</f>
        <v>-3.1874761844332244E-2</v>
      </c>
      <c r="FW9" s="28">
        <f>SUMPRODUCT(INDEX(PortfolioRef[[SPY]:[PE]],MATCH(FW$1,PortfolioRef[Reference '#]),0),AssetMonthlyReturns[[#This Row],[SPY]:[PE]])</f>
        <v>-1.4401366180259291E-2</v>
      </c>
      <c r="FX9" s="27">
        <f>IF(ISNUMBER(FX8),FX8*(1+PortfolioFrontier[[#This Row],[P45 Return]]),1+PortfolioFrontier[[#This Row],[P45 Return]])</f>
        <v>1.0287901865639708</v>
      </c>
      <c r="FY9" s="27">
        <f>MAX(FY8,PortfolioFrontier[[#This Row],[P45 Growth]])</f>
        <v>1.0547160923085321</v>
      </c>
      <c r="FZ9" s="27">
        <f>PortfolioFrontier[[#This Row],[P45 Growth]]/PortfolioFrontier[[#This Row],[P45 HWM]]-1</f>
        <v>-2.4580933137955174E-2</v>
      </c>
      <c r="GA9" s="28">
        <f>SUMPRODUCT(INDEX(PortfolioRef[[SPY]:[PE]],MATCH(GA$1,PortfolioRef[Reference '#]),0),AssetMonthlyReturns[[#This Row],[SPY]:[PE]])</f>
        <v>-1.8861207044831359E-2</v>
      </c>
      <c r="GB9" s="27">
        <f>IF(ISNUMBER(GB8),GB8*(1+PortfolioFrontier[[#This Row],[P46 Return]]),1+PortfolioFrontier[[#This Row],[P46 Return]])</f>
        <v>1.0271872099991648</v>
      </c>
      <c r="GC9" s="27">
        <f>MAX(GC8,PortfolioFrontier[[#This Row],[P46 Growth]])</f>
        <v>1.0641465585607095</v>
      </c>
      <c r="GD9" s="27">
        <f>PortfolioFrontier[[#This Row],[P46 Growth]]/PortfolioFrontier[[#This Row],[P46 HWM]]-1</f>
        <v>-3.4731445837247632E-2</v>
      </c>
      <c r="GE9" s="28">
        <f>SUMPRODUCT(INDEX(PortfolioRef[[SPY]:[PE]],MATCH(GE$1,PortfolioRef[Reference '#]),0),AssetMonthlyReturns[[#This Row],[SPY]:[PE]])</f>
        <v>-1.5473776686030944E-2</v>
      </c>
      <c r="GF9" s="27">
        <f>IF(ISNUMBER(GF8),GF8*(1+PortfolioFrontier[[#This Row],[P47 Return]]),1+PortfolioFrontier[[#This Row],[P47 Return]])</f>
        <v>1.0301827429151287</v>
      </c>
      <c r="GG9" s="27">
        <f>MAX(GG8,PortfolioFrontier[[#This Row],[P47 Growth]])</f>
        <v>1.0592627300561601</v>
      </c>
      <c r="GH9" s="27">
        <f>PortfolioFrontier[[#This Row],[P47 Growth]]/PortfolioFrontier[[#This Row],[P47 HWM]]-1</f>
        <v>-2.7453044760188727E-2</v>
      </c>
      <c r="GI9" s="28">
        <f>SUMPRODUCT(INDEX(PortfolioRef[[SPY]:[PE]],MATCH(GI$1,PortfolioRef[Reference '#]),0),AssetMonthlyReturns[[#This Row],[SPY]:[PE]])</f>
        <v>-1.2086346327230529E-2</v>
      </c>
      <c r="GJ9" s="27">
        <f>IF(ISNUMBER(GJ8),GJ8*(1+PortfolioFrontier[[#This Row],[P48 Return]]),1+PortfolioFrontier[[#This Row],[P48 Return]])</f>
        <v>1.0331543903396072</v>
      </c>
      <c r="GK9" s="27">
        <f>MAX(GK8,PortfolioFrontier[[#This Row],[P48 Growth]])</f>
        <v>1.0543910660392006</v>
      </c>
      <c r="GL9" s="27">
        <f>PortfolioFrontier[[#This Row],[P48 Growth]]/PortfolioFrontier[[#This Row],[P48 HWM]]-1</f>
        <v>-2.0141175682916734E-2</v>
      </c>
      <c r="GM9" s="28">
        <f>SUMPRODUCT(INDEX(PortfolioRef[[SPY]:[PE]],MATCH(GM$1,PortfolioRef[Reference '#]),0),AssetMonthlyReturns[[#This Row],[SPY]:[PE]])</f>
        <v>-1.9933617550603012E-2</v>
      </c>
      <c r="GN9" s="27">
        <f>IF(ISNUMBER(GN8),GN8*(1+PortfolioFrontier[[#This Row],[P49 Return]]),1+PortfolioFrontier[[#This Row],[P49 Return]])</f>
        <v>1.0285430526296375</v>
      </c>
      <c r="GO9" s="27">
        <f>MAX(GO8,PortfolioFrontier[[#This Row],[P49 Growth]])</f>
        <v>1.0687087618578179</v>
      </c>
      <c r="GP9" s="27">
        <f>PortfolioFrontier[[#This Row],[P49 Growth]]/PortfolioFrontier[[#This Row],[P49 HWM]]-1</f>
        <v>-3.7583400325414518E-2</v>
      </c>
      <c r="GQ9" s="28">
        <f>SUMPRODUCT(INDEX(PortfolioRef[[SPY]:[PE]],MATCH(GQ$1,PortfolioRef[Reference '#]),0),AssetMonthlyReturns[[#This Row],[SPY]:[PE]])</f>
        <v>-1.6546187191802595E-2</v>
      </c>
      <c r="GR9" s="27">
        <f>IF(ISNUMBER(GR8),GR8*(1+PortfolioFrontier[[#This Row],[P50 Return]]),1+PortfolioFrontier[[#This Row],[P50 Return]])</f>
        <v>1.0315504080030067</v>
      </c>
      <c r="GS9" s="27">
        <f>MAX(GS8,PortfolioFrontier[[#This Row],[P50 Growth]])</f>
        <v>1.063805428401277</v>
      </c>
      <c r="GT9" s="27">
        <f>PortfolioFrontier[[#This Row],[P50 Growth]]/PortfolioFrontier[[#This Row],[P50 HWM]]-1</f>
        <v>-3.0320413430061421E-2</v>
      </c>
      <c r="GU9" s="28">
        <f>SUMPRODUCT(INDEX(PortfolioRef[[SPY]:[PE]],MATCH(GU$1,PortfolioRef[Reference '#]),0),AssetMonthlyReturns[[#This Row],[SPY]:[PE]])</f>
        <v>-1.3158756833002182E-2</v>
      </c>
      <c r="GV9" s="27">
        <f>IF(ISNUMBER(GV8),GV8*(1+PortfolioFrontier[[#This Row],[P51 Return]]),1+PortfolioFrontier[[#This Row],[P51 Return]])</f>
        <v>1.0345338431310918</v>
      </c>
      <c r="GW9" s="27">
        <f>MAX(GW8,PortfolioFrontier[[#This Row],[P51 Growth]])</f>
        <v>1.0589142847594883</v>
      </c>
      <c r="GX9" s="27">
        <f>PortfolioFrontier[[#This Row],[P51 Growth]]/PortfolioFrontier[[#This Row],[P51 HWM]]-1</f>
        <v>-2.3023999184158872E-2</v>
      </c>
      <c r="GY9" s="28">
        <f>SUMPRODUCT(INDEX(PortfolioRef[[SPY]:[PE]],MATCH(GY$1,PortfolioRef[Reference '#]),0),AssetMonthlyReturns[[#This Row],[SPY]:[PE]])</f>
        <v>-1.9927177594771962E-2</v>
      </c>
      <c r="GZ9" s="27">
        <f>IF(ISNUMBER(GZ8),GZ8*(1+PortfolioFrontier[[#This Row],[P52 Return]]),1+PortfolioFrontier[[#This Row],[P52 Return]])</f>
        <v>1.0258753431465537</v>
      </c>
      <c r="HA9" s="27">
        <f>MAX(HA8,PortfolioFrontier[[#This Row],[P52 Growth]])</f>
        <v>1.0652406470713773</v>
      </c>
      <c r="HB9" s="27">
        <f>PortfolioFrontier[[#This Row],[P52 Growth]]/PortfolioFrontier[[#This Row],[P52 HWM]]-1</f>
        <v>-3.695437649046629E-2</v>
      </c>
      <c r="HC9" s="28">
        <f>SUMPRODUCT(INDEX(PortfolioRef[[SPY]:[PE]],MATCH(HC$1,PortfolioRef[Reference '#]),0),AssetMonthlyReturns[[#This Row],[SPY]:[PE]])</f>
        <v>-1.6539747235971545E-2</v>
      </c>
      <c r="HD9" s="27">
        <f>IF(ISNUMBER(HD8),HD8*(1+PortfolioFrontier[[#This Row],[P53 Return]]),1+PortfolioFrontier[[#This Row],[P53 Return]])</f>
        <v>1.0288823897070338</v>
      </c>
      <c r="HE9" s="27">
        <f>MAX(HE8,PortfolioFrontier[[#This Row],[P53 Growth]])</f>
        <v>1.0603591534497043</v>
      </c>
      <c r="HF9" s="27">
        <f>PortfolioFrontier[[#This Row],[P53 Growth]]/PortfolioFrontier[[#This Row],[P53 HWM]]-1</f>
        <v>-2.9685002143156836E-2</v>
      </c>
      <c r="HG9" s="28">
        <f>SUMPRODUCT(INDEX(PortfolioRef[[SPY]:[PE]],MATCH(HG$1,PortfolioRef[Reference '#]),0),AssetMonthlyReturns[[#This Row],[SPY]:[PE]])</f>
        <v>-1.3152316877171132E-2</v>
      </c>
      <c r="HH9" s="27">
        <f>IF(ISNUMBER(HH8),HH8*(1+PortfolioFrontier[[#This Row],[P54 Return]]),1+PortfolioFrontier[[#This Row],[P54 Return]])</f>
        <v>1.0318656670343815</v>
      </c>
      <c r="HI9" s="27">
        <f>MAX(HI8,PortfolioFrontier[[#This Row],[P54 Growth]])</f>
        <v>1.0554898211283554</v>
      </c>
      <c r="HJ9" s="27">
        <f>PortfolioFrontier[[#This Row],[P54 Growth]]/PortfolioFrontier[[#This Row],[P54 HWM]]-1</f>
        <v>-2.2382171406180706E-2</v>
      </c>
      <c r="HK9" s="28">
        <f>SUMPRODUCT(INDEX(PortfolioRef[[SPY]:[PE]],MATCH(HK$1,PortfolioRef[Reference '#]),0),AssetMonthlyReturns[[#This Row],[SPY]:[PE]])</f>
        <v>-2.0999588100543615E-2</v>
      </c>
      <c r="HL9" s="27">
        <f>IF(ISNUMBER(HL8),HL8*(1+PortfolioFrontier[[#This Row],[P55 Return]]),1+PortfolioFrontier[[#This Row],[P55 Return]])</f>
        <v>1.0272455904679567</v>
      </c>
      <c r="HM9" s="27">
        <f>MAX(HM8,PortfolioFrontier[[#This Row],[P55 Growth]])</f>
        <v>1.0698254888807313</v>
      </c>
      <c r="HN9" s="27">
        <f>PortfolioFrontier[[#This Row],[P55 Growth]]/PortfolioFrontier[[#This Row],[P55 HWM]]-1</f>
        <v>-3.9800788871951709E-2</v>
      </c>
      <c r="HO9" s="28">
        <f>SUMPRODUCT(INDEX(PortfolioRef[[SPY]:[PE]],MATCH(HO$1,PortfolioRef[Reference '#]),0),AssetMonthlyReturns[[#This Row],[SPY]:[PE]])</f>
        <v>-1.7612157741743198E-2</v>
      </c>
      <c r="HP9" s="27">
        <f>IF(ISNUMBER(HP8),HP8*(1+PortfolioFrontier[[#This Row],[P56 Return]]),1+PortfolioFrontier[[#This Row],[P56 Return]])</f>
        <v>1.0302645775963386</v>
      </c>
      <c r="HQ9" s="27">
        <f>MAX(HQ8,PortfolioFrontier[[#This Row],[P56 Growth]])</f>
        <v>1.06492447718415</v>
      </c>
      <c r="HR9" s="27">
        <f>PortfolioFrontier[[#This Row],[P56 Growth]]/PortfolioFrontier[[#This Row],[P56 HWM]]-1</f>
        <v>-3.2546814661879364E-2</v>
      </c>
      <c r="HS9" s="28">
        <f>SUMPRODUCT(INDEX(PortfolioRef[[SPY]:[PE]],MATCH(HS$1,PortfolioRef[Reference '#]),0),AssetMonthlyReturns[[#This Row],[SPY]:[PE]])</f>
        <v>-1.4224727382942785E-2</v>
      </c>
      <c r="HT9" s="27">
        <f>IF(ISNUMBER(HT8),HT8*(1+PortfolioFrontier[[#This Row],[P57 Return]]),1+PortfolioFrontier[[#This Row],[P57 Return]])</f>
        <v>1.0332597613686285</v>
      </c>
      <c r="HU9" s="27">
        <f>MAX(HU8,PortfolioFrontier[[#This Row],[P57 Growth]])</f>
        <v>1.0600356521150558</v>
      </c>
      <c r="HV9" s="27">
        <f>PortfolioFrontier[[#This Row],[P57 Growth]]/PortfolioFrontier[[#This Row],[P57 HWM]]-1</f>
        <v>-2.525942471180298E-2</v>
      </c>
      <c r="HW9" s="28">
        <f>SUMPRODUCT(INDEX(PortfolioRef[[SPY]:[PE]],MATCH(HW$1,PortfolioRef[Reference '#]),0),AssetMonthlyReturns[[#This Row],[SPY]:[PE]])</f>
        <v>-2.2071998606315271E-2</v>
      </c>
      <c r="HX9" s="27">
        <f>IF(ISNUMBER(HX8),HX8*(1+PortfolioFrontier[[#This Row],[P58 Return]]),1+PortfolioFrontier[[#This Row],[P58 Return]])</f>
        <v>1.0285910552487205</v>
      </c>
      <c r="HY9" s="27">
        <f>MAX(HY8,PortfolioFrontier[[#This Row],[P58 Growth]])</f>
        <v>1.0744064093618175</v>
      </c>
      <c r="HZ9" s="27">
        <f>PortfolioFrontier[[#This Row],[P58 Growth]]/PortfolioFrontier[[#This Row],[P58 HWM]]-1</f>
        <v>-4.264248026992945E-2</v>
      </c>
      <c r="IA9" s="28">
        <f>SUMPRODUCT(INDEX(PortfolioRef[[SPY]:[PE]],MATCH(IA$1,PortfolioRef[Reference '#]),0),AssetMonthlyReturns[[#This Row],[SPY]:[PE]])</f>
        <v>-1.8684568247514854E-2</v>
      </c>
      <c r="IB9" s="27">
        <f>IF(ISNUMBER(IB8),IB8*(1+PortfolioFrontier[[#This Row],[P59 Return]]),1+PortfolioFrontier[[#This Row],[P59 Return]])</f>
        <v>1.0316218918486513</v>
      </c>
      <c r="IC9" s="27">
        <f>MAX(IC8,PortfolioFrontier[[#This Row],[P59 Growth]])</f>
        <v>1.0694858543325274</v>
      </c>
      <c r="ID9" s="27">
        <f>PortfolioFrontier[[#This Row],[P59 Growth]]/PortfolioFrontier[[#This Row],[P59 HWM]]-1</f>
        <v>-3.5403892749481303E-2</v>
      </c>
      <c r="IE9" s="28">
        <f>SUMPRODUCT(INDEX(PortfolioRef[[SPY]:[PE]],MATCH(IE$1,PortfolioRef[Reference '#]),0),AssetMonthlyReturns[[#This Row],[SPY]:[PE]])</f>
        <v>-1.5297137888714441E-2</v>
      </c>
      <c r="IF9" s="27">
        <f>IF(ISNUMBER(IF8),IF8*(1+PortfolioFrontier[[#This Row],[P60 Return]]),1+PortfolioFrontier[[#This Row],[P60 Return]])</f>
        <v>1.0346288910839565</v>
      </c>
      <c r="IG9" s="27">
        <f>MAX(IG8,PortfolioFrontier[[#This Row],[P60 Growth]])</f>
        <v>1.0645775112578868</v>
      </c>
      <c r="IH9" s="27">
        <f>PortfolioFrontier[[#This Row],[P60 Growth]]/PortfolioFrontier[[#This Row],[P60 HWM]]-1</f>
        <v>-2.8131930138692751E-2</v>
      </c>
      <c r="II9" s="28">
        <f>SUMPRODUCT(INDEX(PortfolioRef[[SPY]:[PE]],MATCH(II$1,PortfolioRef[Reference '#]),0),AssetMonthlyReturns[[#This Row],[SPY]:[PE]])</f>
        <v>-1.3307319451948218E-2</v>
      </c>
      <c r="IJ9" s="27">
        <f>IF(ISNUMBER(IJ8),IJ8*(1+PortfolioFrontier[[#This Row],[P61 Return]]),1+PortfolioFrontier[[#This Row],[P61 Return]])</f>
        <v>1.0269857252841192</v>
      </c>
      <c r="IK9" s="27">
        <f>MAX(IK8,PortfolioFrontier[[#This Row],[P61 Growth]])</f>
        <v>1.0500729073544264</v>
      </c>
      <c r="IL9" s="27">
        <f>PortfolioFrontier[[#This Row],[P61 Growth]]/PortfolioFrontier[[#This Row],[P61 HWM]]-1</f>
        <v>-2.1986265818888184E-2</v>
      </c>
      <c r="IM9" s="28">
        <f>SUMPRODUCT(INDEX(PortfolioRef[[SPY]:[PE]],MATCH(IM$1,PortfolioRef[Reference '#]),0),AssetMonthlyReturns[[#This Row],[SPY]:[PE]])</f>
        <v>-1.4373290001888821E-2</v>
      </c>
      <c r="IN9" s="27">
        <f>IF(ISNUMBER(IN8),IN8*(1+PortfolioFrontier[[#This Row],[P62 Return]]),1+PortfolioFrontier[[#This Row],[P62 Return]])</f>
        <v>1.0257147901281209</v>
      </c>
      <c r="IO9" s="27">
        <f>MAX(IO8,PortfolioFrontier[[#This Row],[P62 Growth]])</f>
        <v>1.0511806263791883</v>
      </c>
      <c r="IP9" s="27">
        <f>PortfolioFrontier[[#This Row],[P62 Growth]]/PortfolioFrontier[[#This Row],[P62 HWM]]-1</f>
        <v>-2.4225937590559354E-2</v>
      </c>
      <c r="IQ9" s="28">
        <f>SUMPRODUCT(INDEX(PortfolioRef[[SPY]:[PE]],MATCH(IQ$1,PortfolioRef[Reference '#]),0),AssetMonthlyReturns[[#This Row],[SPY]:[PE]])</f>
        <v>-1.5445700507660474E-2</v>
      </c>
      <c r="IR9" s="27">
        <f>IF(ISNUMBER(IR8),IR8*(1+PortfolioFrontier[[#This Row],[P63 Return]]),1+PortfolioFrontier[[#This Row],[P63 Return]])</f>
        <v>1.0270981744033301</v>
      </c>
      <c r="IS9" s="27">
        <f>MAX(IS8,PortfolioFrontier[[#This Row],[P63 Growth]])</f>
        <v>1.0557065393895038</v>
      </c>
      <c r="IT9" s="27">
        <f>PortfolioFrontier[[#This Row],[P63 Growth]]/PortfolioFrontier[[#This Row],[P63 HWM]]-1</f>
        <v>-2.7098785428304129E-2</v>
      </c>
      <c r="IU9" s="28">
        <f>SUMPRODUCT(INDEX(PortfolioRef[[SPY]:[PE]],MATCH(IU$1,PortfolioRef[Reference '#]),0),AssetMonthlyReturns[[#This Row],[SPY]:[PE]])</f>
        <v>-1.2058270148860061E-2</v>
      </c>
      <c r="IV9" s="27">
        <f>IF(ISNUMBER(IV8),IV8*(1+PortfolioFrontier[[#This Row],[P64 Return]]),1+PortfolioFrontier[[#This Row],[P64 Return]])</f>
        <v>1.030055041045554</v>
      </c>
      <c r="IW9" s="27">
        <f>MAX(IW8,PortfolioFrontier[[#This Row],[P64 Growth]])</f>
        <v>1.0508460829243347</v>
      </c>
      <c r="IX9" s="27">
        <f>PortfolioFrontier[[#This Row],[P64 Growth]]/PortfolioFrontier[[#This Row],[P64 HWM]]-1</f>
        <v>-1.9785049605859029E-2</v>
      </c>
      <c r="IY9" s="28">
        <f>SUMPRODUCT(INDEX(PortfolioRef[[SPY]:[PE]],MATCH(IY$1,PortfolioRef[Reference '#]),0),AssetMonthlyReturns[[#This Row],[SPY]:[PE]])</f>
        <v>-1.5439260551829424E-2</v>
      </c>
      <c r="IZ9" s="27">
        <f>IF(ISNUMBER(IZ8),IZ8*(1+PortfolioFrontier[[#This Row],[P65 Return]]),1+PortfolioFrontier[[#This Row],[P65 Return]])</f>
        <v>1.0244193578772138</v>
      </c>
      <c r="JA9" s="27">
        <f>MAX(JA8,PortfolioFrontier[[#This Row],[P65 Growth]])</f>
        <v>1.0522665490481187</v>
      </c>
      <c r="JB9" s="27">
        <f>PortfolioFrontier[[#This Row],[P65 Growth]]/PortfolioFrontier[[#This Row],[P65 HWM]]-1</f>
        <v>-2.6464008759088165E-2</v>
      </c>
      <c r="JC9" s="28">
        <f>SUMPRODUCT(INDEX(PortfolioRef[[SPY]:[PE]],MATCH(JC$1,PortfolioRef[Reference '#]),0),AssetMonthlyReturns[[#This Row],[SPY]:[PE]])</f>
        <v>-1.6511671057601079E-2</v>
      </c>
      <c r="JD9" s="27">
        <f>IF(ISNUMBER(JD8),JD8*(1+PortfolioFrontier[[#This Row],[P66 Return]]),1+PortfolioFrontier[[#This Row],[P66 Return]])</f>
        <v>1.0258172166521387</v>
      </c>
      <c r="JE9" s="27">
        <f>MAX(JE8,PortfolioFrontier[[#This Row],[P66 Growth]])</f>
        <v>1.0568149670864915</v>
      </c>
      <c r="JF9" s="27">
        <f>PortfolioFrontier[[#This Row],[P66 Growth]]/PortfolioFrontier[[#This Row],[P66 HWM]]-1</f>
        <v>-2.9331293934840685E-2</v>
      </c>
      <c r="JG9" s="28">
        <f>SUMPRODUCT(INDEX(PortfolioRef[[SPY]:[PE]],MATCH(JG$1,PortfolioRef[Reference '#]),0),AssetMonthlyReturns[[#This Row],[SPY]:[PE]])</f>
        <v>-1.3124240698800664E-2</v>
      </c>
      <c r="JH9" s="27">
        <f>IF(ISNUMBER(JH8),JH8*(1+PortfolioFrontier[[#This Row],[P67 Return]]),1+PortfolioFrontier[[#This Row],[P67 Return]])</f>
        <v>1.0287857785647792</v>
      </c>
      <c r="JI9" s="27">
        <f>MAX(JI8,PortfolioFrontier[[#This Row],[P67 Growth]])</f>
        <v>1.0519568079907244</v>
      </c>
      <c r="JJ9" s="27">
        <f>PortfolioFrontier[[#This Row],[P67 Growth]]/PortfolioFrontier[[#This Row],[P67 HWM]]-1</f>
        <v>-2.2026597717640928E-2</v>
      </c>
      <c r="JK9" s="28">
        <f>SUMPRODUCT(INDEX(PortfolioRef[[SPY]:[PE]],MATCH(JK$1,PortfolioRef[Reference '#]),0),AssetMonthlyReturns[[#This Row],[SPY]:[PE]])</f>
        <v>-1.7584081563372732E-2</v>
      </c>
      <c r="JL9" s="27">
        <f>IF(ISNUMBER(JL8),JL8*(1+PortfolioFrontier[[#This Row],[P68 Return]]),1+PortfolioFrontier[[#This Row],[P68 Return]])</f>
        <v>1.027190279159105</v>
      </c>
      <c r="JM9" s="27">
        <f>MAX(JM8,PortfolioFrontier[[#This Row],[P68 Growth]])</f>
        <v>1.0613595191114715</v>
      </c>
      <c r="JN9" s="27">
        <f>PortfolioFrontier[[#This Row],[P68 Growth]]/PortfolioFrontier[[#This Row],[P68 HWM]]-1</f>
        <v>-3.2193841330006356E-2</v>
      </c>
      <c r="JO9" s="28">
        <f>SUMPRODUCT(INDEX(PortfolioRef[[SPY]:[PE]],MATCH(JO$1,PortfolioRef[Reference '#]),0),AssetMonthlyReturns[[#This Row],[SPY]:[PE]])</f>
        <v>-1.4196651204572317E-2</v>
      </c>
      <c r="JP9" s="27">
        <f>IF(ISNUMBER(JP8),JP8*(1+PortfolioFrontier[[#This Row],[P69 Return]]),1+PortfolioFrontier[[#This Row],[P69 Return]])</f>
        <v>1.0301706643361983</v>
      </c>
      <c r="JQ9" s="27">
        <f>MAX(JQ8,PortfolioFrontier[[#This Row],[P69 Growth]])</f>
        <v>1.0564819109031929</v>
      </c>
      <c r="JR9" s="27">
        <f>PortfolioFrontier[[#This Row],[P69 Growth]]/PortfolioFrontier[[#This Row],[P69 HWM]]-1</f>
        <v>-2.4904587854704396E-2</v>
      </c>
      <c r="JS9" s="28">
        <f>SUMPRODUCT(INDEX(PortfolioRef[[SPY]:[PE]],MATCH(JS$1,PortfolioRef[Reference '#]),0),AssetMonthlyReturns[[#This Row],[SPY]:[PE]])</f>
        <v>-1.0809220845771903E-2</v>
      </c>
      <c r="JT9" s="27">
        <f>IF(ISNUMBER(JT8),JT8*(1+PortfolioFrontier[[#This Row],[P70 Return]]),1+PortfolioFrontier[[#This Row],[P70 Return]])</f>
        <v>1.0331270952775884</v>
      </c>
      <c r="JU9" s="27">
        <f>MAX(JU8,PortfolioFrontier[[#This Row],[P70 Growth]])</f>
        <v>1.051616457209422</v>
      </c>
      <c r="JV9" s="27">
        <f>PortfolioFrontier[[#This Row],[P70 Growth]]/PortfolioFrontier[[#This Row],[P70 HWM]]-1</f>
        <v>-1.7581849166660168E-2</v>
      </c>
      <c r="JW9" s="28">
        <f>SUMPRODUCT(INDEX(PortfolioRef[[SPY]:[PE]],MATCH(JW$1,PortfolioRef[Reference '#]),0),AssetMonthlyReturns[[#This Row],[SPY]:[PE]])</f>
        <v>-1.7577641607541685E-2</v>
      </c>
      <c r="JX9" s="27">
        <f>IF(ISNUMBER(JX8),JX8*(1+PortfolioFrontier[[#This Row],[P71 Return]]),1+PortfolioFrontier[[#This Row],[P71 Return]])</f>
        <v>1.0245118416079815</v>
      </c>
      <c r="JY9" s="27">
        <f>MAX(JY8,PortfolioFrontier[[#This Row],[P71 Growth]])</f>
        <v>1.0579015445909599</v>
      </c>
      <c r="JZ9" s="27">
        <f>PortfolioFrontier[[#This Row],[P71 Growth]]/PortfolioFrontier[[#This Row],[P71 HWM]]-1</f>
        <v>-3.1562202696176822E-2</v>
      </c>
      <c r="KA9" s="28">
        <f>SUMPRODUCT(INDEX(PortfolioRef[[SPY]:[PE]],MATCH(KA$1,PortfolioRef[Reference '#]),0),AssetMonthlyReturns[[#This Row],[SPY]:[PE]])</f>
        <v>-1.419021124874127E-2</v>
      </c>
      <c r="KB9" s="27">
        <f>IF(ISNUMBER(KB8),KB8*(1+PortfolioFrontier[[#This Row],[P72 Return]]),1+PortfolioFrontier[[#This Row],[P72 Return]])</f>
        <v>1.0274919220502607</v>
      </c>
      <c r="KC9" s="27">
        <f>MAX(KC8,PortfolioFrontier[[#This Row],[P72 Growth]])</f>
        <v>1.0530457060891405</v>
      </c>
      <c r="KD9" s="27">
        <f>PortfolioFrontier[[#This Row],[P72 Growth]]/PortfolioFrontier[[#This Row],[P72 HWM]]-1</f>
        <v>-2.4266547872630162E-2</v>
      </c>
      <c r="KE9" s="28">
        <f>SUMPRODUCT(INDEX(PortfolioRef[[SPY]:[PE]],MATCH(KE$1,PortfolioRef[Reference '#]),0),AssetMonthlyReturns[[#This Row],[SPY]:[PE]])</f>
        <v>-1.8650052113313338E-2</v>
      </c>
      <c r="KF9" s="27">
        <f>IF(ISNUMBER(KF8),KF8*(1+PortfolioFrontier[[#This Row],[P73 Return]]),1+PortfolioFrontier[[#This Row],[P73 Return]])</f>
        <v>1.02589932980432</v>
      </c>
      <c r="KG9" s="27">
        <f>MAX(KG8,PortfolioFrontier[[#This Row],[P73 Growth]])</f>
        <v>1.0624686478303629</v>
      </c>
      <c r="KH9" s="27">
        <f>PortfolioFrontier[[#This Row],[P73 Growth]]/PortfolioFrontier[[#This Row],[P73 HWM]]-1</f>
        <v>-3.4419197310640692E-2</v>
      </c>
      <c r="KI9" s="28">
        <f>SUMPRODUCT(INDEX(PortfolioRef[[SPY]:[PE]],MATCH(KI$1,PortfolioRef[Reference '#]),0),AssetMonthlyReturns[[#This Row],[SPY]:[PE]])</f>
        <v>-1.5262621754512923E-2</v>
      </c>
      <c r="KJ9" s="27">
        <f>IF(ISNUMBER(KJ8),KJ8*(1+PortfolioFrontier[[#This Row],[P74 Return]]),1+PortfolioFrontier[[#This Row],[P74 Return]])</f>
        <v>1.028891351721412</v>
      </c>
      <c r="KK9" s="27">
        <f>MAX(KK8,PortfolioFrontier[[#This Row],[P74 Growth]])</f>
        <v>1.0575933470931147</v>
      </c>
      <c r="KL9" s="27">
        <f>PortfolioFrontier[[#This Row],[P74 Growth]]/PortfolioFrontier[[#This Row],[P74 HWM]]-1</f>
        <v>-2.7138971184522465E-2</v>
      </c>
      <c r="KM9" s="28">
        <f>SUMPRODUCT(INDEX(PortfolioRef[[SPY]:[PE]],MATCH(KM$1,PortfolioRef[Reference '#]),0),AssetMonthlyReturns[[#This Row],[SPY]:[PE]])</f>
        <v>-1.1875191395712508E-2</v>
      </c>
      <c r="KN9" s="27">
        <f>IF(ISNUMBER(KN8),KN8*(1+PortfolioFrontier[[#This Row],[P75 Return]]),1+PortfolioFrontier[[#This Row],[P75 Return]])</f>
        <v>1.031859535743894</v>
      </c>
      <c r="KO9" s="27">
        <f>MAX(KO8,PortfolioFrontier[[#This Row],[P75 Growth]])</f>
        <v>1.0527301976831096</v>
      </c>
      <c r="KP9" s="27">
        <f>PortfolioFrontier[[#This Row],[P75 Growth]]/PortfolioFrontier[[#This Row],[P75 HWM]]-1</f>
        <v>-1.9825271456208382E-2</v>
      </c>
      <c r="KQ9" s="28">
        <f>SUMPRODUCT(INDEX(PortfolioRef[[SPY]:[PE]],MATCH(KQ$1,PortfolioRef[Reference '#]),0),AssetMonthlyReturns[[#This Row],[SPY]:[PE]])</f>
        <v>-1.9722462619084991E-2</v>
      </c>
      <c r="KR9" s="27">
        <f>IF(ISNUMBER(KR8),KR8*(1+PortfolioFrontier[[#This Row],[P76 Return]]),1+PortfolioFrontier[[#This Row],[P76 Return]])</f>
        <v>1.0272620390735063</v>
      </c>
      <c r="KS9" s="27">
        <f>MAX(KS8,PortfolioFrontier[[#This Row],[P76 Growth]])</f>
        <v>1.0670318778728161</v>
      </c>
      <c r="KT9" s="27">
        <f>PortfolioFrontier[[#This Row],[P76 Growth]]/PortfolioFrontier[[#This Row],[P76 HWM]]-1</f>
        <v>-3.7271462665757427E-2</v>
      </c>
      <c r="KU9" s="28">
        <f>SUMPRODUCT(INDEX(PortfolioRef[[SPY]:[PE]],MATCH(KU$1,PortfolioRef[Reference '#]),0),AssetMonthlyReturns[[#This Row],[SPY]:[PE]])</f>
        <v>-1.6335032260284574E-2</v>
      </c>
      <c r="KV9" s="27">
        <f>IF(ISNUMBER(KV8),KV8*(1+PortfolioFrontier[[#This Row],[P77 Return]]),1+PortfolioFrontier[[#This Row],[P77 Return]])</f>
        <v>1.0302659118407753</v>
      </c>
      <c r="KW9" s="27">
        <f>MAX(KW8,PortfolioFrontier[[#This Row],[P77 Growth]])</f>
        <v>1.062137089642339</v>
      </c>
      <c r="KX9" s="27">
        <f>PortfolioFrontier[[#This Row],[P77 Growth]]/PortfolioFrontier[[#This Row],[P77 HWM]]-1</f>
        <v>-3.0006651789455829E-2</v>
      </c>
      <c r="KY9" s="28">
        <f>SUMPRODUCT(INDEX(PortfolioRef[[SPY]:[PE]],MATCH(KY$1,PortfolioRef[Reference '#]),0),AssetMonthlyReturns[[#This Row],[SPY]:[PE]])</f>
        <v>-1.2947601901484161E-2</v>
      </c>
      <c r="KZ9" s="27">
        <f>IF(ISNUMBER(KZ8),KZ8*(1+PortfolioFrontier[[#This Row],[P78 Return]]),1+PortfolioFrontier[[#This Row],[P78 Return]])</f>
        <v>1.0332459120601449</v>
      </c>
      <c r="LA9" s="27">
        <f>MAX(LA8,PortfolioFrontier[[#This Row],[P78 Growth]])</f>
        <v>1.0572544780662676</v>
      </c>
      <c r="LB9" s="27">
        <f>PortfolioFrontier[[#This Row],[P78 Growth]]/PortfolioFrontier[[#This Row],[P78 HWM]]-1</f>
        <v>-2.2708407960621457E-2</v>
      </c>
      <c r="LC9" s="28">
        <f>SUMPRODUCT(INDEX(PortfolioRef[[SPY]:[PE]],MATCH(LC$1,PortfolioRef[Reference '#]),0),AssetMonthlyReturns[[#This Row],[SPY]:[PE]])</f>
        <v>-1.9716022663253941E-2</v>
      </c>
      <c r="LD9" s="27">
        <f>IF(ISNUMBER(LD8),LD8*(1+PortfolioFrontier[[#This Row],[P79 Return]]),1+PortfolioFrontier[[#This Row],[P79 Return]])</f>
        <v>1.0245840431771691</v>
      </c>
      <c r="LE9" s="27">
        <f>MAX(LE8,PortfolioFrontier[[#This Row],[P79 Growth]])</f>
        <v>1.063555872520046</v>
      </c>
      <c r="LF9" s="27">
        <f>PortfolioFrontier[[#This Row],[P79 Growth]]/PortfolioFrontier[[#This Row],[P79 HWM]]-1</f>
        <v>-3.6642954404017325E-2</v>
      </c>
      <c r="LG9" s="28">
        <f>SUMPRODUCT(INDEX(PortfolioRef[[SPY]:[PE]],MATCH(LG$1,PortfolioRef[Reference '#]),0),AssetMonthlyReturns[[#This Row],[SPY]:[PE]])</f>
        <v>-1.6328592304453524E-2</v>
      </c>
      <c r="LH9" s="27">
        <f>IF(ISNUMBER(LH8),LH8*(1+PortfolioFrontier[[#This Row],[P80 Return]]),1+PortfolioFrontier[[#This Row],[P80 Return]])</f>
        <v>1.027587525086852</v>
      </c>
      <c r="LI9" s="27">
        <f>MAX(LI8,PortfolioFrontier[[#This Row],[P80 Growth]])</f>
        <v>1.058682902478375</v>
      </c>
      <c r="LJ9" s="27">
        <f>PortfolioFrontier[[#This Row],[P80 Growth]]/PortfolioFrontier[[#This Row],[P80 HWM]]-1</f>
        <v>-2.9371757415491251E-2</v>
      </c>
      <c r="LK9" s="28">
        <f>SUMPRODUCT(INDEX(PortfolioRef[[SPY]:[PE]],MATCH(LK$1,PortfolioRef[Reference '#]),0),AssetMonthlyReturns[[#This Row],[SPY]:[PE]])</f>
        <v>-1.2941161945653111E-2</v>
      </c>
      <c r="LL9" s="27">
        <f>IF(ISNUMBER(LL8),LL8*(1+PortfolioFrontier[[#This Row],[P81 Return]]),1+PortfolioFrontier[[#This Row],[P81 Return]])</f>
        <v>1.0305672849912868</v>
      </c>
      <c r="LM9" s="27">
        <f>MAX(LM8,PortfolioFrontier[[#This Row],[P81 Growth]])</f>
        <v>1.0538220805766811</v>
      </c>
      <c r="LN9" s="27">
        <f>PortfolioFrontier[[#This Row],[P81 Growth]]/PortfolioFrontier[[#This Row],[P81 HWM]]-1</f>
        <v>-2.2067098435315291E-2</v>
      </c>
      <c r="LO9" s="28">
        <f>SUMPRODUCT(INDEX(PortfolioRef[[SPY]:[PE]],MATCH(LO$1,PortfolioRef[Reference '#]),0),AssetMonthlyReturns[[#This Row],[SPY]:[PE]])</f>
        <v>-2.0788433169025594E-2</v>
      </c>
      <c r="LP9" s="27">
        <f>IF(ISNUMBER(LP8),LP8*(1+PortfolioFrontier[[#This Row],[P82 Return]]),1+PortfolioFrontier[[#This Row],[P82 Return]])</f>
        <v>1.0259611293913431</v>
      </c>
      <c r="LQ9" s="27">
        <f>MAX(LQ8,PortfolioFrontier[[#This Row],[P82 Growth]])</f>
        <v>1.0681416999632878</v>
      </c>
      <c r="LR9" s="27">
        <f>PortfolioFrontier[[#This Row],[P82 Growth]]/PortfolioFrontier[[#This Row],[P82 HWM]]-1</f>
        <v>-3.9489676859722267E-2</v>
      </c>
      <c r="LS9" s="28">
        <f>SUMPRODUCT(INDEX(PortfolioRef[[SPY]:[PE]],MATCH(LS$1,PortfolioRef[Reference '#]),0),AssetMonthlyReturns[[#This Row],[SPY]:[PE]])</f>
        <v>-1.7401002810225177E-2</v>
      </c>
      <c r="LT9" s="27">
        <f>IF(ISNUMBER(LT8),LT8*(1+PortfolioFrontier[[#This Row],[P83 Return]]),1+PortfolioFrontier[[#This Row],[P83 Return]])</f>
        <v>1.0289765800933119</v>
      </c>
      <c r="LU9" s="27">
        <f>MAX(LU8,PortfolioFrontier[[#This Row],[P83 Growth]])</f>
        <v>1.0632492293054709</v>
      </c>
      <c r="LV9" s="27">
        <f>PortfolioFrontier[[#This Row],[P83 Growth]]/PortfolioFrontier[[#This Row],[P83 HWM]]-1</f>
        <v>-3.2233881076543458E-2</v>
      </c>
      <c r="LW9" s="28">
        <f>SUMPRODUCT(INDEX(PortfolioRef[[SPY]:[PE]],MATCH(LW$1,PortfolioRef[Reference '#]),0),AssetMonthlyReturns[[#This Row],[SPY]:[PE]])</f>
        <v>-1.4013572451424764E-2</v>
      </c>
      <c r="LX9" s="27">
        <f>IF(ISNUMBER(LX8),LX8*(1+PortfolioFrontier[[#This Row],[P84 Return]]),1+PortfolioFrontier[[#This Row],[P84 Return]])</f>
        <v>1.0319682747666117</v>
      </c>
      <c r="LY9" s="27">
        <f>MAX(LY8,PortfolioFrontier[[#This Row],[P84 Growth]])</f>
        <v>1.0583689321147942</v>
      </c>
      <c r="LZ9" s="27">
        <f>PortfolioFrontier[[#This Row],[P84 Growth]]/PortfolioFrontier[[#This Row],[P84 HWM]]-1</f>
        <v>-2.4944663951378176E-2</v>
      </c>
      <c r="MA9" s="28">
        <f>SUMPRODUCT(INDEX(PortfolioRef[[SPY]:[PE]],MATCH(MA$1,PortfolioRef[Reference '#]),0),AssetMonthlyReturns[[#This Row],[SPY]:[PE]])</f>
        <v>-2.1860843674797251E-2</v>
      </c>
      <c r="MB9" s="27">
        <f>IF(ISNUMBER(MB8),MB8*(1+PortfolioFrontier[[#This Row],[P85 Return]]),1+PortfolioFrontier[[#This Row],[P85 Return]])</f>
        <v>1.0273134543978248</v>
      </c>
      <c r="MC9" s="27">
        <f>MAX(MC8,PortfolioFrontier[[#This Row],[P85 Growth]])</f>
        <v>1.0727236470260215</v>
      </c>
      <c r="MD9" s="27">
        <f>PortfolioFrontier[[#This Row],[P85 Growth]]/PortfolioFrontier[[#This Row],[P85 HWM]]-1</f>
        <v>-4.2331678577320564E-2</v>
      </c>
      <c r="ME9" s="28">
        <f>SUMPRODUCT(INDEX(PortfolioRef[[SPY]:[PE]],MATCH(ME$1,PortfolioRef[Reference '#]),0),AssetMonthlyReturns[[#This Row],[SPY]:[PE]])</f>
        <v>-1.8473413315996834E-2</v>
      </c>
      <c r="MF9" s="27">
        <f>IF(ISNUMBER(MF8),MF8*(1+PortfolioFrontier[[#This Row],[P86 Return]]),1+PortfolioFrontier[[#This Row],[P86 Return]])</f>
        <v>1.0303407829683189</v>
      </c>
      <c r="MG9" s="27">
        <f>MAX(MG8,PortfolioFrontier[[#This Row],[P86 Growth]])</f>
        <v>1.0678116504942585</v>
      </c>
      <c r="MH9" s="27">
        <f>PortfolioFrontier[[#This Row],[P86 Growth]]/PortfolioFrontier[[#This Row],[P86 HWM]]-1</f>
        <v>-3.509127055187633E-2</v>
      </c>
      <c r="MI9" s="28">
        <f>SUMPRODUCT(INDEX(PortfolioRef[[SPY]:[PE]],MATCH(MI$1,PortfolioRef[Reference '#]),0),AssetMonthlyReturns[[#This Row],[SPY]:[PE]])</f>
        <v>-1.5085982957196421E-2</v>
      </c>
      <c r="MJ9" s="27">
        <f>IF(ISNUMBER(MJ8),MJ8*(1+PortfolioFrontier[[#This Row],[P87 Return]]),1+PortfolioFrontier[[#This Row],[P87 Return]])</f>
        <v>1.0333443216014775</v>
      </c>
      <c r="MK9" s="27">
        <f>MAX(MK8,PortfolioFrontier[[#This Row],[P87 Growth]])</f>
        <v>1.0629118527567989</v>
      </c>
      <c r="ML9" s="27">
        <f>PortfolioFrontier[[#This Row],[P87 Growth]]/PortfolioFrontier[[#This Row],[P87 HWM]]-1</f>
        <v>-2.7817481834109037E-2</v>
      </c>
      <c r="MM9" s="28">
        <f>SUMPRODUCT(INDEX(PortfolioRef[[SPY]:[PE]],MATCH(MM$1,PortfolioRef[Reference '#]),0),AssetMonthlyReturns[[#This Row],[SPY]:[PE]])</f>
        <v>-2.18544037189662E-2</v>
      </c>
      <c r="MN9" s="27">
        <f>IF(ISNUMBER(MN8),MN8*(1+PortfolioFrontier[[#This Row],[P88 Return]]),1+PortfolioFrontier[[#This Row],[P88 Return]])</f>
        <v>1.0246359626735224</v>
      </c>
      <c r="MO9" s="27">
        <f>MAX(MO8,PortfolioFrontier[[#This Row],[P88 Growth]])</f>
        <v>1.0692295641878635</v>
      </c>
      <c r="MP9" s="27">
        <f>PortfolioFrontier[[#This Row],[P88 Growth]]/PortfolioFrontier[[#This Row],[P88 HWM]]-1</f>
        <v>-4.1706293024372454E-2</v>
      </c>
      <c r="MQ9" s="28">
        <f>SUMPRODUCT(INDEX(PortfolioRef[[SPY]:[PE]],MATCH(MQ$1,PortfolioRef[Reference '#]),0),AssetMonthlyReturns[[#This Row],[SPY]:[PE]])</f>
        <v>-1.8466973360165784E-2</v>
      </c>
      <c r="MR9" s="27">
        <f>IF(ISNUMBER(MR8),MR8*(1+PortfolioFrontier[[#This Row],[P89 Return]]),1+PortfolioFrontier[[#This Row],[P89 Return]])</f>
        <v>1.0276628145586806</v>
      </c>
      <c r="MS9" s="27">
        <f>MAX(MS8,PortfolioFrontier[[#This Row],[P89 Growth]])</f>
        <v>1.0643394343272528</v>
      </c>
      <c r="MT9" s="27">
        <f>PortfolioFrontier[[#This Row],[P89 Growth]]/PortfolioFrontier[[#This Row],[P89 HWM]]-1</f>
        <v>-3.4459514122724078E-2</v>
      </c>
      <c r="MU9" s="28">
        <f>SUMPRODUCT(INDEX(PortfolioRef[[SPY]:[PE]],MATCH(MU$1,PortfolioRef[Reference '#]),0),AssetMonthlyReturns[[#This Row],[SPY]:[PE]])</f>
        <v>-1.507954300136537E-2</v>
      </c>
      <c r="MV9" s="27">
        <f>IF(ISNUMBER(MV8),MV8*(1+PortfolioFrontier[[#This Row],[P90 Return]]),1+PortfolioFrontier[[#This Row],[P90 Return]])</f>
        <v>1.0306660264806518</v>
      </c>
      <c r="MW9" s="27">
        <f>MAX(MW8,PortfolioFrontier[[#This Row],[P90 Growth]])</f>
        <v>1.059461474746517</v>
      </c>
      <c r="MX9" s="27">
        <f>PortfolioFrontier[[#This Row],[P90 Growth]]/PortfolioFrontier[[#This Row],[P90 HWM]]-1</f>
        <v>-2.7179325489635864E-2</v>
      </c>
      <c r="MY9" s="28">
        <f>SUMPRODUCT(INDEX(PortfolioRef[[SPY]:[PE]],MATCH(MY$1,PortfolioRef[Reference '#]),0),AssetMonthlyReturns[[#This Row],[SPY]:[PE]])</f>
        <v>-2.292681422473785E-2</v>
      </c>
      <c r="MZ9" s="27">
        <f>IF(ISNUMBER(MZ8),MZ8*(1+PortfolioFrontier[[#This Row],[P91 Return]]),1+PortfolioFrontier[[#This Row],[P91 Return]])</f>
        <v>1.0260026159478823</v>
      </c>
      <c r="NA9" s="27">
        <f>MAX(NA8,PortfolioFrontier[[#This Row],[P91 Growth]])</f>
        <v>1.0738341548377508</v>
      </c>
      <c r="NB9" s="27">
        <f>PortfolioFrontier[[#This Row],[P91 Growth]]/PortfolioFrontier[[#This Row],[P91 HWM]]-1</f>
        <v>-4.4542761723848745E-2</v>
      </c>
      <c r="NC9" s="28">
        <f>SUMPRODUCT(INDEX(PortfolioRef[[SPY]:[PE]],MATCH(NC$1,PortfolioRef[Reference '#]),0),AssetMonthlyReturns[[#This Row],[SPY]:[PE]])</f>
        <v>-1.9539383865937433E-2</v>
      </c>
      <c r="ND9" s="27">
        <f>IF(ISNUMBER(ND8),ND8*(1+PortfolioFrontier[[#This Row],[P92 Return]]),1+PortfolioFrontier[[#This Row],[P92 Return]])</f>
        <v>1.0290414633743772</v>
      </c>
      <c r="NE9" s="27">
        <f>MAX(NE8,PortfolioFrontier[[#This Row],[P92 Growth]])</f>
        <v>1.0689244859802776</v>
      </c>
      <c r="NF9" s="27">
        <f>PortfolioFrontier[[#This Row],[P92 Growth]]/PortfolioFrontier[[#This Row],[P92 HWM]]-1</f>
        <v>-3.7311356535466467E-2</v>
      </c>
      <c r="NG9" s="28">
        <f>SUMPRODUCT(INDEX(PortfolioRef[[SPY]:[PE]],MATCH(NG$1,PortfolioRef[Reference '#]),0),AssetMonthlyReturns[[#This Row],[SPY]:[PE]])</f>
        <v>-1.615195350713702E-2</v>
      </c>
      <c r="NH9" s="27">
        <f>IF(ISNUMBER(NH8),NH8*(1+PortfolioFrontier[[#This Row],[P93 Return]]),1+PortfolioFrontier[[#This Row],[P93 Return]])</f>
        <v>1.0320566375593456</v>
      </c>
      <c r="NI9" s="27">
        <f>MAX(NI8,PortfolioFrontier[[#This Row],[P93 Growth]])</f>
        <v>1.0640270127298419</v>
      </c>
      <c r="NJ9" s="27">
        <f>PortfolioFrontier[[#This Row],[P93 Growth]]/PortfolioFrontier[[#This Row],[P93 HWM]]-1</f>
        <v>-3.0046582265307209E-2</v>
      </c>
      <c r="NK9" s="28">
        <f>SUMPRODUCT(INDEX(PortfolioRef[[SPY]:[PE]],MATCH(NK$1,PortfolioRef[Reference '#]),0),AssetMonthlyReturns[[#This Row],[SPY]:[PE]])</f>
        <v>-2.3999224730509507E-2</v>
      </c>
      <c r="NL9" s="27">
        <f>IF(ISNUMBER(NL8),NL8*(1+PortfolioFrontier[[#This Row],[P94 Return]]),1+PortfolioFrontier[[#This Row],[P94 Return]])</f>
        <v>1.0273445261123941</v>
      </c>
      <c r="NM9" s="27">
        <f>MAX(NM8,PortfolioFrontier[[#This Row],[P94 Growth]])</f>
        <v>1.0784348579235736</v>
      </c>
      <c r="NN9" s="27">
        <f>PortfolioFrontier[[#This Row],[P94 Growth]]/PortfolioFrontier[[#This Row],[P94 HWM]]-1</f>
        <v>-4.7374518206458216E-2</v>
      </c>
      <c r="NO9" s="28">
        <f>SUMPRODUCT(INDEX(PortfolioRef[[SPY]:[PE]],MATCH(NO$1,PortfolioRef[Reference '#]),0),AssetMonthlyReturns[[#This Row],[SPY]:[PE]])</f>
        <v>-2.061179437170909E-2</v>
      </c>
      <c r="NP9" s="27">
        <f>IF(ISNUMBER(NP8),NP8*(1+PortfolioFrontier[[#This Row],[P95 Return]]),1+PortfolioFrontier[[#This Row],[P95 Return]])</f>
        <v>1.0303952778575138</v>
      </c>
      <c r="NQ9" s="27">
        <f>MAX(NQ8,PortfolioFrontier[[#This Row],[P95 Growth]])</f>
        <v>1.0735056248114374</v>
      </c>
      <c r="NR9" s="27">
        <f>PortfolioFrontier[[#This Row],[P95 Growth]]/PortfolioFrontier[[#This Row],[P95 HWM]]-1</f>
        <v>-4.0158473283729568E-2</v>
      </c>
      <c r="NS9" s="28">
        <f>SUMPRODUCT(INDEX(PortfolioRef[[SPY]:[PE]],MATCH(NS$1,PortfolioRef[Reference '#]),0),AssetMonthlyReturns[[#This Row],[SPY]:[PE]])</f>
        <v>-1.7224364012908677E-2</v>
      </c>
      <c r="NT9" s="27">
        <f>IF(ISNUMBER(NT8),NT8*(1+PortfolioFrontier[[#This Row],[P96 Return]]),1+PortfolioFrontier[[#This Row],[P96 Return]])</f>
        <v>1.0334223231974748</v>
      </c>
      <c r="NU9" s="27">
        <f>MAX(NU8,PortfolioFrontier[[#This Row],[P96 Growth]])</f>
        <v>1.0685886126335014</v>
      </c>
      <c r="NV9" s="27">
        <f>PortfolioFrontier[[#This Row],[P96 Growth]]/PortfolioFrontier[[#This Row],[P96 HWM]]-1</f>
        <v>-3.2909099928886909E-2</v>
      </c>
      <c r="NW9" s="28">
        <f>SUMPRODUCT(INDEX(PortfolioRef[[SPY]:[PE]],MATCH(NW$1,PortfolioRef[Reference '#]),0),AssetMonthlyReturns[[#This Row],[SPY]:[PE]])</f>
        <v>-1.3096164520430198E-2</v>
      </c>
      <c r="NX9" s="27">
        <f>IF(ISNUMBER(NX8),NX8*(1+PortfolioFrontier[[#This Row],[P97 Return]]),1+PortfolioFrontier[[#This Row],[P97 Return]])</f>
        <v>1.025691027795731</v>
      </c>
      <c r="NY9" s="27">
        <f>MAX(NY8,PortfolioFrontier[[#This Row],[P97 Growth]])</f>
        <v>1.0484110933688224</v>
      </c>
      <c r="NZ9" s="27">
        <f>PortfolioFrontier[[#This Row],[P97 Growth]]/PortfolioFrontier[[#This Row],[P97 HWM]]-1</f>
        <v>-2.1670951134335925E-2</v>
      </c>
      <c r="OA9" s="28">
        <f>SUMPRODUCT(INDEX(PortfolioRef[[SPY]:[PE]],MATCH(OA$1,PortfolioRef[Reference '#]),0),AssetMonthlyReturns[[#This Row],[SPY]:[PE]])</f>
        <v>-1.4162135070370801E-2</v>
      </c>
      <c r="OB9" s="27">
        <f>IF(ISNUMBER(OB8),OB8*(1+PortfolioFrontier[[#This Row],[P98 Return]]),1+PortfolioFrontier[[#This Row],[P98 Return]])</f>
        <v>1.0244166037354505</v>
      </c>
      <c r="OC9" s="27">
        <f>MAX(OC8,PortfolioFrontier[[#This Row],[P98 Growth]])</f>
        <v>1.0495119600802785</v>
      </c>
      <c r="OD9" s="27">
        <f>PortfolioFrontier[[#This Row],[P98 Growth]]/PortfolioFrontier[[#This Row],[P98 HWM]]-1</f>
        <v>-2.3911453417747031E-2</v>
      </c>
      <c r="OE9" s="28">
        <f>SUMPRODUCT(INDEX(PortfolioRef[[SPY]:[PE]],MATCH(OE$1,PortfolioRef[Reference '#]),0),AssetMonthlyReturns[[#This Row],[SPY]:[PE]])</f>
        <v>-1.5234545576142454E-2</v>
      </c>
      <c r="OF9" s="27">
        <f>IF(ISNUMBER(OF8),OF8*(1+PortfolioFrontier[[#This Row],[P99 Return]]),1+PortfolioFrontier[[#This Row],[P99 Return]])</f>
        <v>1.0258068534039901</v>
      </c>
      <c r="OG9" s="27">
        <f>MAX(OG8,PortfolioFrontier[[#This Row],[P99 Growth]])</f>
        <v>1.0540388768476066</v>
      </c>
      <c r="OH9" s="27">
        <f>PortfolioFrontier[[#This Row],[P99 Growth]]/PortfolioFrontier[[#This Row],[P99 HWM]]-1</f>
        <v>-2.6784613038232541E-2</v>
      </c>
      <c r="OI9" s="28">
        <f>SUMPRODUCT(INDEX(PortfolioRef[[SPY]:[PE]],MATCH(OI$1,PortfolioRef[Reference '#]),0),AssetMonthlyReturns[[#This Row],[SPY]:[PE]])</f>
        <v>-1.1847115217342042E-2</v>
      </c>
      <c r="OJ9" s="27">
        <f>IF(ISNUMBER(OJ8),OJ8*(1+PortfolioFrontier[[#This Row],[P100 Return]]),1+PortfolioFrontier[[#This Row],[P100 Return]])</f>
        <v>1.0287602664300177</v>
      </c>
      <c r="OK9" s="27">
        <f>MAX(OK8,PortfolioFrontier[[#This Row],[P100 Growth]])</f>
        <v>1.0491869354790497</v>
      </c>
      <c r="OL9" s="27">
        <f>PortfolioFrontier[[#This Row],[P100 Growth]]/PortfolioFrontier[[#This Row],[P100 HWM]]-1</f>
        <v>-1.9469046323670969E-2</v>
      </c>
      <c r="OM9" s="28">
        <f>SUMPRODUCT(INDEX(PortfolioRef[[SPY]:[PE]],MATCH(OM$1,PortfolioRef[Reference '#]),0),AssetMonthlyReturns[[#This Row],[SPY]:[PE]])</f>
        <v>-1.5228105620311403E-2</v>
      </c>
      <c r="ON9" s="27">
        <f>IF(ISNUMBER(ON8),ON8*(1+PortfolioFrontier[[#This Row],[P101 Return]]),1+PortfolioFrontier[[#This Row],[P101 Return]])</f>
        <v>1.0231177325929879</v>
      </c>
      <c r="OO9" s="27">
        <f>MAX(OO8,PortfolioFrontier[[#This Row],[P101 Growth]])</f>
        <v>1.05059106106777</v>
      </c>
      <c r="OP9" s="27">
        <f>PortfolioFrontier[[#This Row],[P101 Growth]]/PortfolioFrontier[[#This Row],[P101 HWM]]-1</f>
        <v>-2.6150354303281054E-2</v>
      </c>
      <c r="OQ9" s="28">
        <f>SUMPRODUCT(INDEX(PortfolioRef[[SPY]:[PE]],MATCH(OQ$1,PortfolioRef[Reference '#]),0),AssetMonthlyReturns[[#This Row],[SPY]:[PE]])</f>
        <v>-1.6300516126083058E-2</v>
      </c>
      <c r="OR9" s="27">
        <f>IF(ISNUMBER(OR8),OR8*(1+PortfolioFrontier[[#This Row],[P102 Return]]),1+PortfolioFrontier[[#This Row],[P102 Return]])</f>
        <v>1.0245224286750616</v>
      </c>
      <c r="OS9" s="27">
        <f>MAX(OS8,PortfolioFrontier[[#This Row],[P102 Growth]])</f>
        <v>1.0551404417516972</v>
      </c>
      <c r="OT9" s="27">
        <f>PortfolioFrontier[[#This Row],[P102 Growth]]/PortfolioFrontier[[#This Row],[P102 HWM]]-1</f>
        <v>-2.9017950469043652E-2</v>
      </c>
      <c r="OU9" s="28">
        <f>SUMPRODUCT(INDEX(PortfolioRef[[SPY]:[PE]],MATCH(OU$1,PortfolioRef[Reference '#]),0),AssetMonthlyReturns[[#This Row],[SPY]:[PE]])</f>
        <v>-1.2913085767282643E-2</v>
      </c>
      <c r="OV9" s="27">
        <f>IF(ISNUMBER(OV8),OV8*(1+PortfolioFrontier[[#This Row],[P103 Return]]),1+PortfolioFrontier[[#This Row],[P103 Return]])</f>
        <v>1.0274874829663891</v>
      </c>
      <c r="OW9" s="27">
        <f>MAX(OW8,PortfolioFrontier[[#This Row],[P103 Growth]])</f>
        <v>1.050290793565243</v>
      </c>
      <c r="OX9" s="27">
        <f>PortfolioFrontier[[#This Row],[P103 Growth]]/PortfolioFrontier[[#This Row],[P103 HWM]]-1</f>
        <v>-2.1711425767569903E-2</v>
      </c>
      <c r="OY9" s="28">
        <f>SUMPRODUCT(INDEX(PortfolioRef[[SPY]:[PE]],MATCH(OY$1,PortfolioRef[Reference '#]),0),AssetMonthlyReturns[[#This Row],[SPY]:[PE]])</f>
        <v>-1.7372926631854711E-2</v>
      </c>
      <c r="OZ9" s="27">
        <f>IF(ISNUMBER(OZ8),OZ8*(1+PortfolioFrontier[[#This Row],[P104 Return]]),1+PortfolioFrontier[[#This Row],[P104 Return]])</f>
        <v>1.0259023503822993</v>
      </c>
      <c r="PA9" s="27">
        <f>MAX(PA8,PortfolioFrontier[[#This Row],[P104 Growth]])</f>
        <v>1.0596859973699932</v>
      </c>
      <c r="PB9" s="27">
        <f>PortfolioFrontier[[#This Row],[P104 Growth]]/PortfolioFrontier[[#This Row],[P104 HWM]]-1</f>
        <v>-3.1880809099620766E-2</v>
      </c>
      <c r="PC9" s="28">
        <f>SUMPRODUCT(INDEX(PortfolioRef[[SPY]:[PE]],MATCH(PC$1,PortfolioRef[Reference '#]),0),AssetMonthlyReturns[[#This Row],[SPY]:[PE]])</f>
        <v>-1.3985496273054296E-2</v>
      </c>
      <c r="PD9" s="27">
        <f>IF(ISNUMBER(PD8),PD8*(1+PortfolioFrontier[[#This Row],[P105 Return]]),1+PortfolioFrontier[[#This Row],[P105 Return]])</f>
        <v>1.0288792562183684</v>
      </c>
      <c r="PE9" s="27">
        <f>MAX(PE8,PortfolioFrontier[[#This Row],[P105 Growth]])</f>
        <v>1.0548169175297899</v>
      </c>
      <c r="PF9" s="27">
        <f>PortfolioFrontier[[#This Row],[P105 Growth]]/PortfolioFrontier[[#This Row],[P105 HWM]]-1</f>
        <v>-2.4589728208155082E-2</v>
      </c>
      <c r="PG9" s="28">
        <f>SUMPRODUCT(INDEX(PortfolioRef[[SPY]:[PE]],MATCH(PG$1,PortfolioRef[Reference '#]),0),AssetMonthlyReturns[[#This Row],[SPY]:[PE]])</f>
        <v>-1.0598065914253883E-2</v>
      </c>
      <c r="PH9" s="27">
        <f>IF(ISNUMBER(PH8),PH8*(1+PortfolioFrontier[[#This Row],[P106 Return]]),1+PortfolioFrontier[[#This Row],[P106 Return]])</f>
        <v>1.0318322556847581</v>
      </c>
      <c r="PI9" s="27">
        <f>MAX(PI8,PortfolioFrontier[[#This Row],[P106 Growth]])</f>
        <v>1.0499599790437477</v>
      </c>
      <c r="PJ9" s="27">
        <f>PortfolioFrontier[[#This Row],[P106 Growth]]/PortfolioFrontier[[#This Row],[P106 HWM]]-1</f>
        <v>-1.7265156501964474E-2</v>
      </c>
      <c r="PK9" s="28">
        <f>SUMPRODUCT(INDEX(PortfolioRef[[SPY]:[PE]],MATCH(PK$1,PortfolioRef[Reference '#]),0),AssetMonthlyReturns[[#This Row],[SPY]:[PE]])</f>
        <v>-1.7366486676023665E-2</v>
      </c>
      <c r="PL9" s="27">
        <f>IF(ISNUMBER(PL8),PL8*(1+PortfolioFrontier[[#This Row],[P107 Return]]),1+PortfolioFrontier[[#This Row],[P107 Return]])</f>
        <v>1.023213636465176</v>
      </c>
      <c r="PM9" s="27">
        <f>MAX(PM8,PortfolioFrontier[[#This Row],[P107 Growth]])</f>
        <v>1.0562201870951351</v>
      </c>
      <c r="PN9" s="27">
        <f>PortfolioFrontier[[#This Row],[P107 Growth]]/PortfolioFrontier[[#This Row],[P107 HWM]]-1</f>
        <v>-3.1249687359919842E-2</v>
      </c>
      <c r="PO9" s="28">
        <f>SUMPRODUCT(INDEX(PortfolioRef[[SPY]:[PE]],MATCH(PO$1,PortfolioRef[Reference '#]),0),AssetMonthlyReturns[[#This Row],[SPY]:[PE]])</f>
        <v>-1.397905631722325E-2</v>
      </c>
      <c r="PP9" s="27">
        <f>IF(ISNUMBER(PP8),PP8*(1+PortfolioFrontier[[#This Row],[P108 Return]]),1+PortfolioFrontier[[#This Row],[P108 Return]])</f>
        <v>1.0261901556184378</v>
      </c>
      <c r="PQ9" s="27">
        <f>MAX(PQ8,PortfolioFrontier[[#This Row],[P108 Growth]])</f>
        <v>1.051372855315329</v>
      </c>
      <c r="PR9" s="27">
        <f>PortfolioFrontier[[#This Row],[P108 Growth]]/PortfolioFrontier[[#This Row],[P108 HWM]]-1</f>
        <v>-2.3952206459941672E-2</v>
      </c>
      <c r="PS9" s="28">
        <f>SUMPRODUCT(INDEX(PortfolioRef[[SPY]:[PE]],MATCH(PS$1,PortfolioRef[Reference '#]),0),AssetMonthlyReturns[[#This Row],[SPY]:[PE]])</f>
        <v>-1.8438897181795318E-2</v>
      </c>
      <c r="PT9" s="27">
        <f>IF(ISNUMBER(PT8),PT8*(1+PortfolioFrontier[[#This Row],[P109 Return]]),1+PortfolioFrontier[[#This Row],[P109 Return]])</f>
        <v>1.0246079559214765</v>
      </c>
      <c r="PU9" s="27">
        <f>MAX(PU8,PortfolioFrontier[[#This Row],[P109 Growth]])</f>
        <v>1.0607882528163963</v>
      </c>
      <c r="PV9" s="27">
        <f>PortfolioFrontier[[#This Row],[P109 Growth]]/PortfolioFrontier[[#This Row],[P109 HWM]]-1</f>
        <v>-3.4106992417064386E-2</v>
      </c>
      <c r="PW9" s="28">
        <f>SUMPRODUCT(INDEX(PortfolioRef[[SPY]:[PE]],MATCH(PW$1,PortfolioRef[Reference '#]),0),AssetMonthlyReturns[[#This Row],[SPY]:[PE]])</f>
        <v>-1.5051466822994903E-2</v>
      </c>
      <c r="PX9" s="27">
        <f>IF(ISNUMBER(PX8),PX8*(1+PortfolioFrontier[[#This Row],[P110 Return]]),1+PortfolioFrontier[[#This Row],[P110 Return]])</f>
        <v>1.0275964446601891</v>
      </c>
      <c r="PY9" s="27">
        <f>MAX(PY8,PortfolioFrontier[[#This Row],[P110 Growth]])</f>
        <v>1.0559214762599245</v>
      </c>
      <c r="PZ9" s="27">
        <f>PortfolioFrontier[[#This Row],[P110 Growth]]/PortfolioFrontier[[#This Row],[P110 HWM]]-1</f>
        <v>-2.6824941282625248E-2</v>
      </c>
      <c r="QA9" s="28">
        <f>SUMPRODUCT(INDEX(PortfolioRef[[SPY]:[PE]],MATCH(QA$1,PortfolioRef[Reference '#]),0),AssetMonthlyReturns[[#This Row],[SPY]:[PE]])</f>
        <v>-1.1664036464194488E-2</v>
      </c>
      <c r="QB9" s="27">
        <f>IF(ISNUMBER(QB8),QB8*(1+PortfolioFrontier[[#This Row],[P111 Return]]),1+PortfolioFrontier[[#This Row],[P111 Return]])</f>
        <v>1.0305611430007175</v>
      </c>
      <c r="QC9" s="27">
        <f>MAX(QC8,PortfolioFrontier[[#This Row],[P111 Growth]])</f>
        <v>1.0510668378703485</v>
      </c>
      <c r="QD9" s="27">
        <f>PortfolioFrontier[[#This Row],[P111 Growth]]/PortfolioFrontier[[#This Row],[P111 HWM]]-1</f>
        <v>-1.9509410944007266E-2</v>
      </c>
      <c r="QE9" s="28">
        <f>SUMPRODUCT(INDEX(PortfolioRef[[SPY]:[PE]],MATCH(QE$1,PortfolioRef[Reference '#]),0),AssetMonthlyReturns[[#This Row],[SPY]:[PE]])</f>
        <v>-1.9511307687566971E-2</v>
      </c>
      <c r="QF9" s="27">
        <f>IF(ISNUMBER(QF8),QF8*(1+PortfolioFrontier[[#This Row],[P112 Return]]),1+PortfolioFrontier[[#This Row],[P112 Return]])</f>
        <v>1.0259775181371782</v>
      </c>
      <c r="QG9" s="27">
        <f>MAX(QG8,PortfolioFrontier[[#This Row],[P112 Growth]])</f>
        <v>1.0653524862884685</v>
      </c>
      <c r="QH9" s="27">
        <f>PortfolioFrontier[[#This Row],[P112 Growth]]/PortfolioFrontier[[#This Row],[P112 HWM]]-1</f>
        <v>-3.6959568460263159E-2</v>
      </c>
      <c r="QI9" s="28">
        <f>SUMPRODUCT(INDEX(PortfolioRef[[SPY]:[PE]],MATCH(QI$1,PortfolioRef[Reference '#]),0),AssetMonthlyReturns[[#This Row],[SPY]:[PE]])</f>
        <v>-1.6123877328766554E-2</v>
      </c>
      <c r="QJ9" s="27">
        <f>IF(ISNUMBER(QJ8),QJ8*(1+PortfolioFrontier[[#This Row],[P113 Return]]),1+PortfolioFrontier[[#This Row],[P113 Return]])</f>
        <v>1.0289778860107541</v>
      </c>
      <c r="QK9" s="27">
        <f>MAX(QK8,PortfolioFrontier[[#This Row],[P113 Growth]])</f>
        <v>1.0604662396975308</v>
      </c>
      <c r="QL9" s="27">
        <f>PortfolioFrontier[[#This Row],[P113 Growth]]/PortfolioFrontier[[#This Row],[P113 HWM]]-1</f>
        <v>-2.9692933643750807E-2</v>
      </c>
      <c r="QM9" s="28">
        <f>SUMPRODUCT(INDEX(PortfolioRef[[SPY]:[PE]],MATCH(QM$1,PortfolioRef[Reference '#]),0),AssetMonthlyReturns[[#This Row],[SPY]:[PE]])</f>
        <v>-1.2736446969966141E-2</v>
      </c>
      <c r="QN9" s="27">
        <f>IF(ISNUMBER(QN8),QN8*(1+PortfolioFrontier[[#This Row],[P114 Return]]),1+PortfolioFrontier[[#This Row],[P114 Return]])</f>
        <v>1.0319544289329108</v>
      </c>
      <c r="QO9" s="27">
        <f>MAX(QO8,PortfolioFrontier[[#This Row],[P114 Growth]])</f>
        <v>1.0555921566006516</v>
      </c>
      <c r="QP9" s="27">
        <f>PortfolioFrontier[[#This Row],[P114 Growth]]/PortfolioFrontier[[#This Row],[P114 HWM]]-1</f>
        <v>-2.2392860272723136E-2</v>
      </c>
      <c r="QQ9" s="28">
        <f>SUMPRODUCT(INDEX(PortfolioRef[[SPY]:[PE]],MATCH(QQ$1,PortfolioRef[Reference '#]),0),AssetMonthlyReturns[[#This Row],[SPY]:[PE]])</f>
        <v>-1.9504867731735921E-2</v>
      </c>
      <c r="QR9" s="27">
        <f>IF(ISNUMBER(QR8),QR8*(1+PortfolioFrontier[[#This Row],[P115 Return]]),1+PortfolioFrontier[[#This Row],[P115 Return]])</f>
        <v>1.0232892738000625</v>
      </c>
      <c r="QS9" s="27">
        <f>MAX(QS8,PortfolioFrontier[[#This Row],[P115 Growth]])</f>
        <v>1.0618686348654582</v>
      </c>
      <c r="QT9" s="27">
        <f>PortfolioFrontier[[#This Row],[P115 Growth]]/PortfolioFrontier[[#This Row],[P115 HWM]]-1</f>
        <v>-3.6331576052516024E-2</v>
      </c>
      <c r="QU9" s="28">
        <f>SUMPRODUCT(INDEX(PortfolioRef[[SPY]:[PE]],MATCH(QU$1,PortfolioRef[Reference '#]),0),AssetMonthlyReturns[[#This Row],[SPY]:[PE]])</f>
        <v>-1.6117437372935504E-2</v>
      </c>
      <c r="QV9" s="27">
        <f>IF(ISNUMBER(QV8),QV8*(1+PortfolioFrontier[[#This Row],[P116 Return]]),1+PortfolioFrontier[[#This Row],[P116 Return]])</f>
        <v>1.0262891690305838</v>
      </c>
      <c r="QW9" s="27">
        <f>MAX(QW8,PortfolioFrontier[[#This Row],[P116 Growth]])</f>
        <v>1.0570041848172638</v>
      </c>
      <c r="QX9" s="27">
        <f>PortfolioFrontier[[#This Row],[P116 Growth]]/PortfolioFrontier[[#This Row],[P116 HWM]]-1</f>
        <v>-2.9058556463511076E-2</v>
      </c>
      <c r="QY9" s="28">
        <f>SUMPRODUCT(INDEX(PortfolioRef[[SPY]:[PE]],MATCH(QY$1,PortfolioRef[Reference '#]),0),AssetMonthlyReturns[[#This Row],[SPY]:[PE]])</f>
        <v>-1.273000701413509E-2</v>
      </c>
      <c r="QZ9" s="27">
        <f>IF(ISNUMBER(QZ8),QZ8*(1+PortfolioFrontier[[#This Row],[P117 Return]]),1+PortfolioFrontier[[#This Row],[P117 Return]])</f>
        <v>1.029265389383925</v>
      </c>
      <c r="RA9" s="27">
        <f>MAX(RA8,PortfolioFrontier[[#This Row],[P117 Growth]])</f>
        <v>1.0521518697486996</v>
      </c>
      <c r="RB9" s="27">
        <f>PortfolioFrontier[[#This Row],[P117 Growth]]/PortfolioFrontier[[#This Row],[P117 HWM]]-1</f>
        <v>-2.1752069280873809E-2</v>
      </c>
      <c r="RC9" s="28">
        <f>SUMPRODUCT(INDEX(PortfolioRef[[SPY]:[PE]],MATCH(RC$1,PortfolioRef[Reference '#]),0),AssetMonthlyReturns[[#This Row],[SPY]:[PE]])</f>
        <v>-2.0577278237507574E-2</v>
      </c>
      <c r="RD9" s="27">
        <f>IF(ISNUMBER(RD8),RD8*(1+PortfolioFrontier[[#This Row],[P118 Return]]),1+PortfolioFrontier[[#This Row],[P118 Return]])</f>
        <v>1.02467318516554</v>
      </c>
      <c r="RE9" s="27">
        <f>MAX(RE8,PortfolioFrontier[[#This Row],[P118 Growth]])</f>
        <v>1.0664554246268612</v>
      </c>
      <c r="RF9" s="27">
        <f>PortfolioFrontier[[#This Row],[P118 Growth]]/PortfolioFrontier[[#This Row],[P118 HWM]]-1</f>
        <v>-3.9178608403572346E-2</v>
      </c>
      <c r="RG9" s="28">
        <f>SUMPRODUCT(INDEX(PortfolioRef[[SPY]:[PE]],MATCH(RG$1,PortfolioRef[Reference '#]),0),AssetMonthlyReturns[[#This Row],[SPY]:[PE]])</f>
        <v>-1.7189847878707157E-2</v>
      </c>
      <c r="RH9" s="27">
        <f>IF(ISNUMBER(RH8),RH8*(1+PortfolioFrontier[[#This Row],[P119 Return]]),1+PortfolioFrontier[[#This Row],[P119 Return]])</f>
        <v>1.0276850773043236</v>
      </c>
      <c r="RI9" s="27">
        <f>MAX(RI8,PortfolioFrontier[[#This Row],[P119 Growth]])</f>
        <v>1.0615714914212842</v>
      </c>
      <c r="RJ9" s="27">
        <f>PortfolioFrontier[[#This Row],[P119 Growth]]/PortfolioFrontier[[#This Row],[P119 HWM]]-1</f>
        <v>-3.1920991088025374E-2</v>
      </c>
      <c r="RK9" s="28">
        <f>SUMPRODUCT(INDEX(PortfolioRef[[SPY]:[PE]],MATCH(RK$1,PortfolioRef[Reference '#]),0),AssetMonthlyReturns[[#This Row],[SPY]:[PE]])</f>
        <v>-1.3802417519906744E-2</v>
      </c>
      <c r="RL9" s="27">
        <f>IF(ISNUMBER(RL8),RL8*(1+PortfolioFrontier[[#This Row],[P120 Return]]),1+PortfolioFrontier[[#This Row],[P120 Return]])</f>
        <v>1.0306732606415903</v>
      </c>
      <c r="RM9" s="27">
        <f>MAX(RM8,PortfolioFrontier[[#This Row],[P120 Growth]])</f>
        <v>1.0566997185225</v>
      </c>
      <c r="RN9" s="27">
        <f>PortfolioFrontier[[#This Row],[P120 Growth]]/PortfolioFrontier[[#This Row],[P120 HWM]]-1</f>
        <v>-2.4629946828509164E-2</v>
      </c>
      <c r="RO9" s="28">
        <f>SUMPRODUCT(INDEX(PortfolioRef[[SPY]:[PE]],MATCH(RO$1,PortfolioRef[Reference '#]),0),AssetMonthlyReturns[[#This Row],[SPY]:[PE]])</f>
        <v>-2.164968874327923E-2</v>
      </c>
      <c r="RP9" s="27">
        <f>IF(ISNUMBER(RP8),RP8*(1+PortfolioFrontier[[#This Row],[P121 Return]]),1+PortfolioFrontier[[#This Row],[P121 Return]])</f>
        <v>1.0260323568040517</v>
      </c>
      <c r="RQ9" s="27">
        <f>MAX(RQ8,PortfolioFrontier[[#This Row],[P121 Growth]])</f>
        <v>1.0710383749555177</v>
      </c>
      <c r="RR9" s="27">
        <f>PortfolioFrontier[[#This Row],[P121 Growth]]/PortfolioFrontier[[#This Row],[P121 HWM]]-1</f>
        <v>-4.20209202619235E-2</v>
      </c>
      <c r="RS9" s="28">
        <f>SUMPRODUCT(INDEX(PortfolioRef[[SPY]:[PE]],MATCH(RS$1,PortfolioRef[Reference '#]),0),AssetMonthlyReturns[[#This Row],[SPY]:[PE]])</f>
        <v>-1.8262258384478813E-2</v>
      </c>
      <c r="RT9" s="27">
        <f>IF(ISNUMBER(RT8),RT8*(1+PortfolioFrontier[[#This Row],[P122 Return]]),1+PortfolioFrontier[[#This Row],[P122 Return]])</f>
        <v>1.0290561551007096</v>
      </c>
      <c r="RU9" s="27">
        <f>MAX(RU8,PortfolioFrontier[[#This Row],[P122 Growth]])</f>
        <v>1.0661349333347574</v>
      </c>
      <c r="RV9" s="27">
        <f>PortfolioFrontier[[#This Row],[P122 Growth]]/PortfolioFrontier[[#This Row],[P122 HWM]]-1</f>
        <v>-3.4778691772221815E-2</v>
      </c>
      <c r="RW9" s="28">
        <f>SUMPRODUCT(INDEX(PortfolioRef[[SPY]:[PE]],MATCH(RW$1,PortfolioRef[Reference '#]),0),AssetMonthlyReturns[[#This Row],[SPY]:[PE]])</f>
        <v>-1.48748280256784E-2</v>
      </c>
      <c r="RX9" s="27">
        <f>IF(ISNUMBER(RX8),RX8*(1+PortfolioFrontier[[#This Row],[P123 Return]]),1+PortfolioFrontier[[#This Row],[P123 Return]])</f>
        <v>1.0320562107865967</v>
      </c>
      <c r="RY9" s="27">
        <f>MAX(RY8,PortfolioFrontier[[#This Row],[P123 Growth]])</f>
        <v>1.0612436773479528</v>
      </c>
      <c r="RZ9" s="27">
        <f>PortfolioFrontier[[#This Row],[P123 Growth]]/PortfolioFrontier[[#This Row],[P123 HWM]]-1</f>
        <v>-2.750307698821397E-2</v>
      </c>
      <c r="SA9" s="28">
        <f>SUMPRODUCT(INDEX(PortfolioRef[[SPY]:[PE]],MATCH(SA$1,PortfolioRef[Reference '#]),0),AssetMonthlyReturns[[#This Row],[SPY]:[PE]])</f>
        <v>-2.164324878744818E-2</v>
      </c>
      <c r="SB9" s="27">
        <f>IF(ISNUMBER(SB8),SB8*(1+PortfolioFrontier[[#This Row],[P124 Return]]),1+PortfolioFrontier[[#This Row],[P124 Return]])</f>
        <v>1.023344644570267</v>
      </c>
      <c r="SC9" s="27">
        <f>MAX(SC8,PortfolioFrontier[[#This Row],[P124 Growth]])</f>
        <v>1.0675364357312243</v>
      </c>
      <c r="SD9" s="27">
        <f>PortfolioFrontier[[#This Row],[P124 Growth]]/PortfolioFrontier[[#This Row],[P124 HWM]]-1</f>
        <v>-4.1396049522831935E-2</v>
      </c>
      <c r="SE9" s="28">
        <f>SUMPRODUCT(INDEX(PortfolioRef[[SPY]:[PE]],MATCH(SE$1,PortfolioRef[Reference '#]),0),AssetMonthlyReturns[[#This Row],[SPY]:[PE]])</f>
        <v>-1.8255818428647763E-2</v>
      </c>
      <c r="SF9" s="27">
        <f>IF(ISNUMBER(SF8),SF8*(1+PortfolioFrontier[[#This Row],[P125 Return]]),1+PortfolioFrontier[[#This Row],[P125 Return]])</f>
        <v>1.0263678845584834</v>
      </c>
      <c r="SG9" s="27">
        <f>MAX(SG8,PortfolioFrontier[[#This Row],[P125 Growth]])</f>
        <v>1.0626548391355537</v>
      </c>
      <c r="SH9" s="27">
        <f>PortfolioFrontier[[#This Row],[P125 Growth]]/PortfolioFrontier[[#This Row],[P125 HWM]]-1</f>
        <v>-3.4147451496658099E-2</v>
      </c>
      <c r="SI9" s="28">
        <f>SUMPRODUCT(INDEX(PortfolioRef[[SPY]:[PE]],MATCH(SI$1,PortfolioRef[Reference '#]),0),AssetMonthlyReturns[[#This Row],[SPY]:[PE]])</f>
        <v>-1.486838806984735E-2</v>
      </c>
      <c r="SJ9" s="27">
        <f>IF(ISNUMBER(SJ8),SJ8*(1+PortfolioFrontier[[#This Row],[P126 Return]]),1+PortfolioFrontier[[#This Row],[P126 Return]])</f>
        <v>1.0293675314425745</v>
      </c>
      <c r="SK9" s="27">
        <f>MAX(SK8,PortfolioFrontier[[#This Row],[P126 Growth]])</f>
        <v>1.0577853996594109</v>
      </c>
      <c r="SL9" s="27">
        <f>PortfolioFrontier[[#This Row],[P126 Growth]]/PortfolioFrontier[[#This Row],[P126 HWM]]-1</f>
        <v>-2.6865438137061104E-2</v>
      </c>
      <c r="SM9" s="28">
        <f>SUMPRODUCT(INDEX(PortfolioRef[[SPY]:[PE]],MATCH(SM$1,PortfolioRef[Reference '#]),0),AssetMonthlyReturns[[#This Row],[SPY]:[PE]])</f>
        <v>-2.2715659293219833E-2</v>
      </c>
      <c r="SN9" s="27">
        <f>IF(ISNUMBER(SN8),SN8*(1+PortfolioFrontier[[#This Row],[P127 Return]]),1+PortfolioFrontier[[#This Row],[P127 Return]])</f>
        <v>1.0247181168257711</v>
      </c>
      <c r="SO9" s="27">
        <f>MAX(SO8,PortfolioFrontier[[#This Row],[P127 Growth]])</f>
        <v>1.072141988535577</v>
      </c>
      <c r="SP9" s="27">
        <f>PortfolioFrontier[[#This Row],[P127 Growth]]/PortfolioFrontier[[#This Row],[P127 HWM]]-1</f>
        <v>-4.4232827570330868E-2</v>
      </c>
      <c r="SQ9" s="28">
        <f>SUMPRODUCT(INDEX(PortfolioRef[[SPY]:[PE]],MATCH(SQ$1,PortfolioRef[Reference '#]),0),AssetMonthlyReturns[[#This Row],[SPY]:[PE]])</f>
        <v>-1.9328228934419416E-2</v>
      </c>
      <c r="SR9" s="27">
        <f>IF(ISNUMBER(SR8),SR8*(1+PortfolioFrontier[[#This Row],[P128 Return]]),1+PortfolioFrontier[[#This Row],[P128 Return]])</f>
        <v>1.0277533804769019</v>
      </c>
      <c r="SS9" s="27">
        <f>MAX(SS8,PortfolioFrontier[[#This Row],[P128 Growth]])</f>
        <v>1.0672408704018066</v>
      </c>
      <c r="ST9" s="27">
        <f>PortfolioFrontier[[#This Row],[P128 Growth]]/PortfolioFrontier[[#This Row],[P128 HWM]]-1</f>
        <v>-3.6999604325533397E-2</v>
      </c>
      <c r="SU9" s="28">
        <f>SUMPRODUCT(INDEX(PortfolioRef[[SPY]:[PE]],MATCH(SU$1,PortfolioRef[Reference '#]),0),AssetMonthlyReturns[[#This Row],[SPY]:[PE]])</f>
        <v>-1.5940798575619003E-2</v>
      </c>
      <c r="SV9" s="27">
        <f>IF(ISNUMBER(SV8),SV8*(1+PortfolioFrontier[[#This Row],[P129 Return]]),1+PortfolioFrontier[[#This Row],[P129 Return]])</f>
        <v>1.0307650178440142</v>
      </c>
      <c r="SW9" s="27">
        <f>MAX(SW8,PortfolioFrontier[[#This Row],[P129 Growth]])</f>
        <v>1.0623519347147268</v>
      </c>
      <c r="SX9" s="27">
        <f>PortfolioFrontier[[#This Row],[P129 Growth]]/PortfolioFrontier[[#This Row],[P129 HWM]]-1</f>
        <v>-2.9733006396975736E-2</v>
      </c>
      <c r="SY9" s="28">
        <f>SUMPRODUCT(INDEX(PortfolioRef[[SPY]:[PE]],MATCH(SY$1,PortfolioRef[Reference '#]),0),AssetMonthlyReturns[[#This Row],[SPY]:[PE]])</f>
        <v>-2.3788069798991486E-2</v>
      </c>
      <c r="SZ9" s="27">
        <f>IF(ISNUMBER(SZ8),SZ8*(1+PortfolioFrontier[[#This Row],[P130 Return]]),1+PortfolioFrontier[[#This Row],[P130 Return]])</f>
        <v>1.0260668672470648</v>
      </c>
      <c r="TA9" s="27">
        <f>MAX(TA8,PortfolioFrontier[[#This Row],[P130 Growth]])</f>
        <v>1.0767436947236253</v>
      </c>
      <c r="TB9" s="27">
        <f>PortfolioFrontier[[#This Row],[P130 Growth]]/PortfolioFrontier[[#This Row],[P130 HWM]]-1</f>
        <v>-4.7064893646364125E-2</v>
      </c>
      <c r="TC9" s="28">
        <f>SUMPRODUCT(INDEX(PortfolioRef[[SPY]:[PE]],MATCH(TC$1,PortfolioRef[Reference '#]),0),AssetMonthlyReturns[[#This Row],[SPY]:[PE]])</f>
        <v>-2.0400639440191069E-2</v>
      </c>
      <c r="TD9" s="27">
        <f>IF(ISNUMBER(TD8),TD8*(1+PortfolioFrontier[[#This Row],[P131 Return]]),1+PortfolioFrontier[[#This Row],[P131 Return]])</f>
        <v>1.0291140635110971</v>
      </c>
      <c r="TE9" s="27">
        <f>MAX(TE8,PortfolioFrontier[[#This Row],[P131 Growth]])</f>
        <v>1.0718230297939548</v>
      </c>
      <c r="TF9" s="27">
        <f>PortfolioFrontier[[#This Row],[P131 Growth]]/PortfolioFrontier[[#This Row],[P131 HWM]]-1</f>
        <v>-3.984703173533044E-2</v>
      </c>
      <c r="TG9" s="28">
        <f>SUMPRODUCT(INDEX(PortfolioRef[[SPY]:[PE]],MATCH(TG$1,PortfolioRef[Reference '#]),0),AssetMonthlyReturns[[#This Row],[SPY]:[PE]])</f>
        <v>-1.7013209081390656E-2</v>
      </c>
      <c r="TH9" s="27">
        <f>IF(ISNUMBER(TH8),TH8*(1+PortfolioFrontier[[#This Row],[P132 Return]]),1+PortfolioFrontier[[#This Row],[P132 Return]])</f>
        <v>1.0321376004262537</v>
      </c>
      <c r="TI9" s="27">
        <f>MAX(TI8,PortfolioFrontier[[#This Row],[P132 Growth]])</f>
        <v>1.0669145726381379</v>
      </c>
      <c r="TJ9" s="27">
        <f>PortfolioFrontier[[#This Row],[P132 Growth]]/PortfolioFrontier[[#This Row],[P132 HWM]]-1</f>
        <v>-3.2595835790200089E-2</v>
      </c>
      <c r="TK9" s="28">
        <f>SUMPRODUCT(INDEX(PortfolioRef[[SPY]:[PE]],MATCH(TK$1,PortfolioRef[Reference '#]),0),AssetMonthlyReturns[[#This Row],[SPY]:[PE]])</f>
        <v>-2.3781629843160436E-2</v>
      </c>
      <c r="TL9" s="27">
        <f>IF(ISNUMBER(TL8),TL8*(1+PortfolioFrontier[[#This Row],[P133 Return]]),1+PortfolioFrontier[[#This Row],[P133 Return]])</f>
        <v>1.0233797494748593</v>
      </c>
      <c r="TM9" s="27">
        <f>MAX(TM8,PortfolioFrontier[[#This Row],[P133 Growth]])</f>
        <v>1.0732236210449184</v>
      </c>
      <c r="TN9" s="27">
        <f>PortfolioFrontier[[#This Row],[P133 Growth]]/PortfolioFrontier[[#This Row],[P133 HWM]]-1</f>
        <v>-4.6443136912631355E-2</v>
      </c>
      <c r="TO9" s="28">
        <f>SUMPRODUCT(INDEX(PortfolioRef[[SPY]:[PE]],MATCH(TO$1,PortfolioRef[Reference '#]),0),AssetMonthlyReturns[[#This Row],[SPY]:[PE]])</f>
        <v>-2.0394199484360019E-2</v>
      </c>
      <c r="TP9" s="27">
        <f>IF(ISNUMBER(TP8),TP8*(1+PortfolioFrontier[[#This Row],[P134 Return]]),1+PortfolioFrontier[[#This Row],[P134 Return]])</f>
        <v>1.0264263020622688</v>
      </c>
      <c r="TQ9" s="27">
        <f>MAX(TQ8,PortfolioFrontier[[#This Row],[P134 Growth]])</f>
        <v>1.0683248496226843</v>
      </c>
      <c r="TR9" s="27">
        <f>PortfolioFrontier[[#This Row],[P134 Growth]]/PortfolioFrontier[[#This Row],[P134 HWM]]-1</f>
        <v>-3.9218920701145632E-2</v>
      </c>
      <c r="TS9" s="28">
        <f>SUMPRODUCT(INDEX(PortfolioRef[[SPY]:[PE]],MATCH(TS$1,PortfolioRef[Reference '#]),0),AssetMonthlyReturns[[#This Row],[SPY]:[PE]])</f>
        <v>-1.7006769125559606E-2</v>
      </c>
      <c r="TT9" s="27">
        <f>IF(ISNUMBER(TT8),TT8*(1+PortfolioFrontier[[#This Row],[P135 Return]]),1+PortfolioFrontier[[#This Row],[P135 Return]])</f>
        <v>1.0294493442378894</v>
      </c>
      <c r="TU9" s="27">
        <f>MAX(TU8,PortfolioFrontier[[#This Row],[P135 Growth]])</f>
        <v>1.0634382574598751</v>
      </c>
      <c r="TV9" s="27">
        <f>PortfolioFrontier[[#This Row],[P135 Growth]]/PortfolioFrontier[[#This Row],[P135 HWM]]-1</f>
        <v>-3.1961341416446243E-2</v>
      </c>
      <c r="TW9" s="28">
        <f>SUMPRODUCT(INDEX(PortfolioRef[[SPY]:[PE]],MATCH(TW$1,PortfolioRef[Reference '#]),0),AssetMonthlyReturns[[#This Row],[SPY]:[PE]])</f>
        <v>-2.4854040348932089E-2</v>
      </c>
      <c r="TX9" s="27">
        <f>IF(ISNUMBER(TX8),TX8*(1+PortfolioFrontier[[#This Row],[P136 Return]]),1+PortfolioFrontier[[#This Row],[P136 Return]])</f>
        <v>1.0247427520481771</v>
      </c>
      <c r="TY9" s="27">
        <f>MAX(TY8,PortfolioFrontier[[#This Row],[P136 Growth]])</f>
        <v>1.0778479758950288</v>
      </c>
      <c r="TZ9" s="27">
        <f>PortfolioFrontier[[#This Row],[P136 Growth]]/PortfolioFrontier[[#This Row],[P136 HWM]]-1</f>
        <v>-4.9269679059102844E-2</v>
      </c>
      <c r="UA9" s="28">
        <f>SUMPRODUCT(INDEX(PortfolioRef[[SPY]:[PE]],MATCH(UA$1,PortfolioRef[Reference '#]),0),AssetMonthlyReturns[[#This Row],[SPY]:[PE]])</f>
        <v>-2.1466609990131672E-2</v>
      </c>
      <c r="UB9" s="27">
        <f>IF(ISNUMBER(UB8),UB8*(1+PortfolioFrontier[[#This Row],[P137 Return]]),1+PortfolioFrontier[[#This Row],[P137 Return]])</f>
        <v>1.0278013544841282</v>
      </c>
      <c r="UC9" s="27">
        <f>MAX(UC8,PortfolioFrontier[[#This Row],[P137 Growth]])</f>
        <v>1.0729296445539775</v>
      </c>
      <c r="UD9" s="27">
        <f>PortfolioFrontier[[#This Row],[P137 Growth]]/PortfolioFrontier[[#This Row],[P137 HWM]]-1</f>
        <v>-4.2060810136911986E-2</v>
      </c>
      <c r="UE9" s="28">
        <f>SUMPRODUCT(INDEX(PortfolioRef[[SPY]:[PE]],MATCH(UE$1,PortfolioRef[Reference '#]),0),AssetMonthlyReturns[[#This Row],[SPY]:[PE]])</f>
        <v>-1.8079179631331259E-2</v>
      </c>
      <c r="UF9" s="27">
        <f>IF(ISNUMBER(UF8),UF8*(1+PortfolioFrontier[[#This Row],[P138 Return]]),1+PortfolioFrontier[[#This Row],[P138 Return]])</f>
        <v>1.030836414073248</v>
      </c>
      <c r="UG9" s="27">
        <f>MAX(UG8,PortfolioFrontier[[#This Row],[P138 Growth]])</f>
        <v>1.0680235177995143</v>
      </c>
      <c r="UH9" s="27">
        <f>PortfolioFrontier[[#This Row],[P138 Growth]]/PortfolioFrontier[[#This Row],[P138 HWM]]-1</f>
        <v>-3.4818618791170652E-2</v>
      </c>
      <c r="UI9" s="28">
        <f>SUMPRODUCT(INDEX(PortfolioRef[[SPY]:[PE]],MATCH(UI$1,PortfolioRef[Reference '#]),0),AssetMonthlyReturns[[#This Row],[SPY]:[PE]])</f>
        <v>-2.5926450854703742E-2</v>
      </c>
      <c r="UJ9" s="27">
        <f>IF(ISNUMBER(UJ8),UJ8*(1+PortfolioFrontier[[#This Row],[P139 Return]]),1+PortfolioFrontier[[#This Row],[P139 Return]])</f>
        <v>1.026081051058878</v>
      </c>
      <c r="UK9" s="27">
        <f>MAX(UK8,PortfolioFrontier[[#This Row],[P139 Growth]])</f>
        <v>1.0824684769452779</v>
      </c>
      <c r="UL9" s="27">
        <f>PortfolioFrontier[[#This Row],[P139 Growth]]/PortfolioFrontier[[#This Row],[P139 HWM]]-1</f>
        <v>-5.2091517755348371E-2</v>
      </c>
      <c r="UM9" s="28">
        <f>SUMPRODUCT(INDEX(PortfolioRef[[SPY]:[PE]],MATCH(UM$1,PortfolioRef[Reference '#]),0),AssetMonthlyReturns[[#This Row],[SPY]:[PE]])</f>
        <v>-2.2539020495903325E-2</v>
      </c>
      <c r="UN9" s="27">
        <f>IF(ISNUMBER(UN8),UN8*(1+PortfolioFrontier[[#This Row],[P140 Return]]),1+PortfolioFrontier[[#This Row],[P140 Return]])</f>
        <v>1.0291516119939195</v>
      </c>
      <c r="UO9" s="27">
        <f>MAX(UO8,PortfolioFrontier[[#This Row],[P140 Growth]])</f>
        <v>1.0775305604276091</v>
      </c>
      <c r="UP9" s="27">
        <f>PortfolioFrontier[[#This Row],[P140 Growth]]/PortfolioFrontier[[#This Row],[P140 HWM]]-1</f>
        <v>-4.4897982674840131E-2</v>
      </c>
      <c r="UQ9" s="28">
        <f>SUMPRODUCT(INDEX(PortfolioRef[[SPY]:[PE]],MATCH(UQ$1,PortfolioRef[Reference '#]),0),AssetMonthlyReturns[[#This Row],[SPY]:[PE]])</f>
        <v>-1.9151590137102912E-2</v>
      </c>
      <c r="UR9" s="27">
        <f>IF(ISNUMBER(UR8),UR8*(1+PortfolioFrontier[[#This Row],[P141 Return]]),1+PortfolioFrontier[[#This Row],[P141 Return]])</f>
        <v>1.0321985977620618</v>
      </c>
      <c r="US9" s="27">
        <f>MAX(US8,PortfolioFrontier[[#This Row],[P141 Growth]])</f>
        <v>1.0726048738236913</v>
      </c>
      <c r="UT9" s="27">
        <f>PortfolioFrontier[[#This Row],[P141 Growth]]/PortfolioFrontier[[#This Row],[P141 HWM]]-1</f>
        <v>-3.7671165820444719E-2</v>
      </c>
    </row>
    <row r="10" spans="1:566" x14ac:dyDescent="0.2">
      <c r="B10" s="41">
        <f>AssetMonthlyReturns[[#This Row],[Date]]</f>
        <v>42675</v>
      </c>
      <c r="C10" s="28">
        <f>SUMPRODUCT(INDEX(PortfolioRef[[SPY]:[PE]],MATCH(C$1,PortfolioRef[Reference '#]),0),AssetMonthlyReturns[[#This Row],[SPY]:[PE]])</f>
        <v>6.0302013406029276E-3</v>
      </c>
      <c r="D10" s="29">
        <f>IF(ISNUMBER(D9),D9*(1+PortfolioFrontier[[#This Row],[P1 Return]]),1+PortfolioFrontier[[#This Row],[P1 Return]])</f>
        <v>1.0396376265026266</v>
      </c>
      <c r="E10" s="29">
        <f>MAX(E9,PortfolioFrontier[[#This Row],[P1 Growth]])</f>
        <v>1.0583442685325262</v>
      </c>
      <c r="F10" s="29">
        <f>PortfolioFrontier[[#This Row],[P1 Growth]]/PortfolioFrontier[[#This Row],[P1 HWM]]-1</f>
        <v>-1.7675384641934855E-2</v>
      </c>
      <c r="G10" s="28">
        <f>SUMPRODUCT(INDEX(PortfolioRef[[SPY]:[PE]],MATCH(G$1,PortfolioRef[Reference '#]),0),AssetMonthlyReturns[[#This Row],[SPY]:[PE]])</f>
        <v>2.9026430505411658E-3</v>
      </c>
      <c r="H10" s="27">
        <f>IF(ISNUMBER(H9),H9*(1+PortfolioFrontier[[#This Row],[P2 Return]]),1+PortfolioFrontier[[#This Row],[P2 Return]])</f>
        <v>1.0351249528794679</v>
      </c>
      <c r="I10" s="27">
        <f>MAX(I9,PortfolioFrontier[[#This Row],[P2 Growth]])</f>
        <v>1.0566950559387405</v>
      </c>
      <c r="J10" s="27">
        <f>PortfolioFrontier[[#This Row],[P2 Growth]]/PortfolioFrontier[[#This Row],[P2 HWM]]-1</f>
        <v>-2.0412798316833403E-2</v>
      </c>
      <c r="K10" s="28">
        <f>SUMPRODUCT(INDEX(PortfolioRef[[SPY]:[PE]],MATCH(K$1,PortfolioRef[Reference '#]),0),AssetMonthlyReturns[[#This Row],[SPY]:[PE]])</f>
        <v>1.1062570257780067E-5</v>
      </c>
      <c r="L10" s="27">
        <f>IF(ISNUMBER(L9),L9*(1+PortfolioFrontier[[#This Row],[P3 Return]]),1+PortfolioFrontier[[#This Row],[P3 Return]])</f>
        <v>1.030883720707549</v>
      </c>
      <c r="M10" s="27">
        <f>MAX(M9,PortfolioFrontier[[#This Row],[P3 Growth]])</f>
        <v>1.0578303960203519</v>
      </c>
      <c r="N10" s="27">
        <f>PortfolioFrontier[[#This Row],[P3 Growth]]/PortfolioFrontier[[#This Row],[P3 HWM]]-1</f>
        <v>-2.5473530931025112E-2</v>
      </c>
      <c r="O10" s="28">
        <f>SUMPRODUCT(INDEX(PortfolioRef[[SPY]:[PE]],MATCH(O$1,PortfolioRef[Reference '#]),0),AssetMonthlyReturns[[#This Row],[SPY]:[PE]])</f>
        <v>3.3515147152977263E-3</v>
      </c>
      <c r="P10" s="27">
        <f>IF(ISNUMBER(P9),P9*(1+PortfolioFrontier[[#This Row],[P4 Return]]),1+PortfolioFrontier[[#This Row],[P4 Return]])</f>
        <v>1.0356876285609835</v>
      </c>
      <c r="Q10" s="27">
        <f>MAX(Q9,PortfolioFrontier[[#This Row],[P4 Growth]])</f>
        <v>1.0623520608453636</v>
      </c>
      <c r="R10" s="27">
        <f>PortfolioFrontier[[#This Row],[P4 Growth]]/PortfolioFrontier[[#This Row],[P4 HWM]]-1</f>
        <v>-2.5099431033401398E-2</v>
      </c>
      <c r="S10" s="28">
        <f>SUMPRODUCT(INDEX(PortfolioRef[[SPY]:[PE]],MATCH(S$1,PortfolioRef[Reference '#]),0),AssetMonthlyReturns[[#This Row],[SPY]:[PE]])</f>
        <v>4.0259301783890583E-3</v>
      </c>
      <c r="T10" s="27">
        <f>IF(ISNUMBER(T9),T9*(1+PortfolioFrontier[[#This Row],[P5 Return]]),1+PortfolioFrontier[[#This Row],[P5 Return]])</f>
        <v>1.0393661948520825</v>
      </c>
      <c r="U10" s="27">
        <f>MAX(U9,PortfolioFrontier[[#This Row],[P5 Growth]])</f>
        <v>1.0574575081284934</v>
      </c>
      <c r="V10" s="27">
        <f>PortfolioFrontier[[#This Row],[P5 Growth]]/PortfolioFrontier[[#This Row],[P5 HWM]]-1</f>
        <v>-1.7108312284272453E-2</v>
      </c>
      <c r="W10" s="28">
        <f>SUMPRODUCT(INDEX(PortfolioRef[[SPY]:[PE]],MATCH(W$1,PortfolioRef[Reference '#]),0),AssetMonthlyReturns[[#This Row],[SPY]:[PE]])</f>
        <v>-2.2491523952059629E-4</v>
      </c>
      <c r="X10" s="27">
        <f>IF(ISNUMBER(X9),X9*(1+PortfolioFrontier[[#This Row],[P6 Return]]),1+PortfolioFrontier[[#This Row],[P6 Return]])</f>
        <v>1.0306166996645278</v>
      </c>
      <c r="Y10" s="27">
        <f>MAX(Y9,PortfolioFrontier[[#This Row],[P6 Growth]])</f>
        <v>1.0550433039814844</v>
      </c>
      <c r="Z10" s="27">
        <f>PortfolioFrontier[[#This Row],[P6 Growth]]/PortfolioFrontier[[#This Row],[P6 HWM]]-1</f>
        <v>-2.3152229131047308E-2</v>
      </c>
      <c r="AA10" s="28">
        <f>SUMPRODUCT(INDEX(PortfolioRef[[SPY]:[PE]],MATCH(AA$1,PortfolioRef[Reference '#]),0),AssetMonthlyReturns[[#This Row],[SPY]:[PE]])</f>
        <v>-3.1164957198039798E-3</v>
      </c>
      <c r="AB10" s="27">
        <f>IF(ISNUMBER(AB9),AB9*(1+PortfolioFrontier[[#This Row],[P7 Return]]),1+PortfolioFrontier[[#This Row],[P7 Return]])</f>
        <v>1.0263795247561058</v>
      </c>
      <c r="AC10" s="27">
        <f>MAX(AC9,PortfolioFrontier[[#This Row],[P7 Growth]])</f>
        <v>1.0561717070283392</v>
      </c>
      <c r="AD10" s="27">
        <f>PortfolioFrontier[[#This Row],[P7 Growth]]/PortfolioFrontier[[#This Row],[P7 HWM]]-1</f>
        <v>-2.8207707207057342E-2</v>
      </c>
      <c r="AE10" s="28">
        <f>SUMPRODUCT(INDEX(PortfolioRef[[SPY]:[PE]],MATCH(AE$1,PortfolioRef[Reference '#]),0),AssetMonthlyReturns[[#This Row],[SPY]:[PE]])</f>
        <v>2.23956425235966E-4</v>
      </c>
      <c r="AF10" s="27">
        <f>IF(ISNUMBER(AF9),AF9*(1+PortfolioFrontier[[#This Row],[P8 Return]]),1+PortfolioFrontier[[#This Row],[P8 Return]])</f>
        <v>1.0311818251070817</v>
      </c>
      <c r="AG10" s="27">
        <f>MAX(AG9,PortfolioFrontier[[#This Row],[P8 Growth]])</f>
        <v>1.0606944688732651</v>
      </c>
      <c r="AH10" s="27">
        <f>PortfolioFrontier[[#This Row],[P8 Growth]]/PortfolioFrontier[[#This Row],[P8 HWM]]-1</f>
        <v>-2.7823887681373116E-2</v>
      </c>
      <c r="AI10" s="28">
        <f>SUMPRODUCT(INDEX(PortfolioRef[[SPY]:[PE]],MATCH(AI$1,PortfolioRef[Reference '#]),0),AssetMonthlyReturns[[#This Row],[SPY]:[PE]])</f>
        <v>8.9837188832729846E-4</v>
      </c>
      <c r="AJ10" s="27">
        <f>IF(ISNUMBER(AJ9),AJ9*(1+PortfolioFrontier[[#This Row],[P9 Return]]),1+PortfolioFrontier[[#This Row],[P9 Return]])</f>
        <v>1.0348468729520224</v>
      </c>
      <c r="AK10" s="27">
        <f>MAX(AK9,PortfolioFrontier[[#This Row],[P9 Growth]])</f>
        <v>1.0558084455991081</v>
      </c>
      <c r="AL10" s="27">
        <f>PortfolioFrontier[[#This Row],[P9 Growth]]/PortfolioFrontier[[#This Row],[P9 HWM]]-1</f>
        <v>-1.9853575461021511E-2</v>
      </c>
      <c r="AM10" s="28">
        <f>SUMPRODUCT(INDEX(PortfolioRef[[SPY]:[PE]],MATCH(AM$1,PortfolioRef[Reference '#]),0),AssetMonthlyReturns[[#This Row],[SPY]:[PE]])</f>
        <v>-6.0080762000873653E-3</v>
      </c>
      <c r="AN10" s="27">
        <f>IF(ISNUMBER(AN9),AN9*(1+PortfolioFrontier[[#This Row],[P10 Return]]),1+PortfolioFrontier[[#This Row],[P10 Return]])</f>
        <v>1.0221251390866002</v>
      </c>
      <c r="AO10" s="27">
        <f>MAX(AO9,PortfolioFrontier[[#This Row],[P10 Growth]])</f>
        <v>1.0572782218237637</v>
      </c>
      <c r="AP10" s="27">
        <f>PortfolioFrontier[[#This Row],[P10 Growth]]/PortfolioFrontier[[#This Row],[P10 HWM]]-1</f>
        <v>-3.3248658689408961E-2</v>
      </c>
      <c r="AQ10" s="28">
        <f>SUMPRODUCT(INDEX(PortfolioRef[[SPY]:[PE]],MATCH(AQ$1,PortfolioRef[Reference '#]),0),AssetMonthlyReturns[[#This Row],[SPY]:[PE]])</f>
        <v>-2.6676240550474193E-3</v>
      </c>
      <c r="AR10" s="27">
        <f>IF(ISNUMBER(AR9),AR9*(1+PortfolioFrontier[[#This Row],[P11 Return]]),1+PortfolioFrontier[[#This Row],[P11 Return]])</f>
        <v>1.0269337263143798</v>
      </c>
      <c r="AS10" s="27">
        <f>MAX(AS9,PortfolioFrontier[[#This Row],[P11 Growth]])</f>
        <v>1.0618236120311197</v>
      </c>
      <c r="AT10" s="27">
        <f>PortfolioFrontier[[#This Row],[P11 Growth]]/PortfolioFrontier[[#This Row],[P11 HWM]]-1</f>
        <v>-3.2858457206466185E-2</v>
      </c>
      <c r="AU10" s="28">
        <f>SUMPRODUCT(INDEX(PortfolioRef[[SPY]:[PE]],MATCH(AU$1,PortfolioRef[Reference '#]),0),AssetMonthlyReturns[[#This Row],[SPY]:[PE]])</f>
        <v>-1.9932085919560872E-3</v>
      </c>
      <c r="AV10" s="27">
        <f>IF(ISNUMBER(AV9),AV9*(1+PortfolioFrontier[[#This Row],[P12 Return]]),1+PortfolioFrontier[[#This Row],[P12 Return]])</f>
        <v>1.0306011723473743</v>
      </c>
      <c r="AW10" s="27">
        <f>MAX(AW9,PortfolioFrontier[[#This Row],[P12 Growth]])</f>
        <v>1.0569398986882623</v>
      </c>
      <c r="AX10" s="27">
        <f>PortfolioFrontier[[#This Row],[P12 Growth]]/PortfolioFrontier[[#This Row],[P12 HWM]]-1</f>
        <v>-2.4919795698484237E-2</v>
      </c>
      <c r="AY10" s="28">
        <f>SUMPRODUCT(INDEX(PortfolioRef[[SPY]:[PE]],MATCH(AY$1,PortfolioRef[Reference '#]),0),AssetMonthlyReturns[[#This Row],[SPY]:[PE]])</f>
        <v>6.7282808999252655E-4</v>
      </c>
      <c r="AZ10" s="27">
        <f>IF(ISNUMBER(AZ9),AZ9*(1+PortfolioFrontier[[#This Row],[P13 Return]]),1+PortfolioFrontier[[#This Row],[P13 Return]])</f>
        <v>1.0317266371255365</v>
      </c>
      <c r="BA10" s="27">
        <f>MAX(BA9,PortfolioFrontier[[#This Row],[P13 Growth]])</f>
        <v>1.0663650133817999</v>
      </c>
      <c r="BB10" s="27">
        <f>PortfolioFrontier[[#This Row],[P13 Growth]]/PortfolioFrontier[[#This Row],[P13 HWM]]-1</f>
        <v>-3.2482663836103876E-2</v>
      </c>
      <c r="BC10" s="28">
        <f>SUMPRODUCT(INDEX(PortfolioRef[[SPY]:[PE]],MATCH(BC$1,PortfolioRef[Reference '#]),0),AssetMonthlyReturns[[#This Row],[SPY]:[PE]])</f>
        <v>1.347243553083859E-3</v>
      </c>
      <c r="BD10" s="27">
        <f>IF(ISNUMBER(BD9),BD9*(1+PortfolioFrontier[[#This Row],[P14 Return]]),1+PortfolioFrontier[[#This Row],[P14 Return]])</f>
        <v>1.0354166998706213</v>
      </c>
      <c r="BE10" s="27">
        <f>MAX(BE9,PortfolioFrontier[[#This Row],[P14 Growth]])</f>
        <v>1.0614617985501424</v>
      </c>
      <c r="BF10" s="27">
        <f>PortfolioFrontier[[#This Row],[P14 Growth]]/PortfolioFrontier[[#This Row],[P14 HWM]]-1</f>
        <v>-2.4537009918864983E-2</v>
      </c>
      <c r="BG10" s="28">
        <f>SUMPRODUCT(INDEX(PortfolioRef[[SPY]:[PE]],MATCH(BG$1,PortfolioRef[Reference '#]),0),AssetMonthlyReturns[[#This Row],[SPY]:[PE]])</f>
        <v>2.0216590161751913E-3</v>
      </c>
      <c r="BH10" s="27">
        <f>IF(ISNUMBER(BH9),BH9*(1+PortfolioFrontier[[#This Row],[P15 Return]]),1+PortfolioFrontier[[#This Row],[P15 Return]])</f>
        <v>1.0390866493894837</v>
      </c>
      <c r="BI10" s="27">
        <f>MAX(BI9,PortfolioFrontier[[#This Row],[P15 Growth]])</f>
        <v>1.0565707777140345</v>
      </c>
      <c r="BJ10" s="27">
        <f>PortfolioFrontier[[#This Row],[P15 Growth]]/PortfolioFrontier[[#This Row],[P15 HWM]]-1</f>
        <v>-1.6547995357565126E-2</v>
      </c>
      <c r="BK10" s="28">
        <f>SUMPRODUCT(INDEX(PortfolioRef[[SPY]:[PE]],MATCH(BK$1,PortfolioRef[Reference '#]),0),AssetMonthlyReturns[[#This Row],[SPY]:[PE]])</f>
        <v>-3.3524735295823553E-3</v>
      </c>
      <c r="BL10" s="27">
        <f>IF(ISNUMBER(BL9),BL9*(1+PortfolioFrontier[[#This Row],[P16 Return]]),1+PortfolioFrontier[[#This Row],[P16 Return]])</f>
        <v>1.0261129073874105</v>
      </c>
      <c r="BM10" s="27">
        <f>MAX(BM9,PortfolioFrontier[[#This Row],[P16 Growth]])</f>
        <v>1.0533890222033107</v>
      </c>
      <c r="BN10" s="27">
        <f>PortfolioFrontier[[#This Row],[P16 Growth]]/PortfolioFrontier[[#This Row],[P16 HWM]]-1</f>
        <v>-2.5893676733832249E-2</v>
      </c>
      <c r="BO10" s="28">
        <f>SUMPRODUCT(INDEX(PortfolioRef[[SPY]:[PE]],MATCH(BO$1,PortfolioRef[Reference '#]),0),AssetMonthlyReturns[[#This Row],[SPY]:[PE]])</f>
        <v>-6.2440540098657399E-3</v>
      </c>
      <c r="BP10" s="27">
        <f>IF(ISNUMBER(BP9),BP9*(1+PortfolioFrontier[[#This Row],[P17 Return]]),1+PortfolioFrontier[[#This Row],[P17 Return]])</f>
        <v>1.021879846858929</v>
      </c>
      <c r="BQ10" s="27">
        <f>MAX(BQ9,PortfolioFrontier[[#This Row],[P17 Growth]])</f>
        <v>1.0545105093957718</v>
      </c>
      <c r="BR10" s="27">
        <f>PortfolioFrontier[[#This Row],[P17 Growth]]/PortfolioFrontier[[#This Row],[P17 HWM]]-1</f>
        <v>-3.0943895054720727E-2</v>
      </c>
      <c r="BS10" s="28">
        <f>SUMPRODUCT(INDEX(PortfolioRef[[SPY]:[PE]],MATCH(BS$1,PortfolioRef[Reference '#]),0),AssetMonthlyReturns[[#This Row],[SPY]:[PE]])</f>
        <v>-2.9036018648257939E-3</v>
      </c>
      <c r="BT10" s="27">
        <f>IF(ISNUMBER(BT9),BT9*(1+PortfolioFrontier[[#This Row],[P18 Return]]),1+PortfolioFrontier[[#This Row],[P18 Return]])</f>
        <v>1.0266804709001529</v>
      </c>
      <c r="BU10" s="27">
        <f>MAX(BU9,PortfolioFrontier[[#This Row],[P18 Growth]])</f>
        <v>1.0590343449448867</v>
      </c>
      <c r="BV10" s="27">
        <f>PortfolioFrontier[[#This Row],[P18 Growth]]/PortfolioFrontier[[#This Row],[P18 HWM]]-1</f>
        <v>-3.0550353913609385E-2</v>
      </c>
      <c r="BW10" s="28">
        <f>SUMPRODUCT(INDEX(PortfolioRef[[SPY]:[PE]],MATCH(BW$1,PortfolioRef[Reference '#]),0),AssetMonthlyReturns[[#This Row],[SPY]:[PE]])</f>
        <v>-2.2291864017344619E-3</v>
      </c>
      <c r="BX10" s="27">
        <f>IF(ISNUMBER(BX9),BX9*(1+PortfolioFrontier[[#This Row],[P19 Return]]),1+PortfolioFrontier[[#This Row],[P19 Return]])</f>
        <v>1.0303319964662663</v>
      </c>
      <c r="BY10" s="27">
        <f>MAX(BY9,PortfolioFrontier[[#This Row],[P19 Growth]])</f>
        <v>1.0541568475269176</v>
      </c>
      <c r="BZ10" s="27">
        <f>PortfolioFrontier[[#This Row],[P19 Growth]]/PortfolioFrontier[[#This Row],[P19 HWM]]-1</f>
        <v>-2.2600859745440238E-2</v>
      </c>
      <c r="CA10" s="28">
        <f>SUMPRODUCT(INDEX(PortfolioRef[[SPY]:[PE]],MATCH(CA$1,PortfolioRef[Reference '#]),0),AssetMonthlyReturns[[#This Row],[SPY]:[PE]])</f>
        <v>-9.1356344901491263E-3</v>
      </c>
      <c r="CB10" s="27">
        <f>IF(ISNUMBER(CB9),CB9*(1+PortfolioFrontier[[#This Row],[P20 Return]]),1+PortfolioFrontier[[#This Row],[P20 Return]])</f>
        <v>1.0176297229887246</v>
      </c>
      <c r="CC10" s="27">
        <f>MAX(CC9,PortfolioFrontier[[#This Row],[P20 Growth]])</f>
        <v>1.0556101389686692</v>
      </c>
      <c r="CD10" s="27">
        <f>PortfolioFrontier[[#This Row],[P20 Growth]]/PortfolioFrontier[[#This Row],[P20 HWM]]-1</f>
        <v>-3.5979586191784318E-2</v>
      </c>
      <c r="CE10" s="28">
        <f>SUMPRODUCT(INDEX(PortfolioRef[[SPY]:[PE]],MATCH(CE$1,PortfolioRef[Reference '#]),0),AssetMonthlyReturns[[#This Row],[SPY]:[PE]])</f>
        <v>-5.7951823451091794E-3</v>
      </c>
      <c r="CF10" s="27">
        <f>IF(ISNUMBER(CF9),CF9*(1+PortfolioFrontier[[#This Row],[P21 Return]]),1+PortfolioFrontier[[#This Row],[P21 Return]])</f>
        <v>1.0224365288942023</v>
      </c>
      <c r="CG10" s="27">
        <f>MAX(CG9,PortfolioFrontier[[#This Row],[P21 Growth]])</f>
        <v>1.0601565617687558</v>
      </c>
      <c r="CH10" s="27">
        <f>PortfolioFrontier[[#This Row],[P21 Growth]]/PortfolioFrontier[[#This Row],[P21 HWM]]-1</f>
        <v>-3.5579681562902143E-2</v>
      </c>
      <c r="CI10" s="28">
        <f>SUMPRODUCT(INDEX(PortfolioRef[[SPY]:[PE]],MATCH(CI$1,PortfolioRef[Reference '#]),0),AssetMonthlyReturns[[#This Row],[SPY]:[PE]])</f>
        <v>-5.1207668820178473E-3</v>
      </c>
      <c r="CJ10" s="27">
        <f>IF(ISNUMBER(CJ9),CJ9*(1+PortfolioFrontier[[#This Row],[P22 Return]]),1+PortfolioFrontier[[#This Row],[P22 Return]])</f>
        <v>1.0260903687838649</v>
      </c>
      <c r="CK10" s="27">
        <f>MAX(CK9,PortfolioFrontier[[#This Row],[P22 Growth]])</f>
        <v>1.0552813700947876</v>
      </c>
      <c r="CL10" s="27">
        <f>PortfolioFrontier[[#This Row],[P22 Growth]]/PortfolioFrontier[[#This Row],[P22 HWM]]-1</f>
        <v>-2.7661818106673008E-2</v>
      </c>
      <c r="CM10" s="28">
        <f>SUMPRODUCT(INDEX(PortfolioRef[[SPY]:[PE]],MATCH(CM$1,PortfolioRef[Reference '#]),0),AssetMonthlyReturns[[#This Row],[SPY]:[PE]])</f>
        <v>-2.4547302000692333E-3</v>
      </c>
      <c r="CN10" s="27">
        <f>IF(ISNUMBER(CN9),CN9*(1+PortfolioFrontier[[#This Row],[P23 Return]]),1+PortfolioFrontier[[#This Row],[P23 Return]])</f>
        <v>1.0272278034893825</v>
      </c>
      <c r="CO10" s="27">
        <f>MAX(CO9,PortfolioFrontier[[#This Row],[P23 Growth]])</f>
        <v>1.0646990366599287</v>
      </c>
      <c r="CP10" s="27">
        <f>PortfolioFrontier[[#This Row],[P23 Growth]]/PortfolioFrontier[[#This Row],[P23 HWM]]-1</f>
        <v>-3.5194202192666002E-2</v>
      </c>
      <c r="CQ10" s="28">
        <f>SUMPRODUCT(INDEX(PortfolioRef[[SPY]:[PE]],MATCH(CQ$1,PortfolioRef[Reference '#]),0),AssetMonthlyReturns[[#This Row],[SPY]:[PE]])</f>
        <v>-1.7803147369779011E-3</v>
      </c>
      <c r="CR10" s="27">
        <f>IF(ISNUMBER(CR9),CR9*(1+PortfolioFrontier[[#This Row],[P24 Return]]),1+PortfolioFrontier[[#This Row],[P24 Return]])</f>
        <v>1.0309042450947181</v>
      </c>
      <c r="CS10" s="27">
        <f>MAX(CS9,PortfolioFrontier[[#This Row],[P24 Growth]])</f>
        <v>1.0598043609559225</v>
      </c>
      <c r="CT10" s="27">
        <f>PortfolioFrontier[[#This Row],[P24 Growth]]/PortfolioFrontier[[#This Row],[P24 HWM]]-1</f>
        <v>-2.7269293207226486E-2</v>
      </c>
      <c r="CU10" s="28">
        <f>SUMPRODUCT(INDEX(PortfolioRef[[SPY]:[PE]],MATCH(CU$1,PortfolioRef[Reference '#]),0),AssetMonthlyReturns[[#This Row],[SPY]:[PE]])</f>
        <v>-1.1058992738865688E-3</v>
      </c>
      <c r="CV10" s="27">
        <f>IF(ISNUMBER(CV9),CV9*(1+PortfolioFrontier[[#This Row],[P25 Return]]),1+PortfolioFrontier[[#This Row],[P25 Return]])</f>
        <v>1.0345606923573496</v>
      </c>
      <c r="CW10" s="27">
        <f>MAX(CW9,PortfolioFrontier[[#This Row],[P25 Growth]])</f>
        <v>1.0549218660871187</v>
      </c>
      <c r="CX10" s="27">
        <f>PortfolioFrontier[[#This Row],[P25 Growth]]/PortfolioFrontier[[#This Row],[P25 HWM]]-1</f>
        <v>-1.9301120191291599E-2</v>
      </c>
      <c r="CY10" s="28">
        <f>SUMPRODUCT(INDEX(PortfolioRef[[SPY]:[PE]],MATCH(CY$1,PortfolioRef[Reference '#]),0),AssetMonthlyReturns[[#This Row],[SPY]:[PE]])</f>
        <v>-8.686762825392564E-3</v>
      </c>
      <c r="CZ10" s="27">
        <f>IF(ISNUMBER(CZ9),CZ9*(1+PortfolioFrontier[[#This Row],[P26 Return]]),1+PortfolioFrontier[[#This Row],[P26 Return]])</f>
        <v>1.018175650230577</v>
      </c>
      <c r="DA10" s="27">
        <f>MAX(DA9,PortfolioFrontier[[#This Row],[P26 Growth]])</f>
        <v>1.0612568671363731</v>
      </c>
      <c r="DB10" s="27">
        <f>PortfolioFrontier[[#This Row],[P26 Growth]]/PortfolioFrontier[[#This Row],[P26 HWM]]-1</f>
        <v>-4.0594523569061791E-2</v>
      </c>
      <c r="DC10" s="28">
        <f>SUMPRODUCT(INDEX(PortfolioRef[[SPY]:[PE]],MATCH(DC$1,PortfolioRef[Reference '#]),0),AssetMonthlyReturns[[#This Row],[SPY]:[PE]])</f>
        <v>-8.0123473623012302E-3</v>
      </c>
      <c r="DD10" s="27">
        <f>IF(ISNUMBER(DD9),DD9*(1+PortfolioFrontier[[#This Row],[P27 Return]]),1+PortfolioFrontier[[#This Row],[P27 Return]])</f>
        <v>1.0218315436515568</v>
      </c>
      <c r="DE10" s="27">
        <f>MAX(DE9,PortfolioFrontier[[#This Row],[P27 Growth]])</f>
        <v>1.0563840044309512</v>
      </c>
      <c r="DF10" s="27">
        <f>PortfolioFrontier[[#This Row],[P27 Growth]]/PortfolioFrontier[[#This Row],[P27 HWM]]-1</f>
        <v>-3.2708239271387773E-2</v>
      </c>
      <c r="DG10" s="28">
        <f>SUMPRODUCT(INDEX(PortfolioRef[[SPY]:[PE]],MATCH(DG$1,PortfolioRef[Reference '#]),0),AssetMonthlyReturns[[#This Row],[SPY]:[PE]])</f>
        <v>-5.3463106803526171E-3</v>
      </c>
      <c r="DH10" s="27">
        <f>IF(ISNUMBER(DH9),DH9*(1+PortfolioFrontier[[#This Row],[P28 Return]]),1+PortfolioFrontier[[#This Row],[P28 Return]])</f>
        <v>1.0229730608231142</v>
      </c>
      <c r="DI10" s="27">
        <f>MAX(DI9,PortfolioFrontier[[#This Row],[P28 Growth]])</f>
        <v>1.0658219754648834</v>
      </c>
      <c r="DJ10" s="27">
        <f>PortfolioFrontier[[#This Row],[P28 Growth]]/PortfolioFrontier[[#This Row],[P28 HWM]]-1</f>
        <v>-4.0202693909627496E-2</v>
      </c>
      <c r="DK10" s="28">
        <f>SUMPRODUCT(INDEX(PortfolioRef[[SPY]:[PE]],MATCH(DK$1,PortfolioRef[Reference '#]),0),AssetMonthlyReturns[[#This Row],[SPY]:[PE]])</f>
        <v>-4.671895217261285E-3</v>
      </c>
      <c r="DL10" s="27">
        <f>IF(ISNUMBER(DL9),DL9*(1+PortfolioFrontier[[#This Row],[P29 Return]]),1+PortfolioFrontier[[#This Row],[P29 Return]])</f>
        <v>1.0266516885348456</v>
      </c>
      <c r="DM10" s="27">
        <f>MAX(DM9,PortfolioFrontier[[#This Row],[P29 Growth]])</f>
        <v>1.0609296156065076</v>
      </c>
      <c r="DN10" s="27">
        <f>PortfolioFrontier[[#This Row],[P29 Growth]]/PortfolioFrontier[[#This Row],[P29 HWM]]-1</f>
        <v>-3.2309331898578542E-2</v>
      </c>
      <c r="DO10" s="28">
        <f>SUMPRODUCT(INDEX(PortfolioRef[[SPY]:[PE]],MATCH(DO$1,PortfolioRef[Reference '#]),0),AssetMonthlyReturns[[#This Row],[SPY]:[PE]])</f>
        <v>-3.9974797541699521E-3</v>
      </c>
      <c r="DP10" s="27">
        <f>IF(ISNUMBER(DP9),DP9*(1+PortfolioFrontier[[#This Row],[P30 Return]]),1+PortfolioFrontier[[#This Row],[P30 Return]])</f>
        <v>1.0303105239031636</v>
      </c>
      <c r="DQ10" s="27">
        <f>MAX(DQ9,PortfolioFrontier[[#This Row],[P30 Growth]])</f>
        <v>1.0560494333960684</v>
      </c>
      <c r="DR10" s="27">
        <f>PortfolioFrontier[[#This Row],[P30 Growth]]/PortfolioFrontier[[#This Row],[P30 HWM]]-1</f>
        <v>-2.4372826383830315E-2</v>
      </c>
      <c r="DS10" s="28">
        <f>SUMPRODUCT(INDEX(PortfolioRef[[SPY]:[PE]],MATCH(DS$1,PortfolioRef[Reference '#]),0),AssetMonthlyReturns[[#This Row],[SPY]:[PE]])</f>
        <v>-2.005858535312671E-3</v>
      </c>
      <c r="DT10" s="27">
        <f>IF(ISNUMBER(DT9),DT9*(1+PortfolioFrontier[[#This Row],[P31 Return]]),1+PortfolioFrontier[[#This Row],[P31 Return]])</f>
        <v>1.0277548774701912</v>
      </c>
      <c r="DU10" s="27">
        <f>MAX(DU9,PortfolioFrontier[[#This Row],[P31 Growth]])</f>
        <v>1.0703831287009218</v>
      </c>
      <c r="DV10" s="27">
        <f>PortfolioFrontier[[#This Row],[P31 Growth]]/PortfolioFrontier[[#This Row],[P31 HWM]]-1</f>
        <v>-3.9825227143169384E-2</v>
      </c>
      <c r="DW10" s="28">
        <f>SUMPRODUCT(INDEX(PortfolioRef[[SPY]:[PE]],MATCH(DW$1,PortfolioRef[Reference '#]),0),AssetMonthlyReturns[[#This Row],[SPY]:[PE]])</f>
        <v>-1.3314430722213388E-3</v>
      </c>
      <c r="DX10" s="27">
        <f>IF(ISNUMBER(DX9),DX9*(1+PortfolioFrontier[[#This Row],[P32 Return]]),1+PortfolioFrontier[[#This Row],[P32 Return]])</f>
        <v>1.031456211285229</v>
      </c>
      <c r="DY10" s="27">
        <f>MAX(DY9,PortfolioFrontier[[#This Row],[P32 Growth]])</f>
        <v>1.0654712464317915</v>
      </c>
      <c r="DZ10" s="27">
        <f>PortfolioFrontier[[#This Row],[P32 Growth]]/PortfolioFrontier[[#This Row],[P32 HWM]]-1</f>
        <v>-3.1924873862600345E-2</v>
      </c>
      <c r="EA10" s="28">
        <f>SUMPRODUCT(INDEX(PortfolioRef[[SPY]:[PE]],MATCH(EA$1,PortfolioRef[Reference '#]),0),AssetMonthlyReturns[[#This Row],[SPY]:[PE]])</f>
        <v>-6.5702760913000655E-4</v>
      </c>
      <c r="EB10" s="27">
        <f>IF(ISNUMBER(EB9),EB9*(1+PortfolioFrontier[[#This Row],[P33 Return]]),1+PortfolioFrontier[[#This Row],[P33 Return]])</f>
        <v>1.0351376538853752</v>
      </c>
      <c r="EC10" s="27">
        <f>MAX(EC9,PortfolioFrontier[[#This Row],[P33 Growth]])</f>
        <v>1.0605715671377605</v>
      </c>
      <c r="ED10" s="27">
        <f>PortfolioFrontier[[#This Row],[P33 Growth]]/PortfolioFrontier[[#This Row],[P33 HWM]]-1</f>
        <v>-2.3981326711431272E-2</v>
      </c>
      <c r="EE10" s="28">
        <f>SUMPRODUCT(INDEX(PortfolioRef[[SPY]:[PE]],MATCH(EE$1,PortfolioRef[Reference '#]),0),AssetMonthlyReturns[[#This Row],[SPY]:[PE]])</f>
        <v>-6.4800318196441163E-3</v>
      </c>
      <c r="EF10" s="27">
        <f>IF(ISNUMBER(EF9),EF9*(1+PortfolioFrontier[[#This Row],[P34 Return]]),1+PortfolioFrontier[[#This Row],[P34 Return]])</f>
        <v>1.0216136165021639</v>
      </c>
      <c r="EG10" s="27">
        <f>MAX(EG9,PortfolioFrontier[[#This Row],[P34 Growth]])</f>
        <v>1.0517322201467738</v>
      </c>
      <c r="EH10" s="27">
        <f>PortfolioFrontier[[#This Row],[P34 Growth]]/PortfolioFrontier[[#This Row],[P34 HWM]]-1</f>
        <v>-2.8637140773729253E-2</v>
      </c>
      <c r="EI10" s="28">
        <f>SUMPRODUCT(INDEX(PortfolioRef[[SPY]:[PE]],MATCH(EI$1,PortfolioRef[Reference '#]),0),AssetMonthlyReturns[[#This Row],[SPY]:[PE]])</f>
        <v>-9.3716122999275009E-3</v>
      </c>
      <c r="EJ10" s="27">
        <f>IF(ISNUMBER(EJ9),EJ9*(1+PortfolioFrontier[[#This Row],[P35 Return]]),1+PortfolioFrontier[[#This Row],[P35 Return]])</f>
        <v>1.0173847272255621</v>
      </c>
      <c r="EK10" s="27">
        <f>MAX(EK9,PortfolioFrontier[[#This Row],[P35 Growth]])</f>
        <v>1.0528468126652037</v>
      </c>
      <c r="EL10" s="27">
        <f>PortfolioFrontier[[#This Row],[P35 Growth]]/PortfolioFrontier[[#This Row],[P35 HWM]]-1</f>
        <v>-3.3682094121434525E-2</v>
      </c>
      <c r="EM10" s="28">
        <f>SUMPRODUCT(INDEX(PortfolioRef[[SPY]:[PE]],MATCH(EM$1,PortfolioRef[Reference '#]),0),AssetMonthlyReturns[[#This Row],[SPY]:[PE]])</f>
        <v>-6.0311601548875549E-3</v>
      </c>
      <c r="EN10" s="27">
        <f>IF(ISNUMBER(EN9),EN9*(1+PortfolioFrontier[[#This Row],[P36 Return]]),1+PortfolioFrontier[[#This Row],[P36 Return]])</f>
        <v>1.0221836062543737</v>
      </c>
      <c r="EO10" s="27">
        <f>MAX(EO9,PortfolioFrontier[[#This Row],[P36 Growth]])</f>
        <v>1.0573716986027815</v>
      </c>
      <c r="EP10" s="27">
        <f>PortfolioFrontier[[#This Row],[P36 Growth]]/PortfolioFrontier[[#This Row],[P36 HWM]]-1</f>
        <v>-3.3278829379399522E-2</v>
      </c>
      <c r="EQ10" s="28">
        <f>SUMPRODUCT(INDEX(PortfolioRef[[SPY]:[PE]],MATCH(EQ$1,PortfolioRef[Reference '#]),0),AssetMonthlyReturns[[#This Row],[SPY]:[PE]])</f>
        <v>-5.3567446917962228E-3</v>
      </c>
      <c r="ER10" s="27">
        <f>IF(ISNUMBER(ER9),ER9*(1+PortfolioFrontier[[#This Row],[P37 Return]]),1+PortfolioFrontier[[#This Row],[P37 Return]])</f>
        <v>1.025821605976692</v>
      </c>
      <c r="ES10" s="27">
        <f>MAX(ES9,PortfolioFrontier[[#This Row],[P37 Growth]])</f>
        <v>1.0525027234544753</v>
      </c>
      <c r="ET10" s="27">
        <f>PortfolioFrontier[[#This Row],[P37 Growth]]/PortfolioFrontier[[#This Row],[P37 HWM]]-1</f>
        <v>-2.5350164786473672E-2</v>
      </c>
      <c r="EU10" s="28">
        <f>SUMPRODUCT(INDEX(PortfolioRef[[SPY]:[PE]],MATCH(EU$1,PortfolioRef[Reference '#]),0),AssetMonthlyReturns[[#This Row],[SPY]:[PE]])</f>
        <v>-1.2263192780210886E-2</v>
      </c>
      <c r="EV10" s="27">
        <f>IF(ISNUMBER(EV9),EV9*(1+PortfolioFrontier[[#This Row],[P38 Return]]),1+PortfolioFrontier[[#This Row],[P38 Return]])</f>
        <v>1.0131389215129118</v>
      </c>
      <c r="EW10" s="27">
        <f>MAX(EW9,PortfolioFrontier[[#This Row],[P38 Growth]])</f>
        <v>1.0539395781959364</v>
      </c>
      <c r="EX10" s="27">
        <f>PortfolioFrontier[[#This Row],[P38 Growth]]/PortfolioFrontier[[#This Row],[P38 HWM]]-1</f>
        <v>-3.8712519699530046E-2</v>
      </c>
      <c r="EY10" s="28">
        <f>SUMPRODUCT(INDEX(PortfolioRef[[SPY]:[PE]],MATCH(EY$1,PortfolioRef[Reference '#]),0),AssetMonthlyReturns[[#This Row],[SPY]:[PE]])</f>
        <v>-8.9227406351709403E-3</v>
      </c>
      <c r="EZ10" s="27">
        <f>IF(ISNUMBER(EZ9),EZ9*(1+PortfolioFrontier[[#This Row],[P39 Return]]),1+PortfolioFrontier[[#This Row],[P39 Return]])</f>
        <v>1.0179438776405596</v>
      </c>
      <c r="FA10" s="27">
        <f>MAX(FA9,PortfolioFrontier[[#This Row],[P39 Growth]])</f>
        <v>1.0584870102730288</v>
      </c>
      <c r="FB10" s="27">
        <f>PortfolioFrontier[[#This Row],[P39 Growth]]/PortfolioFrontier[[#This Row],[P39 HWM]]-1</f>
        <v>-3.8302909945027497E-2</v>
      </c>
      <c r="FC10" s="28">
        <f>SUMPRODUCT(INDEX(PortfolioRef[[SPY]:[PE]],MATCH(FC$1,PortfolioRef[Reference '#]),0),AssetMonthlyReturns[[#This Row],[SPY]:[PE]])</f>
        <v>-8.2483251720796066E-3</v>
      </c>
      <c r="FD10" s="27">
        <f>IF(ISNUMBER(FD9),FD9*(1+PortfolioFrontier[[#This Row],[P40 Return]]),1+PortfolioFrontier[[#This Row],[P40 Return]])</f>
        <v>1.0215841083945141</v>
      </c>
      <c r="FE10" s="27">
        <f>MAX(FE9,PortfolioFrontier[[#This Row],[P40 Growth]])</f>
        <v>1.0536203366814236</v>
      </c>
      <c r="FF10" s="27">
        <f>PortfolioFrontier[[#This Row],[P40 Growth]]/PortfolioFrontier[[#This Row],[P40 HWM]]-1</f>
        <v>-3.0405856048501989E-2</v>
      </c>
      <c r="FG10" s="28">
        <f>SUMPRODUCT(INDEX(PortfolioRef[[SPY]:[PE]],MATCH(FG$1,PortfolioRef[Reference '#]),0),AssetMonthlyReturns[[#This Row],[SPY]:[PE]])</f>
        <v>-5.5822884901309934E-3</v>
      </c>
      <c r="FH10" s="27">
        <f>IF(ISNUMBER(FH9),FH9*(1+PortfolioFrontier[[#This Row],[P41 Return]]),1+PortfolioFrontier[[#This Row],[P41 Return]])</f>
        <v>1.0227334474854677</v>
      </c>
      <c r="FI10" s="27">
        <f>MAX(FI9,PortfolioFrontier[[#This Row],[P41 Growth]])</f>
        <v>1.0630305353889682</v>
      </c>
      <c r="FJ10" s="27">
        <f>PortfolioFrontier[[#This Row],[P41 Growth]]/PortfolioFrontier[[#This Row],[P41 HWM]]-1</f>
        <v>-3.790774259250751E-2</v>
      </c>
      <c r="FK10" s="28">
        <f>SUMPRODUCT(INDEX(PortfolioRef[[SPY]:[PE]],MATCH(FK$1,PortfolioRef[Reference '#]),0),AssetMonthlyReturns[[#This Row],[SPY]:[PE]])</f>
        <v>-4.9078730270396614E-3</v>
      </c>
      <c r="FL10" s="27">
        <f>IF(ISNUMBER(FL9),FL9*(1+PortfolioFrontier[[#This Row],[P42 Return]]),1+PortfolioFrontier[[#This Row],[P42 Return]])</f>
        <v>1.0263962645884397</v>
      </c>
      <c r="FM10" s="27">
        <f>MAX(FM9,PortfolioFrontier[[#This Row],[P42 Growth]])</f>
        <v>1.0581443952260881</v>
      </c>
      <c r="FN10" s="27">
        <f>PortfolioFrontier[[#This Row],[P42 Growth]]/PortfolioFrontier[[#This Row],[P42 HWM]]-1</f>
        <v>-3.0003590040152184E-2</v>
      </c>
      <c r="FO10" s="28">
        <f>SUMPRODUCT(INDEX(PortfolioRef[[SPY]:[PE]],MATCH(FO$1,PortfolioRef[Reference '#]),0),AssetMonthlyReturns[[#This Row],[SPY]:[PE]])</f>
        <v>-4.2334575639483285E-3</v>
      </c>
      <c r="FP10" s="27">
        <f>IF(ISNUMBER(FP9),FP9*(1+PortfolioFrontier[[#This Row],[P43 Return]]),1+PortfolioFrontier[[#This Row],[P43 Return]])</f>
        <v>1.0300392057995316</v>
      </c>
      <c r="FQ10" s="27">
        <f>MAX(FQ9,PortfolioFrontier[[#This Row],[P43 Growth]])</f>
        <v>1.0532704227380636</v>
      </c>
      <c r="FR10" s="27">
        <f>PortfolioFrontier[[#This Row],[P43 Growth]]/PortfolioFrontier[[#This Row],[P43 HWM]]-1</f>
        <v>-2.205627010596245E-2</v>
      </c>
      <c r="FS10" s="28">
        <f>SUMPRODUCT(INDEX(PortfolioRef[[SPY]:[PE]],MATCH(FS$1,PortfolioRef[Reference '#]),0),AssetMonthlyReturns[[#This Row],[SPY]:[PE]])</f>
        <v>-1.1814321115454326E-2</v>
      </c>
      <c r="FT10" s="27">
        <f>IF(ISNUMBER(FT9),FT9*(1+PortfolioFrontier[[#This Row],[P44 Return]]),1+PortfolioFrontier[[#This Row],[P44 Return]])</f>
        <v>1.0136873587195756</v>
      </c>
      <c r="FU10" s="27">
        <f>MAX(FU9,PortfolioFrontier[[#This Row],[P44 Growth]])</f>
        <v>1.0595804411188903</v>
      </c>
      <c r="FV10" s="27">
        <f>PortfolioFrontier[[#This Row],[P44 Growth]]/PortfolioFrontier[[#This Row],[P44 HWM]]-1</f>
        <v>-4.3312504287879028E-2</v>
      </c>
      <c r="FW10" s="28">
        <f>SUMPRODUCT(INDEX(PortfolioRef[[SPY]:[PE]],MATCH(FW$1,PortfolioRef[Reference '#]),0),AssetMonthlyReturns[[#This Row],[SPY]:[PE]])</f>
        <v>-1.1139905652362992E-2</v>
      </c>
      <c r="FX10" s="27">
        <f>IF(ISNUMBER(FX9),FX9*(1+PortfolioFrontier[[#This Row],[P45 Return]]),1+PortfolioFrontier[[#This Row],[P45 Return]])</f>
        <v>1.0173295609495712</v>
      </c>
      <c r="FY10" s="27">
        <f>MAX(FY9,PortfolioFrontier[[#This Row],[P45 Growth]])</f>
        <v>1.0547160923085321</v>
      </c>
      <c r="FZ10" s="27">
        <f>PortfolioFrontier[[#This Row],[P45 Growth]]/PortfolioFrontier[[#This Row],[P45 HWM]]-1</f>
        <v>-3.5447009514314343E-2</v>
      </c>
      <c r="GA10" s="28">
        <f>SUMPRODUCT(INDEX(PortfolioRef[[SPY]:[PE]],MATCH(GA$1,PortfolioRef[Reference '#]),0),AssetMonthlyReturns[[#This Row],[SPY]:[PE]])</f>
        <v>-8.4738689704143798E-3</v>
      </c>
      <c r="GB10" s="27">
        <f>IF(ISNUMBER(GB9),GB9*(1+PortfolioFrontier[[#This Row],[P46 Return]]),1+PortfolioFrontier[[#This Row],[P46 Return]])</f>
        <v>1.0184829601735463</v>
      </c>
      <c r="GC10" s="27">
        <f>MAX(GC9,PortfolioFrontier[[#This Row],[P46 Growth]])</f>
        <v>1.0641465585607095</v>
      </c>
      <c r="GD10" s="27">
        <f>PortfolioFrontier[[#This Row],[P46 Growth]]/PortfolioFrontier[[#This Row],[P46 HWM]]-1</f>
        <v>-4.2911005086484155E-2</v>
      </c>
      <c r="GE10" s="28">
        <f>SUMPRODUCT(INDEX(PortfolioRef[[SPY]:[PE]],MATCH(GE$1,PortfolioRef[Reference '#]),0),AssetMonthlyReturns[[#This Row],[SPY]:[PE]])</f>
        <v>-7.799453507323046E-3</v>
      </c>
      <c r="GF10" s="27">
        <f>IF(ISNUMBER(GF9),GF9*(1+PortfolioFrontier[[#This Row],[P47 Return]]),1+PortfolioFrontier[[#This Row],[P47 Return]])</f>
        <v>1.0221478805077155</v>
      </c>
      <c r="GG10" s="27">
        <f>MAX(GG9,PortfolioFrontier[[#This Row],[P47 Growth]])</f>
        <v>1.0592627300561601</v>
      </c>
      <c r="GH10" s="27">
        <f>PortfolioFrontier[[#This Row],[P47 Growth]]/PortfolioFrontier[[#This Row],[P47 HWM]]-1</f>
        <v>-3.5038379521270202E-2</v>
      </c>
      <c r="GI10" s="28">
        <f>SUMPRODUCT(INDEX(PortfolioRef[[SPY]:[PE]],MATCH(GI$1,PortfolioRef[Reference '#]),0),AssetMonthlyReturns[[#This Row],[SPY]:[PE]])</f>
        <v>-7.125038044231714E-3</v>
      </c>
      <c r="GJ10" s="27">
        <f>IF(ISNUMBER(GJ9),GJ9*(1+PortfolioFrontier[[#This Row],[P48 Return]]),1+PortfolioFrontier[[#This Row],[P48 Return]])</f>
        <v>1.0257931260028725</v>
      </c>
      <c r="GK10" s="27">
        <f>MAX(GK9,PortfolioFrontier[[#This Row],[P48 Growth]])</f>
        <v>1.0543910660392006</v>
      </c>
      <c r="GL10" s="27">
        <f>PortfolioFrontier[[#This Row],[P48 Growth]]/PortfolioFrontier[[#This Row],[P48 HWM]]-1</f>
        <v>-2.7122707084152098E-2</v>
      </c>
      <c r="GM10" s="28">
        <f>SUMPRODUCT(INDEX(PortfolioRef[[SPY]:[PE]],MATCH(GM$1,PortfolioRef[Reference '#]),0),AssetMonthlyReturns[[#This Row],[SPY]:[PE]])</f>
        <v>-5.133416825374432E-3</v>
      </c>
      <c r="GN10" s="27">
        <f>IF(ISNUMBER(GN9),GN9*(1+PortfolioFrontier[[#This Row],[P49 Return]]),1+PortfolioFrontier[[#This Row],[P49 Return]])</f>
        <v>1.0232631124176466</v>
      </c>
      <c r="GO10" s="27">
        <f>MAX(GO9,PortfolioFrontier[[#This Row],[P49 Growth]])</f>
        <v>1.0687087618578179</v>
      </c>
      <c r="GP10" s="27">
        <f>PortfolioFrontier[[#This Row],[P49 Growth]]/PortfolioFrontier[[#This Row],[P49 HWM]]-1</f>
        <v>-4.2523885891203594E-2</v>
      </c>
      <c r="GQ10" s="28">
        <f>SUMPRODUCT(INDEX(PortfolioRef[[SPY]:[PE]],MATCH(GQ$1,PortfolioRef[Reference '#]),0),AssetMonthlyReturns[[#This Row],[SPY]:[PE]])</f>
        <v>-4.4590013622831E-3</v>
      </c>
      <c r="GR10" s="27">
        <f>IF(ISNUMBER(GR9),GR9*(1+PortfolioFrontier[[#This Row],[P50 Return]]),1+PortfolioFrontier[[#This Row],[P50 Return]])</f>
        <v>1.0269507233284576</v>
      </c>
      <c r="GS10" s="27">
        <f>MAX(GS9,PortfolioFrontier[[#This Row],[P50 Growth]])</f>
        <v>1.063805428401277</v>
      </c>
      <c r="GT10" s="27">
        <f>PortfolioFrontier[[#This Row],[P50 Growth]]/PortfolioFrontier[[#This Row],[P50 HWM]]-1</f>
        <v>-3.4644216027554853E-2</v>
      </c>
      <c r="GU10" s="28">
        <f>SUMPRODUCT(INDEX(PortfolioRef[[SPY]:[PE]],MATCH(GU$1,PortfolioRef[Reference '#]),0),AssetMonthlyReturns[[#This Row],[SPY]:[PE]])</f>
        <v>-3.7845858991917675E-3</v>
      </c>
      <c r="GV10" s="27">
        <f>IF(ISNUMBER(GV9),GV9*(1+PortfolioFrontier[[#This Row],[P51 Return]]),1+PortfolioFrontier[[#This Row],[P51 Return]])</f>
        <v>1.0306185609361411</v>
      </c>
      <c r="GW10" s="27">
        <f>MAX(GW9,PortfolioFrontier[[#This Row],[P51 Growth]])</f>
        <v>1.0589142847594883</v>
      </c>
      <c r="GX10" s="27">
        <f>PortfolioFrontier[[#This Row],[P51 Growth]]/PortfolioFrontier[[#This Row],[P51 HWM]]-1</f>
        <v>-2.6721448780695267E-2</v>
      </c>
      <c r="GY10" s="28">
        <f>SUMPRODUCT(INDEX(PortfolioRef[[SPY]:[PE]],MATCH(GY$1,PortfolioRef[Reference '#]),0),AssetMonthlyReturns[[#This Row],[SPY]:[PE]])</f>
        <v>-1.1365449450697764E-2</v>
      </c>
      <c r="GZ10" s="27">
        <f>IF(ISNUMBER(GZ9),GZ9*(1+PortfolioFrontier[[#This Row],[P52 Return]]),1+PortfolioFrontier[[#This Row],[P52 Return]])</f>
        <v>1.0142158087913045</v>
      </c>
      <c r="HA10" s="27">
        <f>MAX(HA9,PortfolioFrontier[[#This Row],[P52 Growth]])</f>
        <v>1.0652406470713773</v>
      </c>
      <c r="HB10" s="27">
        <f>PortfolioFrontier[[#This Row],[P52 Growth]]/PortfolioFrontier[[#This Row],[P52 HWM]]-1</f>
        <v>-4.7899822843179507E-2</v>
      </c>
      <c r="HC10" s="28">
        <f>SUMPRODUCT(INDEX(PortfolioRef[[SPY]:[PE]],MATCH(HC$1,PortfolioRef[Reference '#]),0),AssetMonthlyReturns[[#This Row],[SPY]:[PE]])</f>
        <v>-1.069103398760643E-2</v>
      </c>
      <c r="HD10" s="27">
        <f>IF(ISNUMBER(HD9),HD9*(1+PortfolioFrontier[[#This Row],[P53 Return]]),1+PortfolioFrontier[[#This Row],[P53 Return]])</f>
        <v>1.0178825731094263</v>
      </c>
      <c r="HE10" s="27">
        <f>MAX(HE9,PortfolioFrontier[[#This Row],[P53 Growth]])</f>
        <v>1.0603591534497043</v>
      </c>
      <c r="HF10" s="27">
        <f>PortfolioFrontier[[#This Row],[P53 Growth]]/PortfolioFrontier[[#This Row],[P53 HWM]]-1</f>
        <v>-4.0058672763928604E-2</v>
      </c>
      <c r="HG10" s="28">
        <f>SUMPRODUCT(INDEX(PortfolioRef[[SPY]:[PE]],MATCH(HG$1,PortfolioRef[Reference '#]),0),AssetMonthlyReturns[[#This Row],[SPY]:[PE]])</f>
        <v>-1.0016618524515098E-2</v>
      </c>
      <c r="HH10" s="27">
        <f>IF(ISNUMBER(HH9),HH9*(1+PortfolioFrontier[[#This Row],[P54 Return]]),1+PortfolioFrontier[[#This Row],[P54 Return]])</f>
        <v>1.0215298622791538</v>
      </c>
      <c r="HI10" s="27">
        <f>MAX(HI9,PortfolioFrontier[[#This Row],[P54 Growth]])</f>
        <v>1.0554898211283554</v>
      </c>
      <c r="HJ10" s="27">
        <f>PortfolioFrontier[[#This Row],[P54 Growth]]/PortfolioFrontier[[#This Row],[P54 HWM]]-1</f>
        <v>-3.2174596257969812E-2</v>
      </c>
      <c r="HK10" s="28">
        <f>SUMPRODUCT(INDEX(PortfolioRef[[SPY]:[PE]],MATCH(HK$1,PortfolioRef[Reference '#]),0),AssetMonthlyReturns[[#This Row],[SPY]:[PE]])</f>
        <v>-8.0249973056578175E-3</v>
      </c>
      <c r="HL10" s="27">
        <f>IF(ISNUMBER(HL9),HL9*(1+PortfolioFrontier[[#This Row],[P55 Return]]),1+PortfolioFrontier[[#This Row],[P55 Return]])</f>
        <v>1.0190019473722025</v>
      </c>
      <c r="HM10" s="27">
        <f>MAX(HM9,PortfolioFrontier[[#This Row],[P55 Growth]])</f>
        <v>1.0698254888807313</v>
      </c>
      <c r="HN10" s="27">
        <f>PortfolioFrontier[[#This Row],[P55 Growth]]/PortfolioFrontier[[#This Row],[P55 HWM]]-1</f>
        <v>-4.750638495414905E-2</v>
      </c>
      <c r="HO10" s="28">
        <f>SUMPRODUCT(INDEX(PortfolioRef[[SPY]:[PE]],MATCH(HO$1,PortfolioRef[Reference '#]),0),AssetMonthlyReturns[[#This Row],[SPY]:[PE]])</f>
        <v>-7.3505818425664846E-3</v>
      </c>
      <c r="HP10" s="27">
        <f>IF(ISNUMBER(HP9),HP9*(1+PortfolioFrontier[[#This Row],[P56 Return]]),1+PortfolioFrontier[[#This Row],[P56 Return]])</f>
        <v>1.0226915334992195</v>
      </c>
      <c r="HQ10" s="27">
        <f>MAX(HQ9,PortfolioFrontier[[#This Row],[P56 Growth]])</f>
        <v>1.06492447718415</v>
      </c>
      <c r="HR10" s="27">
        <f>PortfolioFrontier[[#This Row],[P56 Growth]]/PortfolioFrontier[[#This Row],[P56 HWM]]-1</f>
        <v>-3.9658158479558892E-2</v>
      </c>
      <c r="HS10" s="28">
        <f>SUMPRODUCT(INDEX(PortfolioRef[[SPY]:[PE]],MATCH(HS$1,PortfolioRef[Reference '#]),0),AssetMonthlyReturns[[#This Row],[SPY]:[PE]])</f>
        <v>-6.6761663794751517E-3</v>
      </c>
      <c r="HT10" s="27">
        <f>IF(ISNUMBER(HT9),HT9*(1+PortfolioFrontier[[#This Row],[P57 Return]]),1+PortfolioFrontier[[#This Row],[P57 Return]])</f>
        <v>1.0263615472885148</v>
      </c>
      <c r="HU10" s="27">
        <f>MAX(HU9,PortfolioFrontier[[#This Row],[P57 Growth]])</f>
        <v>1.0600356521150558</v>
      </c>
      <c r="HV10" s="27">
        <f>PortfolioFrontier[[#This Row],[P57 Growth]]/PortfolioFrontier[[#This Row],[P57 HWM]]-1</f>
        <v>-3.1766954969252303E-2</v>
      </c>
      <c r="HW10" s="28">
        <f>SUMPRODUCT(INDEX(PortfolioRef[[SPY]:[PE]],MATCH(HW$1,PortfolioRef[Reference '#]),0),AssetMonthlyReturns[[#This Row],[SPY]:[PE]])</f>
        <v>-4.6845451606178706E-3</v>
      </c>
      <c r="HX10" s="27">
        <f>IF(ISNUMBER(HX9),HX9*(1+PortfolioFrontier[[#This Row],[P58 Return]]),1+PortfolioFrontier[[#This Row],[P58 Return]])</f>
        <v>1.0237725739986003</v>
      </c>
      <c r="HY10" s="27">
        <f>MAX(HY9,PortfolioFrontier[[#This Row],[P58 Growth]])</f>
        <v>1.0744064093618175</v>
      </c>
      <c r="HZ10" s="27">
        <f>PortfolioFrontier[[#This Row],[P58 Growth]]/PortfolioFrontier[[#This Row],[P58 HWM]]-1</f>
        <v>-4.7127264805961966E-2</v>
      </c>
      <c r="IA10" s="28">
        <f>SUMPRODUCT(INDEX(PortfolioRef[[SPY]:[PE]],MATCH(IA$1,PortfolioRef[Reference '#]),0),AssetMonthlyReturns[[#This Row],[SPY]:[PE]])</f>
        <v>-4.0101296975265386E-3</v>
      </c>
      <c r="IB10" s="27">
        <f>IF(ISNUMBER(IB9),IB9*(1+PortfolioFrontier[[#This Row],[P59 Return]]),1+PortfolioFrontier[[#This Row],[P59 Return]])</f>
        <v>1.0274849542635305</v>
      </c>
      <c r="IC10" s="27">
        <f>MAX(IC9,PortfolioFrontier[[#This Row],[P59 Growth]])</f>
        <v>1.0694858543325274</v>
      </c>
      <c r="ID10" s="27">
        <f>PortfolioFrontier[[#This Row],[P59 Growth]]/PortfolioFrontier[[#This Row],[P59 HWM]]-1</f>
        <v>-3.9272048245285074E-2</v>
      </c>
      <c r="IE10" s="28">
        <f>SUMPRODUCT(INDEX(PortfolioRef[[SPY]:[PE]],MATCH(IE$1,PortfolioRef[Reference '#]),0),AssetMonthlyReturns[[#This Row],[SPY]:[PE]])</f>
        <v>-3.3357142344352061E-3</v>
      </c>
      <c r="IF10" s="27">
        <f>IF(ISNUMBER(IF9),IF9*(1+PortfolioFrontier[[#This Row],[P60 Return]]),1+PortfolioFrontier[[#This Row],[P60 Return]])</f>
        <v>1.0311776647646098</v>
      </c>
      <c r="IG10" s="27">
        <f>MAX(IG9,PortfolioFrontier[[#This Row],[P60 Growth]])</f>
        <v>1.0645775112578868</v>
      </c>
      <c r="IH10" s="27">
        <f>PortfolioFrontier[[#This Row],[P60 Growth]]/PortfolioFrontier[[#This Row],[P60 HWM]]-1</f>
        <v>-3.1373804293322261E-2</v>
      </c>
      <c r="II10" s="28">
        <f>SUMPRODUCT(INDEX(PortfolioRef[[SPY]:[PE]],MATCH(II$1,PortfolioRef[Reference '#]),0),AssetMonthlyReturns[[#This Row],[SPY]:[PE]])</f>
        <v>-9.607590109705879E-3</v>
      </c>
      <c r="IJ10" s="27">
        <f>IF(ISNUMBER(IJ9),IJ9*(1+PortfolioFrontier[[#This Row],[P61 Return]]),1+PortfolioFrontier[[#This Row],[P61 Return]])</f>
        <v>1.0171188673870704</v>
      </c>
      <c r="IK10" s="27">
        <f>MAX(IK9,PortfolioFrontier[[#This Row],[P61 Growth]])</f>
        <v>1.0500729073544264</v>
      </c>
      <c r="IL10" s="27">
        <f>PortfolioFrontier[[#This Row],[P61 Growth]]/PortfolioFrontier[[#This Row],[P61 HWM]]-1</f>
        <v>-3.1382620898563141E-2</v>
      </c>
      <c r="IM10" s="28">
        <f>SUMPRODUCT(INDEX(PortfolioRef[[SPY]:[PE]],MATCH(IM$1,PortfolioRef[Reference '#]),0),AssetMonthlyReturns[[#This Row],[SPY]:[PE]])</f>
        <v>-1.2499170589989263E-2</v>
      </c>
      <c r="IN10" s="27">
        <f>IF(ISNUMBER(IN9),IN9*(1+PortfolioFrontier[[#This Row],[P62 Return]]),1+PortfolioFrontier[[#This Row],[P62 Return]])</f>
        <v>1.0128942059896344</v>
      </c>
      <c r="IO10" s="27">
        <f>MAX(IO9,PortfolioFrontier[[#This Row],[P62 Growth]])</f>
        <v>1.0511806263791883</v>
      </c>
      <c r="IP10" s="27">
        <f>PortfolioFrontier[[#This Row],[P62 Growth]]/PortfolioFrontier[[#This Row],[P62 HWM]]-1</f>
        <v>-3.6422304053901899E-2</v>
      </c>
      <c r="IQ10" s="28">
        <f>SUMPRODUCT(INDEX(PortfolioRef[[SPY]:[PE]],MATCH(IQ$1,PortfolioRef[Reference '#]),0),AssetMonthlyReturns[[#This Row],[SPY]:[PE]])</f>
        <v>-9.1587184449493167E-3</v>
      </c>
      <c r="IR10" s="27">
        <f>IF(ISNUMBER(IR9),IR9*(1+PortfolioFrontier[[#This Row],[P63 Return]]),1+PortfolioFrontier[[#This Row],[P63 Return]])</f>
        <v>1.0176912714086486</v>
      </c>
      <c r="IS10" s="27">
        <f>MAX(IS9,PortfolioFrontier[[#This Row],[P63 Growth]])</f>
        <v>1.0557065393895038</v>
      </c>
      <c r="IT10" s="27">
        <f>PortfolioFrontier[[#This Row],[P63 Growth]]/PortfolioFrontier[[#This Row],[P63 HWM]]-1</f>
        <v>-3.6009313727315528E-2</v>
      </c>
      <c r="IU10" s="28">
        <f>SUMPRODUCT(INDEX(PortfolioRef[[SPY]:[PE]],MATCH(IU$1,PortfolioRef[Reference '#]),0),AssetMonthlyReturns[[#This Row],[SPY]:[PE]])</f>
        <v>-8.4843029818579829E-3</v>
      </c>
      <c r="IV10" s="27">
        <f>IF(ISNUMBER(IV9),IV9*(1+PortfolioFrontier[[#This Row],[P64 Return]]),1+PortfolioFrontier[[#This Row],[P64 Return]])</f>
        <v>1.0213157419893333</v>
      </c>
      <c r="IW10" s="27">
        <f>MAX(IW9,PortfolioFrontier[[#This Row],[P64 Growth]])</f>
        <v>1.0508460829243347</v>
      </c>
      <c r="IX10" s="27">
        <f>PortfolioFrontier[[#This Row],[P64 Growth]]/PortfolioFrontier[[#This Row],[P64 HWM]]-1</f>
        <v>-2.8101490232349979E-2</v>
      </c>
      <c r="IY10" s="28">
        <f>SUMPRODUCT(INDEX(PortfolioRef[[SPY]:[PE]],MATCH(IY$1,PortfolioRef[Reference '#]),0),AssetMonthlyReturns[[#This Row],[SPY]:[PE]])</f>
        <v>-1.5390751070272646E-2</v>
      </c>
      <c r="IZ10" s="27">
        <f>IF(ISNUMBER(IZ9),IZ9*(1+PortfolioFrontier[[#This Row],[P65 Return]]),1+PortfolioFrontier[[#This Row],[P65 Return]])</f>
        <v>1.0086527745485572</v>
      </c>
      <c r="JA10" s="27">
        <f>MAX(JA9,PortfolioFrontier[[#This Row],[P65 Growth]])</f>
        <v>1.0522665490481187</v>
      </c>
      <c r="JB10" s="27">
        <f>PortfolioFrontier[[#This Row],[P65 Growth]]/PortfolioFrontier[[#This Row],[P65 HWM]]-1</f>
        <v>-4.1447458858228092E-2</v>
      </c>
      <c r="JC10" s="28">
        <f>SUMPRODUCT(INDEX(PortfolioRef[[SPY]:[PE]],MATCH(JC$1,PortfolioRef[Reference '#]),0),AssetMonthlyReturns[[#This Row],[SPY]:[PE]])</f>
        <v>-1.20502989252327E-2</v>
      </c>
      <c r="JD10" s="27">
        <f>IF(ISNUMBER(JD9),JD9*(1+PortfolioFrontier[[#This Row],[P66 Return]]),1+PortfolioFrontier[[#This Row],[P66 Return]])</f>
        <v>1.0134558125488302</v>
      </c>
      <c r="JE10" s="27">
        <f>MAX(JE9,PortfolioFrontier[[#This Row],[P66 Growth]])</f>
        <v>1.0568149670864915</v>
      </c>
      <c r="JF10" s="27">
        <f>PortfolioFrontier[[#This Row],[P66 Growth]]/PortfolioFrontier[[#This Row],[P66 HWM]]-1</f>
        <v>-4.1028142000294587E-2</v>
      </c>
      <c r="JG10" s="28">
        <f>SUMPRODUCT(INDEX(PortfolioRef[[SPY]:[PE]],MATCH(JG$1,PortfolioRef[Reference '#]),0),AssetMonthlyReturns[[#This Row],[SPY]:[PE]])</f>
        <v>-1.1375883462141367E-2</v>
      </c>
      <c r="JH10" s="27">
        <f>IF(ISNUMBER(JH9),JH9*(1+PortfolioFrontier[[#This Row],[P67 Return]]),1+PortfolioFrontier[[#This Row],[P67 Return]])</f>
        <v>1.017082431440318</v>
      </c>
      <c r="JI10" s="27">
        <f>MAX(JI9,PortfolioFrontier[[#This Row],[P67 Growth]])</f>
        <v>1.0519568079907244</v>
      </c>
      <c r="JJ10" s="27">
        <f>PortfolioFrontier[[#This Row],[P67 Growth]]/PortfolioFrontier[[#This Row],[P67 HWM]]-1</f>
        <v>-3.3151909171078797E-2</v>
      </c>
      <c r="JK10" s="28">
        <f>SUMPRODUCT(INDEX(PortfolioRef[[SPY]:[PE]],MATCH(JK$1,PortfolioRef[Reference '#]),0),AssetMonthlyReturns[[#This Row],[SPY]:[PE]])</f>
        <v>-8.7098467801927544E-3</v>
      </c>
      <c r="JL10" s="27">
        <f>IF(ISNUMBER(JL9),JL9*(1+PortfolioFrontier[[#This Row],[P68 Return]]),1+PortfolioFrontier[[#This Row],[P68 Return]])</f>
        <v>1.0182436092135259</v>
      </c>
      <c r="JM10" s="27">
        <f>MAX(JM9,PortfolioFrontier[[#This Row],[P68 Growth]])</f>
        <v>1.0613595191114715</v>
      </c>
      <c r="JN10" s="27">
        <f>PortfolioFrontier[[#This Row],[P68 Growth]]/PortfolioFrontier[[#This Row],[P68 HWM]]-1</f>
        <v>-4.0623284684948802E-2</v>
      </c>
      <c r="JO10" s="28">
        <f>SUMPRODUCT(INDEX(PortfolioRef[[SPY]:[PE]],MATCH(JO$1,PortfolioRef[Reference '#]),0),AssetMonthlyReturns[[#This Row],[SPY]:[PE]])</f>
        <v>-8.0354313171014224E-3</v>
      </c>
      <c r="JP10" s="27">
        <f>IF(ISNUMBER(JP9),JP9*(1+PortfolioFrontier[[#This Row],[P69 Return]]),1+PortfolioFrontier[[#This Row],[P69 Return]])</f>
        <v>1.0218927987180322</v>
      </c>
      <c r="JQ10" s="27">
        <f>MAX(JQ9,PortfolioFrontier[[#This Row],[P69 Growth]])</f>
        <v>1.0564819109031929</v>
      </c>
      <c r="JR10" s="27">
        <f>PortfolioFrontier[[#This Row],[P69 Growth]]/PortfolioFrontier[[#This Row],[P69 HWM]]-1</f>
        <v>-3.2739900066618532E-2</v>
      </c>
      <c r="JS10" s="28">
        <f>SUMPRODUCT(INDEX(PortfolioRef[[SPY]:[PE]],MATCH(JS$1,PortfolioRef[Reference '#]),0),AssetMonthlyReturns[[#This Row],[SPY]:[PE]])</f>
        <v>-7.3610158540100903E-3</v>
      </c>
      <c r="JT10" s="27">
        <f>IF(ISNUMBER(JT9),JT9*(1+PortfolioFrontier[[#This Row],[P70 Return]]),1+PortfolioFrontier[[#This Row],[P70 Return]])</f>
        <v>1.0255222303500426</v>
      </c>
      <c r="JU10" s="27">
        <f>MAX(JU9,PortfolioFrontier[[#This Row],[P70 Growth]])</f>
        <v>1.051616457209422</v>
      </c>
      <c r="JV10" s="27">
        <f>PortfolioFrontier[[#This Row],[P70 Growth]]/PortfolioFrontier[[#This Row],[P70 HWM]]-1</f>
        <v>-2.4813444750211633E-2</v>
      </c>
      <c r="JW10" s="28">
        <f>SUMPRODUCT(INDEX(PortfolioRef[[SPY]:[PE]],MATCH(JW$1,PortfolioRef[Reference '#]),0),AssetMonthlyReturns[[#This Row],[SPY]:[PE]])</f>
        <v>-1.4941879405516086E-2</v>
      </c>
      <c r="JX10" s="27">
        <f>IF(ISNUMBER(JX9),JX9*(1+PortfolioFrontier[[#This Row],[P71 Return]]),1+PortfolioFrontier[[#This Row],[P71 Return]])</f>
        <v>1.0092037092211519</v>
      </c>
      <c r="JY10" s="27">
        <f>MAX(JY9,PortfolioFrontier[[#This Row],[P71 Growth]])</f>
        <v>1.0579015445909599</v>
      </c>
      <c r="JZ10" s="27">
        <f>PortfolioFrontier[[#This Row],[P71 Growth]]/PortfolioFrontier[[#This Row],[P71 HWM]]-1</f>
        <v>-4.6032483475234143E-2</v>
      </c>
      <c r="KA10" s="28">
        <f>SUMPRODUCT(INDEX(PortfolioRef[[SPY]:[PE]],MATCH(KA$1,PortfolioRef[Reference '#]),0),AssetMonthlyReturns[[#This Row],[SPY]:[PE]])</f>
        <v>-1.4267463942424752E-2</v>
      </c>
      <c r="KB10" s="27">
        <f>IF(ISNUMBER(KB9),KB9*(1+PortfolioFrontier[[#This Row],[P72 Return]]),1+PortfolioFrontier[[#This Row],[P72 Return]])</f>
        <v>1.0128322181012759</v>
      </c>
      <c r="KC10" s="27">
        <f>MAX(KC9,PortfolioFrontier[[#This Row],[P72 Growth]])</f>
        <v>1.0530457060891405</v>
      </c>
      <c r="KD10" s="27">
        <f>PortfolioFrontier[[#This Row],[P72 Growth]]/PortfolioFrontier[[#This Row],[P72 HWM]]-1</f>
        <v>-3.8187789718275078E-2</v>
      </c>
      <c r="KE10" s="28">
        <f>SUMPRODUCT(INDEX(PortfolioRef[[SPY]:[PE]],MATCH(KE$1,PortfolioRef[Reference '#]),0),AssetMonthlyReturns[[#This Row],[SPY]:[PE]])</f>
        <v>-1.160142726047614E-2</v>
      </c>
      <c r="KF10" s="27">
        <f>IF(ISNUMBER(KF9),KF9*(1+PortfolioFrontier[[#This Row],[P73 Return]]),1+PortfolioFrontier[[#This Row],[P73 Return]])</f>
        <v>1.0139974333530239</v>
      </c>
      <c r="KG10" s="27">
        <f>MAX(KG9,PortfolioFrontier[[#This Row],[P73 Growth]])</f>
        <v>1.0624686478303629</v>
      </c>
      <c r="KH10" s="27">
        <f>PortfolioFrontier[[#This Row],[P73 Growth]]/PortfolioFrontier[[#This Row],[P73 HWM]]-1</f>
        <v>-4.562131275715342E-2</v>
      </c>
      <c r="KI10" s="28">
        <f>SUMPRODUCT(INDEX(PortfolioRef[[SPY]:[PE]],MATCH(KI$1,PortfolioRef[Reference '#]),0),AssetMonthlyReturns[[#This Row],[SPY]:[PE]])</f>
        <v>-1.0927011797384806E-2</v>
      </c>
      <c r="KJ10" s="27">
        <f>IF(ISNUMBER(KJ9),KJ9*(1+PortfolioFrontier[[#This Row],[P74 Return]]),1+PortfolioFrontier[[#This Row],[P74 Return]])</f>
        <v>1.0176486437829251</v>
      </c>
      <c r="KK10" s="27">
        <f>MAX(KK9,PortfolioFrontier[[#This Row],[P74 Growth]])</f>
        <v>1.0575933470931147</v>
      </c>
      <c r="KL10" s="27">
        <f>PortfolioFrontier[[#This Row],[P74 Growth]]/PortfolioFrontier[[#This Row],[P74 HWM]]-1</f>
        <v>-3.7769435123604977E-2</v>
      </c>
      <c r="KM10" s="28">
        <f>SUMPRODUCT(INDEX(PortfolioRef[[SPY]:[PE]],MATCH(KM$1,PortfolioRef[Reference '#]),0),AssetMonthlyReturns[[#This Row],[SPY]:[PE]])</f>
        <v>-1.0252596334293474E-2</v>
      </c>
      <c r="KN10" s="27">
        <f>IF(ISNUMBER(KN9),KN9*(1+PortfolioFrontier[[#This Row],[P75 Return]]),1+PortfolioFrontier[[#This Row],[P75 Return]])</f>
        <v>1.0212802964502203</v>
      </c>
      <c r="KO10" s="27">
        <f>MAX(KO9,PortfolioFrontier[[#This Row],[P75 Growth]])</f>
        <v>1.0527301976831096</v>
      </c>
      <c r="KP10" s="27">
        <f>PortfolioFrontier[[#This Row],[P75 Growth]]/PortfolioFrontier[[#This Row],[P75 HWM]]-1</f>
        <v>-2.9874607285043653E-2</v>
      </c>
      <c r="KQ10" s="28">
        <f>SUMPRODUCT(INDEX(PortfolioRef[[SPY]:[PE]],MATCH(KQ$1,PortfolioRef[Reference '#]),0),AssetMonthlyReturns[[#This Row],[SPY]:[PE]])</f>
        <v>-8.2609751154361939E-3</v>
      </c>
      <c r="KR10" s="27">
        <f>IF(ISNUMBER(KR9),KR9*(1+PortfolioFrontier[[#This Row],[P76 Return]]),1+PortfolioFrontier[[#This Row],[P76 Return]])</f>
        <v>1.0187758529316879</v>
      </c>
      <c r="KS10" s="27">
        <f>MAX(KS9,PortfolioFrontier[[#This Row],[P76 Growth]])</f>
        <v>1.0670318778728161</v>
      </c>
      <c r="KT10" s="27">
        <f>PortfolioFrontier[[#This Row],[P76 Growth]]/PortfolioFrontier[[#This Row],[P76 HWM]]-1</f>
        <v>-4.5224539155595878E-2</v>
      </c>
      <c r="KU10" s="28">
        <f>SUMPRODUCT(INDEX(PortfolioRef[[SPY]:[PE]],MATCH(KU$1,PortfolioRef[Reference '#]),0),AssetMonthlyReturns[[#This Row],[SPY]:[PE]])</f>
        <v>-7.586559652344861E-3</v>
      </c>
      <c r="KV10" s="27">
        <f>IF(ISNUMBER(KV9),KV9*(1+PortfolioFrontier[[#This Row],[P77 Return]]),1+PortfolioFrontier[[#This Row],[P77 Return]])</f>
        <v>1.0224497380428177</v>
      </c>
      <c r="KW10" s="27">
        <f>MAX(KW9,PortfolioFrontier[[#This Row],[P77 Growth]])</f>
        <v>1.062137089642339</v>
      </c>
      <c r="KX10" s="27">
        <f>PortfolioFrontier[[#This Row],[P77 Growth]]/PortfolioFrontier[[#This Row],[P77 HWM]]-1</f>
        <v>-3.736556418803294E-2</v>
      </c>
      <c r="KY10" s="28">
        <f>SUMPRODUCT(INDEX(PortfolioRef[[SPY]:[PE]],MATCH(KY$1,PortfolioRef[Reference '#]),0),AssetMonthlyReturns[[#This Row],[SPY]:[PE]])</f>
        <v>-6.9121441892535281E-3</v>
      </c>
      <c r="KZ10" s="27">
        <f>IF(ISNUMBER(KZ9),KZ9*(1+PortfolioFrontier[[#This Row],[P78 Return]]),1+PortfolioFrontier[[#This Row],[P78 Return]])</f>
        <v>1.0261039673330283</v>
      </c>
      <c r="LA10" s="27">
        <f>MAX(LA9,PortfolioFrontier[[#This Row],[P78 Growth]])</f>
        <v>1.0572544780662676</v>
      </c>
      <c r="LB10" s="27">
        <f>PortfolioFrontier[[#This Row],[P78 Growth]]/PortfolioFrontier[[#This Row],[P78 HWM]]-1</f>
        <v>-2.9463588359742832E-2</v>
      </c>
      <c r="LC10" s="28">
        <f>SUMPRODUCT(INDEX(PortfolioRef[[SPY]:[PE]],MATCH(LC$1,PortfolioRef[Reference '#]),0),AssetMonthlyReturns[[#This Row],[SPY]:[PE]])</f>
        <v>-1.4493007740759525E-2</v>
      </c>
      <c r="LD10" s="27">
        <f>IF(ISNUMBER(LD9),LD9*(1+PortfolioFrontier[[#This Row],[P79 Return]]),1+PortfolioFrontier[[#This Row],[P79 Return]])</f>
        <v>1.0097347387083437</v>
      </c>
      <c r="LE10" s="27">
        <f>MAX(LE9,PortfolioFrontier[[#This Row],[P79 Growth]])</f>
        <v>1.063555872520046</v>
      </c>
      <c r="LF10" s="27">
        <f>PortfolioFrontier[[#This Row],[P79 Growth]]/PortfolioFrontier[[#This Row],[P79 HWM]]-1</f>
        <v>-5.0604895522955107E-2</v>
      </c>
      <c r="LG10" s="28">
        <f>SUMPRODUCT(INDEX(PortfolioRef[[SPY]:[PE]],MATCH(LG$1,PortfolioRef[Reference '#]),0),AssetMonthlyReturns[[#This Row],[SPY]:[PE]])</f>
        <v>-1.3818592277668192E-2</v>
      </c>
      <c r="LH10" s="27">
        <f>IF(ISNUMBER(LH9),LH9*(1+PortfolioFrontier[[#This Row],[P80 Return]]),1+PortfolioFrontier[[#This Row],[P80 Return]])</f>
        <v>1.0133877120480586</v>
      </c>
      <c r="LI10" s="27">
        <f>MAX(LI9,PortfolioFrontier[[#This Row],[P80 Growth]])</f>
        <v>1.058682902478375</v>
      </c>
      <c r="LJ10" s="27">
        <f>PortfolioFrontier[[#This Row],[P80 Growth]]/PortfolioFrontier[[#This Row],[P80 HWM]]-1</f>
        <v>-4.278447335295632E-2</v>
      </c>
      <c r="LK10" s="28">
        <f>SUMPRODUCT(INDEX(PortfolioRef[[SPY]:[PE]],MATCH(LK$1,PortfolioRef[Reference '#]),0),AssetMonthlyReturns[[#This Row],[SPY]:[PE]])</f>
        <v>-1.314417681457686E-2</v>
      </c>
      <c r="LL10" s="27">
        <f>IF(ISNUMBER(LL9),LL9*(1+PortfolioFrontier[[#This Row],[P81 Return]]),1+PortfolioFrontier[[#This Row],[P81 Return]])</f>
        <v>1.0170213263780428</v>
      </c>
      <c r="LM10" s="27">
        <f>MAX(LM9,PortfolioFrontier[[#This Row],[P81 Growth]])</f>
        <v>1.0538220805766811</v>
      </c>
      <c r="LN10" s="27">
        <f>PortfolioFrontier[[#This Row],[P81 Growth]]/PortfolioFrontier[[#This Row],[P81 HWM]]-1</f>
        <v>-3.4921221406273739E-2</v>
      </c>
      <c r="LO10" s="28">
        <f>SUMPRODUCT(INDEX(PortfolioRef[[SPY]:[PE]],MATCH(LO$1,PortfolioRef[Reference '#]),0),AssetMonthlyReturns[[#This Row],[SPY]:[PE]])</f>
        <v>-1.1152555595719579E-2</v>
      </c>
      <c r="LP10" s="27">
        <f>IF(ISNUMBER(LP9),LP9*(1+PortfolioFrontier[[#This Row],[P82 Return]]),1+PortfolioFrontier[[#This Row],[P82 Return]])</f>
        <v>1.0145190408567588</v>
      </c>
      <c r="LQ10" s="27">
        <f>MAX(LQ9,PortfolioFrontier[[#This Row],[P82 Growth]])</f>
        <v>1.0681416999632878</v>
      </c>
      <c r="LR10" s="27">
        <f>PortfolioFrontier[[#This Row],[P82 Growth]]/PortfolioFrontier[[#This Row],[P82 HWM]]-1</f>
        <v>-5.0201821638806932E-2</v>
      </c>
      <c r="LS10" s="28">
        <f>SUMPRODUCT(INDEX(PortfolioRef[[SPY]:[PE]],MATCH(LS$1,PortfolioRef[Reference '#]),0),AssetMonthlyReturns[[#This Row],[SPY]:[PE]])</f>
        <v>-1.0478140132628246E-2</v>
      </c>
      <c r="LT10" s="27">
        <f>IF(ISNUMBER(LT9),LT9*(1+PortfolioFrontier[[#This Row],[P83 Return]]),1+PortfolioFrontier[[#This Row],[P83 Return]])</f>
        <v>1.0181948192939017</v>
      </c>
      <c r="LU10" s="27">
        <f>MAX(LU9,PortfolioFrontier[[#This Row],[P83 Growth]])</f>
        <v>1.0632492293054709</v>
      </c>
      <c r="LV10" s="27">
        <f>PortfolioFrontier[[#This Row],[P83 Growth]]/PortfolioFrontier[[#This Row],[P83 HWM]]-1</f>
        <v>-4.2374270086233179E-2</v>
      </c>
      <c r="LW10" s="28">
        <f>SUMPRODUCT(INDEX(PortfolioRef[[SPY]:[PE]],MATCH(LW$1,PortfolioRef[Reference '#]),0),AssetMonthlyReturns[[#This Row],[SPY]:[PE]])</f>
        <v>-9.8037246695369135E-3</v>
      </c>
      <c r="LX10" s="27">
        <f>IF(ISNUMBER(LX9),LX9*(1+PortfolioFrontier[[#This Row],[P84 Return]]),1+PortfolioFrontier[[#This Row],[P84 Return]])</f>
        <v>1.0218511419331027</v>
      </c>
      <c r="LY10" s="27">
        <f>MAX(LY9,PortfolioFrontier[[#This Row],[P84 Growth]])</f>
        <v>1.0583689321147942</v>
      </c>
      <c r="LZ10" s="27">
        <f>PortfolioFrontier[[#This Row],[P84 Growth]]/PortfolioFrontier[[#This Row],[P84 HWM]]-1</f>
        <v>-3.4503838003561826E-2</v>
      </c>
      <c r="MA10" s="28">
        <f>SUMPRODUCT(INDEX(PortfolioRef[[SPY]:[PE]],MATCH(MA$1,PortfolioRef[Reference '#]),0),AssetMonthlyReturns[[#This Row],[SPY]:[PE]])</f>
        <v>-7.8121034506796316E-3</v>
      </c>
      <c r="MB10" s="27">
        <f>IF(ISNUMBER(MB9),MB9*(1+PortfolioFrontier[[#This Row],[P85 Return]]),1+PortfolioFrontier[[#This Row],[P85 Return]])</f>
        <v>1.019287975415794</v>
      </c>
      <c r="MC10" s="27">
        <f>MAX(MC9,PortfolioFrontier[[#This Row],[P85 Growth]])</f>
        <v>1.0727236470260215</v>
      </c>
      <c r="MD10" s="27">
        <f>PortfolioFrontier[[#This Row],[P85 Growth]]/PortfolioFrontier[[#This Row],[P85 HWM]]-1</f>
        <v>-4.9813082575713263E-2</v>
      </c>
      <c r="ME10" s="28">
        <f>SUMPRODUCT(INDEX(PortfolioRef[[SPY]:[PE]],MATCH(ME$1,PortfolioRef[Reference '#]),0),AssetMonthlyReturns[[#This Row],[SPY]:[PE]])</f>
        <v>-7.1376879875882995E-3</v>
      </c>
      <c r="MF10" s="27">
        <f>IF(ISNUMBER(MF9),MF9*(1+PortfolioFrontier[[#This Row],[P86 Return]]),1+PortfolioFrontier[[#This Row],[P86 Return]])</f>
        <v>1.0229865319386036</v>
      </c>
      <c r="MG10" s="27">
        <f>MAX(MG9,PortfolioFrontier[[#This Row],[P86 Growth]])</f>
        <v>1.0678116504942585</v>
      </c>
      <c r="MH10" s="27">
        <f>PortfolioFrontier[[#This Row],[P86 Growth]]/PortfolioFrontier[[#This Row],[P86 HWM]]-1</f>
        <v>-4.1978487999177361E-2</v>
      </c>
      <c r="MI10" s="28">
        <f>SUMPRODUCT(INDEX(PortfolioRef[[SPY]:[PE]],MATCH(MI$1,PortfolioRef[Reference '#]),0),AssetMonthlyReturns[[#This Row],[SPY]:[PE]])</f>
        <v>-6.4632725244969675E-3</v>
      </c>
      <c r="MJ10" s="27">
        <f>IF(ISNUMBER(MJ9),MJ9*(1+PortfolioFrontier[[#This Row],[P87 Return]]),1+PortfolioFrontier[[#This Row],[P87 Return]])</f>
        <v>1.0266655356393257</v>
      </c>
      <c r="MK10" s="27">
        <f>MAX(MK9,PortfolioFrontier[[#This Row],[P87 Growth]])</f>
        <v>1.0629118527567989</v>
      </c>
      <c r="ML10" s="27">
        <f>PortfolioFrontier[[#This Row],[P87 Growth]]/PortfolioFrontier[[#This Row],[P87 HWM]]-1</f>
        <v>-3.410096239256688E-2</v>
      </c>
      <c r="MM10" s="28">
        <f>SUMPRODUCT(INDEX(PortfolioRef[[SPY]:[PE]],MATCH(MM$1,PortfolioRef[Reference '#]),0),AssetMonthlyReturns[[#This Row],[SPY]:[PE]])</f>
        <v>-1.4044136076002963E-2</v>
      </c>
      <c r="MN10" s="27">
        <f>IF(ISNUMBER(MN9),MN9*(1+PortfolioFrontier[[#This Row],[P88 Return]]),1+PortfolioFrontier[[#This Row],[P88 Return]])</f>
        <v>1.0102458357853692</v>
      </c>
      <c r="MO10" s="27">
        <f>MAX(MO9,PortfolioFrontier[[#This Row],[P88 Growth]])</f>
        <v>1.0692295641878635</v>
      </c>
      <c r="MP10" s="27">
        <f>PortfolioFrontier[[#This Row],[P88 Growth]]/PortfolioFrontier[[#This Row],[P88 HWM]]-1</f>
        <v>-5.5164700245915466E-2</v>
      </c>
      <c r="MQ10" s="28">
        <f>SUMPRODUCT(INDEX(PortfolioRef[[SPY]:[PE]],MATCH(MQ$1,PortfolioRef[Reference '#]),0),AssetMonthlyReturns[[#This Row],[SPY]:[PE]])</f>
        <v>-1.3369720612911629E-2</v>
      </c>
      <c r="MR10" s="27">
        <f>IF(ISNUMBER(MR9),MR9*(1+PortfolioFrontier[[#This Row],[P89 Return]]),1+PortfolioFrontier[[#This Row],[P89 Return]])</f>
        <v>1.0139232498437527</v>
      </c>
      <c r="MS10" s="27">
        <f>MAX(MS9,PortfolioFrontier[[#This Row],[P89 Growth]])</f>
        <v>1.0643394343272528</v>
      </c>
      <c r="MT10" s="27">
        <f>PortfolioFrontier[[#This Row],[P89 Growth]]/PortfolioFrontier[[#This Row],[P89 HWM]]-1</f>
        <v>-4.7368520659358149E-2</v>
      </c>
      <c r="MU10" s="28">
        <f>SUMPRODUCT(INDEX(PortfolioRef[[SPY]:[PE]],MATCH(MU$1,PortfolioRef[Reference '#]),0),AssetMonthlyReturns[[#This Row],[SPY]:[PE]])</f>
        <v>-1.2695305149820297E-2</v>
      </c>
      <c r="MV10" s="27">
        <f>IF(ISNUMBER(MV9),MV9*(1+PortfolioFrontier[[#This Row],[P90 Return]]),1+PortfolioFrontier[[#This Row],[P90 Return]])</f>
        <v>1.0175814067669271</v>
      </c>
      <c r="MW10" s="27">
        <f>MAX(MW9,PortfolioFrontier[[#This Row],[P90 Growth]])</f>
        <v>1.059461474746517</v>
      </c>
      <c r="MX10" s="27">
        <f>PortfolioFrontier[[#This Row],[P90 Growth]]/PortfolioFrontier[[#This Row],[P90 HWM]]-1</f>
        <v>-3.9529580808598919E-2</v>
      </c>
      <c r="MY10" s="28">
        <f>SUMPRODUCT(INDEX(PortfolioRef[[SPY]:[PE]],MATCH(MY$1,PortfolioRef[Reference '#]),0),AssetMonthlyReturns[[#This Row],[SPY]:[PE]])</f>
        <v>-1.0703683930963017E-2</v>
      </c>
      <c r="MZ10" s="27">
        <f>IF(ISNUMBER(MZ9),MZ9*(1+PortfolioFrontier[[#This Row],[P91 Return]]),1+PortfolioFrontier[[#This Row],[P91 Return]])</f>
        <v>1.0150206082344351</v>
      </c>
      <c r="NA10" s="27">
        <f>MAX(NA9,PortfolioFrontier[[#This Row],[P91 Growth]])</f>
        <v>1.0738341548377508</v>
      </c>
      <c r="NB10" s="27">
        <f>PortfolioFrontier[[#This Row],[P91 Growth]]/PortfolioFrontier[[#This Row],[P91 HWM]]-1</f>
        <v>-5.4769674011907465E-2</v>
      </c>
      <c r="NC10" s="28">
        <f>SUMPRODUCT(INDEX(PortfolioRef[[SPY]:[PE]],MATCH(NC$1,PortfolioRef[Reference '#]),0),AssetMonthlyReturns[[#This Row],[SPY]:[PE]])</f>
        <v>-1.0029268467871683E-2</v>
      </c>
      <c r="ND10" s="27">
        <f>IF(ISNUMBER(ND9),ND9*(1+PortfolioFrontier[[#This Row],[P92 Return]]),1+PortfolioFrontier[[#This Row],[P92 Return]])</f>
        <v>1.018720930273624</v>
      </c>
      <c r="NE10" s="27">
        <f>MAX(NE9,PortfolioFrontier[[#This Row],[P92 Growth]])</f>
        <v>1.0689244859802776</v>
      </c>
      <c r="NF10" s="27">
        <f>PortfolioFrontier[[#This Row],[P92 Growth]]/PortfolioFrontier[[#This Row],[P92 HWM]]-1</f>
        <v>-4.6966419391743508E-2</v>
      </c>
      <c r="NG10" s="28">
        <f>SUMPRODUCT(INDEX(PortfolioRef[[SPY]:[PE]],MATCH(NG$1,PortfolioRef[Reference '#]),0),AssetMonthlyReturns[[#This Row],[SPY]:[PE]])</f>
        <v>-9.3548530047803512E-3</v>
      </c>
      <c r="NH10" s="27">
        <f>IF(ISNUMBER(NH9),NH9*(1+PortfolioFrontier[[#This Row],[P93 Return]]),1+PortfolioFrontier[[#This Row],[P93 Return]])</f>
        <v>1.02240189942237</v>
      </c>
      <c r="NI10" s="27">
        <f>MAX(NI9,PortfolioFrontier[[#This Row],[P93 Growth]])</f>
        <v>1.0640270127298419</v>
      </c>
      <c r="NJ10" s="27">
        <f>PortfolioFrontier[[#This Row],[P93 Growth]]/PortfolioFrontier[[#This Row],[P93 HWM]]-1</f>
        <v>-3.912035390969959E-2</v>
      </c>
      <c r="NK10" s="28">
        <f>SUMPRODUCT(INDEX(PortfolioRef[[SPY]:[PE]],MATCH(NK$1,PortfolioRef[Reference '#]),0),AssetMonthlyReturns[[#This Row],[SPY]:[PE]])</f>
        <v>-7.3632317859230701E-3</v>
      </c>
      <c r="NL10" s="27">
        <f>IF(ISNUMBER(NL9),NL9*(1+PortfolioFrontier[[#This Row],[P94 Return]]),1+PortfolioFrontier[[#This Row],[P94 Return]])</f>
        <v>1.0197799502426292</v>
      </c>
      <c r="NM10" s="27">
        <f>MAX(NM9,PortfolioFrontier[[#This Row],[P94 Growth]])</f>
        <v>1.0784348579235736</v>
      </c>
      <c r="NN10" s="27">
        <f>PortfolioFrontier[[#This Row],[P94 Growth]]/PortfolioFrontier[[#This Row],[P94 HWM]]-1</f>
        <v>-5.4388920434080723E-2</v>
      </c>
      <c r="NO10" s="28">
        <f>SUMPRODUCT(INDEX(PortfolioRef[[SPY]:[PE]],MATCH(NO$1,PortfolioRef[Reference '#]),0),AssetMonthlyReturns[[#This Row],[SPY]:[PE]])</f>
        <v>-6.6888163228317381E-3</v>
      </c>
      <c r="NP10" s="27">
        <f>IF(ISNUMBER(NP9),NP9*(1+PortfolioFrontier[[#This Row],[P95 Return]]),1+PortfolioFrontier[[#This Row],[P95 Return]])</f>
        <v>1.0235031531040117</v>
      </c>
      <c r="NQ10" s="27">
        <f>MAX(NQ9,PortfolioFrontier[[#This Row],[P95 Growth]])</f>
        <v>1.0735056248114374</v>
      </c>
      <c r="NR10" s="27">
        <f>PortfolioFrontier[[#This Row],[P95 Growth]]/PortfolioFrontier[[#This Row],[P95 HWM]]-1</f>
        <v>-4.6578676954961096E-2</v>
      </c>
      <c r="NS10" s="28">
        <f>SUMPRODUCT(INDEX(PortfolioRef[[SPY]:[PE]],MATCH(NS$1,PortfolioRef[Reference '#]),0),AssetMonthlyReturns[[#This Row],[SPY]:[PE]])</f>
        <v>-6.0144008597404052E-3</v>
      </c>
      <c r="NT10" s="27">
        <f>IF(ISNUMBER(NT9),NT9*(1+PortfolioFrontier[[#This Row],[P96 Return]]),1+PortfolioFrontier[[#This Row],[P96 Return]])</f>
        <v>1.0272069070883612</v>
      </c>
      <c r="NU10" s="27">
        <f>MAX(NU9,PortfolioFrontier[[#This Row],[P96 Growth]])</f>
        <v>1.0685886126335014</v>
      </c>
      <c r="NV10" s="27">
        <f>PortfolioFrontier[[#This Row],[P96 Growth]]/PortfolioFrontier[[#This Row],[P96 HWM]]-1</f>
        <v>-3.872557226972162E-2</v>
      </c>
      <c r="NW10" s="28">
        <f>SUMPRODUCT(INDEX(PortfolioRef[[SPY]:[PE]],MATCH(NW$1,PortfolioRef[Reference '#]),0),AssetMonthlyReturns[[#This Row],[SPY]:[PE]])</f>
        <v>-1.2735148399767639E-2</v>
      </c>
      <c r="NX10" s="27">
        <f>IF(ISNUMBER(NX9),NX9*(1+PortfolioFrontier[[#This Row],[P97 Return]]),1+PortfolioFrontier[[#This Row],[P97 Return]])</f>
        <v>1.0126287003444421</v>
      </c>
      <c r="NY10" s="27">
        <f>MAX(NY9,PortfolioFrontier[[#This Row],[P97 Growth]])</f>
        <v>1.0484110933688224</v>
      </c>
      <c r="NZ10" s="27">
        <f>PortfolioFrontier[[#This Row],[P97 Growth]]/PortfolioFrontier[[#This Row],[P97 HWM]]-1</f>
        <v>-3.4130116755443751E-2</v>
      </c>
      <c r="OA10" s="28">
        <f>SUMPRODUCT(INDEX(PortfolioRef[[SPY]:[PE]],MATCH(OA$1,PortfolioRef[Reference '#]),0),AssetMonthlyReturns[[#This Row],[SPY]:[PE]])</f>
        <v>-1.5626728880051021E-2</v>
      </c>
      <c r="OB10" s="27">
        <f>IF(ISNUMBER(OB9),OB9*(1+PortfolioFrontier[[#This Row],[P98 Return]]),1+PortfolioFrontier[[#This Row],[P98 Return]])</f>
        <v>1.008408323208654</v>
      </c>
      <c r="OC10" s="27">
        <f>MAX(OC9,PortfolioFrontier[[#This Row],[P98 Growth]])</f>
        <v>1.0495119600802785</v>
      </c>
      <c r="OD10" s="27">
        <f>PortfolioFrontier[[#This Row],[P98 Growth]]/PortfolioFrontier[[#This Row],[P98 HWM]]-1</f>
        <v>-3.916452449811092E-2</v>
      </c>
      <c r="OE10" s="28">
        <f>SUMPRODUCT(INDEX(PortfolioRef[[SPY]:[PE]],MATCH(OE$1,PortfolioRef[Reference '#]),0),AssetMonthlyReturns[[#This Row],[SPY]:[PE]])</f>
        <v>-1.2286276735011077E-2</v>
      </c>
      <c r="OF10" s="27">
        <f>IF(ISNUMBER(OF9),OF9*(1+PortfolioFrontier[[#This Row],[P99 Return]]),1+PortfolioFrontier[[#This Row],[P99 Return]])</f>
        <v>1.0132035065263978</v>
      </c>
      <c r="OG10" s="27">
        <f>MAX(OG9,PortfolioFrontier[[#This Row],[P99 Growth]])</f>
        <v>1.0540388768476066</v>
      </c>
      <c r="OH10" s="27">
        <f>PortfolioFrontier[[#This Row],[P99 Growth]]/PortfolioFrontier[[#This Row],[P99 HWM]]-1</f>
        <v>-3.8741806605215756E-2</v>
      </c>
      <c r="OI10" s="28">
        <f>SUMPRODUCT(INDEX(PortfolioRef[[SPY]:[PE]],MATCH(OI$1,PortfolioRef[Reference '#]),0),AssetMonthlyReturns[[#This Row],[SPY]:[PE]])</f>
        <v>-1.1611861271919743E-2</v>
      </c>
      <c r="OJ10" s="27">
        <f>IF(ISNUMBER(OJ9),OJ9*(1+PortfolioFrontier[[#This Row],[P100 Return]]),1+PortfolioFrontier[[#This Row],[P100 Return]])</f>
        <v>1.0168144449341692</v>
      </c>
      <c r="OK10" s="27">
        <f>MAX(OK9,PortfolioFrontier[[#This Row],[P100 Growth]])</f>
        <v>1.0491869354790497</v>
      </c>
      <c r="OL10" s="27">
        <f>PortfolioFrontier[[#This Row],[P100 Growth]]/PortfolioFrontier[[#This Row],[P100 HWM]]-1</f>
        <v>-3.0854835730583674E-2</v>
      </c>
      <c r="OM10" s="28">
        <f>SUMPRODUCT(INDEX(PortfolioRef[[SPY]:[PE]],MATCH(OM$1,PortfolioRef[Reference '#]),0),AssetMonthlyReturns[[#This Row],[SPY]:[PE]])</f>
        <v>-1.8518309360334408E-2</v>
      </c>
      <c r="ON10" s="27">
        <f>IF(ISNUMBER(ON9),ON9*(1+PortfolioFrontier[[#This Row],[P101 Return]]),1+PortfolioFrontier[[#This Row],[P101 Return]])</f>
        <v>1.0041713219087871</v>
      </c>
      <c r="OO10" s="27">
        <f>MAX(OO9,PortfolioFrontier[[#This Row],[P101 Growth]])</f>
        <v>1.05059106106777</v>
      </c>
      <c r="OP10" s="27">
        <f>PortfolioFrontier[[#This Row],[P101 Growth]]/PortfolioFrontier[[#This Row],[P101 HWM]]-1</f>
        <v>-4.4184403312744869E-2</v>
      </c>
      <c r="OQ10" s="28">
        <f>SUMPRODUCT(INDEX(PortfolioRef[[SPY]:[PE]],MATCH(OQ$1,PortfolioRef[Reference '#]),0),AssetMonthlyReturns[[#This Row],[SPY]:[PE]])</f>
        <v>-1.5177857215294461E-2</v>
      </c>
      <c r="OR10" s="27">
        <f>IF(ISNUMBER(OR9),OR9*(1+PortfolioFrontier[[#This Row],[P102 Return]]),1+PortfolioFrontier[[#This Row],[P102 Return]])</f>
        <v>1.0089723735387648</v>
      </c>
      <c r="OS10" s="27">
        <f>MAX(OS9,PortfolioFrontier[[#This Row],[P102 Growth]])</f>
        <v>1.0551404417516972</v>
      </c>
      <c r="OT10" s="27">
        <f>PortfolioFrontier[[#This Row],[P102 Growth]]/PortfolioFrontier[[#This Row],[P102 HWM]]-1</f>
        <v>-4.3755377375438553E-2</v>
      </c>
      <c r="OU10" s="28">
        <f>SUMPRODUCT(INDEX(PortfolioRef[[SPY]:[PE]],MATCH(OU$1,PortfolioRef[Reference '#]),0),AssetMonthlyReturns[[#This Row],[SPY]:[PE]])</f>
        <v>-1.4503441752203127E-2</v>
      </c>
      <c r="OV10" s="27">
        <f>IF(ISNUMBER(OV9),OV9*(1+PortfolioFrontier[[#This Row],[P103 Return]]),1+PortfolioFrontier[[#This Row],[P103 Return]])</f>
        <v>1.0125853781060683</v>
      </c>
      <c r="OW10" s="27">
        <f>MAX(OW9,PortfolioFrontier[[#This Row],[P103 Growth]])</f>
        <v>1.050290793565243</v>
      </c>
      <c r="OX10" s="27">
        <f>PortfolioFrontier[[#This Row],[P103 Growth]]/PortfolioFrontier[[#This Row],[P103 HWM]]-1</f>
        <v>-3.5899977120795845E-2</v>
      </c>
      <c r="OY10" s="28">
        <f>SUMPRODUCT(INDEX(PortfolioRef[[SPY]:[PE]],MATCH(OY$1,PortfolioRef[Reference '#]),0),AssetMonthlyReturns[[#This Row],[SPY]:[PE]])</f>
        <v>-1.1837405070254515E-2</v>
      </c>
      <c r="OZ10" s="27">
        <f>IF(ISNUMBER(OZ9),OZ9*(1+PortfolioFrontier[[#This Row],[P104 Return]]),1+PortfolioFrontier[[#This Row],[P104 Return]])</f>
        <v>1.0137583286982979</v>
      </c>
      <c r="PA10" s="27">
        <f>MAX(PA9,PortfolioFrontier[[#This Row],[P104 Growth]])</f>
        <v>1.0596859973699932</v>
      </c>
      <c r="PB10" s="27">
        <f>PortfolioFrontier[[#This Row],[P104 Growth]]/PortfolioFrontier[[#This Row],[P104 HWM]]-1</f>
        <v>-4.334082811859552E-2</v>
      </c>
      <c r="PC10" s="28">
        <f>SUMPRODUCT(INDEX(PortfolioRef[[SPY]:[PE]],MATCH(PC$1,PortfolioRef[Reference '#]),0),AssetMonthlyReturns[[#This Row],[SPY]:[PE]])</f>
        <v>-1.1162989607163181E-2</v>
      </c>
      <c r="PD10" s="27">
        <f>IF(ISNUMBER(PD9),PD9*(1+PortfolioFrontier[[#This Row],[P105 Return]]),1+PortfolioFrontier[[#This Row],[P105 Return]])</f>
        <v>1.0173938877741768</v>
      </c>
      <c r="PE10" s="27">
        <f>MAX(PE9,PortfolioFrontier[[#This Row],[P105 Growth]])</f>
        <v>1.0548169175297899</v>
      </c>
      <c r="PF10" s="27">
        <f>PortfolioFrontier[[#This Row],[P105 Growth]]/PortfolioFrontier[[#This Row],[P105 HWM]]-1</f>
        <v>-3.5478222934887782E-2</v>
      </c>
      <c r="PG10" s="28">
        <f>SUMPRODUCT(INDEX(PortfolioRef[[SPY]:[PE]],MATCH(PG$1,PortfolioRef[Reference '#]),0),AssetMonthlyReturns[[#This Row],[SPY]:[PE]])</f>
        <v>-1.0488574144071849E-2</v>
      </c>
      <c r="PH10" s="27">
        <f>IF(ISNUMBER(PH9),PH9*(1+PortfolioFrontier[[#This Row],[P106 Return]]),1+PortfolioFrontier[[#This Row],[P106 Return]])</f>
        <v>1.0210098065667637</v>
      </c>
      <c r="PI10" s="27">
        <f>MAX(PI9,PortfolioFrontier[[#This Row],[P106 Growth]])</f>
        <v>1.0499599790437477</v>
      </c>
      <c r="PJ10" s="27">
        <f>PortfolioFrontier[[#This Row],[P106 Growth]]/PortfolioFrontier[[#This Row],[P106 HWM]]-1</f>
        <v>-2.7572643771956451E-2</v>
      </c>
      <c r="PK10" s="28">
        <f>SUMPRODUCT(INDEX(PortfolioRef[[SPY]:[PE]],MATCH(PK$1,PortfolioRef[Reference '#]),0),AssetMonthlyReturns[[#This Row],[SPY]:[PE]])</f>
        <v>-1.8069437695577846E-2</v>
      </c>
      <c r="PL10" s="27">
        <f>IF(ISNUMBER(PL9),PL9*(1+PortfolioFrontier[[#This Row],[P107 Return]]),1+PortfolioFrontier[[#This Row],[P107 Return]])</f>
        <v>1.0047247414118028</v>
      </c>
      <c r="PM10" s="27">
        <f>MAX(PM9,PortfolioFrontier[[#This Row],[P107 Growth]])</f>
        <v>1.0562201870951351</v>
      </c>
      <c r="PN10" s="27">
        <f>PortfolioFrontier[[#This Row],[P107 Growth]]/PortfolioFrontier[[#This Row],[P107 HWM]]-1</f>
        <v>-4.8754460776741504E-2</v>
      </c>
      <c r="PO10" s="28">
        <f>SUMPRODUCT(INDEX(PortfolioRef[[SPY]:[PE]],MATCH(PO$1,PortfolioRef[Reference '#]),0),AssetMonthlyReturns[[#This Row],[SPY]:[PE]])</f>
        <v>-1.7395022232486512E-2</v>
      </c>
      <c r="PP10" s="27">
        <f>IF(ISNUMBER(PP9),PP9*(1+PortfolioFrontier[[#This Row],[P108 Return]]),1+PortfolioFrontier[[#This Row],[P108 Return]])</f>
        <v>1.0083395550466963</v>
      </c>
      <c r="PQ10" s="27">
        <f>MAX(PQ9,PortfolioFrontier[[#This Row],[P108 Growth]])</f>
        <v>1.051372855315329</v>
      </c>
      <c r="PR10" s="27">
        <f>PortfolioFrontier[[#This Row],[P108 Growth]]/PortfolioFrontier[[#This Row],[P108 HWM]]-1</f>
        <v>-4.0930579528540401E-2</v>
      </c>
      <c r="PS10" s="28">
        <f>SUMPRODUCT(INDEX(PortfolioRef[[SPY]:[PE]],MATCH(PS$1,PortfolioRef[Reference '#]),0),AssetMonthlyReturns[[#This Row],[SPY]:[PE]])</f>
        <v>-1.47289855505379E-2</v>
      </c>
      <c r="PT10" s="27">
        <f>IF(ISNUMBER(PT9),PT9*(1+PortfolioFrontier[[#This Row],[P109 Return]]),1+PortfolioFrontier[[#This Row],[P109 Return]])</f>
        <v>1.0095165201437428</v>
      </c>
      <c r="PU10" s="27">
        <f>MAX(PU9,PortfolioFrontier[[#This Row],[P109 Growth]])</f>
        <v>1.0607882528163963</v>
      </c>
      <c r="PV10" s="27">
        <f>PortfolioFrontier[[#This Row],[P109 Growth]]/PortfolioFrontier[[#This Row],[P109 HWM]]-1</f>
        <v>-4.8333616569119164E-2</v>
      </c>
      <c r="PW10" s="28">
        <f>SUMPRODUCT(INDEX(PortfolioRef[[SPY]:[PE]],MATCH(PW$1,PortfolioRef[Reference '#]),0),AssetMonthlyReturns[[#This Row],[SPY]:[PE]])</f>
        <v>-1.4054570087446566E-2</v>
      </c>
      <c r="PX10" s="27">
        <f>IF(ISNUMBER(PX9),PX9*(1+PortfolioFrontier[[#This Row],[P110 Return]]),1+PortfolioFrontier[[#This Row],[P110 Return]])</f>
        <v>1.0131540184071015</v>
      </c>
      <c r="PY10" s="27">
        <f>MAX(PY9,PortfolioFrontier[[#This Row],[P110 Growth]])</f>
        <v>1.0559214762599245</v>
      </c>
      <c r="PZ10" s="27">
        <f>PortfolioFrontier[[#This Row],[P110 Growth]]/PortfolioFrontier[[#This Row],[P110 HWM]]-1</f>
        <v>-4.050249835272357E-2</v>
      </c>
      <c r="QA10" s="28">
        <f>SUMPRODUCT(INDEX(PortfolioRef[[SPY]:[PE]],MATCH(QA$1,PortfolioRef[Reference '#]),0),AssetMonthlyReturns[[#This Row],[SPY]:[PE]])</f>
        <v>-1.3380154624355234E-2</v>
      </c>
      <c r="QB10" s="27">
        <f>IF(ISNUMBER(QB9),QB9*(1+PortfolioFrontier[[#This Row],[P111 Return]]),1+PortfolioFrontier[[#This Row],[P111 Return]])</f>
        <v>1.0167720755575156</v>
      </c>
      <c r="QC10" s="27">
        <f>MAX(QC9,PortfolioFrontier[[#This Row],[P111 Growth]])</f>
        <v>1.0510668378703485</v>
      </c>
      <c r="QD10" s="27">
        <f>PortfolioFrontier[[#This Row],[P111 Growth]]/PortfolioFrontier[[#This Row],[P111 HWM]]-1</f>
        <v>-3.2628526633301735E-2</v>
      </c>
      <c r="QE10" s="28">
        <f>SUMPRODUCT(INDEX(PortfolioRef[[SPY]:[PE]],MATCH(QE$1,PortfolioRef[Reference '#]),0),AssetMonthlyReturns[[#This Row],[SPY]:[PE]])</f>
        <v>-1.1388533405497954E-2</v>
      </c>
      <c r="QF10" s="27">
        <f>IF(ISNUMBER(QF9),QF9*(1+PortfolioFrontier[[#This Row],[P112 Return]]),1+PortfolioFrontier[[#This Row],[P112 Return]])</f>
        <v>1.014293138898583</v>
      </c>
      <c r="QG10" s="27">
        <f>MAX(QG9,PortfolioFrontier[[#This Row],[P112 Growth]])</f>
        <v>1.0653524862884685</v>
      </c>
      <c r="QH10" s="27">
        <f>PortfolioFrontier[[#This Row],[P112 Growth]]/PortfolioFrontier[[#This Row],[P112 HWM]]-1</f>
        <v>-4.7927186585698722E-2</v>
      </c>
      <c r="QI10" s="28">
        <f>SUMPRODUCT(INDEX(PortfolioRef[[SPY]:[PE]],MATCH(QI$1,PortfolioRef[Reference '#]),0),AssetMonthlyReturns[[#This Row],[SPY]:[PE]])</f>
        <v>-1.071411794240662E-2</v>
      </c>
      <c r="QJ10" s="27">
        <f>IF(ISNUMBER(QJ9),QJ9*(1+PortfolioFrontier[[#This Row],[P113 Return]]),1+PortfolioFrontier[[#This Row],[P113 Return]])</f>
        <v>1.0179532955799067</v>
      </c>
      <c r="QK10" s="27">
        <f>MAX(QK9,PortfolioFrontier[[#This Row],[P113 Growth]])</f>
        <v>1.0604662396975308</v>
      </c>
      <c r="QL10" s="27">
        <f>PortfolioFrontier[[#This Row],[P113 Growth]]/PortfolioFrontier[[#This Row],[P113 HWM]]-1</f>
        <v>-4.0088917993042261E-2</v>
      </c>
      <c r="QM10" s="28">
        <f>SUMPRODUCT(INDEX(PortfolioRef[[SPY]:[PE]],MATCH(QM$1,PortfolioRef[Reference '#]),0),AssetMonthlyReturns[[#This Row],[SPY]:[PE]])</f>
        <v>-1.0039702479315288E-2</v>
      </c>
      <c r="QN10" s="27">
        <f>IF(ISNUMBER(QN9),QN9*(1+PortfolioFrontier[[#This Row],[P114 Return]]),1+PortfolioFrontier[[#This Row],[P114 Return]])</f>
        <v>1.0215939134942127</v>
      </c>
      <c r="QO10" s="27">
        <f>MAX(QO9,PortfolioFrontier[[#This Row],[P114 Growth]])</f>
        <v>1.0555921566006516</v>
      </c>
      <c r="QP10" s="27">
        <f>PortfolioFrontier[[#This Row],[P114 Growth]]/PortfolioFrontier[[#This Row],[P114 HWM]]-1</f>
        <v>-3.2207745097239338E-2</v>
      </c>
      <c r="QQ10" s="28">
        <f>SUMPRODUCT(INDEX(PortfolioRef[[SPY]:[PE]],MATCH(QQ$1,PortfolioRef[Reference '#]),0),AssetMonthlyReturns[[#This Row],[SPY]:[PE]])</f>
        <v>-1.7620566030821284E-2</v>
      </c>
      <c r="QR10" s="27">
        <f>IF(ISNUMBER(QR9),QR9*(1+PortfolioFrontier[[#This Row],[P115 Return]]),1+PortfolioFrontier[[#This Row],[P115 Return]])</f>
        <v>1.0052583375824373</v>
      </c>
      <c r="QS10" s="27">
        <f>MAX(QS9,PortfolioFrontier[[#This Row],[P115 Growth]])</f>
        <v>1.0618686348654582</v>
      </c>
      <c r="QT10" s="27">
        <f>PortfolioFrontier[[#This Row],[P115 Growth]]/PortfolioFrontier[[#This Row],[P115 HWM]]-1</f>
        <v>-5.3311959148500176E-2</v>
      </c>
      <c r="QU10" s="28">
        <f>SUMPRODUCT(INDEX(PortfolioRef[[SPY]:[PE]],MATCH(QU$1,PortfolioRef[Reference '#]),0),AssetMonthlyReturns[[#This Row],[SPY]:[PE]])</f>
        <v>-1.694615056772995E-2</v>
      </c>
      <c r="QV10" s="27">
        <f>IF(ISNUMBER(QV9),QV9*(1+PortfolioFrontier[[#This Row],[P116 Return]]),1+PortfolioFrontier[[#This Row],[P116 Return]])</f>
        <v>1.008897518246161</v>
      </c>
      <c r="QW10" s="27">
        <f>MAX(QW9,PortfolioFrontier[[#This Row],[P116 Growth]])</f>
        <v>1.0570041848172638</v>
      </c>
      <c r="QX10" s="27">
        <f>PortfolioFrontier[[#This Row],[P116 Growth]]/PortfolioFrontier[[#This Row],[P116 HWM]]-1</f>
        <v>-4.5512276358129489E-2</v>
      </c>
      <c r="QY10" s="28">
        <f>SUMPRODUCT(INDEX(PortfolioRef[[SPY]:[PE]],MATCH(QY$1,PortfolioRef[Reference '#]),0),AssetMonthlyReturns[[#This Row],[SPY]:[PE]])</f>
        <v>-1.627173510463862E-2</v>
      </c>
      <c r="QZ10" s="27">
        <f>IF(ISNUMBER(QZ9),QZ9*(1+PortfolioFrontier[[#This Row],[P117 Return]]),1+PortfolioFrontier[[#This Row],[P117 Return]])</f>
        <v>1.012517455615497</v>
      </c>
      <c r="RA10" s="27">
        <f>MAX(RA9,PortfolioFrontier[[#This Row],[P117 Growth]])</f>
        <v>1.0521518697486996</v>
      </c>
      <c r="RB10" s="27">
        <f>PortfolioFrontier[[#This Row],[P117 Growth]]/PortfolioFrontier[[#This Row],[P117 HWM]]-1</f>
        <v>-3.7669860476196249E-2</v>
      </c>
      <c r="RC10" s="28">
        <f>SUMPRODUCT(INDEX(PortfolioRef[[SPY]:[PE]],MATCH(RC$1,PortfolioRef[Reference '#]),0),AssetMonthlyReturns[[#This Row],[SPY]:[PE]])</f>
        <v>-1.4280113885781338E-2</v>
      </c>
      <c r="RD10" s="27">
        <f>IF(ISNUMBER(RD9),RD9*(1+PortfolioFrontier[[#This Row],[P118 Return]]),1+PortfolioFrontier[[#This Row],[P118 Return]])</f>
        <v>1.0100407353856697</v>
      </c>
      <c r="RE10" s="27">
        <f>MAX(RE9,PortfolioFrontier[[#This Row],[P118 Growth]])</f>
        <v>1.0664554246268612</v>
      </c>
      <c r="RF10" s="27">
        <f>PortfolioFrontier[[#This Row],[P118 Growth]]/PortfolioFrontier[[#This Row],[P118 HWM]]-1</f>
        <v>-5.2899247299464158E-2</v>
      </c>
      <c r="RG10" s="28">
        <f>SUMPRODUCT(INDEX(PortfolioRef[[SPY]:[PE]],MATCH(RG$1,PortfolioRef[Reference '#]),0),AssetMonthlyReturns[[#This Row],[SPY]:[PE]])</f>
        <v>-1.3605698422690004E-2</v>
      </c>
      <c r="RH10" s="27">
        <f>IF(ISNUMBER(RH9),RH9*(1+PortfolioFrontier[[#This Row],[P119 Return]]),1+PortfolioFrontier[[#This Row],[P119 Return]])</f>
        <v>1.0137027040690221</v>
      </c>
      <c r="RI10" s="27">
        <f>MAX(RI9,PortfolioFrontier[[#This Row],[P119 Growth]])</f>
        <v>1.0615714914212842</v>
      </c>
      <c r="RJ10" s="27">
        <f>PortfolioFrontier[[#This Row],[P119 Growth]]/PortfolioFrontier[[#This Row],[P119 HWM]]-1</f>
        <v>-4.5092382132618347E-2</v>
      </c>
      <c r="RK10" s="28">
        <f>SUMPRODUCT(INDEX(PortfolioRef[[SPY]:[PE]],MATCH(RK$1,PortfolioRef[Reference '#]),0),AssetMonthlyReturns[[#This Row],[SPY]:[PE]])</f>
        <v>-1.2931282959598672E-2</v>
      </c>
      <c r="RL10" s="27">
        <f>IF(ISNUMBER(RL9),RL9*(1+PortfolioFrontier[[#This Row],[P120 Return]]),1+PortfolioFrontier[[#This Row],[P120 Return]])</f>
        <v>1.0173453330693416</v>
      </c>
      <c r="RM10" s="27">
        <f>MAX(RM9,PortfolioFrontier[[#This Row],[P120 Growth]])</f>
        <v>1.0566997185225</v>
      </c>
      <c r="RN10" s="27">
        <f>PortfolioFrontier[[#This Row],[P120 Growth]]/PortfolioFrontier[[#This Row],[P120 HWM]]-1</f>
        <v>-3.7242732976388582E-2</v>
      </c>
      <c r="RO10" s="28">
        <f>SUMPRODUCT(INDEX(PortfolioRef[[SPY]:[PE]],MATCH(RO$1,PortfolioRef[Reference '#]),0),AssetMonthlyReturns[[#This Row],[SPY]:[PE]])</f>
        <v>-1.0939661740741392E-2</v>
      </c>
      <c r="RP10" s="27">
        <f>IF(ISNUMBER(RP9),RP9*(1+PortfolioFrontier[[#This Row],[P121 Return]]),1+PortfolioFrontier[[#This Row],[P121 Return]])</f>
        <v>1.0148079098855598</v>
      </c>
      <c r="RQ10" s="27">
        <f>MAX(RQ9,PortfolioFrontier[[#This Row],[P121 Growth]])</f>
        <v>1.0710383749555177</v>
      </c>
      <c r="RR10" s="27">
        <f>PortfolioFrontier[[#This Row],[P121 Growth]]/PortfolioFrontier[[#This Row],[P121 HWM]]-1</f>
        <v>-5.2500887348964742E-2</v>
      </c>
      <c r="RS10" s="28">
        <f>SUMPRODUCT(INDEX(PortfolioRef[[SPY]:[PE]],MATCH(RS$1,PortfolioRef[Reference '#]),0),AssetMonthlyReturns[[#This Row],[SPY]:[PE]])</f>
        <v>-1.0265246277650058E-2</v>
      </c>
      <c r="RT10" s="27">
        <f>IF(ISNUMBER(RT9),RT9*(1+PortfolioFrontier[[#This Row],[P122 Return]]),1+PortfolioFrontier[[#This Row],[P122 Return]])</f>
        <v>1.0184926402350691</v>
      </c>
      <c r="RU10" s="27">
        <f>MAX(RU9,PortfolioFrontier[[#This Row],[P122 Growth]])</f>
        <v>1.0661349333347574</v>
      </c>
      <c r="RV10" s="27">
        <f>PortfolioFrontier[[#This Row],[P122 Growth]]/PortfolioFrontier[[#This Row],[P122 HWM]]-1</f>
        <v>-4.4686926213615585E-2</v>
      </c>
      <c r="RW10" s="28">
        <f>SUMPRODUCT(INDEX(PortfolioRef[[SPY]:[PE]],MATCH(RW$1,PortfolioRef[Reference '#]),0),AssetMonthlyReturns[[#This Row],[SPY]:[PE]])</f>
        <v>-9.5908308145587259E-3</v>
      </c>
      <c r="RX10" s="27">
        <f>IF(ISNUMBER(RX9),RX9*(1+PortfolioFrontier[[#This Row],[P123 Return]]),1+PortfolioFrontier[[#This Row],[P123 Return]])</f>
        <v>1.022157934277828</v>
      </c>
      <c r="RY10" s="27">
        <f>MAX(RY9,PortfolioFrontier[[#This Row],[P123 Growth]])</f>
        <v>1.0612436773479528</v>
      </c>
      <c r="RZ10" s="27">
        <f>PortfolioFrontier[[#This Row],[P123 Growth]]/PortfolioFrontier[[#This Row],[P123 HWM]]-1</f>
        <v>-3.6830130444498899E-2</v>
      </c>
      <c r="SA10" s="28">
        <f>SUMPRODUCT(INDEX(PortfolioRef[[SPY]:[PE]],MATCH(SA$1,PortfolioRef[Reference '#]),0),AssetMonthlyReturns[[#This Row],[SPY]:[PE]])</f>
        <v>-1.7171694366064721E-2</v>
      </c>
      <c r="SB10" s="27">
        <f>IF(ISNUMBER(SB9),SB9*(1+PortfolioFrontier[[#This Row],[P124 Return]]),1+PortfolioFrontier[[#This Row],[P124 Return]])</f>
        <v>1.0057720831025572</v>
      </c>
      <c r="SC10" s="27">
        <f>MAX(SC9,PortfolioFrontier[[#This Row],[P124 Growth]])</f>
        <v>1.0675364357312243</v>
      </c>
      <c r="SD10" s="27">
        <f>PortfolioFrontier[[#This Row],[P124 Growth]]/PortfolioFrontier[[#This Row],[P124 HWM]]-1</f>
        <v>-5.7856903578528129E-2</v>
      </c>
      <c r="SE10" s="28">
        <f>SUMPRODUCT(INDEX(PortfolioRef[[SPY]:[PE]],MATCH(SE$1,PortfolioRef[Reference '#]),0),AssetMonthlyReturns[[#This Row],[SPY]:[PE]])</f>
        <v>-1.6497278902973388E-2</v>
      </c>
      <c r="SF10" s="27">
        <f>IF(ISNUMBER(SF9),SF9*(1+PortfolioFrontier[[#This Row],[P125 Return]]),1+PortfolioFrontier[[#This Row],[P125 Return]])</f>
        <v>1.0094356073098674</v>
      </c>
      <c r="SG10" s="27">
        <f>MAX(SG9,PortfolioFrontier[[#This Row],[P125 Growth]])</f>
        <v>1.0626548391355537</v>
      </c>
      <c r="SH10" s="27">
        <f>PortfolioFrontier[[#This Row],[P125 Growth]]/PortfolioFrontier[[#This Row],[P125 HWM]]-1</f>
        <v>-5.0081390368465262E-2</v>
      </c>
      <c r="SI10" s="28">
        <f>SUMPRODUCT(INDEX(PortfolioRef[[SPY]:[PE]],MATCH(SI$1,PortfolioRef[Reference '#]),0),AssetMonthlyReturns[[#This Row],[SPY]:[PE]])</f>
        <v>-1.5822863439882057E-2</v>
      </c>
      <c r="SJ10" s="27">
        <f>IF(ISNUMBER(SJ9),SJ9*(1+PortfolioFrontier[[#This Row],[P126 Return]]),1+PortfolioFrontier[[#This Row],[P126 Return]])</f>
        <v>1.0130799895631102</v>
      </c>
      <c r="SK10" s="27">
        <f>MAX(SK9,PortfolioFrontier[[#This Row],[P126 Growth]])</f>
        <v>1.0577853996594109</v>
      </c>
      <c r="SL10" s="27">
        <f>PortfolioFrontier[[#This Row],[P126 Growth]]/PortfolioFrontier[[#This Row],[P126 HWM]]-1</f>
        <v>-4.226321341804784E-2</v>
      </c>
      <c r="SM10" s="28">
        <f>SUMPRODUCT(INDEX(PortfolioRef[[SPY]:[PE]],MATCH(SM$1,PortfolioRef[Reference '#]),0),AssetMonthlyReturns[[#This Row],[SPY]:[PE]])</f>
        <v>-1.3831242221024775E-2</v>
      </c>
      <c r="SN10" s="27">
        <f>IF(ISNUMBER(SN9),SN9*(1+PortfolioFrontier[[#This Row],[P127 Return]]),1+PortfolioFrontier[[#This Row],[P127 Return]])</f>
        <v>1.0105449923436816</v>
      </c>
      <c r="SO10" s="27">
        <f>MAX(SO9,PortfolioFrontier[[#This Row],[P127 Growth]])</f>
        <v>1.072141988535577</v>
      </c>
      <c r="SP10" s="27">
        <f>PortfolioFrontier[[#This Row],[P127 Growth]]/PortfolioFrontier[[#This Row],[P127 HWM]]-1</f>
        <v>-5.7452274839109529E-2</v>
      </c>
      <c r="SQ10" s="28">
        <f>SUMPRODUCT(INDEX(PortfolioRef[[SPY]:[PE]],MATCH(SQ$1,PortfolioRef[Reference '#]),0),AssetMonthlyReturns[[#This Row],[SPY]:[PE]])</f>
        <v>-1.3156826757933442E-2</v>
      </c>
      <c r="SR10" s="27">
        <f>IF(ISNUMBER(SR9),SR9*(1+PortfolioFrontier[[#This Row],[P128 Return]]),1+PortfolioFrontier[[#This Row],[P128 Return]])</f>
        <v>1.0142314073000869</v>
      </c>
      <c r="SS10" s="27">
        <f>MAX(SS9,PortfolioFrontier[[#This Row],[P128 Growth]])</f>
        <v>1.0672408704018066</v>
      </c>
      <c r="ST10" s="27">
        <f>PortfolioFrontier[[#This Row],[P128 Growth]]/PortfolioFrontier[[#This Row],[P128 HWM]]-1</f>
        <v>-4.9669633699243709E-2</v>
      </c>
      <c r="SU10" s="28">
        <f>SUMPRODUCT(INDEX(PortfolioRef[[SPY]:[PE]],MATCH(SU$1,PortfolioRef[Reference '#]),0),AssetMonthlyReturns[[#This Row],[SPY]:[PE]])</f>
        <v>-1.248241129484211E-2</v>
      </c>
      <c r="SV10" s="27">
        <f>IF(ISNUMBER(SV9),SV9*(1+PortfolioFrontier[[#This Row],[P129 Return]]),1+PortfolioFrontier[[#This Row],[P129 Return]])</f>
        <v>1.01789858494295</v>
      </c>
      <c r="SW10" s="27">
        <f>MAX(SW9,PortfolioFrontier[[#This Row],[P129 Growth]])</f>
        <v>1.0623519347147268</v>
      </c>
      <c r="SX10" s="27">
        <f>PortfolioFrontier[[#This Row],[P129 Growth]]/PortfolioFrontier[[#This Row],[P129 HWM]]-1</f>
        <v>-4.1844278076938579E-2</v>
      </c>
      <c r="SY10" s="28">
        <f>SUMPRODUCT(INDEX(PortfolioRef[[SPY]:[PE]],MATCH(SY$1,PortfolioRef[Reference '#]),0),AssetMonthlyReturns[[#This Row],[SPY]:[PE]])</f>
        <v>-1.0490790075984829E-2</v>
      </c>
      <c r="SZ10" s="27">
        <f>IF(ISNUMBER(SZ9),SZ9*(1+PortfolioFrontier[[#This Row],[P130 Return]]),1+PortfolioFrontier[[#This Row],[P130 Return]])</f>
        <v>1.0153026151388524</v>
      </c>
      <c r="TA10" s="27">
        <f>MAX(TA9,PortfolioFrontier[[#This Row],[P130 Growth]])</f>
        <v>1.0767436947236253</v>
      </c>
      <c r="TB10" s="27">
        <f>PortfolioFrontier[[#This Row],[P130 Growth]]/PortfolioFrontier[[#This Row],[P130 HWM]]-1</f>
        <v>-5.7061935803156327E-2</v>
      </c>
      <c r="TC10" s="28">
        <f>SUMPRODUCT(INDEX(PortfolioRef[[SPY]:[PE]],MATCH(TC$1,PortfolioRef[Reference '#]),0),AssetMonthlyReturns[[#This Row],[SPY]:[PE]])</f>
        <v>-9.8163746128934956E-3</v>
      </c>
      <c r="TD10" s="27">
        <f>IF(ISNUMBER(TD9),TD9*(1+PortfolioFrontier[[#This Row],[P131 Return]]),1+PortfolioFrontier[[#This Row],[P131 Return]])</f>
        <v>1.0190118943442752</v>
      </c>
      <c r="TE10" s="27">
        <f>MAX(TE9,PortfolioFrontier[[#This Row],[P131 Growth]])</f>
        <v>1.0718230297939548</v>
      </c>
      <c r="TF10" s="27">
        <f>PortfolioFrontier[[#This Row],[P131 Growth]]/PortfolioFrontier[[#This Row],[P131 HWM]]-1</f>
        <v>-4.9272252957497931E-2</v>
      </c>
      <c r="TG10" s="28">
        <f>SUMPRODUCT(INDEX(PortfolioRef[[SPY]:[PE]],MATCH(TG$1,PortfolioRef[Reference '#]),0),AssetMonthlyReturns[[#This Row],[SPY]:[PE]])</f>
        <v>-9.1419591498021636E-3</v>
      </c>
      <c r="TH10" s="27">
        <f>IF(ISNUMBER(TH9),TH9*(1+PortfolioFrontier[[#This Row],[P132 Return]]),1+PortfolioFrontier[[#This Row],[P132 Return]])</f>
        <v>1.0227018406461821</v>
      </c>
      <c r="TI10" s="27">
        <f>MAX(TI9,PortfolioFrontier[[#This Row],[P132 Growth]])</f>
        <v>1.0669145726381379</v>
      </c>
      <c r="TJ10" s="27">
        <f>PortfolioFrontier[[#This Row],[P132 Growth]]/PortfolioFrontier[[#This Row],[P132 HWM]]-1</f>
        <v>-4.1439805140754515E-2</v>
      </c>
      <c r="TK10" s="28">
        <f>SUMPRODUCT(INDEX(PortfolioRef[[SPY]:[PE]],MATCH(TK$1,PortfolioRef[Reference '#]),0),AssetMonthlyReturns[[#This Row],[SPY]:[PE]])</f>
        <v>-1.6722822701308159E-2</v>
      </c>
      <c r="TL10" s="27">
        <f>IF(ISNUMBER(TL9),TL9*(1+PortfolioFrontier[[#This Row],[P133 Return]]),1+PortfolioFrontier[[#This Row],[P133 Return]])</f>
        <v>1.0062659513682821</v>
      </c>
      <c r="TM10" s="27">
        <f>MAX(TM9,PortfolioFrontier[[#This Row],[P133 Growth]])</f>
        <v>1.0732236210449184</v>
      </c>
      <c r="TN10" s="27">
        <f>PortfolioFrontier[[#This Row],[P133 Growth]]/PortfolioFrontier[[#This Row],[P133 HWM]]-1</f>
        <v>-6.2389299269656973E-2</v>
      </c>
      <c r="TO10" s="28">
        <f>SUMPRODUCT(INDEX(PortfolioRef[[SPY]:[PE]],MATCH(TO$1,PortfolioRef[Reference '#]),0),AssetMonthlyReturns[[#This Row],[SPY]:[PE]])</f>
        <v>-1.6048407238216829E-2</v>
      </c>
      <c r="TP10" s="27">
        <f>IF(ISNUMBER(TP9),TP9*(1+PortfolioFrontier[[#This Row],[P134 Return]]),1+PortfolioFrontier[[#This Row],[P134 Return]])</f>
        <v>1.0099537947667565</v>
      </c>
      <c r="TQ10" s="27">
        <f>MAX(TQ9,PortfolioFrontier[[#This Row],[P134 Growth]])</f>
        <v>1.0683248496226843</v>
      </c>
      <c r="TR10" s="27">
        <f>PortfolioFrontier[[#This Row],[P134 Growth]]/PortfolioFrontier[[#This Row],[P134 HWM]]-1</f>
        <v>-5.4637926728507202E-2</v>
      </c>
      <c r="TS10" s="28">
        <f>SUMPRODUCT(INDEX(PortfolioRef[[SPY]:[PE]],MATCH(TS$1,PortfolioRef[Reference '#]),0),AssetMonthlyReturns[[#This Row],[SPY]:[PE]])</f>
        <v>-1.5373991775125495E-2</v>
      </c>
      <c r="TT10" s="27">
        <f>IF(ISNUMBER(TT9),TT9*(1+PortfolioFrontier[[#This Row],[P135 Return]]),1+PortfolioFrontier[[#This Row],[P135 Return]])</f>
        <v>1.0136225984866678</v>
      </c>
      <c r="TU10" s="27">
        <f>MAX(TU9,PortfolioFrontier[[#This Row],[P135 Growth]])</f>
        <v>1.0634382574598751</v>
      </c>
      <c r="TV10" s="27">
        <f>PortfolioFrontier[[#This Row],[P135 Growth]]/PortfolioFrontier[[#This Row],[P135 HWM]]-1</f>
        <v>-4.6843959791513234E-2</v>
      </c>
      <c r="TW10" s="28">
        <f>SUMPRODUCT(INDEX(PortfolioRef[[SPY]:[PE]],MATCH(TW$1,PortfolioRef[Reference '#]),0),AssetMonthlyReturns[[#This Row],[SPY]:[PE]])</f>
        <v>-1.3382370556268215E-2</v>
      </c>
      <c r="TX10" s="27">
        <f>IF(ISNUMBER(TX9),TX9*(1+PortfolioFrontier[[#This Row],[P136 Return]]),1+PortfolioFrontier[[#This Row],[P136 Return]])</f>
        <v>1.0110292648154182</v>
      </c>
      <c r="TY10" s="27">
        <f>MAX(TY9,PortfolioFrontier[[#This Row],[P136 Growth]])</f>
        <v>1.0778479758950288</v>
      </c>
      <c r="TZ10" s="27">
        <f>PortfolioFrontier[[#This Row],[P136 Growth]]/PortfolioFrontier[[#This Row],[P136 HWM]]-1</f>
        <v>-6.1992704513013863E-2</v>
      </c>
      <c r="UA10" s="28">
        <f>SUMPRODUCT(INDEX(PortfolioRef[[SPY]:[PE]],MATCH(UA$1,PortfolioRef[Reference '#]),0),AssetMonthlyReturns[[#This Row],[SPY]:[PE]])</f>
        <v>-1.2707955093176881E-2</v>
      </c>
      <c r="UB10" s="27">
        <f>IF(ISNUMBER(UB9),UB9*(1+PortfolioFrontier[[#This Row],[P137 Return]]),1+PortfolioFrontier[[#This Row],[P137 Return]])</f>
        <v>1.0147401010266375</v>
      </c>
      <c r="UC10" s="27">
        <f>MAX(UC9,PortfolioFrontier[[#This Row],[P137 Growth]])</f>
        <v>1.0729296445539775</v>
      </c>
      <c r="UD10" s="27">
        <f>PortfolioFrontier[[#This Row],[P137 Growth]]/PortfolioFrontier[[#This Row],[P137 HWM]]-1</f>
        <v>-5.4234258343686448E-2</v>
      </c>
      <c r="UE10" s="28">
        <f>SUMPRODUCT(INDEX(PortfolioRef[[SPY]:[PE]],MATCH(UE$1,PortfolioRef[Reference '#]),0),AssetMonthlyReturns[[#This Row],[SPY]:[PE]])</f>
        <v>-1.2033539630085549E-2</v>
      </c>
      <c r="UF10" s="27">
        <f>IF(ISNUMBER(UF9),UF9*(1+PortfolioFrontier[[#This Row],[P138 Return]]),1+PortfolioFrontier[[#This Row],[P138 Return]])</f>
        <v>1.0184318032323623</v>
      </c>
      <c r="UG10" s="27">
        <f>MAX(UG9,PortfolioFrontier[[#This Row],[P138 Growth]])</f>
        <v>1.0680235177995143</v>
      </c>
      <c r="UH10" s="27">
        <f>PortfolioFrontier[[#This Row],[P138 Growth]]/PortfolioFrontier[[#This Row],[P138 HWM]]-1</f>
        <v>-4.6433167192167835E-2</v>
      </c>
      <c r="UI10" s="28">
        <f>SUMPRODUCT(INDEX(PortfolioRef[[SPY]:[PE]],MATCH(UI$1,PortfolioRef[Reference '#]),0),AssetMonthlyReturns[[#This Row],[SPY]:[PE]])</f>
        <v>-1.0041918411228269E-2</v>
      </c>
      <c r="UJ10" s="27">
        <f>IF(ISNUMBER(UJ9),UJ9*(1+PortfolioFrontier[[#This Row],[P139 Return]]),1+PortfolioFrontier[[#This Row],[P139 Return]])</f>
        <v>1.0157772288608375</v>
      </c>
      <c r="UK10" s="27">
        <f>MAX(UK9,PortfolioFrontier[[#This Row],[P139 Growth]])</f>
        <v>1.0824684769452779</v>
      </c>
      <c r="UL10" s="27">
        <f>PortfolioFrontier[[#This Row],[P139 Growth]]/PortfolioFrontier[[#This Row],[P139 HWM]]-1</f>
        <v>-6.161033739536026E-2</v>
      </c>
      <c r="UM10" s="28">
        <f>SUMPRODUCT(INDEX(PortfolioRef[[SPY]:[PE]],MATCH(UM$1,PortfolioRef[Reference '#]),0),AssetMonthlyReturns[[#This Row],[SPY]:[PE]])</f>
        <v>-9.3675029481369351E-3</v>
      </c>
      <c r="UN10" s="27">
        <f>IF(ISNUMBER(UN9),UN9*(1+PortfolioFrontier[[#This Row],[P140 Return]]),1+PortfolioFrontier[[#This Row],[P140 Return]])</f>
        <v>1.0195110312344866</v>
      </c>
      <c r="UO10" s="27">
        <f>MAX(UO9,PortfolioFrontier[[#This Row],[P140 Growth]])</f>
        <v>1.0775305604276091</v>
      </c>
      <c r="UP10" s="27">
        <f>PortfolioFrontier[[#This Row],[P140 Growth]]/PortfolioFrontier[[#This Row],[P140 HWM]]-1</f>
        <v>-5.3844903637905062E-2</v>
      </c>
      <c r="UQ10" s="28">
        <f>SUMPRODUCT(INDEX(PortfolioRef[[SPY]:[PE]],MATCH(UQ$1,PortfolioRef[Reference '#]),0),AssetMonthlyReturns[[#This Row],[SPY]:[PE]])</f>
        <v>-8.693087485045603E-3</v>
      </c>
      <c r="UR10" s="27">
        <f>IF(ISNUMBER(UR9),UR9*(1+PortfolioFrontier[[#This Row],[P141 Return]]),1+PortfolioFrontier[[#This Row],[P141 Return]])</f>
        <v>1.0232256050497748</v>
      </c>
      <c r="US10" s="27">
        <f>MAX(US9,PortfolioFrontier[[#This Row],[P141 Growth]])</f>
        <v>1.0726048738236913</v>
      </c>
      <c r="UT10" s="27">
        <f>PortfolioFrontier[[#This Row],[P141 Growth]]/PortfolioFrontier[[#This Row],[P141 HWM]]-1</f>
        <v>-4.6036774565349603E-2</v>
      </c>
    </row>
    <row r="11" spans="1:566" x14ac:dyDescent="0.2">
      <c r="B11" s="41">
        <f>AssetMonthlyReturns[[#This Row],[Date]]</f>
        <v>42705</v>
      </c>
      <c r="C11" s="28">
        <f>SUMPRODUCT(INDEX(PortfolioRef[[SPY]:[PE]],MATCH(C$1,PortfolioRef[Reference '#]),0),AssetMonthlyReturns[[#This Row],[SPY]:[PE]])</f>
        <v>8.3089146910956379E-3</v>
      </c>
      <c r="D11" s="29">
        <f>IF(ISNUMBER(D10),D10*(1+PortfolioFrontier[[#This Row],[P1 Return]]),1+PortfolioFrontier[[#This Row],[P1 Return]])</f>
        <v>1.0482758868508901</v>
      </c>
      <c r="E11" s="29">
        <f>MAX(E10,PortfolioFrontier[[#This Row],[P1 Growth]])</f>
        <v>1.0583442685325262</v>
      </c>
      <c r="F11" s="29">
        <f>PortfolioFrontier[[#This Row],[P1 Growth]]/PortfolioFrontier[[#This Row],[P1 HWM]]-1</f>
        <v>-9.5133332139613058E-3</v>
      </c>
      <c r="G11" s="28">
        <f>SUMPRODUCT(INDEX(PortfolioRef[[SPY]:[PE]],MATCH(G$1,PortfolioRef[Reference '#]),0),AssetMonthlyReturns[[#This Row],[SPY]:[PE]])</f>
        <v>7.6056345856185242E-3</v>
      </c>
      <c r="H11" s="27">
        <f>IF(ISNUMBER(H10),H10*(1+PortfolioFrontier[[#This Row],[P2 Return]]),1+PortfolioFrontier[[#This Row],[P2 Return]])</f>
        <v>1.0429977350215247</v>
      </c>
      <c r="I11" s="27">
        <f>MAX(I10,PortfolioFrontier[[#This Row],[P2 Growth]])</f>
        <v>1.0566950559387405</v>
      </c>
      <c r="J11" s="27">
        <f>PortfolioFrontier[[#This Row],[P2 Growth]]/PortfolioFrontier[[#This Row],[P2 HWM]]-1</f>
        <v>-1.2962416016082723E-2</v>
      </c>
      <c r="K11" s="28">
        <f>SUMPRODUCT(INDEX(PortfolioRef[[SPY]:[PE]],MATCH(K$1,PortfolioRef[Reference '#]),0),AssetMonthlyReturns[[#This Row],[SPY]:[PE]])</f>
        <v>6.6369095341588793E-3</v>
      </c>
      <c r="L11" s="27">
        <f>IF(ISNUMBER(L10),L10*(1+PortfolioFrontier[[#This Row],[P3 Return]]),1+PortfolioFrontier[[#This Row],[P3 Return]])</f>
        <v>1.0377256027021222</v>
      </c>
      <c r="M11" s="27">
        <f>MAX(M10,PortfolioFrontier[[#This Row],[P3 Growth]])</f>
        <v>1.0578303960203519</v>
      </c>
      <c r="N11" s="27">
        <f>PortfolioFrontier[[#This Row],[P3 Growth]]/PortfolioFrontier[[#This Row],[P3 HWM]]-1</f>
        <v>-1.9005686917170861E-2</v>
      </c>
      <c r="O11" s="28">
        <f>SUMPRODUCT(INDEX(PortfolioRef[[SPY]:[PE]],MATCH(O$1,PortfolioRef[Reference '#]),0),AssetMonthlyReturns[[#This Row],[SPY]:[PE]])</f>
        <v>8.9254279617843272E-3</v>
      </c>
      <c r="P11" s="27">
        <f>IF(ISNUMBER(P10),P10*(1+PortfolioFrontier[[#This Row],[P4 Return]]),1+PortfolioFrontier[[#This Row],[P4 Return]])</f>
        <v>1.0449315838806157</v>
      </c>
      <c r="Q11" s="27">
        <f>MAX(Q10,PortfolioFrontier[[#This Row],[P4 Growth]])</f>
        <v>1.0623520608453636</v>
      </c>
      <c r="R11" s="27">
        <f>PortfolioFrontier[[#This Row],[P4 Growth]]/PortfolioFrontier[[#This Row],[P4 HWM]]-1</f>
        <v>-1.6398026235187602E-2</v>
      </c>
      <c r="S11" s="28">
        <f>SUMPRODUCT(INDEX(PortfolioRef[[SPY]:[PE]],MATCH(S$1,PortfolioRef[Reference '#]),0),AssetMonthlyReturns[[#This Row],[SPY]:[PE]])</f>
        <v>7.4286738987642039E-3</v>
      </c>
      <c r="T11" s="27">
        <f>IF(ISNUMBER(T10),T10*(1+PortfolioFrontier[[#This Row],[P5 Return]]),1+PortfolioFrontier[[#This Row],[P5 Return]])</f>
        <v>1.047087307375038</v>
      </c>
      <c r="U11" s="27">
        <f>MAX(U10,PortfolioFrontier[[#This Row],[P5 Growth]])</f>
        <v>1.0574575081284934</v>
      </c>
      <c r="V11" s="27">
        <f>PortfolioFrontier[[#This Row],[P5 Growth]]/PortfolioFrontier[[#This Row],[P5 HWM]]-1</f>
        <v>-9.8067304584263937E-3</v>
      </c>
      <c r="W11" s="28">
        <f>SUMPRODUCT(INDEX(PortfolioRef[[SPY]:[PE]],MATCH(W$1,PortfolioRef[Reference '#]),0),AssetMonthlyReturns[[#This Row],[SPY]:[PE]])</f>
        <v>6.9023544801414148E-3</v>
      </c>
      <c r="X11" s="27">
        <f>IF(ISNUMBER(X10),X10*(1+PortfolioFrontier[[#This Row],[P6 Return]]),1+PortfolioFrontier[[#This Row],[P6 Return]])</f>
        <v>1.0377303814587659</v>
      </c>
      <c r="Y11" s="27">
        <f>MAX(Y10,PortfolioFrontier[[#This Row],[P6 Growth]])</f>
        <v>1.0550433039814844</v>
      </c>
      <c r="Z11" s="27">
        <f>PortfolioFrontier[[#This Row],[P6 Growth]]/PortfolioFrontier[[#This Row],[P6 HWM]]-1</f>
        <v>-1.6409679543373801E-2</v>
      </c>
      <c r="AA11" s="28">
        <f>SUMPRODUCT(INDEX(PortfolioRef[[SPY]:[PE]],MATCH(AA$1,PortfolioRef[Reference '#]),0),AssetMonthlyReturns[[#This Row],[SPY]:[PE]])</f>
        <v>5.9336294286817699E-3</v>
      </c>
      <c r="AB11" s="27">
        <f>IF(ISNUMBER(AB10),AB10*(1+PortfolioFrontier[[#This Row],[P7 Return]]),1+PortfolioFrontier[[#This Row],[P7 Return]])</f>
        <v>1.0324696805091951</v>
      </c>
      <c r="AC11" s="27">
        <f>MAX(AC10,PortfolioFrontier[[#This Row],[P7 Growth]])</f>
        <v>1.0561717070283392</v>
      </c>
      <c r="AD11" s="27">
        <f>PortfolioFrontier[[#This Row],[P7 Growth]]/PortfolioFrontier[[#This Row],[P7 HWM]]-1</f>
        <v>-2.2441451859975037E-2</v>
      </c>
      <c r="AE11" s="28">
        <f>SUMPRODUCT(INDEX(PortfolioRef[[SPY]:[PE]],MATCH(AE$1,PortfolioRef[Reference '#]),0),AssetMonthlyReturns[[#This Row],[SPY]:[PE]])</f>
        <v>8.2221478563072169E-3</v>
      </c>
      <c r="AF11" s="27">
        <f>IF(ISNUMBER(AF10),AF10*(1+PortfolioFrontier[[#This Row],[P8 Return]]),1+PortfolioFrontier[[#This Row],[P8 Return]])</f>
        <v>1.0396603545398488</v>
      </c>
      <c r="AG11" s="27">
        <f>MAX(AG10,PortfolioFrontier[[#This Row],[P8 Growth]])</f>
        <v>1.0606944688732651</v>
      </c>
      <c r="AH11" s="27">
        <f>PortfolioFrontier[[#This Row],[P8 Growth]]/PortfolioFrontier[[#This Row],[P8 HWM]]-1</f>
        <v>-1.983051194351948E-2</v>
      </c>
      <c r="AI11" s="28">
        <f>SUMPRODUCT(INDEX(PortfolioRef[[SPY]:[PE]],MATCH(AI$1,PortfolioRef[Reference '#]),0),AssetMonthlyReturns[[#This Row],[SPY]:[PE]])</f>
        <v>6.7253937932870945E-3</v>
      </c>
      <c r="AJ11" s="27">
        <f>IF(ISNUMBER(AJ10),AJ10*(1+PortfolioFrontier[[#This Row],[P9 Return]]),1+PortfolioFrontier[[#This Row],[P9 Return]])</f>
        <v>1.0418066256883765</v>
      </c>
      <c r="AK11" s="27">
        <f>MAX(AK10,PortfolioFrontier[[#This Row],[P9 Growth]])</f>
        <v>1.0558084455991081</v>
      </c>
      <c r="AL11" s="27">
        <f>PortfolioFrontier[[#This Row],[P9 Growth]]/PortfolioFrontier[[#This Row],[P9 HWM]]-1</f>
        <v>-1.3261704780914596E-2</v>
      </c>
      <c r="AM11" s="28">
        <f>SUMPRODUCT(INDEX(PortfolioRef[[SPY]:[PE]],MATCH(AM$1,PortfolioRef[Reference '#]),0),AssetMonthlyReturns[[#This Row],[SPY]:[PE]])</f>
        <v>4.9649043772221233E-3</v>
      </c>
      <c r="AN11" s="27">
        <f>IF(ISNUMBER(AN10),AN10*(1+PortfolioFrontier[[#This Row],[P10 Return]]),1+PortfolioFrontier[[#This Row],[P10 Return]])</f>
        <v>1.02719989266372</v>
      </c>
      <c r="AO11" s="27">
        <f>MAX(AO10,PortfolioFrontier[[#This Row],[P10 Growth]])</f>
        <v>1.0572782218237637</v>
      </c>
      <c r="AP11" s="27">
        <f>PortfolioFrontier[[#This Row],[P10 Growth]]/PortfolioFrontier[[#This Row],[P10 HWM]]-1</f>
        <v>-2.8448830723250662E-2</v>
      </c>
      <c r="AQ11" s="28">
        <f>SUMPRODUCT(INDEX(PortfolioRef[[SPY]:[PE]],MATCH(AQ$1,PortfolioRef[Reference '#]),0),AssetMonthlyReturns[[#This Row],[SPY]:[PE]])</f>
        <v>7.2534228048475695E-3</v>
      </c>
      <c r="AR11" s="27">
        <f>IF(ISNUMBER(AR10),AR10*(1+PortfolioFrontier[[#This Row],[P11 Return]]),1+PortfolioFrontier[[#This Row],[P11 Return]])</f>
        <v>1.0343825108238955</v>
      </c>
      <c r="AS11" s="27">
        <f>MAX(AS10,PortfolioFrontier[[#This Row],[P11 Growth]])</f>
        <v>1.0618236120311197</v>
      </c>
      <c r="AT11" s="27">
        <f>PortfolioFrontier[[#This Row],[P11 Growth]]/PortfolioFrontier[[#This Row],[P11 HWM]]-1</f>
        <v>-2.5843370684452194E-2</v>
      </c>
      <c r="AU11" s="28">
        <f>SUMPRODUCT(INDEX(PortfolioRef[[SPY]:[PE]],MATCH(AU$1,PortfolioRef[Reference '#]),0),AssetMonthlyReturns[[#This Row],[SPY]:[PE]])</f>
        <v>5.7566687418274479E-3</v>
      </c>
      <c r="AV11" s="27">
        <f>IF(ISNUMBER(AV10),AV10*(1+PortfolioFrontier[[#This Row],[P12 Return]]),1+PortfolioFrontier[[#This Row],[P12 Return]])</f>
        <v>1.036534001901517</v>
      </c>
      <c r="AW11" s="27">
        <f>MAX(AW10,PortfolioFrontier[[#This Row],[P12 Growth]])</f>
        <v>1.0569398986882623</v>
      </c>
      <c r="AX11" s="27">
        <f>PortfolioFrontier[[#This Row],[P12 Growth]]/PortfolioFrontier[[#This Row],[P12 HWM]]-1</f>
        <v>-1.9306581965606973E-2</v>
      </c>
      <c r="AY11" s="28">
        <f>SUMPRODUCT(INDEX(PortfolioRef[[SPY]:[PE]],MATCH(AY$1,PortfolioRef[Reference '#]),0),AssetMonthlyReturns[[#This Row],[SPY]:[PE]])</f>
        <v>9.5419412324730165E-3</v>
      </c>
      <c r="AZ11" s="27">
        <f>IF(ISNUMBER(AZ10),AZ10*(1+PortfolioFrontier[[#This Row],[P13 Return]]),1+PortfolioFrontier[[#This Row],[P13 Return]])</f>
        <v>1.0415713120649654</v>
      </c>
      <c r="BA11" s="27">
        <f>MAX(BA10,PortfolioFrontier[[#This Row],[P13 Growth]])</f>
        <v>1.0663650133817999</v>
      </c>
      <c r="BB11" s="27">
        <f>PortfolioFrontier[[#This Row],[P13 Growth]]/PortfolioFrontier[[#This Row],[P13 HWM]]-1</f>
        <v>-2.3250670273029073E-2</v>
      </c>
      <c r="BC11" s="28">
        <f>SUMPRODUCT(INDEX(PortfolioRef[[SPY]:[PE]],MATCH(BC$1,PortfolioRef[Reference '#]),0),AssetMonthlyReturns[[#This Row],[SPY]:[PE]])</f>
        <v>8.0451871694528932E-3</v>
      </c>
      <c r="BD11" s="27">
        <f>IF(ISNUMBER(BD10),BD10*(1+PortfolioFrontier[[#This Row],[P14 Return]]),1+PortfolioFrontier[[#This Row],[P14 Return]])</f>
        <v>1.0437468210194578</v>
      </c>
      <c r="BE11" s="27">
        <f>MAX(BE10,PortfolioFrontier[[#This Row],[P14 Growth]])</f>
        <v>1.0614617985501424</v>
      </c>
      <c r="BF11" s="27">
        <f>PortfolioFrontier[[#This Row],[P14 Growth]]/PortfolioFrontier[[#This Row],[P14 HWM]]-1</f>
        <v>-1.6689227586788036E-2</v>
      </c>
      <c r="BG11" s="28">
        <f>SUMPRODUCT(INDEX(PortfolioRef[[SPY]:[PE]],MATCH(BG$1,PortfolioRef[Reference '#]),0),AssetMonthlyReturns[[#This Row],[SPY]:[PE]])</f>
        <v>6.5484331064327717E-3</v>
      </c>
      <c r="BH11" s="27">
        <f>IF(ISNUMBER(BH10),BH10*(1+PortfolioFrontier[[#This Row],[P15 Return]]),1+PortfolioFrontier[[#This Row],[P15 Return]])</f>
        <v>1.0458910388047979</v>
      </c>
      <c r="BI11" s="27">
        <f>MAX(BI10,PortfolioFrontier[[#This Row],[P15 Growth]])</f>
        <v>1.0565707777140345</v>
      </c>
      <c r="BJ11" s="27">
        <f>PortfolioFrontier[[#This Row],[P15 Growth]]/PortfolioFrontier[[#This Row],[P15 HWM]]-1</f>
        <v>-1.0107925691777098E-2</v>
      </c>
      <c r="BK11" s="28">
        <f>SUMPRODUCT(INDEX(PortfolioRef[[SPY]:[PE]],MATCH(BK$1,PortfolioRef[Reference '#]),0),AssetMonthlyReturns[[#This Row],[SPY]:[PE]])</f>
        <v>6.1990743746643037E-3</v>
      </c>
      <c r="BL11" s="27">
        <f>IF(ISNUMBER(BL10),BL10*(1+PortfolioFrontier[[#This Row],[P16 Return]]),1+PortfolioFrontier[[#This Row],[P16 Return]])</f>
        <v>1.032473857617108</v>
      </c>
      <c r="BM11" s="27">
        <f>MAX(BM10,PortfolioFrontier[[#This Row],[P16 Growth]])</f>
        <v>1.0533890222033107</v>
      </c>
      <c r="BN11" s="27">
        <f>PortfolioFrontier[[#This Row],[P16 Growth]]/PortfolioFrontier[[#This Row],[P16 HWM]]-1</f>
        <v>-1.985511918707461E-2</v>
      </c>
      <c r="BO11" s="28">
        <f>SUMPRODUCT(INDEX(PortfolioRef[[SPY]:[PE]],MATCH(BO$1,PortfolioRef[Reference '#]),0),AssetMonthlyReturns[[#This Row],[SPY]:[PE]])</f>
        <v>5.2303493232046579E-3</v>
      </c>
      <c r="BP11" s="27">
        <f>IF(ISNUMBER(BP10),BP10*(1+PortfolioFrontier[[#This Row],[P17 Return]]),1+PortfolioFrontier[[#This Row],[P17 Return]])</f>
        <v>1.0272246354243439</v>
      </c>
      <c r="BQ11" s="27">
        <f>MAX(BQ10,PortfolioFrontier[[#This Row],[P17 Growth]])</f>
        <v>1.0545105093957718</v>
      </c>
      <c r="BR11" s="27">
        <f>PortfolioFrontier[[#This Row],[P17 Growth]]/PortfolioFrontier[[#This Row],[P17 HWM]]-1</f>
        <v>-2.5875393112072986E-2</v>
      </c>
      <c r="BS11" s="28">
        <f>SUMPRODUCT(INDEX(PortfolioRef[[SPY]:[PE]],MATCH(BS$1,PortfolioRef[Reference '#]),0),AssetMonthlyReturns[[#This Row],[SPY]:[PE]])</f>
        <v>7.5188677508301049E-3</v>
      </c>
      <c r="BT11" s="27">
        <f>IF(ISNUMBER(BT10),BT10*(1+PortfolioFrontier[[#This Row],[P18 Return]]),1+PortfolioFrontier[[#This Row],[P18 Return]])</f>
        <v>1.0343999455832109</v>
      </c>
      <c r="BU11" s="27">
        <f>MAX(BU10,PortfolioFrontier[[#This Row],[P18 Growth]])</f>
        <v>1.0590343449448867</v>
      </c>
      <c r="BV11" s="27">
        <f>PortfolioFrontier[[#This Row],[P18 Growth]]/PortfolioFrontier[[#This Row],[P18 HWM]]-1</f>
        <v>-2.3261190233596962E-2</v>
      </c>
      <c r="BW11" s="28">
        <f>SUMPRODUCT(INDEX(PortfolioRef[[SPY]:[PE]],MATCH(BW$1,PortfolioRef[Reference '#]),0),AssetMonthlyReturns[[#This Row],[SPY]:[PE]])</f>
        <v>6.0221136878099834E-3</v>
      </c>
      <c r="BX11" s="27">
        <f>IF(ISNUMBER(BX10),BX10*(1+PortfolioFrontier[[#This Row],[P19 Return]]),1+PortfolioFrontier[[#This Row],[P19 Return]])</f>
        <v>1.0365367728851744</v>
      </c>
      <c r="BY11" s="27">
        <f>MAX(BY10,PortfolioFrontier[[#This Row],[P19 Growth]])</f>
        <v>1.0541568475269176</v>
      </c>
      <c r="BZ11" s="27">
        <f>PortfolioFrontier[[#This Row],[P19 Growth]]/PortfolioFrontier[[#This Row],[P19 HWM]]-1</f>
        <v>-1.6714851004459574E-2</v>
      </c>
      <c r="CA11" s="28">
        <f>SUMPRODUCT(INDEX(PortfolioRef[[SPY]:[PE]],MATCH(CA$1,PortfolioRef[Reference '#]),0),AssetMonthlyReturns[[#This Row],[SPY]:[PE]])</f>
        <v>4.2616242717450122E-3</v>
      </c>
      <c r="CB11" s="27">
        <f>IF(ISNUMBER(CB10),CB10*(1+PortfolioFrontier[[#This Row],[P20 Return]]),1+PortfolioFrontier[[#This Row],[P20 Return]])</f>
        <v>1.0219664785158624</v>
      </c>
      <c r="CC11" s="27">
        <f>MAX(CC10,PortfolioFrontier[[#This Row],[P20 Growth]])</f>
        <v>1.0556101389686692</v>
      </c>
      <c r="CD11" s="27">
        <f>PortfolioFrontier[[#This Row],[P20 Growth]]/PortfolioFrontier[[#This Row],[P20 HWM]]-1</f>
        <v>-3.187129339784156E-2</v>
      </c>
      <c r="CE11" s="28">
        <f>SUMPRODUCT(INDEX(PortfolioRef[[SPY]:[PE]],MATCH(CE$1,PortfolioRef[Reference '#]),0),AssetMonthlyReturns[[#This Row],[SPY]:[PE]])</f>
        <v>6.5501426993704592E-3</v>
      </c>
      <c r="CF11" s="27">
        <f>IF(ISNUMBER(CF10),CF10*(1+PortfolioFrontier[[#This Row],[P21 Return]]),1+PortfolioFrontier[[#This Row],[P21 Return]])</f>
        <v>1.0291336340595083</v>
      </c>
      <c r="CG11" s="27">
        <f>MAX(CG10,PortfolioFrontier[[#This Row],[P21 Growth]])</f>
        <v>1.0601565617687558</v>
      </c>
      <c r="CH11" s="27">
        <f>PortfolioFrontier[[#This Row],[P21 Growth]]/PortfolioFrontier[[#This Row],[P21 HWM]]-1</f>
        <v>-2.9262590854966852E-2</v>
      </c>
      <c r="CI11" s="28">
        <f>SUMPRODUCT(INDEX(PortfolioRef[[SPY]:[PE]],MATCH(CI$1,PortfolioRef[Reference '#]),0),AssetMonthlyReturns[[#This Row],[SPY]:[PE]])</f>
        <v>5.0533886363503377E-3</v>
      </c>
      <c r="CJ11" s="27">
        <f>IF(ISNUMBER(CJ10),CJ10*(1+PortfolioFrontier[[#This Row],[P22 Return]]),1+PortfolioFrontier[[#This Row],[P22 Return]])</f>
        <v>1.031275602193346</v>
      </c>
      <c r="CK11" s="27">
        <f>MAX(CK10,PortfolioFrontier[[#This Row],[P22 Growth]])</f>
        <v>1.0552813700947876</v>
      </c>
      <c r="CL11" s="27">
        <f>PortfolioFrontier[[#This Row],[P22 Growth]]/PortfolioFrontier[[#This Row],[P22 HWM]]-1</f>
        <v>-2.2748215387603521E-2</v>
      </c>
      <c r="CM11" s="28">
        <f>SUMPRODUCT(INDEX(PortfolioRef[[SPY]:[PE]],MATCH(CM$1,PortfolioRef[Reference '#]),0),AssetMonthlyReturns[[#This Row],[SPY]:[PE]])</f>
        <v>8.8386611269959062E-3</v>
      </c>
      <c r="CN11" s="27">
        <f>IF(ISNUMBER(CN10),CN10*(1+PortfolioFrontier[[#This Row],[P23 Return]]),1+PortfolioFrontier[[#This Row],[P23 Return]])</f>
        <v>1.0363071219446536</v>
      </c>
      <c r="CO11" s="27">
        <f>MAX(CO10,PortfolioFrontier[[#This Row],[P23 Growth]])</f>
        <v>1.0646990366599287</v>
      </c>
      <c r="CP11" s="27">
        <f>PortfolioFrontier[[#This Row],[P23 Growth]]/PortfolioFrontier[[#This Row],[P23 HWM]]-1</f>
        <v>-2.6666610692485992E-2</v>
      </c>
      <c r="CQ11" s="28">
        <f>SUMPRODUCT(INDEX(PortfolioRef[[SPY]:[PE]],MATCH(CQ$1,PortfolioRef[Reference '#]),0),AssetMonthlyReturns[[#This Row],[SPY]:[PE]])</f>
        <v>7.341907063975783E-3</v>
      </c>
      <c r="CR11" s="27">
        <f>IF(ISNUMBER(CR10),CR10*(1+PortfolioFrontier[[#This Row],[P24 Return]]),1+PortfolioFrontier[[#This Row],[P24 Return]])</f>
        <v>1.0384730482540616</v>
      </c>
      <c r="CS11" s="27">
        <f>MAX(CS10,PortfolioFrontier[[#This Row],[P24 Growth]])</f>
        <v>1.0598043609559225</v>
      </c>
      <c r="CT11" s="27">
        <f>PortfolioFrontier[[#This Row],[P24 Growth]]/PortfolioFrontier[[#This Row],[P24 HWM]]-1</f>
        <v>-2.0127594759678513E-2</v>
      </c>
      <c r="CU11" s="28">
        <f>SUMPRODUCT(INDEX(PortfolioRef[[SPY]:[PE]],MATCH(CU$1,PortfolioRef[Reference '#]),0),AssetMonthlyReturns[[#This Row],[SPY]:[PE]])</f>
        <v>5.8451530009556605E-3</v>
      </c>
      <c r="CV11" s="27">
        <f>IF(ISNUMBER(CV10),CV10*(1+PortfolioFrontier[[#This Row],[P25 Return]]),1+PortfolioFrontier[[#This Row],[P25 Return]])</f>
        <v>1.0406078578929527</v>
      </c>
      <c r="CW11" s="27">
        <f>MAX(CW10,PortfolioFrontier[[#This Row],[P25 Growth]])</f>
        <v>1.0549218660871187</v>
      </c>
      <c r="CX11" s="27">
        <f>PortfolioFrontier[[#This Row],[P25 Growth]]/PortfolioFrontier[[#This Row],[P25 HWM]]-1</f>
        <v>-1.3568785190944066E-2</v>
      </c>
      <c r="CY11" s="28">
        <f>SUMPRODUCT(INDEX(PortfolioRef[[SPY]:[PE]],MATCH(CY$1,PortfolioRef[Reference '#]),0),AssetMonthlyReturns[[#This Row],[SPY]:[PE]])</f>
        <v>5.5814176479108127E-3</v>
      </c>
      <c r="CZ11" s="27">
        <f>IF(ISNUMBER(CZ10),CZ10*(1+PortfolioFrontier[[#This Row],[P26 Return]]),1+PortfolioFrontier[[#This Row],[P26 Return]])</f>
        <v>1.0238585137734468</v>
      </c>
      <c r="DA11" s="27">
        <f>MAX(DA10,PortfolioFrontier[[#This Row],[P26 Growth]])</f>
        <v>1.0612568671363731</v>
      </c>
      <c r="DB11" s="27">
        <f>PortfolioFrontier[[#This Row],[P26 Growth]]/PortfolioFrontier[[#This Row],[P26 HWM]]-1</f>
        <v>-3.5239680911407945E-2</v>
      </c>
      <c r="DC11" s="28">
        <f>SUMPRODUCT(INDEX(PortfolioRef[[SPY]:[PE]],MATCH(DC$1,PortfolioRef[Reference '#]),0),AssetMonthlyReturns[[#This Row],[SPY]:[PE]])</f>
        <v>4.0846635848906911E-3</v>
      </c>
      <c r="DD11" s="27">
        <f>IF(ISNUMBER(DD10),DD10*(1+PortfolioFrontier[[#This Row],[P27 Return]]),1+PortfolioFrontier[[#This Row],[P27 Return]])</f>
        <v>1.026005381747803</v>
      </c>
      <c r="DE11" s="27">
        <f>MAX(DE10,PortfolioFrontier[[#This Row],[P27 Growth]])</f>
        <v>1.0563840044309512</v>
      </c>
      <c r="DF11" s="27">
        <f>PortfolioFrontier[[#This Row],[P27 Growth]]/PortfolioFrontier[[#This Row],[P27 HWM]]-1</f>
        <v>-2.8757177840374792E-2</v>
      </c>
      <c r="DG11" s="28">
        <f>SUMPRODUCT(INDEX(PortfolioRef[[SPY]:[PE]],MATCH(DG$1,PortfolioRef[Reference '#]),0),AssetMonthlyReturns[[#This Row],[SPY]:[PE]])</f>
        <v>7.8699360755362605E-3</v>
      </c>
      <c r="DH11" s="27">
        <f>IF(ISNUMBER(DH10),DH10*(1+PortfolioFrontier[[#This Row],[P28 Return]]),1+PortfolioFrontier[[#This Row],[P28 Return]])</f>
        <v>1.0310237934187878</v>
      </c>
      <c r="DI11" s="27">
        <f>MAX(DI10,PortfolioFrontier[[#This Row],[P28 Growth]])</f>
        <v>1.0658219754648834</v>
      </c>
      <c r="DJ11" s="27">
        <f>PortfolioFrontier[[#This Row],[P28 Growth]]/PortfolioFrontier[[#This Row],[P28 HWM]]-1</f>
        <v>-3.2649150465224319E-2</v>
      </c>
      <c r="DK11" s="28">
        <f>SUMPRODUCT(INDEX(PortfolioRef[[SPY]:[PE]],MATCH(DK$1,PortfolioRef[Reference '#]),0),AssetMonthlyReturns[[#This Row],[SPY]:[PE]])</f>
        <v>6.3731820125161372E-3</v>
      </c>
      <c r="DL11" s="27">
        <f>IF(ISNUMBER(DL10),DL10*(1+PortfolioFrontier[[#This Row],[P29 Return]]),1+PortfolioFrontier[[#This Row],[P29 Return]])</f>
        <v>1.0331947266093351</v>
      </c>
      <c r="DM11" s="27">
        <f>MAX(DM10,PortfolioFrontier[[#This Row],[P29 Growth]])</f>
        <v>1.0609296156065076</v>
      </c>
      <c r="DN11" s="27">
        <f>PortfolioFrontier[[#This Row],[P29 Growth]]/PortfolioFrontier[[#This Row],[P29 HWM]]-1</f>
        <v>-2.6142063138954952E-2</v>
      </c>
      <c r="DO11" s="28">
        <f>SUMPRODUCT(INDEX(PortfolioRef[[SPY]:[PE]],MATCH(DO$1,PortfolioRef[Reference '#]),0),AssetMonthlyReturns[[#This Row],[SPY]:[PE]])</f>
        <v>4.8764279494960148E-3</v>
      </c>
      <c r="DP11" s="27">
        <f>IF(ISNUMBER(DP10),DP10*(1+PortfolioFrontier[[#This Row],[P30 Return]]),1+PortfolioFrontier[[#This Row],[P30 Return]])</f>
        <v>1.0353347589385848</v>
      </c>
      <c r="DQ11" s="27">
        <f>MAX(DQ10,PortfolioFrontier[[#This Row],[P30 Growth]])</f>
        <v>1.0560494333960684</v>
      </c>
      <c r="DR11" s="27">
        <f>PortfolioFrontier[[#This Row],[P30 Growth]]/PortfolioFrontier[[#This Row],[P30 HWM]]-1</f>
        <v>-1.9615250766120695E-2</v>
      </c>
      <c r="DS11" s="28">
        <f>SUMPRODUCT(INDEX(PortfolioRef[[SPY]:[PE]],MATCH(DS$1,PortfolioRef[Reference '#]),0),AssetMonthlyReturns[[#This Row],[SPY]:[PE]])</f>
        <v>1.0158454503161706E-2</v>
      </c>
      <c r="DT11" s="27">
        <f>IF(ISNUMBER(DT10),DT10*(1+PortfolioFrontier[[#This Row],[P31 Return]]),1+PortfolioFrontier[[#This Row],[P31 Return]])</f>
        <v>1.0381952786333746</v>
      </c>
      <c r="DU11" s="27">
        <f>MAX(DU10,PortfolioFrontier[[#This Row],[P31 Growth]])</f>
        <v>1.0703831287009218</v>
      </c>
      <c r="DV11" s="27">
        <f>PortfolioFrontier[[#This Row],[P31 Growth]]/PortfolioFrontier[[#This Row],[P31 HWM]]-1</f>
        <v>-3.0071335398019761E-2</v>
      </c>
      <c r="DW11" s="28">
        <f>SUMPRODUCT(INDEX(PortfolioRef[[SPY]:[PE]],MATCH(DW$1,PortfolioRef[Reference '#]),0),AssetMonthlyReturns[[#This Row],[SPY]:[PE]])</f>
        <v>8.6617004401415842E-3</v>
      </c>
      <c r="DX11" s="27">
        <f>IF(ISNUMBER(DX10),DX10*(1+PortfolioFrontier[[#This Row],[P32 Return]]),1+PortfolioFrontier[[#This Row],[P32 Return]])</f>
        <v>1.040390376004505</v>
      </c>
      <c r="DY11" s="27">
        <f>MAX(DY10,PortfolioFrontier[[#This Row],[P32 Growth]])</f>
        <v>1.0654712464317915</v>
      </c>
      <c r="DZ11" s="27">
        <f>PortfolioFrontier[[#This Row],[P32 Growth]]/PortfolioFrontier[[#This Row],[P32 HWM]]-1</f>
        <v>-2.3539697116445879E-2</v>
      </c>
      <c r="EA11" s="28">
        <f>SUMPRODUCT(INDEX(PortfolioRef[[SPY]:[PE]],MATCH(EA$1,PortfolioRef[Reference '#]),0),AssetMonthlyReturns[[#This Row],[SPY]:[PE]])</f>
        <v>7.1649463771214618E-3</v>
      </c>
      <c r="EB11" s="27">
        <f>IF(ISNUMBER(EB10),EB10*(1+PortfolioFrontier[[#This Row],[P33 Return]]),1+PortfolioFrontier[[#This Row],[P33 Return]])</f>
        <v>1.0425543596684033</v>
      </c>
      <c r="EC11" s="27">
        <f>MAX(EC10,PortfolioFrontier[[#This Row],[P33 Growth]])</f>
        <v>1.0605715671377605</v>
      </c>
      <c r="ED11" s="27">
        <f>PortfolioFrontier[[#This Row],[P33 Growth]]/PortfolioFrontier[[#This Row],[P33 HWM]]-1</f>
        <v>-1.6988205254249378E-2</v>
      </c>
      <c r="EE11" s="28">
        <f>SUMPRODUCT(INDEX(PortfolioRef[[SPY]:[PE]],MATCH(EE$1,PortfolioRef[Reference '#]),0),AssetMonthlyReturns[[#This Row],[SPY]:[PE]])</f>
        <v>5.4957942691871934E-3</v>
      </c>
      <c r="EF11" s="27">
        <f>IF(ISNUMBER(EF10),EF10*(1+PortfolioFrontier[[#This Row],[P34 Return]]),1+PortfolioFrontier[[#This Row],[P34 Return]])</f>
        <v>1.02722819476106</v>
      </c>
      <c r="EG11" s="27">
        <f>MAX(EG10,PortfolioFrontier[[#This Row],[P34 Growth]])</f>
        <v>1.0517322201467738</v>
      </c>
      <c r="EH11" s="27">
        <f>PortfolioFrontier[[#This Row],[P34 Growth]]/PortfolioFrontier[[#This Row],[P34 HWM]]-1</f>
        <v>-2.3298730338692342E-2</v>
      </c>
      <c r="EI11" s="28">
        <f>SUMPRODUCT(INDEX(PortfolioRef[[SPY]:[PE]],MATCH(EI$1,PortfolioRef[Reference '#]),0),AssetMonthlyReturns[[#This Row],[SPY]:[PE]])</f>
        <v>4.5270692177275477E-3</v>
      </c>
      <c r="EJ11" s="27">
        <f>IF(ISNUMBER(EJ10),EJ10*(1+PortfolioFrontier[[#This Row],[P35 Return]]),1+PortfolioFrontier[[#This Row],[P35 Return]])</f>
        <v>1.0219904983067709</v>
      </c>
      <c r="EK11" s="27">
        <f>MAX(EK10,PortfolioFrontier[[#This Row],[P35 Growth]])</f>
        <v>1.0528468126652037</v>
      </c>
      <c r="EL11" s="27">
        <f>PortfolioFrontier[[#This Row],[P35 Growth]]/PortfolioFrontier[[#This Row],[P35 HWM]]-1</f>
        <v>-2.9307506075192835E-2</v>
      </c>
      <c r="EM11" s="28">
        <f>SUMPRODUCT(INDEX(PortfolioRef[[SPY]:[PE]],MATCH(EM$1,PortfolioRef[Reference '#]),0),AssetMonthlyReturns[[#This Row],[SPY]:[PE]])</f>
        <v>6.815587645352993E-3</v>
      </c>
      <c r="EN11" s="27">
        <f>IF(ISNUMBER(EN10),EN10*(1+PortfolioFrontier[[#This Row],[P36 Return]]),1+PortfolioFrontier[[#This Row],[P36 Return]])</f>
        <v>1.0291503882124433</v>
      </c>
      <c r="EO11" s="27">
        <f>MAX(EO10,PortfolioFrontier[[#This Row],[P36 Growth]])</f>
        <v>1.0573716986027815</v>
      </c>
      <c r="EP11" s="27">
        <f>PortfolioFrontier[[#This Row],[P36 Growth]]/PortfolioFrontier[[#This Row],[P36 HWM]]-1</f>
        <v>-2.6690056512416627E-2</v>
      </c>
      <c r="EQ11" s="28">
        <f>SUMPRODUCT(INDEX(PortfolioRef[[SPY]:[PE]],MATCH(EQ$1,PortfolioRef[Reference '#]),0),AssetMonthlyReturns[[#This Row],[SPY]:[PE]])</f>
        <v>5.3188335823328714E-3</v>
      </c>
      <c r="ER11" s="27">
        <f>IF(ISNUMBER(ER10),ER10*(1+PortfolioFrontier[[#This Row],[P37 Return]]),1+PortfolioFrontier[[#This Row],[P37 Return]])</f>
        <v>1.0312777803840436</v>
      </c>
      <c r="ES11" s="27">
        <f>MAX(ES10,PortfolioFrontier[[#This Row],[P37 Growth]])</f>
        <v>1.0525027234544753</v>
      </c>
      <c r="ET11" s="27">
        <f>PortfolioFrontier[[#This Row],[P37 Growth]]/PortfolioFrontier[[#This Row],[P37 HWM]]-1</f>
        <v>-2.0166164511924656E-2</v>
      </c>
      <c r="EU11" s="28">
        <f>SUMPRODUCT(INDEX(PortfolioRef[[SPY]:[PE]],MATCH(EU$1,PortfolioRef[Reference '#]),0),AssetMonthlyReturns[[#This Row],[SPY]:[PE]])</f>
        <v>3.5583441662679015E-3</v>
      </c>
      <c r="EV11" s="27">
        <f>IF(ISNUMBER(EV10),EV10*(1+PortfolioFrontier[[#This Row],[P38 Return]]),1+PortfolioFrontier[[#This Row],[P38 Return]])</f>
        <v>1.0167440184838963</v>
      </c>
      <c r="EW11" s="27">
        <f>MAX(EW10,PortfolioFrontier[[#This Row],[P38 Growth]])</f>
        <v>1.0539395781959364</v>
      </c>
      <c r="EX11" s="27">
        <f>PortfolioFrontier[[#This Row],[P38 Growth]]/PortfolioFrontier[[#This Row],[P38 HWM]]-1</f>
        <v>-3.5291928001896511E-2</v>
      </c>
      <c r="EY11" s="28">
        <f>SUMPRODUCT(INDEX(PortfolioRef[[SPY]:[PE]],MATCH(EY$1,PortfolioRef[Reference '#]),0),AssetMonthlyReturns[[#This Row],[SPY]:[PE]])</f>
        <v>5.8468625938933472E-3</v>
      </c>
      <c r="EZ11" s="27">
        <f>IF(ISNUMBER(EZ10),EZ10*(1+PortfolioFrontier[[#This Row],[P39 Return]]),1+PortfolioFrontier[[#This Row],[P39 Return]])</f>
        <v>1.0238956556214189</v>
      </c>
      <c r="FA11" s="27">
        <f>MAX(FA10,PortfolioFrontier[[#This Row],[P39 Growth]])</f>
        <v>1.0584870102730288</v>
      </c>
      <c r="FB11" s="27">
        <f>PortfolioFrontier[[#This Row],[P39 Growth]]/PortfolioFrontier[[#This Row],[P39 HWM]]-1</f>
        <v>-3.2679999202528953E-2</v>
      </c>
      <c r="FC11" s="28">
        <f>SUMPRODUCT(INDEX(PortfolioRef[[SPY]:[PE]],MATCH(FC$1,PortfolioRef[Reference '#]),0),AssetMonthlyReturns[[#This Row],[SPY]:[PE]])</f>
        <v>4.3501085308732257E-3</v>
      </c>
      <c r="FD11" s="27">
        <f>IF(ISNUMBER(FD10),FD10*(1+PortfolioFrontier[[#This Row],[P40 Return]]),1+PortfolioFrontier[[#This Row],[P40 Return]])</f>
        <v>1.0260281101394455</v>
      </c>
      <c r="FE11" s="27">
        <f>MAX(FE10,PortfolioFrontier[[#This Row],[P40 Growth]])</f>
        <v>1.0536203366814236</v>
      </c>
      <c r="FF11" s="27">
        <f>PortfolioFrontier[[#This Row],[P40 Growth]]/PortfolioFrontier[[#This Row],[P40 HWM]]-1</f>
        <v>-2.6188016291413874E-2</v>
      </c>
      <c r="FG11" s="28">
        <f>SUMPRODUCT(INDEX(PortfolioRef[[SPY]:[PE]],MATCH(FG$1,PortfolioRef[Reference '#]),0),AssetMonthlyReturns[[#This Row],[SPY]:[PE]])</f>
        <v>8.1353810215187942E-3</v>
      </c>
      <c r="FH11" s="27">
        <f>IF(ISNUMBER(FH10),FH10*(1+PortfolioFrontier[[#This Row],[P41 Return]]),1+PortfolioFrontier[[#This Row],[P41 Return]])</f>
        <v>1.0310537737642134</v>
      </c>
      <c r="FI11" s="27">
        <f>MAX(FI10,PortfolioFrontier[[#This Row],[P41 Growth]])</f>
        <v>1.0630305353889682</v>
      </c>
      <c r="FJ11" s="27">
        <f>PortfolioFrontier[[#This Row],[P41 Growth]]/PortfolioFrontier[[#This Row],[P41 HWM]]-1</f>
        <v>-3.0080755500644596E-2</v>
      </c>
      <c r="FK11" s="28">
        <f>SUMPRODUCT(INDEX(PortfolioRef[[SPY]:[PE]],MATCH(FK$1,PortfolioRef[Reference '#]),0),AssetMonthlyReturns[[#This Row],[SPY]:[PE]])</f>
        <v>6.6386269584986727E-3</v>
      </c>
      <c r="FL11" s="27">
        <f>IF(ISNUMBER(FL10),FL10*(1+PortfolioFrontier[[#This Row],[P42 Return]]),1+PortfolioFrontier[[#This Row],[P42 Return]])</f>
        <v>1.0332101265006388</v>
      </c>
      <c r="FM11" s="27">
        <f>MAX(FM10,PortfolioFrontier[[#This Row],[P42 Growth]])</f>
        <v>1.0581443952260881</v>
      </c>
      <c r="FN11" s="27">
        <f>PortfolioFrontier[[#This Row],[P42 Growth]]/PortfolioFrontier[[#This Row],[P42 HWM]]-1</f>
        <v>-2.3564145723345864E-2</v>
      </c>
      <c r="FO11" s="28">
        <f>SUMPRODUCT(INDEX(PortfolioRef[[SPY]:[PE]],MATCH(FO$1,PortfolioRef[Reference '#]),0),AssetMonthlyReturns[[#This Row],[SPY]:[PE]])</f>
        <v>5.1418728954785503E-3</v>
      </c>
      <c r="FP11" s="27">
        <f>IF(ISNUMBER(FP10),FP10*(1+PortfolioFrontier[[#This Row],[P43 Return]]),1+PortfolioFrontier[[#This Row],[P43 Return]])</f>
        <v>1.0353355364731125</v>
      </c>
      <c r="FQ11" s="27">
        <f>MAX(FQ10,PortfolioFrontier[[#This Row],[P43 Growth]])</f>
        <v>1.0532704227380636</v>
      </c>
      <c r="FR11" s="27">
        <f>PortfolioFrontier[[#This Row],[P43 Growth]]/PortfolioFrontier[[#This Row],[P43 HWM]]-1</f>
        <v>-1.7027807747917123E-2</v>
      </c>
      <c r="FS11" s="28">
        <f>SUMPRODUCT(INDEX(PortfolioRef[[SPY]:[PE]],MATCH(FS$1,PortfolioRef[Reference '#]),0),AssetMonthlyReturns[[#This Row],[SPY]:[PE]])</f>
        <v>4.8781375424337015E-3</v>
      </c>
      <c r="FT11" s="27">
        <f>IF(ISNUMBER(FT10),FT10*(1+PortfolioFrontier[[#This Row],[P44 Return]]),1+PortfolioFrontier[[#This Row],[P44 Return]])</f>
        <v>1.018632265080436</v>
      </c>
      <c r="FU11" s="27">
        <f>MAX(FU10,PortfolioFrontier[[#This Row],[P44 Growth]])</f>
        <v>1.0595804411188903</v>
      </c>
      <c r="FV11" s="27">
        <f>PortfolioFrontier[[#This Row],[P44 Growth]]/PortfolioFrontier[[#This Row],[P44 HWM]]-1</f>
        <v>-3.8645651098668798E-2</v>
      </c>
      <c r="FW11" s="28">
        <f>SUMPRODUCT(INDEX(PortfolioRef[[SPY]:[PE]],MATCH(FW$1,PortfolioRef[Reference '#]),0),AssetMonthlyReturns[[#This Row],[SPY]:[PE]])</f>
        <v>3.3813834794135795E-3</v>
      </c>
      <c r="FX11" s="27">
        <f>IF(ISNUMBER(FX10),FX10*(1+PortfolioFrontier[[#This Row],[P45 Return]]),1+PortfolioFrontier[[#This Row],[P45 Return]])</f>
        <v>1.0207695423200851</v>
      </c>
      <c r="FY11" s="27">
        <f>MAX(FY10,PortfolioFrontier[[#This Row],[P45 Growth]])</f>
        <v>1.0547160923085321</v>
      </c>
      <c r="FZ11" s="27">
        <f>PortfolioFrontier[[#This Row],[P45 Growth]]/PortfolioFrontier[[#This Row],[P45 HWM]]-1</f>
        <v>-3.2185485967267113E-2</v>
      </c>
      <c r="GA11" s="28">
        <f>SUMPRODUCT(INDEX(PortfolioRef[[SPY]:[PE]],MATCH(GA$1,PortfolioRef[Reference '#]),0),AssetMonthlyReturns[[#This Row],[SPY]:[PE]])</f>
        <v>7.1666559700591485E-3</v>
      </c>
      <c r="GB11" s="27">
        <f>IF(ISNUMBER(GB10),GB10*(1+PortfolioFrontier[[#This Row],[P46 Return]]),1+PortfolioFrontier[[#This Row],[P46 Return]])</f>
        <v>1.0257820771604775</v>
      </c>
      <c r="GC11" s="27">
        <f>MAX(GC10,PortfolioFrontier[[#This Row],[P46 Growth]])</f>
        <v>1.0641465585607095</v>
      </c>
      <c r="GD11" s="27">
        <f>PortfolioFrontier[[#This Row],[P46 Growth]]/PortfolioFrontier[[#This Row],[P46 HWM]]-1</f>
        <v>-3.6051877527209286E-2</v>
      </c>
      <c r="GE11" s="28">
        <f>SUMPRODUCT(INDEX(PortfolioRef[[SPY]:[PE]],MATCH(GE$1,PortfolioRef[Reference '#]),0),AssetMonthlyReturns[[#This Row],[SPY]:[PE]])</f>
        <v>5.669901907039027E-3</v>
      </c>
      <c r="GF11" s="27">
        <f>IF(ISNUMBER(GF10),GF10*(1+PortfolioFrontier[[#This Row],[P47 Return]]),1+PortfolioFrontier[[#This Row],[P47 Return]])</f>
        <v>1.027943358724682</v>
      </c>
      <c r="GG11" s="27">
        <f>MAX(GG10,PortfolioFrontier[[#This Row],[P47 Growth]])</f>
        <v>1.0592627300561601</v>
      </c>
      <c r="GH11" s="27">
        <f>PortfolioFrontier[[#This Row],[P47 Growth]]/PortfolioFrontier[[#This Row],[P47 HWM]]-1</f>
        <v>-2.9567141789098583E-2</v>
      </c>
      <c r="GI11" s="28">
        <f>SUMPRODUCT(INDEX(PortfolioRef[[SPY]:[PE]],MATCH(GI$1,PortfolioRef[Reference '#]),0),AssetMonthlyReturns[[#This Row],[SPY]:[PE]])</f>
        <v>4.1731478440189046E-3</v>
      </c>
      <c r="GJ11" s="27">
        <f>IF(ISNUMBER(GJ10),GJ10*(1+PortfolioFrontier[[#This Row],[P48 Return]]),1+PortfolioFrontier[[#This Row],[P48 Return]])</f>
        <v>1.0300739123750609</v>
      </c>
      <c r="GK11" s="27">
        <f>MAX(GK10,PortfolioFrontier[[#This Row],[P48 Growth]])</f>
        <v>1.0543910660392006</v>
      </c>
      <c r="GL11" s="27">
        <f>PortfolioFrontier[[#This Row],[P48 Growth]]/PortfolioFrontier[[#This Row],[P48 HWM]]-1</f>
        <v>-2.3062746306725335E-2</v>
      </c>
      <c r="GM11" s="28">
        <f>SUMPRODUCT(INDEX(PortfolioRef[[SPY]:[PE]],MATCH(GM$1,PortfolioRef[Reference '#]),0),AssetMonthlyReturns[[#This Row],[SPY]:[PE]])</f>
        <v>9.4551743976845955E-3</v>
      </c>
      <c r="GN11" s="27">
        <f>IF(ISNUMBER(GN10),GN10*(1+PortfolioFrontier[[#This Row],[P49 Return]]),1+PortfolioFrontier[[#This Row],[P49 Return]])</f>
        <v>1.0329382436002728</v>
      </c>
      <c r="GO11" s="27">
        <f>MAX(GO10,PortfolioFrontier[[#This Row],[P49 Growth]])</f>
        <v>1.0687087618578179</v>
      </c>
      <c r="GP11" s="27">
        <f>PortfolioFrontier[[#This Row],[P49 Growth]]/PortfolioFrontier[[#This Row],[P49 HWM]]-1</f>
        <v>-3.3470782250687781E-2</v>
      </c>
      <c r="GQ11" s="28">
        <f>SUMPRODUCT(INDEX(PortfolioRef[[SPY]:[PE]],MATCH(GQ$1,PortfolioRef[Reference '#]),0),AssetMonthlyReturns[[#This Row],[SPY]:[PE]])</f>
        <v>7.958420334664474E-3</v>
      </c>
      <c r="GR11" s="27">
        <f>IF(ISNUMBER(GR10),GR10*(1+PortfolioFrontier[[#This Row],[P50 Return]]),1+PortfolioFrontier[[#This Row],[P50 Return]])</f>
        <v>1.0351236288476933</v>
      </c>
      <c r="GS11" s="27">
        <f>MAX(GS10,PortfolioFrontier[[#This Row],[P50 Growth]])</f>
        <v>1.063805428401277</v>
      </c>
      <c r="GT11" s="27">
        <f>PortfolioFrontier[[#This Row],[P50 Growth]]/PortfolioFrontier[[#This Row],[P50 HWM]]-1</f>
        <v>-2.6961508926202526E-2</v>
      </c>
      <c r="GU11" s="28">
        <f>SUMPRODUCT(INDEX(PortfolioRef[[SPY]:[PE]],MATCH(GU$1,PortfolioRef[Reference '#]),0),AssetMonthlyReturns[[#This Row],[SPY]:[PE]])</f>
        <v>6.4616662716443498E-3</v>
      </c>
      <c r="GV11" s="27">
        <f>IF(ISNUMBER(GV10),GV10*(1+PortfolioFrontier[[#This Row],[P51 Return]]),1+PortfolioFrontier[[#This Row],[P51 Return]])</f>
        <v>1.0372780741302727</v>
      </c>
      <c r="GW11" s="27">
        <f>MAX(GW10,PortfolioFrontier[[#This Row],[P51 Growth]])</f>
        <v>1.0589142847594883</v>
      </c>
      <c r="GX11" s="27">
        <f>PortfolioFrontier[[#This Row],[P51 Growth]]/PortfolioFrontier[[#This Row],[P51 HWM]]-1</f>
        <v>-2.0432447593366709E-2</v>
      </c>
      <c r="GY11" s="28">
        <f>SUMPRODUCT(INDEX(PortfolioRef[[SPY]:[PE]],MATCH(GY$1,PortfolioRef[Reference '#]),0),AssetMonthlyReturns[[#This Row],[SPY]:[PE]])</f>
        <v>6.1979309185995028E-3</v>
      </c>
      <c r="GZ11" s="27">
        <f>IF(ISNUMBER(GZ10),GZ10*(1+PortfolioFrontier[[#This Row],[P52 Return]]),1+PortfolioFrontier[[#This Row],[P52 Return]])</f>
        <v>1.0205018483107446</v>
      </c>
      <c r="HA11" s="27">
        <f>MAX(HA10,PortfolioFrontier[[#This Row],[P52 Growth]])</f>
        <v>1.0652406470713773</v>
      </c>
      <c r="HB11" s="27">
        <f>PortfolioFrontier[[#This Row],[P52 Growth]]/PortfolioFrontier[[#This Row],[P52 HWM]]-1</f>
        <v>-4.1998771717575045E-2</v>
      </c>
      <c r="HC11" s="28">
        <f>SUMPRODUCT(INDEX(PortfolioRef[[SPY]:[PE]],MATCH(HC$1,PortfolioRef[Reference '#]),0),AssetMonthlyReturns[[#This Row],[SPY]:[PE]])</f>
        <v>4.7011768555793804E-3</v>
      </c>
      <c r="HD11" s="27">
        <f>IF(ISNUMBER(HD10),HD10*(1+PortfolioFrontier[[#This Row],[P53 Return]]),1+PortfolioFrontier[[#This Row],[P53 Return]])</f>
        <v>1.0226678191038259</v>
      </c>
      <c r="HE11" s="27">
        <f>MAX(HE10,PortfolioFrontier[[#This Row],[P53 Growth]])</f>
        <v>1.0603591534497043</v>
      </c>
      <c r="HF11" s="27">
        <f>PortfolioFrontier[[#This Row],[P53 Growth]]/PortfolioFrontier[[#This Row],[P53 HWM]]-1</f>
        <v>-3.5545818813612295E-2</v>
      </c>
      <c r="HG11" s="28">
        <f>SUMPRODUCT(INDEX(PortfolioRef[[SPY]:[PE]],MATCH(HG$1,PortfolioRef[Reference '#]),0),AssetMonthlyReturns[[#This Row],[SPY]:[PE]])</f>
        <v>3.204422792559258E-3</v>
      </c>
      <c r="HH11" s="27">
        <f>IF(ISNUMBER(HH10),HH10*(1+PortfolioFrontier[[#This Row],[P54 Return]]),1+PortfolioFrontier[[#This Row],[P54 Return]])</f>
        <v>1.0248032758531209</v>
      </c>
      <c r="HI11" s="27">
        <f>MAX(HI10,PortfolioFrontier[[#This Row],[P54 Growth]])</f>
        <v>1.0554898211283554</v>
      </c>
      <c r="HJ11" s="27">
        <f>PortfolioFrontier[[#This Row],[P54 Growth]]/PortfolioFrontier[[#This Row],[P54 HWM]]-1</f>
        <v>-2.9073274475001076E-2</v>
      </c>
      <c r="HK11" s="28">
        <f>SUMPRODUCT(INDEX(PortfolioRef[[SPY]:[PE]],MATCH(HK$1,PortfolioRef[Reference '#]),0),AssetMonthlyReturns[[#This Row],[SPY]:[PE]])</f>
        <v>8.4864493462249498E-3</v>
      </c>
      <c r="HL11" s="27">
        <f>IF(ISNUMBER(HL10),HL10*(1+PortfolioFrontier[[#This Row],[P55 Return]]),1+PortfolioFrontier[[#This Row],[P55 Return]])</f>
        <v>1.0276496557822812</v>
      </c>
      <c r="HM11" s="27">
        <f>MAX(HM10,PortfolioFrontier[[#This Row],[P55 Growth]])</f>
        <v>1.0698254888807313</v>
      </c>
      <c r="HN11" s="27">
        <f>PortfolioFrontier[[#This Row],[P55 Growth]]/PortfolioFrontier[[#This Row],[P55 HWM]]-1</f>
        <v>-3.9423096137459868E-2</v>
      </c>
      <c r="HO11" s="28">
        <f>SUMPRODUCT(INDEX(PortfolioRef[[SPY]:[PE]],MATCH(HO$1,PortfolioRef[Reference '#]),0),AssetMonthlyReturns[[#This Row],[SPY]:[PE]])</f>
        <v>6.9896952832048283E-3</v>
      </c>
      <c r="HP11" s="27">
        <f>IF(ISNUMBER(HP10),HP10*(1+PortfolioFrontier[[#This Row],[P56 Return]]),1+PortfolioFrontier[[#This Row],[P56 Return]])</f>
        <v>1.0298398356870926</v>
      </c>
      <c r="HQ11" s="27">
        <f>MAX(HQ10,PortfolioFrontier[[#This Row],[P56 Growth]])</f>
        <v>1.06492447718415</v>
      </c>
      <c r="HR11" s="27">
        <f>PortfolioFrontier[[#This Row],[P56 Growth]]/PortfolioFrontier[[#This Row],[P56 HWM]]-1</f>
        <v>-3.2945661639619206E-2</v>
      </c>
      <c r="HS11" s="28">
        <f>SUMPRODUCT(INDEX(PortfolioRef[[SPY]:[PE]],MATCH(HS$1,PortfolioRef[Reference '#]),0),AssetMonthlyReturns[[#This Row],[SPY]:[PE]])</f>
        <v>5.4929412201847041E-3</v>
      </c>
      <c r="HT11" s="27">
        <f>IF(ISNUMBER(HT10),HT10*(1+PortfolioFrontier[[#This Row],[P57 Return]]),1+PortfolioFrontier[[#This Row],[P57 Return]])</f>
        <v>1.0319992909384286</v>
      </c>
      <c r="HU11" s="27">
        <f>MAX(HU10,PortfolioFrontier[[#This Row],[P57 Growth]])</f>
        <v>1.0600356521150558</v>
      </c>
      <c r="HV11" s="27">
        <f>PortfolioFrontier[[#This Row],[P57 Growth]]/PortfolioFrontier[[#This Row],[P57 HWM]]-1</f>
        <v>-2.6448507765457818E-2</v>
      </c>
      <c r="HW11" s="28">
        <f>SUMPRODUCT(INDEX(PortfolioRef[[SPY]:[PE]],MATCH(HW$1,PortfolioRef[Reference '#]),0),AssetMonthlyReturns[[#This Row],[SPY]:[PE]])</f>
        <v>1.0774967773850395E-2</v>
      </c>
      <c r="HX11" s="27">
        <f>IF(ISNUMBER(HX10),HX10*(1+PortfolioFrontier[[#This Row],[P58 Return]]),1+PortfolioFrontier[[#This Row],[P58 Return]])</f>
        <v>1.0348036904911873</v>
      </c>
      <c r="HY11" s="27">
        <f>MAX(HY10,PortfolioFrontier[[#This Row],[P58 Growth]])</f>
        <v>1.0744064093618175</v>
      </c>
      <c r="HZ11" s="27">
        <f>PortfolioFrontier[[#This Row],[P58 Growth]]/PortfolioFrontier[[#This Row],[P58 HWM]]-1</f>
        <v>-3.6860091791665495E-2</v>
      </c>
      <c r="IA11" s="28">
        <f>SUMPRODUCT(INDEX(PortfolioRef[[SPY]:[PE]],MATCH(IA$1,PortfolioRef[Reference '#]),0),AssetMonthlyReturns[[#This Row],[SPY]:[PE]])</f>
        <v>9.2782137108302735E-3</v>
      </c>
      <c r="IB11" s="27">
        <f>IF(ISNUMBER(IB10),IB10*(1+PortfolioFrontier[[#This Row],[P59 Return]]),1+PortfolioFrontier[[#This Row],[P59 Return]])</f>
        <v>1.0370181792538502</v>
      </c>
      <c r="IC11" s="27">
        <f>MAX(IC10,PortfolioFrontier[[#This Row],[P59 Growth]])</f>
        <v>1.0694858543325274</v>
      </c>
      <c r="ID11" s="27">
        <f>PortfolioFrontier[[#This Row],[P59 Growth]]/PortfolioFrontier[[#This Row],[P59 HWM]]-1</f>
        <v>-3.0358208990936553E-2</v>
      </c>
      <c r="IE11" s="28">
        <f>SUMPRODUCT(INDEX(PortfolioRef[[SPY]:[PE]],MATCH(IE$1,PortfolioRef[Reference '#]),0),AssetMonthlyReturns[[#This Row],[SPY]:[PE]])</f>
        <v>7.7814596478101511E-3</v>
      </c>
      <c r="IF11" s="27">
        <f>IF(ISNUMBER(IF10),IF10*(1+PortfolioFrontier[[#This Row],[P60 Return]]),1+PortfolioFrontier[[#This Row],[P60 Return]])</f>
        <v>1.0392017321526987</v>
      </c>
      <c r="IG11" s="27">
        <f>MAX(IG10,PortfolioFrontier[[#This Row],[P60 Growth]])</f>
        <v>1.0645775112578868</v>
      </c>
      <c r="IH11" s="27">
        <f>PortfolioFrontier[[#This Row],[P60 Growth]]/PortfolioFrontier[[#This Row],[P60 HWM]]-1</f>
        <v>-2.3836478637618841E-2</v>
      </c>
      <c r="II11" s="28">
        <f>SUMPRODUCT(INDEX(PortfolioRef[[SPY]:[PE]],MATCH(II$1,PortfolioRef[Reference '#]),0),AssetMonthlyReturns[[#This Row],[SPY]:[PE]])</f>
        <v>4.7925141637100814E-3</v>
      </c>
      <c r="IJ11" s="27">
        <f>IF(ISNUMBER(IJ10),IJ10*(1+PortfolioFrontier[[#This Row],[P61 Return]]),1+PortfolioFrontier[[#This Row],[P61 Return]])</f>
        <v>1.0219934239651998</v>
      </c>
      <c r="IK11" s="27">
        <f>MAX(IK10,PortfolioFrontier[[#This Row],[P61 Growth]])</f>
        <v>1.0500729073544264</v>
      </c>
      <c r="IL11" s="27">
        <f>PortfolioFrontier[[#This Row],[P61 Growth]]/PortfolioFrontier[[#This Row],[P61 HWM]]-1</f>
        <v>-2.6740508390003748E-2</v>
      </c>
      <c r="IM11" s="28">
        <f>SUMPRODUCT(INDEX(PortfolioRef[[SPY]:[PE]],MATCH(IM$1,PortfolioRef[Reference '#]),0),AssetMonthlyReturns[[#This Row],[SPY]:[PE]])</f>
        <v>3.8237891122504361E-3</v>
      </c>
      <c r="IN11" s="27">
        <f>IF(ISNUMBER(IN10),IN10*(1+PortfolioFrontier[[#This Row],[P62 Return]]),1+PortfolioFrontier[[#This Row],[P62 Return]])</f>
        <v>1.0167672998263591</v>
      </c>
      <c r="IO11" s="27">
        <f>MAX(IO10,PortfolioFrontier[[#This Row],[P62 Growth]])</f>
        <v>1.0511806263791883</v>
      </c>
      <c r="IP11" s="27">
        <f>PortfolioFrontier[[#This Row],[P62 Growth]]/PortfolioFrontier[[#This Row],[P62 HWM]]-1</f>
        <v>-3.2737786151335935E-2</v>
      </c>
      <c r="IQ11" s="28">
        <f>SUMPRODUCT(INDEX(PortfolioRef[[SPY]:[PE]],MATCH(IQ$1,PortfolioRef[Reference '#]),0),AssetMonthlyReturns[[#This Row],[SPY]:[PE]])</f>
        <v>6.1123075398758827E-3</v>
      </c>
      <c r="IR11" s="27">
        <f>IF(ISNUMBER(IR10),IR10*(1+PortfolioFrontier[[#This Row],[P63 Return]]),1+PortfolioFrontier[[#This Row],[P63 Return]])</f>
        <v>1.0239117134401456</v>
      </c>
      <c r="IS11" s="27">
        <f>MAX(IS10,PortfolioFrontier[[#This Row],[P63 Growth]])</f>
        <v>1.0557065393895038</v>
      </c>
      <c r="IT11" s="27">
        <f>PortfolioFrontier[[#This Row],[P63 Growth]]/PortfolioFrontier[[#This Row],[P63 HWM]]-1</f>
        <v>-3.0117106187240728E-2</v>
      </c>
      <c r="IU11" s="28">
        <f>SUMPRODUCT(INDEX(PortfolioRef[[SPY]:[PE]],MATCH(IU$1,PortfolioRef[Reference '#]),0),AssetMonthlyReturns[[#This Row],[SPY]:[PE]])</f>
        <v>4.6155534768557611E-3</v>
      </c>
      <c r="IV11" s="27">
        <f>IF(ISNUMBER(IV10),IV10*(1+PortfolioFrontier[[#This Row],[P64 Return]]),1+PortfolioFrontier[[#This Row],[P64 Return]])</f>
        <v>1.0260296794132395</v>
      </c>
      <c r="IW11" s="27">
        <f>MAX(IW10,PortfolioFrontier[[#This Row],[P64 Growth]])</f>
        <v>1.0508460829243347</v>
      </c>
      <c r="IX11" s="27">
        <f>PortfolioFrontier[[#This Row],[P64 Growth]]/PortfolioFrontier[[#This Row],[P64 HWM]]-1</f>
        <v>-2.3615640686441064E-2</v>
      </c>
      <c r="IY11" s="28">
        <f>SUMPRODUCT(INDEX(PortfolioRef[[SPY]:[PE]],MATCH(IY$1,PortfolioRef[Reference '#]),0),AssetMonthlyReturns[[#This Row],[SPY]:[PE]])</f>
        <v>2.8550640607907904E-3</v>
      </c>
      <c r="IZ11" s="27">
        <f>IF(ISNUMBER(IZ10),IZ10*(1+PortfolioFrontier[[#This Row],[P65 Return]]),1+PortfolioFrontier[[#This Row],[P65 Return]])</f>
        <v>1.0115325428349875</v>
      </c>
      <c r="JA11" s="27">
        <f>MAX(JA10,PortfolioFrontier[[#This Row],[P65 Growth]])</f>
        <v>1.0522665490481187</v>
      </c>
      <c r="JB11" s="27">
        <f>PortfolioFrontier[[#This Row],[P65 Growth]]/PortfolioFrontier[[#This Row],[P65 HWM]]-1</f>
        <v>-3.8710729947634692E-2</v>
      </c>
      <c r="JC11" s="28">
        <f>SUMPRODUCT(INDEX(PortfolioRef[[SPY]:[PE]],MATCH(JC$1,PortfolioRef[Reference '#]),0),AssetMonthlyReturns[[#This Row],[SPY]:[PE]])</f>
        <v>5.143582488416237E-3</v>
      </c>
      <c r="JD11" s="27">
        <f>IF(ISNUMBER(JD10),JD10*(1+PortfolioFrontier[[#This Row],[P66 Return]]),1+PortfolioFrontier[[#This Row],[P66 Return]])</f>
        <v>1.01866860611904</v>
      </c>
      <c r="JE11" s="27">
        <f>MAX(JE10,PortfolioFrontier[[#This Row],[P66 Growth]])</f>
        <v>1.0568149670864915</v>
      </c>
      <c r="JF11" s="27">
        <f>PortfolioFrontier[[#This Row],[P66 Growth]]/PortfolioFrontier[[#This Row],[P66 HWM]]-1</f>
        <v>-3.6095591144603367E-2</v>
      </c>
      <c r="JG11" s="28">
        <f>SUMPRODUCT(INDEX(PortfolioRef[[SPY]:[PE]],MATCH(JG$1,PortfolioRef[Reference '#]),0),AssetMonthlyReturns[[#This Row],[SPY]:[PE]])</f>
        <v>3.646828425396115E-3</v>
      </c>
      <c r="JH11" s="27">
        <f>IF(ISNUMBER(JH10),JH10*(1+PortfolioFrontier[[#This Row],[P67 Return]]),1+PortfolioFrontier[[#This Row],[P67 Return]])</f>
        <v>1.0207915565622654</v>
      </c>
      <c r="JI11" s="27">
        <f>MAX(JI10,PortfolioFrontier[[#This Row],[P67 Growth]])</f>
        <v>1.0519568079907244</v>
      </c>
      <c r="JJ11" s="27">
        <f>PortfolioFrontier[[#This Row],[P67 Growth]]/PortfolioFrontier[[#This Row],[P67 HWM]]-1</f>
        <v>-2.9625980070404068E-2</v>
      </c>
      <c r="JK11" s="28">
        <f>SUMPRODUCT(INDEX(PortfolioRef[[SPY]:[PE]],MATCH(JK$1,PortfolioRef[Reference '#]),0),AssetMonthlyReturns[[#This Row],[SPY]:[PE]])</f>
        <v>7.432100916041684E-3</v>
      </c>
      <c r="JL11" s="27">
        <f>IF(ISNUMBER(JL10),JL10*(1+PortfolioFrontier[[#This Row],[P68 Return]]),1+PortfolioFrontier[[#This Row],[P68 Return]])</f>
        <v>1.0258112984743153</v>
      </c>
      <c r="JM11" s="27">
        <f>MAX(JM10,PortfolioFrontier[[#This Row],[P68 Growth]])</f>
        <v>1.0613595191114715</v>
      </c>
      <c r="JN11" s="27">
        <f>PortfolioFrontier[[#This Row],[P68 Growth]]/PortfolioFrontier[[#This Row],[P68 HWM]]-1</f>
        <v>-3.3493100120226771E-2</v>
      </c>
      <c r="JO11" s="28">
        <f>SUMPRODUCT(INDEX(PortfolioRef[[SPY]:[PE]],MATCH(JO$1,PortfolioRef[Reference '#]),0),AssetMonthlyReturns[[#This Row],[SPY]:[PE]])</f>
        <v>5.9353468530215607E-3</v>
      </c>
      <c r="JP11" s="27">
        <f>IF(ISNUMBER(JP10),JP10*(1+PortfolioFrontier[[#This Row],[P69 Return]]),1+PortfolioFrontier[[#This Row],[P69 Return]])</f>
        <v>1.0279580869250287</v>
      </c>
      <c r="JQ11" s="27">
        <f>MAX(JQ10,PortfolioFrontier[[#This Row],[P69 Growth]])</f>
        <v>1.0564819109031929</v>
      </c>
      <c r="JR11" s="27">
        <f>PortfolioFrontier[[#This Row],[P69 Growth]]/PortfolioFrontier[[#This Row],[P69 HWM]]-1</f>
        <v>-2.6998875876425577E-2</v>
      </c>
      <c r="JS11" s="28">
        <f>SUMPRODUCT(INDEX(PortfolioRef[[SPY]:[PE]],MATCH(JS$1,PortfolioRef[Reference '#]),0),AssetMonthlyReturns[[#This Row],[SPY]:[PE]])</f>
        <v>4.4385927900014383E-3</v>
      </c>
      <c r="JT11" s="27">
        <f>IF(ISNUMBER(JT10),JT10*(1+PortfolioFrontier[[#This Row],[P70 Return]]),1+PortfolioFrontier[[#This Row],[P70 Return]])</f>
        <v>1.0300741059276606</v>
      </c>
      <c r="JU11" s="27">
        <f>MAX(JU10,PortfolioFrontier[[#This Row],[P70 Growth]])</f>
        <v>1.051616457209422</v>
      </c>
      <c r="JV11" s="27">
        <f>PortfolioFrontier[[#This Row],[P70 Growth]]/PortfolioFrontier[[#This Row],[P70 HWM]]-1</f>
        <v>-2.0484988737173637E-2</v>
      </c>
      <c r="JW11" s="28">
        <f>SUMPRODUCT(INDEX(PortfolioRef[[SPY]:[PE]],MATCH(JW$1,PortfolioRef[Reference '#]),0),AssetMonthlyReturns[[#This Row],[SPY]:[PE]])</f>
        <v>4.1748574369565904E-3</v>
      </c>
      <c r="JX11" s="27">
        <f>IF(ISNUMBER(JX10),JX10*(1+PortfolioFrontier[[#This Row],[P71 Return]]),1+PortfolioFrontier[[#This Row],[P71 Return]])</f>
        <v>1.0134169908319981</v>
      </c>
      <c r="JY11" s="27">
        <f>MAX(JY10,PortfolioFrontier[[#This Row],[P71 Growth]])</f>
        <v>1.0579015445909599</v>
      </c>
      <c r="JZ11" s="27">
        <f>PortfolioFrontier[[#This Row],[P71 Growth]]/PortfolioFrontier[[#This Row],[P71 HWM]]-1</f>
        <v>-4.2049805094255599E-2</v>
      </c>
      <c r="KA11" s="28">
        <f>SUMPRODUCT(INDEX(PortfolioRef[[SPY]:[PE]],MATCH(KA$1,PortfolioRef[Reference '#]),0),AssetMonthlyReturns[[#This Row],[SPY]:[PE]])</f>
        <v>2.6781033739364684E-3</v>
      </c>
      <c r="KB11" s="27">
        <f>IF(ISNUMBER(KB10),KB10*(1+PortfolioFrontier[[#This Row],[P72 Return]]),1+PortfolioFrontier[[#This Row],[P72 Return]])</f>
        <v>1.0155446874818044</v>
      </c>
      <c r="KC11" s="27">
        <f>MAX(KC10,PortfolioFrontier[[#This Row],[P72 Growth]])</f>
        <v>1.0530457060891405</v>
      </c>
      <c r="KD11" s="27">
        <f>PortfolioFrontier[[#This Row],[P72 Growth]]/PortfolioFrontier[[#This Row],[P72 HWM]]-1</f>
        <v>-3.5611957192826393E-2</v>
      </c>
      <c r="KE11" s="28">
        <f>SUMPRODUCT(INDEX(PortfolioRef[[SPY]:[PE]],MATCH(KE$1,PortfolioRef[Reference '#]),0),AssetMonthlyReturns[[#This Row],[SPY]:[PE]])</f>
        <v>6.4633758645820383E-3</v>
      </c>
      <c r="KF11" s="27">
        <f>IF(ISNUMBER(KF10),KF10*(1+PortfolioFrontier[[#This Row],[P73 Return]]),1+PortfolioFrontier[[#This Row],[P73 Return]])</f>
        <v>1.0205512798905061</v>
      </c>
      <c r="KG11" s="27">
        <f>MAX(KG10,PortfolioFrontier[[#This Row],[P73 Growth]])</f>
        <v>1.0624686478303629</v>
      </c>
      <c r="KH11" s="27">
        <f>PortfolioFrontier[[#This Row],[P73 Growth]]/PortfolioFrontier[[#This Row],[P73 HWM]]-1</f>
        <v>-3.9452804584356516E-2</v>
      </c>
      <c r="KI11" s="28">
        <f>SUMPRODUCT(INDEX(PortfolioRef[[SPY]:[PE]],MATCH(KI$1,PortfolioRef[Reference '#]),0),AssetMonthlyReturns[[#This Row],[SPY]:[PE]])</f>
        <v>4.966621801561915E-3</v>
      </c>
      <c r="KJ11" s="27">
        <f>IF(ISNUMBER(KJ10),KJ10*(1+PortfolioFrontier[[#This Row],[P74 Return]]),1+PortfolioFrontier[[#This Row],[P74 Return]])</f>
        <v>1.0227029197234672</v>
      </c>
      <c r="KK11" s="27">
        <f>MAX(KK10,PortfolioFrontier[[#This Row],[P74 Growth]])</f>
        <v>1.0575933470931147</v>
      </c>
      <c r="KL11" s="27">
        <f>PortfolioFrontier[[#This Row],[P74 Growth]]/PortfolioFrontier[[#This Row],[P74 HWM]]-1</f>
        <v>-3.2990399821960725E-2</v>
      </c>
      <c r="KM11" s="28">
        <f>SUMPRODUCT(INDEX(PortfolioRef[[SPY]:[PE]],MATCH(KM$1,PortfolioRef[Reference '#]),0),AssetMonthlyReturns[[#This Row],[SPY]:[PE]])</f>
        <v>3.4698677385417926E-3</v>
      </c>
      <c r="KN11" s="27">
        <f>IF(ISNUMBER(KN10),KN10*(1+PortfolioFrontier[[#This Row],[P75 Return]]),1+PortfolioFrontier[[#This Row],[P75 Return]])</f>
        <v>1.0248240040028813</v>
      </c>
      <c r="KO11" s="27">
        <f>MAX(KO10,PortfolioFrontier[[#This Row],[P75 Growth]])</f>
        <v>1.0527301976831096</v>
      </c>
      <c r="KP11" s="27">
        <f>PortfolioFrontier[[#This Row],[P75 Growth]]/PortfolioFrontier[[#This Row],[P75 HWM]]-1</f>
        <v>-2.6508400482521899E-2</v>
      </c>
      <c r="KQ11" s="28">
        <f>SUMPRODUCT(INDEX(PortfolioRef[[SPY]:[PE]],MATCH(KQ$1,PortfolioRef[Reference '#]),0),AssetMonthlyReturns[[#This Row],[SPY]:[PE]])</f>
        <v>8.7518942922074835E-3</v>
      </c>
      <c r="KR11" s="27">
        <f>IF(ISNUMBER(KR10),KR10*(1+PortfolioFrontier[[#This Row],[P76 Return]]),1+PortfolioFrontier[[#This Row],[P76 Return]])</f>
        <v>1.0276920715039997</v>
      </c>
      <c r="KS11" s="27">
        <f>MAX(KS10,PortfolioFrontier[[#This Row],[P76 Growth]])</f>
        <v>1.0670318778728161</v>
      </c>
      <c r="KT11" s="27">
        <f>PortfolioFrontier[[#This Row],[P76 Growth]]/PortfolioFrontier[[#This Row],[P76 HWM]]-1</f>
        <v>-3.6868445249491844E-2</v>
      </c>
      <c r="KU11" s="28">
        <f>SUMPRODUCT(INDEX(PortfolioRef[[SPY]:[PE]],MATCH(KU$1,PortfolioRef[Reference '#]),0),AssetMonthlyReturns[[#This Row],[SPY]:[PE]])</f>
        <v>7.255140229187362E-3</v>
      </c>
      <c r="KV11" s="27">
        <f>IF(ISNUMBER(KV10),KV10*(1+PortfolioFrontier[[#This Row],[P77 Return]]),1+PortfolioFrontier[[#This Row],[P77 Return]])</f>
        <v>1.0298677542696142</v>
      </c>
      <c r="KW11" s="27">
        <f>MAX(KW10,PortfolioFrontier[[#This Row],[P77 Growth]])</f>
        <v>1.062137089642339</v>
      </c>
      <c r="KX11" s="27">
        <f>PortfolioFrontier[[#This Row],[P77 Growth]]/PortfolioFrontier[[#This Row],[P77 HWM]]-1</f>
        <v>-3.0381516366772443E-2</v>
      </c>
      <c r="KY11" s="28">
        <f>SUMPRODUCT(INDEX(PortfolioRef[[SPY]:[PE]],MATCH(KY$1,PortfolioRef[Reference '#]),0),AssetMonthlyReturns[[#This Row],[SPY]:[PE]])</f>
        <v>5.7583861661672396E-3</v>
      </c>
      <c r="KZ11" s="27">
        <f>IF(ISNUMBER(KZ10),KZ10*(1+PortfolioFrontier[[#This Row],[P78 Return]]),1+PortfolioFrontier[[#This Row],[P78 Return]])</f>
        <v>1.0320126702235681</v>
      </c>
      <c r="LA11" s="27">
        <f>MAX(LA10,PortfolioFrontier[[#This Row],[P78 Growth]])</f>
        <v>1.0572544780662676</v>
      </c>
      <c r="LB11" s="27">
        <f>PortfolioFrontier[[#This Row],[P78 Growth]]/PortfolioFrontier[[#This Row],[P78 HWM]]-1</f>
        <v>-2.3874864913192018E-2</v>
      </c>
      <c r="LC11" s="28">
        <f>SUMPRODUCT(INDEX(PortfolioRef[[SPY]:[PE]],MATCH(LC$1,PortfolioRef[Reference '#]),0),AssetMonthlyReturns[[#This Row],[SPY]:[PE]])</f>
        <v>5.4946508131223917E-3</v>
      </c>
      <c r="LD11" s="27">
        <f>IF(ISNUMBER(LD10),LD10*(1+PortfolioFrontier[[#This Row],[P79 Return]]),1+PortfolioFrontier[[#This Row],[P79 Return]])</f>
        <v>1.0152828785114254</v>
      </c>
      <c r="LE11" s="27">
        <f>MAX(LE10,PortfolioFrontier[[#This Row],[P79 Growth]])</f>
        <v>1.063555872520046</v>
      </c>
      <c r="LF11" s="27">
        <f>PortfolioFrontier[[#This Row],[P79 Growth]]/PortfolioFrontier[[#This Row],[P79 HWM]]-1</f>
        <v>-4.5388300940165993E-2</v>
      </c>
      <c r="LG11" s="28">
        <f>SUMPRODUCT(INDEX(PortfolioRef[[SPY]:[PE]],MATCH(LG$1,PortfolioRef[Reference '#]),0),AssetMonthlyReturns[[#This Row],[SPY]:[PE]])</f>
        <v>3.9978967501022693E-3</v>
      </c>
      <c r="LH11" s="27">
        <f>IF(ISNUMBER(LH10),LH10*(1+PortfolioFrontier[[#This Row],[P80 Return]]),1+PortfolioFrontier[[#This Row],[P80 Return]])</f>
        <v>1.0174391314886491</v>
      </c>
      <c r="LI11" s="27">
        <f>MAX(LI10,PortfolioFrontier[[#This Row],[P80 Growth]])</f>
        <v>1.058682902478375</v>
      </c>
      <c r="LJ11" s="27">
        <f>PortfolioFrontier[[#This Row],[P80 Growth]]/PortfolioFrontier[[#This Row],[P80 HWM]]-1</f>
        <v>-3.8957624509826649E-2</v>
      </c>
      <c r="LK11" s="28">
        <f>SUMPRODUCT(INDEX(PortfolioRef[[SPY]:[PE]],MATCH(LK$1,PortfolioRef[Reference '#]),0),AssetMonthlyReturns[[#This Row],[SPY]:[PE]])</f>
        <v>2.5011426870821469E-3</v>
      </c>
      <c r="LL11" s="27">
        <f>IF(ISNUMBER(LL10),LL10*(1+PortfolioFrontier[[#This Row],[P81 Return]]),1+PortfolioFrontier[[#This Row],[P81 Return]])</f>
        <v>1.01956504183112</v>
      </c>
      <c r="LM11" s="27">
        <f>MAX(LM10,PortfolioFrontier[[#This Row],[P81 Growth]])</f>
        <v>1.0538220805766811</v>
      </c>
      <c r="LN11" s="27">
        <f>PortfolioFrontier[[#This Row],[P81 Growth]]/PortfolioFrontier[[#This Row],[P81 HWM]]-1</f>
        <v>-3.2507421676735815E-2</v>
      </c>
      <c r="LO11" s="28">
        <f>SUMPRODUCT(INDEX(PortfolioRef[[SPY]:[PE]],MATCH(LO$1,PortfolioRef[Reference '#]),0),AssetMonthlyReturns[[#This Row],[SPY]:[PE]])</f>
        <v>7.7831692407478378E-3</v>
      </c>
      <c r="LP11" s="27">
        <f>IF(ISNUMBER(LP10),LP10*(1+PortfolioFrontier[[#This Row],[P82 Return]]),1+PortfolioFrontier[[#This Row],[P82 Return]])</f>
        <v>1.022415214249708</v>
      </c>
      <c r="LQ11" s="27">
        <f>MAX(LQ10,PortfolioFrontier[[#This Row],[P82 Growth]])</f>
        <v>1.0681416999632878</v>
      </c>
      <c r="LR11" s="27">
        <f>PortfolioFrontier[[#This Row],[P82 Growth]]/PortfolioFrontier[[#This Row],[P82 HWM]]-1</f>
        <v>-4.2809381672067826E-2</v>
      </c>
      <c r="LS11" s="28">
        <f>SUMPRODUCT(INDEX(PortfolioRef[[SPY]:[PE]],MATCH(LS$1,PortfolioRef[Reference '#]),0),AssetMonthlyReturns[[#This Row],[SPY]:[PE]])</f>
        <v>6.2864151777277163E-3</v>
      </c>
      <c r="LT11" s="27">
        <f>IF(ISNUMBER(LT10),LT10*(1+PortfolioFrontier[[#This Row],[P83 Return]]),1+PortfolioFrontier[[#This Row],[P83 Return]])</f>
        <v>1.0245956146597945</v>
      </c>
      <c r="LU11" s="27">
        <f>MAX(LU10,PortfolioFrontier[[#This Row],[P83 Growth]])</f>
        <v>1.0632492293054709</v>
      </c>
      <c r="LV11" s="27">
        <f>PortfolioFrontier[[#This Row],[P83 Growth]]/PortfolioFrontier[[#This Row],[P83 HWM]]-1</f>
        <v>-3.6354237163120695E-2</v>
      </c>
      <c r="LW11" s="28">
        <f>SUMPRODUCT(INDEX(PortfolioRef[[SPY]:[PE]],MATCH(LW$1,PortfolioRef[Reference '#]),0),AssetMonthlyReturns[[#This Row],[SPY]:[PE]])</f>
        <v>4.7896611147075939E-3</v>
      </c>
      <c r="LX11" s="27">
        <f>IF(ISNUMBER(LX10),LX10*(1+PortfolioFrontier[[#This Row],[P84 Return]]),1+PortfolioFrontier[[#This Row],[P84 Return]])</f>
        <v>1.0267454626126391</v>
      </c>
      <c r="LY11" s="27">
        <f>MAX(LY10,PortfolioFrontier[[#This Row],[P84 Growth]])</f>
        <v>1.0583689321147942</v>
      </c>
      <c r="LZ11" s="27">
        <f>PortfolioFrontier[[#This Row],[P84 Growth]]/PortfolioFrontier[[#This Row],[P84 HWM]]-1</f>
        <v>-2.9879438580048157E-2</v>
      </c>
      <c r="MA11" s="28">
        <f>SUMPRODUCT(INDEX(PortfolioRef[[SPY]:[PE]],MATCH(MA$1,PortfolioRef[Reference '#]),0),AssetMonthlyReturns[[#This Row],[SPY]:[PE]])</f>
        <v>1.0071687668373285E-2</v>
      </c>
      <c r="MB11" s="27">
        <f>IF(ISNUMBER(MB10),MB10*(1+PortfolioFrontier[[#This Row],[P85 Return]]),1+PortfolioFrontier[[#This Row],[P85 Return]])</f>
        <v>1.0295539255483104</v>
      </c>
      <c r="MC11" s="27">
        <f>MAX(MC10,PortfolioFrontier[[#This Row],[P85 Growth]])</f>
        <v>1.0727236470260215</v>
      </c>
      <c r="MD11" s="27">
        <f>PortfolioFrontier[[#This Row],[P85 Growth]]/PortfolioFrontier[[#This Row],[P85 HWM]]-1</f>
        <v>-4.0243096716841564E-2</v>
      </c>
      <c r="ME11" s="28">
        <f>SUMPRODUCT(INDEX(PortfolioRef[[SPY]:[PE]],MATCH(ME$1,PortfolioRef[Reference '#]),0),AssetMonthlyReturns[[#This Row],[SPY]:[PE]])</f>
        <v>8.5749336053531633E-3</v>
      </c>
      <c r="MF11" s="27">
        <f>IF(ISNUMBER(MF10),MF10*(1+PortfolioFrontier[[#This Row],[P86 Return]]),1+PortfolioFrontier[[#This Row],[P86 Return]])</f>
        <v>1.0317585735291475</v>
      </c>
      <c r="MG11" s="27">
        <f>MAX(MG10,PortfolioFrontier[[#This Row],[P86 Growth]])</f>
        <v>1.0678116504942585</v>
      </c>
      <c r="MH11" s="27">
        <f>PortfolioFrontier[[#This Row],[P86 Growth]]/PortfolioFrontier[[#This Row],[P86 HWM]]-1</f>
        <v>-3.3763517141270349E-2</v>
      </c>
      <c r="MI11" s="28">
        <f>SUMPRODUCT(INDEX(PortfolioRef[[SPY]:[PE]],MATCH(MI$1,PortfolioRef[Reference '#]),0),AssetMonthlyReturns[[#This Row],[SPY]:[PE]])</f>
        <v>7.0781795423330409E-3</v>
      </c>
      <c r="MJ11" s="27">
        <f>IF(ISNUMBER(MJ10),MJ10*(1+PortfolioFrontier[[#This Row],[P87 Return]]),1+PortfolioFrontier[[#This Row],[P87 Return]])</f>
        <v>1.0339324586305065</v>
      </c>
      <c r="MK11" s="27">
        <f>MAX(MK10,PortfolioFrontier[[#This Row],[P87 Growth]])</f>
        <v>1.0629118527567989</v>
      </c>
      <c r="ML11" s="27">
        <f>PortfolioFrontier[[#This Row],[P87 Growth]]/PortfolioFrontier[[#This Row],[P87 HWM]]-1</f>
        <v>-2.7264155584614591E-2</v>
      </c>
      <c r="MM11" s="28">
        <f>SUMPRODUCT(INDEX(PortfolioRef[[SPY]:[PE]],MATCH(MM$1,PortfolioRef[Reference '#]),0),AssetMonthlyReturns[[#This Row],[SPY]:[PE]])</f>
        <v>6.8144441892881921E-3</v>
      </c>
      <c r="MN11" s="27">
        <f>IF(ISNUMBER(MN10),MN10*(1+PortfolioFrontier[[#This Row],[P88 Return]]),1+PortfolioFrontier[[#This Row],[P88 Return]])</f>
        <v>1.0171300996507893</v>
      </c>
      <c r="MO11" s="27">
        <f>MAX(MO10,PortfolioFrontier[[#This Row],[P88 Growth]])</f>
        <v>1.0692295641878635</v>
      </c>
      <c r="MP11" s="27">
        <f>PortfolioFrontier[[#This Row],[P88 Growth]]/PortfolioFrontier[[#This Row],[P88 HWM]]-1</f>
        <v>-4.8726172827671999E-2</v>
      </c>
      <c r="MQ11" s="28">
        <f>SUMPRODUCT(INDEX(PortfolioRef[[SPY]:[PE]],MATCH(MQ$1,PortfolioRef[Reference '#]),0),AssetMonthlyReturns[[#This Row],[SPY]:[PE]])</f>
        <v>5.3176901262680706E-3</v>
      </c>
      <c r="MR11" s="27">
        <f>IF(ISNUMBER(MR10),MR10*(1+PortfolioFrontier[[#This Row],[P89 Return]]),1+PortfolioFrontier[[#This Row],[P89 Return]])</f>
        <v>1.0193149794982406</v>
      </c>
      <c r="MS11" s="27">
        <f>MAX(MS10,PortfolioFrontier[[#This Row],[P89 Growth]])</f>
        <v>1.0643394343272528</v>
      </c>
      <c r="MT11" s="27">
        <f>PortfolioFrontier[[#This Row],[P89 Growth]]/PortfolioFrontier[[#This Row],[P89 HWM]]-1</f>
        <v>-4.2302721647696218E-2</v>
      </c>
      <c r="MU11" s="28">
        <f>SUMPRODUCT(INDEX(PortfolioRef[[SPY]:[PE]],MATCH(MU$1,PortfolioRef[Reference '#]),0),AssetMonthlyReturns[[#This Row],[SPY]:[PE]])</f>
        <v>3.8209360632479473E-3</v>
      </c>
      <c r="MV11" s="27">
        <f>IF(ISNUMBER(MV10),MV10*(1+PortfolioFrontier[[#This Row],[P90 Return]]),1+PortfolioFrontier[[#This Row],[P90 Return]])</f>
        <v>1.0214695202613335</v>
      </c>
      <c r="MW11" s="27">
        <f>MAX(MW10,PortfolioFrontier[[#This Row],[P90 Growth]])</f>
        <v>1.059461474746517</v>
      </c>
      <c r="MX11" s="27">
        <f>PortfolioFrontier[[#This Row],[P90 Growth]]/PortfolioFrontier[[#This Row],[P90 HWM]]-1</f>
        <v>-3.5859684746227583E-2</v>
      </c>
      <c r="MY11" s="28">
        <f>SUMPRODUCT(INDEX(PortfolioRef[[SPY]:[PE]],MATCH(MY$1,PortfolioRef[Reference '#]),0),AssetMonthlyReturns[[#This Row],[SPY]:[PE]])</f>
        <v>9.1029626169136391E-3</v>
      </c>
      <c r="MZ11" s="27">
        <f>IF(ISNUMBER(MZ10),MZ10*(1+PortfolioFrontier[[#This Row],[P91 Return]]),1+PortfolioFrontier[[#This Row],[P91 Return]])</f>
        <v>1.0242603028865902</v>
      </c>
      <c r="NA11" s="27">
        <f>MAX(NA10,PortfolioFrontier[[#This Row],[P91 Growth]])</f>
        <v>1.0738341548377508</v>
      </c>
      <c r="NB11" s="27">
        <f>PortfolioFrontier[[#This Row],[P91 Growth]]/PortfolioFrontier[[#This Row],[P91 HWM]]-1</f>
        <v>-4.6165277690064621E-2</v>
      </c>
      <c r="NC11" s="28">
        <f>SUMPRODUCT(INDEX(PortfolioRef[[SPY]:[PE]],MATCH(NC$1,PortfolioRef[Reference '#]),0),AssetMonthlyReturns[[#This Row],[SPY]:[PE]])</f>
        <v>7.6062085538935176E-3</v>
      </c>
      <c r="ND11" s="27">
        <f>IF(ISNUMBER(ND10),ND10*(1+PortfolioFrontier[[#This Row],[P92 Return]]),1+PortfolioFrontier[[#This Row],[P92 Return]])</f>
        <v>1.0264695341275016</v>
      </c>
      <c r="NE11" s="27">
        <f>MAX(NE10,PortfolioFrontier[[#This Row],[P92 Growth]])</f>
        <v>1.0689244859802776</v>
      </c>
      <c r="NF11" s="27">
        <f>PortfolioFrontier[[#This Row],[P92 Growth]]/PortfolioFrontier[[#This Row],[P92 HWM]]-1</f>
        <v>-3.9717447218773128E-2</v>
      </c>
      <c r="NG11" s="28">
        <f>SUMPRODUCT(INDEX(PortfolioRef[[SPY]:[PE]],MATCH(NG$1,PortfolioRef[Reference '#]),0),AssetMonthlyReturns[[#This Row],[SPY]:[PE]])</f>
        <v>6.1094544908733952E-3</v>
      </c>
      <c r="NH11" s="27">
        <f>IF(ISNUMBER(NH10),NH10*(1+PortfolioFrontier[[#This Row],[P93 Return]]),1+PortfolioFrontier[[#This Row],[P93 Return]])</f>
        <v>1.0286482172982734</v>
      </c>
      <c r="NI11" s="27">
        <f>MAX(NI10,PortfolioFrontier[[#This Row],[P93 Growth]])</f>
        <v>1.0640270127298419</v>
      </c>
      <c r="NJ11" s="27">
        <f>PortfolioFrontier[[#This Row],[P93 Growth]]/PortfolioFrontier[[#This Row],[P93 HWM]]-1</f>
        <v>-3.3249903440704554E-2</v>
      </c>
      <c r="NK11" s="28">
        <f>SUMPRODUCT(INDEX(PortfolioRef[[SPY]:[PE]],MATCH(NK$1,PortfolioRef[Reference '#]),0),AssetMonthlyReturns[[#This Row],[SPY]:[PE]])</f>
        <v>1.1391481044539084E-2</v>
      </c>
      <c r="NL11" s="27">
        <f>IF(ISNUMBER(NL10),NL10*(1+PortfolioFrontier[[#This Row],[P94 Return]]),1+PortfolioFrontier[[#This Row],[P94 Return]])</f>
        <v>1.031396754215419</v>
      </c>
      <c r="NM11" s="27">
        <f>MAX(NM10,PortfolioFrontier[[#This Row],[P94 Growth]])</f>
        <v>1.0784348579235736</v>
      </c>
      <c r="NN11" s="27">
        <f>PortfolioFrontier[[#This Row],[P94 Growth]]/PortfolioFrontier[[#This Row],[P94 HWM]]-1</f>
        <v>-4.3617009745699598E-2</v>
      </c>
      <c r="NO11" s="28">
        <f>SUMPRODUCT(INDEX(PortfolioRef[[SPY]:[PE]],MATCH(NO$1,PortfolioRef[Reference '#]),0),AssetMonthlyReturns[[#This Row],[SPY]:[PE]])</f>
        <v>9.8947269815189628E-3</v>
      </c>
      <c r="NP11" s="27">
        <f>IF(ISNUMBER(NP10),NP10*(1+PortfolioFrontier[[#This Row],[P95 Return]]),1+PortfolioFrontier[[#This Row],[P95 Return]])</f>
        <v>1.0336304373686998</v>
      </c>
      <c r="NQ11" s="27">
        <f>MAX(NQ10,PortfolioFrontier[[#This Row],[P95 Growth]])</f>
        <v>1.0735056248114374</v>
      </c>
      <c r="NR11" s="27">
        <f>PortfolioFrontier[[#This Row],[P95 Growth]]/PortfolioFrontier[[#This Row],[P95 HWM]]-1</f>
        <v>-3.7144833265071897E-2</v>
      </c>
      <c r="NS11" s="28">
        <f>SUMPRODUCT(INDEX(PortfolioRef[[SPY]:[PE]],MATCH(NS$1,PortfolioRef[Reference '#]),0),AssetMonthlyReturns[[#This Row],[SPY]:[PE]])</f>
        <v>8.3979729184988396E-3</v>
      </c>
      <c r="NT11" s="27">
        <f>IF(ISNUMBER(NT10),NT10*(1+PortfolioFrontier[[#This Row],[P96 Return]]),1+PortfolioFrontier[[#This Row],[P96 Return]])</f>
        <v>1.0358333628757841</v>
      </c>
      <c r="NU11" s="27">
        <f>MAX(NU10,PortfolioFrontier[[#This Row],[P96 Growth]])</f>
        <v>1.0685886126335014</v>
      </c>
      <c r="NV11" s="27">
        <f>PortfolioFrontier[[#This Row],[P96 Growth]]/PortfolioFrontier[[#This Row],[P96 HWM]]-1</f>
        <v>-3.0652815658397281E-2</v>
      </c>
      <c r="NW11" s="28">
        <f>SUMPRODUCT(INDEX(PortfolioRef[[SPY]:[PE]],MATCH(NW$1,PortfolioRef[Reference '#]),0),AssetMonthlyReturns[[#This Row],[SPY]:[PE]])</f>
        <v>4.0892340582329711E-3</v>
      </c>
      <c r="NX11" s="27">
        <f>IF(ISNUMBER(NX10),NX10*(1+PortfolioFrontier[[#This Row],[P97 Return]]),1+PortfolioFrontier[[#This Row],[P97 Return]])</f>
        <v>1.0167695761142348</v>
      </c>
      <c r="NY11" s="27">
        <f>MAX(NY10,PortfolioFrontier[[#This Row],[P97 Growth]])</f>
        <v>1.0484110933688224</v>
      </c>
      <c r="NZ11" s="27">
        <f>PortfolioFrontier[[#This Row],[P97 Growth]]/PortfolioFrontier[[#This Row],[P97 HWM]]-1</f>
        <v>-3.0180448733058585E-2</v>
      </c>
      <c r="OA11" s="28">
        <f>SUMPRODUCT(INDEX(PortfolioRef[[SPY]:[PE]],MATCH(OA$1,PortfolioRef[Reference '#]),0),AssetMonthlyReturns[[#This Row],[SPY]:[PE]])</f>
        <v>3.1205090067733259E-3</v>
      </c>
      <c r="OB11" s="27">
        <f>IF(ISNUMBER(OB10),OB10*(1+PortfolioFrontier[[#This Row],[P98 Return]]),1+PortfolioFrontier[[#This Row],[P98 Return]])</f>
        <v>1.0115550704637319</v>
      </c>
      <c r="OC11" s="27">
        <f>MAX(OC10,PortfolioFrontier[[#This Row],[P98 Growth]])</f>
        <v>1.0495119600802785</v>
      </c>
      <c r="OD11" s="27">
        <f>PortfolioFrontier[[#This Row],[P98 Growth]]/PortfolioFrontier[[#This Row],[P98 HWM]]-1</f>
        <v>-3.6166228742779749E-2</v>
      </c>
      <c r="OE11" s="28">
        <f>SUMPRODUCT(INDEX(PortfolioRef[[SPY]:[PE]],MATCH(OE$1,PortfolioRef[Reference '#]),0),AssetMonthlyReturns[[#This Row],[SPY]:[PE]])</f>
        <v>5.4090274343987716E-3</v>
      </c>
      <c r="OF11" s="27">
        <f>IF(ISNUMBER(OF10),OF10*(1+PortfolioFrontier[[#This Row],[P99 Return]]),1+PortfolioFrontier[[#This Row],[P99 Return]])</f>
        <v>1.0186839520898281</v>
      </c>
      <c r="OG11" s="27">
        <f>MAX(OG10,PortfolioFrontier[[#This Row],[P99 Growth]])</f>
        <v>1.0540388768476066</v>
      </c>
      <c r="OH11" s="27">
        <f>PortfolioFrontier[[#This Row],[P99 Growth]]/PortfolioFrontier[[#This Row],[P99 HWM]]-1</f>
        <v>-3.3542334665602747E-2</v>
      </c>
      <c r="OI11" s="28">
        <f>SUMPRODUCT(INDEX(PortfolioRef[[SPY]:[PE]],MATCH(OI$1,PortfolioRef[Reference '#]),0),AssetMonthlyReturns[[#This Row],[SPY]:[PE]])</f>
        <v>3.91227337137865E-3</v>
      </c>
      <c r="OJ11" s="27">
        <f>IF(ISNUMBER(OJ10),OJ10*(1+PortfolioFrontier[[#This Row],[P100 Return]]),1+PortfolioFrontier[[#This Row],[P100 Return]])</f>
        <v>1.0207925010107182</v>
      </c>
      <c r="OK11" s="27">
        <f>MAX(OK10,PortfolioFrontier[[#This Row],[P100 Growth]])</f>
        <v>1.0491869354790497</v>
      </c>
      <c r="OL11" s="27">
        <f>PortfolioFrontier[[#This Row],[P100 Growth]]/PortfolioFrontier[[#This Row],[P100 HWM]]-1</f>
        <v>-2.7063274911412138E-2</v>
      </c>
      <c r="OM11" s="28">
        <f>SUMPRODUCT(INDEX(PortfolioRef[[SPY]:[PE]],MATCH(OM$1,PortfolioRef[Reference '#]),0),AssetMonthlyReturns[[#This Row],[SPY]:[PE]])</f>
        <v>2.1517839553136797E-3</v>
      </c>
      <c r="ON11" s="27">
        <f>IF(ISNUMBER(ON10),ON10*(1+PortfolioFrontier[[#This Row],[P101 Return]]),1+PortfolioFrontier[[#This Row],[P101 Return]])</f>
        <v>1.0063320816476564</v>
      </c>
      <c r="OO11" s="27">
        <f>MAX(OO10,PortfolioFrontier[[#This Row],[P101 Growth]])</f>
        <v>1.05059106106777</v>
      </c>
      <c r="OP11" s="27">
        <f>PortfolioFrontier[[#This Row],[P101 Growth]]/PortfolioFrontier[[#This Row],[P101 HWM]]-1</f>
        <v>-4.2127694647554725E-2</v>
      </c>
      <c r="OQ11" s="28">
        <f>SUMPRODUCT(INDEX(PortfolioRef[[SPY]:[PE]],MATCH(OQ$1,PortfolioRef[Reference '#]),0),AssetMonthlyReturns[[#This Row],[SPY]:[PE]])</f>
        <v>4.4403023829391259E-3</v>
      </c>
      <c r="OR11" s="27">
        <f>IF(ISNUMBER(OR10),OR10*(1+PortfolioFrontier[[#This Row],[P102 Return]]),1+PortfolioFrontier[[#This Row],[P102 Return]])</f>
        <v>1.0134525159733088</v>
      </c>
      <c r="OS11" s="27">
        <f>MAX(OS10,PortfolioFrontier[[#This Row],[P102 Growth]])</f>
        <v>1.0551404417516972</v>
      </c>
      <c r="OT11" s="27">
        <f>PortfolioFrontier[[#This Row],[P102 Growth]]/PortfolioFrontier[[#This Row],[P102 HWM]]-1</f>
        <v>-3.950936209892586E-2</v>
      </c>
      <c r="OU11" s="28">
        <f>SUMPRODUCT(INDEX(PortfolioRef[[SPY]:[PE]],MATCH(OU$1,PortfolioRef[Reference '#]),0),AssetMonthlyReturns[[#This Row],[SPY]:[PE]])</f>
        <v>2.9435483199190039E-3</v>
      </c>
      <c r="OV11" s="27">
        <f>IF(ISNUMBER(OV10),OV10*(1+PortfolioFrontier[[#This Row],[P103 Return]]),1+PortfolioFrontier[[#This Row],[P103 Return]])</f>
        <v>1.0155659720945669</v>
      </c>
      <c r="OW11" s="27">
        <f>MAX(OW10,PortfolioFrontier[[#This Row],[P103 Growth]])</f>
        <v>1.050290793565243</v>
      </c>
      <c r="OX11" s="27">
        <f>PortfolioFrontier[[#This Row],[P103 Growth]]/PortfolioFrontier[[#This Row],[P103 HWM]]-1</f>
        <v>-3.3062102118215919E-2</v>
      </c>
      <c r="OY11" s="28">
        <f>SUMPRODUCT(INDEX(PortfolioRef[[SPY]:[PE]],MATCH(OY$1,PortfolioRef[Reference '#]),0),AssetMonthlyReturns[[#This Row],[SPY]:[PE]])</f>
        <v>6.7288208105645729E-3</v>
      </c>
      <c r="OZ11" s="27">
        <f>IF(ISNUMBER(OZ10),OZ10*(1+PortfolioFrontier[[#This Row],[P104 Return]]),1+PortfolioFrontier[[#This Row],[P104 Return]])</f>
        <v>1.020579726837326</v>
      </c>
      <c r="PA11" s="27">
        <f>MAX(PA10,PortfolioFrontier[[#This Row],[P104 Growth]])</f>
        <v>1.0596859973699932</v>
      </c>
      <c r="PB11" s="27">
        <f>PortfolioFrontier[[#This Row],[P104 Growth]]/PortfolioFrontier[[#This Row],[P104 HWM]]-1</f>
        <v>-3.6903639974222635E-2</v>
      </c>
      <c r="PC11" s="28">
        <f>SUMPRODUCT(INDEX(PortfolioRef[[SPY]:[PE]],MATCH(PC$1,PortfolioRef[Reference '#]),0),AssetMonthlyReturns[[#This Row],[SPY]:[PE]])</f>
        <v>5.2320667475444504E-3</v>
      </c>
      <c r="PD11" s="27">
        <f>IF(ISNUMBER(PD10),PD10*(1+PortfolioFrontier[[#This Row],[P105 Return]]),1+PortfolioFrontier[[#This Row],[P105 Return]])</f>
        <v>1.0227169605035551</v>
      </c>
      <c r="PE11" s="27">
        <f>MAX(PE10,PortfolioFrontier[[#This Row],[P105 Growth]])</f>
        <v>1.0548169175297899</v>
      </c>
      <c r="PF11" s="27">
        <f>PortfolioFrontier[[#This Row],[P105 Growth]]/PortfolioFrontier[[#This Row],[P105 HWM]]-1</f>
        <v>-3.0431780617822923E-2</v>
      </c>
      <c r="PG11" s="28">
        <f>SUMPRODUCT(INDEX(PortfolioRef[[SPY]:[PE]],MATCH(PG$1,PortfolioRef[Reference '#]),0),AssetMonthlyReturns[[#This Row],[SPY]:[PE]])</f>
        <v>3.735312684524328E-3</v>
      </c>
      <c r="PH11" s="27">
        <f>IF(ISNUMBER(PH10),PH10*(1+PortfolioFrontier[[#This Row],[P106 Return]]),1+PortfolioFrontier[[#This Row],[P106 Return]])</f>
        <v>1.0248235974482562</v>
      </c>
      <c r="PI11" s="27">
        <f>MAX(PI10,PortfolioFrontier[[#This Row],[P106 Growth]])</f>
        <v>1.0499599790437477</v>
      </c>
      <c r="PJ11" s="27">
        <f>PortfolioFrontier[[#This Row],[P106 Growth]]/PortfolioFrontier[[#This Row],[P106 HWM]]-1</f>
        <v>-2.3940323533459318E-2</v>
      </c>
      <c r="PK11" s="28">
        <f>SUMPRODUCT(INDEX(PortfolioRef[[SPY]:[PE]],MATCH(PK$1,PortfolioRef[Reference '#]),0),AssetMonthlyReturns[[#This Row],[SPY]:[PE]])</f>
        <v>3.4715773314794806E-3</v>
      </c>
      <c r="PL11" s="27">
        <f>IF(ISNUMBER(PL10),PL10*(1+PortfolioFrontier[[#This Row],[P107 Return]]),1+PortfolioFrontier[[#This Row],[P107 Return]])</f>
        <v>1.0082127210484646</v>
      </c>
      <c r="PM11" s="27">
        <f>MAX(PM10,PortfolioFrontier[[#This Row],[P107 Growth]])</f>
        <v>1.0562201870951351</v>
      </c>
      <c r="PN11" s="27">
        <f>PortfolioFrontier[[#This Row],[P107 Growth]]/PortfolioFrontier[[#This Row],[P107 HWM]]-1</f>
        <v>-4.5452138326103064E-2</v>
      </c>
      <c r="PO11" s="28">
        <f>SUMPRODUCT(INDEX(PortfolioRef[[SPY]:[PE]],MATCH(PO$1,PortfolioRef[Reference '#]),0),AssetMonthlyReturns[[#This Row],[SPY]:[PE]])</f>
        <v>1.9748232684593582E-3</v>
      </c>
      <c r="PP11" s="27">
        <f>IF(ISNUMBER(PP10),PP10*(1+PortfolioFrontier[[#This Row],[P108 Return]]),1+PortfolioFrontier[[#This Row],[P108 Return]])</f>
        <v>1.0103308474625103</v>
      </c>
      <c r="PQ11" s="27">
        <f>MAX(PQ10,PortfolioFrontier[[#This Row],[P108 Growth]])</f>
        <v>1.051372855315329</v>
      </c>
      <c r="PR11" s="27">
        <f>PortfolioFrontier[[#This Row],[P108 Growth]]/PortfolioFrontier[[#This Row],[P108 HWM]]-1</f>
        <v>-3.9036586920925709E-2</v>
      </c>
      <c r="PS11" s="28">
        <f>SUMPRODUCT(INDEX(PortfolioRef[[SPY]:[PE]],MATCH(PS$1,PortfolioRef[Reference '#]),0),AssetMonthlyReturns[[#This Row],[SPY]:[PE]])</f>
        <v>5.760095759104928E-3</v>
      </c>
      <c r="PT11" s="27">
        <f>IF(ISNUMBER(PT10),PT10*(1+PortfolioFrontier[[#This Row],[P109 Return]]),1+PortfolioFrontier[[#This Row],[P109 Return]])</f>
        <v>1.0153314319701692</v>
      </c>
      <c r="PU11" s="27">
        <f>MAX(PU10,PortfolioFrontier[[#This Row],[P109 Growth]])</f>
        <v>1.0607882528163963</v>
      </c>
      <c r="PV11" s="27">
        <f>PortfolioFrontier[[#This Row],[P109 Growth]]/PortfolioFrontier[[#This Row],[P109 HWM]]-1</f>
        <v>-4.2851927069836204E-2</v>
      </c>
      <c r="PW11" s="28">
        <f>SUMPRODUCT(INDEX(PortfolioRef[[SPY]:[PE]],MATCH(PW$1,PortfolioRef[Reference '#]),0),AssetMonthlyReturns[[#This Row],[SPY]:[PE]])</f>
        <v>4.2633416960848047E-3</v>
      </c>
      <c r="PX11" s="27">
        <f>IF(ISNUMBER(PX10),PX10*(1+PortfolioFrontier[[#This Row],[P110 Return]]),1+PortfolioFrontier[[#This Row],[P110 Return]])</f>
        <v>1.0174734401783325</v>
      </c>
      <c r="PY11" s="27">
        <f>MAX(PY10,PortfolioFrontier[[#This Row],[P110 Growth]])</f>
        <v>1.0559214762599245</v>
      </c>
      <c r="PZ11" s="27">
        <f>PortfolioFrontier[[#This Row],[P110 Growth]]/PortfolioFrontier[[#This Row],[P110 HWM]]-1</f>
        <v>-3.6411832646661368E-2</v>
      </c>
      <c r="QA11" s="28">
        <f>SUMPRODUCT(INDEX(PortfolioRef[[SPY]:[PE]],MATCH(QA$1,PortfolioRef[Reference '#]),0),AssetMonthlyReturns[[#This Row],[SPY]:[PE]])</f>
        <v>2.7665876330646823E-3</v>
      </c>
      <c r="QB11" s="27">
        <f>IF(ISNUMBER(QB10),QB10*(1+PortfolioFrontier[[#This Row],[P111 Return]]),1+PortfolioFrontier[[#This Row],[P111 Return]])</f>
        <v>1.0195850646073985</v>
      </c>
      <c r="QC11" s="27">
        <f>MAX(QC10,PortfolioFrontier[[#This Row],[P111 Growth]])</f>
        <v>1.0510668378703485</v>
      </c>
      <c r="QD11" s="27">
        <f>PortfolioFrontier[[#This Row],[P111 Growth]]/PortfolioFrontier[[#This Row],[P111 HWM]]-1</f>
        <v>-2.9952208678505898E-2</v>
      </c>
      <c r="QE11" s="28">
        <f>SUMPRODUCT(INDEX(PortfolioRef[[SPY]:[PE]],MATCH(QE$1,PortfolioRef[Reference '#]),0),AssetMonthlyReturns[[#This Row],[SPY]:[PE]])</f>
        <v>8.0486141867303733E-3</v>
      </c>
      <c r="QF11" s="27">
        <f>IF(ISNUMBER(QF10),QF10*(1+PortfolioFrontier[[#This Row],[P112 Return]]),1+PortfolioFrontier[[#This Row],[P112 Return]])</f>
        <v>1.0224567930458255</v>
      </c>
      <c r="QG11" s="27">
        <f>MAX(QG10,PortfolioFrontier[[#This Row],[P112 Growth]])</f>
        <v>1.0653524862884685</v>
      </c>
      <c r="QH11" s="27">
        <f>PortfolioFrontier[[#This Row],[P112 Growth]]/PortfolioFrontier[[#This Row],[P112 HWM]]-1</f>
        <v>-4.0264319832852058E-2</v>
      </c>
      <c r="QI11" s="28">
        <f>SUMPRODUCT(INDEX(PortfolioRef[[SPY]:[PE]],MATCH(QI$1,PortfolioRef[Reference '#]),0),AssetMonthlyReturns[[#This Row],[SPY]:[PE]])</f>
        <v>6.5518601237102517E-3</v>
      </c>
      <c r="QJ11" s="27">
        <f>IF(ISNUMBER(QJ10),QJ10*(1+PortfolioFrontier[[#This Row],[P113 Return]]),1+PortfolioFrontier[[#This Row],[P113 Return]])</f>
        <v>1.0246227831850161</v>
      </c>
      <c r="QK11" s="27">
        <f>MAX(QK10,PortfolioFrontier[[#This Row],[P113 Growth]])</f>
        <v>1.0604662396975308</v>
      </c>
      <c r="QL11" s="27">
        <f>PortfolioFrontier[[#This Row],[P113 Growth]]/PortfolioFrontier[[#This Row],[P113 HWM]]-1</f>
        <v>-3.3799714852533302E-2</v>
      </c>
      <c r="QM11" s="28">
        <f>SUMPRODUCT(INDEX(PortfolioRef[[SPY]:[PE]],MATCH(QM$1,PortfolioRef[Reference '#]),0),AssetMonthlyReturns[[#This Row],[SPY]:[PE]])</f>
        <v>5.0551060606901293E-3</v>
      </c>
      <c r="QN11" s="27">
        <f>IF(ISNUMBER(QN10),QN10*(1+PortfolioFrontier[[#This Row],[P114 Return]]),1+PortfolioFrontier[[#This Row],[P114 Return]])</f>
        <v>1.0267581790778813</v>
      </c>
      <c r="QO11" s="27">
        <f>MAX(QO10,PortfolioFrontier[[#This Row],[P114 Growth]])</f>
        <v>1.0555921566006516</v>
      </c>
      <c r="QP11" s="27">
        <f>PortfolioFrontier[[#This Row],[P114 Growth]]/PortfolioFrontier[[#This Row],[P114 HWM]]-1</f>
        <v>-2.7315452603991597E-2</v>
      </c>
      <c r="QQ11" s="28">
        <f>SUMPRODUCT(INDEX(PortfolioRef[[SPY]:[PE]],MATCH(QQ$1,PortfolioRef[Reference '#]),0),AssetMonthlyReturns[[#This Row],[SPY]:[PE]])</f>
        <v>4.7913707076452814E-3</v>
      </c>
      <c r="QR11" s="27">
        <f>IF(ISNUMBER(QR10),QR10*(1+PortfolioFrontier[[#This Row],[P115 Return]]),1+PortfolioFrontier[[#This Row],[P115 Return]])</f>
        <v>1.010074902934746</v>
      </c>
      <c r="QS11" s="27">
        <f>MAX(QS10,PortfolioFrontier[[#This Row],[P115 Growth]])</f>
        <v>1.0618686348654582</v>
      </c>
      <c r="QT11" s="27">
        <f>PortfolioFrontier[[#This Row],[P115 Growth]]/PortfolioFrontier[[#This Row],[P115 HWM]]-1</f>
        <v>-4.8776025800286171E-2</v>
      </c>
      <c r="QU11" s="28">
        <f>SUMPRODUCT(INDEX(PortfolioRef[[SPY]:[PE]],MATCH(QU$1,PortfolioRef[Reference '#]),0),AssetMonthlyReturns[[#This Row],[SPY]:[PE]])</f>
        <v>3.2946166446251586E-3</v>
      </c>
      <c r="QV11" s="27">
        <f>IF(ISNUMBER(QV10),QV10*(1+PortfolioFrontier[[#This Row],[P116 Return]]),1+PortfolioFrontier[[#This Row],[P116 Return]])</f>
        <v>1.0122214488024956</v>
      </c>
      <c r="QW11" s="27">
        <f>MAX(QW10,PortfolioFrontier[[#This Row],[P116 Growth]])</f>
        <v>1.0570041848172638</v>
      </c>
      <c r="QX11" s="27">
        <f>PortfolioFrontier[[#This Row],[P116 Growth]]/PortfolioFrontier[[#This Row],[P116 HWM]]-1</f>
        <v>-4.2367605216728887E-2</v>
      </c>
      <c r="QY11" s="28">
        <f>SUMPRODUCT(INDEX(PortfolioRef[[SPY]:[PE]],MATCH(QY$1,PortfolioRef[Reference '#]),0),AssetMonthlyReturns[[#This Row],[SPY]:[PE]])</f>
        <v>1.7978625816050364E-3</v>
      </c>
      <c r="QZ11" s="27">
        <f>IF(ISNUMBER(QZ10),QZ10*(1+PortfolioFrontier[[#This Row],[P117 Return]]),1+PortfolioFrontier[[#This Row],[P117 Return]])</f>
        <v>1.01433782286217</v>
      </c>
      <c r="RA11" s="27">
        <f>MAX(RA10,PortfolioFrontier[[#This Row],[P117 Growth]])</f>
        <v>1.0521518697486996</v>
      </c>
      <c r="RB11" s="27">
        <f>PortfolioFrontier[[#This Row],[P117 Growth]]/PortfolioFrontier[[#This Row],[P117 HWM]]-1</f>
        <v>-3.5939723127195733E-2</v>
      </c>
      <c r="RC11" s="28">
        <f>SUMPRODUCT(INDEX(PortfolioRef[[SPY]:[PE]],MATCH(RC$1,PortfolioRef[Reference '#]),0),AssetMonthlyReturns[[#This Row],[SPY]:[PE]])</f>
        <v>7.0798891352707276E-3</v>
      </c>
      <c r="RD11" s="27">
        <f>IF(ISNUMBER(RD10),RD10*(1+PortfolioFrontier[[#This Row],[P118 Return]]),1+PortfolioFrontier[[#This Row],[P118 Return]])</f>
        <v>1.0171917118143077</v>
      </c>
      <c r="RE11" s="27">
        <f>MAX(RE10,PortfolioFrontier[[#This Row],[P118 Growth]])</f>
        <v>1.0664554246268612</v>
      </c>
      <c r="RF11" s="27">
        <f>PortfolioFrontier[[#This Row],[P118 Growth]]/PortfolioFrontier[[#This Row],[P118 HWM]]-1</f>
        <v>-4.6193878970412827E-2</v>
      </c>
      <c r="RG11" s="28">
        <f>SUMPRODUCT(INDEX(PortfolioRef[[SPY]:[PE]],MATCH(RG$1,PortfolioRef[Reference '#]),0),AssetMonthlyReturns[[#This Row],[SPY]:[PE]])</f>
        <v>5.583135072250606E-3</v>
      </c>
      <c r="RH11" s="27">
        <f>IF(ISNUMBER(RH10),RH10*(1+PortfolioFrontier[[#This Row],[P119 Return]]),1+PortfolioFrontier[[#This Row],[P119 Return]])</f>
        <v>1.0193623431889451</v>
      </c>
      <c r="RI11" s="27">
        <f>MAX(RI10,PortfolioFrontier[[#This Row],[P119 Growth]])</f>
        <v>1.0615714914212842</v>
      </c>
      <c r="RJ11" s="27">
        <f>PortfolioFrontier[[#This Row],[P119 Growth]]/PortfolioFrontier[[#This Row],[P119 HWM]]-1</f>
        <v>-3.9761003920543603E-2</v>
      </c>
      <c r="RK11" s="28">
        <f>SUMPRODUCT(INDEX(PortfolioRef[[SPY]:[PE]],MATCH(RK$1,PortfolioRef[Reference '#]),0),AssetMonthlyReturns[[#This Row],[SPY]:[PE]])</f>
        <v>4.0863810092304836E-3</v>
      </c>
      <c r="RL11" s="27">
        <f>IF(ISNUMBER(RL10),RL10*(1+PortfolioFrontier[[#This Row],[P120 Return]]),1+PortfolioFrontier[[#This Row],[P120 Return]])</f>
        <v>1.0215025937182254</v>
      </c>
      <c r="RM11" s="27">
        <f>MAX(RM10,PortfolioFrontier[[#This Row],[P120 Growth]])</f>
        <v>1.0566997185225</v>
      </c>
      <c r="RN11" s="27">
        <f>PortfolioFrontier[[#This Row],[P120 Growth]]/PortfolioFrontier[[#This Row],[P120 HWM]]-1</f>
        <v>-3.3308539963924688E-2</v>
      </c>
      <c r="RO11" s="28">
        <f>SUMPRODUCT(INDEX(PortfolioRef[[SPY]:[PE]],MATCH(RO$1,PortfolioRef[Reference '#]),0),AssetMonthlyReturns[[#This Row],[SPY]:[PE]])</f>
        <v>9.3684075628961746E-3</v>
      </c>
      <c r="RP11" s="27">
        <f>IF(ISNUMBER(RP10),RP10*(1+PortfolioFrontier[[#This Row],[P121 Return]]),1+PortfolioFrontier[[#This Row],[P121 Return]])</f>
        <v>1.0243150439834185</v>
      </c>
      <c r="RQ11" s="27">
        <f>MAX(RQ10,PortfolioFrontier[[#This Row],[P121 Growth]])</f>
        <v>1.0710383749555177</v>
      </c>
      <c r="RR11" s="27">
        <f>PortfolioFrontier[[#This Row],[P121 Growth]]/PortfolioFrontier[[#This Row],[P121 HWM]]-1</f>
        <v>-4.3624329496167347E-2</v>
      </c>
      <c r="RS11" s="28">
        <f>SUMPRODUCT(INDEX(PortfolioRef[[SPY]:[PE]],MATCH(RS$1,PortfolioRef[Reference '#]),0),AssetMonthlyReturns[[#This Row],[SPY]:[PE]])</f>
        <v>7.871653499876053E-3</v>
      </c>
      <c r="RT11" s="27">
        <f>IF(ISNUMBER(RT10),RT10*(1+PortfolioFrontier[[#This Row],[P122 Return]]),1+PortfolioFrontier[[#This Row],[P122 Return]])</f>
        <v>1.0265098613911734</v>
      </c>
      <c r="RU11" s="27">
        <f>MAX(RU10,PortfolioFrontier[[#This Row],[P122 Growth]])</f>
        <v>1.0661349333347574</v>
      </c>
      <c r="RV11" s="27">
        <f>PortfolioFrontier[[#This Row],[P122 Growth]]/PortfolioFrontier[[#This Row],[P122 HWM]]-1</f>
        <v>-3.7167032712867698E-2</v>
      </c>
      <c r="RW11" s="28">
        <f>SUMPRODUCT(INDEX(PortfolioRef[[SPY]:[PE]],MATCH(RW$1,PortfolioRef[Reference '#]),0),AssetMonthlyReturns[[#This Row],[SPY]:[PE]])</f>
        <v>6.3748994368559306E-3</v>
      </c>
      <c r="RX11" s="27">
        <f>IF(ISNUMBER(RX10),RX10*(1+PortfolioFrontier[[#This Row],[P123 Return]]),1+PortfolioFrontier[[#This Row],[P123 Return]])</f>
        <v>1.0286740883174337</v>
      </c>
      <c r="RY11" s="27">
        <f>MAX(RY10,PortfolioFrontier[[#This Row],[P123 Growth]])</f>
        <v>1.0612436773479528</v>
      </c>
      <c r="RZ11" s="27">
        <f>PortfolioFrontier[[#This Row],[P123 Growth]]/PortfolioFrontier[[#This Row],[P123 HWM]]-1</f>
        <v>-3.0690019385472778E-2</v>
      </c>
      <c r="SA11" s="28">
        <f>SUMPRODUCT(INDEX(PortfolioRef[[SPY]:[PE]],MATCH(SA$1,PortfolioRef[Reference '#]),0),AssetMonthlyReturns[[#This Row],[SPY]:[PE]])</f>
        <v>6.1111640838110819E-3</v>
      </c>
      <c r="SB11" s="27">
        <f>IF(ISNUMBER(SB10),SB10*(1+PortfolioFrontier[[#This Row],[P124 Return]]),1+PortfolioFrontier[[#This Row],[P124 Return]])</f>
        <v>1.0119185213333135</v>
      </c>
      <c r="SC11" s="27">
        <f>MAX(SC10,PortfolioFrontier[[#This Row],[P124 Growth]])</f>
        <v>1.0675364357312243</v>
      </c>
      <c r="SD11" s="27">
        <f>PortfolioFrontier[[#This Row],[P124 Growth]]/PortfolioFrontier[[#This Row],[P124 HWM]]-1</f>
        <v>-5.2099312525866637E-2</v>
      </c>
      <c r="SE11" s="28">
        <f>SUMPRODUCT(INDEX(PortfolioRef[[SPY]:[PE]],MATCH(SE$1,PortfolioRef[Reference '#]),0),AssetMonthlyReturns[[#This Row],[SPY]:[PE]])</f>
        <v>4.6144100207909603E-3</v>
      </c>
      <c r="SF11" s="27">
        <f>IF(ISNUMBER(SF10),SF10*(1+PortfolioFrontier[[#This Row],[P125 Return]]),1+PortfolioFrontier[[#This Row],[P125 Return]])</f>
        <v>1.0140935570915812</v>
      </c>
      <c r="SG11" s="27">
        <f>MAX(SG10,PortfolioFrontier[[#This Row],[P125 Growth]])</f>
        <v>1.0626548391355537</v>
      </c>
      <c r="SH11" s="27">
        <f>PortfolioFrontier[[#This Row],[P125 Growth]]/PortfolioFrontier[[#This Row],[P125 HWM]]-1</f>
        <v>-4.5698076417245659E-2</v>
      </c>
      <c r="SI11" s="28">
        <f>SUMPRODUCT(INDEX(PortfolioRef[[SPY]:[PE]],MATCH(SI$1,PortfolioRef[Reference '#]),0),AssetMonthlyReturns[[#This Row],[SPY]:[PE]])</f>
        <v>3.117655957770837E-3</v>
      </c>
      <c r="SJ11" s="27">
        <f>IF(ISNUMBER(SJ10),SJ10*(1+PortfolioFrontier[[#This Row],[P126 Return]]),1+PortfolioFrontier[[#This Row],[P126 Return]])</f>
        <v>1.0162384244282701</v>
      </c>
      <c r="SK11" s="27">
        <f>MAX(SK10,PortfolioFrontier[[#This Row],[P126 Growth]])</f>
        <v>1.0577853996594109</v>
      </c>
      <c r="SL11" s="27">
        <f>PortfolioFrontier[[#This Row],[P126 Growth]]/PortfolioFrontier[[#This Row],[P126 HWM]]-1</f>
        <v>-3.9277319619384299E-2</v>
      </c>
      <c r="SM11" s="28">
        <f>SUMPRODUCT(INDEX(PortfolioRef[[SPY]:[PE]],MATCH(SM$1,PortfolioRef[Reference '#]),0),AssetMonthlyReturns[[#This Row],[SPY]:[PE]])</f>
        <v>8.3996825114365289E-3</v>
      </c>
      <c r="SN11" s="27">
        <f>IF(ISNUMBER(SN10),SN10*(1+PortfolioFrontier[[#This Row],[P127 Return]]),1+PortfolioFrontier[[#This Row],[P127 Return]])</f>
        <v>1.0190332494428906</v>
      </c>
      <c r="SO11" s="27">
        <f>MAX(SO10,PortfolioFrontier[[#This Row],[P127 Growth]])</f>
        <v>1.072141988535577</v>
      </c>
      <c r="SP11" s="27">
        <f>PortfolioFrontier[[#This Row],[P127 Growth]]/PortfolioFrontier[[#This Row],[P127 HWM]]-1</f>
        <v>-4.9535173195881188E-2</v>
      </c>
      <c r="SQ11" s="28">
        <f>SUMPRODUCT(INDEX(PortfolioRef[[SPY]:[PE]],MATCH(SQ$1,PortfolioRef[Reference '#]),0),AssetMonthlyReturns[[#This Row],[SPY]:[PE]])</f>
        <v>6.9029284484164073E-3</v>
      </c>
      <c r="SR11" s="27">
        <f>IF(ISNUMBER(SR10),SR10*(1+PortfolioFrontier[[#This Row],[P128 Return]]),1+PortfolioFrontier[[#This Row],[P128 Return]])</f>
        <v>1.0212325741348161</v>
      </c>
      <c r="SS11" s="27">
        <f>MAX(SS10,PortfolioFrontier[[#This Row],[P128 Growth]])</f>
        <v>1.0672408704018066</v>
      </c>
      <c r="ST11" s="27">
        <f>PortfolioFrontier[[#This Row],[P128 Growth]]/PortfolioFrontier[[#This Row],[P128 HWM]]-1</f>
        <v>-4.3109571178312156E-2</v>
      </c>
      <c r="SU11" s="28">
        <f>SUMPRODUCT(INDEX(PortfolioRef[[SPY]:[PE]],MATCH(SU$1,PortfolioRef[Reference '#]),0),AssetMonthlyReturns[[#This Row],[SPY]:[PE]])</f>
        <v>5.4061743853962849E-3</v>
      </c>
      <c r="SV11" s="27">
        <f>IF(ISNUMBER(SV10),SV10*(1+PortfolioFrontier[[#This Row],[P129 Return]]),1+PortfolioFrontier[[#This Row],[P129 Return]])</f>
        <v>1.0234015221997999</v>
      </c>
      <c r="SW11" s="27">
        <f>MAX(SW10,PortfolioFrontier[[#This Row],[P129 Growth]])</f>
        <v>1.0623519347147268</v>
      </c>
      <c r="SX11" s="27">
        <f>PortfolioFrontier[[#This Row],[P129 Growth]]/PortfolioFrontier[[#This Row],[P129 HWM]]-1</f>
        <v>-3.666432115585716E-2</v>
      </c>
      <c r="SY11" s="28">
        <f>SUMPRODUCT(INDEX(PortfolioRef[[SPY]:[PE]],MATCH(SY$1,PortfolioRef[Reference '#]),0),AssetMonthlyReturns[[#This Row],[SPY]:[PE]])</f>
        <v>1.0688200939061974E-2</v>
      </c>
      <c r="SZ11" s="27">
        <f>IF(ISNUMBER(SZ10),SZ10*(1+PortfolioFrontier[[#This Row],[P130 Return]]),1+PortfolioFrontier[[#This Row],[P130 Return]])</f>
        <v>1.0261543735034115</v>
      </c>
      <c r="TA11" s="27">
        <f>MAX(TA10,PortfolioFrontier[[#This Row],[P130 Growth]])</f>
        <v>1.0767436947236253</v>
      </c>
      <c r="TB11" s="27">
        <f>PortfolioFrontier[[#This Row],[P130 Growth]]/PortfolioFrontier[[#This Row],[P130 HWM]]-1</f>
        <v>-4.6983624299930415E-2</v>
      </c>
      <c r="TC11" s="28">
        <f>SUMPRODUCT(INDEX(PortfolioRef[[SPY]:[PE]],MATCH(TC$1,PortfolioRef[Reference '#]),0),AssetMonthlyReturns[[#This Row],[SPY]:[PE]])</f>
        <v>9.1914468760418526E-3</v>
      </c>
      <c r="TD11" s="27">
        <f>IF(ISNUMBER(TD10),TD10*(1+PortfolioFrontier[[#This Row],[P131 Return]]),1+PortfolioFrontier[[#This Row],[P131 Return]])</f>
        <v>1.0283780880371953</v>
      </c>
      <c r="TE11" s="27">
        <f>MAX(TE10,PortfolioFrontier[[#This Row],[P131 Growth]])</f>
        <v>1.0718230297939548</v>
      </c>
      <c r="TF11" s="27">
        <f>PortfolioFrontier[[#This Row],[P131 Growth]]/PortfolioFrontier[[#This Row],[P131 HWM]]-1</f>
        <v>-4.0533689376977877E-2</v>
      </c>
      <c r="TG11" s="28">
        <f>SUMPRODUCT(INDEX(PortfolioRef[[SPY]:[PE]],MATCH(TG$1,PortfolioRef[Reference '#]),0),AssetMonthlyReturns[[#This Row],[SPY]:[PE]])</f>
        <v>7.6946928130217302E-3</v>
      </c>
      <c r="TH11" s="27">
        <f>IF(ISNUMBER(TH10),TH10*(1+PortfolioFrontier[[#This Row],[P132 Return]]),1+PortfolioFrontier[[#This Row],[P132 Return]])</f>
        <v>1.0305712171492662</v>
      </c>
      <c r="TI11" s="27">
        <f>MAX(TI10,PortfolioFrontier[[#This Row],[P132 Growth]])</f>
        <v>1.0669145726381379</v>
      </c>
      <c r="TJ11" s="27">
        <f>PortfolioFrontier[[#This Row],[P132 Growth]]/PortfolioFrontier[[#This Row],[P132 HWM]]-1</f>
        <v>-3.4063978898522529E-2</v>
      </c>
      <c r="TK11" s="28">
        <f>SUMPRODUCT(INDEX(PortfolioRef[[SPY]:[PE]],MATCH(TK$1,PortfolioRef[Reference '#]),0),AssetMonthlyReturns[[#This Row],[SPY]:[PE]])</f>
        <v>7.4309574599768832E-3</v>
      </c>
      <c r="TL11" s="27">
        <f>IF(ISNUMBER(TL10),TL10*(1+PortfolioFrontier[[#This Row],[P133 Return]]),1+PortfolioFrontier[[#This Row],[P133 Return]])</f>
        <v>1.0137434708463231</v>
      </c>
      <c r="TM11" s="27">
        <f>MAX(TM10,PortfolioFrontier[[#This Row],[P133 Growth]])</f>
        <v>1.0732236210449184</v>
      </c>
      <c r="TN11" s="27">
        <f>PortfolioFrontier[[#This Row],[P133 Growth]]/PortfolioFrontier[[#This Row],[P133 HWM]]-1</f>
        <v>-5.5421954038510579E-2</v>
      </c>
      <c r="TO11" s="28">
        <f>SUMPRODUCT(INDEX(PortfolioRef[[SPY]:[PE]],MATCH(TO$1,PortfolioRef[Reference '#]),0),AssetMonthlyReturns[[#This Row],[SPY]:[PE]])</f>
        <v>5.9342033969567616E-3</v>
      </c>
      <c r="TP11" s="27">
        <f>IF(ISNUMBER(TP10),TP10*(1+PortfolioFrontier[[#This Row],[P134 Return]]),1+PortfolioFrontier[[#This Row],[P134 Return]])</f>
        <v>1.0159470660064307</v>
      </c>
      <c r="TQ11" s="27">
        <f>MAX(TQ10,PortfolioFrontier[[#This Row],[P134 Growth]])</f>
        <v>1.0683248496226843</v>
      </c>
      <c r="TR11" s="27">
        <f>PortfolioFrontier[[#This Row],[P134 Growth]]/PortfolioFrontier[[#This Row],[P134 HWM]]-1</f>
        <v>-4.902795590194553E-2</v>
      </c>
      <c r="TS11" s="28">
        <f>SUMPRODUCT(INDEX(PortfolioRef[[SPY]:[PE]],MATCH(TS$1,PortfolioRef[Reference '#]),0),AssetMonthlyReturns[[#This Row],[SPY]:[PE]])</f>
        <v>4.4374493339366392E-3</v>
      </c>
      <c r="TT11" s="27">
        <f>IF(ISNUMBER(TT10),TT10*(1+PortfolioFrontier[[#This Row],[P135 Return]]),1+PortfolioFrontier[[#This Row],[P135 Return]])</f>
        <v>1.0181204974111857</v>
      </c>
      <c r="TU11" s="27">
        <f>MAX(TU10,PortfolioFrontier[[#This Row],[P135 Growth]])</f>
        <v>1.0634382574598751</v>
      </c>
      <c r="TV11" s="27">
        <f>PortfolioFrontier[[#This Row],[P135 Growth]]/PortfolioFrontier[[#This Row],[P135 HWM]]-1</f>
        <v>-4.2614378155752308E-2</v>
      </c>
      <c r="TW11" s="28">
        <f>SUMPRODUCT(INDEX(PortfolioRef[[SPY]:[PE]],MATCH(TW$1,PortfolioRef[Reference '#]),0),AssetMonthlyReturns[[#This Row],[SPY]:[PE]])</f>
        <v>9.7194758876023284E-3</v>
      </c>
      <c r="TX11" s="27">
        <f>IF(ISNUMBER(TX10),TX10*(1+PortfolioFrontier[[#This Row],[P136 Return]]),1+PortfolioFrontier[[#This Row],[P136 Return]])</f>
        <v>1.0208559393764518</v>
      </c>
      <c r="TY11" s="27">
        <f>MAX(TY10,PortfolioFrontier[[#This Row],[P136 Growth]])</f>
        <v>1.0778479758950288</v>
      </c>
      <c r="TZ11" s="27">
        <f>PortfolioFrontier[[#This Row],[P136 Growth]]/PortfolioFrontier[[#This Row],[P136 HWM]]-1</f>
        <v>-5.2875765222133109E-2</v>
      </c>
      <c r="UA11" s="28">
        <f>SUMPRODUCT(INDEX(PortfolioRef[[SPY]:[PE]],MATCH(UA$1,PortfolioRef[Reference '#]),0),AssetMonthlyReturns[[#This Row],[SPY]:[PE]])</f>
        <v>8.2227218245822086E-3</v>
      </c>
      <c r="UB11" s="27">
        <f>IF(ISNUMBER(UB10),UB10*(1+PortfolioFrontier[[#This Row],[P137 Return]]),1+PortfolioFrontier[[#This Row],[P137 Return]])</f>
        <v>1.0230840266016281</v>
      </c>
      <c r="UC11" s="27">
        <f>MAX(UC10,PortfolioFrontier[[#This Row],[P137 Growth]])</f>
        <v>1.0729296445539775</v>
      </c>
      <c r="UD11" s="27">
        <f>PortfolioFrontier[[#This Row],[P137 Growth]]/PortfolioFrontier[[#This Row],[P137 HWM]]-1</f>
        <v>-4.6457489738826685E-2</v>
      </c>
      <c r="UE11" s="28">
        <f>SUMPRODUCT(INDEX(PortfolioRef[[SPY]:[PE]],MATCH(UE$1,PortfolioRef[Reference '#]),0),AssetMonthlyReturns[[#This Row],[SPY]:[PE]])</f>
        <v>6.7259677615620853E-3</v>
      </c>
      <c r="UF11" s="27">
        <f>IF(ISNUMBER(UF10),UF10*(1+PortfolioFrontier[[#This Row],[P138 Return]]),1+PortfolioFrontier[[#This Row],[P138 Return]])</f>
        <v>1.0252817427082528</v>
      </c>
      <c r="UG11" s="27">
        <f>MAX(UG10,PortfolioFrontier[[#This Row],[P138 Growth]])</f>
        <v>1.0680235177995143</v>
      </c>
      <c r="UH11" s="27">
        <f>PortfolioFrontier[[#This Row],[P138 Growth]]/PortfolioFrontier[[#This Row],[P138 HWM]]-1</f>
        <v>-4.0019507416207412E-2</v>
      </c>
      <c r="UI11" s="28">
        <f>SUMPRODUCT(INDEX(PortfolioRef[[SPY]:[PE]],MATCH(UI$1,PortfolioRef[Reference '#]),0),AssetMonthlyReturns[[#This Row],[SPY]:[PE]])</f>
        <v>1.2007994315227777E-2</v>
      </c>
      <c r="UJ11" s="27">
        <f>IF(ISNUMBER(UJ10),UJ10*(1+PortfolioFrontier[[#This Row],[P139 Return]]),1+PortfolioFrontier[[#This Row],[P139 Return]])</f>
        <v>1.0279746760505364</v>
      </c>
      <c r="UK11" s="27">
        <f>MAX(UK10,PortfolioFrontier[[#This Row],[P139 Growth]])</f>
        <v>1.0824684769452779</v>
      </c>
      <c r="UL11" s="27">
        <f>PortfolioFrontier[[#This Row],[P139 Growth]]/PortfolioFrontier[[#This Row],[P139 HWM]]-1</f>
        <v>-5.0342159661335262E-2</v>
      </c>
      <c r="UM11" s="28">
        <f>SUMPRODUCT(INDEX(PortfolioRef[[SPY]:[PE]],MATCH(UM$1,PortfolioRef[Reference '#]),0),AssetMonthlyReturns[[#This Row],[SPY]:[PE]])</f>
        <v>1.0511240252207654E-2</v>
      </c>
      <c r="UN11" s="27">
        <f>IF(ISNUMBER(UN10),UN10*(1+PortfolioFrontier[[#This Row],[P140 Return]]),1+PortfolioFrontier[[#This Row],[P140 Return]])</f>
        <v>1.0302273566235682</v>
      </c>
      <c r="UO11" s="27">
        <f>MAX(UO10,PortfolioFrontier[[#This Row],[P140 Growth]])</f>
        <v>1.0775305604276091</v>
      </c>
      <c r="UP11" s="27">
        <f>PortfolioFrontier[[#This Row],[P140 Growth]]/PortfolioFrontier[[#This Row],[P140 HWM]]-1</f>
        <v>-4.389964010419245E-2</v>
      </c>
      <c r="UQ11" s="28">
        <f>SUMPRODUCT(INDEX(PortfolioRef[[SPY]:[PE]],MATCH(UQ$1,PortfolioRef[Reference '#]),0),AssetMonthlyReturns[[#This Row],[SPY]:[PE]])</f>
        <v>9.0144861891875306E-3</v>
      </c>
      <c r="UR11" s="27">
        <f>IF(ISNUMBER(UR10),UR10*(1+PortfolioFrontier[[#This Row],[P141 Return]]),1+PortfolioFrontier[[#This Row],[P141 Return]])</f>
        <v>1.0324494581349188</v>
      </c>
      <c r="US11" s="27">
        <f>MAX(US10,PortfolioFrontier[[#This Row],[P141 Growth]])</f>
        <v>1.0726048738236913</v>
      </c>
      <c r="UT11" s="27">
        <f>PortfolioFrontier[[#This Row],[P141 Growth]]/PortfolioFrontier[[#This Row],[P141 HWM]]-1</f>
        <v>-3.7437286244676349E-2</v>
      </c>
    </row>
    <row r="12" spans="1:566" x14ac:dyDescent="0.2">
      <c r="B12" s="41">
        <f>AssetMonthlyReturns[[#This Row],[Date]]</f>
        <v>42736</v>
      </c>
      <c r="C12" s="28">
        <f>SUMPRODUCT(INDEX(PortfolioRef[[SPY]:[PE]],MATCH(C$1,PortfolioRef[Reference '#]),0),AssetMonthlyReturns[[#This Row],[SPY]:[PE]])</f>
        <v>2.2500351857717673E-2</v>
      </c>
      <c r="D12" s="29">
        <f>IF(ISNUMBER(D11),D11*(1+PortfolioFrontier[[#This Row],[P1 Return]]),1+PortfolioFrontier[[#This Row],[P1 Return]])</f>
        <v>1.0718624631489961</v>
      </c>
      <c r="E12" s="29">
        <f>MAX(E11,PortfolioFrontier[[#This Row],[P1 Growth]])</f>
        <v>1.0718624631489961</v>
      </c>
      <c r="F12" s="29">
        <f>PortfolioFrontier[[#This Row],[P1 Growth]]/PortfolioFrontier[[#This Row],[P1 HWM]]-1</f>
        <v>0</v>
      </c>
      <c r="G12" s="28">
        <f>SUMPRODUCT(INDEX(PortfolioRef[[SPY]:[PE]],MATCH(G$1,PortfolioRef[Reference '#]),0),AssetMonthlyReturns[[#This Row],[SPY]:[PE]])</f>
        <v>2.1622892085236694E-2</v>
      </c>
      <c r="H12" s="27">
        <f>IF(ISNUMBER(H11),H11*(1+PortfolioFrontier[[#This Row],[P2 Return]]),1+PortfolioFrontier[[#This Row],[P2 Return]])</f>
        <v>1.0655503624910414</v>
      </c>
      <c r="I12" s="27">
        <f>MAX(I11,PortfolioFrontier[[#This Row],[P2 Growth]])</f>
        <v>1.0655503624910414</v>
      </c>
      <c r="J12" s="27">
        <f>PortfolioFrontier[[#This Row],[P2 Growth]]/PortfolioFrontier[[#This Row],[P2 HWM]]-1</f>
        <v>0</v>
      </c>
      <c r="K12" s="28">
        <f>SUMPRODUCT(INDEX(PortfolioRef[[SPY]:[PE]],MATCH(K$1,PortfolioRef[Reference '#]),0),AssetMonthlyReturns[[#This Row],[SPY]:[PE]])</f>
        <v>2.4015080154234616E-2</v>
      </c>
      <c r="L12" s="27">
        <f>IF(ISNUMBER(L11),L11*(1+PortfolioFrontier[[#This Row],[P3 Return]]),1+PortfolioFrontier[[#This Row],[P3 Return]])</f>
        <v>1.0626466662291152</v>
      </c>
      <c r="M12" s="27">
        <f>MAX(M11,PortfolioFrontier[[#This Row],[P3 Growth]])</f>
        <v>1.0626466662291152</v>
      </c>
      <c r="N12" s="27">
        <f>PortfolioFrontier[[#This Row],[P3 Growth]]/PortfolioFrontier[[#This Row],[P3 HWM]]-1</f>
        <v>0</v>
      </c>
      <c r="O12" s="28">
        <f>SUMPRODUCT(INDEX(PortfolioRef[[SPY]:[PE]],MATCH(O$1,PortfolioRef[Reference '#]),0),AssetMonthlyReturns[[#This Row],[SPY]:[PE]])</f>
        <v>2.2256110334153523E-2</v>
      </c>
      <c r="P12" s="27">
        <f>IF(ISNUMBER(P11),P11*(1+PortfolioFrontier[[#This Row],[P4 Return]]),1+PortfolioFrontier[[#This Row],[P4 Return]])</f>
        <v>1.0681876965031043</v>
      </c>
      <c r="Q12" s="27">
        <f>MAX(Q11,PortfolioFrontier[[#This Row],[P4 Growth]])</f>
        <v>1.0681876965031043</v>
      </c>
      <c r="R12" s="27">
        <f>PortfolioFrontier[[#This Row],[P4 Growth]]/PortfolioFrontier[[#This Row],[P4 HWM]]-1</f>
        <v>0</v>
      </c>
      <c r="S12" s="28">
        <f>SUMPRODUCT(INDEX(PortfolioRef[[SPY]:[PE]],MATCH(S$1,PortfolioRef[Reference '#]),0),AssetMonthlyReturns[[#This Row],[SPY]:[PE]])</f>
        <v>2.1847434504749821E-2</v>
      </c>
      <c r="T12" s="27">
        <f>IF(ISNUMBER(T11),T11*(1+PortfolioFrontier[[#This Row],[P5 Return]]),1+PortfolioFrontier[[#This Row],[P5 Return]])</f>
        <v>1.0699634787436691</v>
      </c>
      <c r="U12" s="27">
        <f>MAX(U11,PortfolioFrontier[[#This Row],[P5 Growth]])</f>
        <v>1.0699634787436691</v>
      </c>
      <c r="V12" s="27">
        <f>PortfolioFrontier[[#This Row],[P5 Growth]]/PortfolioFrontier[[#This Row],[P5 HWM]]-1</f>
        <v>0</v>
      </c>
      <c r="W12" s="28">
        <f>SUMPRODUCT(INDEX(PortfolioRef[[SPY]:[PE]],MATCH(W$1,PortfolioRef[Reference '#]),0),AssetMonthlyReturns[[#This Row],[SPY]:[PE]])</f>
        <v>2.0745432312755708E-2</v>
      </c>
      <c r="X12" s="27">
        <f>IF(ISNUMBER(X11),X11*(1+PortfolioFrontier[[#This Row],[P6 Return]]),1+PortfolioFrontier[[#This Row],[P6 Return]])</f>
        <v>1.0592585468462088</v>
      </c>
      <c r="Y12" s="27">
        <f>MAX(Y11,PortfolioFrontier[[#This Row],[P6 Growth]])</f>
        <v>1.0592585468462088</v>
      </c>
      <c r="Z12" s="27">
        <f>PortfolioFrontier[[#This Row],[P6 Growth]]/PortfolioFrontier[[#This Row],[P6 HWM]]-1</f>
        <v>0</v>
      </c>
      <c r="AA12" s="28">
        <f>SUMPRODUCT(INDEX(PortfolioRef[[SPY]:[PE]],MATCH(AA$1,PortfolioRef[Reference '#]),0),AssetMonthlyReturns[[#This Row],[SPY]:[PE]])</f>
        <v>2.3137620381753633E-2</v>
      </c>
      <c r="AB12" s="27">
        <f>IF(ISNUMBER(AB11),AB11*(1+PortfolioFrontier[[#This Row],[P7 Return]]),1+PortfolioFrontier[[#This Row],[P7 Return]])</f>
        <v>1.0563585720324873</v>
      </c>
      <c r="AC12" s="27">
        <f>MAX(AC11,PortfolioFrontier[[#This Row],[P7 Growth]])</f>
        <v>1.0563585720324873</v>
      </c>
      <c r="AD12" s="27">
        <f>PortfolioFrontier[[#This Row],[P7 Growth]]/PortfolioFrontier[[#This Row],[P7 HWM]]-1</f>
        <v>0</v>
      </c>
      <c r="AE12" s="28">
        <f>SUMPRODUCT(INDEX(PortfolioRef[[SPY]:[PE]],MATCH(AE$1,PortfolioRef[Reference '#]),0),AssetMonthlyReturns[[#This Row],[SPY]:[PE]])</f>
        <v>2.1378650561672541E-2</v>
      </c>
      <c r="AF12" s="27">
        <f>IF(ISNUMBER(AF11),AF11*(1+PortfolioFrontier[[#This Row],[P8 Return]]),1+PortfolioFrontier[[#This Row],[P8 Return]])</f>
        <v>1.0618868899623808</v>
      </c>
      <c r="AG12" s="27">
        <f>MAX(AG11,PortfolioFrontier[[#This Row],[P8 Growth]])</f>
        <v>1.0618868899623808</v>
      </c>
      <c r="AH12" s="27">
        <f>PortfolioFrontier[[#This Row],[P8 Growth]]/PortfolioFrontier[[#This Row],[P8 HWM]]-1</f>
        <v>0</v>
      </c>
      <c r="AI12" s="28">
        <f>SUMPRODUCT(INDEX(PortfolioRef[[SPY]:[PE]],MATCH(AI$1,PortfolioRef[Reference '#]),0),AssetMonthlyReturns[[#This Row],[SPY]:[PE]])</f>
        <v>2.0969974732268838E-2</v>
      </c>
      <c r="AJ12" s="27">
        <f>IF(ISNUMBER(AJ11),AJ11*(1+PortfolioFrontier[[#This Row],[P9 Return]]),1+PortfolioFrontier[[#This Row],[P9 Return]])</f>
        <v>1.063653284304972</v>
      </c>
      <c r="AK12" s="27">
        <f>MAX(AK11,PortfolioFrontier[[#This Row],[P9 Growth]])</f>
        <v>1.063653284304972</v>
      </c>
      <c r="AL12" s="27">
        <f>PortfolioFrontier[[#This Row],[P9 Growth]]/PortfolioFrontier[[#This Row],[P9 HWM]]-1</f>
        <v>0</v>
      </c>
      <c r="AM12" s="28">
        <f>SUMPRODUCT(INDEX(PortfolioRef[[SPY]:[PE]],MATCH(AM$1,PortfolioRef[Reference '#]),0),AssetMonthlyReturns[[#This Row],[SPY]:[PE]])</f>
        <v>2.5529808450751559E-2</v>
      </c>
      <c r="AN12" s="27">
        <f>IF(ISNUMBER(AN11),AN11*(1+PortfolioFrontier[[#This Row],[P10 Return]]),1+PortfolioFrontier[[#This Row],[P10 Return]])</f>
        <v>1.0534241091640575</v>
      </c>
      <c r="AO12" s="27">
        <f>MAX(AO11,PortfolioFrontier[[#This Row],[P10 Growth]])</f>
        <v>1.0572782218237637</v>
      </c>
      <c r="AP12" s="27">
        <f>PortfolioFrontier[[#This Row],[P10 Growth]]/PortfolioFrontier[[#This Row],[P10 HWM]]-1</f>
        <v>-3.6453154715114788E-3</v>
      </c>
      <c r="AQ12" s="28">
        <f>SUMPRODUCT(INDEX(PortfolioRef[[SPY]:[PE]],MATCH(AQ$1,PortfolioRef[Reference '#]),0),AssetMonthlyReturns[[#This Row],[SPY]:[PE]])</f>
        <v>2.3770838630670466E-2</v>
      </c>
      <c r="AR12" s="27">
        <f>IF(ISNUMBER(AR11),AR11*(1+PortfolioFrontier[[#This Row],[P11 Return]]),1+PortfolioFrontier[[#This Row],[P11 Return]])</f>
        <v>1.0589706505710781</v>
      </c>
      <c r="AS12" s="27">
        <f>MAX(AS11,PortfolioFrontier[[#This Row],[P11 Growth]])</f>
        <v>1.0618236120311197</v>
      </c>
      <c r="AT12" s="27">
        <f>PortfolioFrontier[[#This Row],[P11 Growth]]/PortfolioFrontier[[#This Row],[P11 HWM]]-1</f>
        <v>-2.6868506479944543E-3</v>
      </c>
      <c r="AU12" s="28">
        <f>SUMPRODUCT(INDEX(PortfolioRef[[SPY]:[PE]],MATCH(AU$1,PortfolioRef[Reference '#]),0),AssetMonthlyReturns[[#This Row],[SPY]:[PE]])</f>
        <v>2.3362162801266764E-2</v>
      </c>
      <c r="AV12" s="27">
        <f>IF(ISNUMBER(AV11),AV11*(1+PortfolioFrontier[[#This Row],[P12 Return]]),1+PortfolioFrontier[[#This Row],[P12 Return]])</f>
        <v>1.0607496780029888</v>
      </c>
      <c r="AW12" s="27">
        <f>MAX(AW11,PortfolioFrontier[[#This Row],[P12 Growth]])</f>
        <v>1.0607496780029888</v>
      </c>
      <c r="AX12" s="27">
        <f>PortfolioFrontier[[#This Row],[P12 Growth]]/PortfolioFrontier[[#This Row],[P12 HWM]]-1</f>
        <v>0</v>
      </c>
      <c r="AY12" s="28">
        <f>SUMPRODUCT(INDEX(PortfolioRef[[SPY]:[PE]],MATCH(AY$1,PortfolioRef[Reference '#]),0),AssetMonthlyReturns[[#This Row],[SPY]:[PE]])</f>
        <v>2.2011868810589377E-2</v>
      </c>
      <c r="AZ12" s="27">
        <f>IF(ISNUMBER(AZ11),AZ11*(1+PortfolioFrontier[[#This Row],[P13 Return]]),1+PortfolioFrontier[[#This Row],[P13 Return]])</f>
        <v>1.064498243143013</v>
      </c>
      <c r="BA12" s="27">
        <f>MAX(BA11,PortfolioFrontier[[#This Row],[P13 Growth]])</f>
        <v>1.0663650133817999</v>
      </c>
      <c r="BB12" s="27">
        <f>PortfolioFrontier[[#This Row],[P13 Growth]]/PortfolioFrontier[[#This Row],[P13 HWM]]-1</f>
        <v>-1.7505921662477331E-3</v>
      </c>
      <c r="BC12" s="28">
        <f>SUMPRODUCT(INDEX(PortfolioRef[[SPY]:[PE]],MATCH(BC$1,PortfolioRef[Reference '#]),0),AssetMonthlyReturns[[#This Row],[SPY]:[PE]])</f>
        <v>2.1603192981185671E-2</v>
      </c>
      <c r="BD12" s="27">
        <f>IF(ISNUMBER(BD11),BD11*(1+PortfolioFrontier[[#This Row],[P14 Return]]),1+PortfolioFrontier[[#This Row],[P14 Return]])</f>
        <v>1.0662950850174402</v>
      </c>
      <c r="BE12" s="27">
        <f>MAX(BE11,PortfolioFrontier[[#This Row],[P14 Growth]])</f>
        <v>1.0662950850174402</v>
      </c>
      <c r="BF12" s="27">
        <f>PortfolioFrontier[[#This Row],[P14 Growth]]/PortfolioFrontier[[#This Row],[P14 HWM]]-1</f>
        <v>0</v>
      </c>
      <c r="BG12" s="28">
        <f>SUMPRODUCT(INDEX(PortfolioRef[[SPY]:[PE]],MATCH(BG$1,PortfolioRef[Reference '#]),0),AssetMonthlyReturns[[#This Row],[SPY]:[PE]])</f>
        <v>2.1194517151781972E-2</v>
      </c>
      <c r="BH12" s="27">
        <f>IF(ISNUMBER(BH11),BH11*(1+PortfolioFrontier[[#This Row],[P15 Return]]),1+PortfolioFrontier[[#This Row],[P15 Return]])</f>
        <v>1.0680581943656413</v>
      </c>
      <c r="BI12" s="27">
        <f>MAX(BI11,PortfolioFrontier[[#This Row],[P15 Growth]])</f>
        <v>1.0680581943656413</v>
      </c>
      <c r="BJ12" s="27">
        <f>PortfolioFrontier[[#This Row],[P15 Growth]]/PortfolioFrontier[[#This Row],[P15 HWM]]-1</f>
        <v>0</v>
      </c>
      <c r="BK12" s="28">
        <f>SUMPRODUCT(INDEX(PortfolioRef[[SPY]:[PE]],MATCH(BK$1,PortfolioRef[Reference '#]),0),AssetMonthlyReturns[[#This Row],[SPY]:[PE]])</f>
        <v>1.9867972540274729E-2</v>
      </c>
      <c r="BL12" s="27">
        <f>IF(ISNUMBER(BL11),BL11*(1+PortfolioFrontier[[#This Row],[P16 Return]]),1+PortfolioFrontier[[#This Row],[P16 Return]])</f>
        <v>1.0529870198687963</v>
      </c>
      <c r="BM12" s="27">
        <f>MAX(BM11,PortfolioFrontier[[#This Row],[P16 Growth]])</f>
        <v>1.0533890222033107</v>
      </c>
      <c r="BN12" s="27">
        <f>PortfolioFrontier[[#This Row],[P16 Growth]]/PortfolioFrontier[[#This Row],[P16 HWM]]-1</f>
        <v>-3.816276095924831E-4</v>
      </c>
      <c r="BO12" s="28">
        <f>SUMPRODUCT(INDEX(PortfolioRef[[SPY]:[PE]],MATCH(BO$1,PortfolioRef[Reference '#]),0),AssetMonthlyReturns[[#This Row],[SPY]:[PE]])</f>
        <v>2.2260160609272651E-2</v>
      </c>
      <c r="BP12" s="27">
        <f>IF(ISNUMBER(BP11),BP11*(1+PortfolioFrontier[[#This Row],[P17 Return]]),1+PortfolioFrontier[[#This Row],[P17 Return]])</f>
        <v>1.0500908207906914</v>
      </c>
      <c r="BQ12" s="27">
        <f>MAX(BQ11,PortfolioFrontier[[#This Row],[P17 Growth]])</f>
        <v>1.0545105093957718</v>
      </c>
      <c r="BR12" s="27">
        <f>PortfolioFrontier[[#This Row],[P17 Growth]]/PortfolioFrontier[[#This Row],[P17 HWM]]-1</f>
        <v>-4.1912229093030717E-3</v>
      </c>
      <c r="BS12" s="28">
        <f>SUMPRODUCT(INDEX(PortfolioRef[[SPY]:[PE]],MATCH(BS$1,PortfolioRef[Reference '#]),0),AssetMonthlyReturns[[#This Row],[SPY]:[PE]])</f>
        <v>2.0501190789191558E-2</v>
      </c>
      <c r="BT12" s="27">
        <f>IF(ISNUMBER(BT11),BT11*(1+PortfolioFrontier[[#This Row],[P18 Return]]),1+PortfolioFrontier[[#This Row],[P18 Return]])</f>
        <v>1.0556063762199417</v>
      </c>
      <c r="BU12" s="27">
        <f>MAX(BU11,PortfolioFrontier[[#This Row],[P18 Growth]])</f>
        <v>1.0590343449448867</v>
      </c>
      <c r="BV12" s="27">
        <f>PortfolioFrontier[[#This Row],[P18 Growth]]/PortfolioFrontier[[#This Row],[P18 HWM]]-1</f>
        <v>-3.2368815433680975E-3</v>
      </c>
      <c r="BW12" s="28">
        <f>SUMPRODUCT(INDEX(PortfolioRef[[SPY]:[PE]],MATCH(BW$1,PortfolioRef[Reference '#]),0),AssetMonthlyReturns[[#This Row],[SPY]:[PE]])</f>
        <v>2.0092514959787856E-2</v>
      </c>
      <c r="BX12" s="27">
        <f>IF(ISNUMBER(BX11),BX11*(1+PortfolioFrontier[[#This Row],[P19 Return]]),1+PortfolioFrontier[[#This Row],[P19 Return]])</f>
        <v>1.05736340350074</v>
      </c>
      <c r="BY12" s="27">
        <f>MAX(BY11,PortfolioFrontier[[#This Row],[P19 Growth]])</f>
        <v>1.05736340350074</v>
      </c>
      <c r="BZ12" s="27">
        <f>PortfolioFrontier[[#This Row],[P19 Growth]]/PortfolioFrontier[[#This Row],[P19 HWM]]-1</f>
        <v>0</v>
      </c>
      <c r="CA12" s="28">
        <f>SUMPRODUCT(INDEX(PortfolioRef[[SPY]:[PE]],MATCH(CA$1,PortfolioRef[Reference '#]),0),AssetMonthlyReturns[[#This Row],[SPY]:[PE]])</f>
        <v>2.465234867827058E-2</v>
      </c>
      <c r="CB12" s="27">
        <f>IF(ISNUMBER(CB11),CB11*(1+PortfolioFrontier[[#This Row],[P20 Return]]),1+PortfolioFrontier[[#This Row],[P20 Return]])</f>
        <v>1.0471603524817399</v>
      </c>
      <c r="CC12" s="27">
        <f>MAX(CC11,PortfolioFrontier[[#This Row],[P20 Growth]])</f>
        <v>1.0556101389686692</v>
      </c>
      <c r="CD12" s="27">
        <f>PortfolioFrontier[[#This Row],[P20 Growth]]/PortfolioFrontier[[#This Row],[P20 HWM]]-1</f>
        <v>-8.004646957241901E-3</v>
      </c>
      <c r="CE12" s="28">
        <f>SUMPRODUCT(INDEX(PortfolioRef[[SPY]:[PE]],MATCH(CE$1,PortfolioRef[Reference '#]),0),AssetMonthlyReturns[[#This Row],[SPY]:[PE]])</f>
        <v>2.2893378858189484E-2</v>
      </c>
      <c r="CF12" s="27">
        <f>IF(ISNUMBER(CF11),CF11*(1+PortfolioFrontier[[#This Row],[P21 Return]]),1+PortfolioFrontier[[#This Row],[P21 Return]])</f>
        <v>1.0526939802397379</v>
      </c>
      <c r="CG12" s="27">
        <f>MAX(CG11,PortfolioFrontier[[#This Row],[P21 Growth]])</f>
        <v>1.0601565617687558</v>
      </c>
      <c r="CH12" s="27">
        <f>PortfolioFrontier[[#This Row],[P21 Growth]]/PortfolioFrontier[[#This Row],[P21 HWM]]-1</f>
        <v>-7.0391315755924388E-3</v>
      </c>
      <c r="CI12" s="28">
        <f>SUMPRODUCT(INDEX(PortfolioRef[[SPY]:[PE]],MATCH(CI$1,PortfolioRef[Reference '#]),0),AssetMonthlyReturns[[#This Row],[SPY]:[PE]])</f>
        <v>2.2484703028785781E-2</v>
      </c>
      <c r="CJ12" s="27">
        <f>IF(ISNUMBER(CJ11),CJ11*(1+PortfolioFrontier[[#This Row],[P22 Return]]),1+PortfolioFrontier[[#This Row],[P22 Return]])</f>
        <v>1.0544635278494956</v>
      </c>
      <c r="CK12" s="27">
        <f>MAX(CK11,PortfolioFrontier[[#This Row],[P22 Growth]])</f>
        <v>1.0552813700947876</v>
      </c>
      <c r="CL12" s="27">
        <f>PortfolioFrontier[[#This Row],[P22 Growth]]/PortfolioFrontier[[#This Row],[P22 HWM]]-1</f>
        <v>-7.7499922624291173E-4</v>
      </c>
      <c r="CM12" s="28">
        <f>SUMPRODUCT(INDEX(PortfolioRef[[SPY]:[PE]],MATCH(CM$1,PortfolioRef[Reference '#]),0),AssetMonthlyReturns[[#This Row],[SPY]:[PE]])</f>
        <v>2.1134409038108395E-2</v>
      </c>
      <c r="CN12" s="27">
        <f>IF(ISNUMBER(CN11),CN11*(1+PortfolioFrontier[[#This Row],[P23 Return]]),1+PortfolioFrontier[[#This Row],[P23 Return]])</f>
        <v>1.0582088605489368</v>
      </c>
      <c r="CO12" s="27">
        <f>MAX(CO11,PortfolioFrontier[[#This Row],[P23 Growth]])</f>
        <v>1.0646990366599287</v>
      </c>
      <c r="CP12" s="27">
        <f>PortfolioFrontier[[#This Row],[P23 Growth]]/PortfolioFrontier[[#This Row],[P23 HWM]]-1</f>
        <v>-6.0957847124124553E-3</v>
      </c>
      <c r="CQ12" s="28">
        <f>SUMPRODUCT(INDEX(PortfolioRef[[SPY]:[PE]],MATCH(CQ$1,PortfolioRef[Reference '#]),0),AssetMonthlyReturns[[#This Row],[SPY]:[PE]])</f>
        <v>2.0725733208704689E-2</v>
      </c>
      <c r="CR12" s="27">
        <f>IF(ISNUMBER(CR11),CR11*(1+PortfolioFrontier[[#This Row],[P24 Return]]),1+PortfolioFrontier[[#This Row],[P24 Return]])</f>
        <v>1.0599961635966058</v>
      </c>
      <c r="CS12" s="27">
        <f>MAX(CS11,PortfolioFrontier[[#This Row],[P24 Growth]])</f>
        <v>1.0599961635966058</v>
      </c>
      <c r="CT12" s="27">
        <f>PortfolioFrontier[[#This Row],[P24 Growth]]/PortfolioFrontier[[#This Row],[P24 HWM]]-1</f>
        <v>0</v>
      </c>
      <c r="CU12" s="28">
        <f>SUMPRODUCT(INDEX(PortfolioRef[[SPY]:[PE]],MATCH(CU$1,PortfolioRef[Reference '#]),0),AssetMonthlyReturns[[#This Row],[SPY]:[PE]])</f>
        <v>2.0317057379300989E-2</v>
      </c>
      <c r="CV12" s="27">
        <f>IF(ISNUMBER(CV11),CV11*(1+PortfolioFrontier[[#This Row],[P25 Return]]),1+PortfolioFrontier[[#This Row],[P25 Return]])</f>
        <v>1.0617499474511154</v>
      </c>
      <c r="CW12" s="27">
        <f>MAX(CW11,PortfolioFrontier[[#This Row],[P25 Growth]])</f>
        <v>1.0617499474511154</v>
      </c>
      <c r="CX12" s="27">
        <f>PortfolioFrontier[[#This Row],[P25 Growth]]/PortfolioFrontier[[#This Row],[P25 HWM]]-1</f>
        <v>0</v>
      </c>
      <c r="CY12" s="28">
        <f>SUMPRODUCT(INDEX(PortfolioRef[[SPY]:[PE]],MATCH(CY$1,PortfolioRef[Reference '#]),0),AssetMonthlyReturns[[#This Row],[SPY]:[PE]])</f>
        <v>2.5285566927187409E-2</v>
      </c>
      <c r="CZ12" s="27">
        <f>IF(ISNUMBER(CZ11),CZ11*(1+PortfolioFrontier[[#This Row],[P26 Return]]),1+PortfolioFrontier[[#This Row],[P26 Return]])</f>
        <v>1.049747356747436</v>
      </c>
      <c r="DA12" s="27">
        <f>MAX(DA11,PortfolioFrontier[[#This Row],[P26 Growth]])</f>
        <v>1.0612568671363731</v>
      </c>
      <c r="DB12" s="27">
        <f>PortfolioFrontier[[#This Row],[P26 Growth]]/PortfolioFrontier[[#This Row],[P26 HWM]]-1</f>
        <v>-1.0845169294398604E-2</v>
      </c>
      <c r="DC12" s="28">
        <f>SUMPRODUCT(INDEX(PortfolioRef[[SPY]:[PE]],MATCH(DC$1,PortfolioRef[Reference '#]),0),AssetMonthlyReturns[[#This Row],[SPY]:[PE]])</f>
        <v>2.4876891097783706E-2</v>
      </c>
      <c r="DD12" s="27">
        <f>IF(ISNUMBER(DD11),DD11*(1+PortfolioFrontier[[#This Row],[P27 Return]]),1+PortfolioFrontier[[#This Row],[P27 Return]])</f>
        <v>1.051529205895283</v>
      </c>
      <c r="DE12" s="27">
        <f>MAX(DE11,PortfolioFrontier[[#This Row],[P27 Growth]])</f>
        <v>1.0563840044309512</v>
      </c>
      <c r="DF12" s="27">
        <f>PortfolioFrontier[[#This Row],[P27 Growth]]/PortfolioFrontier[[#This Row],[P27 HWM]]-1</f>
        <v>-4.5956759240057821E-3</v>
      </c>
      <c r="DG12" s="28">
        <f>SUMPRODUCT(INDEX(PortfolioRef[[SPY]:[PE]],MATCH(DG$1,PortfolioRef[Reference '#]),0),AssetMonthlyReturns[[#This Row],[SPY]:[PE]])</f>
        <v>2.352659710710632E-2</v>
      </c>
      <c r="DH12" s="27">
        <f>IF(ISNUMBER(DH11),DH11*(1+PortfolioFrontier[[#This Row],[P28 Return]]),1+PortfolioFrontier[[#This Row],[P28 Return]])</f>
        <v>1.0552802748143921</v>
      </c>
      <c r="DI12" s="27">
        <f>MAX(DI11,PortfolioFrontier[[#This Row],[P28 Growth]])</f>
        <v>1.0658219754648834</v>
      </c>
      <c r="DJ12" s="27">
        <f>PortfolioFrontier[[#This Row],[P28 Growth]]/PortfolioFrontier[[#This Row],[P28 HWM]]-1</f>
        <v>-9.8906767670026152E-3</v>
      </c>
      <c r="DK12" s="28">
        <f>SUMPRODUCT(INDEX(PortfolioRef[[SPY]:[PE]],MATCH(DK$1,PortfolioRef[Reference '#]),0),AssetMonthlyReturns[[#This Row],[SPY]:[PE]])</f>
        <v>2.3117921277702614E-2</v>
      </c>
      <c r="DL12" s="27">
        <f>IF(ISNUMBER(DL11),DL11*(1+PortfolioFrontier[[#This Row],[P29 Return]]),1+PortfolioFrontier[[#This Row],[P29 Return]])</f>
        <v>1.0570800409636272</v>
      </c>
      <c r="DM12" s="27">
        <f>MAX(DM11,PortfolioFrontier[[#This Row],[P29 Growth]])</f>
        <v>1.0609296156065076</v>
      </c>
      <c r="DN12" s="27">
        <f>PortfolioFrontier[[#This Row],[P29 Growth]]/PortfolioFrontier[[#This Row],[P29 HWM]]-1</f>
        <v>-3.6284920189353365E-3</v>
      </c>
      <c r="DO12" s="28">
        <f>SUMPRODUCT(INDEX(PortfolioRef[[SPY]:[PE]],MATCH(DO$1,PortfolioRef[Reference '#]),0),AssetMonthlyReturns[[#This Row],[SPY]:[PE]])</f>
        <v>2.2709245448298915E-2</v>
      </c>
      <c r="DP12" s="27">
        <f>IF(ISNUMBER(DP11),DP11*(1+PortfolioFrontier[[#This Row],[P30 Return]]),1+PortfolioFrontier[[#This Row],[P30 Return]])</f>
        <v>1.0588464301004765</v>
      </c>
      <c r="DQ12" s="27">
        <f>MAX(DQ11,PortfolioFrontier[[#This Row],[P30 Growth]])</f>
        <v>1.0588464301004765</v>
      </c>
      <c r="DR12" s="27">
        <f>PortfolioFrontier[[#This Row],[P30 Growth]]/PortfolioFrontier[[#This Row],[P30 HWM]]-1</f>
        <v>0</v>
      </c>
      <c r="DS12" s="28">
        <f>SUMPRODUCT(INDEX(PortfolioRef[[SPY]:[PE]],MATCH(DS$1,PortfolioRef[Reference '#]),0),AssetMonthlyReturns[[#This Row],[SPY]:[PE]])</f>
        <v>2.1767627287025231E-2</v>
      </c>
      <c r="DT12" s="27">
        <f>IF(ISNUMBER(DT11),DT11*(1+PortfolioFrontier[[#This Row],[P31 Return]]),1+PortfolioFrontier[[#This Row],[P31 Return]])</f>
        <v>1.0607943265098152</v>
      </c>
      <c r="DU12" s="27">
        <f>MAX(DU11,PortfolioFrontier[[#This Row],[P31 Growth]])</f>
        <v>1.0703831287009218</v>
      </c>
      <c r="DV12" s="27">
        <f>PortfolioFrontier[[#This Row],[P31 Growth]]/PortfolioFrontier[[#This Row],[P31 HWM]]-1</f>
        <v>-8.9582897319617771E-3</v>
      </c>
      <c r="DW12" s="28">
        <f>SUMPRODUCT(INDEX(PortfolioRef[[SPY]:[PE]],MATCH(DW$1,PortfolioRef[Reference '#]),0),AssetMonthlyReturns[[#This Row],[SPY]:[PE]])</f>
        <v>2.1358951457621525E-2</v>
      </c>
      <c r="DX12" s="27">
        <f>IF(ISNUMBER(DX11),DX11*(1+PortfolioFrontier[[#This Row],[P32 Return]]),1+PortfolioFrontier[[#This Row],[P32 Return]])</f>
        <v>1.0626120235425618</v>
      </c>
      <c r="DY12" s="27">
        <f>MAX(DY11,PortfolioFrontier[[#This Row],[P32 Growth]])</f>
        <v>1.0654712464317915</v>
      </c>
      <c r="DZ12" s="27">
        <f>PortfolioFrontier[[#This Row],[P32 Growth]]/PortfolioFrontier[[#This Row],[P32 HWM]]-1</f>
        <v>-2.6835289068617429E-3</v>
      </c>
      <c r="EA12" s="28">
        <f>SUMPRODUCT(INDEX(PortfolioRef[[SPY]:[PE]],MATCH(EA$1,PortfolioRef[Reference '#]),0),AssetMonthlyReturns[[#This Row],[SPY]:[PE]])</f>
        <v>2.0950275628217822E-2</v>
      </c>
      <c r="EB12" s="27">
        <f>IF(ISNUMBER(EB11),EB11*(1+PortfolioFrontier[[#This Row],[P33 Return]]),1+PortfolioFrontier[[#This Row],[P33 Return]])</f>
        <v>1.0643961608608565</v>
      </c>
      <c r="EC12" s="27">
        <f>MAX(EC11,PortfolioFrontier[[#This Row],[P33 Growth]])</f>
        <v>1.0643961608608565</v>
      </c>
      <c r="ED12" s="27">
        <f>PortfolioFrontier[[#This Row],[P33 Growth]]/PortfolioFrontier[[#This Row],[P33 HWM]]-1</f>
        <v>0</v>
      </c>
      <c r="EE12" s="28">
        <f>SUMPRODUCT(INDEX(PortfolioRef[[SPY]:[PE]],MATCH(EE$1,PortfolioRef[Reference '#]),0),AssetMonthlyReturns[[#This Row],[SPY]:[PE]])</f>
        <v>1.8990512767793743E-2</v>
      </c>
      <c r="EF12" s="27">
        <f>IF(ISNUMBER(EF11),EF11*(1+PortfolioFrontier[[#This Row],[P34 Return]]),1+PortfolioFrontier[[#This Row],[P34 Return]])</f>
        <v>1.0467357849091077</v>
      </c>
      <c r="EG12" s="27">
        <f>MAX(EG11,PortfolioFrontier[[#This Row],[P34 Growth]])</f>
        <v>1.0517322201467738</v>
      </c>
      <c r="EH12" s="27">
        <f>PortfolioFrontier[[#This Row],[P34 Growth]]/PortfolioFrontier[[#This Row],[P34 HWM]]-1</f>
        <v>-4.7506724068687722E-3</v>
      </c>
      <c r="EI12" s="28">
        <f>SUMPRODUCT(INDEX(PortfolioRef[[SPY]:[PE]],MATCH(EI$1,PortfolioRef[Reference '#]),0),AssetMonthlyReturns[[#This Row],[SPY]:[PE]])</f>
        <v>2.1382700836791668E-2</v>
      </c>
      <c r="EJ12" s="27">
        <f>IF(ISNUMBER(EJ11),EJ11*(1+PortfolioFrontier[[#This Row],[P35 Return]]),1+PortfolioFrontier[[#This Row],[P35 Return]])</f>
        <v>1.0438434153901084</v>
      </c>
      <c r="EK12" s="27">
        <f>MAX(EK11,PortfolioFrontier[[#This Row],[P35 Growth]])</f>
        <v>1.0528468126652037</v>
      </c>
      <c r="EL12" s="27">
        <f>PortfolioFrontier[[#This Row],[P35 Growth]]/PortfolioFrontier[[#This Row],[P35 HWM]]-1</f>
        <v>-8.5514788730792768E-3</v>
      </c>
      <c r="EM12" s="28">
        <f>SUMPRODUCT(INDEX(PortfolioRef[[SPY]:[PE]],MATCH(EM$1,PortfolioRef[Reference '#]),0),AssetMonthlyReturns[[#This Row],[SPY]:[PE]])</f>
        <v>1.9623731016710576E-2</v>
      </c>
      <c r="EN12" s="27">
        <f>IF(ISNUMBER(EN11),EN11*(1+PortfolioFrontier[[#This Row],[P36 Return]]),1+PortfolioFrontier[[#This Row],[P36 Return]])</f>
        <v>1.0493461586064676</v>
      </c>
      <c r="EO12" s="27">
        <f>MAX(EO11,PortfolioFrontier[[#This Row],[P36 Growth]])</f>
        <v>1.0573716986027815</v>
      </c>
      <c r="EP12" s="27">
        <f>PortfolioFrontier[[#This Row],[P36 Growth]]/PortfolioFrontier[[#This Row],[P36 HWM]]-1</f>
        <v>-7.590083985526408E-3</v>
      </c>
      <c r="EQ12" s="28">
        <f>SUMPRODUCT(INDEX(PortfolioRef[[SPY]:[PE]],MATCH(EQ$1,PortfolioRef[Reference '#]),0),AssetMonthlyReturns[[#This Row],[SPY]:[PE]])</f>
        <v>1.9215055187306873E-2</v>
      </c>
      <c r="ER12" s="27">
        <f>IF(ISNUMBER(ER11),ER11*(1+PortfolioFrontier[[#This Row],[P37 Return]]),1+PortfolioFrontier[[#This Row],[P37 Return]])</f>
        <v>1.0510938398475664</v>
      </c>
      <c r="ES12" s="27">
        <f>MAX(ES11,PortfolioFrontier[[#This Row],[P37 Growth]])</f>
        <v>1.0525027234544753</v>
      </c>
      <c r="ET12" s="27">
        <f>PortfolioFrontier[[#This Row],[P37 Growth]]/PortfolioFrontier[[#This Row],[P37 HWM]]-1</f>
        <v>-1.3386032886305577E-3</v>
      </c>
      <c r="EU12" s="28">
        <f>SUMPRODUCT(INDEX(PortfolioRef[[SPY]:[PE]],MATCH(EU$1,PortfolioRef[Reference '#]),0),AssetMonthlyReturns[[#This Row],[SPY]:[PE]])</f>
        <v>2.3774888905789594E-2</v>
      </c>
      <c r="EV12" s="27">
        <f>IF(ISNUMBER(EV11),EV11*(1+PortfolioFrontier[[#This Row],[P38 Return]]),1+PortfolioFrontier[[#This Row],[P38 Return]])</f>
        <v>1.0409169945689769</v>
      </c>
      <c r="EW12" s="27">
        <f>MAX(EW11,PortfolioFrontier[[#This Row],[P38 Growth]])</f>
        <v>1.0539395781959364</v>
      </c>
      <c r="EX12" s="27">
        <f>PortfolioFrontier[[#This Row],[P38 Growth]]/PortfolioFrontier[[#This Row],[P38 HWM]]-1</f>
        <v>-1.2356100763623146E-2</v>
      </c>
      <c r="EY12" s="28">
        <f>SUMPRODUCT(INDEX(PortfolioRef[[SPY]:[PE]],MATCH(EY$1,PortfolioRef[Reference '#]),0),AssetMonthlyReturns[[#This Row],[SPY]:[PE]])</f>
        <v>2.2015919085708501E-2</v>
      </c>
      <c r="EZ12" s="27">
        <f>IF(ISNUMBER(EZ11),EZ11*(1+PortfolioFrontier[[#This Row],[P39 Return]]),1+PortfolioFrontier[[#This Row],[P39 Return]])</f>
        <v>1.0464376595277887</v>
      </c>
      <c r="FA12" s="27">
        <f>MAX(FA11,PortfolioFrontier[[#This Row],[P39 Growth]])</f>
        <v>1.0584870102730288</v>
      </c>
      <c r="FB12" s="27">
        <f>PortfolioFrontier[[#This Row],[P39 Growth]]/PortfolioFrontier[[#This Row],[P39 HWM]]-1</f>
        <v>-1.1383560334984333E-2</v>
      </c>
      <c r="FC12" s="28">
        <f>SUMPRODUCT(INDEX(PortfolioRef[[SPY]:[PE]],MATCH(FC$1,PortfolioRef[Reference '#]),0),AssetMonthlyReturns[[#This Row],[SPY]:[PE]])</f>
        <v>2.1607243256304799E-2</v>
      </c>
      <c r="FD12" s="27">
        <f>IF(ISNUMBER(FD11),FD11*(1+PortfolioFrontier[[#This Row],[P40 Return]]),1+PortfolioFrontier[[#This Row],[P40 Return]])</f>
        <v>1.0481977491030352</v>
      </c>
      <c r="FE12" s="27">
        <f>MAX(FE11,PortfolioFrontier[[#This Row],[P40 Growth]])</f>
        <v>1.0536203366814236</v>
      </c>
      <c r="FF12" s="27">
        <f>PortfolioFrontier[[#This Row],[P40 Growth]]/PortfolioFrontier[[#This Row],[P40 HWM]]-1</f>
        <v>-5.1466238735177194E-3</v>
      </c>
      <c r="FG12" s="28">
        <f>SUMPRODUCT(INDEX(PortfolioRef[[SPY]:[PE]],MATCH(FG$1,PortfolioRef[Reference '#]),0),AssetMonthlyReturns[[#This Row],[SPY]:[PE]])</f>
        <v>2.0256949265627412E-2</v>
      </c>
      <c r="FH12" s="27">
        <f>IF(ISNUMBER(FH11),FH11*(1+PortfolioFrontier[[#This Row],[P41 Return]]),1+PortfolioFrontier[[#This Row],[P41 Return]])</f>
        <v>1.0519397777494888</v>
      </c>
      <c r="FI12" s="27">
        <f>MAX(FI11,PortfolioFrontier[[#This Row],[P41 Growth]])</f>
        <v>1.0630305353889682</v>
      </c>
      <c r="FJ12" s="27">
        <f>PortfolioFrontier[[#This Row],[P41 Growth]]/PortfolioFrontier[[#This Row],[P41 HWM]]-1</f>
        <v>-1.0433150573065375E-2</v>
      </c>
      <c r="FK12" s="28">
        <f>SUMPRODUCT(INDEX(PortfolioRef[[SPY]:[PE]],MATCH(FK$1,PortfolioRef[Reference '#]),0),AssetMonthlyReturns[[#This Row],[SPY]:[PE]])</f>
        <v>1.9848273436223706E-2</v>
      </c>
      <c r="FL12" s="27">
        <f>IF(ISNUMBER(FL11),FL11*(1+PortfolioFrontier[[#This Row],[P42 Return]]),1+PortfolioFrontier[[#This Row],[P42 Return]])</f>
        <v>1.0537175636084988</v>
      </c>
      <c r="FM12" s="27">
        <f>MAX(FM11,PortfolioFrontier[[#This Row],[P42 Growth]])</f>
        <v>1.0581443952260881</v>
      </c>
      <c r="FN12" s="27">
        <f>PortfolioFrontier[[#This Row],[P42 Growth]]/PortfolioFrontier[[#This Row],[P42 HWM]]-1</f>
        <v>-4.1835798947301717E-3</v>
      </c>
      <c r="FO12" s="28">
        <f>SUMPRODUCT(INDEX(PortfolioRef[[SPY]:[PE]],MATCH(FO$1,PortfolioRef[Reference '#]),0),AssetMonthlyReturns[[#This Row],[SPY]:[PE]])</f>
        <v>1.9439597606820003E-2</v>
      </c>
      <c r="FP12" s="27">
        <f>IF(ISNUMBER(FP11),FP11*(1+PortfolioFrontier[[#This Row],[P43 Return]]),1+PortfolioFrontier[[#This Row],[P43 Return]])</f>
        <v>1.0554620426901908</v>
      </c>
      <c r="FQ12" s="27">
        <f>MAX(FQ11,PortfolioFrontier[[#This Row],[P43 Growth]])</f>
        <v>1.0554620426901908</v>
      </c>
      <c r="FR12" s="27">
        <f>PortfolioFrontier[[#This Row],[P43 Growth]]/PortfolioFrontier[[#This Row],[P43 HWM]]-1</f>
        <v>0</v>
      </c>
      <c r="FS12" s="28">
        <f>SUMPRODUCT(INDEX(PortfolioRef[[SPY]:[PE]],MATCH(FS$1,PortfolioRef[Reference '#]),0),AssetMonthlyReturns[[#This Row],[SPY]:[PE]])</f>
        <v>2.4408107154706427E-2</v>
      </c>
      <c r="FT12" s="27">
        <f>IF(ISNUMBER(FT11),FT11*(1+PortfolioFrontier[[#This Row],[P44 Return]]),1+PortfolioFrontier[[#This Row],[P44 Return]])</f>
        <v>1.0434951505577605</v>
      </c>
      <c r="FU12" s="27">
        <f>MAX(FU11,PortfolioFrontier[[#This Row],[P44 Growth]])</f>
        <v>1.0595804411188903</v>
      </c>
      <c r="FV12" s="27">
        <f>PortfolioFrontier[[#This Row],[P44 Growth]]/PortfolioFrontier[[#This Row],[P44 HWM]]-1</f>
        <v>-1.5180811137042172E-2</v>
      </c>
      <c r="FW12" s="28">
        <f>SUMPRODUCT(INDEX(PortfolioRef[[SPY]:[PE]],MATCH(FW$1,PortfolioRef[Reference '#]),0),AssetMonthlyReturns[[#This Row],[SPY]:[PE]])</f>
        <v>2.3999431325302724E-2</v>
      </c>
      <c r="FX12" s="27">
        <f>IF(ISNUMBER(FX11),FX11*(1+PortfolioFrontier[[#This Row],[P45 Return]]),1+PortfolioFrontier[[#This Row],[P45 Return]])</f>
        <v>1.0452674308499565</v>
      </c>
      <c r="FY12" s="27">
        <f>MAX(FY11,PortfolioFrontier[[#This Row],[P45 Growth]])</f>
        <v>1.0547160923085321</v>
      </c>
      <c r="FZ12" s="27">
        <f>PortfolioFrontier[[#This Row],[P45 Growth]]/PortfolioFrontier[[#This Row],[P45 HWM]]-1</f>
        <v>-8.958488002107412E-3</v>
      </c>
      <c r="GA12" s="28">
        <f>SUMPRODUCT(INDEX(PortfolioRef[[SPY]:[PE]],MATCH(GA$1,PortfolioRef[Reference '#]),0),AssetMonthlyReturns[[#This Row],[SPY]:[PE]])</f>
        <v>2.2649137334625334E-2</v>
      </c>
      <c r="GB12" s="27">
        <f>IF(ISNUMBER(GB11),GB11*(1+PortfolioFrontier[[#This Row],[P46 Return]]),1+PortfolioFrontier[[#This Row],[P46 Return]])</f>
        <v>1.0490151563014825</v>
      </c>
      <c r="GC12" s="27">
        <f>MAX(GC11,PortfolioFrontier[[#This Row],[P46 Growth]])</f>
        <v>1.0641465585607095</v>
      </c>
      <c r="GD12" s="27">
        <f>PortfolioFrontier[[#This Row],[P46 Growth]]/PortfolioFrontier[[#This Row],[P46 HWM]]-1</f>
        <v>-1.4219284117868769E-2</v>
      </c>
      <c r="GE12" s="28">
        <f>SUMPRODUCT(INDEX(PortfolioRef[[SPY]:[PE]],MATCH(GE$1,PortfolioRef[Reference '#]),0),AssetMonthlyReturns[[#This Row],[SPY]:[PE]])</f>
        <v>2.2240461505221628E-2</v>
      </c>
      <c r="GF12" s="27">
        <f>IF(ISNUMBER(GF11),GF11*(1+PortfolioFrontier[[#This Row],[P47 Return]]),1+PortfolioFrontier[[#This Row],[P47 Return]])</f>
        <v>1.0508052934239465</v>
      </c>
      <c r="GG12" s="27">
        <f>MAX(GG11,PortfolioFrontier[[#This Row],[P47 Growth]])</f>
        <v>1.0592627300561601</v>
      </c>
      <c r="GH12" s="27">
        <f>PortfolioFrontier[[#This Row],[P47 Growth]]/PortfolioFrontier[[#This Row],[P47 HWM]]-1</f>
        <v>-7.9842671626568773E-3</v>
      </c>
      <c r="GI12" s="28">
        <f>SUMPRODUCT(INDEX(PortfolioRef[[SPY]:[PE]],MATCH(GI$1,PortfolioRef[Reference '#]),0),AssetMonthlyReturns[[#This Row],[SPY]:[PE]])</f>
        <v>2.1831785675817929E-2</v>
      </c>
      <c r="GJ12" s="27">
        <f>IF(ISNUMBER(GJ11),GJ11*(1+PortfolioFrontier[[#This Row],[P48 Return]]),1+PortfolioFrontier[[#This Row],[P48 Return]])</f>
        <v>1.0525622652602844</v>
      </c>
      <c r="GK12" s="27">
        <f>MAX(GK11,PortfolioFrontier[[#This Row],[P48 Growth]])</f>
        <v>1.0543910660392006</v>
      </c>
      <c r="GL12" s="27">
        <f>PortfolioFrontier[[#This Row],[P48 Growth]]/PortfolioFrontier[[#This Row],[P48 HWM]]-1</f>
        <v>-1.7344615653716033E-3</v>
      </c>
      <c r="GM12" s="28">
        <f>SUMPRODUCT(INDEX(PortfolioRef[[SPY]:[PE]],MATCH(GM$1,PortfolioRef[Reference '#]),0),AssetMonthlyReturns[[#This Row],[SPY]:[PE]])</f>
        <v>2.0890167514544245E-2</v>
      </c>
      <c r="GN12" s="27">
        <f>IF(ISNUMBER(GN11),GN11*(1+PortfolioFrontier[[#This Row],[P49 Return]]),1+PortfolioFrontier[[#This Row],[P49 Return]])</f>
        <v>1.0545164965412617</v>
      </c>
      <c r="GO12" s="27">
        <f>MAX(GO11,PortfolioFrontier[[#This Row],[P49 Growth]])</f>
        <v>1.0687087618578179</v>
      </c>
      <c r="GP12" s="27">
        <f>PortfolioFrontier[[#This Row],[P49 Growth]]/PortfolioFrontier[[#This Row],[P49 HWM]]-1</f>
        <v>-1.3279824984203104E-2</v>
      </c>
      <c r="GQ12" s="28">
        <f>SUMPRODUCT(INDEX(PortfolioRef[[SPY]:[PE]],MATCH(GQ$1,PortfolioRef[Reference '#]),0),AssetMonthlyReturns[[#This Row],[SPY]:[PE]])</f>
        <v>2.0481491685140539E-2</v>
      </c>
      <c r="GR12" s="27">
        <f>IF(ISNUMBER(GR11),GR11*(1+PortfolioFrontier[[#This Row],[P50 Return]]),1+PortfolioFrontier[[#This Row],[P50 Return]])</f>
        <v>1.0563245048450298</v>
      </c>
      <c r="GS12" s="27">
        <f>MAX(GS11,PortfolioFrontier[[#This Row],[P50 Growth]])</f>
        <v>1.063805428401277</v>
      </c>
      <c r="GT12" s="27">
        <f>PortfolioFrontier[[#This Row],[P50 Growth]]/PortfolioFrontier[[#This Row],[P50 HWM]]-1</f>
        <v>-7.0322291619527855E-3</v>
      </c>
      <c r="GU12" s="28">
        <f>SUMPRODUCT(INDEX(PortfolioRef[[SPY]:[PE]],MATCH(GU$1,PortfolioRef[Reference '#]),0),AssetMonthlyReturns[[#This Row],[SPY]:[PE]])</f>
        <v>2.0072815855736836E-2</v>
      </c>
      <c r="GV12" s="27">
        <f>IF(ISNUMBER(GV11),GV11*(1+PortfolioFrontier[[#This Row],[P51 Return]]),1+PortfolioFrontier[[#This Row],[P51 Return]])</f>
        <v>1.0580991659034831</v>
      </c>
      <c r="GW12" s="27">
        <f>MAX(GW11,PortfolioFrontier[[#This Row],[P51 Growth]])</f>
        <v>1.0589142847594883</v>
      </c>
      <c r="GX12" s="27">
        <f>PortfolioFrontier[[#This Row],[P51 Growth]]/PortfolioFrontier[[#This Row],[P51 HWM]]-1</f>
        <v>-7.6976849565346672E-4</v>
      </c>
      <c r="GY12" s="28">
        <f>SUMPRODUCT(INDEX(PortfolioRef[[SPY]:[PE]],MATCH(GY$1,PortfolioRef[Reference '#]),0),AssetMonthlyReturns[[#This Row],[SPY]:[PE]])</f>
        <v>2.5041325403623263E-2</v>
      </c>
      <c r="GZ12" s="27">
        <f>IF(ISNUMBER(GZ11),GZ11*(1+PortfolioFrontier[[#This Row],[P52 Return]]),1+PortfolioFrontier[[#This Row],[P52 Return]])</f>
        <v>1.046056567169293</v>
      </c>
      <c r="HA12" s="27">
        <f>MAX(HA11,PortfolioFrontier[[#This Row],[P52 Growth]])</f>
        <v>1.0652406470713773</v>
      </c>
      <c r="HB12" s="27">
        <f>PortfolioFrontier[[#This Row],[P52 Growth]]/PortfolioFrontier[[#This Row],[P52 HWM]]-1</f>
        <v>-1.8009151223084108E-2</v>
      </c>
      <c r="HC12" s="28">
        <f>SUMPRODUCT(INDEX(PortfolioRef[[SPY]:[PE]],MATCH(HC$1,PortfolioRef[Reference '#]),0),AssetMonthlyReturns[[#This Row],[SPY]:[PE]])</f>
        <v>2.4632649574219557E-2</v>
      </c>
      <c r="HD12" s="27">
        <f>IF(ISNUMBER(HD11),HD11*(1+PortfolioFrontier[[#This Row],[P53 Return]]),1+PortfolioFrontier[[#This Row],[P53 Return]])</f>
        <v>1.0478588371226418</v>
      </c>
      <c r="HE12" s="27">
        <f>MAX(HE11,PortfolioFrontier[[#This Row],[P53 Growth]])</f>
        <v>1.0603591534497043</v>
      </c>
      <c r="HF12" s="27">
        <f>PortfolioFrontier[[#This Row],[P53 Growth]]/PortfolioFrontier[[#This Row],[P53 HWM]]-1</f>
        <v>-1.1788756938057032E-2</v>
      </c>
      <c r="HG12" s="28">
        <f>SUMPRODUCT(INDEX(PortfolioRef[[SPY]:[PE]],MATCH(HG$1,PortfolioRef[Reference '#]),0),AssetMonthlyReturns[[#This Row],[SPY]:[PE]])</f>
        <v>2.4223973744815858E-2</v>
      </c>
      <c r="HH12" s="27">
        <f>IF(ISNUMBER(HH11),HH11*(1+PortfolioFrontier[[#This Row],[P54 Return]]),1+PortfolioFrontier[[#This Row],[P54 Return]])</f>
        <v>1.0496280835009881</v>
      </c>
      <c r="HI12" s="27">
        <f>MAX(HI11,PortfolioFrontier[[#This Row],[P54 Growth]])</f>
        <v>1.0554898211283554</v>
      </c>
      <c r="HJ12" s="27">
        <f>PortfolioFrontier[[#This Row],[P54 Growth]]/PortfolioFrontier[[#This Row],[P54 HWM]]-1</f>
        <v>-5.5535709677435596E-3</v>
      </c>
      <c r="HK12" s="28">
        <f>SUMPRODUCT(INDEX(PortfolioRef[[SPY]:[PE]],MATCH(HK$1,PortfolioRef[Reference '#]),0),AssetMonthlyReturns[[#This Row],[SPY]:[PE]])</f>
        <v>2.3282355583542167E-2</v>
      </c>
      <c r="HL12" s="27">
        <f>IF(ISNUMBER(HL11),HL11*(1+PortfolioFrontier[[#This Row],[P55 Return]]),1+PortfolioFrontier[[#This Row],[P55 Return]])</f>
        <v>1.051575760483509</v>
      </c>
      <c r="HM12" s="27">
        <f>MAX(HM11,PortfolioFrontier[[#This Row],[P55 Growth]])</f>
        <v>1.0698254888807313</v>
      </c>
      <c r="HN12" s="27">
        <f>PortfolioFrontier[[#This Row],[P55 Growth]]/PortfolioFrontier[[#This Row],[P55 HWM]]-1</f>
        <v>-1.7058603096394176E-2</v>
      </c>
      <c r="HO12" s="28">
        <f>SUMPRODUCT(INDEX(PortfolioRef[[SPY]:[PE]],MATCH(HO$1,PortfolioRef[Reference '#]),0),AssetMonthlyReturns[[#This Row],[SPY]:[PE]])</f>
        <v>2.2873679754138461E-2</v>
      </c>
      <c r="HP12" s="27">
        <f>IF(ISNUMBER(HP11),HP11*(1+PortfolioFrontier[[#This Row],[P56 Return]]),1+PortfolioFrontier[[#This Row],[P56 Return]])</f>
        <v>1.0533960622866536</v>
      </c>
      <c r="HQ12" s="27">
        <f>MAX(HQ11,PortfolioFrontier[[#This Row],[P56 Growth]])</f>
        <v>1.06492447718415</v>
      </c>
      <c r="HR12" s="27">
        <f>PortfolioFrontier[[#This Row],[P56 Growth]]/PortfolioFrontier[[#This Row],[P56 HWM]]-1</f>
        <v>-1.0825570399113693E-2</v>
      </c>
      <c r="HS12" s="28">
        <f>SUMPRODUCT(INDEX(PortfolioRef[[SPY]:[PE]],MATCH(HS$1,PortfolioRef[Reference '#]),0),AssetMonthlyReturns[[#This Row],[SPY]:[PE]])</f>
        <v>2.2465003924734758E-2</v>
      </c>
      <c r="HT12" s="27">
        <f>IF(ISNUMBER(HT11),HT11*(1+PortfolioFrontier[[#This Row],[P57 Return]]),1+PortfolioFrontier[[#This Row],[P57 Return]])</f>
        <v>1.0551831590596839</v>
      </c>
      <c r="HU12" s="27">
        <f>MAX(HU11,PortfolioFrontier[[#This Row],[P57 Growth]])</f>
        <v>1.0600356521150558</v>
      </c>
      <c r="HV12" s="27">
        <f>PortfolioFrontier[[#This Row],[P57 Growth]]/PortfolioFrontier[[#This Row],[P57 HWM]]-1</f>
        <v>-4.5776696714774356E-3</v>
      </c>
      <c r="HW12" s="28">
        <f>SUMPRODUCT(INDEX(PortfolioRef[[SPY]:[PE]],MATCH(HW$1,PortfolioRef[Reference '#]),0),AssetMonthlyReturns[[#This Row],[SPY]:[PE]])</f>
        <v>2.1523385763461078E-2</v>
      </c>
      <c r="HX12" s="27">
        <f>IF(ISNUMBER(HX11),HX11*(1+PortfolioFrontier[[#This Row],[P58 Return]]),1+PortfolioFrontier[[#This Row],[P58 Return]])</f>
        <v>1.0570761695110824</v>
      </c>
      <c r="HY12" s="27">
        <f>MAX(HY11,PortfolioFrontier[[#This Row],[P58 Growth]])</f>
        <v>1.0744064093618175</v>
      </c>
      <c r="HZ12" s="27">
        <f>PortfolioFrontier[[#This Row],[P58 Growth]]/PortfolioFrontier[[#This Row],[P58 HWM]]-1</f>
        <v>-1.6130060003112789E-2</v>
      </c>
      <c r="IA12" s="28">
        <f>SUMPRODUCT(INDEX(PortfolioRef[[SPY]:[PE]],MATCH(IA$1,PortfolioRef[Reference '#]),0),AssetMonthlyReturns[[#This Row],[SPY]:[PE]])</f>
        <v>2.1114709934057372E-2</v>
      </c>
      <c r="IB12" s="27">
        <f>IF(ISNUMBER(IB11),IB11*(1+PortfolioFrontier[[#This Row],[P59 Return]]),1+PortfolioFrontier[[#This Row],[P59 Return]])</f>
        <v>1.0589145173051395</v>
      </c>
      <c r="IC12" s="27">
        <f>MAX(IC11,PortfolioFrontier[[#This Row],[P59 Growth]])</f>
        <v>1.0694858543325274</v>
      </c>
      <c r="ID12" s="27">
        <f>PortfolioFrontier[[#This Row],[P59 Growth]]/PortfolioFrontier[[#This Row],[P59 HWM]]-1</f>
        <v>-9.8845038338403191E-3</v>
      </c>
      <c r="IE12" s="28">
        <f>SUMPRODUCT(INDEX(PortfolioRef[[SPY]:[PE]],MATCH(IE$1,PortfolioRef[Reference '#]),0),AssetMonthlyReturns[[#This Row],[SPY]:[PE]])</f>
        <v>2.0706034104653673E-2</v>
      </c>
      <c r="IF12" s="27">
        <f>IF(ISNUMBER(IF11),IF11*(1+PortfolioFrontier[[#This Row],[P60 Return]]),1+PortfolioFrontier[[#This Row],[P60 Return]])</f>
        <v>1.0607194786602676</v>
      </c>
      <c r="IG12" s="27">
        <f>MAX(IG11,PortfolioFrontier[[#This Row],[P60 Growth]])</f>
        <v>1.0645775112578868</v>
      </c>
      <c r="IH12" s="27">
        <f>PortfolioFrontier[[#This Row],[P60 Growth]]/PortfolioFrontier[[#This Row],[P60 HWM]]-1</f>
        <v>-3.624003472570636E-3</v>
      </c>
      <c r="II12" s="28">
        <f>SUMPRODUCT(INDEX(PortfolioRef[[SPY]:[PE]],MATCH(II$1,PortfolioRef[Reference '#]),0),AssetMonthlyReturns[[#This Row],[SPY]:[PE]])</f>
        <v>1.8113052995312764E-2</v>
      </c>
      <c r="IJ12" s="27">
        <f>IF(ISNUMBER(IJ11),IJ11*(1+PortfolioFrontier[[#This Row],[P61 Return]]),1+PortfolioFrontier[[#This Row],[P61 Return]])</f>
        <v>1.0405048450143426</v>
      </c>
      <c r="IK12" s="27">
        <f>MAX(IK11,PortfolioFrontier[[#This Row],[P61 Growth]])</f>
        <v>1.0500729073544264</v>
      </c>
      <c r="IL12" s="27">
        <f>PortfolioFrontier[[#This Row],[P61 Growth]]/PortfolioFrontier[[#This Row],[P61 HWM]]-1</f>
        <v>-9.1118076402806336E-3</v>
      </c>
      <c r="IM12" s="28">
        <f>SUMPRODUCT(INDEX(PortfolioRef[[SPY]:[PE]],MATCH(IM$1,PortfolioRef[Reference '#]),0),AssetMonthlyReturns[[#This Row],[SPY]:[PE]])</f>
        <v>2.0505241064310686E-2</v>
      </c>
      <c r="IN12" s="27">
        <f>IF(ISNUMBER(IN11),IN11*(1+PortfolioFrontier[[#This Row],[P62 Return]]),1+PortfolioFrontier[[#This Row],[P62 Return]])</f>
        <v>1.0376163584156068</v>
      </c>
      <c r="IO12" s="27">
        <f>MAX(IO11,PortfolioFrontier[[#This Row],[P62 Growth]])</f>
        <v>1.0511806263791883</v>
      </c>
      <c r="IP12" s="27">
        <f>PortfolioFrontier[[#This Row],[P62 Growth]]/PortfolioFrontier[[#This Row],[P62 HWM]]-1</f>
        <v>-1.2903841283970263E-2</v>
      </c>
      <c r="IQ12" s="28">
        <f>SUMPRODUCT(INDEX(PortfolioRef[[SPY]:[PE]],MATCH(IQ$1,PortfolioRef[Reference '#]),0),AssetMonthlyReturns[[#This Row],[SPY]:[PE]])</f>
        <v>1.8746271244229597E-2</v>
      </c>
      <c r="IR12" s="27">
        <f>IF(ISNUMBER(IR11),IR11*(1+PortfolioFrontier[[#This Row],[P63 Return]]),1+PortfolioFrontier[[#This Row],[P63 Return]])</f>
        <v>1.0431062401504385</v>
      </c>
      <c r="IS12" s="27">
        <f>MAX(IS11,PortfolioFrontier[[#This Row],[P63 Growth]])</f>
        <v>1.0557065393895038</v>
      </c>
      <c r="IT12" s="27">
        <f>PortfolioFrontier[[#This Row],[P63 Growth]]/PortfolioFrontier[[#This Row],[P63 HWM]]-1</f>
        <v>-1.1935418384688368E-2</v>
      </c>
      <c r="IU12" s="28">
        <f>SUMPRODUCT(INDEX(PortfolioRef[[SPY]:[PE]],MATCH(IU$1,PortfolioRef[Reference '#]),0),AssetMonthlyReturns[[#This Row],[SPY]:[PE]])</f>
        <v>1.8337595414825891E-2</v>
      </c>
      <c r="IV12" s="27">
        <f>IF(ISNUMBER(IV11),IV11*(1+PortfolioFrontier[[#This Row],[P64 Return]]),1+PortfolioFrontier[[#This Row],[P64 Return]])</f>
        <v>1.0448445965579232</v>
      </c>
      <c r="IW12" s="27">
        <f>MAX(IW11,PortfolioFrontier[[#This Row],[P64 Growth]])</f>
        <v>1.0508460829243347</v>
      </c>
      <c r="IX12" s="27">
        <f>PortfolioFrontier[[#This Row],[P64 Growth]]/PortfolioFrontier[[#This Row],[P64 HWM]]-1</f>
        <v>-5.7110993359849038E-3</v>
      </c>
      <c r="IY12" s="28">
        <f>SUMPRODUCT(INDEX(PortfolioRef[[SPY]:[PE]],MATCH(IY$1,PortfolioRef[Reference '#]),0),AssetMonthlyReturns[[#This Row],[SPY]:[PE]])</f>
        <v>2.2897429133308615E-2</v>
      </c>
      <c r="IZ12" s="27">
        <f>IF(ISNUMBER(IZ11),IZ11*(1+PortfolioFrontier[[#This Row],[P65 Return]]),1+PortfolioFrontier[[#This Row],[P65 Return]])</f>
        <v>1.0346940375505871</v>
      </c>
      <c r="JA12" s="27">
        <f>MAX(JA11,PortfolioFrontier[[#This Row],[P65 Growth]])</f>
        <v>1.0522665490481187</v>
      </c>
      <c r="JB12" s="27">
        <f>PortfolioFrontier[[#This Row],[P65 Growth]]/PortfolioFrontier[[#This Row],[P65 HWM]]-1</f>
        <v>-1.6699677010000635E-2</v>
      </c>
      <c r="JC12" s="28">
        <f>SUMPRODUCT(INDEX(PortfolioRef[[SPY]:[PE]],MATCH(JC$1,PortfolioRef[Reference '#]),0),AssetMonthlyReturns[[#This Row],[SPY]:[PE]])</f>
        <v>2.1138459313227519E-2</v>
      </c>
      <c r="JD12" s="27">
        <f>IF(ISNUMBER(JD11),JD11*(1+PortfolioFrontier[[#This Row],[P66 Return]]),1+PortfolioFrontier[[#This Row],[P66 Return]])</f>
        <v>1.0402016910031495</v>
      </c>
      <c r="JE12" s="27">
        <f>MAX(JE11,PortfolioFrontier[[#This Row],[P66 Growth]])</f>
        <v>1.0568149670864915</v>
      </c>
      <c r="JF12" s="27">
        <f>PortfolioFrontier[[#This Row],[P66 Growth]]/PortfolioFrontier[[#This Row],[P66 HWM]]-1</f>
        <v>-1.5720137016172919E-2</v>
      </c>
      <c r="JG12" s="28">
        <f>SUMPRODUCT(INDEX(PortfolioRef[[SPY]:[PE]],MATCH(JG$1,PortfolioRef[Reference '#]),0),AssetMonthlyReturns[[#This Row],[SPY]:[PE]])</f>
        <v>2.0729783483823816E-2</v>
      </c>
      <c r="JH12" s="27">
        <f>IF(ISNUMBER(JH11),JH11*(1+PortfolioFrontier[[#This Row],[P67 Return]]),1+PortfolioFrontier[[#This Row],[P67 Return]])</f>
        <v>1.0419523445119165</v>
      </c>
      <c r="JI12" s="27">
        <f>MAX(JI11,PortfolioFrontier[[#This Row],[P67 Growth]])</f>
        <v>1.0519568079907244</v>
      </c>
      <c r="JJ12" s="27">
        <f>PortfolioFrontier[[#This Row],[P67 Growth]]/PortfolioFrontier[[#This Row],[P67 HWM]]-1</f>
        <v>-9.5103367389358651E-3</v>
      </c>
      <c r="JK12" s="28">
        <f>SUMPRODUCT(INDEX(PortfolioRef[[SPY]:[PE]],MATCH(JK$1,PortfolioRef[Reference '#]),0),AssetMonthlyReturns[[#This Row],[SPY]:[PE]])</f>
        <v>1.937948949314643E-2</v>
      </c>
      <c r="JL12" s="27">
        <f>IF(ISNUMBER(JL11),JL11*(1+PortfolioFrontier[[#This Row],[P68 Return]]),1+PortfolioFrontier[[#This Row],[P68 Return]])</f>
        <v>1.0456909977550493</v>
      </c>
      <c r="JM12" s="27">
        <f>MAX(JM11,PortfolioFrontier[[#This Row],[P68 Growth]])</f>
        <v>1.0613595191114715</v>
      </c>
      <c r="JN12" s="27">
        <f>PortfolioFrontier[[#This Row],[P68 Growth]]/PortfolioFrontier[[#This Row],[P68 HWM]]-1</f>
        <v>-1.4762689808953122E-2</v>
      </c>
      <c r="JO12" s="28">
        <f>SUMPRODUCT(INDEX(PortfolioRef[[SPY]:[PE]],MATCH(JO$1,PortfolioRef[Reference '#]),0),AssetMonthlyReturns[[#This Row],[SPY]:[PE]])</f>
        <v>1.8970813663742724E-2</v>
      </c>
      <c r="JP12" s="27">
        <f>IF(ISNUMBER(JP11),JP11*(1+PortfolioFrontier[[#This Row],[P69 Return]]),1+PortfolioFrontier[[#This Row],[P69 Return]])</f>
        <v>1.0474592882462208</v>
      </c>
      <c r="JQ12" s="27">
        <f>MAX(JQ11,PortfolioFrontier[[#This Row],[P69 Growth]])</f>
        <v>1.0564819109031929</v>
      </c>
      <c r="JR12" s="27">
        <f>PortfolioFrontier[[#This Row],[P69 Growth]]/PortfolioFrontier[[#This Row],[P69 HWM]]-1</f>
        <v>-8.5402528560650781E-3</v>
      </c>
      <c r="JS12" s="28">
        <f>SUMPRODUCT(INDEX(PortfolioRef[[SPY]:[PE]],MATCH(JS$1,PortfolioRef[Reference '#]),0),AssetMonthlyReturns[[#This Row],[SPY]:[PE]])</f>
        <v>1.8562137834339024E-2</v>
      </c>
      <c r="JT12" s="27">
        <f>IF(ISNUMBER(JT11),JT11*(1+PortfolioFrontier[[#This Row],[P70 Return]]),1+PortfolioFrontier[[#This Row],[P70 Return]])</f>
        <v>1.0491944834614733</v>
      </c>
      <c r="JU12" s="27">
        <f>MAX(JU11,PortfolioFrontier[[#This Row],[P70 Growth]])</f>
        <v>1.051616457209422</v>
      </c>
      <c r="JV12" s="27">
        <f>PortfolioFrontier[[#This Row],[P70 Growth]]/PortfolioFrontier[[#This Row],[P70 HWM]]-1</f>
        <v>-2.3030960873089423E-3</v>
      </c>
      <c r="JW12" s="28">
        <f>SUMPRODUCT(INDEX(PortfolioRef[[SPY]:[PE]],MATCH(JW$1,PortfolioRef[Reference '#]),0),AssetMonthlyReturns[[#This Row],[SPY]:[PE]])</f>
        <v>2.3530647382225444E-2</v>
      </c>
      <c r="JX12" s="27">
        <f>IF(ISNUMBER(JX11),JX11*(1+PortfolioFrontier[[#This Row],[P71 Return]]),1+PortfolioFrontier[[#This Row],[P71 Return]])</f>
        <v>1.0372633486944218</v>
      </c>
      <c r="JY12" s="27">
        <f>MAX(JY11,PortfolioFrontier[[#This Row],[P71 Growth]])</f>
        <v>1.0579015445909599</v>
      </c>
      <c r="JZ12" s="27">
        <f>PortfolioFrontier[[#This Row],[P71 Growth]]/PortfolioFrontier[[#This Row],[P71 HWM]]-1</f>
        <v>-1.9508616848194382E-2</v>
      </c>
      <c r="KA12" s="28">
        <f>SUMPRODUCT(INDEX(PortfolioRef[[SPY]:[PE]],MATCH(KA$1,PortfolioRef[Reference '#]),0),AssetMonthlyReturns[[#This Row],[SPY]:[PE]])</f>
        <v>2.3121971552821741E-2</v>
      </c>
      <c r="KB12" s="27">
        <f>IF(ISNUMBER(KB11),KB11*(1+PortfolioFrontier[[#This Row],[P72 Return]]),1+PortfolioFrontier[[#This Row],[P72 Return]])</f>
        <v>1.0390260828563778</v>
      </c>
      <c r="KC12" s="27">
        <f>MAX(KC11,PortfolioFrontier[[#This Row],[P72 Growth]])</f>
        <v>1.0530457060891405</v>
      </c>
      <c r="KD12" s="27">
        <f>PortfolioFrontier[[#This Row],[P72 Growth]]/PortfolioFrontier[[#This Row],[P72 HWM]]-1</f>
        <v>-1.3313404301157683E-2</v>
      </c>
      <c r="KE12" s="28">
        <f>SUMPRODUCT(INDEX(PortfolioRef[[SPY]:[PE]],MATCH(KE$1,PortfolioRef[Reference '#]),0),AssetMonthlyReturns[[#This Row],[SPY]:[PE]])</f>
        <v>2.1771677562144352E-2</v>
      </c>
      <c r="KF12" s="27">
        <f>IF(ISNUMBER(KF11),KF11*(1+PortfolioFrontier[[#This Row],[P73 Return]]),1+PortfolioFrontier[[#This Row],[P73 Return]])</f>
        <v>1.0427703932919159</v>
      </c>
      <c r="KG12" s="27">
        <f>MAX(KG11,PortfolioFrontier[[#This Row],[P73 Growth]])</f>
        <v>1.0624686478303629</v>
      </c>
      <c r="KH12" s="27">
        <f>PortfolioFrontier[[#This Row],[P73 Growth]]/PortfolioFrontier[[#This Row],[P73 HWM]]-1</f>
        <v>-1.8540080762545097E-2</v>
      </c>
      <c r="KI12" s="28">
        <f>SUMPRODUCT(INDEX(PortfolioRef[[SPY]:[PE]],MATCH(KI$1,PortfolioRef[Reference '#]),0),AssetMonthlyReturns[[#This Row],[SPY]:[PE]])</f>
        <v>2.1363001732740645E-2</v>
      </c>
      <c r="KJ12" s="27">
        <f>IF(ISNUMBER(KJ11),KJ11*(1+PortfolioFrontier[[#This Row],[P74 Return]]),1+PortfolioFrontier[[#This Row],[P74 Return]])</f>
        <v>1.0445509239695985</v>
      </c>
      <c r="KK12" s="27">
        <f>MAX(KK11,PortfolioFrontier[[#This Row],[P74 Growth]])</f>
        <v>1.0575933470931147</v>
      </c>
      <c r="KL12" s="27">
        <f>PortfolioFrontier[[#This Row],[P74 Growth]]/PortfolioFrontier[[#This Row],[P74 HWM]]-1</f>
        <v>-1.2332172057780477E-2</v>
      </c>
      <c r="KM12" s="28">
        <f>SUMPRODUCT(INDEX(PortfolioRef[[SPY]:[PE]],MATCH(KM$1,PortfolioRef[Reference '#]),0),AssetMonthlyReturns[[#This Row],[SPY]:[PE]])</f>
        <v>2.0954325903336946E-2</v>
      </c>
      <c r="KN12" s="27">
        <f>IF(ISNUMBER(KN11),KN11*(1+PortfolioFrontier[[#This Row],[P75 Return]]),1+PortfolioFrontier[[#This Row],[P75 Return]])</f>
        <v>1.0462985001763203</v>
      </c>
      <c r="KO12" s="27">
        <f>MAX(KO11,PortfolioFrontier[[#This Row],[P75 Growth]])</f>
        <v>1.0527301976831096</v>
      </c>
      <c r="KP12" s="27">
        <f>PortfolioFrontier[[#This Row],[P75 Growth]]/PortfolioFrontier[[#This Row],[P75 HWM]]-1</f>
        <v>-6.109540242071887E-3</v>
      </c>
      <c r="KQ12" s="28">
        <f>SUMPRODUCT(INDEX(PortfolioRef[[SPY]:[PE]],MATCH(KQ$1,PortfolioRef[Reference '#]),0),AssetMonthlyReturns[[#This Row],[SPY]:[PE]])</f>
        <v>2.0012707742063263E-2</v>
      </c>
      <c r="KR12" s="27">
        <f>IF(ISNUMBER(KR11),KR11*(1+PortfolioFrontier[[#This Row],[P76 Return]]),1+PortfolioFrontier[[#This Row],[P76 Return]])</f>
        <v>1.0482589725798448</v>
      </c>
      <c r="KS12" s="27">
        <f>MAX(KS11,PortfolioFrontier[[#This Row],[P76 Growth]])</f>
        <v>1.0670318778728161</v>
      </c>
      <c r="KT12" s="27">
        <f>PortfolioFrontier[[#This Row],[P76 Growth]]/PortfolioFrontier[[#This Row],[P76 HWM]]-1</f>
        <v>-1.7593574927110889E-2</v>
      </c>
      <c r="KU12" s="28">
        <f>SUMPRODUCT(INDEX(PortfolioRef[[SPY]:[PE]],MATCH(KU$1,PortfolioRef[Reference '#]),0),AssetMonthlyReturns[[#This Row],[SPY]:[PE]])</f>
        <v>1.9604031912659556E-2</v>
      </c>
      <c r="KV12" s="27">
        <f>IF(ISNUMBER(KV11),KV11*(1+PortfolioFrontier[[#This Row],[P77 Return]]),1+PortfolioFrontier[[#This Row],[P77 Return]])</f>
        <v>1.0500573145901348</v>
      </c>
      <c r="KW12" s="27">
        <f>MAX(KW11,PortfolioFrontier[[#This Row],[P77 Growth]])</f>
        <v>1.062137089642339</v>
      </c>
      <c r="KX12" s="27">
        <f>PortfolioFrontier[[#This Row],[P77 Growth]]/PortfolioFrontier[[#This Row],[P77 HWM]]-1</f>
        <v>-1.1373084670522005E-2</v>
      </c>
      <c r="KY12" s="28">
        <f>SUMPRODUCT(INDEX(PortfolioRef[[SPY]:[PE]],MATCH(KY$1,PortfolioRef[Reference '#]),0),AssetMonthlyReturns[[#This Row],[SPY]:[PE]])</f>
        <v>1.9195356083255854E-2</v>
      </c>
      <c r="KZ12" s="27">
        <f>IF(ISNUMBER(KZ11),KZ11*(1+PortfolioFrontier[[#This Row],[P78 Return]]),1+PortfolioFrontier[[#This Row],[P78 Return]])</f>
        <v>1.0518225209109413</v>
      </c>
      <c r="LA12" s="27">
        <f>MAX(LA11,PortfolioFrontier[[#This Row],[P78 Growth]])</f>
        <v>1.0572544780662676</v>
      </c>
      <c r="LB12" s="27">
        <f>PortfolioFrontier[[#This Row],[P78 Growth]]/PortfolioFrontier[[#This Row],[P78 HWM]]-1</f>
        <v>-5.1377953633844342E-3</v>
      </c>
      <c r="LC12" s="28">
        <f>SUMPRODUCT(INDEX(PortfolioRef[[SPY]:[PE]],MATCH(LC$1,PortfolioRef[Reference '#]),0),AssetMonthlyReturns[[#This Row],[SPY]:[PE]])</f>
        <v>2.4163865631142277E-2</v>
      </c>
      <c r="LD12" s="27">
        <f>IF(ISNUMBER(LD11),LD11*(1+PortfolioFrontier[[#This Row],[P79 Return]]),1+PortfolioFrontier[[#This Row],[P79 Return]])</f>
        <v>1.0398160375653749</v>
      </c>
      <c r="LE12" s="27">
        <f>MAX(LE11,PortfolioFrontier[[#This Row],[P79 Growth]])</f>
        <v>1.063555872520046</v>
      </c>
      <c r="LF12" s="27">
        <f>PortfolioFrontier[[#This Row],[P79 Growth]]/PortfolioFrontier[[#This Row],[P79 HWM]]-1</f>
        <v>-2.232119211416761E-2</v>
      </c>
      <c r="LG12" s="28">
        <f>SUMPRODUCT(INDEX(PortfolioRef[[SPY]:[PE]],MATCH(LG$1,PortfolioRef[Reference '#]),0),AssetMonthlyReturns[[#This Row],[SPY]:[PE]])</f>
        <v>2.3755189801738571E-2</v>
      </c>
      <c r="LH12" s="27">
        <f>IF(ISNUMBER(LH11),LH11*(1+PortfolioFrontier[[#This Row],[P80 Return]]),1+PortfolioFrontier[[#This Row],[P80 Return]])</f>
        <v>1.0416085911688779</v>
      </c>
      <c r="LI12" s="27">
        <f>MAX(LI11,PortfolioFrontier[[#This Row],[P80 Growth]])</f>
        <v>1.058682902478375</v>
      </c>
      <c r="LJ12" s="27">
        <f>PortfolioFrontier[[#This Row],[P80 Growth]]/PortfolioFrontier[[#This Row],[P80 HWM]]-1</f>
        <v>-1.6127880472543876E-2</v>
      </c>
      <c r="LK12" s="28">
        <f>SUMPRODUCT(INDEX(PortfolioRef[[SPY]:[PE]],MATCH(LK$1,PortfolioRef[Reference '#]),0),AssetMonthlyReturns[[#This Row],[SPY]:[PE]])</f>
        <v>2.3346513972334872E-2</v>
      </c>
      <c r="LL12" s="27">
        <f>IF(ISNUMBER(LL11),LL11*(1+PortfolioFrontier[[#This Row],[P81 Return]]),1+PortfolioFrontier[[#This Row],[P81 Return]])</f>
        <v>1.0433683313259343</v>
      </c>
      <c r="LM12" s="27">
        <f>MAX(LM11,PortfolioFrontier[[#This Row],[P81 Growth]])</f>
        <v>1.0538220805766811</v>
      </c>
      <c r="LN12" s="27">
        <f>PortfolioFrontier[[#This Row],[P81 Growth]]/PortfolioFrontier[[#This Row],[P81 HWM]]-1</f>
        <v>-9.919842678781432E-3</v>
      </c>
      <c r="LO12" s="28">
        <f>SUMPRODUCT(INDEX(PortfolioRef[[SPY]:[PE]],MATCH(LO$1,PortfolioRef[Reference '#]),0),AssetMonthlyReturns[[#This Row],[SPY]:[PE]])</f>
        <v>2.2404895811061188E-2</v>
      </c>
      <c r="LP12" s="27">
        <f>IF(ISNUMBER(LP11),LP11*(1+PortfolioFrontier[[#This Row],[P82 Return]]),1+PortfolioFrontier[[#This Row],[P82 Return]])</f>
        <v>1.0453223206006166</v>
      </c>
      <c r="LQ12" s="27">
        <f>MAX(LQ11,PortfolioFrontier[[#This Row],[P82 Growth]])</f>
        <v>1.0681416999632878</v>
      </c>
      <c r="LR12" s="27">
        <f>PortfolioFrontier[[#This Row],[P82 Growth]]/PortfolioFrontier[[#This Row],[P82 HWM]]-1</f>
        <v>-2.1363625597105251E-2</v>
      </c>
      <c r="LS12" s="28">
        <f>SUMPRODUCT(INDEX(PortfolioRef[[SPY]:[PE]],MATCH(LS$1,PortfolioRef[Reference '#]),0),AssetMonthlyReturns[[#This Row],[SPY]:[PE]])</f>
        <v>2.1996219981657482E-2</v>
      </c>
      <c r="LT12" s="27">
        <f>IF(ISNUMBER(LT11),LT11*(1+PortfolioFrontier[[#This Row],[P83 Return]]),1+PortfolioFrontier[[#This Row],[P83 Return]])</f>
        <v>1.0471328451920929</v>
      </c>
      <c r="LU12" s="27">
        <f>MAX(LU11,PortfolioFrontier[[#This Row],[P83 Growth]])</f>
        <v>1.0632492293054709</v>
      </c>
      <c r="LV12" s="27">
        <f>PortfolioFrontier[[#This Row],[P83 Growth]]/PortfolioFrontier[[#This Row],[P83 HWM]]-1</f>
        <v>-1.5157672979368542E-2</v>
      </c>
      <c r="LW12" s="28">
        <f>SUMPRODUCT(INDEX(PortfolioRef[[SPY]:[PE]],MATCH(LW$1,PortfolioRef[Reference '#]),0),AssetMonthlyReturns[[#This Row],[SPY]:[PE]])</f>
        <v>2.1587544152253779E-2</v>
      </c>
      <c r="LX12" s="27">
        <f>IF(ISNUMBER(LX11),LX11*(1+PortfolioFrontier[[#This Row],[P84 Return]]),1+PortfolioFrontier[[#This Row],[P84 Return]])</f>
        <v>1.0489103756199156</v>
      </c>
      <c r="LY12" s="27">
        <f>MAX(LY11,PortfolioFrontier[[#This Row],[P84 Growth]])</f>
        <v>1.0583689321147942</v>
      </c>
      <c r="LZ12" s="27">
        <f>PortfolioFrontier[[#This Row],[P84 Growth]]/PortfolioFrontier[[#This Row],[P84 HWM]]-1</f>
        <v>-8.936918127385729E-3</v>
      </c>
      <c r="MA12" s="28">
        <f>SUMPRODUCT(INDEX(PortfolioRef[[SPY]:[PE]],MATCH(MA$1,PortfolioRef[Reference '#]),0),AssetMonthlyReturns[[#This Row],[SPY]:[PE]])</f>
        <v>2.0645925990980096E-2</v>
      </c>
      <c r="MB12" s="27">
        <f>IF(ISNUMBER(MB11),MB11*(1+PortfolioFrontier[[#This Row],[P85 Return]]),1+PortfolioFrontier[[#This Row],[P85 Return]])</f>
        <v>1.0508100196989039</v>
      </c>
      <c r="MC12" s="27">
        <f>MAX(MC11,PortfolioFrontier[[#This Row],[P85 Growth]])</f>
        <v>1.0727236470260215</v>
      </c>
      <c r="MD12" s="27">
        <f>PortfolioFrontier[[#This Row],[P85 Growth]]/PortfolioFrontier[[#This Row],[P85 HWM]]-1</f>
        <v>-2.0428026722325132E-2</v>
      </c>
      <c r="ME12" s="28">
        <f>SUMPRODUCT(INDEX(PortfolioRef[[SPY]:[PE]],MATCH(ME$1,PortfolioRef[Reference '#]),0),AssetMonthlyReturns[[#This Row],[SPY]:[PE]])</f>
        <v>2.0237250161576393E-2</v>
      </c>
      <c r="MF12" s="27">
        <f>IF(ISNUMBER(MF11),MF11*(1+PortfolioFrontier[[#This Row],[P86 Return]]),1+PortfolioFrontier[[#This Row],[P86 Return]])</f>
        <v>1.0526385298880081</v>
      </c>
      <c r="MG12" s="27">
        <f>MAX(MG11,PortfolioFrontier[[#This Row],[P86 Growth]])</f>
        <v>1.0678116504942585</v>
      </c>
      <c r="MH12" s="27">
        <f>PortfolioFrontier[[#This Row],[P86 Growth]]/PortfolioFrontier[[#This Row],[P86 HWM]]-1</f>
        <v>-1.4209547722416449E-2</v>
      </c>
      <c r="MI12" s="28">
        <f>SUMPRODUCT(INDEX(PortfolioRef[[SPY]:[PE]],MATCH(MI$1,PortfolioRef[Reference '#]),0),AssetMonthlyReturns[[#This Row],[SPY]:[PE]])</f>
        <v>1.982857433217269E-2</v>
      </c>
      <c r="MJ12" s="27">
        <f>IF(ISNUMBER(MJ11),MJ11*(1+PortfolioFrontier[[#This Row],[P87 Return]]),1+PortfolioFrontier[[#This Row],[P87 Return]])</f>
        <v>1.0544338652409075</v>
      </c>
      <c r="MK12" s="27">
        <f>MAX(MK11,PortfolioFrontier[[#This Row],[P87 Growth]])</f>
        <v>1.0629118527567989</v>
      </c>
      <c r="ML12" s="27">
        <f>PortfolioFrontier[[#This Row],[P87 Growth]]/PortfolioFrontier[[#This Row],[P87 HWM]]-1</f>
        <v>-7.9761905880554318E-3</v>
      </c>
      <c r="MM12" s="28">
        <f>SUMPRODUCT(INDEX(PortfolioRef[[SPY]:[PE]],MATCH(MM$1,PortfolioRef[Reference '#]),0),AssetMonthlyReturns[[#This Row],[SPY]:[PE]])</f>
        <v>2.4797083880059113E-2</v>
      </c>
      <c r="MN12" s="27">
        <f>IF(ISNUMBER(MN11),MN11*(1+PortfolioFrontier[[#This Row],[P88 Return]]),1+PortfolioFrontier[[#This Row],[P88 Return]])</f>
        <v>1.0423519600487627</v>
      </c>
      <c r="MO12" s="27">
        <f>MAX(MO11,PortfolioFrontier[[#This Row],[P88 Growth]])</f>
        <v>1.0692295641878635</v>
      </c>
      <c r="MP12" s="27">
        <f>PortfolioFrontier[[#This Row],[P88 Growth]]/PortfolioFrontier[[#This Row],[P88 HWM]]-1</f>
        <v>-2.5137355942374984E-2</v>
      </c>
      <c r="MQ12" s="28">
        <f>SUMPRODUCT(INDEX(PortfolioRef[[SPY]:[PE]],MATCH(MQ$1,PortfolioRef[Reference '#]),0),AssetMonthlyReturns[[#This Row],[SPY]:[PE]])</f>
        <v>2.4388408050655407E-2</v>
      </c>
      <c r="MR12" s="27">
        <f>IF(ISNUMBER(MR11),MR11*(1+PortfolioFrontier[[#This Row],[P89 Return]]),1+PortfolioFrontier[[#This Row],[P89 Return]])</f>
        <v>1.044174449150389</v>
      </c>
      <c r="MS12" s="27">
        <f>MAX(MS11,PortfolioFrontier[[#This Row],[P89 Growth]])</f>
        <v>1.0643394343272528</v>
      </c>
      <c r="MT12" s="27">
        <f>PortfolioFrontier[[#This Row],[P89 Growth]]/PortfolioFrontier[[#This Row],[P89 HWM]]-1</f>
        <v>-1.8946009634238203E-2</v>
      </c>
      <c r="MU12" s="28">
        <f>SUMPRODUCT(INDEX(PortfolioRef[[SPY]:[PE]],MATCH(MU$1,PortfolioRef[Reference '#]),0),AssetMonthlyReturns[[#This Row],[SPY]:[PE]])</f>
        <v>2.3979732221251705E-2</v>
      </c>
      <c r="MV12" s="27">
        <f>IF(ISNUMBER(MV11),MV11*(1+PortfolioFrontier[[#This Row],[P90 Return]]),1+PortfolioFrontier[[#This Row],[P90 Return]])</f>
        <v>1.0459640858293706</v>
      </c>
      <c r="MW12" s="27">
        <f>MAX(MW11,PortfolioFrontier[[#This Row],[P90 Growth]])</f>
        <v>1.059461474746517</v>
      </c>
      <c r="MX12" s="27">
        <f>PortfolioFrontier[[#This Row],[P90 Growth]]/PortfolioFrontier[[#This Row],[P90 HWM]]-1</f>
        <v>-1.2739858162729045E-2</v>
      </c>
      <c r="MY12" s="28">
        <f>SUMPRODUCT(INDEX(PortfolioRef[[SPY]:[PE]],MATCH(MY$1,PortfolioRef[Reference '#]),0),AssetMonthlyReturns[[#This Row],[SPY]:[PE]])</f>
        <v>2.3038114059978021E-2</v>
      </c>
      <c r="MZ12" s="27">
        <f>IF(ISNUMBER(MZ11),MZ11*(1+PortfolioFrontier[[#This Row],[P91 Return]]),1+PortfolioFrontier[[#This Row],[P91 Return]])</f>
        <v>1.0478573285715991</v>
      </c>
      <c r="NA12" s="27">
        <f>MAX(NA11,PortfolioFrontier[[#This Row],[P91 Growth]])</f>
        <v>1.0738341548377508</v>
      </c>
      <c r="NB12" s="27">
        <f>PortfolioFrontier[[#This Row],[P91 Growth]]/PortfolioFrontier[[#This Row],[P91 HWM]]-1</f>
        <v>-2.419072456312088E-2</v>
      </c>
      <c r="NC12" s="28">
        <f>SUMPRODUCT(INDEX(PortfolioRef[[SPY]:[PE]],MATCH(NC$1,PortfolioRef[Reference '#]),0),AssetMonthlyReturns[[#This Row],[SPY]:[PE]])</f>
        <v>2.2629438230574315E-2</v>
      </c>
      <c r="ND12" s="27">
        <f>IF(ISNUMBER(ND11),ND11*(1+PortfolioFrontier[[#This Row],[P92 Return]]),1+PortfolioFrontier[[#This Row],[P92 Return]])</f>
        <v>1.0496979630456063</v>
      </c>
      <c r="NE12" s="27">
        <f>MAX(NE11,PortfolioFrontier[[#This Row],[P92 Growth]])</f>
        <v>1.0689244859802776</v>
      </c>
      <c r="NF12" s="27">
        <f>PortfolioFrontier[[#This Row],[P92 Growth]]/PortfolioFrontier[[#This Row],[P92 HWM]]-1</f>
        <v>-1.7986792506712312E-2</v>
      </c>
      <c r="NG12" s="28">
        <f>SUMPRODUCT(INDEX(PortfolioRef[[SPY]:[PE]],MATCH(NG$1,PortfolioRef[Reference '#]),0),AssetMonthlyReturns[[#This Row],[SPY]:[PE]])</f>
        <v>2.2220762401170612E-2</v>
      </c>
      <c r="NH12" s="27">
        <f>IF(ISNUMBER(NH11),NH11*(1+PortfolioFrontier[[#This Row],[P93 Return]]),1+PortfolioFrontier[[#This Row],[P93 Return]])</f>
        <v>1.051505564929246</v>
      </c>
      <c r="NI12" s="27">
        <f>MAX(NI11,PortfolioFrontier[[#This Row],[P93 Growth]])</f>
        <v>1.0640270127298419</v>
      </c>
      <c r="NJ12" s="27">
        <f>PortfolioFrontier[[#This Row],[P93 Growth]]/PortfolioFrontier[[#This Row],[P93 HWM]]-1</f>
        <v>-1.1767979243751725E-2</v>
      </c>
      <c r="NK12" s="28">
        <f>SUMPRODUCT(INDEX(PortfolioRef[[SPY]:[PE]],MATCH(NK$1,PortfolioRef[Reference '#]),0),AssetMonthlyReturns[[#This Row],[SPY]:[PE]])</f>
        <v>2.1279144239896932E-2</v>
      </c>
      <c r="NL12" s="27">
        <f>IF(ISNUMBER(NL11),NL11*(1+PortfolioFrontier[[#This Row],[P94 Return]]),1+PortfolioFrontier[[#This Row],[P94 Return]])</f>
        <v>1.0533439945169305</v>
      </c>
      <c r="NM12" s="27">
        <f>MAX(NM11,PortfolioFrontier[[#This Row],[P94 Growth]])</f>
        <v>1.0784348579235736</v>
      </c>
      <c r="NN12" s="27">
        <f>PortfolioFrontier[[#This Row],[P94 Growth]]/PortfolioFrontier[[#This Row],[P94 HWM]]-1</f>
        <v>-2.3265998147494305E-2</v>
      </c>
      <c r="NO12" s="28">
        <f>SUMPRODUCT(INDEX(PortfolioRef[[SPY]:[PE]],MATCH(NO$1,PortfolioRef[Reference '#]),0),AssetMonthlyReturns[[#This Row],[SPY]:[PE]])</f>
        <v>2.0870468410493226E-2</v>
      </c>
      <c r="NP12" s="27">
        <f>IF(ISNUMBER(NP11),NP11*(1+PortfolioFrontier[[#This Row],[P95 Return]]),1+PortfolioFrontier[[#This Row],[P95 Return]])</f>
        <v>1.0552027887599276</v>
      </c>
      <c r="NQ12" s="27">
        <f>MAX(NQ11,PortfolioFrontier[[#This Row],[P95 Growth]])</f>
        <v>1.0735056248114374</v>
      </c>
      <c r="NR12" s="27">
        <f>PortfolioFrontier[[#This Row],[P95 Growth]]/PortfolioFrontier[[#This Row],[P95 HWM]]-1</f>
        <v>-1.7049594923850275E-2</v>
      </c>
      <c r="NS12" s="28">
        <f>SUMPRODUCT(INDEX(PortfolioRef[[SPY]:[PE]],MATCH(NS$1,PortfolioRef[Reference '#]),0),AssetMonthlyReturns[[#This Row],[SPY]:[PE]])</f>
        <v>2.0461792581089523E-2</v>
      </c>
      <c r="NT12" s="27">
        <f>IF(ISNUMBER(NT11),NT11*(1+PortfolioFrontier[[#This Row],[P96 Return]]),1+PortfolioFrontier[[#This Row],[P96 Return]])</f>
        <v>1.0570283702955208</v>
      </c>
      <c r="NU12" s="27">
        <f>MAX(NU11,PortfolioFrontier[[#This Row],[P96 Growth]])</f>
        <v>1.0685886126335014</v>
      </c>
      <c r="NV12" s="27">
        <f>PortfolioFrontier[[#This Row],[P96 Growth]]/PortfolioFrontier[[#This Row],[P96 HWM]]-1</f>
        <v>-1.081823463333631E-2</v>
      </c>
      <c r="NW12" s="28">
        <f>SUMPRODUCT(INDEX(PortfolioRef[[SPY]:[PE]],MATCH(NW$1,PortfolioRef[Reference '#]),0),AssetMonthlyReturns[[#This Row],[SPY]:[PE]])</f>
        <v>1.7235593222831781E-2</v>
      </c>
      <c r="NX12" s="27">
        <f>IF(ISNUMBER(NX11),NX11*(1+PortfolioFrontier[[#This Row],[P97 Return]]),1+PortfolioFrontier[[#This Row],[P97 Return]])</f>
        <v>1.0342942029294908</v>
      </c>
      <c r="NY12" s="27">
        <f>MAX(NY11,PortfolioFrontier[[#This Row],[P97 Growth]])</f>
        <v>1.0484110933688224</v>
      </c>
      <c r="NZ12" s="27">
        <f>PortfolioFrontier[[#This Row],[P97 Growth]]/PortfolioFrontier[[#This Row],[P97 HWM]]-1</f>
        <v>-1.346503344787231E-2</v>
      </c>
      <c r="OA12" s="28">
        <f>SUMPRODUCT(INDEX(PortfolioRef[[SPY]:[PE]],MATCH(OA$1,PortfolioRef[Reference '#]),0),AssetMonthlyReturns[[#This Row],[SPY]:[PE]])</f>
        <v>1.9627781291829707E-2</v>
      </c>
      <c r="OB12" s="27">
        <f>IF(ISNUMBER(OB11),OB11*(1+PortfolioFrontier[[#This Row],[P98 Return]]),1+PortfolioFrontier[[#This Row],[P98 Return]])</f>
        <v>1.0314096521514355</v>
      </c>
      <c r="OC12" s="27">
        <f>MAX(OC11,PortfolioFrontier[[#This Row],[P98 Growth]])</f>
        <v>1.0495119600802785</v>
      </c>
      <c r="OD12" s="27">
        <f>PortfolioFrontier[[#This Row],[P98 Growth]]/PortfolioFrontier[[#This Row],[P98 HWM]]-1</f>
        <v>-1.7248310278863532E-2</v>
      </c>
      <c r="OE12" s="28">
        <f>SUMPRODUCT(INDEX(PortfolioRef[[SPY]:[PE]],MATCH(OE$1,PortfolioRef[Reference '#]),0),AssetMonthlyReturns[[#This Row],[SPY]:[PE]])</f>
        <v>1.7868811471748614E-2</v>
      </c>
      <c r="OF12" s="27">
        <f>IF(ISNUMBER(OF11),OF11*(1+PortfolioFrontier[[#This Row],[P99 Return]]),1+PortfolioFrontier[[#This Row],[P99 Return]])</f>
        <v>1.0368866235790171</v>
      </c>
      <c r="OG12" s="27">
        <f>MAX(OG11,PortfolioFrontier[[#This Row],[P99 Growth]])</f>
        <v>1.0540388768476066</v>
      </c>
      <c r="OH12" s="27">
        <f>PortfolioFrontier[[#This Row],[P99 Growth]]/PortfolioFrontier[[#This Row],[P99 HWM]]-1</f>
        <v>-1.6272884848316016E-2</v>
      </c>
      <c r="OI12" s="28">
        <f>SUMPRODUCT(INDEX(PortfolioRef[[SPY]:[PE]],MATCH(OI$1,PortfolioRef[Reference '#]),0),AssetMonthlyReturns[[#This Row],[SPY]:[PE]])</f>
        <v>1.7460135642344912E-2</v>
      </c>
      <c r="OJ12" s="27">
        <f>IF(ISNUMBER(OJ11),OJ11*(1+PortfolioFrontier[[#This Row],[P100 Return]]),1+PortfolioFrontier[[#This Row],[P100 Return]])</f>
        <v>1.0386156765410539</v>
      </c>
      <c r="OK12" s="27">
        <f>MAX(OK11,PortfolioFrontier[[#This Row],[P100 Growth]])</f>
        <v>1.0491869354790497</v>
      </c>
      <c r="OL12" s="27">
        <f>PortfolioFrontier[[#This Row],[P100 Growth]]/PortfolioFrontier[[#This Row],[P100 HWM]]-1</f>
        <v>-1.0075667719946502E-2</v>
      </c>
      <c r="OM12" s="28">
        <f>SUMPRODUCT(INDEX(PortfolioRef[[SPY]:[PE]],MATCH(OM$1,PortfolioRef[Reference '#]),0),AssetMonthlyReturns[[#This Row],[SPY]:[PE]])</f>
        <v>2.2019969360827632E-2</v>
      </c>
      <c r="ON12" s="27">
        <f>IF(ISNUMBER(ON11),ON11*(1+PortfolioFrontier[[#This Row],[P101 Return]]),1+PortfolioFrontier[[#This Row],[P101 Return]])</f>
        <v>1.0284914832523557</v>
      </c>
      <c r="OO12" s="27">
        <f>MAX(OO11,PortfolioFrontier[[#This Row],[P101 Growth]])</f>
        <v>1.05059106106777</v>
      </c>
      <c r="OP12" s="27">
        <f>PortfolioFrontier[[#This Row],[P101 Growth]]/PortfolioFrontier[[#This Row],[P101 HWM]]-1</f>
        <v>-2.1035375832108572E-2</v>
      </c>
      <c r="OQ12" s="28">
        <f>SUMPRODUCT(INDEX(PortfolioRef[[SPY]:[PE]],MATCH(OQ$1,PortfolioRef[Reference '#]),0),AssetMonthlyReturns[[#This Row],[SPY]:[PE]])</f>
        <v>2.0260999540746536E-2</v>
      </c>
      <c r="OR12" s="27">
        <f>IF(ISNUMBER(OR11),OR11*(1+PortfolioFrontier[[#This Row],[P102 Return]]),1+PortfolioFrontier[[#This Row],[P102 Return]])</f>
        <v>1.0339860769340123</v>
      </c>
      <c r="OS12" s="27">
        <f>MAX(OS11,PortfolioFrontier[[#This Row],[P102 Growth]])</f>
        <v>1.0551404417516972</v>
      </c>
      <c r="OT12" s="27">
        <f>PortfolioFrontier[[#This Row],[P102 Growth]]/PortfolioFrontier[[#This Row],[P102 HWM]]-1</f>
        <v>-2.0048861725520895E-2</v>
      </c>
      <c r="OU12" s="28">
        <f>SUMPRODUCT(INDEX(PortfolioRef[[SPY]:[PE]],MATCH(OU$1,PortfolioRef[Reference '#]),0),AssetMonthlyReturns[[#This Row],[SPY]:[PE]])</f>
        <v>1.9852323711342833E-2</v>
      </c>
      <c r="OV12" s="27">
        <f>IF(ISNUMBER(OV11),OV11*(1+PortfolioFrontier[[#This Row],[P103 Return]]),1+PortfolioFrontier[[#This Row],[P103 Return]])</f>
        <v>1.0357273165228127</v>
      </c>
      <c r="OW12" s="27">
        <f>MAX(OW11,PortfolioFrontier[[#This Row],[P103 Growth]])</f>
        <v>1.050290793565243</v>
      </c>
      <c r="OX12" s="27">
        <f>PortfolioFrontier[[#This Row],[P103 Growth]]/PortfolioFrontier[[#This Row],[P103 HWM]]-1</f>
        <v>-1.3866137960701463E-2</v>
      </c>
      <c r="OY12" s="28">
        <f>SUMPRODUCT(INDEX(PortfolioRef[[SPY]:[PE]],MATCH(OY$1,PortfolioRef[Reference '#]),0),AssetMonthlyReturns[[#This Row],[SPY]:[PE]])</f>
        <v>1.8502029720665447E-2</v>
      </c>
      <c r="OZ12" s="27">
        <f>IF(ISNUMBER(OZ11),OZ11*(1+PortfolioFrontier[[#This Row],[P104 Return]]),1+PortfolioFrontier[[#This Row],[P104 Return]])</f>
        <v>1.039462523275579</v>
      </c>
      <c r="PA12" s="27">
        <f>MAX(PA11,PortfolioFrontier[[#This Row],[P104 Growth]])</f>
        <v>1.0596859973699932</v>
      </c>
      <c r="PB12" s="27">
        <f>PortfolioFrontier[[#This Row],[P104 Growth]]/PortfolioFrontier[[#This Row],[P104 HWM]]-1</f>
        <v>-1.9084402497160813E-2</v>
      </c>
      <c r="PC12" s="28">
        <f>SUMPRODUCT(INDEX(PortfolioRef[[SPY]:[PE]],MATCH(PC$1,PortfolioRef[Reference '#]),0),AssetMonthlyReturns[[#This Row],[SPY]:[PE]])</f>
        <v>1.8093353891261741E-2</v>
      </c>
      <c r="PD12" s="27">
        <f>IF(ISNUMBER(PD11),PD11*(1+PortfolioFrontier[[#This Row],[P105 Return]]),1+PortfolioFrontier[[#This Row],[P105 Return]])</f>
        <v>1.0412213404005415</v>
      </c>
      <c r="PE12" s="27">
        <f>MAX(PE11,PortfolioFrontier[[#This Row],[P105 Growth]])</f>
        <v>1.0548169175297899</v>
      </c>
      <c r="PF12" s="27">
        <f>PortfolioFrontier[[#This Row],[P105 Growth]]/PortfolioFrontier[[#This Row],[P105 HWM]]-1</f>
        <v>-1.2889039702820737E-2</v>
      </c>
      <c r="PG12" s="28">
        <f>SUMPRODUCT(INDEX(PortfolioRef[[SPY]:[PE]],MATCH(PG$1,PortfolioRef[Reference '#]),0),AssetMonthlyReturns[[#This Row],[SPY]:[PE]])</f>
        <v>1.7684678061858038E-2</v>
      </c>
      <c r="PH12" s="27">
        <f>IF(ISNUMBER(PH11),PH11*(1+PortfolioFrontier[[#This Row],[P106 Return]]),1+PortfolioFrontier[[#This Row],[P106 Return]])</f>
        <v>1.0429472728393239</v>
      </c>
      <c r="PI12" s="27">
        <f>MAX(PI11,PortfolioFrontier[[#This Row],[P106 Growth]])</f>
        <v>1.0499599790437477</v>
      </c>
      <c r="PJ12" s="27">
        <f>PortfolioFrontier[[#This Row],[P106 Growth]]/PortfolioFrontier[[#This Row],[P106 HWM]]-1</f>
        <v>-6.6790223859871656E-3</v>
      </c>
      <c r="PK12" s="28">
        <f>SUMPRODUCT(INDEX(PortfolioRef[[SPY]:[PE]],MATCH(PK$1,PortfolioRef[Reference '#]),0),AssetMonthlyReturns[[#This Row],[SPY]:[PE]])</f>
        <v>2.2653187609744465E-2</v>
      </c>
      <c r="PL12" s="27">
        <f>IF(ISNUMBER(PL11),PL11*(1+PortfolioFrontier[[#This Row],[P107 Return]]),1+PortfolioFrontier[[#This Row],[P107 Return]])</f>
        <v>1.0310519529689064</v>
      </c>
      <c r="PM12" s="27">
        <f>MAX(PM11,PortfolioFrontier[[#This Row],[P107 Growth]])</f>
        <v>1.0562201870951351</v>
      </c>
      <c r="PN12" s="27">
        <f>PortfolioFrontier[[#This Row],[P107 Growth]]/PortfolioFrontier[[#This Row],[P107 HWM]]-1</f>
        <v>-2.3828586533123919E-2</v>
      </c>
      <c r="PO12" s="28">
        <f>SUMPRODUCT(INDEX(PortfolioRef[[SPY]:[PE]],MATCH(PO$1,PortfolioRef[Reference '#]),0),AssetMonthlyReturns[[#This Row],[SPY]:[PE]])</f>
        <v>2.2244511780340762E-2</v>
      </c>
      <c r="PP12" s="27">
        <f>IF(ISNUMBER(PP11),PP11*(1+PortfolioFrontier[[#This Row],[P108 Return]]),1+PortfolioFrontier[[#This Row],[P108 Return]])</f>
        <v>1.0328051639009317</v>
      </c>
      <c r="PQ12" s="27">
        <f>MAX(PQ11,PortfolioFrontier[[#This Row],[P108 Growth]])</f>
        <v>1.051372855315329</v>
      </c>
      <c r="PR12" s="27">
        <f>PortfolioFrontier[[#This Row],[P108 Growth]]/PortfolioFrontier[[#This Row],[P108 HWM]]-1</f>
        <v>-1.7660424958211851E-2</v>
      </c>
      <c r="PS12" s="28">
        <f>SUMPRODUCT(INDEX(PortfolioRef[[SPY]:[PE]],MATCH(PS$1,PortfolioRef[Reference '#]),0),AssetMonthlyReturns[[#This Row],[SPY]:[PE]])</f>
        <v>2.0894217789663369E-2</v>
      </c>
      <c r="PT12" s="27">
        <f>IF(ISNUMBER(PT11),PT11*(1+PortfolioFrontier[[#This Row],[P109 Return]]),1+PortfolioFrontier[[#This Row],[P109 Return]])</f>
        <v>1.0365459880384447</v>
      </c>
      <c r="PU12" s="27">
        <f>MAX(PU11,PortfolioFrontier[[#This Row],[P109 Growth]])</f>
        <v>1.0607882528163963</v>
      </c>
      <c r="PV12" s="27">
        <f>PortfolioFrontier[[#This Row],[P109 Growth]]/PortfolioFrontier[[#This Row],[P109 HWM]]-1</f>
        <v>-2.2853066777076769E-2</v>
      </c>
      <c r="PW12" s="28">
        <f>SUMPRODUCT(INDEX(PortfolioRef[[SPY]:[PE]],MATCH(PW$1,PortfolioRef[Reference '#]),0),AssetMonthlyReturns[[#This Row],[SPY]:[PE]])</f>
        <v>2.0485541960259663E-2</v>
      </c>
      <c r="PX12" s="27">
        <f>IF(ISNUMBER(PX11),PX11*(1+PortfolioFrontier[[#This Row],[P110 Return]]),1+PortfolioFrontier[[#This Row],[P110 Return]])</f>
        <v>1.0383169350305554</v>
      </c>
      <c r="PY12" s="27">
        <f>MAX(PY11,PortfolioFrontier[[#This Row],[P110 Growth]])</f>
        <v>1.0559214762599245</v>
      </c>
      <c r="PZ12" s="27">
        <f>PortfolioFrontier[[#This Row],[P110 Growth]]/PortfolioFrontier[[#This Row],[P110 HWM]]-1</f>
        <v>-1.6672206811934931E-2</v>
      </c>
      <c r="QA12" s="28">
        <f>SUMPRODUCT(INDEX(PortfolioRef[[SPY]:[PE]],MATCH(QA$1,PortfolioRef[Reference '#]),0),AssetMonthlyReturns[[#This Row],[SPY]:[PE]])</f>
        <v>2.0076866130855964E-2</v>
      </c>
      <c r="QB12" s="27">
        <f>IF(ISNUMBER(QB11),QB11*(1+PortfolioFrontier[[#This Row],[P111 Return]]),1+PortfolioFrontier[[#This Row],[P111 Return]])</f>
        <v>1.0400551374585414</v>
      </c>
      <c r="QC12" s="27">
        <f>MAX(QC11,PortfolioFrontier[[#This Row],[P111 Growth]])</f>
        <v>1.0510668378703485</v>
      </c>
      <c r="QD12" s="27">
        <f>PortfolioFrontier[[#This Row],[P111 Growth]]/PortfolioFrontier[[#This Row],[P111 HWM]]-1</f>
        <v>-1.0476689031611697E-2</v>
      </c>
      <c r="QE12" s="28">
        <f>SUMPRODUCT(INDEX(PortfolioRef[[SPY]:[PE]],MATCH(QE$1,PortfolioRef[Reference '#]),0),AssetMonthlyReturns[[#This Row],[SPY]:[PE]])</f>
        <v>1.913524796958228E-2</v>
      </c>
      <c r="QF12" s="27">
        <f>IF(ISNUMBER(QF11),QF11*(1+PortfolioFrontier[[#This Row],[P112 Return]]),1+PortfolioFrontier[[#This Row],[P112 Return]])</f>
        <v>1.0420217573189412</v>
      </c>
      <c r="QG12" s="27">
        <f>MAX(QG11,PortfolioFrontier[[#This Row],[P112 Growth]])</f>
        <v>1.0653524862884685</v>
      </c>
      <c r="QH12" s="27">
        <f>PortfolioFrontier[[#This Row],[P112 Growth]]/PortfolioFrontier[[#This Row],[P112 HWM]]-1</f>
        <v>-2.189953960759794E-2</v>
      </c>
      <c r="QI12" s="28">
        <f>SUMPRODUCT(INDEX(PortfolioRef[[SPY]:[PE]],MATCH(QI$1,PortfolioRef[Reference '#]),0),AssetMonthlyReturns[[#This Row],[SPY]:[PE]])</f>
        <v>1.8726572140178577E-2</v>
      </c>
      <c r="QJ12" s="27">
        <f>IF(ISNUMBER(QJ11),QJ11*(1+PortfolioFrontier[[#This Row],[P113 Return]]),1+PortfolioFrontier[[#This Row],[P113 Return]])</f>
        <v>1.0438104556508008</v>
      </c>
      <c r="QK12" s="27">
        <f>MAX(QK11,PortfolioFrontier[[#This Row],[P113 Growth]])</f>
        <v>1.0604662396975308</v>
      </c>
      <c r="QL12" s="27">
        <f>PortfolioFrontier[[#This Row],[P113 Growth]]/PortfolioFrontier[[#This Row],[P113 HWM]]-1</f>
        <v>-1.570609551085822E-2</v>
      </c>
      <c r="QM12" s="28">
        <f>SUMPRODUCT(INDEX(PortfolioRef[[SPY]:[PE]],MATCH(QM$1,PortfolioRef[Reference '#]),0),AssetMonthlyReturns[[#This Row],[SPY]:[PE]])</f>
        <v>1.8317896310774875E-2</v>
      </c>
      <c r="QN12" s="27">
        <f>IF(ISNUMBER(QN11),QN11*(1+PortfolioFrontier[[#This Row],[P114 Return]]),1+PortfolioFrontier[[#This Row],[P114 Return]])</f>
        <v>1.04556622893847</v>
      </c>
      <c r="QO12" s="27">
        <f>MAX(QO11,PortfolioFrontier[[#This Row],[P114 Growth]])</f>
        <v>1.0555921566006516</v>
      </c>
      <c r="QP12" s="27">
        <f>PortfolioFrontier[[#This Row],[P114 Growth]]/PortfolioFrontier[[#This Row],[P114 HWM]]-1</f>
        <v>-9.4979179216985177E-3</v>
      </c>
      <c r="QQ12" s="28">
        <f>SUMPRODUCT(INDEX(PortfolioRef[[SPY]:[PE]],MATCH(QQ$1,PortfolioRef[Reference '#]),0),AssetMonthlyReturns[[#This Row],[SPY]:[PE]])</f>
        <v>2.3286405858661298E-2</v>
      </c>
      <c r="QR12" s="27">
        <f>IF(ISNUMBER(QR11),QR11*(1+PortfolioFrontier[[#This Row],[P115 Return]]),1+PortfolioFrontier[[#This Row],[P115 Return]])</f>
        <v>1.0335959170721323</v>
      </c>
      <c r="QS12" s="27">
        <f>MAX(QS11,PortfolioFrontier[[#This Row],[P115 Growth]])</f>
        <v>1.0618686348654582</v>
      </c>
      <c r="QT12" s="27">
        <f>PortfolioFrontier[[#This Row],[P115 Growth]]/PortfolioFrontier[[#This Row],[P115 HWM]]-1</f>
        <v>-2.6625438274582969E-2</v>
      </c>
      <c r="QU12" s="28">
        <f>SUMPRODUCT(INDEX(PortfolioRef[[SPY]:[PE]],MATCH(QU$1,PortfolioRef[Reference '#]),0),AssetMonthlyReturns[[#This Row],[SPY]:[PE]])</f>
        <v>2.2877730029257592E-2</v>
      </c>
      <c r="QV12" s="27">
        <f>IF(ISNUMBER(QV11),QV11*(1+PortfolioFrontier[[#This Row],[P116 Return]]),1+PortfolioFrontier[[#This Row],[P116 Return]])</f>
        <v>1.035378777838023</v>
      </c>
      <c r="QW12" s="27">
        <f>MAX(QW11,PortfolioFrontier[[#This Row],[P116 Growth]])</f>
        <v>1.0570041848172638</v>
      </c>
      <c r="QX12" s="27">
        <f>PortfolioFrontier[[#This Row],[P116 Growth]]/PortfolioFrontier[[#This Row],[P116 HWM]]-1</f>
        <v>-2.0459149821605904E-2</v>
      </c>
      <c r="QY12" s="28">
        <f>SUMPRODUCT(INDEX(PortfolioRef[[SPY]:[PE]],MATCH(QY$1,PortfolioRef[Reference '#]),0),AssetMonthlyReturns[[#This Row],[SPY]:[PE]])</f>
        <v>2.2469054199853893E-2</v>
      </c>
      <c r="QZ12" s="27">
        <f>IF(ISNUMBER(QZ11),QZ11*(1+PortfolioFrontier[[#This Row],[P117 Return]]),1+PortfolioFrontier[[#This Row],[P117 Return]])</f>
        <v>1.0371290343810218</v>
      </c>
      <c r="RA12" s="27">
        <f>MAX(RA11,PortfolioFrontier[[#This Row],[P117 Growth]])</f>
        <v>1.0521518697486996</v>
      </c>
      <c r="RB12" s="27">
        <f>PortfolioFrontier[[#This Row],[P117 Growth]]/PortfolioFrontier[[#This Row],[P117 HWM]]-1</f>
        <v>-1.4278200514214689E-2</v>
      </c>
      <c r="RC12" s="28">
        <f>SUMPRODUCT(INDEX(PortfolioRef[[SPY]:[PE]],MATCH(RC$1,PortfolioRef[Reference '#]),0),AssetMonthlyReturns[[#This Row],[SPY]:[PE]])</f>
        <v>2.1527436038580205E-2</v>
      </c>
      <c r="RD12" s="27">
        <f>IF(ISNUMBER(RD11),RD11*(1+PortfolioFrontier[[#This Row],[P118 Return]]),1+PortfolioFrontier[[#This Row],[P118 Return]])</f>
        <v>1.0390892413293642</v>
      </c>
      <c r="RE12" s="27">
        <f>MAX(RE11,PortfolioFrontier[[#This Row],[P118 Growth]])</f>
        <v>1.0664554246268612</v>
      </c>
      <c r="RF12" s="27">
        <f>PortfolioFrontier[[#This Row],[P118 Growth]]/PortfolioFrontier[[#This Row],[P118 HWM]]-1</f>
        <v>-2.5660878706742052E-2</v>
      </c>
      <c r="RG12" s="28">
        <f>SUMPRODUCT(INDEX(PortfolioRef[[SPY]:[PE]],MATCH(RG$1,PortfolioRef[Reference '#]),0),AssetMonthlyReturns[[#This Row],[SPY]:[PE]])</f>
        <v>2.1118760209176499E-2</v>
      </c>
      <c r="RH12" s="27">
        <f>IF(ISNUMBER(RH11),RH11*(1+PortfolioFrontier[[#This Row],[P119 Return]]),1+PortfolioFrontier[[#This Row],[P119 Return]])</f>
        <v>1.0408900120810167</v>
      </c>
      <c r="RI12" s="27">
        <f>MAX(RI11,PortfolioFrontier[[#This Row],[P119 Growth]])</f>
        <v>1.0615714914212842</v>
      </c>
      <c r="RJ12" s="27">
        <f>PortfolioFrontier[[#This Row],[P119 Growth]]/PortfolioFrontier[[#This Row],[P119 HWM]]-1</f>
        <v>-1.9481946818841189E-2</v>
      </c>
      <c r="RK12" s="28">
        <f>SUMPRODUCT(INDEX(PortfolioRef[[SPY]:[PE]],MATCH(RK$1,PortfolioRef[Reference '#]),0),AssetMonthlyReturns[[#This Row],[SPY]:[PE]])</f>
        <v>2.0710084379772797E-2</v>
      </c>
      <c r="RL12" s="27">
        <f>IF(ISNUMBER(RL11),RL11*(1+PortfolioFrontier[[#This Row],[P120 Return]]),1+PortfolioFrontier[[#This Row],[P120 Return]])</f>
        <v>1.0426579986282865</v>
      </c>
      <c r="RM12" s="27">
        <f>MAX(RM11,PortfolioFrontier[[#This Row],[P120 Growth]])</f>
        <v>1.0566997185225</v>
      </c>
      <c r="RN12" s="27">
        <f>PortfolioFrontier[[#This Row],[P120 Growth]]/PortfolioFrontier[[#This Row],[P120 HWM]]-1</f>
        <v>-1.3288278257371888E-2</v>
      </c>
      <c r="RO12" s="28">
        <f>SUMPRODUCT(INDEX(PortfolioRef[[SPY]:[PE]],MATCH(RO$1,PortfolioRef[Reference '#]),0),AssetMonthlyReturns[[#This Row],[SPY]:[PE]])</f>
        <v>1.9768466218499117E-2</v>
      </c>
      <c r="RP12" s="27">
        <f>IF(ISNUMBER(RP11),RP11*(1+PortfolioFrontier[[#This Row],[P121 Return]]),1+PortfolioFrontier[[#This Row],[P121 Return]])</f>
        <v>1.0445641813275053</v>
      </c>
      <c r="RQ12" s="27">
        <f>MAX(RQ11,PortfolioFrontier[[#This Row],[P121 Growth]])</f>
        <v>1.0710383749555177</v>
      </c>
      <c r="RR12" s="27">
        <f>PortfolioFrontier[[#This Row],[P121 Growth]]/PortfolioFrontier[[#This Row],[P121 HWM]]-1</f>
        <v>-2.4718249361617817E-2</v>
      </c>
      <c r="RS12" s="28">
        <f>SUMPRODUCT(INDEX(PortfolioRef[[SPY]:[PE]],MATCH(RS$1,PortfolioRef[Reference '#]),0),AssetMonthlyReturns[[#This Row],[SPY]:[PE]])</f>
        <v>1.935979038909541E-2</v>
      </c>
      <c r="RT12" s="27">
        <f>IF(ISNUMBER(RT11),RT11*(1+PortfolioFrontier[[#This Row],[P122 Return]]),1+PortfolioFrontier[[#This Row],[P122 Return]])</f>
        <v>1.0463828771400459</v>
      </c>
      <c r="RU12" s="27">
        <f>MAX(RU11,PortfolioFrontier[[#This Row],[P122 Growth]])</f>
        <v>1.0661349333347574</v>
      </c>
      <c r="RV12" s="27">
        <f>PortfolioFrontier[[#This Row],[P122 Growth]]/PortfolioFrontier[[#This Row],[P122 HWM]]-1</f>
        <v>-1.8526788286478135E-2</v>
      </c>
      <c r="RW12" s="28">
        <f>SUMPRODUCT(INDEX(PortfolioRef[[SPY]:[PE]],MATCH(RW$1,PortfolioRef[Reference '#]),0),AssetMonthlyReturns[[#This Row],[SPY]:[PE]])</f>
        <v>1.8951114559691708E-2</v>
      </c>
      <c r="RX12" s="27">
        <f>IF(ISNUMBER(RX11),RX11*(1+PortfolioFrontier[[#This Row],[P123 Return]]),1+PortfolioFrontier[[#This Row],[P123 Return]])</f>
        <v>1.0481686088097237</v>
      </c>
      <c r="RY12" s="27">
        <f>MAX(RY11,PortfolioFrontier[[#This Row],[P123 Growth]])</f>
        <v>1.0612436773479528</v>
      </c>
      <c r="RZ12" s="27">
        <f>PortfolioFrontier[[#This Row],[P123 Growth]]/PortfolioFrontier[[#This Row],[P123 HWM]]-1</f>
        <v>-1.2320514898994328E-2</v>
      </c>
      <c r="SA12" s="28">
        <f>SUMPRODUCT(INDEX(PortfolioRef[[SPY]:[PE]],MATCH(SA$1,PortfolioRef[Reference '#]),0),AssetMonthlyReturns[[#This Row],[SPY]:[PE]])</f>
        <v>2.3919624107578131E-2</v>
      </c>
      <c r="SB12" s="27">
        <f>IF(ISNUMBER(SB11),SB11*(1+PortfolioFrontier[[#This Row],[P124 Return]]),1+PortfolioFrontier[[#This Row],[P124 Return]])</f>
        <v>1.0361232319911027</v>
      </c>
      <c r="SC12" s="27">
        <f>MAX(SC11,PortfolioFrontier[[#This Row],[P124 Growth]])</f>
        <v>1.0675364357312243</v>
      </c>
      <c r="SD12" s="27">
        <f>PortfolioFrontier[[#This Row],[P124 Growth]]/PortfolioFrontier[[#This Row],[P124 HWM]]-1</f>
        <v>-2.9425884390170354E-2</v>
      </c>
      <c r="SE12" s="28">
        <f>SUMPRODUCT(INDEX(PortfolioRef[[SPY]:[PE]],MATCH(SE$1,PortfolioRef[Reference '#]),0),AssetMonthlyReturns[[#This Row],[SPY]:[PE]])</f>
        <v>2.3510948278174425E-2</v>
      </c>
      <c r="SF12" s="27">
        <f>IF(ISNUMBER(SF11),SF11*(1+PortfolioFrontier[[#This Row],[P125 Return]]),1+PortfolioFrontier[[#This Row],[P125 Return]])</f>
        <v>1.0379358582615912</v>
      </c>
      <c r="SG12" s="27">
        <f>MAX(SG11,PortfolioFrontier[[#This Row],[P125 Growth]])</f>
        <v>1.0626548391355537</v>
      </c>
      <c r="SH12" s="27">
        <f>PortfolioFrontier[[#This Row],[P125 Growth]]/PortfolioFrontier[[#This Row],[P125 HWM]]-1</f>
        <v>-2.3261533250129363E-2</v>
      </c>
      <c r="SI12" s="28">
        <f>SUMPRODUCT(INDEX(PortfolioRef[[SPY]:[PE]],MATCH(SI$1,PortfolioRef[Reference '#]),0),AssetMonthlyReturns[[#This Row],[SPY]:[PE]])</f>
        <v>2.3102272448770722E-2</v>
      </c>
      <c r="SJ12" s="27">
        <f>IF(ISNUMBER(SJ11),SJ11*(1+PortfolioFrontier[[#This Row],[P126 Return]]),1+PortfolioFrontier[[#This Row],[P126 Return]])</f>
        <v>1.0397158413823215</v>
      </c>
      <c r="SK12" s="27">
        <f>MAX(SK11,PortfolioFrontier[[#This Row],[P126 Growth]])</f>
        <v>1.0577853996594109</v>
      </c>
      <c r="SL12" s="27">
        <f>PortfolioFrontier[[#This Row],[P126 Growth]]/PortfolioFrontier[[#This Row],[P126 HWM]]-1</f>
        <v>-1.7082442509517959E-2</v>
      </c>
      <c r="SM12" s="28">
        <f>SUMPRODUCT(INDEX(PortfolioRef[[SPY]:[PE]],MATCH(SM$1,PortfolioRef[Reference '#]),0),AssetMonthlyReturns[[#This Row],[SPY]:[PE]])</f>
        <v>2.2160654287497038E-2</v>
      </c>
      <c r="SN12" s="27">
        <f>IF(ISNUMBER(SN11),SN11*(1+PortfolioFrontier[[#This Row],[P127 Return]]),1+PortfolioFrontier[[#This Row],[P127 Return]])</f>
        <v>1.0416156929912592</v>
      </c>
      <c r="SO12" s="27">
        <f>MAX(SO11,PortfolioFrontier[[#This Row],[P127 Growth]])</f>
        <v>1.072141988535577</v>
      </c>
      <c r="SP12" s="27">
        <f>PortfolioFrontier[[#This Row],[P127 Growth]]/PortfolioFrontier[[#This Row],[P127 HWM]]-1</f>
        <v>-2.8472250756649498E-2</v>
      </c>
      <c r="SQ12" s="28">
        <f>SUMPRODUCT(INDEX(PortfolioRef[[SPY]:[PE]],MATCH(SQ$1,PortfolioRef[Reference '#]),0),AssetMonthlyReturns[[#This Row],[SPY]:[PE]])</f>
        <v>2.1751978458093336E-2</v>
      </c>
      <c r="SR12" s="27">
        <f>IF(ISNUMBER(SR11),SR11*(1+PortfolioFrontier[[#This Row],[P128 Return]]),1+PortfolioFrontier[[#This Row],[P128 Return]])</f>
        <v>1.0434464030880997</v>
      </c>
      <c r="SS12" s="27">
        <f>MAX(SS11,PortfolioFrontier[[#This Row],[P128 Growth]])</f>
        <v>1.0672408704018066</v>
      </c>
      <c r="ST12" s="27">
        <f>PortfolioFrontier[[#This Row],[P128 Growth]]/PortfolioFrontier[[#This Row],[P128 HWM]]-1</f>
        <v>-2.2295311183827216E-2</v>
      </c>
      <c r="SU12" s="28">
        <f>SUMPRODUCT(INDEX(PortfolioRef[[SPY]:[PE]],MATCH(SU$1,PortfolioRef[Reference '#]),0),AssetMonthlyReturns[[#This Row],[SPY]:[PE]])</f>
        <v>2.1343302628689633E-2</v>
      </c>
      <c r="SV12" s="27">
        <f>IF(ISNUMBER(SV11),SV11*(1+PortfolioFrontier[[#This Row],[P129 Return]]),1+PortfolioFrontier[[#This Row],[P129 Return]])</f>
        <v>1.0452442905987718</v>
      </c>
      <c r="SW12" s="27">
        <f>MAX(SW11,PortfolioFrontier[[#This Row],[P129 Growth]])</f>
        <v>1.0623519347147268</v>
      </c>
      <c r="SX12" s="27">
        <f>PortfolioFrontier[[#This Row],[P129 Growth]]/PortfolioFrontier[[#This Row],[P129 HWM]]-1</f>
        <v>-1.6103556229272509E-2</v>
      </c>
      <c r="SY12" s="28">
        <f>SUMPRODUCT(INDEX(PortfolioRef[[SPY]:[PE]],MATCH(SY$1,PortfolioRef[Reference '#]),0),AssetMonthlyReturns[[#This Row],[SPY]:[PE]])</f>
        <v>2.0401684467415949E-2</v>
      </c>
      <c r="SZ12" s="27">
        <f>IF(ISNUMBER(SZ11),SZ11*(1+PortfolioFrontier[[#This Row],[P130 Return]]),1+PortfolioFrontier[[#This Row],[P130 Return]])</f>
        <v>1.0470896512464871</v>
      </c>
      <c r="TA12" s="27">
        <f>MAX(TA11,PortfolioFrontier[[#This Row],[P130 Growth]])</f>
        <v>1.0767436947236253</v>
      </c>
      <c r="TB12" s="27">
        <f>PortfolioFrontier[[#This Row],[P130 Growth]]/PortfolioFrontier[[#This Row],[P130 HWM]]-1</f>
        <v>-2.7540484910617113E-2</v>
      </c>
      <c r="TC12" s="28">
        <f>SUMPRODUCT(INDEX(PortfolioRef[[SPY]:[PE]],MATCH(TC$1,PortfolioRef[Reference '#]),0),AssetMonthlyReturns[[#This Row],[SPY]:[PE]])</f>
        <v>1.9993008638012243E-2</v>
      </c>
      <c r="TD12" s="27">
        <f>IF(ISNUMBER(TD11),TD11*(1+PortfolioFrontier[[#This Row],[P131 Return]]),1+PortfolioFrontier[[#This Row],[P131 Return]])</f>
        <v>1.0489384600344656</v>
      </c>
      <c r="TE12" s="27">
        <f>MAX(TE11,PortfolioFrontier[[#This Row],[P131 Growth]])</f>
        <v>1.0718230297939548</v>
      </c>
      <c r="TF12" s="27">
        <f>PortfolioFrontier[[#This Row],[P131 Growth]]/PortfolioFrontier[[#This Row],[P131 HWM]]-1</f>
        <v>-2.135107114081003E-2</v>
      </c>
      <c r="TG12" s="28">
        <f>SUMPRODUCT(INDEX(PortfolioRef[[SPY]:[PE]],MATCH(TG$1,PortfolioRef[Reference '#]),0),AssetMonthlyReturns[[#This Row],[SPY]:[PE]])</f>
        <v>1.9584332808608544E-2</v>
      </c>
      <c r="TH12" s="27">
        <f>IF(ISNUMBER(TH11),TH11*(1+PortfolioFrontier[[#This Row],[P132 Return]]),1+PortfolioFrontier[[#This Row],[P132 Return]])</f>
        <v>1.0507542668488903</v>
      </c>
      <c r="TI12" s="27">
        <f>MAX(TI11,PortfolioFrontier[[#This Row],[P132 Growth]])</f>
        <v>1.0669145726381379</v>
      </c>
      <c r="TJ12" s="27">
        <f>PortfolioFrontier[[#This Row],[P132 Growth]]/PortfolioFrontier[[#This Row],[P132 HWM]]-1</f>
        <v>-1.5146766389448008E-2</v>
      </c>
      <c r="TK12" s="28">
        <f>SUMPRODUCT(INDEX(PortfolioRef[[SPY]:[PE]],MATCH(TK$1,PortfolioRef[Reference '#]),0),AssetMonthlyReturns[[#This Row],[SPY]:[PE]])</f>
        <v>2.4552842356494967E-2</v>
      </c>
      <c r="TL12" s="27">
        <f>IF(ISNUMBER(TL11),TL11*(1+PortfolioFrontier[[#This Row],[P133 Return]]),1+PortfolioFrontier[[#This Row],[P133 Return]])</f>
        <v>1.038633754475939</v>
      </c>
      <c r="TM12" s="27">
        <f>MAX(TM11,PortfolioFrontier[[#This Row],[P133 Growth]])</f>
        <v>1.0732236210449184</v>
      </c>
      <c r="TN12" s="27">
        <f>PortfolioFrontier[[#This Row],[P133 Growth]]/PortfolioFrontier[[#This Row],[P133 HWM]]-1</f>
        <v>-3.2229878182612026E-2</v>
      </c>
      <c r="TO12" s="28">
        <f>SUMPRODUCT(INDEX(PortfolioRef[[SPY]:[PE]],MATCH(TO$1,PortfolioRef[Reference '#]),0),AssetMonthlyReturns[[#This Row],[SPY]:[PE]])</f>
        <v>2.4144166527091261E-2</v>
      </c>
      <c r="TP12" s="27">
        <f>IF(ISNUMBER(TP11),TP11*(1+PortfolioFrontier[[#This Row],[P134 Return]]),1+PortfolioFrontier[[#This Row],[P134 Return]])</f>
        <v>1.0404762611507996</v>
      </c>
      <c r="TQ12" s="27">
        <f>MAX(TQ11,PortfolioFrontier[[#This Row],[P134 Growth]])</f>
        <v>1.0683248496226843</v>
      </c>
      <c r="TR12" s="27">
        <f>PortfolioFrontier[[#This Row],[P134 Growth]]/PortfolioFrontier[[#This Row],[P134 HWM]]-1</f>
        <v>-2.6067528506633852E-2</v>
      </c>
      <c r="TS12" s="28">
        <f>SUMPRODUCT(INDEX(PortfolioRef[[SPY]:[PE]],MATCH(TS$1,PortfolioRef[Reference '#]),0),AssetMonthlyReturns[[#This Row],[SPY]:[PE]])</f>
        <v>2.3735490697687558E-2</v>
      </c>
      <c r="TT12" s="27">
        <f>IF(ISNUMBER(TT11),TT11*(1+PortfolioFrontier[[#This Row],[P135 Return]]),1+PortfolioFrontier[[#This Row],[P135 Return]])</f>
        <v>1.042286087006614</v>
      </c>
      <c r="TU12" s="27">
        <f>MAX(TU11,PortfolioFrontier[[#This Row],[P135 Growth]])</f>
        <v>1.0634382574598751</v>
      </c>
      <c r="TV12" s="27">
        <f>PortfolioFrontier[[#This Row],[P135 Growth]]/PortfolioFrontier[[#This Row],[P135 HWM]]-1</f>
        <v>-1.9890360634368331E-2</v>
      </c>
      <c r="TW12" s="28">
        <f>SUMPRODUCT(INDEX(PortfolioRef[[SPY]:[PE]],MATCH(TW$1,PortfolioRef[Reference '#]),0),AssetMonthlyReturns[[#This Row],[SPY]:[PE]])</f>
        <v>2.2793872536413875E-2</v>
      </c>
      <c r="TX12" s="27">
        <f>IF(ISNUMBER(TX11),TX11*(1+PortfolioFrontier[[#This Row],[P136 Return]]),1+PortfolioFrontier[[#This Row],[P136 Return]])</f>
        <v>1.0441251995366396</v>
      </c>
      <c r="TY12" s="27">
        <f>MAX(TY11,PortfolioFrontier[[#This Row],[P136 Growth]])</f>
        <v>1.0778479758950288</v>
      </c>
      <c r="TZ12" s="27">
        <f>PortfolioFrontier[[#This Row],[P136 Growth]]/PortfolioFrontier[[#This Row],[P136 HWM]]-1</f>
        <v>-3.1287136138458016E-2</v>
      </c>
      <c r="UA12" s="28">
        <f>SUMPRODUCT(INDEX(PortfolioRef[[SPY]:[PE]],MATCH(UA$1,PortfolioRef[Reference '#]),0),AssetMonthlyReturns[[#This Row],[SPY]:[PE]])</f>
        <v>2.2385196707010169E-2</v>
      </c>
      <c r="UB12" s="27">
        <f>IF(ISNUMBER(UB11),UB11*(1+PortfolioFrontier[[#This Row],[P137 Return]]),1+PortfolioFrontier[[#This Row],[P137 Return]])</f>
        <v>1.0459859637849056</v>
      </c>
      <c r="UC12" s="27">
        <f>MAX(UC11,PortfolioFrontier[[#This Row],[P137 Growth]])</f>
        <v>1.0729296445539775</v>
      </c>
      <c r="UD12" s="27">
        <f>PortfolioFrontier[[#This Row],[P137 Growth]]/PortfolioFrontier[[#This Row],[P137 HWM]]-1</f>
        <v>-2.5112253078134139E-2</v>
      </c>
      <c r="UE12" s="28">
        <f>SUMPRODUCT(INDEX(PortfolioRef[[SPY]:[PE]],MATCH(UE$1,PortfolioRef[Reference '#]),0),AssetMonthlyReturns[[#This Row],[SPY]:[PE]])</f>
        <v>2.1976520877606466E-2</v>
      </c>
      <c r="UF12" s="27">
        <f>IF(ISNUMBER(UF11),UF11*(1+PortfolioFrontier[[#This Row],[P138 Return]]),1+PortfolioFrontier[[#This Row],[P138 Return]])</f>
        <v>1.0478138683323093</v>
      </c>
      <c r="UG12" s="27">
        <f>MAX(UG11,PortfolioFrontier[[#This Row],[P138 Growth]])</f>
        <v>1.0680235177995143</v>
      </c>
      <c r="UH12" s="27">
        <f>PortfolioFrontier[[#This Row],[P138 Growth]]/PortfolioFrontier[[#This Row],[P138 HWM]]-1</f>
        <v>-1.8922476078844896E-2</v>
      </c>
      <c r="UI12" s="28">
        <f>SUMPRODUCT(INDEX(PortfolioRef[[SPY]:[PE]],MATCH(UI$1,PortfolioRef[Reference '#]),0),AssetMonthlyReturns[[#This Row],[SPY]:[PE]])</f>
        <v>2.1034902716332782E-2</v>
      </c>
      <c r="UJ12" s="27">
        <f>IF(ISNUMBER(UJ11),UJ11*(1+PortfolioFrontier[[#This Row],[P139 Return]]),1+PortfolioFrontier[[#This Row],[P139 Return]])</f>
        <v>1.0495980233561131</v>
      </c>
      <c r="UK12" s="27">
        <f>MAX(UK11,PortfolioFrontier[[#This Row],[P139 Growth]])</f>
        <v>1.0824684769452779</v>
      </c>
      <c r="UL12" s="27">
        <f>PortfolioFrontier[[#This Row],[P139 Growth]]/PortfolioFrontier[[#This Row],[P139 HWM]]-1</f>
        <v>-3.0366199376008707E-2</v>
      </c>
      <c r="UM12" s="28">
        <f>SUMPRODUCT(INDEX(PortfolioRef[[SPY]:[PE]],MATCH(UM$1,PortfolioRef[Reference '#]),0),AssetMonthlyReturns[[#This Row],[SPY]:[PE]])</f>
        <v>2.062622688692908E-2</v>
      </c>
      <c r="UN12" s="27">
        <f>IF(ISNUMBER(UN11),UN11*(1+PortfolioFrontier[[#This Row],[P140 Return]]),1+PortfolioFrontier[[#This Row],[P140 Return]])</f>
        <v>1.0514770598264072</v>
      </c>
      <c r="UO12" s="27">
        <f>MAX(UO11,PortfolioFrontier[[#This Row],[P140 Growth]])</f>
        <v>1.0775305604276091</v>
      </c>
      <c r="UP12" s="27">
        <f>PortfolioFrontier[[#This Row],[P140 Growth]]/PortfolioFrontier[[#This Row],[P140 HWM]]-1</f>
        <v>-2.4178897154306989E-2</v>
      </c>
      <c r="UQ12" s="28">
        <f>SUMPRODUCT(INDEX(PortfolioRef[[SPY]:[PE]],MATCH(UQ$1,PortfolioRef[Reference '#]),0),AssetMonthlyReturns[[#This Row],[SPY]:[PE]])</f>
        <v>2.0217551057525377E-2</v>
      </c>
      <c r="UR12" s="27">
        <f>IF(ISNUMBER(UR11),UR11*(1+PortfolioFrontier[[#This Row],[P141 Return]]),1+PortfolioFrontier[[#This Row],[P141 Return]])</f>
        <v>1.053323057769076</v>
      </c>
      <c r="US12" s="27">
        <f>MAX(US11,PortfolioFrontier[[#This Row],[P141 Growth]])</f>
        <v>1.0726048738236913</v>
      </c>
      <c r="UT12" s="27">
        <f>PortfolioFrontier[[#This Row],[P141 Growth]]/PortfolioFrontier[[#This Row],[P141 HWM]]-1</f>
        <v>-1.7976625433257842E-2</v>
      </c>
    </row>
    <row r="13" spans="1:566" x14ac:dyDescent="0.2">
      <c r="B13" s="41">
        <f>AssetMonthlyReturns[[#This Row],[Date]]</f>
        <v>42767</v>
      </c>
      <c r="C13" s="28">
        <f>SUMPRODUCT(INDEX(PortfolioRef[[SPY]:[PE]],MATCH(C$1,PortfolioRef[Reference '#]),0),AssetMonthlyReturns[[#This Row],[SPY]:[PE]])</f>
        <v>2.5742090981779875E-2</v>
      </c>
      <c r="D13" s="29">
        <f>IF(ISNUMBER(D12),D12*(1+PortfolioFrontier[[#This Row],[P1 Return]]),1+PortfolioFrontier[[#This Row],[P1 Return]])</f>
        <v>1.0994544441953322</v>
      </c>
      <c r="E13" s="29">
        <f>MAX(E12,PortfolioFrontier[[#This Row],[P1 Growth]])</f>
        <v>1.0994544441953322</v>
      </c>
      <c r="F13" s="29">
        <f>PortfolioFrontier[[#This Row],[P1 Growth]]/PortfolioFrontier[[#This Row],[P1 HWM]]-1</f>
        <v>0</v>
      </c>
      <c r="G13" s="28">
        <f>SUMPRODUCT(INDEX(PortfolioRef[[SPY]:[PE]],MATCH(G$1,PortfolioRef[Reference '#]),0),AssetMonthlyReturns[[#This Row],[SPY]:[PE]])</f>
        <v>2.3999158057379268E-2</v>
      </c>
      <c r="H13" s="27">
        <f>IF(ISNUMBER(H12),H12*(1+PortfolioFrontier[[#This Row],[P2 Return]]),1+PortfolioFrontier[[#This Row],[P2 Return]])</f>
        <v>1.0911226740585618</v>
      </c>
      <c r="I13" s="27">
        <f>MAX(I12,PortfolioFrontier[[#This Row],[P2 Growth]])</f>
        <v>1.0911226740585618</v>
      </c>
      <c r="J13" s="27">
        <f>PortfolioFrontier[[#This Row],[P2 Growth]]/PortfolioFrontier[[#This Row],[P2 HWM]]-1</f>
        <v>0</v>
      </c>
      <c r="K13" s="28">
        <f>SUMPRODUCT(INDEX(PortfolioRef[[SPY]:[PE]],MATCH(K$1,PortfolioRef[Reference '#]),0),AssetMonthlyReturns[[#This Row],[SPY]:[PE]])</f>
        <v>2.5369894010309813E-2</v>
      </c>
      <c r="L13" s="27">
        <f>IF(ISNUMBER(L12),L12*(1+PortfolioFrontier[[#This Row],[P3 Return]]),1+PortfolioFrontier[[#This Row],[P3 Return]])</f>
        <v>1.0896058995217568</v>
      </c>
      <c r="M13" s="27">
        <f>MAX(M12,PortfolioFrontier[[#This Row],[P3 Growth]])</f>
        <v>1.0896058995217568</v>
      </c>
      <c r="N13" s="27">
        <f>PortfolioFrontier[[#This Row],[P3 Growth]]/PortfolioFrontier[[#This Row],[P3 HWM]]-1</f>
        <v>0</v>
      </c>
      <c r="O13" s="28">
        <f>SUMPRODUCT(INDEX(PortfolioRef[[SPY]:[PE]],MATCH(O$1,PortfolioRef[Reference '#]),0),AssetMonthlyReturns[[#This Row],[SPY]:[PE]])</f>
        <v>2.5531781270609372E-2</v>
      </c>
      <c r="P13" s="27">
        <f>IF(ISNUMBER(P12),P12*(1+PortfolioFrontier[[#This Row],[P4 Return]]),1+PortfolioFrontier[[#This Row],[P4 Return]])</f>
        <v>1.0954604311261775</v>
      </c>
      <c r="Q13" s="27">
        <f>MAX(Q12,PortfolioFrontier[[#This Row],[P4 Growth]])</f>
        <v>1.0954604311261775</v>
      </c>
      <c r="R13" s="27">
        <f>PortfolioFrontier[[#This Row],[P4 Growth]]/PortfolioFrontier[[#This Row],[P4 HWM]]-1</f>
        <v>0</v>
      </c>
      <c r="S13" s="28">
        <f>SUMPRODUCT(INDEX(PortfolioRef[[SPY]:[PE]],MATCH(S$1,PortfolioRef[Reference '#]),0),AssetMonthlyReturns[[#This Row],[SPY]:[PE]])</f>
        <v>2.2164229463852048E-2</v>
      </c>
      <c r="T13" s="27">
        <f>IF(ISNUMBER(T12),T12*(1+PortfolioFrontier[[#This Row],[P5 Return]]),1+PortfolioFrontier[[#This Row],[P5 Return]])</f>
        <v>1.0936783948044853</v>
      </c>
      <c r="U13" s="27">
        <f>MAX(U12,PortfolioFrontier[[#This Row],[P5 Growth]])</f>
        <v>1.0936783948044853</v>
      </c>
      <c r="V13" s="27">
        <f>PortfolioFrontier[[#This Row],[P5 Growth]]/PortfolioFrontier[[#This Row],[P5 HWM]]-1</f>
        <v>0</v>
      </c>
      <c r="W13" s="28">
        <f>SUMPRODUCT(INDEX(PortfolioRef[[SPY]:[PE]],MATCH(W$1,PortfolioRef[Reference '#]),0),AssetMonthlyReturns[[#This Row],[SPY]:[PE]])</f>
        <v>2.225622513297866E-2</v>
      </c>
      <c r="X13" s="27">
        <f>IF(ISNUMBER(X12),X12*(1+PortfolioFrontier[[#This Row],[P6 Return]]),1+PortfolioFrontier[[#This Row],[P6 Return]])</f>
        <v>1.0828336435388499</v>
      </c>
      <c r="Y13" s="27">
        <f>MAX(Y12,PortfolioFrontier[[#This Row],[P6 Growth]])</f>
        <v>1.0828336435388499</v>
      </c>
      <c r="Z13" s="27">
        <f>PortfolioFrontier[[#This Row],[P6 Growth]]/PortfolioFrontier[[#This Row],[P6 HWM]]-1</f>
        <v>0</v>
      </c>
      <c r="AA13" s="28">
        <f>SUMPRODUCT(INDEX(PortfolioRef[[SPY]:[PE]],MATCH(AA$1,PortfolioRef[Reference '#]),0),AssetMonthlyReturns[[#This Row],[SPY]:[PE]])</f>
        <v>2.3626961085909205E-2</v>
      </c>
      <c r="AB13" s="27">
        <f>IF(ISNUMBER(AB12),AB12*(1+PortfolioFrontier[[#This Row],[P7 Return]]),1+PortfolioFrontier[[#This Row],[P7 Return]])</f>
        <v>1.0813171149066656</v>
      </c>
      <c r="AC13" s="27">
        <f>MAX(AC12,PortfolioFrontier[[#This Row],[P7 Growth]])</f>
        <v>1.0813171149066656</v>
      </c>
      <c r="AD13" s="27">
        <f>PortfolioFrontier[[#This Row],[P7 Growth]]/PortfolioFrontier[[#This Row],[P7 HWM]]-1</f>
        <v>0</v>
      </c>
      <c r="AE13" s="28">
        <f>SUMPRODUCT(INDEX(PortfolioRef[[SPY]:[PE]],MATCH(AE$1,PortfolioRef[Reference '#]),0),AssetMonthlyReturns[[#This Row],[SPY]:[PE]])</f>
        <v>2.3788848346208764E-2</v>
      </c>
      <c r="AF13" s="27">
        <f>IF(ISNUMBER(AF12),AF12*(1+PortfolioFrontier[[#This Row],[P8 Return]]),1+PortfolioFrontier[[#This Row],[P8 Return]])</f>
        <v>1.0871479561485231</v>
      </c>
      <c r="AG13" s="27">
        <f>MAX(AG12,PortfolioFrontier[[#This Row],[P8 Growth]])</f>
        <v>1.0871479561485231</v>
      </c>
      <c r="AH13" s="27">
        <f>PortfolioFrontier[[#This Row],[P8 Growth]]/PortfolioFrontier[[#This Row],[P8 HWM]]-1</f>
        <v>0</v>
      </c>
      <c r="AI13" s="28">
        <f>SUMPRODUCT(INDEX(PortfolioRef[[SPY]:[PE]],MATCH(AI$1,PortfolioRef[Reference '#]),0),AssetMonthlyReturns[[#This Row],[SPY]:[PE]])</f>
        <v>2.042129653945144E-2</v>
      </c>
      <c r="AJ13" s="27">
        <f>IF(ISNUMBER(AJ12),AJ12*(1+PortfolioFrontier[[#This Row],[P9 Return]]),1+PortfolioFrontier[[#This Row],[P9 Return]])</f>
        <v>1.0853744634389253</v>
      </c>
      <c r="AK13" s="27">
        <f>MAX(AK12,PortfolioFrontier[[#This Row],[P9 Growth]])</f>
        <v>1.0853744634389253</v>
      </c>
      <c r="AL13" s="27">
        <f>PortfolioFrontier[[#This Row],[P9 Growth]]/PortfolioFrontier[[#This Row],[P9 HWM]]-1</f>
        <v>0</v>
      </c>
      <c r="AM13" s="28">
        <f>SUMPRODUCT(INDEX(PortfolioRef[[SPY]:[PE]],MATCH(AM$1,PortfolioRef[Reference '#]),0),AssetMonthlyReturns[[#This Row],[SPY]:[PE]])</f>
        <v>2.499769703883975E-2</v>
      </c>
      <c r="AN13" s="27">
        <f>IF(ISNUMBER(AN12),AN12*(1+PortfolioFrontier[[#This Row],[P10 Return]]),1+PortfolioFrontier[[#This Row],[P10 Return]])</f>
        <v>1.0797572858983502</v>
      </c>
      <c r="AO13" s="27">
        <f>MAX(AO12,PortfolioFrontier[[#This Row],[P10 Growth]])</f>
        <v>1.0797572858983502</v>
      </c>
      <c r="AP13" s="27">
        <f>PortfolioFrontier[[#This Row],[P10 Growth]]/PortfolioFrontier[[#This Row],[P10 HWM]]-1</f>
        <v>0</v>
      </c>
      <c r="AQ13" s="28">
        <f>SUMPRODUCT(INDEX(PortfolioRef[[SPY]:[PE]],MATCH(AQ$1,PortfolioRef[Reference '#]),0),AssetMonthlyReturns[[#This Row],[SPY]:[PE]])</f>
        <v>2.5159584299139309E-2</v>
      </c>
      <c r="AR13" s="27">
        <f>IF(ISNUMBER(AR12),AR12*(1+PortfolioFrontier[[#This Row],[P11 Return]]),1+PortfolioFrontier[[#This Row],[P11 Return]])</f>
        <v>1.0856139119244355</v>
      </c>
      <c r="AS13" s="27">
        <f>MAX(AS12,PortfolioFrontier[[#This Row],[P11 Growth]])</f>
        <v>1.0856139119244355</v>
      </c>
      <c r="AT13" s="27">
        <f>PortfolioFrontier[[#This Row],[P11 Growth]]/PortfolioFrontier[[#This Row],[P11 HWM]]-1</f>
        <v>0</v>
      </c>
      <c r="AU13" s="28">
        <f>SUMPRODUCT(INDEX(PortfolioRef[[SPY]:[PE]],MATCH(AU$1,PortfolioRef[Reference '#]),0),AssetMonthlyReturns[[#This Row],[SPY]:[PE]])</f>
        <v>2.1792032492381985E-2</v>
      </c>
      <c r="AV13" s="27">
        <f>IF(ISNUMBER(AV12),AV12*(1+PortfolioFrontier[[#This Row],[P12 Return]]),1+PortfolioFrontier[[#This Row],[P12 Return]])</f>
        <v>1.0838655694523136</v>
      </c>
      <c r="AW13" s="27">
        <f>MAX(AW12,PortfolioFrontier[[#This Row],[P12 Growth]])</f>
        <v>1.0838655694523136</v>
      </c>
      <c r="AX13" s="27">
        <f>PortfolioFrontier[[#This Row],[P12 Growth]]/PortfolioFrontier[[#This Row],[P12 HWM]]-1</f>
        <v>0</v>
      </c>
      <c r="AY13" s="28">
        <f>SUMPRODUCT(INDEX(PortfolioRef[[SPY]:[PE]],MATCH(AY$1,PortfolioRef[Reference '#]),0),AssetMonthlyReturns[[#This Row],[SPY]:[PE]])</f>
        <v>2.5321471559438879E-2</v>
      </c>
      <c r="AZ13" s="27">
        <f>IF(ISNUMBER(AZ12),AZ12*(1+PortfolioFrontier[[#This Row],[P13 Return]]),1+PortfolioFrontier[[#This Row],[P13 Return]])</f>
        <v>1.0914529051318316</v>
      </c>
      <c r="BA13" s="27">
        <f>MAX(BA12,PortfolioFrontier[[#This Row],[P13 Growth]])</f>
        <v>1.0914529051318316</v>
      </c>
      <c r="BB13" s="27">
        <f>PortfolioFrontier[[#This Row],[P13 Growth]]/PortfolioFrontier[[#This Row],[P13 HWM]]-1</f>
        <v>0</v>
      </c>
      <c r="BC13" s="28">
        <f>SUMPRODUCT(INDEX(PortfolioRef[[SPY]:[PE]],MATCH(BC$1,PortfolioRef[Reference '#]),0),AssetMonthlyReturns[[#This Row],[SPY]:[PE]])</f>
        <v>2.1953919752681551E-2</v>
      </c>
      <c r="BD13" s="27">
        <f>IF(ISNUMBER(BD12),BD12*(1+PortfolioFrontier[[#This Row],[P14 Return]]),1+PortfolioFrontier[[#This Row],[P14 Return]])</f>
        <v>1.0897044417465918</v>
      </c>
      <c r="BE13" s="27">
        <f>MAX(BE12,PortfolioFrontier[[#This Row],[P14 Growth]])</f>
        <v>1.0897044417465918</v>
      </c>
      <c r="BF13" s="27">
        <f>PortfolioFrontier[[#This Row],[P14 Growth]]/PortfolioFrontier[[#This Row],[P14 HWM]]-1</f>
        <v>0</v>
      </c>
      <c r="BG13" s="28">
        <f>SUMPRODUCT(INDEX(PortfolioRef[[SPY]:[PE]],MATCH(BG$1,PortfolioRef[Reference '#]),0),AssetMonthlyReturns[[#This Row],[SPY]:[PE]])</f>
        <v>1.8586367945924224E-2</v>
      </c>
      <c r="BH13" s="27">
        <f>IF(ISNUMBER(BH12),BH12*(1+PortfolioFrontier[[#This Row],[P15 Return]]),1+PortfolioFrontier[[#This Row],[P15 Return]])</f>
        <v>1.0879095169537805</v>
      </c>
      <c r="BI13" s="27">
        <f>MAX(BI12,PortfolioFrontier[[#This Row],[P15 Growth]])</f>
        <v>1.0879095169537805</v>
      </c>
      <c r="BJ13" s="27">
        <f>PortfolioFrontier[[#This Row],[P15 Growth]]/PortfolioFrontier[[#This Row],[P15 HWM]]-1</f>
        <v>0</v>
      </c>
      <c r="BK13" s="28">
        <f>SUMPRODUCT(INDEX(PortfolioRef[[SPY]:[PE]],MATCH(BK$1,PortfolioRef[Reference '#]),0),AssetMonthlyReturns[[#This Row],[SPY]:[PE]])</f>
        <v>2.0513292208578053E-2</v>
      </c>
      <c r="BL13" s="27">
        <f>IF(ISNUMBER(BL12),BL12*(1+PortfolioFrontier[[#This Row],[P16 Return]]),1+PortfolioFrontier[[#This Row],[P16 Return]])</f>
        <v>1.0745872502992047</v>
      </c>
      <c r="BM13" s="27">
        <f>MAX(BM12,PortfolioFrontier[[#This Row],[P16 Growth]])</f>
        <v>1.0745872502992047</v>
      </c>
      <c r="BN13" s="27">
        <f>PortfolioFrontier[[#This Row],[P16 Growth]]/PortfolioFrontier[[#This Row],[P16 HWM]]-1</f>
        <v>0</v>
      </c>
      <c r="BO13" s="28">
        <f>SUMPRODUCT(INDEX(PortfolioRef[[SPY]:[PE]],MATCH(BO$1,PortfolioRef[Reference '#]),0),AssetMonthlyReturns[[#This Row],[SPY]:[PE]])</f>
        <v>2.1884028161508598E-2</v>
      </c>
      <c r="BP13" s="27">
        <f>IF(ISNUMBER(BP12),BP12*(1+PortfolioFrontier[[#This Row],[P17 Return]]),1+PortfolioFrontier[[#This Row],[P17 Return]])</f>
        <v>1.0730710378850166</v>
      </c>
      <c r="BQ13" s="27">
        <f>MAX(BQ12,PortfolioFrontier[[#This Row],[P17 Growth]])</f>
        <v>1.0730710378850166</v>
      </c>
      <c r="BR13" s="27">
        <f>PortfolioFrontier[[#This Row],[P17 Growth]]/PortfolioFrontier[[#This Row],[P17 HWM]]-1</f>
        <v>0</v>
      </c>
      <c r="BS13" s="28">
        <f>SUMPRODUCT(INDEX(PortfolioRef[[SPY]:[PE]],MATCH(BS$1,PortfolioRef[Reference '#]),0),AssetMonthlyReturns[[#This Row],[SPY]:[PE]])</f>
        <v>2.2045915421808157E-2</v>
      </c>
      <c r="BT13" s="27">
        <f>IF(ISNUMBER(BT12),BT12*(1+PortfolioFrontier[[#This Row],[P18 Return]]),1+PortfolioFrontier[[#This Row],[P18 Return]])</f>
        <v>1.0788781851088081</v>
      </c>
      <c r="BU13" s="27">
        <f>MAX(BU12,PortfolioFrontier[[#This Row],[P18 Growth]])</f>
        <v>1.0788781851088081</v>
      </c>
      <c r="BV13" s="27">
        <f>PortfolioFrontier[[#This Row],[P18 Growth]]/PortfolioFrontier[[#This Row],[P18 HWM]]-1</f>
        <v>0</v>
      </c>
      <c r="BW13" s="28">
        <f>SUMPRODUCT(INDEX(PortfolioRef[[SPY]:[PE]],MATCH(BW$1,PortfolioRef[Reference '#]),0),AssetMonthlyReturns[[#This Row],[SPY]:[PE]])</f>
        <v>1.8678363615050833E-2</v>
      </c>
      <c r="BX13" s="27">
        <f>IF(ISNUMBER(BX12),BX12*(1+PortfolioFrontier[[#This Row],[P19 Return]]),1+PortfolioFrontier[[#This Row],[P19 Return]])</f>
        <v>1.0771132216245747</v>
      </c>
      <c r="BY13" s="27">
        <f>MAX(BY12,PortfolioFrontier[[#This Row],[P19 Growth]])</f>
        <v>1.0771132216245747</v>
      </c>
      <c r="BZ13" s="27">
        <f>PortfolioFrontier[[#This Row],[P19 Growth]]/PortfolioFrontier[[#This Row],[P19 HWM]]-1</f>
        <v>0</v>
      </c>
      <c r="CA13" s="28">
        <f>SUMPRODUCT(INDEX(PortfolioRef[[SPY]:[PE]],MATCH(CA$1,PortfolioRef[Reference '#]),0),AssetMonthlyReturns[[#This Row],[SPY]:[PE]])</f>
        <v>2.3254764114439143E-2</v>
      </c>
      <c r="CB13" s="27">
        <f>IF(ISNUMBER(CB12),CB12*(1+PortfolioFrontier[[#This Row],[P20 Return]]),1+PortfolioFrontier[[#This Row],[P20 Return]])</f>
        <v>1.0715118194686957</v>
      </c>
      <c r="CC13" s="27">
        <f>MAX(CC12,PortfolioFrontier[[#This Row],[P20 Growth]])</f>
        <v>1.0715118194686957</v>
      </c>
      <c r="CD13" s="27">
        <f>PortfolioFrontier[[#This Row],[P20 Growth]]/PortfolioFrontier[[#This Row],[P20 HWM]]-1</f>
        <v>0</v>
      </c>
      <c r="CE13" s="28">
        <f>SUMPRODUCT(INDEX(PortfolioRef[[SPY]:[PE]],MATCH(CE$1,PortfolioRef[Reference '#]),0),AssetMonthlyReturns[[#This Row],[SPY]:[PE]])</f>
        <v>2.3416651374738702E-2</v>
      </c>
      <c r="CF13" s="27">
        <f>IF(ISNUMBER(CF12),CF12*(1+PortfolioFrontier[[#This Row],[P21 Return]]),1+PortfolioFrontier[[#This Row],[P21 Return]])</f>
        <v>1.077344548179298</v>
      </c>
      <c r="CG13" s="27">
        <f>MAX(CG12,PortfolioFrontier[[#This Row],[P21 Growth]])</f>
        <v>1.077344548179298</v>
      </c>
      <c r="CH13" s="27">
        <f>PortfolioFrontier[[#This Row],[P21 Growth]]/PortfolioFrontier[[#This Row],[P21 HWM]]-1</f>
        <v>0</v>
      </c>
      <c r="CI13" s="28">
        <f>SUMPRODUCT(INDEX(PortfolioRef[[SPY]:[PE]],MATCH(CI$1,PortfolioRef[Reference '#]),0),AssetMonthlyReturns[[#This Row],[SPY]:[PE]])</f>
        <v>2.0049099567981378E-2</v>
      </c>
      <c r="CJ13" s="27">
        <f>IF(ISNUMBER(CJ12),CJ12*(1+PortfolioFrontier[[#This Row],[P22 Return]]),1+PortfolioFrontier[[#This Row],[P22 Return]])</f>
        <v>1.075604572110155</v>
      </c>
      <c r="CK13" s="27">
        <f>MAX(CK12,PortfolioFrontier[[#This Row],[P22 Growth]])</f>
        <v>1.075604572110155</v>
      </c>
      <c r="CL13" s="27">
        <f>PortfolioFrontier[[#This Row],[P22 Growth]]/PortfolioFrontier[[#This Row],[P22 HWM]]-1</f>
        <v>0</v>
      </c>
      <c r="CM13" s="28">
        <f>SUMPRODUCT(INDEX(PortfolioRef[[SPY]:[PE]],MATCH(CM$1,PortfolioRef[Reference '#]),0),AssetMonthlyReturns[[#This Row],[SPY]:[PE]])</f>
        <v>2.3578538635038272E-2</v>
      </c>
      <c r="CN13" s="27">
        <f>IF(ISNUMBER(CN12),CN12*(1+PortfolioFrontier[[#This Row],[P23 Return]]),1+PortfolioFrontier[[#This Row],[P23 Return]])</f>
        <v>1.0831598790513297</v>
      </c>
      <c r="CO13" s="27">
        <f>MAX(CO12,PortfolioFrontier[[#This Row],[P23 Growth]])</f>
        <v>1.0831598790513297</v>
      </c>
      <c r="CP13" s="27">
        <f>PortfolioFrontier[[#This Row],[P23 Growth]]/PortfolioFrontier[[#This Row],[P23 HWM]]-1</f>
        <v>0</v>
      </c>
      <c r="CQ13" s="28">
        <f>SUMPRODUCT(INDEX(PortfolioRef[[SPY]:[PE]],MATCH(CQ$1,PortfolioRef[Reference '#]),0),AssetMonthlyReturns[[#This Row],[SPY]:[PE]])</f>
        <v>2.0210986828280944E-2</v>
      </c>
      <c r="CR13" s="27">
        <f>IF(ISNUMBER(CR12),CR12*(1+PortfolioFrontier[[#This Row],[P24 Return]]),1+PortfolioFrontier[[#This Row],[P24 Return]])</f>
        <v>1.0814197320970851</v>
      </c>
      <c r="CS13" s="27">
        <f>MAX(CS12,PortfolioFrontier[[#This Row],[P24 Growth]])</f>
        <v>1.0814197320970851</v>
      </c>
      <c r="CT13" s="27">
        <f>PortfolioFrontier[[#This Row],[P24 Growth]]/PortfolioFrontier[[#This Row],[P24 HWM]]-1</f>
        <v>0</v>
      </c>
      <c r="CU13" s="28">
        <f>SUMPRODUCT(INDEX(PortfolioRef[[SPY]:[PE]],MATCH(CU$1,PortfolioRef[Reference '#]),0),AssetMonthlyReturns[[#This Row],[SPY]:[PE]])</f>
        <v>1.6843435021523617E-2</v>
      </c>
      <c r="CV13" s="27">
        <f>IF(ISNUMBER(CV12),CV12*(1+PortfolioFrontier[[#This Row],[P25 Return]]),1+PortfolioFrontier[[#This Row],[P25 Return]])</f>
        <v>1.0796334637001144</v>
      </c>
      <c r="CW13" s="27">
        <f>MAX(CW12,PortfolioFrontier[[#This Row],[P25 Growth]])</f>
        <v>1.0796334637001144</v>
      </c>
      <c r="CX13" s="27">
        <f>PortfolioFrontier[[#This Row],[P25 Growth]]/PortfolioFrontier[[#This Row],[P25 HWM]]-1</f>
        <v>0</v>
      </c>
      <c r="CY13" s="28">
        <f>SUMPRODUCT(INDEX(PortfolioRef[[SPY]:[PE]],MATCH(CY$1,PortfolioRef[Reference '#]),0),AssetMonthlyReturns[[#This Row],[SPY]:[PE]])</f>
        <v>2.478738732766925E-2</v>
      </c>
      <c r="CZ13" s="27">
        <f>IF(ISNUMBER(CZ12),CZ12*(1+PortfolioFrontier[[#This Row],[P26 Return]]),1+PortfolioFrontier[[#This Row],[P26 Return]])</f>
        <v>1.0757678510753317</v>
      </c>
      <c r="DA13" s="27">
        <f>MAX(DA12,PortfolioFrontier[[#This Row],[P26 Growth]])</f>
        <v>1.0757678510753317</v>
      </c>
      <c r="DB13" s="27">
        <f>PortfolioFrontier[[#This Row],[P26 Growth]]/PortfolioFrontier[[#This Row],[P26 HWM]]-1</f>
        <v>0</v>
      </c>
      <c r="DC13" s="28">
        <f>SUMPRODUCT(INDEX(PortfolioRef[[SPY]:[PE]],MATCH(DC$1,PortfolioRef[Reference '#]),0),AssetMonthlyReturns[[#This Row],[SPY]:[PE]])</f>
        <v>2.1419835520911926E-2</v>
      </c>
      <c r="DD13" s="27">
        <f>IF(ISNUMBER(DD12),DD12*(1+PortfolioFrontier[[#This Row],[P27 Return]]),1+PortfolioFrontier[[#This Row],[P27 Return]])</f>
        <v>1.074052788530995</v>
      </c>
      <c r="DE13" s="27">
        <f>MAX(DE12,PortfolioFrontier[[#This Row],[P27 Growth]])</f>
        <v>1.074052788530995</v>
      </c>
      <c r="DF13" s="27">
        <f>PortfolioFrontier[[#This Row],[P27 Growth]]/PortfolioFrontier[[#This Row],[P27 HWM]]-1</f>
        <v>0</v>
      </c>
      <c r="DG13" s="28">
        <f>SUMPRODUCT(INDEX(PortfolioRef[[SPY]:[PE]],MATCH(DG$1,PortfolioRef[Reference '#]),0),AssetMonthlyReturns[[#This Row],[SPY]:[PE]])</f>
        <v>2.4949274587968816E-2</v>
      </c>
      <c r="DH13" s="27">
        <f>IF(ISNUMBER(DH12),DH12*(1+PortfolioFrontier[[#This Row],[P28 Return]]),1+PortfolioFrontier[[#This Row],[P28 Return]])</f>
        <v>1.0816087521580038</v>
      </c>
      <c r="DI13" s="27">
        <f>MAX(DI12,PortfolioFrontier[[#This Row],[P28 Growth]])</f>
        <v>1.0816087521580038</v>
      </c>
      <c r="DJ13" s="27">
        <f>PortfolioFrontier[[#This Row],[P28 Growth]]/PortfolioFrontier[[#This Row],[P28 HWM]]-1</f>
        <v>0</v>
      </c>
      <c r="DK13" s="28">
        <f>SUMPRODUCT(INDEX(PortfolioRef[[SPY]:[PE]],MATCH(DK$1,PortfolioRef[Reference '#]),0),AssetMonthlyReturns[[#This Row],[SPY]:[PE]])</f>
        <v>2.1581722781211489E-2</v>
      </c>
      <c r="DL13" s="27">
        <f>IF(ISNUMBER(DL12),DL12*(1+PortfolioFrontier[[#This Row],[P29 Return]]),1+PortfolioFrontier[[#This Row],[P29 Return]])</f>
        <v>1.0798936493652558</v>
      </c>
      <c r="DM13" s="27">
        <f>MAX(DM12,PortfolioFrontier[[#This Row],[P29 Growth]])</f>
        <v>1.0798936493652558</v>
      </c>
      <c r="DN13" s="27">
        <f>PortfolioFrontier[[#This Row],[P29 Growth]]/PortfolioFrontier[[#This Row],[P29 HWM]]-1</f>
        <v>0</v>
      </c>
      <c r="DO13" s="28">
        <f>SUMPRODUCT(INDEX(PortfolioRef[[SPY]:[PE]],MATCH(DO$1,PortfolioRef[Reference '#]),0),AssetMonthlyReturns[[#This Row],[SPY]:[PE]])</f>
        <v>1.8214170974454161E-2</v>
      </c>
      <c r="DP13" s="27">
        <f>IF(ISNUMBER(DP12),DP12*(1+PortfolioFrontier[[#This Row],[P30 Return]]),1+PortfolioFrontier[[#This Row],[P30 Return]])</f>
        <v>1.0781324400140169</v>
      </c>
      <c r="DQ13" s="27">
        <f>MAX(DQ12,PortfolioFrontier[[#This Row],[P30 Growth]])</f>
        <v>1.0781324400140169</v>
      </c>
      <c r="DR13" s="27">
        <f>PortfolioFrontier[[#This Row],[P30 Growth]]/PortfolioFrontier[[#This Row],[P30 HWM]]-1</f>
        <v>0</v>
      </c>
      <c r="DS13" s="28">
        <f>SUMPRODUCT(INDEX(PortfolioRef[[SPY]:[PE]],MATCH(DS$1,PortfolioRef[Reference '#]),0),AssetMonthlyReturns[[#This Row],[SPY]:[PE]])</f>
        <v>2.5111161848268379E-2</v>
      </c>
      <c r="DT13" s="27">
        <f>IF(ISNUMBER(DT12),DT12*(1+PortfolioFrontier[[#This Row],[P31 Return]]),1+PortfolioFrontier[[#This Row],[P31 Return]])</f>
        <v>1.0874321045305282</v>
      </c>
      <c r="DU13" s="27">
        <f>MAX(DU12,PortfolioFrontier[[#This Row],[P31 Growth]])</f>
        <v>1.0874321045305282</v>
      </c>
      <c r="DV13" s="27">
        <f>PortfolioFrontier[[#This Row],[P31 Growth]]/PortfolioFrontier[[#This Row],[P31 HWM]]-1</f>
        <v>0</v>
      </c>
      <c r="DW13" s="28">
        <f>SUMPRODUCT(INDEX(PortfolioRef[[SPY]:[PE]],MATCH(DW$1,PortfolioRef[Reference '#]),0),AssetMonthlyReturns[[#This Row],[SPY]:[PE]])</f>
        <v>2.1743610041511052E-2</v>
      </c>
      <c r="DX13" s="27">
        <f>IF(ISNUMBER(DX12),DX12*(1+PortfolioFrontier[[#This Row],[P32 Return]]),1+PortfolioFrontier[[#This Row],[P32 Return]])</f>
        <v>1.0857170450078923</v>
      </c>
      <c r="DY13" s="27">
        <f>MAX(DY12,PortfolioFrontier[[#This Row],[P32 Growth]])</f>
        <v>1.0857170450078923</v>
      </c>
      <c r="DZ13" s="27">
        <f>PortfolioFrontier[[#This Row],[P32 Growth]]/PortfolioFrontier[[#This Row],[P32 HWM]]-1</f>
        <v>0</v>
      </c>
      <c r="EA13" s="28">
        <f>SUMPRODUCT(INDEX(PortfolioRef[[SPY]:[PE]],MATCH(EA$1,PortfolioRef[Reference '#]),0),AssetMonthlyReturns[[#This Row],[SPY]:[PE]])</f>
        <v>1.8376058234753721E-2</v>
      </c>
      <c r="EB13" s="27">
        <f>IF(ISNUMBER(EB12),EB12*(1+PortfolioFrontier[[#This Row],[P33 Return]]),1+PortfolioFrontier[[#This Row],[P33 Return]])</f>
        <v>1.0839555666976839</v>
      </c>
      <c r="EC13" s="27">
        <f>MAX(EC12,PortfolioFrontier[[#This Row],[P33 Growth]])</f>
        <v>1.0839555666976839</v>
      </c>
      <c r="ED13" s="27">
        <f>PortfolioFrontier[[#This Row],[P33 Growth]]/PortfolioFrontier[[#This Row],[P33 HWM]]-1</f>
        <v>0</v>
      </c>
      <c r="EE13" s="28">
        <f>SUMPRODUCT(INDEX(PortfolioRef[[SPY]:[PE]],MATCH(EE$1,PortfolioRef[Reference '#]),0),AssetMonthlyReturns[[#This Row],[SPY]:[PE]])</f>
        <v>1.8770359284177439E-2</v>
      </c>
      <c r="EF13" s="27">
        <f>IF(ISNUMBER(EF12),EF12*(1+PortfolioFrontier[[#This Row],[P34 Return]]),1+PortfolioFrontier[[#This Row],[P34 Return]])</f>
        <v>1.0663833916674572</v>
      </c>
      <c r="EG13" s="27">
        <f>MAX(EG12,PortfolioFrontier[[#This Row],[P34 Growth]])</f>
        <v>1.0663833916674572</v>
      </c>
      <c r="EH13" s="27">
        <f>PortfolioFrontier[[#This Row],[P34 Growth]]/PortfolioFrontier[[#This Row],[P34 HWM]]-1</f>
        <v>0</v>
      </c>
      <c r="EI13" s="28">
        <f>SUMPRODUCT(INDEX(PortfolioRef[[SPY]:[PE]],MATCH(EI$1,PortfolioRef[Reference '#]),0),AssetMonthlyReturns[[#This Row],[SPY]:[PE]])</f>
        <v>2.0141095237107984E-2</v>
      </c>
      <c r="EJ13" s="27">
        <f>IF(ISNUMBER(EJ12),EJ12*(1+PortfolioFrontier[[#This Row],[P35 Return]]),1+PortfolioFrontier[[#This Row],[P35 Return]])</f>
        <v>1.0648675650321087</v>
      </c>
      <c r="EK13" s="27">
        <f>MAX(EK12,PortfolioFrontier[[#This Row],[P35 Growth]])</f>
        <v>1.0648675650321087</v>
      </c>
      <c r="EL13" s="27">
        <f>PortfolioFrontier[[#This Row],[P35 Growth]]/PortfolioFrontier[[#This Row],[P35 HWM]]-1</f>
        <v>0</v>
      </c>
      <c r="EM13" s="28">
        <f>SUMPRODUCT(INDEX(PortfolioRef[[SPY]:[PE]],MATCH(EM$1,PortfolioRef[Reference '#]),0),AssetMonthlyReturns[[#This Row],[SPY]:[PE]])</f>
        <v>2.030298249740755E-2</v>
      </c>
      <c r="EN13" s="27">
        <f>IF(ISNUMBER(EN12),EN12*(1+PortfolioFrontier[[#This Row],[P36 Return]]),1+PortfolioFrontier[[#This Row],[P36 Return]])</f>
        <v>1.0706510152983766</v>
      </c>
      <c r="EO13" s="27">
        <f>MAX(EO12,PortfolioFrontier[[#This Row],[P36 Growth]])</f>
        <v>1.0706510152983766</v>
      </c>
      <c r="EP13" s="27">
        <f>PortfolioFrontier[[#This Row],[P36 Growth]]/PortfolioFrontier[[#This Row],[P36 HWM]]-1</f>
        <v>0</v>
      </c>
      <c r="EQ13" s="28">
        <f>SUMPRODUCT(INDEX(PortfolioRef[[SPY]:[PE]],MATCH(EQ$1,PortfolioRef[Reference '#]),0),AssetMonthlyReturns[[#This Row],[SPY]:[PE]])</f>
        <v>1.6935430690650226E-2</v>
      </c>
      <c r="ER13" s="27">
        <f>IF(ISNUMBER(ER12),ER12*(1+PortfolioFrontier[[#This Row],[P37 Return]]),1+PortfolioFrontier[[#This Row],[P37 Return]])</f>
        <v>1.0688945667216743</v>
      </c>
      <c r="ES13" s="27">
        <f>MAX(ES12,PortfolioFrontier[[#This Row],[P37 Growth]])</f>
        <v>1.0688945667216743</v>
      </c>
      <c r="ET13" s="27">
        <f>PortfolioFrontier[[#This Row],[P37 Growth]]/PortfolioFrontier[[#This Row],[P37 HWM]]-1</f>
        <v>0</v>
      </c>
      <c r="EU13" s="28">
        <f>SUMPRODUCT(INDEX(PortfolioRef[[SPY]:[PE]],MATCH(EU$1,PortfolioRef[Reference '#]),0),AssetMonthlyReturns[[#This Row],[SPY]:[PE]])</f>
        <v>2.1511831190038532E-2</v>
      </c>
      <c r="EV13" s="27">
        <f>IF(ISNUMBER(EV12),EV12*(1+PortfolioFrontier[[#This Row],[P38 Return]]),1+PortfolioFrontier[[#This Row],[P38 Return]])</f>
        <v>1.0633090252389872</v>
      </c>
      <c r="EW13" s="27">
        <f>MAX(EW12,PortfolioFrontier[[#This Row],[P38 Growth]])</f>
        <v>1.0633090252389872</v>
      </c>
      <c r="EX13" s="27">
        <f>PortfolioFrontier[[#This Row],[P38 Growth]]/PortfolioFrontier[[#This Row],[P38 HWM]]-1</f>
        <v>0</v>
      </c>
      <c r="EY13" s="28">
        <f>SUMPRODUCT(INDEX(PortfolioRef[[SPY]:[PE]],MATCH(EY$1,PortfolioRef[Reference '#]),0),AssetMonthlyReturns[[#This Row],[SPY]:[PE]])</f>
        <v>2.1673718450338095E-2</v>
      </c>
      <c r="EZ13" s="27">
        <f>IF(ISNUMBER(EZ12),EZ12*(1+PortfolioFrontier[[#This Row],[P39 Return]]),1+PortfolioFrontier[[#This Row],[P39 Return]])</f>
        <v>1.0691178547362248</v>
      </c>
      <c r="FA13" s="27">
        <f>MAX(FA12,PortfolioFrontier[[#This Row],[P39 Growth]])</f>
        <v>1.0691178547362248</v>
      </c>
      <c r="FB13" s="27">
        <f>PortfolioFrontier[[#This Row],[P39 Growth]]/PortfolioFrontier[[#This Row],[P39 HWM]]-1</f>
        <v>0</v>
      </c>
      <c r="FC13" s="28">
        <f>SUMPRODUCT(INDEX(PortfolioRef[[SPY]:[PE]],MATCH(FC$1,PortfolioRef[Reference '#]),0),AssetMonthlyReturns[[#This Row],[SPY]:[PE]])</f>
        <v>1.8306166643580771E-2</v>
      </c>
      <c r="FD13" s="27">
        <f>IF(ISNUMBER(FD12),FD12*(1+PortfolioFrontier[[#This Row],[P40 Return]]),1+PortfolioFrontier[[#This Row],[P40 Return]])</f>
        <v>1.0673862317735416</v>
      </c>
      <c r="FE13" s="27">
        <f>MAX(FE12,PortfolioFrontier[[#This Row],[P40 Growth]])</f>
        <v>1.0673862317735416</v>
      </c>
      <c r="FF13" s="27">
        <f>PortfolioFrontier[[#This Row],[P40 Growth]]/PortfolioFrontier[[#This Row],[P40 HWM]]-1</f>
        <v>0</v>
      </c>
      <c r="FG13" s="28">
        <f>SUMPRODUCT(INDEX(PortfolioRef[[SPY]:[PE]],MATCH(FG$1,PortfolioRef[Reference '#]),0),AssetMonthlyReturns[[#This Row],[SPY]:[PE]])</f>
        <v>2.1835605710637657E-2</v>
      </c>
      <c r="FH13" s="27">
        <f>IF(ISNUMBER(FH12),FH12*(1+PortfolioFrontier[[#This Row],[P41 Return]]),1+PortfolioFrontier[[#This Row],[P41 Return]])</f>
        <v>1.0749095199677625</v>
      </c>
      <c r="FI13" s="27">
        <f>MAX(FI12,PortfolioFrontier[[#This Row],[P41 Growth]])</f>
        <v>1.0749095199677625</v>
      </c>
      <c r="FJ13" s="27">
        <f>PortfolioFrontier[[#This Row],[P41 Growth]]/PortfolioFrontier[[#This Row],[P41 HWM]]-1</f>
        <v>0</v>
      </c>
      <c r="FK13" s="28">
        <f>SUMPRODUCT(INDEX(PortfolioRef[[SPY]:[PE]],MATCH(FK$1,PortfolioRef[Reference '#]),0),AssetMonthlyReturns[[#This Row],[SPY]:[PE]])</f>
        <v>1.846805390388033E-2</v>
      </c>
      <c r="FL13" s="27">
        <f>IF(ISNUMBER(FL12),FL12*(1+PortfolioFrontier[[#This Row],[P42 Return]]),1+PortfolioFrontier[[#This Row],[P42 Return]])</f>
        <v>1.0731776763726861</v>
      </c>
      <c r="FM13" s="27">
        <f>MAX(FM12,PortfolioFrontier[[#This Row],[P42 Growth]])</f>
        <v>1.0731776763726861</v>
      </c>
      <c r="FN13" s="27">
        <f>PortfolioFrontier[[#This Row],[P42 Growth]]/PortfolioFrontier[[#This Row],[P42 HWM]]-1</f>
        <v>0</v>
      </c>
      <c r="FO13" s="28">
        <f>SUMPRODUCT(INDEX(PortfolioRef[[SPY]:[PE]],MATCH(FO$1,PortfolioRef[Reference '#]),0),AssetMonthlyReturns[[#This Row],[SPY]:[PE]])</f>
        <v>1.5100502097123002E-2</v>
      </c>
      <c r="FP13" s="27">
        <f>IF(ISNUMBER(FP12),FP12*(1+PortfolioFrontier[[#This Row],[P43 Return]]),1+PortfolioFrontier[[#This Row],[P43 Return]])</f>
        <v>1.0714000494792679</v>
      </c>
      <c r="FQ13" s="27">
        <f>MAX(FQ12,PortfolioFrontier[[#This Row],[P43 Growth]])</f>
        <v>1.0714000494792679</v>
      </c>
      <c r="FR13" s="27">
        <f>PortfolioFrontier[[#This Row],[P43 Growth]]/PortfolioFrontier[[#This Row],[P43 HWM]]-1</f>
        <v>0</v>
      </c>
      <c r="FS13" s="28">
        <f>SUMPRODUCT(INDEX(PortfolioRef[[SPY]:[PE]],MATCH(FS$1,PortfolioRef[Reference '#]),0),AssetMonthlyReturns[[#This Row],[SPY]:[PE]])</f>
        <v>2.304445440326864E-2</v>
      </c>
      <c r="FT13" s="27">
        <f>IF(ISNUMBER(FT12),FT12*(1+PortfolioFrontier[[#This Row],[P44 Return]]),1+PortfolioFrontier[[#This Row],[P44 Return]])</f>
        <v>1.0675419269748208</v>
      </c>
      <c r="FU13" s="27">
        <f>MAX(FU12,PortfolioFrontier[[#This Row],[P44 Growth]])</f>
        <v>1.0675419269748208</v>
      </c>
      <c r="FV13" s="27">
        <f>PortfolioFrontier[[#This Row],[P44 Growth]]/PortfolioFrontier[[#This Row],[P44 HWM]]-1</f>
        <v>0</v>
      </c>
      <c r="FW13" s="28">
        <f>SUMPRODUCT(INDEX(PortfolioRef[[SPY]:[PE]],MATCH(FW$1,PortfolioRef[Reference '#]),0),AssetMonthlyReturns[[#This Row],[SPY]:[PE]])</f>
        <v>1.9676902596511316E-2</v>
      </c>
      <c r="FX13" s="27">
        <f>IF(ISNUMBER(FX12),FX12*(1+PortfolioFrontier[[#This Row],[P45 Return]]),1+PortfolioFrontier[[#This Row],[P45 Return]])</f>
        <v>1.0658350562740968</v>
      </c>
      <c r="FY13" s="27">
        <f>MAX(FY12,PortfolioFrontier[[#This Row],[P45 Growth]])</f>
        <v>1.0658350562740968</v>
      </c>
      <c r="FZ13" s="27">
        <f>PortfolioFrontier[[#This Row],[P45 Growth]]/PortfolioFrontier[[#This Row],[P45 HWM]]-1</f>
        <v>0</v>
      </c>
      <c r="GA13" s="28">
        <f>SUMPRODUCT(INDEX(PortfolioRef[[SPY]:[PE]],MATCH(GA$1,PortfolioRef[Reference '#]),0),AssetMonthlyReturns[[#This Row],[SPY]:[PE]])</f>
        <v>2.3206341663568202E-2</v>
      </c>
      <c r="GB13" s="27">
        <f>IF(ISNUMBER(GB12),GB12*(1+PortfolioFrontier[[#This Row],[P46 Return]]),1+PortfolioFrontier[[#This Row],[P46 Return]])</f>
        <v>1.073358960428876</v>
      </c>
      <c r="GC13" s="27">
        <f>MAX(GC12,PortfolioFrontier[[#This Row],[P46 Growth]])</f>
        <v>1.073358960428876</v>
      </c>
      <c r="GD13" s="27">
        <f>PortfolioFrontier[[#This Row],[P46 Growth]]/PortfolioFrontier[[#This Row],[P46 HWM]]-1</f>
        <v>0</v>
      </c>
      <c r="GE13" s="28">
        <f>SUMPRODUCT(INDEX(PortfolioRef[[SPY]:[PE]],MATCH(GE$1,PortfolioRef[Reference '#]),0),AssetMonthlyReturns[[#This Row],[SPY]:[PE]])</f>
        <v>1.9838789856810875E-2</v>
      </c>
      <c r="GF13" s="27">
        <f>IF(ISNUMBER(GF12),GF12*(1+PortfolioFrontier[[#This Row],[P47 Return]]),1+PortfolioFrontier[[#This Row],[P47 Return]])</f>
        <v>1.0716519988206086</v>
      </c>
      <c r="GG13" s="27">
        <f>MAX(GG12,PortfolioFrontier[[#This Row],[P47 Growth]])</f>
        <v>1.0716519988206086</v>
      </c>
      <c r="GH13" s="27">
        <f>PortfolioFrontier[[#This Row],[P47 Growth]]/PortfolioFrontier[[#This Row],[P47 HWM]]-1</f>
        <v>0</v>
      </c>
      <c r="GI13" s="28">
        <f>SUMPRODUCT(INDEX(PortfolioRef[[SPY]:[PE]],MATCH(GI$1,PortfolioRef[Reference '#]),0),AssetMonthlyReturns[[#This Row],[SPY]:[PE]])</f>
        <v>1.6471238050053547E-2</v>
      </c>
      <c r="GJ13" s="27">
        <f>IF(ISNUMBER(GJ12),GJ12*(1+PortfolioFrontier[[#This Row],[P48 Return]]),1+PortfolioFrontier[[#This Row],[P48 Return]])</f>
        <v>1.0698992688938902</v>
      </c>
      <c r="GK13" s="27">
        <f>MAX(GK12,PortfolioFrontier[[#This Row],[P48 Growth]])</f>
        <v>1.0698992688938902</v>
      </c>
      <c r="GL13" s="27">
        <f>PortfolioFrontier[[#This Row],[P48 Growth]]/PortfolioFrontier[[#This Row],[P48 HWM]]-1</f>
        <v>0</v>
      </c>
      <c r="GM13" s="28">
        <f>SUMPRODUCT(INDEX(PortfolioRef[[SPY]:[PE]],MATCH(GM$1,PortfolioRef[Reference '#]),0),AssetMonthlyReturns[[#This Row],[SPY]:[PE]])</f>
        <v>2.3368228923867772E-2</v>
      </c>
      <c r="GN13" s="27">
        <f>IF(ISNUMBER(GN12),GN12*(1+PortfolioFrontier[[#This Row],[P49 Return]]),1+PortfolioFrontier[[#This Row],[P49 Return]])</f>
        <v>1.0791586794364327</v>
      </c>
      <c r="GO13" s="27">
        <f>MAX(GO12,PortfolioFrontier[[#This Row],[P49 Growth]])</f>
        <v>1.0791586794364327</v>
      </c>
      <c r="GP13" s="27">
        <f>PortfolioFrontier[[#This Row],[P49 Growth]]/PortfolioFrontier[[#This Row],[P49 HWM]]-1</f>
        <v>0</v>
      </c>
      <c r="GQ13" s="28">
        <f>SUMPRODUCT(INDEX(PortfolioRef[[SPY]:[PE]],MATCH(GQ$1,PortfolioRef[Reference '#]),0),AssetMonthlyReturns[[#This Row],[SPY]:[PE]])</f>
        <v>2.0000677117110444E-2</v>
      </c>
      <c r="GR13" s="27">
        <f>IF(ISNUMBER(GR12),GR12*(1+PortfolioFrontier[[#This Row],[P50 Return]]),1+PortfolioFrontier[[#This Row],[P50 Return]])</f>
        <v>1.0774517101973269</v>
      </c>
      <c r="GS13" s="27">
        <f>MAX(GS12,PortfolioFrontier[[#This Row],[P50 Growth]])</f>
        <v>1.0774517101973269</v>
      </c>
      <c r="GT13" s="27">
        <f>PortfolioFrontier[[#This Row],[P50 Growth]]/PortfolioFrontier[[#This Row],[P50 HWM]]-1</f>
        <v>0</v>
      </c>
      <c r="GU13" s="28">
        <f>SUMPRODUCT(INDEX(PortfolioRef[[SPY]:[PE]],MATCH(GU$1,PortfolioRef[Reference '#]),0),AssetMonthlyReturns[[#This Row],[SPY]:[PE]])</f>
        <v>1.6633125310353113E-2</v>
      </c>
      <c r="GV13" s="27">
        <f>IF(ISNUMBER(GV12),GV12*(1+PortfolioFrontier[[#This Row],[P51 Return]]),1+PortfolioFrontier[[#This Row],[P51 Return]])</f>
        <v>1.0756986619207358</v>
      </c>
      <c r="GW13" s="27">
        <f>MAX(GW12,PortfolioFrontier[[#This Row],[P51 Growth]])</f>
        <v>1.0756986619207358</v>
      </c>
      <c r="GX13" s="27">
        <f>PortfolioFrontier[[#This Row],[P51 Growth]]/PortfolioFrontier[[#This Row],[P51 HWM]]-1</f>
        <v>0</v>
      </c>
      <c r="GY13" s="28">
        <f>SUMPRODUCT(INDEX(PortfolioRef[[SPY]:[PE]],MATCH(GY$1,PortfolioRef[Reference '#]),0),AssetMonthlyReturns[[#This Row],[SPY]:[PE]])</f>
        <v>2.4577077616498754E-2</v>
      </c>
      <c r="GZ13" s="27">
        <f>IF(ISNUMBER(GZ12),GZ12*(1+PortfolioFrontier[[#This Row],[P52 Return]]),1+PortfolioFrontier[[#This Row],[P52 Return]])</f>
        <v>1.0717655806118611</v>
      </c>
      <c r="HA13" s="27">
        <f>MAX(HA12,PortfolioFrontier[[#This Row],[P52 Growth]])</f>
        <v>1.0717655806118611</v>
      </c>
      <c r="HB13" s="27">
        <f>PortfolioFrontier[[#This Row],[P52 Growth]]/PortfolioFrontier[[#This Row],[P52 HWM]]-1</f>
        <v>0</v>
      </c>
      <c r="HC13" s="28">
        <f>SUMPRODUCT(INDEX(PortfolioRef[[SPY]:[PE]],MATCH(HC$1,PortfolioRef[Reference '#]),0),AssetMonthlyReturns[[#This Row],[SPY]:[PE]])</f>
        <v>2.1209525809741427E-2</v>
      </c>
      <c r="HD13" s="27">
        <f>IF(ISNUMBER(HD12),HD12*(1+PortfolioFrontier[[#This Row],[P53 Return]]),1+PortfolioFrontier[[#This Row],[P53 Return]])</f>
        <v>1.0700834261735601</v>
      </c>
      <c r="HE13" s="27">
        <f>MAX(HE12,PortfolioFrontier[[#This Row],[P53 Growth]])</f>
        <v>1.0700834261735601</v>
      </c>
      <c r="HF13" s="27">
        <f>PortfolioFrontier[[#This Row],[P53 Growth]]/PortfolioFrontier[[#This Row],[P53 HWM]]-1</f>
        <v>0</v>
      </c>
      <c r="HG13" s="28">
        <f>SUMPRODUCT(INDEX(PortfolioRef[[SPY]:[PE]],MATCH(HG$1,PortfolioRef[Reference '#]),0),AssetMonthlyReturns[[#This Row],[SPY]:[PE]])</f>
        <v>1.7841974002984099E-2</v>
      </c>
      <c r="HH13" s="27">
        <f>IF(ISNUMBER(HH12),HH12*(1+PortfolioFrontier[[#This Row],[P54 Return]]),1+PortfolioFrontier[[#This Row],[P54 Return]])</f>
        <v>1.0683555204796147</v>
      </c>
      <c r="HI13" s="27">
        <f>MAX(HI12,PortfolioFrontier[[#This Row],[P54 Growth]])</f>
        <v>1.0683555204796147</v>
      </c>
      <c r="HJ13" s="27">
        <f>PortfolioFrontier[[#This Row],[P54 Growth]]/PortfolioFrontier[[#This Row],[P54 HWM]]-1</f>
        <v>0</v>
      </c>
      <c r="HK13" s="28">
        <f>SUMPRODUCT(INDEX(PortfolioRef[[SPY]:[PE]],MATCH(HK$1,PortfolioRef[Reference '#]),0),AssetMonthlyReturns[[#This Row],[SPY]:[PE]])</f>
        <v>2.4738964876798317E-2</v>
      </c>
      <c r="HL13" s="27">
        <f>IF(ISNUMBER(HL12),HL12*(1+PortfolioFrontier[[#This Row],[P55 Return]]),1+PortfolioFrontier[[#This Row],[P55 Return]])</f>
        <v>1.0775906562874031</v>
      </c>
      <c r="HM13" s="27">
        <f>MAX(HM12,PortfolioFrontier[[#This Row],[P55 Growth]])</f>
        <v>1.0775906562874031</v>
      </c>
      <c r="HN13" s="27">
        <f>PortfolioFrontier[[#This Row],[P55 Growth]]/PortfolioFrontier[[#This Row],[P55 HWM]]-1</f>
        <v>0</v>
      </c>
      <c r="HO13" s="28">
        <f>SUMPRODUCT(INDEX(PortfolioRef[[SPY]:[PE]],MATCH(HO$1,PortfolioRef[Reference '#]),0),AssetMonthlyReturns[[#This Row],[SPY]:[PE]])</f>
        <v>2.1371413070040989E-2</v>
      </c>
      <c r="HP13" s="27">
        <f>IF(ISNUMBER(HP12),HP12*(1+PortfolioFrontier[[#This Row],[P56 Return]]),1+PortfolioFrontier[[#This Row],[P56 Return]])</f>
        <v>1.0759086246601364</v>
      </c>
      <c r="HQ13" s="27">
        <f>MAX(HQ12,PortfolioFrontier[[#This Row],[P56 Growth]])</f>
        <v>1.0759086246601364</v>
      </c>
      <c r="HR13" s="27">
        <f>PortfolioFrontier[[#This Row],[P56 Growth]]/PortfolioFrontier[[#This Row],[P56 HWM]]-1</f>
        <v>0</v>
      </c>
      <c r="HS13" s="28">
        <f>SUMPRODUCT(INDEX(PortfolioRef[[SPY]:[PE]],MATCH(HS$1,PortfolioRef[Reference '#]),0),AssetMonthlyReturns[[#This Row],[SPY]:[PE]])</f>
        <v>1.8003861263283658E-2</v>
      </c>
      <c r="HT13" s="27">
        <f>IF(ISNUMBER(HT12),HT12*(1+PortfolioFrontier[[#This Row],[P57 Return]]),1+PortfolioFrontier[[#This Row],[P57 Return]])</f>
        <v>1.0741805302627476</v>
      </c>
      <c r="HU13" s="27">
        <f>MAX(HU12,PortfolioFrontier[[#This Row],[P57 Growth]])</f>
        <v>1.0741805302627476</v>
      </c>
      <c r="HV13" s="27">
        <f>PortfolioFrontier[[#This Row],[P57 Growth]]/PortfolioFrontier[[#This Row],[P57 HWM]]-1</f>
        <v>0</v>
      </c>
      <c r="HW13" s="28">
        <f>SUMPRODUCT(INDEX(PortfolioRef[[SPY]:[PE]],MATCH(HW$1,PortfolioRef[Reference '#]),0),AssetMonthlyReturns[[#This Row],[SPY]:[PE]])</f>
        <v>2.4900852137097883E-2</v>
      </c>
      <c r="HX13" s="27">
        <f>IF(ISNUMBER(HX12),HX12*(1+PortfolioFrontier[[#This Row],[P58 Return]]),1+PortfolioFrontier[[#This Row],[P58 Return]])</f>
        <v>1.0833982669057278</v>
      </c>
      <c r="HY13" s="27">
        <f>MAX(HY12,PortfolioFrontier[[#This Row],[P58 Growth]])</f>
        <v>1.0833982669057278</v>
      </c>
      <c r="HZ13" s="27">
        <f>PortfolioFrontier[[#This Row],[P58 Growth]]/PortfolioFrontier[[#This Row],[P58 HWM]]-1</f>
        <v>0</v>
      </c>
      <c r="IA13" s="28">
        <f>SUMPRODUCT(INDEX(PortfolioRef[[SPY]:[PE]],MATCH(IA$1,PortfolioRef[Reference '#]),0),AssetMonthlyReturns[[#This Row],[SPY]:[PE]])</f>
        <v>2.1533300330340555E-2</v>
      </c>
      <c r="IB13" s="27">
        <f>IF(ISNUMBER(IB12),IB12*(1+PortfolioFrontier[[#This Row],[P59 Return]]),1+PortfolioFrontier[[#This Row],[P59 Return]])</f>
        <v>1.0817164416304288</v>
      </c>
      <c r="IC13" s="27">
        <f>MAX(IC12,PortfolioFrontier[[#This Row],[P59 Growth]])</f>
        <v>1.0817164416304288</v>
      </c>
      <c r="ID13" s="27">
        <f>PortfolioFrontier[[#This Row],[P59 Growth]]/PortfolioFrontier[[#This Row],[P59 HWM]]-1</f>
        <v>0</v>
      </c>
      <c r="IE13" s="28">
        <f>SUMPRODUCT(INDEX(PortfolioRef[[SPY]:[PE]],MATCH(IE$1,PortfolioRef[Reference '#]),0),AssetMonthlyReturns[[#This Row],[SPY]:[PE]])</f>
        <v>1.8165748523583224E-2</v>
      </c>
      <c r="IF13" s="27">
        <f>IF(ISNUMBER(IF12),IF12*(1+PortfolioFrontier[[#This Row],[P60 Return]]),1+PortfolioFrontier[[#This Row],[P60 Return]])</f>
        <v>1.0799882419636764</v>
      </c>
      <c r="IG13" s="27">
        <f>MAX(IG12,PortfolioFrontier[[#This Row],[P60 Growth]])</f>
        <v>1.0799882419636764</v>
      </c>
      <c r="IH13" s="27">
        <f>PortfolioFrontier[[#This Row],[P60 Growth]]/PortfolioFrontier[[#This Row],[P60 HWM]]-1</f>
        <v>0</v>
      </c>
      <c r="II13" s="28">
        <f>SUMPRODUCT(INDEX(PortfolioRef[[SPY]:[PE]],MATCH(II$1,PortfolioRef[Reference '#]),0),AssetMonthlyReturns[[#This Row],[SPY]:[PE]])</f>
        <v>1.7027426359776832E-2</v>
      </c>
      <c r="IJ13" s="27">
        <f>IF(ISNUMBER(IJ12),IJ12*(1+PortfolioFrontier[[#This Row],[P61 Return]]),1+PortfolioFrontier[[#This Row],[P61 Return]])</f>
        <v>1.0582219646398154</v>
      </c>
      <c r="IK13" s="27">
        <f>MAX(IK12,PortfolioFrontier[[#This Row],[P61 Growth]])</f>
        <v>1.0582219646398154</v>
      </c>
      <c r="IL13" s="27">
        <f>PortfolioFrontier[[#This Row],[P61 Growth]]/PortfolioFrontier[[#This Row],[P61 HWM]]-1</f>
        <v>0</v>
      </c>
      <c r="IM13" s="28">
        <f>SUMPRODUCT(INDEX(PortfolioRef[[SPY]:[PE]],MATCH(IM$1,PortfolioRef[Reference '#]),0),AssetMonthlyReturns[[#This Row],[SPY]:[PE]])</f>
        <v>1.8398162312707377E-2</v>
      </c>
      <c r="IN13" s="27">
        <f>IF(ISNUMBER(IN12),IN12*(1+PortfolioFrontier[[#This Row],[P62 Return]]),1+PortfolioFrontier[[#This Row],[P62 Return]])</f>
        <v>1.0567065925960575</v>
      </c>
      <c r="IO13" s="27">
        <f>MAX(IO12,PortfolioFrontier[[#This Row],[P62 Growth]])</f>
        <v>1.0567065925960575</v>
      </c>
      <c r="IP13" s="27">
        <f>PortfolioFrontier[[#This Row],[P62 Growth]]/PortfolioFrontier[[#This Row],[P62 HWM]]-1</f>
        <v>0</v>
      </c>
      <c r="IQ13" s="28">
        <f>SUMPRODUCT(INDEX(PortfolioRef[[SPY]:[PE]],MATCH(IQ$1,PortfolioRef[Reference '#]),0),AssetMonthlyReturns[[#This Row],[SPY]:[PE]])</f>
        <v>1.8560049573006939E-2</v>
      </c>
      <c r="IR13" s="27">
        <f>IF(ISNUMBER(IR12),IR12*(1+PortfolioFrontier[[#This Row],[P63 Return]]),1+PortfolioFrontier[[#This Row],[P63 Return]])</f>
        <v>1.0624663436775434</v>
      </c>
      <c r="IS13" s="27">
        <f>MAX(IS12,PortfolioFrontier[[#This Row],[P63 Growth]])</f>
        <v>1.0624663436775434</v>
      </c>
      <c r="IT13" s="27">
        <f>PortfolioFrontier[[#This Row],[P63 Growth]]/PortfolioFrontier[[#This Row],[P63 HWM]]-1</f>
        <v>0</v>
      </c>
      <c r="IU13" s="28">
        <f>SUMPRODUCT(INDEX(PortfolioRef[[SPY]:[PE]],MATCH(IU$1,PortfolioRef[Reference '#]),0),AssetMonthlyReturns[[#This Row],[SPY]:[PE]])</f>
        <v>1.5192497766249615E-2</v>
      </c>
      <c r="IV13" s="27">
        <f>IF(ISNUMBER(IV12),IV12*(1+PortfolioFrontier[[#This Row],[P64 Return]]),1+PortfolioFrontier[[#This Row],[P64 Return]])</f>
        <v>1.0607183957572075</v>
      </c>
      <c r="IW13" s="27">
        <f>MAX(IW12,PortfolioFrontier[[#This Row],[P64 Growth]])</f>
        <v>1.0607183957572075</v>
      </c>
      <c r="IX13" s="27">
        <f>PortfolioFrontier[[#This Row],[P64 Growth]]/PortfolioFrontier[[#This Row],[P64 HWM]]-1</f>
        <v>0</v>
      </c>
      <c r="IY13" s="28">
        <f>SUMPRODUCT(INDEX(PortfolioRef[[SPY]:[PE]],MATCH(IY$1,PortfolioRef[Reference '#]),0),AssetMonthlyReturns[[#This Row],[SPY]:[PE]])</f>
        <v>1.9768898265637925E-2</v>
      </c>
      <c r="IZ13" s="27">
        <f>IF(ISNUMBER(IZ12),IZ12*(1+PortfolioFrontier[[#This Row],[P65 Return]]),1+PortfolioFrontier[[#This Row],[P65 Return]])</f>
        <v>1.0551487987149868</v>
      </c>
      <c r="JA13" s="27">
        <f>MAX(JA12,PortfolioFrontier[[#This Row],[P65 Growth]])</f>
        <v>1.0551487987149868</v>
      </c>
      <c r="JB13" s="27">
        <f>PortfolioFrontier[[#This Row],[P65 Growth]]/PortfolioFrontier[[#This Row],[P65 HWM]]-1</f>
        <v>0</v>
      </c>
      <c r="JC13" s="28">
        <f>SUMPRODUCT(INDEX(PortfolioRef[[SPY]:[PE]],MATCH(JC$1,PortfolioRef[Reference '#]),0),AssetMonthlyReturns[[#This Row],[SPY]:[PE]])</f>
        <v>1.9930785525937487E-2</v>
      </c>
      <c r="JD13" s="27">
        <f>IF(ISNUMBER(JD12),JD12*(1+PortfolioFrontier[[#This Row],[P66 Return]]),1+PortfolioFrontier[[#This Row],[P66 Return]])</f>
        <v>1.0609337278102506</v>
      </c>
      <c r="JE13" s="27">
        <f>MAX(JE12,PortfolioFrontier[[#This Row],[P66 Growth]])</f>
        <v>1.0609337278102506</v>
      </c>
      <c r="JF13" s="27">
        <f>PortfolioFrontier[[#This Row],[P66 Growth]]/PortfolioFrontier[[#This Row],[P66 HWM]]-1</f>
        <v>0</v>
      </c>
      <c r="JG13" s="28">
        <f>SUMPRODUCT(INDEX(PortfolioRef[[SPY]:[PE]],MATCH(JG$1,PortfolioRef[Reference '#]),0),AssetMonthlyReturns[[#This Row],[SPY]:[PE]])</f>
        <v>1.6563233719180163E-2</v>
      </c>
      <c r="JH13" s="27">
        <f>IF(ISNUMBER(JH12),JH12*(1+PortfolioFrontier[[#This Row],[P67 Return]]),1+PortfolioFrontier[[#This Row],[P67 Return]])</f>
        <v>1.059210444718315</v>
      </c>
      <c r="JI13" s="27">
        <f>MAX(JI12,PortfolioFrontier[[#This Row],[P67 Growth]])</f>
        <v>1.059210444718315</v>
      </c>
      <c r="JJ13" s="27">
        <f>PortfolioFrontier[[#This Row],[P67 Growth]]/PortfolioFrontier[[#This Row],[P67 HWM]]-1</f>
        <v>0</v>
      </c>
      <c r="JK13" s="28">
        <f>SUMPRODUCT(INDEX(PortfolioRef[[SPY]:[PE]],MATCH(JK$1,PortfolioRef[Reference '#]),0),AssetMonthlyReturns[[#This Row],[SPY]:[PE]])</f>
        <v>2.009267278623705E-2</v>
      </c>
      <c r="JL13" s="27">
        <f>IF(ISNUMBER(JL12),JL12*(1+PortfolioFrontier[[#This Row],[P68 Return]]),1+PortfolioFrontier[[#This Row],[P68 Return]])</f>
        <v>1.0667017248084552</v>
      </c>
      <c r="JM13" s="27">
        <f>MAX(JM12,PortfolioFrontier[[#This Row],[P68 Growth]])</f>
        <v>1.0667017248084552</v>
      </c>
      <c r="JN13" s="27">
        <f>PortfolioFrontier[[#This Row],[P68 Growth]]/PortfolioFrontier[[#This Row],[P68 HWM]]-1</f>
        <v>0</v>
      </c>
      <c r="JO13" s="28">
        <f>SUMPRODUCT(INDEX(PortfolioRef[[SPY]:[PE]],MATCH(JO$1,PortfolioRef[Reference '#]),0),AssetMonthlyReturns[[#This Row],[SPY]:[PE]])</f>
        <v>1.6725120979479723E-2</v>
      </c>
      <c r="JP13" s="27">
        <f>IF(ISNUMBER(JP12),JP12*(1+PortfolioFrontier[[#This Row],[P69 Return]]),1+PortfolioFrontier[[#This Row],[P69 Return]])</f>
        <v>1.0649781715632185</v>
      </c>
      <c r="JQ13" s="27">
        <f>MAX(JQ12,PortfolioFrontier[[#This Row],[P69 Growth]])</f>
        <v>1.0649781715632185</v>
      </c>
      <c r="JR13" s="27">
        <f>PortfolioFrontier[[#This Row],[P69 Growth]]/PortfolioFrontier[[#This Row],[P69 HWM]]-1</f>
        <v>0</v>
      </c>
      <c r="JS13" s="28">
        <f>SUMPRODUCT(INDEX(PortfolioRef[[SPY]:[PE]],MATCH(JS$1,PortfolioRef[Reference '#]),0),AssetMonthlyReturns[[#This Row],[SPY]:[PE]])</f>
        <v>1.3357569172722395E-2</v>
      </c>
      <c r="JT13" s="27">
        <f>IF(ISNUMBER(JT12),JT12*(1+PortfolioFrontier[[#This Row],[P70 Return]]),1+PortfolioFrontier[[#This Row],[P70 Return]])</f>
        <v>1.0632091713499485</v>
      </c>
      <c r="JU13" s="27">
        <f>MAX(JU12,PortfolioFrontier[[#This Row],[P70 Growth]])</f>
        <v>1.0632091713499485</v>
      </c>
      <c r="JV13" s="27">
        <f>PortfolioFrontier[[#This Row],[P70 Growth]]/PortfolioFrontier[[#This Row],[P70 HWM]]-1</f>
        <v>0</v>
      </c>
      <c r="JW13" s="28">
        <f>SUMPRODUCT(INDEX(PortfolioRef[[SPY]:[PE]],MATCH(JW$1,PortfolioRef[Reference '#]),0),AssetMonthlyReturns[[#This Row],[SPY]:[PE]])</f>
        <v>2.1301521478868032E-2</v>
      </c>
      <c r="JX13" s="27">
        <f>IF(ISNUMBER(JX12),JX12*(1+PortfolioFrontier[[#This Row],[P71 Return]]),1+PortfolioFrontier[[#This Row],[P71 Return]])</f>
        <v>1.0593586361958787</v>
      </c>
      <c r="JY13" s="27">
        <f>MAX(JY12,PortfolioFrontier[[#This Row],[P71 Growth]])</f>
        <v>1.0593586361958787</v>
      </c>
      <c r="JZ13" s="27">
        <f>PortfolioFrontier[[#This Row],[P71 Growth]]/PortfolioFrontier[[#This Row],[P71 HWM]]-1</f>
        <v>0</v>
      </c>
      <c r="KA13" s="28">
        <f>SUMPRODUCT(INDEX(PortfolioRef[[SPY]:[PE]],MATCH(KA$1,PortfolioRef[Reference '#]),0),AssetMonthlyReturns[[#This Row],[SPY]:[PE]])</f>
        <v>1.7933969672110708E-2</v>
      </c>
      <c r="KB13" s="27">
        <f>IF(ISNUMBER(KB12),KB12*(1+PortfolioFrontier[[#This Row],[P72 Return]]),1+PortfolioFrontier[[#This Row],[P72 Return]])</f>
        <v>1.0576599451148561</v>
      </c>
      <c r="KC13" s="27">
        <f>MAX(KC12,PortfolioFrontier[[#This Row],[P72 Growth]])</f>
        <v>1.0576599451148561</v>
      </c>
      <c r="KD13" s="27">
        <f>PortfolioFrontier[[#This Row],[P72 Growth]]/PortfolioFrontier[[#This Row],[P72 HWM]]-1</f>
        <v>0</v>
      </c>
      <c r="KE13" s="28">
        <f>SUMPRODUCT(INDEX(PortfolioRef[[SPY]:[PE]],MATCH(KE$1,PortfolioRef[Reference '#]),0),AssetMonthlyReturns[[#This Row],[SPY]:[PE]])</f>
        <v>2.1463408739167595E-2</v>
      </c>
      <c r="KF13" s="27">
        <f>IF(ISNUMBER(KF12),KF12*(1+PortfolioFrontier[[#This Row],[P73 Return]]),1+PortfolioFrontier[[#This Row],[P73 Return]])</f>
        <v>1.0651518004642428</v>
      </c>
      <c r="KG13" s="27">
        <f>MAX(KG12,PortfolioFrontier[[#This Row],[P73 Growth]])</f>
        <v>1.0651518004642428</v>
      </c>
      <c r="KH13" s="27">
        <f>PortfolioFrontier[[#This Row],[P73 Growth]]/PortfolioFrontier[[#This Row],[P73 HWM]]-1</f>
        <v>0</v>
      </c>
      <c r="KI13" s="28">
        <f>SUMPRODUCT(INDEX(PortfolioRef[[SPY]:[PE]],MATCH(KI$1,PortfolioRef[Reference '#]),0),AssetMonthlyReturns[[#This Row],[SPY]:[PE]])</f>
        <v>1.8095856932410267E-2</v>
      </c>
      <c r="KJ13" s="27">
        <f>IF(ISNUMBER(KJ12),KJ12*(1+PortfolioFrontier[[#This Row],[P74 Return]]),1+PortfolioFrontier[[#This Row],[P74 Return]])</f>
        <v>1.0634529680483693</v>
      </c>
      <c r="KK13" s="27">
        <f>MAX(KK12,PortfolioFrontier[[#This Row],[P74 Growth]])</f>
        <v>1.0634529680483693</v>
      </c>
      <c r="KL13" s="27">
        <f>PortfolioFrontier[[#This Row],[P74 Growth]]/PortfolioFrontier[[#This Row],[P74 HWM]]-1</f>
        <v>0</v>
      </c>
      <c r="KM13" s="28">
        <f>SUMPRODUCT(INDEX(PortfolioRef[[SPY]:[PE]],MATCH(KM$1,PortfolioRef[Reference '#]),0),AssetMonthlyReturns[[#This Row],[SPY]:[PE]])</f>
        <v>1.472830512565294E-2</v>
      </c>
      <c r="KN13" s="27">
        <f>IF(ISNUMBER(KN12),KN12*(1+PortfolioFrontier[[#This Row],[P75 Return]]),1+PortfolioFrontier[[#This Row],[P75 Return]])</f>
        <v>1.0617087037394304</v>
      </c>
      <c r="KO13" s="27">
        <f>MAX(KO12,PortfolioFrontier[[#This Row],[P75 Growth]])</f>
        <v>1.0617087037394304</v>
      </c>
      <c r="KP13" s="27">
        <f>PortfolioFrontier[[#This Row],[P75 Growth]]/PortfolioFrontier[[#This Row],[P75 HWM]]-1</f>
        <v>0</v>
      </c>
      <c r="KQ13" s="28">
        <f>SUMPRODUCT(INDEX(PortfolioRef[[SPY]:[PE]],MATCH(KQ$1,PortfolioRef[Reference '#]),0),AssetMonthlyReturns[[#This Row],[SPY]:[PE]])</f>
        <v>2.1625295999467165E-2</v>
      </c>
      <c r="KR13" s="27">
        <f>IF(ISNUMBER(KR12),KR12*(1+PortfolioFrontier[[#This Row],[P76 Return]]),1+PortfolioFrontier[[#This Row],[P76 Return]])</f>
        <v>1.0709278831459812</v>
      </c>
      <c r="KS13" s="27">
        <f>MAX(KS12,PortfolioFrontier[[#This Row],[P76 Growth]])</f>
        <v>1.0709278831459812</v>
      </c>
      <c r="KT13" s="27">
        <f>PortfolioFrontier[[#This Row],[P76 Growth]]/PortfolioFrontier[[#This Row],[P76 HWM]]-1</f>
        <v>0</v>
      </c>
      <c r="KU13" s="28">
        <f>SUMPRODUCT(INDEX(PortfolioRef[[SPY]:[PE]],MATCH(KU$1,PortfolioRef[Reference '#]),0),AssetMonthlyReturns[[#This Row],[SPY]:[PE]])</f>
        <v>1.8257744192709837E-2</v>
      </c>
      <c r="KV13" s="27">
        <f>IF(ISNUMBER(KV12),KV12*(1+PortfolioFrontier[[#This Row],[P77 Return]]),1+PortfolioFrontier[[#This Row],[P77 Return]])</f>
        <v>1.0692289924276055</v>
      </c>
      <c r="KW13" s="27">
        <f>MAX(KW12,PortfolioFrontier[[#This Row],[P77 Growth]])</f>
        <v>1.0692289924276055</v>
      </c>
      <c r="KX13" s="27">
        <f>PortfolioFrontier[[#This Row],[P77 Growth]]/PortfolioFrontier[[#This Row],[P77 HWM]]-1</f>
        <v>0</v>
      </c>
      <c r="KY13" s="28">
        <f>SUMPRODUCT(INDEX(PortfolioRef[[SPY]:[PE]],MATCH(KY$1,PortfolioRef[Reference '#]),0),AssetMonthlyReturns[[#This Row],[SPY]:[PE]])</f>
        <v>1.4890192385952506E-2</v>
      </c>
      <c r="KZ13" s="27">
        <f>IF(ISNUMBER(KZ12),KZ12*(1+PortfolioFrontier[[#This Row],[P78 Return]]),1+PortfolioFrontier[[#This Row],[P78 Return]])</f>
        <v>1.0674843606031827</v>
      </c>
      <c r="LA13" s="27">
        <f>MAX(LA12,PortfolioFrontier[[#This Row],[P78 Growth]])</f>
        <v>1.0674843606031827</v>
      </c>
      <c r="LB13" s="27">
        <f>PortfolioFrontier[[#This Row],[P78 Growth]]/PortfolioFrontier[[#This Row],[P78 HWM]]-1</f>
        <v>0</v>
      </c>
      <c r="LC13" s="28">
        <f>SUMPRODUCT(INDEX(PortfolioRef[[SPY]:[PE]],MATCH(LC$1,PortfolioRef[Reference '#]),0),AssetMonthlyReturns[[#This Row],[SPY]:[PE]])</f>
        <v>2.2834144692098143E-2</v>
      </c>
      <c r="LD13" s="27">
        <f>IF(ISNUMBER(LD12),LD12*(1+PortfolioFrontier[[#This Row],[P79 Return]]),1+PortfolioFrontier[[#This Row],[P79 Return]])</f>
        <v>1.0635593474203067</v>
      </c>
      <c r="LE13" s="27">
        <f>MAX(LE12,PortfolioFrontier[[#This Row],[P79 Growth]])</f>
        <v>1.0635593474203067</v>
      </c>
      <c r="LF13" s="27">
        <f>PortfolioFrontier[[#This Row],[P79 Growth]]/PortfolioFrontier[[#This Row],[P79 HWM]]-1</f>
        <v>0</v>
      </c>
      <c r="LG13" s="28">
        <f>SUMPRODUCT(INDEX(PortfolioRef[[SPY]:[PE]],MATCH(LG$1,PortfolioRef[Reference '#]),0),AssetMonthlyReturns[[#This Row],[SPY]:[PE]])</f>
        <v>1.9466592885340816E-2</v>
      </c>
      <c r="LH13" s="27">
        <f>IF(ISNUMBER(LH12),LH12*(1+PortfolioFrontier[[#This Row],[P80 Return]]),1+PortfolioFrontier[[#This Row],[P80 Return]])</f>
        <v>1.0618851615590359</v>
      </c>
      <c r="LI13" s="27">
        <f>MAX(LI12,PortfolioFrontier[[#This Row],[P80 Growth]])</f>
        <v>1.0618851615590359</v>
      </c>
      <c r="LJ13" s="27">
        <f>PortfolioFrontier[[#This Row],[P80 Growth]]/PortfolioFrontier[[#This Row],[P80 HWM]]-1</f>
        <v>0</v>
      </c>
      <c r="LK13" s="28">
        <f>SUMPRODUCT(INDEX(PortfolioRef[[SPY]:[PE]],MATCH(LK$1,PortfolioRef[Reference '#]),0),AssetMonthlyReturns[[#This Row],[SPY]:[PE]])</f>
        <v>1.6099041078583488E-2</v>
      </c>
      <c r="LL13" s="27">
        <f>IF(ISNUMBER(LL12),LL12*(1+PortfolioFrontier[[#This Row],[P81 Return]]),1+PortfolioFrontier[[#This Row],[P81 Return]])</f>
        <v>1.0601655609520437</v>
      </c>
      <c r="LM13" s="27">
        <f>MAX(LM12,PortfolioFrontier[[#This Row],[P81 Growth]])</f>
        <v>1.0601655609520437</v>
      </c>
      <c r="LN13" s="27">
        <f>PortfolioFrontier[[#This Row],[P81 Growth]]/PortfolioFrontier[[#This Row],[P81 HWM]]-1</f>
        <v>0</v>
      </c>
      <c r="LO13" s="28">
        <f>SUMPRODUCT(INDEX(PortfolioRef[[SPY]:[PE]],MATCH(LO$1,PortfolioRef[Reference '#]),0),AssetMonthlyReturns[[#This Row],[SPY]:[PE]])</f>
        <v>2.2996031952397709E-2</v>
      </c>
      <c r="LP13" s="27">
        <f>IF(ISNUMBER(LP12),LP12*(1+PortfolioFrontier[[#This Row],[P82 Return]]),1+PortfolioFrontier[[#This Row],[P82 Return]])</f>
        <v>1.0693605860857027</v>
      </c>
      <c r="LQ13" s="27">
        <f>MAX(LQ12,PortfolioFrontier[[#This Row],[P82 Growth]])</f>
        <v>1.0693605860857027</v>
      </c>
      <c r="LR13" s="27">
        <f>PortfolioFrontier[[#This Row],[P82 Growth]]/PortfolioFrontier[[#This Row],[P82 HWM]]-1</f>
        <v>0</v>
      </c>
      <c r="LS13" s="28">
        <f>SUMPRODUCT(INDEX(PortfolioRef[[SPY]:[PE]],MATCH(LS$1,PortfolioRef[Reference '#]),0),AssetMonthlyReturns[[#This Row],[SPY]:[PE]])</f>
        <v>1.9628480145640382E-2</v>
      </c>
      <c r="LT13" s="27">
        <f>IF(ISNUMBER(LT12),LT12*(1+PortfolioFrontier[[#This Row],[P83 Return]]),1+PortfolioFrontier[[#This Row],[P83 Return]])</f>
        <v>1.0676864714537937</v>
      </c>
      <c r="LU13" s="27">
        <f>MAX(LU12,PortfolioFrontier[[#This Row],[P83 Growth]])</f>
        <v>1.0676864714537937</v>
      </c>
      <c r="LV13" s="27">
        <f>PortfolioFrontier[[#This Row],[P83 Growth]]/PortfolioFrontier[[#This Row],[P83 HWM]]-1</f>
        <v>0</v>
      </c>
      <c r="LW13" s="28">
        <f>SUMPRODUCT(INDEX(PortfolioRef[[SPY]:[PE]],MATCH(LW$1,PortfolioRef[Reference '#]),0),AssetMonthlyReturns[[#This Row],[SPY]:[PE]])</f>
        <v>1.6260928338883051E-2</v>
      </c>
      <c r="LX13" s="27">
        <f>IF(ISNUMBER(LX12),LX12*(1+PortfolioFrontier[[#This Row],[P84 Return]]),1+PortfolioFrontier[[#This Row],[P84 Return]])</f>
        <v>1.065966632071782</v>
      </c>
      <c r="LY13" s="27">
        <f>MAX(LY12,PortfolioFrontier[[#This Row],[P84 Growth]])</f>
        <v>1.065966632071782</v>
      </c>
      <c r="LZ13" s="27">
        <f>PortfolioFrontier[[#This Row],[P84 Growth]]/PortfolioFrontier[[#This Row],[P84 HWM]]-1</f>
        <v>0</v>
      </c>
      <c r="MA13" s="28">
        <f>SUMPRODUCT(INDEX(PortfolioRef[[SPY]:[PE]],MATCH(MA$1,PortfolioRef[Reference '#]),0),AssetMonthlyReturns[[#This Row],[SPY]:[PE]])</f>
        <v>2.3157919212697269E-2</v>
      </c>
      <c r="MB13" s="27">
        <f>IF(ISNUMBER(MB12),MB12*(1+PortfolioFrontier[[#This Row],[P85 Return]]),1+PortfolioFrontier[[#This Row],[P85 Return]])</f>
        <v>1.0751445932429837</v>
      </c>
      <c r="MC13" s="27">
        <f>MAX(MC12,PortfolioFrontier[[#This Row],[P85 Growth]])</f>
        <v>1.0751445932429837</v>
      </c>
      <c r="MD13" s="27">
        <f>PortfolioFrontier[[#This Row],[P85 Growth]]/PortfolioFrontier[[#This Row],[P85 HWM]]-1</f>
        <v>0</v>
      </c>
      <c r="ME13" s="28">
        <f>SUMPRODUCT(INDEX(PortfolioRef[[SPY]:[PE]],MATCH(ME$1,PortfolioRef[Reference '#]),0),AssetMonthlyReturns[[#This Row],[SPY]:[PE]])</f>
        <v>1.9790367405939945E-2</v>
      </c>
      <c r="MF13" s="27">
        <f>IF(ISNUMBER(MF12),MF12*(1+PortfolioFrontier[[#This Row],[P86 Return]]),1+PortfolioFrontier[[#This Row],[P86 Return]])</f>
        <v>1.0734706331401402</v>
      </c>
      <c r="MG13" s="27">
        <f>MAX(MG12,PortfolioFrontier[[#This Row],[P86 Growth]])</f>
        <v>1.0734706331401402</v>
      </c>
      <c r="MH13" s="27">
        <f>PortfolioFrontier[[#This Row],[P86 Growth]]/PortfolioFrontier[[#This Row],[P86 HWM]]-1</f>
        <v>0</v>
      </c>
      <c r="MI13" s="28">
        <f>SUMPRODUCT(INDEX(PortfolioRef[[SPY]:[PE]],MATCH(MI$1,PortfolioRef[Reference '#]),0),AssetMonthlyReturns[[#This Row],[SPY]:[PE]])</f>
        <v>1.6422815599182614E-2</v>
      </c>
      <c r="MJ13" s="27">
        <f>IF(ISNUMBER(MJ12),MJ12*(1+PortfolioFrontier[[#This Row],[P87 Return]]),1+PortfolioFrontier[[#This Row],[P87 Return]])</f>
        <v>1.0717506381712922</v>
      </c>
      <c r="MK13" s="27">
        <f>MAX(MK12,PortfolioFrontier[[#This Row],[P87 Growth]])</f>
        <v>1.0717506381712922</v>
      </c>
      <c r="ML13" s="27">
        <f>PortfolioFrontier[[#This Row],[P87 Growth]]/PortfolioFrontier[[#This Row],[P87 HWM]]-1</f>
        <v>0</v>
      </c>
      <c r="MM13" s="28">
        <f>SUMPRODUCT(INDEX(PortfolioRef[[SPY]:[PE]],MATCH(MM$1,PortfolioRef[Reference '#]),0),AssetMonthlyReturns[[#This Row],[SPY]:[PE]])</f>
        <v>2.4366767905328254E-2</v>
      </c>
      <c r="MN13" s="27">
        <f>IF(ISNUMBER(MN12),MN12*(1+PortfolioFrontier[[#This Row],[P88 Return]]),1+PortfolioFrontier[[#This Row],[P88 Return]])</f>
        <v>1.0677507083349349</v>
      </c>
      <c r="MO13" s="27">
        <f>MAX(MO12,PortfolioFrontier[[#This Row],[P88 Growth]])</f>
        <v>1.0692295641878635</v>
      </c>
      <c r="MP13" s="27">
        <f>PortfolioFrontier[[#This Row],[P88 Growth]]/PortfolioFrontier[[#This Row],[P88 HWM]]-1</f>
        <v>-1.3831041550481649E-3</v>
      </c>
      <c r="MQ13" s="28">
        <f>SUMPRODUCT(INDEX(PortfolioRef[[SPY]:[PE]],MATCH(MQ$1,PortfolioRef[Reference '#]),0),AssetMonthlyReturns[[#This Row],[SPY]:[PE]])</f>
        <v>2.0999216098570927E-2</v>
      </c>
      <c r="MR13" s="27">
        <f>IF(ISNUMBER(MR12),MR12*(1+PortfolioFrontier[[#This Row],[P89 Return]]),1+PortfolioFrontier[[#This Row],[P89 Return]])</f>
        <v>1.0661012940527044</v>
      </c>
      <c r="MS13" s="27">
        <f>MAX(MS12,PortfolioFrontier[[#This Row],[P89 Growth]])</f>
        <v>1.0661012940527044</v>
      </c>
      <c r="MT13" s="27">
        <f>PortfolioFrontier[[#This Row],[P89 Growth]]/PortfolioFrontier[[#This Row],[P89 HWM]]-1</f>
        <v>0</v>
      </c>
      <c r="MU13" s="28">
        <f>SUMPRODUCT(INDEX(PortfolioRef[[SPY]:[PE]],MATCH(MU$1,PortfolioRef[Reference '#]),0),AssetMonthlyReturns[[#This Row],[SPY]:[PE]])</f>
        <v>1.7631664291813596E-2</v>
      </c>
      <c r="MV13" s="27">
        <f>IF(ISNUMBER(MV12),MV12*(1+PortfolioFrontier[[#This Row],[P90 Return]]),1+PortfolioFrontier[[#This Row],[P90 Return]])</f>
        <v>1.0644061734520076</v>
      </c>
      <c r="MW13" s="27">
        <f>MAX(MW12,PortfolioFrontier[[#This Row],[P90 Growth]])</f>
        <v>1.0644061734520076</v>
      </c>
      <c r="MX13" s="27">
        <f>PortfolioFrontier[[#This Row],[P90 Growth]]/PortfolioFrontier[[#This Row],[P90 HWM]]-1</f>
        <v>0</v>
      </c>
      <c r="MY13" s="28">
        <f>SUMPRODUCT(INDEX(PortfolioRef[[SPY]:[PE]],MATCH(MY$1,PortfolioRef[Reference '#]),0),AssetMonthlyReturns[[#This Row],[SPY]:[PE]])</f>
        <v>2.452865516562782E-2</v>
      </c>
      <c r="MZ13" s="27">
        <f>IF(ISNUMBER(MZ12),MZ12*(1+PortfolioFrontier[[#This Row],[P91 Return]]),1+PortfolioFrontier[[#This Row],[P91 Return]])</f>
        <v>1.0735598596469078</v>
      </c>
      <c r="NA13" s="27">
        <f>MAX(NA12,PortfolioFrontier[[#This Row],[P91 Growth]])</f>
        <v>1.0738341548377508</v>
      </c>
      <c r="NB13" s="27">
        <f>PortfolioFrontier[[#This Row],[P91 Growth]]/PortfolioFrontier[[#This Row],[P91 HWM]]-1</f>
        <v>-2.5543533850846956E-4</v>
      </c>
      <c r="NC13" s="28">
        <f>SUMPRODUCT(INDEX(PortfolioRef[[SPY]:[PE]],MATCH(NC$1,PortfolioRef[Reference '#]),0),AssetMonthlyReturns[[#This Row],[SPY]:[PE]])</f>
        <v>2.1161103358870493E-2</v>
      </c>
      <c r="ND13" s="27">
        <f>IF(ISNUMBER(ND12),ND12*(1+PortfolioFrontier[[#This Row],[P92 Return]]),1+PortfolioFrontier[[#This Row],[P92 Return]])</f>
        <v>1.0719107301372102</v>
      </c>
      <c r="NE13" s="27">
        <f>MAX(NE12,PortfolioFrontier[[#This Row],[P92 Growth]])</f>
        <v>1.0719107301372102</v>
      </c>
      <c r="NF13" s="27">
        <f>PortfolioFrontier[[#This Row],[P92 Growth]]/PortfolioFrontier[[#This Row],[P92 HWM]]-1</f>
        <v>0</v>
      </c>
      <c r="NG13" s="28">
        <f>SUMPRODUCT(INDEX(PortfolioRef[[SPY]:[PE]],MATCH(NG$1,PortfolioRef[Reference '#]),0),AssetMonthlyReturns[[#This Row],[SPY]:[PE]])</f>
        <v>1.7793551552113162E-2</v>
      </c>
      <c r="NH13" s="27">
        <f>IF(ISNUMBER(NH12),NH12*(1+PortfolioFrontier[[#This Row],[P93 Return]]),1+PortfolioFrontier[[#This Row],[P93 Return]])</f>
        <v>1.0702155834061484</v>
      </c>
      <c r="NI13" s="27">
        <f>MAX(NI12,PortfolioFrontier[[#This Row],[P93 Growth]])</f>
        <v>1.0702155834061484</v>
      </c>
      <c r="NJ13" s="27">
        <f>PortfolioFrontier[[#This Row],[P93 Growth]]/PortfolioFrontier[[#This Row],[P93 HWM]]-1</f>
        <v>0</v>
      </c>
      <c r="NK13" s="28">
        <f>SUMPRODUCT(INDEX(PortfolioRef[[SPY]:[PE]],MATCH(NK$1,PortfolioRef[Reference '#]),0),AssetMonthlyReturns[[#This Row],[SPY]:[PE]])</f>
        <v>2.4690542425927386E-2</v>
      </c>
      <c r="NL13" s="27">
        <f>IF(ISNUMBER(NL12),NL12*(1+PortfolioFrontier[[#This Row],[P94 Return]]),1+PortfolioFrontier[[#This Row],[P94 Return]])</f>
        <v>1.0793516291026466</v>
      </c>
      <c r="NM13" s="27">
        <f>MAX(NM12,PortfolioFrontier[[#This Row],[P94 Growth]])</f>
        <v>1.0793516291026466</v>
      </c>
      <c r="NN13" s="27">
        <f>PortfolioFrontier[[#This Row],[P94 Growth]]/PortfolioFrontier[[#This Row],[P94 HWM]]-1</f>
        <v>0</v>
      </c>
      <c r="NO13" s="28">
        <f>SUMPRODUCT(INDEX(PortfolioRef[[SPY]:[PE]],MATCH(NO$1,PortfolioRef[Reference '#]),0),AssetMonthlyReturns[[#This Row],[SPY]:[PE]])</f>
        <v>2.1322990619170056E-2</v>
      </c>
      <c r="NP13" s="27">
        <f>IF(ISNUMBER(NP12),NP12*(1+PortfolioFrontier[[#This Row],[P95 Return]]),1+PortfolioFrontier[[#This Row],[P95 Return]])</f>
        <v>1.0777028679259777</v>
      </c>
      <c r="NQ13" s="27">
        <f>MAX(NQ12,PortfolioFrontier[[#This Row],[P95 Growth]])</f>
        <v>1.0777028679259777</v>
      </c>
      <c r="NR13" s="27">
        <f>PortfolioFrontier[[#This Row],[P95 Growth]]/PortfolioFrontier[[#This Row],[P95 HWM]]-1</f>
        <v>0</v>
      </c>
      <c r="NS13" s="28">
        <f>SUMPRODUCT(INDEX(PortfolioRef[[SPY]:[PE]],MATCH(NS$1,PortfolioRef[Reference '#]),0),AssetMonthlyReturns[[#This Row],[SPY]:[PE]])</f>
        <v>1.7955438812412728E-2</v>
      </c>
      <c r="NT13" s="27">
        <f>IF(ISNUMBER(NT12),NT12*(1+PortfolioFrontier[[#This Row],[P96 Return]]),1+PortfolioFrontier[[#This Row],[P96 Return]])</f>
        <v>1.0760077785213464</v>
      </c>
      <c r="NU13" s="27">
        <f>MAX(NU12,PortfolioFrontier[[#This Row],[P96 Growth]])</f>
        <v>1.0760077785213464</v>
      </c>
      <c r="NV13" s="27">
        <f>PortfolioFrontier[[#This Row],[P96 Growth]]/PortfolioFrontier[[#This Row],[P96 HWM]]-1</f>
        <v>0</v>
      </c>
      <c r="NW13" s="28">
        <f>SUMPRODUCT(INDEX(PortfolioRef[[SPY]:[PE]],MATCH(NW$1,PortfolioRef[Reference '#]),0),AssetMonthlyReturns[[#This Row],[SPY]:[PE]])</f>
        <v>1.5284493435376223E-2</v>
      </c>
      <c r="NX13" s="27">
        <f>IF(ISNUMBER(NX12),NX12*(1+PortfolioFrontier[[#This Row],[P97 Return]]),1+PortfolioFrontier[[#This Row],[P97 Return]])</f>
        <v>1.0501028658844143</v>
      </c>
      <c r="NY13" s="27">
        <f>MAX(NY12,PortfolioFrontier[[#This Row],[P97 Growth]])</f>
        <v>1.0501028658844143</v>
      </c>
      <c r="NZ13" s="27">
        <f>PortfolioFrontier[[#This Row],[P97 Growth]]/PortfolioFrontier[[#This Row],[P97 HWM]]-1</f>
        <v>0</v>
      </c>
      <c r="OA13" s="28">
        <f>SUMPRODUCT(INDEX(PortfolioRef[[SPY]:[PE]],MATCH(OA$1,PortfolioRef[Reference '#]),0),AssetMonthlyReturns[[#This Row],[SPY]:[PE]])</f>
        <v>1.6655229388306769E-2</v>
      </c>
      <c r="OB13" s="27">
        <f>IF(ISNUMBER(OB12),OB12*(1+PortfolioFrontier[[#This Row],[P98 Return]]),1+PortfolioFrontier[[#This Row],[P98 Return]])</f>
        <v>1.0485880165013313</v>
      </c>
      <c r="OC13" s="27">
        <f>MAX(OC12,PortfolioFrontier[[#This Row],[P98 Growth]])</f>
        <v>1.0495119600802785</v>
      </c>
      <c r="OD13" s="27">
        <f>PortfolioFrontier[[#This Row],[P98 Growth]]/PortfolioFrontier[[#This Row],[P98 HWM]]-1</f>
        <v>-8.8035545481213173E-4</v>
      </c>
      <c r="OE13" s="28">
        <f>SUMPRODUCT(INDEX(PortfolioRef[[SPY]:[PE]],MATCH(OE$1,PortfolioRef[Reference '#]),0),AssetMonthlyReturns[[#This Row],[SPY]:[PE]])</f>
        <v>1.6817116648606332E-2</v>
      </c>
      <c r="OF13" s="27">
        <f>IF(ISNUMBER(OF12),OF12*(1+PortfolioFrontier[[#This Row],[P99 Return]]),1+PortfolioFrontier[[#This Row],[P99 Return]])</f>
        <v>1.0543240668791249</v>
      </c>
      <c r="OG13" s="27">
        <f>MAX(OG12,PortfolioFrontier[[#This Row],[P99 Growth]])</f>
        <v>1.0543240668791249</v>
      </c>
      <c r="OH13" s="27">
        <f>PortfolioFrontier[[#This Row],[P99 Growth]]/PortfolioFrontier[[#This Row],[P99 HWM]]-1</f>
        <v>0</v>
      </c>
      <c r="OI13" s="28">
        <f>SUMPRODUCT(INDEX(PortfolioRef[[SPY]:[PE]],MATCH(OI$1,PortfolioRef[Reference '#]),0),AssetMonthlyReturns[[#This Row],[SPY]:[PE]])</f>
        <v>1.3449564841849008E-2</v>
      </c>
      <c r="OJ13" s="27">
        <f>IF(ISNUMBER(OJ12),OJ12*(1+PortfolioFrontier[[#This Row],[P100 Return]]),1+PortfolioFrontier[[#This Row],[P100 Return]])</f>
        <v>1.0525846054284538</v>
      </c>
      <c r="OK13" s="27">
        <f>MAX(OK12,PortfolioFrontier[[#This Row],[P100 Growth]])</f>
        <v>1.0525846054284538</v>
      </c>
      <c r="OL13" s="27">
        <f>PortfolioFrontier[[#This Row],[P100 Growth]]/PortfolioFrontier[[#This Row],[P100 HWM]]-1</f>
        <v>0</v>
      </c>
      <c r="OM13" s="28">
        <f>SUMPRODUCT(INDEX(PortfolioRef[[SPY]:[PE]],MATCH(OM$1,PortfolioRef[Reference '#]),0),AssetMonthlyReturns[[#This Row],[SPY]:[PE]])</f>
        <v>1.8025965341237314E-2</v>
      </c>
      <c r="ON13" s="27">
        <f>IF(ISNUMBER(ON12),ON12*(1+PortfolioFrontier[[#This Row],[P101 Return]]),1+PortfolioFrontier[[#This Row],[P101 Return]])</f>
        <v>1.0470310350832206</v>
      </c>
      <c r="OO13" s="27">
        <f>MAX(OO12,PortfolioFrontier[[#This Row],[P101 Growth]])</f>
        <v>1.05059106106777</v>
      </c>
      <c r="OP13" s="27">
        <f>PortfolioFrontier[[#This Row],[P101 Growth]]/PortfolioFrontier[[#This Row],[P101 HWM]]-1</f>
        <v>-3.3885934465606171E-3</v>
      </c>
      <c r="OQ13" s="28">
        <f>SUMPRODUCT(INDEX(PortfolioRef[[SPY]:[PE]],MATCH(OQ$1,PortfolioRef[Reference '#]),0),AssetMonthlyReturns[[#This Row],[SPY]:[PE]])</f>
        <v>1.8187852601536877E-2</v>
      </c>
      <c r="OR13" s="27">
        <f>IF(ISNUMBER(OR12),OR12*(1+PortfolioFrontier[[#This Row],[P102 Return]]),1+PortfolioFrontier[[#This Row],[P102 Return]])</f>
        <v>1.0527920632933296</v>
      </c>
      <c r="OS13" s="27">
        <f>MAX(OS12,PortfolioFrontier[[#This Row],[P102 Growth]])</f>
        <v>1.0551404417516972</v>
      </c>
      <c r="OT13" s="27">
        <f>PortfolioFrontier[[#This Row],[P102 Growth]]/PortfolioFrontier[[#This Row],[P102 HWM]]-1</f>
        <v>-2.2256548658763364E-3</v>
      </c>
      <c r="OU13" s="28">
        <f>SUMPRODUCT(INDEX(PortfolioRef[[SPY]:[PE]],MATCH(OU$1,PortfolioRef[Reference '#]),0),AssetMonthlyReturns[[#This Row],[SPY]:[PE]])</f>
        <v>1.4820300794779553E-2</v>
      </c>
      <c r="OV13" s="27">
        <f>IF(ISNUMBER(OV12),OV12*(1+PortfolioFrontier[[#This Row],[P103 Return]]),1+PortfolioFrontier[[#This Row],[P103 Return]])</f>
        <v>1.0510771068950506</v>
      </c>
      <c r="OW13" s="27">
        <f>MAX(OW12,PortfolioFrontier[[#This Row],[P103 Growth]])</f>
        <v>1.0510771068950506</v>
      </c>
      <c r="OX13" s="27">
        <f>PortfolioFrontier[[#This Row],[P103 Growth]]/PortfolioFrontier[[#This Row],[P103 HWM]]-1</f>
        <v>0</v>
      </c>
      <c r="OY13" s="28">
        <f>SUMPRODUCT(INDEX(PortfolioRef[[SPY]:[PE]],MATCH(OY$1,PortfolioRef[Reference '#]),0),AssetMonthlyReturns[[#This Row],[SPY]:[PE]])</f>
        <v>1.8349739861836443E-2</v>
      </c>
      <c r="OZ13" s="27">
        <f>IF(ISNUMBER(OZ12),OZ12*(1+PortfolioFrontier[[#This Row],[P104 Return]]),1+PortfolioFrontier[[#This Row],[P104 Return]])</f>
        <v>1.0585363901738138</v>
      </c>
      <c r="PA13" s="27">
        <f>MAX(PA12,PortfolioFrontier[[#This Row],[P104 Growth]])</f>
        <v>1.0596859973699932</v>
      </c>
      <c r="PB13" s="27">
        <f>PortfolioFrontier[[#This Row],[P104 Growth]]/PortfolioFrontier[[#This Row],[P104 HWM]]-1</f>
        <v>-1.0848564565659746E-3</v>
      </c>
      <c r="PC13" s="28">
        <f>SUMPRODUCT(INDEX(PortfolioRef[[SPY]:[PE]],MATCH(PC$1,PortfolioRef[Reference '#]),0),AssetMonthlyReturns[[#This Row],[SPY]:[PE]])</f>
        <v>1.4982188055079115E-2</v>
      </c>
      <c r="PD13" s="27">
        <f>IF(ISNUMBER(PD12),PD12*(1+PortfolioFrontier[[#This Row],[P105 Return]]),1+PortfolioFrontier[[#This Row],[P105 Return]])</f>
        <v>1.056821114329384</v>
      </c>
      <c r="PE13" s="27">
        <f>MAX(PE12,PortfolioFrontier[[#This Row],[P105 Growth]])</f>
        <v>1.056821114329384</v>
      </c>
      <c r="PF13" s="27">
        <f>PortfolioFrontier[[#This Row],[P105 Growth]]/PortfolioFrontier[[#This Row],[P105 HWM]]-1</f>
        <v>0</v>
      </c>
      <c r="PG13" s="28">
        <f>SUMPRODUCT(INDEX(PortfolioRef[[SPY]:[PE]],MATCH(PG$1,PortfolioRef[Reference '#]),0),AssetMonthlyReturns[[#This Row],[SPY]:[PE]])</f>
        <v>1.1614636248321788E-2</v>
      </c>
      <c r="PH13" s="27">
        <f>IF(ISNUMBER(PH12),PH12*(1+PortfolioFrontier[[#This Row],[P106 Return]]),1+PortfolioFrontier[[#This Row],[P106 Return]])</f>
        <v>1.0550607260395319</v>
      </c>
      <c r="PI13" s="27">
        <f>MAX(PI12,PortfolioFrontier[[#This Row],[P106 Growth]])</f>
        <v>1.0550607260395319</v>
      </c>
      <c r="PJ13" s="27">
        <f>PortfolioFrontier[[#This Row],[P106 Growth]]/PortfolioFrontier[[#This Row],[P106 HWM]]-1</f>
        <v>0</v>
      </c>
      <c r="PK13" s="28">
        <f>SUMPRODUCT(INDEX(PortfolioRef[[SPY]:[PE]],MATCH(PK$1,PortfolioRef[Reference '#]),0),AssetMonthlyReturns[[#This Row],[SPY]:[PE]])</f>
        <v>1.9558588554467425E-2</v>
      </c>
      <c r="PL13" s="27">
        <f>IF(ISNUMBER(PL12),PL12*(1+PortfolioFrontier[[#This Row],[P107 Return]]),1+PortfolioFrontier[[#This Row],[P107 Return]])</f>
        <v>1.0512178738953053</v>
      </c>
      <c r="PM13" s="27">
        <f>MAX(PM12,PortfolioFrontier[[#This Row],[P107 Growth]])</f>
        <v>1.0562201870951351</v>
      </c>
      <c r="PN13" s="27">
        <f>PortfolioFrontier[[#This Row],[P107 Growth]]/PortfolioFrontier[[#This Row],[P107 HWM]]-1</f>
        <v>-4.7360514984923219E-3</v>
      </c>
      <c r="PO13" s="28">
        <f>SUMPRODUCT(INDEX(PortfolioRef[[SPY]:[PE]],MATCH(PO$1,PortfolioRef[Reference '#]),0),AssetMonthlyReturns[[#This Row],[SPY]:[PE]])</f>
        <v>1.6191036747710101E-2</v>
      </c>
      <c r="PP13" s="27">
        <f>IF(ISNUMBER(PP12),PP12*(1+PortfolioFrontier[[#This Row],[P108 Return]]),1+PortfolioFrontier[[#This Row],[P108 Return]])</f>
        <v>1.0495273502628764</v>
      </c>
      <c r="PQ13" s="27">
        <f>MAX(PQ12,PortfolioFrontier[[#This Row],[P108 Growth]])</f>
        <v>1.051372855315329</v>
      </c>
      <c r="PR13" s="27">
        <f>PortfolioFrontier[[#This Row],[P108 Growth]]/PortfolioFrontier[[#This Row],[P108 HWM]]-1</f>
        <v>-1.7553287999804157E-3</v>
      </c>
      <c r="PS13" s="28">
        <f>SUMPRODUCT(INDEX(PortfolioRef[[SPY]:[PE]],MATCH(PS$1,PortfolioRef[Reference '#]),0),AssetMonthlyReturns[[#This Row],[SPY]:[PE]])</f>
        <v>1.9720475814766988E-2</v>
      </c>
      <c r="PT13" s="27">
        <f>IF(ISNUMBER(PT12),PT12*(1+PortfolioFrontier[[#This Row],[P109 Return]]),1+PortfolioFrontier[[#This Row],[P109 Return]])</f>
        <v>1.0569871681264504</v>
      </c>
      <c r="PU13" s="27">
        <f>MAX(PU12,PortfolioFrontier[[#This Row],[P109 Growth]])</f>
        <v>1.0607882528163963</v>
      </c>
      <c r="PV13" s="27">
        <f>PortfolioFrontier[[#This Row],[P109 Growth]]/PortfolioFrontier[[#This Row],[P109 HWM]]-1</f>
        <v>-3.5832643129805053E-3</v>
      </c>
      <c r="PW13" s="28">
        <f>SUMPRODUCT(INDEX(PortfolioRef[[SPY]:[PE]],MATCH(PW$1,PortfolioRef[Reference '#]),0),AssetMonthlyReturns[[#This Row],[SPY]:[PE]])</f>
        <v>1.635292400800966E-2</v>
      </c>
      <c r="PX13" s="27">
        <f>IF(ISNUMBER(PX12),PX12*(1+PortfolioFrontier[[#This Row],[P110 Return]]),1+PortfolioFrontier[[#This Row],[P110 Return]])</f>
        <v>1.0552964529653395</v>
      </c>
      <c r="PY13" s="27">
        <f>MAX(PY12,PortfolioFrontier[[#This Row],[P110 Growth]])</f>
        <v>1.0559214762599245</v>
      </c>
      <c r="PZ13" s="27">
        <f>PortfolioFrontier[[#This Row],[P110 Growth]]/PortfolioFrontier[[#This Row],[P110 HWM]]-1</f>
        <v>-5.9192213496672696E-4</v>
      </c>
      <c r="QA13" s="28">
        <f>SUMPRODUCT(INDEX(PortfolioRef[[SPY]:[PE]],MATCH(QA$1,PortfolioRef[Reference '#]),0),AssetMonthlyReturns[[#This Row],[SPY]:[PE]])</f>
        <v>1.2985372201252333E-2</v>
      </c>
      <c r="QB13" s="27">
        <f>IF(ISNUMBER(QB12),QB12*(1+PortfolioFrontier[[#This Row],[P111 Return]]),1+PortfolioFrontier[[#This Row],[P111 Return]])</f>
        <v>1.0535606405282651</v>
      </c>
      <c r="QC13" s="27">
        <f>MAX(QC12,PortfolioFrontier[[#This Row],[P111 Growth]])</f>
        <v>1.0535606405282651</v>
      </c>
      <c r="QD13" s="27">
        <f>PortfolioFrontier[[#This Row],[P111 Growth]]/PortfolioFrontier[[#This Row],[P111 HWM]]-1</f>
        <v>0</v>
      </c>
      <c r="QE13" s="28">
        <f>SUMPRODUCT(INDEX(PortfolioRef[[SPY]:[PE]],MATCH(QE$1,PortfolioRef[Reference '#]),0),AssetMonthlyReturns[[#This Row],[SPY]:[PE]])</f>
        <v>1.9882363075066557E-2</v>
      </c>
      <c r="QF13" s="27">
        <f>IF(ISNUMBER(QF12),QF12*(1+PortfolioFrontier[[#This Row],[P112 Return]]),1+PortfolioFrontier[[#This Row],[P112 Return]])</f>
        <v>1.0627396122300754</v>
      </c>
      <c r="QG13" s="27">
        <f>MAX(QG12,PortfolioFrontier[[#This Row],[P112 Growth]])</f>
        <v>1.0653524862884685</v>
      </c>
      <c r="QH13" s="27">
        <f>PortfolioFrontier[[#This Row],[P112 Growth]]/PortfolioFrontier[[#This Row],[P112 HWM]]-1</f>
        <v>-2.4525911301863657E-3</v>
      </c>
      <c r="QI13" s="28">
        <f>SUMPRODUCT(INDEX(PortfolioRef[[SPY]:[PE]],MATCH(QI$1,PortfolioRef[Reference '#]),0),AssetMonthlyReturns[[#This Row],[SPY]:[PE]])</f>
        <v>1.651481126830923E-2</v>
      </c>
      <c r="QJ13" s="27">
        <f>IF(ISNUMBER(QJ12),QJ12*(1+PortfolioFrontier[[#This Row],[P113 Return]]),1+PortfolioFrontier[[#This Row],[P113 Return]])</f>
        <v>1.0610487883257618</v>
      </c>
      <c r="QK13" s="27">
        <f>MAX(QK12,PortfolioFrontier[[#This Row],[P113 Growth]])</f>
        <v>1.0610487883257618</v>
      </c>
      <c r="QL13" s="27">
        <f>PortfolioFrontier[[#This Row],[P113 Growth]]/PortfolioFrontier[[#This Row],[P113 HWM]]-1</f>
        <v>0</v>
      </c>
      <c r="QM13" s="28">
        <f>SUMPRODUCT(INDEX(PortfolioRef[[SPY]:[PE]],MATCH(QM$1,PortfolioRef[Reference '#]),0),AssetMonthlyReturns[[#This Row],[SPY]:[PE]])</f>
        <v>1.3147259461551899E-2</v>
      </c>
      <c r="QN13" s="27">
        <f>IF(ISNUMBER(QN12),QN12*(1+PortfolioFrontier[[#This Row],[P114 Return]]),1+PortfolioFrontier[[#This Row],[P114 Return]])</f>
        <v>1.0593125594345603</v>
      </c>
      <c r="QO13" s="27">
        <f>MAX(QO12,PortfolioFrontier[[#This Row],[P114 Growth]])</f>
        <v>1.0593125594345603</v>
      </c>
      <c r="QP13" s="27">
        <f>PortfolioFrontier[[#This Row],[P114 Growth]]/PortfolioFrontier[[#This Row],[P114 HWM]]-1</f>
        <v>0</v>
      </c>
      <c r="QQ13" s="28">
        <f>SUMPRODUCT(INDEX(PortfolioRef[[SPY]:[PE]],MATCH(QQ$1,PortfolioRef[Reference '#]),0),AssetMonthlyReturns[[#This Row],[SPY]:[PE]])</f>
        <v>2.1091211767697536E-2</v>
      </c>
      <c r="QR13" s="27">
        <f>IF(ISNUMBER(QR12),QR12*(1+PortfolioFrontier[[#This Row],[P115 Return]]),1+PortfolioFrontier[[#This Row],[P115 Return]])</f>
        <v>1.0553957074413283</v>
      </c>
      <c r="QS13" s="27">
        <f>MAX(QS12,PortfolioFrontier[[#This Row],[P115 Growth]])</f>
        <v>1.0618686348654582</v>
      </c>
      <c r="QT13" s="27">
        <f>PortfolioFrontier[[#This Row],[P115 Growth]]/PortfolioFrontier[[#This Row],[P115 HWM]]-1</f>
        <v>-6.0957892639423861E-3</v>
      </c>
      <c r="QU13" s="28">
        <f>SUMPRODUCT(INDEX(PortfolioRef[[SPY]:[PE]],MATCH(QU$1,PortfolioRef[Reference '#]),0),AssetMonthlyReturns[[#This Row],[SPY]:[PE]])</f>
        <v>1.7723659960940209E-2</v>
      </c>
      <c r="QV13" s="27">
        <f>IF(ISNUMBER(QV12),QV12*(1+PortfolioFrontier[[#This Row],[P116 Return]]),1+PortfolioFrontier[[#This Row],[P116 Return]])</f>
        <v>1.0537294792271981</v>
      </c>
      <c r="QW13" s="27">
        <f>MAX(QW12,PortfolioFrontier[[#This Row],[P116 Growth]])</f>
        <v>1.0570041848172638</v>
      </c>
      <c r="QX13" s="27">
        <f>PortfolioFrontier[[#This Row],[P116 Growth]]/PortfolioFrontier[[#This Row],[P116 HWM]]-1</f>
        <v>-3.0981008751936878E-3</v>
      </c>
      <c r="QY13" s="28">
        <f>SUMPRODUCT(INDEX(PortfolioRef[[SPY]:[PE]],MATCH(QY$1,PortfolioRef[Reference '#]),0),AssetMonthlyReturns[[#This Row],[SPY]:[PE]])</f>
        <v>1.4356108154182881E-2</v>
      </c>
      <c r="QZ13" s="27">
        <f>IF(ISNUMBER(QZ12),QZ12*(1+PortfolioFrontier[[#This Row],[P117 Return]]),1+PortfolioFrontier[[#This Row],[P117 Return]])</f>
        <v>1.0520181709684391</v>
      </c>
      <c r="RA13" s="27">
        <f>MAX(RA12,PortfolioFrontier[[#This Row],[P117 Growth]])</f>
        <v>1.0521518697486996</v>
      </c>
      <c r="RB13" s="27">
        <f>PortfolioFrontier[[#This Row],[P117 Growth]]/PortfolioFrontier[[#This Row],[P117 HWM]]-1</f>
        <v>-1.2707175086079658E-4</v>
      </c>
      <c r="RC13" s="28">
        <f>SUMPRODUCT(INDEX(PortfolioRef[[SPY]:[PE]],MATCH(RC$1,PortfolioRef[Reference '#]),0),AssetMonthlyReturns[[#This Row],[SPY]:[PE]])</f>
        <v>2.1253099027997102E-2</v>
      </c>
      <c r="RD13" s="27">
        <f>IF(ISNUMBER(RD12),RD12*(1+PortfolioFrontier[[#This Row],[P118 Return]]),1+PortfolioFrontier[[#This Row],[P118 Return]])</f>
        <v>1.0611731078742637</v>
      </c>
      <c r="RE13" s="27">
        <f>MAX(RE12,PortfolioFrontier[[#This Row],[P118 Growth]])</f>
        <v>1.0664554246268612</v>
      </c>
      <c r="RF13" s="27">
        <f>PortfolioFrontier[[#This Row],[P118 Growth]]/PortfolioFrontier[[#This Row],[P118 HWM]]-1</f>
        <v>-4.9531528750446085E-3</v>
      </c>
      <c r="RG13" s="28">
        <f>SUMPRODUCT(INDEX(PortfolioRef[[SPY]:[PE]],MATCH(RG$1,PortfolioRef[Reference '#]),0),AssetMonthlyReturns[[#This Row],[SPY]:[PE]])</f>
        <v>1.7885547221239775E-2</v>
      </c>
      <c r="RH13" s="27">
        <f>IF(ISNUMBER(RH12),RH12*(1+PortfolioFrontier[[#This Row],[P119 Return]]),1+PortfolioFrontier[[#This Row],[P119 Return]])</f>
        <v>1.0595068995442085</v>
      </c>
      <c r="RI13" s="27">
        <f>MAX(RI12,PortfolioFrontier[[#This Row],[P119 Growth]])</f>
        <v>1.0615714914212842</v>
      </c>
      <c r="RJ13" s="27">
        <f>PortfolioFrontier[[#This Row],[P119 Growth]]/PortfolioFrontier[[#This Row],[P119 HWM]]-1</f>
        <v>-1.9448448773915494E-3</v>
      </c>
      <c r="RK13" s="28">
        <f>SUMPRODUCT(INDEX(PortfolioRef[[SPY]:[PE]],MATCH(RK$1,PortfolioRef[Reference '#]),0),AssetMonthlyReturns[[#This Row],[SPY]:[PE]])</f>
        <v>1.4517995414482444E-2</v>
      </c>
      <c r="RL13" s="27">
        <f>IF(ISNUMBER(RL12),RL12*(1+PortfolioFrontier[[#This Row],[P120 Return]]),1+PortfolioFrontier[[#This Row],[P120 Return]])</f>
        <v>1.0577953026712454</v>
      </c>
      <c r="RM13" s="27">
        <f>MAX(RM12,PortfolioFrontier[[#This Row],[P120 Growth]])</f>
        <v>1.0577953026712454</v>
      </c>
      <c r="RN13" s="27">
        <f>PortfolioFrontier[[#This Row],[P120 Growth]]/PortfolioFrontier[[#This Row],[P120 HWM]]-1</f>
        <v>0</v>
      </c>
      <c r="RO13" s="28">
        <f>SUMPRODUCT(INDEX(PortfolioRef[[SPY]:[PE]],MATCH(RO$1,PortfolioRef[Reference '#]),0),AssetMonthlyReturns[[#This Row],[SPY]:[PE]])</f>
        <v>2.1414986288296665E-2</v>
      </c>
      <c r="RP13" s="27">
        <f>IF(ISNUMBER(RP12),RP12*(1+PortfolioFrontier[[#This Row],[P121 Return]]),1+PortfolioFrontier[[#This Row],[P121 Return]])</f>
        <v>1.0669335089478795</v>
      </c>
      <c r="RQ13" s="27">
        <f>MAX(RQ12,PortfolioFrontier[[#This Row],[P121 Growth]])</f>
        <v>1.0710383749555177</v>
      </c>
      <c r="RR13" s="27">
        <f>PortfolioFrontier[[#This Row],[P121 Growth]]/PortfolioFrontier[[#This Row],[P121 HWM]]-1</f>
        <v>-3.8326040444709442E-3</v>
      </c>
      <c r="RS13" s="28">
        <f>SUMPRODUCT(INDEX(PortfolioRef[[SPY]:[PE]],MATCH(RS$1,PortfolioRef[Reference '#]),0),AssetMonthlyReturns[[#This Row],[SPY]:[PE]])</f>
        <v>1.8047434481539337E-2</v>
      </c>
      <c r="RT13" s="27">
        <f>IF(ISNUMBER(RT12),RT12*(1+PortfolioFrontier[[#This Row],[P122 Return]]),1+PortfolioFrontier[[#This Row],[P122 Return]])</f>
        <v>1.0652674035578356</v>
      </c>
      <c r="RU13" s="27">
        <f>MAX(RU12,PortfolioFrontier[[#This Row],[P122 Growth]])</f>
        <v>1.0661349333347574</v>
      </c>
      <c r="RV13" s="27">
        <f>PortfolioFrontier[[#This Row],[P122 Growth]]/PortfolioFrontier[[#This Row],[P122 HWM]]-1</f>
        <v>-8.1371480269232244E-4</v>
      </c>
      <c r="RW13" s="28">
        <f>SUMPRODUCT(INDEX(PortfolioRef[[SPY]:[PE]],MATCH(RW$1,PortfolioRef[Reference '#]),0),AssetMonthlyReturns[[#This Row],[SPY]:[PE]])</f>
        <v>1.467988267478201E-2</v>
      </c>
      <c r="RX13" s="27">
        <f>IF(ISNUMBER(RX12),RX12*(1+PortfolioFrontier[[#This Row],[P123 Return]]),1+PortfolioFrontier[[#This Row],[P123 Return]])</f>
        <v>1.0635556010104399</v>
      </c>
      <c r="RY13" s="27">
        <f>MAX(RY12,PortfolioFrontier[[#This Row],[P123 Growth]])</f>
        <v>1.0635556010104399</v>
      </c>
      <c r="RZ13" s="27">
        <f>PortfolioFrontier[[#This Row],[P123 Growth]]/PortfolioFrontier[[#This Row],[P123 HWM]]-1</f>
        <v>0</v>
      </c>
      <c r="SA13" s="28">
        <f>SUMPRODUCT(INDEX(PortfolioRef[[SPY]:[PE]],MATCH(SA$1,PortfolioRef[Reference '#]),0),AssetMonthlyReturns[[#This Row],[SPY]:[PE]])</f>
        <v>2.2623834980927647E-2</v>
      </c>
      <c r="SB13" s="27">
        <f>IF(ISNUMBER(SB12),SB12*(1+PortfolioFrontier[[#This Row],[P124 Return]]),1+PortfolioFrontier[[#This Row],[P124 Return]])</f>
        <v>1.0595643130115746</v>
      </c>
      <c r="SC13" s="27">
        <f>MAX(SC12,PortfolioFrontier[[#This Row],[P124 Growth]])</f>
        <v>1.0675364357312243</v>
      </c>
      <c r="SD13" s="27">
        <f>PortfolioFrontier[[#This Row],[P124 Growth]]/PortfolioFrontier[[#This Row],[P124 HWM]]-1</f>
        <v>-7.4677757618539786E-3</v>
      </c>
      <c r="SE13" s="28">
        <f>SUMPRODUCT(INDEX(PortfolioRef[[SPY]:[PE]],MATCH(SE$1,PortfolioRef[Reference '#]),0),AssetMonthlyReturns[[#This Row],[SPY]:[PE]])</f>
        <v>1.925628317417032E-2</v>
      </c>
      <c r="SF13" s="27">
        <f>IF(ISNUMBER(SF12),SF12*(1+PortfolioFrontier[[#This Row],[P125 Return]]),1+PortfolioFrontier[[#This Row],[P125 Return]])</f>
        <v>1.0579226450649017</v>
      </c>
      <c r="SG13" s="27">
        <f>MAX(SG12,PortfolioFrontier[[#This Row],[P125 Growth]])</f>
        <v>1.0626548391355537</v>
      </c>
      <c r="SH13" s="27">
        <f>PortfolioFrontier[[#This Row],[P125 Growth]]/PortfolioFrontier[[#This Row],[P125 HWM]]-1</f>
        <v>-4.453180747289065E-3</v>
      </c>
      <c r="SI13" s="28">
        <f>SUMPRODUCT(INDEX(PortfolioRef[[SPY]:[PE]],MATCH(SI$1,PortfolioRef[Reference '#]),0),AssetMonthlyReturns[[#This Row],[SPY]:[PE]])</f>
        <v>1.5888731367412989E-2</v>
      </c>
      <c r="SJ13" s="27">
        <f>IF(ISNUMBER(SJ12),SJ12*(1+PortfolioFrontier[[#This Row],[P126 Return]]),1+PortfolioFrontier[[#This Row],[P126 Return]])</f>
        <v>1.0562356070844889</v>
      </c>
      <c r="SK13" s="27">
        <f>MAX(SK12,PortfolioFrontier[[#This Row],[P126 Growth]])</f>
        <v>1.0577853996594109</v>
      </c>
      <c r="SL13" s="27">
        <f>PortfolioFrontier[[#This Row],[P126 Growth]]/PortfolioFrontier[[#This Row],[P126 HWM]]-1</f>
        <v>-1.4651294822379812E-3</v>
      </c>
      <c r="SM13" s="28">
        <f>SUMPRODUCT(INDEX(PortfolioRef[[SPY]:[PE]],MATCH(SM$1,PortfolioRef[Reference '#]),0),AssetMonthlyReturns[[#This Row],[SPY]:[PE]])</f>
        <v>2.278572224122721E-2</v>
      </c>
      <c r="SN13" s="27">
        <f>IF(ISNUMBER(SN12),SN12*(1+PortfolioFrontier[[#This Row],[P127 Return]]),1+PortfolioFrontier[[#This Row],[P127 Return]])</f>
        <v>1.0653496588538613</v>
      </c>
      <c r="SO13" s="27">
        <f>MAX(SO12,PortfolioFrontier[[#This Row],[P127 Growth]])</f>
        <v>1.072141988535577</v>
      </c>
      <c r="SP13" s="27">
        <f>PortfolioFrontier[[#This Row],[P127 Growth]]/PortfolioFrontier[[#This Row],[P127 HWM]]-1</f>
        <v>-6.335289312745962E-3</v>
      </c>
      <c r="SQ13" s="28">
        <f>SUMPRODUCT(INDEX(PortfolioRef[[SPY]:[PE]],MATCH(SQ$1,PortfolioRef[Reference '#]),0),AssetMonthlyReturns[[#This Row],[SPY]:[PE]])</f>
        <v>1.9418170434469882E-2</v>
      </c>
      <c r="SR13" s="27">
        <f>IF(ISNUMBER(SR12),SR12*(1+PortfolioFrontier[[#This Row],[P128 Return]]),1+PortfolioFrontier[[#This Row],[P128 Return]])</f>
        <v>1.0637082231824988</v>
      </c>
      <c r="SS13" s="27">
        <f>MAX(SS12,PortfolioFrontier[[#This Row],[P128 Growth]])</f>
        <v>1.0672408704018066</v>
      </c>
      <c r="ST13" s="27">
        <f>PortfolioFrontier[[#This Row],[P128 Growth]]/PortfolioFrontier[[#This Row],[P128 HWM]]-1</f>
        <v>-3.3100749018145637E-3</v>
      </c>
      <c r="SU13" s="28">
        <f>SUMPRODUCT(INDEX(PortfolioRef[[SPY]:[PE]],MATCH(SU$1,PortfolioRef[Reference '#]),0),AssetMonthlyReturns[[#This Row],[SPY]:[PE]])</f>
        <v>1.6050618627712555E-2</v>
      </c>
      <c r="SV13" s="27">
        <f>IF(ISNUMBER(SV12),SV12*(1+PortfolioFrontier[[#This Row],[P129 Return]]),1+PortfolioFrontier[[#This Row],[P129 Return]])</f>
        <v>1.0620211080799666</v>
      </c>
      <c r="SW13" s="27">
        <f>MAX(SW12,PortfolioFrontier[[#This Row],[P129 Growth]])</f>
        <v>1.0623519347147268</v>
      </c>
      <c r="SX13" s="27">
        <f>PortfolioFrontier[[#This Row],[P129 Growth]]/PortfolioFrontier[[#This Row],[P129 HWM]]-1</f>
        <v>-3.1140964114584335E-4</v>
      </c>
      <c r="SY13" s="28">
        <f>SUMPRODUCT(INDEX(PortfolioRef[[SPY]:[PE]],MATCH(SY$1,PortfolioRef[Reference '#]),0),AssetMonthlyReturns[[#This Row],[SPY]:[PE]])</f>
        <v>2.2947609501526776E-2</v>
      </c>
      <c r="SZ13" s="27">
        <f>IF(ISNUMBER(SZ12),SZ12*(1+PortfolioFrontier[[#This Row],[P130 Return]]),1+PortfolioFrontier[[#This Row],[P130 Return]])</f>
        <v>1.0711178556763814</v>
      </c>
      <c r="TA13" s="27">
        <f>MAX(TA12,PortfolioFrontier[[#This Row],[P130 Growth]])</f>
        <v>1.0767436947236253</v>
      </c>
      <c r="TB13" s="27">
        <f>PortfolioFrontier[[#This Row],[P130 Growth]]/PortfolioFrontier[[#This Row],[P130 HWM]]-1</f>
        <v>-5.2248637023019073E-3</v>
      </c>
      <c r="TC13" s="28">
        <f>SUMPRODUCT(INDEX(PortfolioRef[[SPY]:[PE]],MATCH(TC$1,PortfolioRef[Reference '#]),0),AssetMonthlyReturns[[#This Row],[SPY]:[PE]])</f>
        <v>1.9580057694769448E-2</v>
      </c>
      <c r="TD13" s="27">
        <f>IF(ISNUMBER(TD12),TD12*(1+PortfolioFrontier[[#This Row],[P131 Return]]),1+PortfolioFrontier[[#This Row],[P131 Return]])</f>
        <v>1.0694767356002028</v>
      </c>
      <c r="TE13" s="27">
        <f>MAX(TE12,PortfolioFrontier[[#This Row],[P131 Growth]])</f>
        <v>1.0718230297939548</v>
      </c>
      <c r="TF13" s="27">
        <f>PortfolioFrontier[[#This Row],[P131 Growth]]/PortfolioFrontier[[#This Row],[P131 HWM]]-1</f>
        <v>-2.1890686508229118E-3</v>
      </c>
      <c r="TG13" s="28">
        <f>SUMPRODUCT(INDEX(PortfolioRef[[SPY]:[PE]],MATCH(TG$1,PortfolioRef[Reference '#]),0),AssetMonthlyReturns[[#This Row],[SPY]:[PE]])</f>
        <v>1.6212505888012121E-2</v>
      </c>
      <c r="TH13" s="27">
        <f>IF(ISNUMBER(TH12),TH12*(1+PortfolioFrontier[[#This Row],[P132 Return]]),1+PortfolioFrontier[[#This Row],[P132 Return]])</f>
        <v>1.0677896265870317</v>
      </c>
      <c r="TI13" s="27">
        <f>MAX(TI12,PortfolioFrontier[[#This Row],[P132 Growth]])</f>
        <v>1.0677896265870317</v>
      </c>
      <c r="TJ13" s="27">
        <f>PortfolioFrontier[[#This Row],[P132 Growth]]/PortfolioFrontier[[#This Row],[P132 HWM]]-1</f>
        <v>0</v>
      </c>
      <c r="TK13" s="28">
        <f>SUMPRODUCT(INDEX(PortfolioRef[[SPY]:[PE]],MATCH(TK$1,PortfolioRef[Reference '#]),0),AssetMonthlyReturns[[#This Row],[SPY]:[PE]])</f>
        <v>2.4156458194157758E-2</v>
      </c>
      <c r="TL13" s="27">
        <f>IF(ISNUMBER(TL12),TL12*(1+PortfolioFrontier[[#This Row],[P133 Return]]),1+PortfolioFrontier[[#This Row],[P133 Return]])</f>
        <v>1.0637234673449782</v>
      </c>
      <c r="TM13" s="27">
        <f>MAX(TM12,PortfolioFrontier[[#This Row],[P133 Growth]])</f>
        <v>1.0732236210449184</v>
      </c>
      <c r="TN13" s="27">
        <f>PortfolioFrontier[[#This Row],[P133 Growth]]/PortfolioFrontier[[#This Row],[P133 HWM]]-1</f>
        <v>-8.8519796933751449E-3</v>
      </c>
      <c r="TO13" s="28">
        <f>SUMPRODUCT(INDEX(PortfolioRef[[SPY]:[PE]],MATCH(TO$1,PortfolioRef[Reference '#]),0),AssetMonthlyReturns[[#This Row],[SPY]:[PE]])</f>
        <v>2.0788906387400434E-2</v>
      </c>
      <c r="TP13" s="27">
        <f>IF(ISNUMBER(TP12),TP12*(1+PortfolioFrontier[[#This Row],[P134 Return]]),1+PortfolioFrontier[[#This Row],[P134 Return]])</f>
        <v>1.062106624742176</v>
      </c>
      <c r="TQ13" s="27">
        <f>MAX(TQ12,PortfolioFrontier[[#This Row],[P134 Growth]])</f>
        <v>1.0683248496226843</v>
      </c>
      <c r="TR13" s="27">
        <f>PortfolioFrontier[[#This Row],[P134 Growth]]/PortfolioFrontier[[#This Row],[P134 HWM]]-1</f>
        <v>-5.8205375291087158E-3</v>
      </c>
      <c r="TS13" s="28">
        <f>SUMPRODUCT(INDEX(PortfolioRef[[SPY]:[PE]],MATCH(TS$1,PortfolioRef[Reference '#]),0),AssetMonthlyReturns[[#This Row],[SPY]:[PE]])</f>
        <v>1.7421354580643103E-2</v>
      </c>
      <c r="TT13" s="27">
        <f>IF(ISNUMBER(TT12),TT12*(1+PortfolioFrontier[[#This Row],[P135 Return]]),1+PortfolioFrontier[[#This Row],[P135 Return]])</f>
        <v>1.0604441225028274</v>
      </c>
      <c r="TU13" s="27">
        <f>MAX(TU12,PortfolioFrontier[[#This Row],[P135 Growth]])</f>
        <v>1.0634382574598751</v>
      </c>
      <c r="TV13" s="27">
        <f>PortfolioFrontier[[#This Row],[P135 Growth]]/PortfolioFrontier[[#This Row],[P135 HWM]]-1</f>
        <v>-2.8155230790731789E-3</v>
      </c>
      <c r="TW13" s="28">
        <f>SUMPRODUCT(INDEX(PortfolioRef[[SPY]:[PE]],MATCH(TW$1,PortfolioRef[Reference '#]),0),AssetMonthlyReturns[[#This Row],[SPY]:[PE]])</f>
        <v>2.4318345454457324E-2</v>
      </c>
      <c r="TX13" s="27">
        <f>IF(ISNUMBER(TX12),TX12*(1+PortfolioFrontier[[#This Row],[P136 Return]]),1+PortfolioFrontier[[#This Row],[P136 Return]])</f>
        <v>1.0695165968366758</v>
      </c>
      <c r="TY13" s="27">
        <f>MAX(TY12,PortfolioFrontier[[#This Row],[P136 Growth]])</f>
        <v>1.0778479758950288</v>
      </c>
      <c r="TZ13" s="27">
        <f>PortfolioFrontier[[#This Row],[P136 Growth]]/PortfolioFrontier[[#This Row],[P136 HWM]]-1</f>
        <v>-7.7296420688963696E-3</v>
      </c>
      <c r="UA13" s="28">
        <f>SUMPRODUCT(INDEX(PortfolioRef[[SPY]:[PE]],MATCH(UA$1,PortfolioRef[Reference '#]),0),AssetMonthlyReturns[[#This Row],[SPY]:[PE]])</f>
        <v>2.0950793647699993E-2</v>
      </c>
      <c r="UB13" s="27">
        <f>IF(ISNUMBER(UB12),UB12*(1+PortfolioFrontier[[#This Row],[P137 Return]]),1+PortfolioFrontier[[#This Row],[P137 Return]])</f>
        <v>1.0679001998705537</v>
      </c>
      <c r="UC13" s="27">
        <f>MAX(UC12,PortfolioFrontier[[#This Row],[P137 Growth]])</f>
        <v>1.0729296445539775</v>
      </c>
      <c r="UD13" s="27">
        <f>PortfolioFrontier[[#This Row],[P137 Growth]]/PortfolioFrontier[[#This Row],[P137 HWM]]-1</f>
        <v>-4.6875810627029502E-3</v>
      </c>
      <c r="UE13" s="28">
        <f>SUMPRODUCT(INDEX(PortfolioRef[[SPY]:[PE]],MATCH(UE$1,PortfolioRef[Reference '#]),0),AssetMonthlyReturns[[#This Row],[SPY]:[PE]])</f>
        <v>1.7583241840942666E-2</v>
      </c>
      <c r="UF13" s="27">
        <f>IF(ISNUMBER(UF12),UF12*(1+PortfolioFrontier[[#This Row],[P138 Return]]),1+PortfolioFrontier[[#This Row],[P138 Return]])</f>
        <v>1.0662378329834901</v>
      </c>
      <c r="UG13" s="27">
        <f>MAX(UG12,PortfolioFrontier[[#This Row],[P138 Growth]])</f>
        <v>1.0680235177995143</v>
      </c>
      <c r="UH13" s="27">
        <f>PortfolioFrontier[[#This Row],[P138 Growth]]/PortfolioFrontier[[#This Row],[P138 HWM]]-1</f>
        <v>-1.6719527110258259E-3</v>
      </c>
      <c r="UI13" s="28">
        <f>SUMPRODUCT(INDEX(PortfolioRef[[SPY]:[PE]],MATCH(UI$1,PortfolioRef[Reference '#]),0),AssetMonthlyReturns[[#This Row],[SPY]:[PE]])</f>
        <v>2.448023271475689E-2</v>
      </c>
      <c r="UJ13" s="27">
        <f>IF(ISNUMBER(UJ12),UJ12*(1+PortfolioFrontier[[#This Row],[P139 Return]]),1+PortfolioFrontier[[#This Row],[P139 Return]])</f>
        <v>1.0752924272248194</v>
      </c>
      <c r="UK13" s="27">
        <f>MAX(UK12,PortfolioFrontier[[#This Row],[P139 Growth]])</f>
        <v>1.0824684769452779</v>
      </c>
      <c r="UL13" s="27">
        <f>PortfolioFrontier[[#This Row],[P139 Growth]]/PortfolioFrontier[[#This Row],[P139 HWM]]-1</f>
        <v>-6.6293382886394303E-3</v>
      </c>
      <c r="UM13" s="28">
        <f>SUMPRODUCT(INDEX(PortfolioRef[[SPY]:[PE]],MATCH(UM$1,PortfolioRef[Reference '#]),0),AssetMonthlyReturns[[#This Row],[SPY]:[PE]])</f>
        <v>2.1112680907999559E-2</v>
      </c>
      <c r="UN13" s="27">
        <f>IF(ISNUMBER(UN12),UN12*(1+PortfolioFrontier[[#This Row],[P140 Return]]),1+PortfolioFrontier[[#This Row],[P140 Return]])</f>
        <v>1.0736765594726037</v>
      </c>
      <c r="UO13" s="27">
        <f>MAX(UO12,PortfolioFrontier[[#This Row],[P140 Growth]])</f>
        <v>1.0775305604276091</v>
      </c>
      <c r="UP13" s="27">
        <f>PortfolioFrontier[[#This Row],[P140 Growth]]/PortfolioFrontier[[#This Row],[P140 HWM]]-1</f>
        <v>-3.5766975866337036E-3</v>
      </c>
      <c r="UQ13" s="28">
        <f>SUMPRODUCT(INDEX(PortfolioRef[[SPY]:[PE]],MATCH(UQ$1,PortfolioRef[Reference '#]),0),AssetMonthlyReturns[[#This Row],[SPY]:[PE]])</f>
        <v>1.7745129101242232E-2</v>
      </c>
      <c r="UR13" s="27">
        <f>IF(ISNUMBER(UR12),UR12*(1+PortfolioFrontier[[#This Row],[P141 Return]]),1+PortfolioFrontier[[#This Row],[P141 Return]])</f>
        <v>1.0720144114145036</v>
      </c>
      <c r="US13" s="27">
        <f>MAX(US12,PortfolioFrontier[[#This Row],[P141 Growth]])</f>
        <v>1.0726048738236913</v>
      </c>
      <c r="UT13" s="27">
        <f>PortfolioFrontier[[#This Row],[P141 Growth]]/PortfolioFrontier[[#This Row],[P141 HWM]]-1</f>
        <v>-5.5049387113337289E-4</v>
      </c>
    </row>
    <row r="14" spans="1:566" x14ac:dyDescent="0.2">
      <c r="B14" s="41">
        <f>AssetMonthlyReturns[[#This Row],[Date]]</f>
        <v>42795</v>
      </c>
      <c r="C14" s="28">
        <f>SUMPRODUCT(INDEX(PortfolioRef[[SPY]:[PE]],MATCH(C$1,PortfolioRef[Reference '#]),0),AssetMonthlyReturns[[#This Row],[SPY]:[PE]])</f>
        <v>-8.1915405927863623E-3</v>
      </c>
      <c r="D14" s="29">
        <f>IF(ISNUMBER(D13),D13*(1+PortfolioFrontier[[#This Row],[P1 Return]]),1+PortfolioFrontier[[#This Row],[P1 Return]])</f>
        <v>1.0904482184857869</v>
      </c>
      <c r="E14" s="29">
        <f>MAX(E13,PortfolioFrontier[[#This Row],[P1 Growth]])</f>
        <v>1.0994544441953322</v>
      </c>
      <c r="F14" s="29">
        <f>PortfolioFrontier[[#This Row],[P1 Growth]]/PortfolioFrontier[[#This Row],[P1 HWM]]-1</f>
        <v>-8.1915405927862617E-3</v>
      </c>
      <c r="G14" s="28">
        <f>SUMPRODUCT(INDEX(PortfolioRef[[SPY]:[PE]],MATCH(G$1,PortfolioRef[Reference '#]),0),AssetMonthlyReturns[[#This Row],[SPY]:[PE]])</f>
        <v>-8.0653139074586266E-3</v>
      </c>
      <c r="H14" s="27">
        <f>IF(ISNUMBER(H13),H13*(1+PortfolioFrontier[[#This Row],[P2 Return]]),1+PortfolioFrontier[[#This Row],[P2 Return]])</f>
        <v>1.0823224271807337</v>
      </c>
      <c r="I14" s="27">
        <f>MAX(I13,PortfolioFrontier[[#This Row],[P2 Growth]])</f>
        <v>1.0911226740585618</v>
      </c>
      <c r="J14" s="27">
        <f>PortfolioFrontier[[#This Row],[P2 Growth]]/PortfolioFrontier[[#This Row],[P2 HWM]]-1</f>
        <v>-8.0653139074587932E-3</v>
      </c>
      <c r="K14" s="28">
        <f>SUMPRODUCT(INDEX(PortfolioRef[[SPY]:[PE]],MATCH(K$1,PortfolioRef[Reference '#]),0),AssetMonthlyReturns[[#This Row],[SPY]:[PE]])</f>
        <v>-8.2510536547818654E-3</v>
      </c>
      <c r="L14" s="27">
        <f>IF(ISNUMBER(L13),L13*(1+PortfolioFrontier[[#This Row],[P3 Return]]),1+PortfolioFrontier[[#This Row],[P3 Return]])</f>
        <v>1.0806155027822359</v>
      </c>
      <c r="M14" s="27">
        <f>MAX(M13,PortfolioFrontier[[#This Row],[P3 Growth]])</f>
        <v>1.0896058995217568</v>
      </c>
      <c r="N14" s="27">
        <f>PortfolioFrontier[[#This Row],[P3 Growth]]/PortfolioFrontier[[#This Row],[P3 HWM]]-1</f>
        <v>-8.251053654781848E-3</v>
      </c>
      <c r="O14" s="28">
        <f>SUMPRODUCT(INDEX(PortfolioRef[[SPY]:[PE]],MATCH(O$1,PortfolioRef[Reference '#]),0),AssetMonthlyReturns[[#This Row],[SPY]:[PE]])</f>
        <v>-9.6029781747590977E-3</v>
      </c>
      <c r="P14" s="27">
        <f>IF(ISNUMBER(P13),P13*(1+PortfolioFrontier[[#This Row],[P4 Return]]),1+PortfolioFrontier[[#This Row],[P4 Return]])</f>
        <v>1.0849407485147606</v>
      </c>
      <c r="Q14" s="27">
        <f>MAX(Q13,PortfolioFrontier[[#This Row],[P4 Growth]])</f>
        <v>1.0954604311261775</v>
      </c>
      <c r="R14" s="27">
        <f>PortfolioFrontier[[#This Row],[P4 Growth]]/PortfolioFrontier[[#This Row],[P4 HWM]]-1</f>
        <v>-9.6029781747590803E-3</v>
      </c>
      <c r="S14" s="28">
        <f>SUMPRODUCT(INDEX(PortfolioRef[[SPY]:[PE]],MATCH(S$1,PortfolioRef[Reference '#]),0),AssetMonthlyReturns[[#This Row],[SPY]:[PE]])</f>
        <v>-9.462098252645372E-3</v>
      </c>
      <c r="T14" s="27">
        <f>IF(ISNUMBER(T13),T13*(1+PortfolioFrontier[[#This Row],[P5 Return]]),1+PortfolioFrontier[[#This Row],[P5 Return]])</f>
        <v>1.0833299023760499</v>
      </c>
      <c r="U14" s="27">
        <f>MAX(U13,PortfolioFrontier[[#This Row],[P5 Growth]])</f>
        <v>1.0936783948044853</v>
      </c>
      <c r="V14" s="27">
        <f>PortfolioFrontier[[#This Row],[P5 Growth]]/PortfolioFrontier[[#This Row],[P5 HWM]]-1</f>
        <v>-9.4620982526452124E-3</v>
      </c>
      <c r="W14" s="28">
        <f>SUMPRODUCT(INDEX(PortfolioRef[[SPY]:[PE]],MATCH(W$1,PortfolioRef[Reference '#]),0),AssetMonthlyReturns[[#This Row],[SPY]:[PE]])</f>
        <v>-7.939087222130891E-3</v>
      </c>
      <c r="X14" s="27">
        <f>IF(ISNUMBER(X13),X13*(1+PortfolioFrontier[[#This Row],[P6 Return]]),1+PortfolioFrontier[[#This Row],[P6 Return]])</f>
        <v>1.0742369327957373</v>
      </c>
      <c r="Y14" s="27">
        <f>MAX(Y13,PortfolioFrontier[[#This Row],[P6 Growth]])</f>
        <v>1.0828336435388499</v>
      </c>
      <c r="Z14" s="27">
        <f>PortfolioFrontier[[#This Row],[P6 Growth]]/PortfolioFrontier[[#This Row],[P6 HWM]]-1</f>
        <v>-7.9390872221307696E-3</v>
      </c>
      <c r="AA14" s="28">
        <f>SUMPRODUCT(INDEX(PortfolioRef[[SPY]:[PE]],MATCH(AA$1,PortfolioRef[Reference '#]),0),AssetMonthlyReturns[[#This Row],[SPY]:[PE]])</f>
        <v>-8.1248269694541297E-3</v>
      </c>
      <c r="AB14" s="27">
        <f>IF(ISNUMBER(AB13),AB13*(1+PortfolioFrontier[[#This Row],[P7 Return]]),1+PortfolioFrontier[[#This Row],[P7 Return]])</f>
        <v>1.0725316004489396</v>
      </c>
      <c r="AC14" s="27">
        <f>MAX(AC13,PortfolioFrontier[[#This Row],[P7 Growth]])</f>
        <v>1.0813171149066656</v>
      </c>
      <c r="AD14" s="27">
        <f>PortfolioFrontier[[#This Row],[P7 Growth]]/PortfolioFrontier[[#This Row],[P7 HWM]]-1</f>
        <v>-8.1248269694541575E-3</v>
      </c>
      <c r="AE14" s="28">
        <f>SUMPRODUCT(INDEX(PortfolioRef[[SPY]:[PE]],MATCH(AE$1,PortfolioRef[Reference '#]),0),AssetMonthlyReturns[[#This Row],[SPY]:[PE]])</f>
        <v>-9.476751489431362E-3</v>
      </c>
      <c r="AF14" s="27">
        <f>IF(ISNUMBER(AF13),AF13*(1+PortfolioFrontier[[#This Row],[P8 Return]]),1+PortfolioFrontier[[#This Row],[P8 Return]])</f>
        <v>1.0768453251358603</v>
      </c>
      <c r="AG14" s="27">
        <f>MAX(AG13,PortfolioFrontier[[#This Row],[P8 Growth]])</f>
        <v>1.0871479561485231</v>
      </c>
      <c r="AH14" s="27">
        <f>PortfolioFrontier[[#This Row],[P8 Growth]]/PortfolioFrontier[[#This Row],[P8 HWM]]-1</f>
        <v>-9.4767514894313898E-3</v>
      </c>
      <c r="AI14" s="28">
        <f>SUMPRODUCT(INDEX(PortfolioRef[[SPY]:[PE]],MATCH(AI$1,PortfolioRef[Reference '#]),0),AssetMonthlyReturns[[#This Row],[SPY]:[PE]])</f>
        <v>-9.3358715673176381E-3</v>
      </c>
      <c r="AJ14" s="27">
        <f>IF(ISNUMBER(AJ13),AJ13*(1+PortfolioFrontier[[#This Row],[P9 Return]]),1+PortfolioFrontier[[#This Row],[P9 Return]])</f>
        <v>1.0752415468458132</v>
      </c>
      <c r="AK14" s="27">
        <f>MAX(AK13,PortfolioFrontier[[#This Row],[P9 Growth]])</f>
        <v>1.0853744634389253</v>
      </c>
      <c r="AL14" s="27">
        <f>PortfolioFrontier[[#This Row],[P9 Growth]]/PortfolioFrontier[[#This Row],[P9 HWM]]-1</f>
        <v>-9.3358715673176329E-3</v>
      </c>
      <c r="AM14" s="28">
        <f>SUMPRODUCT(INDEX(PortfolioRef[[SPY]:[PE]],MATCH(AM$1,PortfolioRef[Reference '#]),0),AssetMonthlyReturns[[#This Row],[SPY]:[PE]])</f>
        <v>-8.3105667167773685E-3</v>
      </c>
      <c r="AN14" s="27">
        <f>IF(ISNUMBER(AN13),AN13*(1+PortfolioFrontier[[#This Row],[P10 Return]]),1+PortfolioFrontier[[#This Row],[P10 Return]])</f>
        <v>1.0707838909359655</v>
      </c>
      <c r="AO14" s="27">
        <f>MAX(AO13,PortfolioFrontier[[#This Row],[P10 Growth]])</f>
        <v>1.0797572858983502</v>
      </c>
      <c r="AP14" s="27">
        <f>PortfolioFrontier[[#This Row],[P10 Growth]]/PortfolioFrontier[[#This Row],[P10 HWM]]-1</f>
        <v>-8.3105667167773234E-3</v>
      </c>
      <c r="AQ14" s="28">
        <f>SUMPRODUCT(INDEX(PortfolioRef[[SPY]:[PE]],MATCH(AQ$1,PortfolioRef[Reference '#]),0),AssetMonthlyReturns[[#This Row],[SPY]:[PE]])</f>
        <v>-9.6624912367546008E-3</v>
      </c>
      <c r="AR14" s="27">
        <f>IF(ISNUMBER(AR13),AR13*(1+PortfolioFrontier[[#This Row],[P11 Return]]),1+PortfolioFrontier[[#This Row],[P11 Return]])</f>
        <v>1.0751241770139668</v>
      </c>
      <c r="AS14" s="27">
        <f>MAX(AS13,PortfolioFrontier[[#This Row],[P11 Growth]])</f>
        <v>1.0856139119244355</v>
      </c>
      <c r="AT14" s="27">
        <f>PortfolioFrontier[[#This Row],[P11 Growth]]/PortfolioFrontier[[#This Row],[P11 HWM]]-1</f>
        <v>-9.6624912367545557E-3</v>
      </c>
      <c r="AU14" s="28">
        <f>SUMPRODUCT(INDEX(PortfolioRef[[SPY]:[PE]],MATCH(AU$1,PortfolioRef[Reference '#]),0),AssetMonthlyReturns[[#This Row],[SPY]:[PE]])</f>
        <v>-9.5216113146408751E-3</v>
      </c>
      <c r="AV14" s="27">
        <f>IF(ISNUMBER(AV13),AV13*(1+PortfolioFrontier[[#This Row],[P12 Return]]),1+PortfolioFrontier[[#This Row],[P12 Return]])</f>
        <v>1.0735454227826668</v>
      </c>
      <c r="AW14" s="27">
        <f>MAX(AW13,PortfolioFrontier[[#This Row],[P12 Growth]])</f>
        <v>1.0838655694523136</v>
      </c>
      <c r="AX14" s="27">
        <f>PortfolioFrontier[[#This Row],[P12 Growth]]/PortfolioFrontier[[#This Row],[P12 HWM]]-1</f>
        <v>-9.5216113146407988E-3</v>
      </c>
      <c r="AY14" s="28">
        <f>SUMPRODUCT(INDEX(PortfolioRef[[SPY]:[PE]],MATCH(AY$1,PortfolioRef[Reference '#]),0),AssetMonthlyReturns[[#This Row],[SPY]:[PE]])</f>
        <v>-1.1014415756731833E-2</v>
      </c>
      <c r="AZ14" s="27">
        <f>IF(ISNUMBER(AZ13),AZ13*(1+PortfolioFrontier[[#This Row],[P13 Return]]),1+PortfolioFrontier[[#This Row],[P13 Return]])</f>
        <v>1.0794311890558168</v>
      </c>
      <c r="BA14" s="27">
        <f>MAX(BA13,PortfolioFrontier[[#This Row],[P13 Growth]])</f>
        <v>1.0914529051318316</v>
      </c>
      <c r="BB14" s="27">
        <f>PortfolioFrontier[[#This Row],[P13 Growth]]/PortfolioFrontier[[#This Row],[P13 HWM]]-1</f>
        <v>-1.1014415756731788E-2</v>
      </c>
      <c r="BC14" s="28">
        <f>SUMPRODUCT(INDEX(PortfolioRef[[SPY]:[PE]],MATCH(BC$1,PortfolioRef[Reference '#]),0),AssetMonthlyReturns[[#This Row],[SPY]:[PE]])</f>
        <v>-1.0873535834618107E-2</v>
      </c>
      <c r="BD14" s="27">
        <f>IF(ISNUMBER(BD13),BD13*(1+PortfolioFrontier[[#This Row],[P14 Return]]),1+PortfolioFrontier[[#This Row],[P14 Return]])</f>
        <v>1.0778555014501177</v>
      </c>
      <c r="BE14" s="27">
        <f>MAX(BE13,PortfolioFrontier[[#This Row],[P14 Growth]])</f>
        <v>1.0897044417465918</v>
      </c>
      <c r="BF14" s="27">
        <f>PortfolioFrontier[[#This Row],[P14 Growth]]/PortfolioFrontier[[#This Row],[P14 HWM]]-1</f>
        <v>-1.0873535834618142E-2</v>
      </c>
      <c r="BG14" s="28">
        <f>SUMPRODUCT(INDEX(PortfolioRef[[SPY]:[PE]],MATCH(BG$1,PortfolioRef[Reference '#]),0),AssetMonthlyReturns[[#This Row],[SPY]:[PE]])</f>
        <v>-1.0732655912504385E-2</v>
      </c>
      <c r="BH14" s="27">
        <f>IF(ISNUMBER(BH13),BH13*(1+PortfolioFrontier[[#This Row],[P15 Return]]),1+PortfolioFrontier[[#This Row],[P15 Return]])</f>
        <v>1.0762333584443766</v>
      </c>
      <c r="BI14" s="27">
        <f>MAX(BI13,PortfolioFrontier[[#This Row],[P15 Growth]])</f>
        <v>1.0879095169537805</v>
      </c>
      <c r="BJ14" s="27">
        <f>PortfolioFrontier[[#This Row],[P15 Growth]]/PortfolioFrontier[[#This Row],[P15 HWM]]-1</f>
        <v>-1.0732655912504496E-2</v>
      </c>
      <c r="BK14" s="28">
        <f>SUMPRODUCT(INDEX(PortfolioRef[[SPY]:[PE]],MATCH(BK$1,PortfolioRef[Reference '#]),0),AssetMonthlyReturns[[#This Row],[SPY]:[PE]])</f>
        <v>-7.8128605368031571E-3</v>
      </c>
      <c r="BL14" s="27">
        <f>IF(ISNUMBER(BL13),BL13*(1+PortfolioFrontier[[#This Row],[P16 Return]]),1+PortfolioFrontier[[#This Row],[P16 Return]])</f>
        <v>1.0661916499779902</v>
      </c>
      <c r="BM14" s="27">
        <f>MAX(BM13,PortfolioFrontier[[#This Row],[P16 Growth]])</f>
        <v>1.0745872502992047</v>
      </c>
      <c r="BN14" s="27">
        <f>PortfolioFrontier[[#This Row],[P16 Growth]]/PortfolioFrontier[[#This Row],[P16 HWM]]-1</f>
        <v>-7.812860536803079E-3</v>
      </c>
      <c r="BO14" s="28">
        <f>SUMPRODUCT(INDEX(PortfolioRef[[SPY]:[PE]],MATCH(BO$1,PortfolioRef[Reference '#]),0),AssetMonthlyReturns[[#This Row],[SPY]:[PE]])</f>
        <v>-7.9986002841263941E-3</v>
      </c>
      <c r="BP14" s="27">
        <f>IF(ISNUMBER(BP13),BP13*(1+PortfolioFrontier[[#This Row],[P17 Return]]),1+PortfolioFrontier[[#This Row],[P17 Return]])</f>
        <v>1.0644879715765017</v>
      </c>
      <c r="BQ14" s="27">
        <f>MAX(BQ13,PortfolioFrontier[[#This Row],[P17 Growth]])</f>
        <v>1.0730710378850166</v>
      </c>
      <c r="BR14" s="27">
        <f>PortfolioFrontier[[#This Row],[P17 Growth]]/PortfolioFrontier[[#This Row],[P17 HWM]]-1</f>
        <v>-7.9986002841263559E-3</v>
      </c>
      <c r="BS14" s="28">
        <f>SUMPRODUCT(INDEX(PortfolioRef[[SPY]:[PE]],MATCH(BS$1,PortfolioRef[Reference '#]),0),AssetMonthlyReturns[[#This Row],[SPY]:[PE]])</f>
        <v>-9.3505248041036264E-3</v>
      </c>
      <c r="BT14" s="27">
        <f>IF(ISNUMBER(BT13),BT13*(1+PortfolioFrontier[[#This Row],[P18 Return]]),1+PortfolioFrontier[[#This Row],[P18 Return]])</f>
        <v>1.0687901078783419</v>
      </c>
      <c r="BU14" s="27">
        <f>MAX(BU13,PortfolioFrontier[[#This Row],[P18 Growth]])</f>
        <v>1.0788781851088081</v>
      </c>
      <c r="BV14" s="27">
        <f>PortfolioFrontier[[#This Row],[P18 Growth]]/PortfolioFrontier[[#This Row],[P18 HWM]]-1</f>
        <v>-9.3505248041035882E-3</v>
      </c>
      <c r="BW14" s="28">
        <f>SUMPRODUCT(INDEX(PortfolioRef[[SPY]:[PE]],MATCH(BW$1,PortfolioRef[Reference '#]),0),AssetMonthlyReturns[[#This Row],[SPY]:[PE]])</f>
        <v>-9.2096448819899042E-3</v>
      </c>
      <c r="BX14" s="27">
        <f>IF(ISNUMBER(BX13),BX13*(1+PortfolioFrontier[[#This Row],[P19 Return]]),1+PortfolioFrontier[[#This Row],[P19 Return]])</f>
        <v>1.0671933913557161</v>
      </c>
      <c r="BY14" s="27">
        <f>MAX(BY13,PortfolioFrontier[[#This Row],[P19 Growth]])</f>
        <v>1.0771132216245747</v>
      </c>
      <c r="BZ14" s="27">
        <f>PortfolioFrontier[[#This Row],[P19 Growth]]/PortfolioFrontier[[#This Row],[P19 HWM]]-1</f>
        <v>-9.2096448819900534E-3</v>
      </c>
      <c r="CA14" s="28">
        <f>SUMPRODUCT(INDEX(PortfolioRef[[SPY]:[PE]],MATCH(CA$1,PortfolioRef[Reference '#]),0),AssetMonthlyReturns[[#This Row],[SPY]:[PE]])</f>
        <v>-8.1843400314496328E-3</v>
      </c>
      <c r="CB14" s="27">
        <f>IF(ISNUMBER(CB13),CB13*(1+PortfolioFrontier[[#This Row],[P20 Return]]),1+PortfolioFrontier[[#This Row],[P20 Return]])</f>
        <v>1.0627422023904467</v>
      </c>
      <c r="CC14" s="27">
        <f>MAX(CC13,PortfolioFrontier[[#This Row],[P20 Growth]])</f>
        <v>1.0715118194686957</v>
      </c>
      <c r="CD14" s="27">
        <f>PortfolioFrontier[[#This Row],[P20 Growth]]/PortfolioFrontier[[#This Row],[P20 HWM]]-1</f>
        <v>-8.1843400314495218E-3</v>
      </c>
      <c r="CE14" s="28">
        <f>SUMPRODUCT(INDEX(PortfolioRef[[SPY]:[PE]],MATCH(CE$1,PortfolioRef[Reference '#]),0),AssetMonthlyReturns[[#This Row],[SPY]:[PE]])</f>
        <v>-9.5362645514268651E-3</v>
      </c>
      <c r="CF14" s="27">
        <f>IF(ISNUMBER(CF13),CF13*(1+PortfolioFrontier[[#This Row],[P21 Return]]),1+PortfolioFrontier[[#This Row],[P21 Return]])</f>
        <v>1.0670707055548228</v>
      </c>
      <c r="CG14" s="27">
        <f>MAX(CG13,PortfolioFrontier[[#This Row],[P21 Growth]])</f>
        <v>1.077344548179298</v>
      </c>
      <c r="CH14" s="27">
        <f>PortfolioFrontier[[#This Row],[P21 Growth]]/PortfolioFrontier[[#This Row],[P21 HWM]]-1</f>
        <v>-9.5362645514268651E-3</v>
      </c>
      <c r="CI14" s="28">
        <f>SUMPRODUCT(INDEX(PortfolioRef[[SPY]:[PE]],MATCH(CI$1,PortfolioRef[Reference '#]),0),AssetMonthlyReturns[[#This Row],[SPY]:[PE]])</f>
        <v>-9.3953846293131412E-3</v>
      </c>
      <c r="CJ14" s="27">
        <f>IF(ISNUMBER(CJ13),CJ13*(1+PortfolioFrontier[[#This Row],[P22 Return]]),1+PortfolioFrontier[[#This Row],[P22 Return]])</f>
        <v>1.0654988534461325</v>
      </c>
      <c r="CK14" s="27">
        <f>MAX(CK13,PortfolioFrontier[[#This Row],[P22 Growth]])</f>
        <v>1.075604572110155</v>
      </c>
      <c r="CL14" s="27">
        <f>PortfolioFrontier[[#This Row],[P22 Growth]]/PortfolioFrontier[[#This Row],[P22 HWM]]-1</f>
        <v>-9.3953846293129972E-3</v>
      </c>
      <c r="CM14" s="28">
        <f>SUMPRODUCT(INDEX(PortfolioRef[[SPY]:[PE]],MATCH(CM$1,PortfolioRef[Reference '#]),0),AssetMonthlyReturns[[#This Row],[SPY]:[PE]])</f>
        <v>-1.0888189071404097E-2</v>
      </c>
      <c r="CN14" s="27">
        <f>IF(ISNUMBER(CN13),CN13*(1+PortfolioFrontier[[#This Row],[P23 Return]]),1+PortfolioFrontier[[#This Row],[P23 Return]])</f>
        <v>1.0713662294936597</v>
      </c>
      <c r="CO14" s="27">
        <f>MAX(CO13,PortfolioFrontier[[#This Row],[P23 Growth]])</f>
        <v>1.0831598790513297</v>
      </c>
      <c r="CP14" s="27">
        <f>PortfolioFrontier[[#This Row],[P23 Growth]]/PortfolioFrontier[[#This Row],[P23 HWM]]-1</f>
        <v>-1.0888189071404097E-2</v>
      </c>
      <c r="CQ14" s="28">
        <f>SUMPRODUCT(INDEX(PortfolioRef[[SPY]:[PE]],MATCH(CQ$1,PortfolioRef[Reference '#]),0),AssetMonthlyReturns[[#This Row],[SPY]:[PE]])</f>
        <v>-1.0747309149290373E-2</v>
      </c>
      <c r="CR14" s="27">
        <f>IF(ISNUMBER(CR13),CR13*(1+PortfolioFrontier[[#This Row],[P24 Return]]),1+PortfolioFrontier[[#This Row],[P24 Return]])</f>
        <v>1.0697973799160949</v>
      </c>
      <c r="CS14" s="27">
        <f>MAX(CS13,PortfolioFrontier[[#This Row],[P24 Growth]])</f>
        <v>1.0814197320970851</v>
      </c>
      <c r="CT14" s="27">
        <f>PortfolioFrontier[[#This Row],[P24 Growth]]/PortfolioFrontier[[#This Row],[P24 HWM]]-1</f>
        <v>-1.0747309149290341E-2</v>
      </c>
      <c r="CU14" s="28">
        <f>SUMPRODUCT(INDEX(PortfolioRef[[SPY]:[PE]],MATCH(CU$1,PortfolioRef[Reference '#]),0),AssetMonthlyReturns[[#This Row],[SPY]:[PE]])</f>
        <v>-1.060642922717665E-2</v>
      </c>
      <c r="CV14" s="27">
        <f>IF(ISNUMBER(CV13),CV13*(1+PortfolioFrontier[[#This Row],[P25 Return]]),1+PortfolioFrontier[[#This Row],[P25 Return]])</f>
        <v>1.0681824077760875</v>
      </c>
      <c r="CW14" s="27">
        <f>MAX(CW13,PortfolioFrontier[[#This Row],[P25 Growth]])</f>
        <v>1.0796334637001144</v>
      </c>
      <c r="CX14" s="27">
        <f>PortfolioFrontier[[#This Row],[P25 Growth]]/PortfolioFrontier[[#This Row],[P25 HWM]]-1</f>
        <v>-1.0606429227176695E-2</v>
      </c>
      <c r="CY14" s="28">
        <f>SUMPRODUCT(INDEX(PortfolioRef[[SPY]:[PE]],MATCH(CY$1,PortfolioRef[Reference '#]),0),AssetMonthlyReturns[[#This Row],[SPY]:[PE]])</f>
        <v>-9.7220042987501039E-3</v>
      </c>
      <c r="CZ14" s="27">
        <f>IF(ISNUMBER(CZ13),CZ13*(1+PortfolioFrontier[[#This Row],[P26 Return]]),1+PortfolioFrontier[[#This Row],[P26 Return]])</f>
        <v>1.0653092314027202</v>
      </c>
      <c r="DA14" s="27">
        <f>MAX(DA13,PortfolioFrontier[[#This Row],[P26 Growth]])</f>
        <v>1.0757678510753317</v>
      </c>
      <c r="DB14" s="27">
        <f>PortfolioFrontier[[#This Row],[P26 Growth]]/PortfolioFrontier[[#This Row],[P26 HWM]]-1</f>
        <v>-9.722004298750142E-3</v>
      </c>
      <c r="DC14" s="28">
        <f>SUMPRODUCT(INDEX(PortfolioRef[[SPY]:[PE]],MATCH(DC$1,PortfolioRef[Reference '#]),0),AssetMonthlyReturns[[#This Row],[SPY]:[PE]])</f>
        <v>-9.5811243766363782E-3</v>
      </c>
      <c r="DD14" s="27">
        <f>IF(ISNUMBER(DD13),DD13*(1+PortfolioFrontier[[#This Row],[P27 Return]]),1+PortfolioFrontier[[#This Row],[P27 Return]])</f>
        <v>1.0637621551770065</v>
      </c>
      <c r="DE14" s="27">
        <f>MAX(DE13,PortfolioFrontier[[#This Row],[P27 Growth]])</f>
        <v>1.074052788530995</v>
      </c>
      <c r="DF14" s="27">
        <f>PortfolioFrontier[[#This Row],[P27 Growth]]/PortfolioFrontier[[#This Row],[P27 HWM]]-1</f>
        <v>-9.5811243766362741E-3</v>
      </c>
      <c r="DG14" s="28">
        <f>SUMPRODUCT(INDEX(PortfolioRef[[SPY]:[PE]],MATCH(DG$1,PortfolioRef[Reference '#]),0),AssetMonthlyReturns[[#This Row],[SPY]:[PE]])</f>
        <v>-1.1073928818727336E-2</v>
      </c>
      <c r="DH14" s="27">
        <f>IF(ISNUMBER(DH13),DH13*(1+PortfolioFrontier[[#This Row],[P28 Return]]),1+PortfolioFrontier[[#This Row],[P28 Return]])</f>
        <v>1.0696310938268936</v>
      </c>
      <c r="DI14" s="27">
        <f>MAX(DI13,PortfolioFrontier[[#This Row],[P28 Growth]])</f>
        <v>1.0816087521580038</v>
      </c>
      <c r="DJ14" s="27">
        <f>PortfolioFrontier[[#This Row],[P28 Growth]]/PortfolioFrontier[[#This Row],[P28 HWM]]-1</f>
        <v>-1.1073928818727263E-2</v>
      </c>
      <c r="DK14" s="28">
        <f>SUMPRODUCT(INDEX(PortfolioRef[[SPY]:[PE]],MATCH(DK$1,PortfolioRef[Reference '#]),0),AssetMonthlyReturns[[#This Row],[SPY]:[PE]])</f>
        <v>-1.0933048896613611E-2</v>
      </c>
      <c r="DL14" s="27">
        <f>IF(ISNUMBER(DL13),DL13*(1+PortfolioFrontier[[#This Row],[P29 Return]]),1+PortfolioFrontier[[#This Row],[P29 Return]])</f>
        <v>1.068087119293603</v>
      </c>
      <c r="DM14" s="27">
        <f>MAX(DM13,PortfolioFrontier[[#This Row],[P29 Growth]])</f>
        <v>1.0798936493652558</v>
      </c>
      <c r="DN14" s="27">
        <f>PortfolioFrontier[[#This Row],[P29 Growth]]/PortfolioFrontier[[#This Row],[P29 HWM]]-1</f>
        <v>-1.0933048896613506E-2</v>
      </c>
      <c r="DO14" s="28">
        <f>SUMPRODUCT(INDEX(PortfolioRef[[SPY]:[PE]],MATCH(DO$1,PortfolioRef[Reference '#]),0),AssetMonthlyReturns[[#This Row],[SPY]:[PE]])</f>
        <v>-1.0792168974499888E-2</v>
      </c>
      <c r="DP14" s="27">
        <f>IF(ISNUMBER(DP13),DP13*(1+PortfolioFrontier[[#This Row],[P30 Return]]),1+PortfolioFrontier[[#This Row],[P30 Return]])</f>
        <v>1.0664970525444957</v>
      </c>
      <c r="DQ14" s="27">
        <f>MAX(DQ13,PortfolioFrontier[[#This Row],[P30 Growth]])</f>
        <v>1.0781324400140169</v>
      </c>
      <c r="DR14" s="27">
        <f>PortfolioFrontier[[#This Row],[P30 Growth]]/PortfolioFrontier[[#This Row],[P30 HWM]]-1</f>
        <v>-1.0792168974499972E-2</v>
      </c>
      <c r="DS14" s="28">
        <f>SUMPRODUCT(INDEX(PortfolioRef[[SPY]:[PE]],MATCH(DS$1,PortfolioRef[Reference '#]),0),AssetMonthlyReturns[[#This Row],[SPY]:[PE]])</f>
        <v>-1.2425853338704568E-2</v>
      </c>
      <c r="DT14" s="27">
        <f>IF(ISNUMBER(DT13),DT13*(1+PortfolioFrontier[[#This Row],[P31 Return]]),1+PortfolioFrontier[[#This Row],[P31 Return]])</f>
        <v>1.0739198326838328</v>
      </c>
      <c r="DU14" s="27">
        <f>MAX(DU13,PortfolioFrontier[[#This Row],[P31 Growth]])</f>
        <v>1.0874321045305282</v>
      </c>
      <c r="DV14" s="27">
        <f>PortfolioFrontier[[#This Row],[P31 Growth]]/PortfolioFrontier[[#This Row],[P31 HWM]]-1</f>
        <v>-1.2425853338704718E-2</v>
      </c>
      <c r="DW14" s="28">
        <f>SUMPRODUCT(INDEX(PortfolioRef[[SPY]:[PE]],MATCH(DW$1,PortfolioRef[Reference '#]),0),AssetMonthlyReturns[[#This Row],[SPY]:[PE]])</f>
        <v>-1.2284973416590843E-2</v>
      </c>
      <c r="DX14" s="27">
        <f>IF(ISNUMBER(DX13),DX13*(1+PortfolioFrontier[[#This Row],[P32 Return]]),1+PortfolioFrontier[[#This Row],[P32 Return]])</f>
        <v>1.0723790399720308</v>
      </c>
      <c r="DY14" s="27">
        <f>MAX(DY13,PortfolioFrontier[[#This Row],[P32 Growth]])</f>
        <v>1.0857170450078923</v>
      </c>
      <c r="DZ14" s="27">
        <f>PortfolioFrontier[[#This Row],[P32 Growth]]/PortfolioFrontier[[#This Row],[P32 HWM]]-1</f>
        <v>-1.228497341659085E-2</v>
      </c>
      <c r="EA14" s="28">
        <f>SUMPRODUCT(INDEX(PortfolioRef[[SPY]:[PE]],MATCH(EA$1,PortfolioRef[Reference '#]),0),AssetMonthlyReturns[[#This Row],[SPY]:[PE]])</f>
        <v>-1.2144093494477121E-2</v>
      </c>
      <c r="EB14" s="27">
        <f>IF(ISNUMBER(EB13),EB13*(1+PortfolioFrontier[[#This Row],[P33 Return]]),1+PortfolioFrontier[[#This Row],[P33 Return]])</f>
        <v>1.0707919089518483</v>
      </c>
      <c r="EC14" s="27">
        <f>MAX(EC13,PortfolioFrontier[[#This Row],[P33 Growth]])</f>
        <v>1.0839555666976839</v>
      </c>
      <c r="ED14" s="27">
        <f>PortfolioFrontier[[#This Row],[P33 Growth]]/PortfolioFrontier[[#This Row],[P33 HWM]]-1</f>
        <v>-1.2144093494477093E-2</v>
      </c>
      <c r="EE14" s="28">
        <f>SUMPRODUCT(INDEX(PortfolioRef[[SPY]:[PE]],MATCH(EE$1,PortfolioRef[Reference '#]),0),AssetMonthlyReturns[[#This Row],[SPY]:[PE]])</f>
        <v>-7.6866338514754223E-3</v>
      </c>
      <c r="EF14" s="27">
        <f>IF(ISNUMBER(EF13),EF13*(1+PortfolioFrontier[[#This Row],[P34 Return]]),1+PortfolioFrontier[[#This Row],[P34 Return]])</f>
        <v>1.058186492990415</v>
      </c>
      <c r="EG14" s="27">
        <f>MAX(EG13,PortfolioFrontier[[#This Row],[P34 Growth]])</f>
        <v>1.0663833916674572</v>
      </c>
      <c r="EH14" s="27">
        <f>PortfolioFrontier[[#This Row],[P34 Growth]]/PortfolioFrontier[[#This Row],[P34 HWM]]-1</f>
        <v>-7.6866338514753885E-3</v>
      </c>
      <c r="EI14" s="28">
        <f>SUMPRODUCT(INDEX(PortfolioRef[[SPY]:[PE]],MATCH(EI$1,PortfolioRef[Reference '#]),0),AssetMonthlyReturns[[#This Row],[SPY]:[PE]])</f>
        <v>-7.8723735987986602E-3</v>
      </c>
      <c r="EJ14" s="27">
        <f>IF(ISNUMBER(EJ13),EJ13*(1+PortfolioFrontier[[#This Row],[P35 Return]]),1+PortfolioFrontier[[#This Row],[P35 Return]])</f>
        <v>1.056484529726933</v>
      </c>
      <c r="EK14" s="27">
        <f>MAX(EK13,PortfolioFrontier[[#This Row],[P35 Growth]])</f>
        <v>1.0648675650321087</v>
      </c>
      <c r="EL14" s="27">
        <f>PortfolioFrontier[[#This Row],[P35 Growth]]/PortfolioFrontier[[#This Row],[P35 HWM]]-1</f>
        <v>-7.8723735987985544E-3</v>
      </c>
      <c r="EM14" s="28">
        <f>SUMPRODUCT(INDEX(PortfolioRef[[SPY]:[PE]],MATCH(EM$1,PortfolioRef[Reference '#]),0),AssetMonthlyReturns[[#This Row],[SPY]:[PE]])</f>
        <v>-9.2242981187758925E-3</v>
      </c>
      <c r="EN14" s="27">
        <f>IF(ISNUMBER(EN13),EN13*(1+PortfolioFrontier[[#This Row],[P36 Return]]),1+PortfolioFrontier[[#This Row],[P36 Return]])</f>
        <v>1.0607750111520942</v>
      </c>
      <c r="EO14" s="27">
        <f>MAX(EO13,PortfolioFrontier[[#This Row],[P36 Growth]])</f>
        <v>1.0706510152983766</v>
      </c>
      <c r="EP14" s="27">
        <f>PortfolioFrontier[[#This Row],[P36 Growth]]/PortfolioFrontier[[#This Row],[P36 HWM]]-1</f>
        <v>-9.2242981187760087E-3</v>
      </c>
      <c r="EQ14" s="28">
        <f>SUMPRODUCT(INDEX(PortfolioRef[[SPY]:[PE]],MATCH(EQ$1,PortfolioRef[Reference '#]),0),AssetMonthlyReturns[[#This Row],[SPY]:[PE]])</f>
        <v>-9.0834181966621685E-3</v>
      </c>
      <c r="ER14" s="27">
        <f>IF(ISNUMBER(ER13),ER13*(1+PortfolioFrontier[[#This Row],[P37 Return]]),1+PortfolioFrontier[[#This Row],[P37 Return]])</f>
        <v>1.0591853503640014</v>
      </c>
      <c r="ES14" s="27">
        <f>MAX(ES13,PortfolioFrontier[[#This Row],[P37 Growth]])</f>
        <v>1.0688945667216743</v>
      </c>
      <c r="ET14" s="27">
        <f>PortfolioFrontier[[#This Row],[P37 Growth]]/PortfolioFrontier[[#This Row],[P37 HWM]]-1</f>
        <v>-9.0834181966620298E-3</v>
      </c>
      <c r="EU14" s="28">
        <f>SUMPRODUCT(INDEX(PortfolioRef[[SPY]:[PE]],MATCH(EU$1,PortfolioRef[Reference '#]),0),AssetMonthlyReturns[[#This Row],[SPY]:[PE]])</f>
        <v>-8.0581133461218972E-3</v>
      </c>
      <c r="EV14" s="27">
        <f>IF(ISNUMBER(EV13),EV13*(1+PortfolioFrontier[[#This Row],[P38 Return]]),1+PortfolioFrontier[[#This Row],[P38 Return]])</f>
        <v>1.054740760591657</v>
      </c>
      <c r="EW14" s="27">
        <f>MAX(EW13,PortfolioFrontier[[#This Row],[P38 Growth]])</f>
        <v>1.0633090252389872</v>
      </c>
      <c r="EX14" s="27">
        <f>PortfolioFrontier[[#This Row],[P38 Growth]]/PortfolioFrontier[[#This Row],[P38 HWM]]-1</f>
        <v>-8.0581133461219423E-3</v>
      </c>
      <c r="EY14" s="28">
        <f>SUMPRODUCT(INDEX(PortfolioRef[[SPY]:[PE]],MATCH(EY$1,PortfolioRef[Reference '#]),0),AssetMonthlyReturns[[#This Row],[SPY]:[PE]])</f>
        <v>-9.4100378660991295E-3</v>
      </c>
      <c r="EZ14" s="27">
        <f>IF(ISNUMBER(EZ13),EZ13*(1+PortfolioFrontier[[#This Row],[P39 Return]]),1+PortfolioFrontier[[#This Row],[P39 Return]])</f>
        <v>1.0590574152398342</v>
      </c>
      <c r="FA14" s="27">
        <f>MAX(FA13,PortfolioFrontier[[#This Row],[P39 Growth]])</f>
        <v>1.0691178547362248</v>
      </c>
      <c r="FB14" s="27">
        <f>PortfolioFrontier[[#This Row],[P39 Growth]]/PortfolioFrontier[[#This Row],[P39 HWM]]-1</f>
        <v>-9.4100378660991746E-3</v>
      </c>
      <c r="FC14" s="28">
        <f>SUMPRODUCT(INDEX(PortfolioRef[[SPY]:[PE]],MATCH(FC$1,PortfolioRef[Reference '#]),0),AssetMonthlyReturns[[#This Row],[SPY]:[PE]])</f>
        <v>-9.2691579439854073E-3</v>
      </c>
      <c r="FD14" s="27">
        <f>IF(ISNUMBER(FD13),FD13*(1+PortfolioFrontier[[#This Row],[P40 Return]]),1+PortfolioFrontier[[#This Row],[P40 Return]])</f>
        <v>1.0574924602039972</v>
      </c>
      <c r="FE14" s="27">
        <f>MAX(FE13,PortfolioFrontier[[#This Row],[P40 Growth]])</f>
        <v>1.0673862317735416</v>
      </c>
      <c r="FF14" s="27">
        <f>PortfolioFrontier[[#This Row],[P40 Growth]]/PortfolioFrontier[[#This Row],[P40 HWM]]-1</f>
        <v>-9.2691579439854177E-3</v>
      </c>
      <c r="FG14" s="28">
        <f>SUMPRODUCT(INDEX(PortfolioRef[[SPY]:[PE]],MATCH(FG$1,PortfolioRef[Reference '#]),0),AssetMonthlyReturns[[#This Row],[SPY]:[PE]])</f>
        <v>-1.0761962386076362E-2</v>
      </c>
      <c r="FH14" s="27">
        <f>IF(ISNUMBER(FH13),FH13*(1+PortfolioFrontier[[#This Row],[P41 Return]]),1+PortfolioFrontier[[#This Row],[P41 Return]])</f>
        <v>1.063341384145434</v>
      </c>
      <c r="FI14" s="27">
        <f>MAX(FI13,PortfolioFrontier[[#This Row],[P41 Growth]])</f>
        <v>1.0749095199677625</v>
      </c>
      <c r="FJ14" s="27">
        <f>PortfolioFrontier[[#This Row],[P41 Growth]]/PortfolioFrontier[[#This Row],[P41 HWM]]-1</f>
        <v>-1.0761962386076407E-2</v>
      </c>
      <c r="FK14" s="28">
        <f>SUMPRODUCT(INDEX(PortfolioRef[[SPY]:[PE]],MATCH(FK$1,PortfolioRef[Reference '#]),0),AssetMonthlyReturns[[#This Row],[SPY]:[PE]])</f>
        <v>-1.062108246396264E-2</v>
      </c>
      <c r="FL14" s="27">
        <f>IF(ISNUMBER(FL13),FL13*(1+PortfolioFrontier[[#This Row],[P42 Return]]),1+PortfolioFrontier[[#This Row],[P42 Return]])</f>
        <v>1.0617793677734479</v>
      </c>
      <c r="FM14" s="27">
        <f>MAX(FM13,PortfolioFrontier[[#This Row],[P42 Growth]])</f>
        <v>1.0731776763726861</v>
      </c>
      <c r="FN14" s="27">
        <f>PortfolioFrontier[[#This Row],[P42 Growth]]/PortfolioFrontier[[#This Row],[P42 HWM]]-1</f>
        <v>-1.0621082463962761E-2</v>
      </c>
      <c r="FO14" s="28">
        <f>SUMPRODUCT(INDEX(PortfolioRef[[SPY]:[PE]],MATCH(FO$1,PortfolioRef[Reference '#]),0),AssetMonthlyReturns[[#This Row],[SPY]:[PE]])</f>
        <v>-1.0480202541848916E-2</v>
      </c>
      <c r="FP14" s="27">
        <f>IF(ISNUMBER(FP13),FP13*(1+PortfolioFrontier[[#This Row],[P43 Return]]),1+PortfolioFrontier[[#This Row],[P43 Return]])</f>
        <v>1.0601715599573782</v>
      </c>
      <c r="FQ14" s="27">
        <f>MAX(FQ13,PortfolioFrontier[[#This Row],[P43 Growth]])</f>
        <v>1.0714000494792679</v>
      </c>
      <c r="FR14" s="27">
        <f>PortfolioFrontier[[#This Row],[P43 Growth]]/PortfolioFrontier[[#This Row],[P43 HWM]]-1</f>
        <v>-1.0480202541848893E-2</v>
      </c>
      <c r="FS14" s="28">
        <f>SUMPRODUCT(INDEX(PortfolioRef[[SPY]:[PE]],MATCH(FS$1,PortfolioRef[Reference '#]),0),AssetMonthlyReturns[[#This Row],[SPY]:[PE]])</f>
        <v>-9.5957776134223682E-3</v>
      </c>
      <c r="FT14" s="27">
        <f>IF(ISNUMBER(FT13),FT13*(1+PortfolioFrontier[[#This Row],[P44 Return]]),1+PortfolioFrontier[[#This Row],[P44 Return]])</f>
        <v>1.0572980320505661</v>
      </c>
      <c r="FU14" s="27">
        <f>MAX(FU13,PortfolioFrontier[[#This Row],[P44 Growth]])</f>
        <v>1.0675419269748208</v>
      </c>
      <c r="FV14" s="27">
        <f>PortfolioFrontier[[#This Row],[P44 Growth]]/PortfolioFrontier[[#This Row],[P44 HWM]]-1</f>
        <v>-9.5957776134223405E-3</v>
      </c>
      <c r="FW14" s="28">
        <f>SUMPRODUCT(INDEX(PortfolioRef[[SPY]:[PE]],MATCH(FW$1,PortfolioRef[Reference '#]),0),AssetMonthlyReturns[[#This Row],[SPY]:[PE]])</f>
        <v>-9.4548976913086443E-3</v>
      </c>
      <c r="FX14" s="27">
        <f>IF(ISNUMBER(FX13),FX13*(1+PortfolioFrontier[[#This Row],[P45 Return]]),1+PortfolioFrontier[[#This Row],[P45 Return]])</f>
        <v>1.0557576948612151</v>
      </c>
      <c r="FY14" s="27">
        <f>MAX(FY13,PortfolioFrontier[[#This Row],[P45 Growth]])</f>
        <v>1.0658350562740968</v>
      </c>
      <c r="FZ14" s="27">
        <f>PortfolioFrontier[[#This Row],[P45 Growth]]/PortfolioFrontier[[#This Row],[P45 HWM]]-1</f>
        <v>-9.4548976913085836E-3</v>
      </c>
      <c r="GA14" s="28">
        <f>SUMPRODUCT(INDEX(PortfolioRef[[SPY]:[PE]],MATCH(GA$1,PortfolioRef[Reference '#]),0),AssetMonthlyReturns[[#This Row],[SPY]:[PE]])</f>
        <v>-1.0947702133399601E-2</v>
      </c>
      <c r="GB14" s="27">
        <f>IF(ISNUMBER(GB13),GB13*(1+PortfolioFrontier[[#This Row],[P46 Return]]),1+PortfolioFrontier[[#This Row],[P46 Return]])</f>
        <v>1.0616081462478852</v>
      </c>
      <c r="GC14" s="27">
        <f>MAX(GC13,PortfolioFrontier[[#This Row],[P46 Growth]])</f>
        <v>1.073358960428876</v>
      </c>
      <c r="GD14" s="27">
        <f>PortfolioFrontier[[#This Row],[P46 Growth]]/PortfolioFrontier[[#This Row],[P46 HWM]]-1</f>
        <v>-1.0947702133399573E-2</v>
      </c>
      <c r="GE14" s="28">
        <f>SUMPRODUCT(INDEX(PortfolioRef[[SPY]:[PE]],MATCH(GE$1,PortfolioRef[Reference '#]),0),AssetMonthlyReturns[[#This Row],[SPY]:[PE]])</f>
        <v>-1.0806822211285877E-2</v>
      </c>
      <c r="GF14" s="27">
        <f>IF(ISNUMBER(GF13),GF13*(1+PortfolioFrontier[[#This Row],[P47 Return]]),1+PortfolioFrontier[[#This Row],[P47 Return]])</f>
        <v>1.060070846196985</v>
      </c>
      <c r="GG14" s="27">
        <f>MAX(GG13,PortfolioFrontier[[#This Row],[P47 Growth]])</f>
        <v>1.0716519988206086</v>
      </c>
      <c r="GH14" s="27">
        <f>PortfolioFrontier[[#This Row],[P47 Growth]]/PortfolioFrontier[[#This Row],[P47 HWM]]-1</f>
        <v>-1.0806822211286038E-2</v>
      </c>
      <c r="GI14" s="28">
        <f>SUMPRODUCT(INDEX(PortfolioRef[[SPY]:[PE]],MATCH(GI$1,PortfolioRef[Reference '#]),0),AssetMonthlyReturns[[#This Row],[SPY]:[PE]])</f>
        <v>-1.0665942289172153E-2</v>
      </c>
      <c r="GJ14" s="27">
        <f>IF(ISNUMBER(GJ13),GJ13*(1+PortfolioFrontier[[#This Row],[P48 Return]]),1+PortfolioFrontier[[#This Row],[P48 Return]])</f>
        <v>1.0584877850366405</v>
      </c>
      <c r="GK14" s="27">
        <f>MAX(GK13,PortfolioFrontier[[#This Row],[P48 Growth]])</f>
        <v>1.0698992688938902</v>
      </c>
      <c r="GL14" s="27">
        <f>PortfolioFrontier[[#This Row],[P48 Growth]]/PortfolioFrontier[[#This Row],[P48 HWM]]-1</f>
        <v>-1.0665942289172059E-2</v>
      </c>
      <c r="GM14" s="28">
        <f>SUMPRODUCT(INDEX(PortfolioRef[[SPY]:[PE]],MATCH(GM$1,PortfolioRef[Reference '#]),0),AssetMonthlyReturns[[#This Row],[SPY]:[PE]])</f>
        <v>-1.2299626653376833E-2</v>
      </c>
      <c r="GN14" s="27">
        <f>IF(ISNUMBER(GN13),GN13*(1+PortfolioFrontier[[#This Row],[P49 Return]]),1+PortfolioFrontier[[#This Row],[P49 Return]])</f>
        <v>1.0658854305796135</v>
      </c>
      <c r="GO14" s="27">
        <f>MAX(GO13,PortfolioFrontier[[#This Row],[P49 Growth]])</f>
        <v>1.0791586794364327</v>
      </c>
      <c r="GP14" s="27">
        <f>PortfolioFrontier[[#This Row],[P49 Growth]]/PortfolioFrontier[[#This Row],[P49 HWM]]-1</f>
        <v>-1.2299626653376805E-2</v>
      </c>
      <c r="GQ14" s="28">
        <f>SUMPRODUCT(INDEX(PortfolioRef[[SPY]:[PE]],MATCH(GQ$1,PortfolioRef[Reference '#]),0),AssetMonthlyReturns[[#This Row],[SPY]:[PE]])</f>
        <v>-1.2158746731263111E-2</v>
      </c>
      <c r="GR14" s="27">
        <f>IF(ISNUMBER(GR13),GR13*(1+PortfolioFrontier[[#This Row],[P50 Return]]),1+PortfolioFrontier[[#This Row],[P50 Return]])</f>
        <v>1.0643512477378712</v>
      </c>
      <c r="GS14" s="27">
        <f>MAX(GS13,PortfolioFrontier[[#This Row],[P50 Growth]])</f>
        <v>1.0774517101973269</v>
      </c>
      <c r="GT14" s="27">
        <f>PortfolioFrontier[[#This Row],[P50 Growth]]/PortfolioFrontier[[#This Row],[P50 HWM]]-1</f>
        <v>-1.215874673126327E-2</v>
      </c>
      <c r="GU14" s="28">
        <f>SUMPRODUCT(INDEX(PortfolioRef[[SPY]:[PE]],MATCH(GU$1,PortfolioRef[Reference '#]),0),AssetMonthlyReturns[[#This Row],[SPY]:[PE]])</f>
        <v>-1.2017866809149385E-2</v>
      </c>
      <c r="GV14" s="27">
        <f>IF(ISNUMBER(GV13),GV13*(1+PortfolioFrontier[[#This Row],[P51 Return]]),1+PortfolioFrontier[[#This Row],[P51 Return]])</f>
        <v>1.0627710586749921</v>
      </c>
      <c r="GW14" s="27">
        <f>MAX(GW13,PortfolioFrontier[[#This Row],[P51 Growth]])</f>
        <v>1.0756986619207358</v>
      </c>
      <c r="GX14" s="27">
        <f>PortfolioFrontier[[#This Row],[P51 Growth]]/PortfolioFrontier[[#This Row],[P51 HWM]]-1</f>
        <v>-1.2017866809149513E-2</v>
      </c>
      <c r="GY14" s="28">
        <f>SUMPRODUCT(INDEX(PortfolioRef[[SPY]:[PE]],MATCH(GY$1,PortfolioRef[Reference '#]),0),AssetMonthlyReturns[[#This Row],[SPY]:[PE]])</f>
        <v>-1.1133441880722839E-2</v>
      </c>
      <c r="GZ14" s="27">
        <f>IF(ISNUMBER(GZ13),GZ13*(1+PortfolioFrontier[[#This Row],[P52 Return]]),1+PortfolioFrontier[[#This Row],[P52 Return]])</f>
        <v>1.0598331408103598</v>
      </c>
      <c r="HA14" s="27">
        <f>MAX(HA13,PortfolioFrontier[[#This Row],[P52 Growth]])</f>
        <v>1.0717655806118611</v>
      </c>
      <c r="HB14" s="27">
        <f>PortfolioFrontier[[#This Row],[P52 Growth]]/PortfolioFrontier[[#This Row],[P52 HWM]]-1</f>
        <v>-1.1133441880722739E-2</v>
      </c>
      <c r="HC14" s="28">
        <f>SUMPRODUCT(INDEX(PortfolioRef[[SPY]:[PE]],MATCH(HC$1,PortfolioRef[Reference '#]),0),AssetMonthlyReturns[[#This Row],[SPY]:[PE]])</f>
        <v>-1.0992561958609114E-2</v>
      </c>
      <c r="HD14" s="27">
        <f>IF(ISNUMBER(HD13),HD13*(1+PortfolioFrontier[[#This Row],[P53 Return]]),1+PortfolioFrontier[[#This Row],[P53 Return]])</f>
        <v>1.0583204678104665</v>
      </c>
      <c r="HE14" s="27">
        <f>MAX(HE13,PortfolioFrontier[[#This Row],[P53 Growth]])</f>
        <v>1.0700834261735601</v>
      </c>
      <c r="HF14" s="27">
        <f>PortfolioFrontier[[#This Row],[P53 Growth]]/PortfolioFrontier[[#This Row],[P53 HWM]]-1</f>
        <v>-1.0992561958609093E-2</v>
      </c>
      <c r="HG14" s="28">
        <f>SUMPRODUCT(INDEX(PortfolioRef[[SPY]:[PE]],MATCH(HG$1,PortfolioRef[Reference '#]),0),AssetMonthlyReturns[[#This Row],[SPY]:[PE]])</f>
        <v>-1.0851682036495391E-2</v>
      </c>
      <c r="HH14" s="27">
        <f>IF(ISNUMBER(HH13),HH13*(1+PortfolioFrontier[[#This Row],[P54 Return]]),1+PortfolioFrontier[[#This Row],[P54 Return]])</f>
        <v>1.0567620660694352</v>
      </c>
      <c r="HI14" s="27">
        <f>MAX(HI13,PortfolioFrontier[[#This Row],[P54 Growth]])</f>
        <v>1.0683555204796147</v>
      </c>
      <c r="HJ14" s="27">
        <f>PortfolioFrontier[[#This Row],[P54 Growth]]/PortfolioFrontier[[#This Row],[P54 HWM]]-1</f>
        <v>-1.0851682036495558E-2</v>
      </c>
      <c r="HK14" s="28">
        <f>SUMPRODUCT(INDEX(PortfolioRef[[SPY]:[PE]],MATCH(HK$1,PortfolioRef[Reference '#]),0),AssetMonthlyReturns[[#This Row],[SPY]:[PE]])</f>
        <v>-1.2485366400700072E-2</v>
      </c>
      <c r="HL14" s="27">
        <f>IF(ISNUMBER(HL13),HL13*(1+PortfolioFrontier[[#This Row],[P55 Return]]),1+PortfolioFrontier[[#This Row],[P55 Return]])</f>
        <v>1.0641365421136841</v>
      </c>
      <c r="HM14" s="27">
        <f>MAX(HM13,PortfolioFrontier[[#This Row],[P55 Growth]])</f>
        <v>1.0775906562874031</v>
      </c>
      <c r="HN14" s="27">
        <f>PortfolioFrontier[[#This Row],[P55 Growth]]/PortfolioFrontier[[#This Row],[P55 HWM]]-1</f>
        <v>-1.2485366400699971E-2</v>
      </c>
      <c r="HO14" s="28">
        <f>SUMPRODUCT(INDEX(PortfolioRef[[SPY]:[PE]],MATCH(HO$1,PortfolioRef[Reference '#]),0),AssetMonthlyReturns[[#This Row],[SPY]:[PE]])</f>
        <v>-1.2344486478586346E-2</v>
      </c>
      <c r="HP14" s="27">
        <f>IF(ISNUMBER(HP13),HP13*(1+PortfolioFrontier[[#This Row],[P56 Return]]),1+PortfolioFrontier[[#This Row],[P56 Return]])</f>
        <v>1.0626270851908248</v>
      </c>
      <c r="HQ14" s="27">
        <f>MAX(HQ13,PortfolioFrontier[[#This Row],[P56 Growth]])</f>
        <v>1.0759086246601364</v>
      </c>
      <c r="HR14" s="27">
        <f>PortfolioFrontier[[#This Row],[P56 Growth]]/PortfolioFrontier[[#This Row],[P56 HWM]]-1</f>
        <v>-1.2344486478586436E-2</v>
      </c>
      <c r="HS14" s="28">
        <f>SUMPRODUCT(INDEX(PortfolioRef[[SPY]:[PE]],MATCH(HS$1,PortfolioRef[Reference '#]),0),AssetMonthlyReturns[[#This Row],[SPY]:[PE]])</f>
        <v>-1.2203606556472624E-2</v>
      </c>
      <c r="HT14" s="27">
        <f>IF(ISNUMBER(HT13),HT13*(1+PortfolioFrontier[[#This Row],[P57 Return]]),1+PortfolioFrontier[[#This Row],[P57 Return]])</f>
        <v>1.061071653700798</v>
      </c>
      <c r="HU14" s="27">
        <f>MAX(HU13,PortfolioFrontier[[#This Row],[P57 Growth]])</f>
        <v>1.0741805302627476</v>
      </c>
      <c r="HV14" s="27">
        <f>PortfolioFrontier[[#This Row],[P57 Growth]]/PortfolioFrontier[[#This Row],[P57 HWM]]-1</f>
        <v>-1.2203606556472568E-2</v>
      </c>
      <c r="HW14" s="28">
        <f>SUMPRODUCT(INDEX(PortfolioRef[[SPY]:[PE]],MATCH(HW$1,PortfolioRef[Reference '#]),0),AssetMonthlyReturns[[#This Row],[SPY]:[PE]])</f>
        <v>-1.3837290920677304E-2</v>
      </c>
      <c r="HX14" s="27">
        <f>IF(ISNUMBER(HX13),HX13*(1+PortfolioFrontier[[#This Row],[P58 Return]]),1+PortfolioFrontier[[#This Row],[P58 Return]])</f>
        <v>1.0684069699035956</v>
      </c>
      <c r="HY14" s="27">
        <f>MAX(HY13,PortfolioFrontier[[#This Row],[P58 Growth]])</f>
        <v>1.0833982669057278</v>
      </c>
      <c r="HZ14" s="27">
        <f>PortfolioFrontier[[#This Row],[P58 Growth]]/PortfolioFrontier[[#This Row],[P58 HWM]]-1</f>
        <v>-1.3837290920677314E-2</v>
      </c>
      <c r="IA14" s="28">
        <f>SUMPRODUCT(INDEX(PortfolioRef[[SPY]:[PE]],MATCH(IA$1,PortfolioRef[Reference '#]),0),AssetMonthlyReturns[[#This Row],[SPY]:[PE]])</f>
        <v>-1.3696410998563578E-2</v>
      </c>
      <c r="IB14" s="27">
        <f>IF(ISNUMBER(IB13),IB13*(1+PortfolioFrontier[[#This Row],[P59 Return]]),1+PortfolioFrontier[[#This Row],[P59 Return]])</f>
        <v>1.0669008086619547</v>
      </c>
      <c r="IC14" s="27">
        <f>MAX(IC13,PortfolioFrontier[[#This Row],[P59 Growth]])</f>
        <v>1.0817164416304288</v>
      </c>
      <c r="ID14" s="27">
        <f>PortfolioFrontier[[#This Row],[P59 Growth]]/PortfolioFrontier[[#This Row],[P59 HWM]]-1</f>
        <v>-1.3696410998563668E-2</v>
      </c>
      <c r="IE14" s="28">
        <f>SUMPRODUCT(INDEX(PortfolioRef[[SPY]:[PE]],MATCH(IE$1,PortfolioRef[Reference '#]),0),AssetMonthlyReturns[[#This Row],[SPY]:[PE]])</f>
        <v>-1.3555531076449856E-2</v>
      </c>
      <c r="IF14" s="27">
        <f>IF(ISNUMBER(IF13),IF13*(1+PortfolioFrontier[[#This Row],[P60 Return]]),1+PortfolioFrontier[[#This Row],[P60 Return]])</f>
        <v>1.0653484277875374</v>
      </c>
      <c r="IG14" s="27">
        <f>MAX(IG13,PortfolioFrontier[[#This Row],[P60 Growth]])</f>
        <v>1.0799882419636764</v>
      </c>
      <c r="IH14" s="27">
        <f>PortfolioFrontier[[#This Row],[P60 Growth]]/PortfolioFrontier[[#This Row],[P60 HWM]]-1</f>
        <v>-1.35555310764498E-2</v>
      </c>
      <c r="II14" s="28">
        <f>SUMPRODUCT(INDEX(PortfolioRef[[SPY]:[PE]],MATCH(II$1,PortfolioRef[Reference '#]),0),AssetMonthlyReturns[[#This Row],[SPY]:[PE]])</f>
        <v>-7.5604071661476866E-3</v>
      </c>
      <c r="IJ14" s="27">
        <f>IF(ISNUMBER(IJ13),IJ13*(1+PortfolioFrontier[[#This Row],[P61 Return]]),1+PortfolioFrontier[[#This Row],[P61 Return]])</f>
        <v>1.0502213757149776</v>
      </c>
      <c r="IK14" s="27">
        <f>MAX(IK13,PortfolioFrontier[[#This Row],[P61 Growth]])</f>
        <v>1.0582219646398154</v>
      </c>
      <c r="IL14" s="27">
        <f>PortfolioFrontier[[#This Row],[P61 Growth]]/PortfolioFrontier[[#This Row],[P61 HWM]]-1</f>
        <v>-7.5604071661476979E-3</v>
      </c>
      <c r="IM14" s="28">
        <f>SUMPRODUCT(INDEX(PortfolioRef[[SPY]:[PE]],MATCH(IM$1,PortfolioRef[Reference '#]),0),AssetMonthlyReturns[[#This Row],[SPY]:[PE]])</f>
        <v>-7.7461469134709254E-3</v>
      </c>
      <c r="IN14" s="27">
        <f>IF(ISNUMBER(IN13),IN13*(1+PortfolioFrontier[[#This Row],[P62 Return]]),1+PortfolioFrontier[[#This Row],[P62 Return]])</f>
        <v>1.0485211880853751</v>
      </c>
      <c r="IO14" s="27">
        <f>MAX(IO13,PortfolioFrontier[[#This Row],[P62 Growth]])</f>
        <v>1.0567065925960575</v>
      </c>
      <c r="IP14" s="27">
        <f>PortfolioFrontier[[#This Row],[P62 Growth]]/PortfolioFrontier[[#This Row],[P62 HWM]]-1</f>
        <v>-7.7461469134709748E-3</v>
      </c>
      <c r="IQ14" s="28">
        <f>SUMPRODUCT(INDEX(PortfolioRef[[SPY]:[PE]],MATCH(IQ$1,PortfolioRef[Reference '#]),0),AssetMonthlyReturns[[#This Row],[SPY]:[PE]])</f>
        <v>-9.0980714334481586E-3</v>
      </c>
      <c r="IR14" s="27">
        <f>IF(ISNUMBER(IR13),IR13*(1+PortfolioFrontier[[#This Row],[P63 Return]]),1+PortfolioFrontier[[#This Row],[P63 Return]])</f>
        <v>1.0527999489871307</v>
      </c>
      <c r="IS14" s="27">
        <f>MAX(IS13,PortfolioFrontier[[#This Row],[P63 Growth]])</f>
        <v>1.0624663436775434</v>
      </c>
      <c r="IT14" s="27">
        <f>PortfolioFrontier[[#This Row],[P63 Growth]]/PortfolioFrontier[[#This Row],[P63 HWM]]-1</f>
        <v>-9.0980714334480961E-3</v>
      </c>
      <c r="IU14" s="28">
        <f>SUMPRODUCT(INDEX(PortfolioRef[[SPY]:[PE]],MATCH(IU$1,PortfolioRef[Reference '#]),0),AssetMonthlyReturns[[#This Row],[SPY]:[PE]])</f>
        <v>-8.9571915113344329E-3</v>
      </c>
      <c r="IV14" s="27">
        <f>IF(ISNUMBER(IV13),IV13*(1+PortfolioFrontier[[#This Row],[P64 Return]]),1+PortfolioFrontier[[#This Row],[P64 Return]])</f>
        <v>1.0512173379468148</v>
      </c>
      <c r="IW14" s="27">
        <f>MAX(IW13,PortfolioFrontier[[#This Row],[P64 Growth]])</f>
        <v>1.0607183957572075</v>
      </c>
      <c r="IX14" s="27">
        <f>PortfolioFrontier[[#This Row],[P64 Growth]]/PortfolioFrontier[[#This Row],[P64 HWM]]-1</f>
        <v>-8.9571915113343392E-3</v>
      </c>
      <c r="IY14" s="28">
        <f>SUMPRODUCT(INDEX(PortfolioRef[[SPY]:[PE]],MATCH(IY$1,PortfolioRef[Reference '#]),0),AssetMonthlyReturns[[#This Row],[SPY]:[PE]])</f>
        <v>-7.9318866607941633E-3</v>
      </c>
      <c r="IZ14" s="27">
        <f>IF(ISNUMBER(IZ13),IZ13*(1+PortfolioFrontier[[#This Row],[P65 Return]]),1+PortfolioFrontier[[#This Row],[P65 Return]])</f>
        <v>1.0467794780333064</v>
      </c>
      <c r="JA14" s="27">
        <f>MAX(JA13,PortfolioFrontier[[#This Row],[P65 Growth]])</f>
        <v>1.0551487987149868</v>
      </c>
      <c r="JB14" s="27">
        <f>PortfolioFrontier[[#This Row],[P65 Growth]]/PortfolioFrontier[[#This Row],[P65 HWM]]-1</f>
        <v>-7.9318866607941407E-3</v>
      </c>
      <c r="JC14" s="28">
        <f>SUMPRODUCT(INDEX(PortfolioRef[[SPY]:[PE]],MATCH(JC$1,PortfolioRef[Reference '#]),0),AssetMonthlyReturns[[#This Row],[SPY]:[PE]])</f>
        <v>-9.2838111807713956E-3</v>
      </c>
      <c r="JD14" s="27">
        <f>IF(ISNUMBER(JD13),JD13*(1+PortfolioFrontier[[#This Row],[P66 Return]]),1+PortfolioFrontier[[#This Row],[P66 Return]])</f>
        <v>1.0510842194059484</v>
      </c>
      <c r="JE14" s="27">
        <f>MAX(JE13,PortfolioFrontier[[#This Row],[P66 Growth]])</f>
        <v>1.0609337278102506</v>
      </c>
      <c r="JF14" s="27">
        <f>PortfolioFrontier[[#This Row],[P66 Growth]]/PortfolioFrontier[[#This Row],[P66 HWM]]-1</f>
        <v>-9.283811180771373E-3</v>
      </c>
      <c r="JG14" s="28">
        <f>SUMPRODUCT(INDEX(PortfolioRef[[SPY]:[PE]],MATCH(JG$1,PortfolioRef[Reference '#]),0),AssetMonthlyReturns[[#This Row],[SPY]:[PE]])</f>
        <v>-9.1429312586576716E-3</v>
      </c>
      <c r="JH14" s="27">
        <f>IF(ISNUMBER(JH13),JH13*(1+PortfolioFrontier[[#This Row],[P67 Return]]),1+PortfolioFrontier[[#This Row],[P67 Return]])</f>
        <v>1.0495261564338032</v>
      </c>
      <c r="JI14" s="27">
        <f>MAX(JI13,PortfolioFrontier[[#This Row],[P67 Growth]])</f>
        <v>1.059210444718315</v>
      </c>
      <c r="JJ14" s="27">
        <f>PortfolioFrontier[[#This Row],[P67 Growth]]/PortfolioFrontier[[#This Row],[P67 HWM]]-1</f>
        <v>-9.1429312586577272E-3</v>
      </c>
      <c r="JK14" s="28">
        <f>SUMPRODUCT(INDEX(PortfolioRef[[SPY]:[PE]],MATCH(JK$1,PortfolioRef[Reference '#]),0),AssetMonthlyReturns[[#This Row],[SPY]:[PE]])</f>
        <v>-1.0635735700748628E-2</v>
      </c>
      <c r="JL14" s="27">
        <f>IF(ISNUMBER(JL13),JL13*(1+PortfolioFrontier[[#This Row],[P68 Return]]),1+PortfolioFrontier[[#This Row],[P68 Return]])</f>
        <v>1.0553565671918597</v>
      </c>
      <c r="JM14" s="27">
        <f>MAX(JM13,PortfolioFrontier[[#This Row],[P68 Growth]])</f>
        <v>1.0667017248084552</v>
      </c>
      <c r="JN14" s="27">
        <f>PortfolioFrontier[[#This Row],[P68 Growth]]/PortfolioFrontier[[#This Row],[P68 HWM]]-1</f>
        <v>-1.0635735700748716E-2</v>
      </c>
      <c r="JO14" s="28">
        <f>SUMPRODUCT(INDEX(PortfolioRef[[SPY]:[PE]],MATCH(JO$1,PortfolioRef[Reference '#]),0),AssetMonthlyReturns[[#This Row],[SPY]:[PE]])</f>
        <v>-1.0494855778634904E-2</v>
      </c>
      <c r="JP14" s="27">
        <f>IF(ISNUMBER(JP13),JP13*(1+PortfolioFrontier[[#This Row],[P69 Return]]),1+PortfolioFrontier[[#This Row],[P69 Return]])</f>
        <v>1.0538013792452683</v>
      </c>
      <c r="JQ14" s="27">
        <f>MAX(JQ13,PortfolioFrontier[[#This Row],[P69 Growth]])</f>
        <v>1.0649781715632185</v>
      </c>
      <c r="JR14" s="27">
        <f>PortfolioFrontier[[#This Row],[P69 Growth]]/PortfolioFrontier[[#This Row],[P69 HWM]]-1</f>
        <v>-1.0494855778634848E-2</v>
      </c>
      <c r="JS14" s="28">
        <f>SUMPRODUCT(INDEX(PortfolioRef[[SPY]:[PE]],MATCH(JS$1,PortfolioRef[Reference '#]),0),AssetMonthlyReturns[[#This Row],[SPY]:[PE]])</f>
        <v>-1.0353975856521182E-2</v>
      </c>
      <c r="JT14" s="27">
        <f>IF(ISNUMBER(JT13),JT13*(1+PortfolioFrontier[[#This Row],[P70 Return]]),1+PortfolioFrontier[[#This Row],[P70 Return]])</f>
        <v>1.0522007292593591</v>
      </c>
      <c r="JU14" s="27">
        <f>MAX(JU13,PortfolioFrontier[[#This Row],[P70 Growth]])</f>
        <v>1.0632091713499485</v>
      </c>
      <c r="JV14" s="27">
        <f>PortfolioFrontier[[#This Row],[P70 Growth]]/PortfolioFrontier[[#This Row],[P70 HWM]]-1</f>
        <v>-1.0353975856521314E-2</v>
      </c>
      <c r="JW14" s="28">
        <f>SUMPRODUCT(INDEX(PortfolioRef[[SPY]:[PE]],MATCH(JW$1,PortfolioRef[Reference '#]),0),AssetMonthlyReturns[[#This Row],[SPY]:[PE]])</f>
        <v>-9.4695509280946326E-3</v>
      </c>
      <c r="JX14" s="27">
        <f>IF(ISNUMBER(JX13),JX13*(1+PortfolioFrontier[[#This Row],[P71 Return]]),1+PortfolioFrontier[[#This Row],[P71 Return]])</f>
        <v>1.0493269856393048</v>
      </c>
      <c r="JY14" s="27">
        <f>MAX(JY13,PortfolioFrontier[[#This Row],[P71 Growth]])</f>
        <v>1.0593586361958787</v>
      </c>
      <c r="JZ14" s="27">
        <f>PortfolioFrontier[[#This Row],[P71 Growth]]/PortfolioFrontier[[#This Row],[P71 HWM]]-1</f>
        <v>-9.469550928094761E-3</v>
      </c>
      <c r="KA14" s="28">
        <f>SUMPRODUCT(INDEX(PortfolioRef[[SPY]:[PE]],MATCH(KA$1,PortfolioRef[Reference '#]),0),AssetMonthlyReturns[[#This Row],[SPY]:[PE]])</f>
        <v>-9.3286710059809104E-3</v>
      </c>
      <c r="KB14" s="27">
        <f>IF(ISNUMBER(KB13),KB13*(1+PortfolioFrontier[[#This Row],[P72 Return]]),1+PortfolioFrontier[[#This Row],[P72 Return]])</f>
        <v>1.0477933834506759</v>
      </c>
      <c r="KC14" s="27">
        <f>MAX(KC13,PortfolioFrontier[[#This Row],[P72 Growth]])</f>
        <v>1.0576599451148561</v>
      </c>
      <c r="KD14" s="27">
        <f>PortfolioFrontier[[#This Row],[P72 Growth]]/PortfolioFrontier[[#This Row],[P72 HWM]]-1</f>
        <v>-9.328671005980782E-3</v>
      </c>
      <c r="KE14" s="28">
        <f>SUMPRODUCT(INDEX(PortfolioRef[[SPY]:[PE]],MATCH(KE$1,PortfolioRef[Reference '#]),0),AssetMonthlyReturns[[#This Row],[SPY]:[PE]])</f>
        <v>-1.0821475448071865E-2</v>
      </c>
      <c r="KF14" s="27">
        <f>IF(ISNUMBER(KF13),KF13*(1+PortfolioFrontier[[#This Row],[P73 Return]]),1+PortfolioFrontier[[#This Row],[P73 Return]])</f>
        <v>1.0536252864070494</v>
      </c>
      <c r="KG14" s="27">
        <f>MAX(KG13,PortfolioFrontier[[#This Row],[P73 Growth]])</f>
        <v>1.0651518004642428</v>
      </c>
      <c r="KH14" s="27">
        <f>PortfolioFrontier[[#This Row],[P73 Growth]]/PortfolioFrontier[[#This Row],[P73 HWM]]-1</f>
        <v>-1.0821475448071882E-2</v>
      </c>
      <c r="KI14" s="28">
        <f>SUMPRODUCT(INDEX(PortfolioRef[[SPY]:[PE]],MATCH(KI$1,PortfolioRef[Reference '#]),0),AssetMonthlyReturns[[#This Row],[SPY]:[PE]])</f>
        <v>-1.0680595525958143E-2</v>
      </c>
      <c r="KJ14" s="27">
        <f>IF(ISNUMBER(KJ13),KJ13*(1+PortfolioFrontier[[#This Row],[P74 Return]]),1+PortfolioFrontier[[#This Row],[P74 Return]])</f>
        <v>1.052094657035765</v>
      </c>
      <c r="KK14" s="27">
        <f>MAX(KK13,PortfolioFrontier[[#This Row],[P74 Growth]])</f>
        <v>1.0634529680483693</v>
      </c>
      <c r="KL14" s="27">
        <f>PortfolioFrontier[[#This Row],[P74 Growth]]/PortfolioFrontier[[#This Row],[P74 HWM]]-1</f>
        <v>-1.0680595525958125E-2</v>
      </c>
      <c r="KM14" s="28">
        <f>SUMPRODUCT(INDEX(PortfolioRef[[SPY]:[PE]],MATCH(KM$1,PortfolioRef[Reference '#]),0),AssetMonthlyReturns[[#This Row],[SPY]:[PE]])</f>
        <v>-1.0539715603844419E-2</v>
      </c>
      <c r="KN14" s="27">
        <f>IF(ISNUMBER(KN13),KN13*(1+PortfolioFrontier[[#This Row],[P75 Return]]),1+PortfolioFrontier[[#This Row],[P75 Return]])</f>
        <v>1.0505185959478904</v>
      </c>
      <c r="KO14" s="27">
        <f>MAX(KO13,PortfolioFrontier[[#This Row],[P75 Growth]])</f>
        <v>1.0617087037394304</v>
      </c>
      <c r="KP14" s="27">
        <f>PortfolioFrontier[[#This Row],[P75 Growth]]/PortfolioFrontier[[#This Row],[P75 HWM]]-1</f>
        <v>-1.0539715603844479E-2</v>
      </c>
      <c r="KQ14" s="28">
        <f>SUMPRODUCT(INDEX(PortfolioRef[[SPY]:[PE]],MATCH(KQ$1,PortfolioRef[Reference '#]),0),AssetMonthlyReturns[[#This Row],[SPY]:[PE]])</f>
        <v>-1.2173399968049097E-2</v>
      </c>
      <c r="KR14" s="27">
        <f>IF(ISNUMBER(KR13),KR13*(1+PortfolioFrontier[[#This Row],[P76 Return]]),1+PortfolioFrontier[[#This Row],[P76 Return]])</f>
        <v>1.0578910496875089</v>
      </c>
      <c r="KS14" s="27">
        <f>MAX(KS13,PortfolioFrontier[[#This Row],[P76 Growth]])</f>
        <v>1.0709278831459812</v>
      </c>
      <c r="KT14" s="27">
        <f>PortfolioFrontier[[#This Row],[P76 Growth]]/PortfolioFrontier[[#This Row],[P76 HWM]]-1</f>
        <v>-1.2173399968049226E-2</v>
      </c>
      <c r="KU14" s="28">
        <f>SUMPRODUCT(INDEX(PortfolioRef[[SPY]:[PE]],MATCH(KU$1,PortfolioRef[Reference '#]),0),AssetMonthlyReturns[[#This Row],[SPY]:[PE]])</f>
        <v>-1.2032520045935375E-2</v>
      </c>
      <c r="KV14" s="27">
        <f>IF(ISNUMBER(KV13),KV13*(1+PortfolioFrontier[[#This Row],[P77 Return]]),1+PortfolioFrontier[[#This Row],[P77 Return]])</f>
        <v>1.0563634731425251</v>
      </c>
      <c r="KW14" s="27">
        <f>MAX(KW13,PortfolioFrontier[[#This Row],[P77 Growth]])</f>
        <v>1.0692289924276055</v>
      </c>
      <c r="KX14" s="27">
        <f>PortfolioFrontier[[#This Row],[P77 Growth]]/PortfolioFrontier[[#This Row],[P77 HWM]]-1</f>
        <v>-1.2032520045935358E-2</v>
      </c>
      <c r="KY14" s="28">
        <f>SUMPRODUCT(INDEX(PortfolioRef[[SPY]:[PE]],MATCH(KY$1,PortfolioRef[Reference '#]),0),AssetMonthlyReturns[[#This Row],[SPY]:[PE]])</f>
        <v>-1.1891640123821651E-2</v>
      </c>
      <c r="KZ14" s="27">
        <f>IF(ISNUMBER(KZ13),KZ13*(1+PortfolioFrontier[[#This Row],[P78 Return]]),1+PortfolioFrontier[[#This Row],[P78 Return]])</f>
        <v>1.0547902207490818</v>
      </c>
      <c r="LA14" s="27">
        <f>MAX(LA13,PortfolioFrontier[[#This Row],[P78 Growth]])</f>
        <v>1.0674843606031827</v>
      </c>
      <c r="LB14" s="27">
        <f>PortfolioFrontier[[#This Row],[P78 Growth]]/PortfolioFrontier[[#This Row],[P78 HWM]]-1</f>
        <v>-1.1891640123821712E-2</v>
      </c>
      <c r="LC14" s="28">
        <f>SUMPRODUCT(INDEX(PortfolioRef[[SPY]:[PE]],MATCH(LC$1,PortfolioRef[Reference '#]),0),AssetMonthlyReturns[[#This Row],[SPY]:[PE]])</f>
        <v>-1.1007215195395104E-2</v>
      </c>
      <c r="LD14" s="27">
        <f>IF(ISNUMBER(LD13),LD13*(1+PortfolioFrontier[[#This Row],[P79 Return]]),1+PortfolioFrontier[[#This Row],[P79 Return]])</f>
        <v>1.0518525208101774</v>
      </c>
      <c r="LE14" s="27">
        <f>MAX(LE13,PortfolioFrontier[[#This Row],[P79 Growth]])</f>
        <v>1.0635593474203067</v>
      </c>
      <c r="LF14" s="27">
        <f>PortfolioFrontier[[#This Row],[P79 Growth]]/PortfolioFrontier[[#This Row],[P79 HWM]]-1</f>
        <v>-1.1007215195395048E-2</v>
      </c>
      <c r="LG14" s="28">
        <f>SUMPRODUCT(INDEX(PortfolioRef[[SPY]:[PE]],MATCH(LG$1,PortfolioRef[Reference '#]),0),AssetMonthlyReturns[[#This Row],[SPY]:[PE]])</f>
        <v>-1.086633527328138E-2</v>
      </c>
      <c r="LH14" s="27">
        <f>IF(ISNUMBER(LH13),LH13*(1+PortfolioFrontier[[#This Row],[P80 Return]]),1+PortfolioFrontier[[#This Row],[P80 Return]])</f>
        <v>1.0503463613718129</v>
      </c>
      <c r="LI14" s="27">
        <f>MAX(LI13,PortfolioFrontier[[#This Row],[P80 Growth]])</f>
        <v>1.0618851615590359</v>
      </c>
      <c r="LJ14" s="27">
        <f>PortfolioFrontier[[#This Row],[P80 Growth]]/PortfolioFrontier[[#This Row],[P80 HWM]]-1</f>
        <v>-1.0866335273281291E-2</v>
      </c>
      <c r="LK14" s="28">
        <f>SUMPRODUCT(INDEX(PortfolioRef[[SPY]:[PE]],MATCH(LK$1,PortfolioRef[Reference '#]),0),AssetMonthlyReturns[[#This Row],[SPY]:[PE]])</f>
        <v>-1.0725455351167656E-2</v>
      </c>
      <c r="LL14" s="27">
        <f>IF(ISNUMBER(LL13),LL13*(1+PortfolioFrontier[[#This Row],[P81 Return]]),1+PortfolioFrontier[[#This Row],[P81 Return]])</f>
        <v>1.048794802563207</v>
      </c>
      <c r="LM14" s="27">
        <f>MAX(LM13,PortfolioFrontier[[#This Row],[P81 Growth]])</f>
        <v>1.0601655609520437</v>
      </c>
      <c r="LN14" s="27">
        <f>PortfolioFrontier[[#This Row],[P81 Growth]]/PortfolioFrontier[[#This Row],[P81 HWM]]-1</f>
        <v>-1.0725455351167645E-2</v>
      </c>
      <c r="LO14" s="28">
        <f>SUMPRODUCT(INDEX(PortfolioRef[[SPY]:[PE]],MATCH(LO$1,PortfolioRef[Reference '#]),0),AssetMonthlyReturns[[#This Row],[SPY]:[PE]])</f>
        <v>-1.2359139715372336E-2</v>
      </c>
      <c r="LP14" s="27">
        <f>IF(ISNUMBER(LP13),LP13*(1+PortfolioFrontier[[#This Row],[P82 Return]]),1+PortfolioFrontier[[#This Row],[P82 Return]])</f>
        <v>1.056144209196157</v>
      </c>
      <c r="LQ14" s="27">
        <f>MAX(LQ13,PortfolioFrontier[[#This Row],[P82 Growth]])</f>
        <v>1.0693605860857027</v>
      </c>
      <c r="LR14" s="27">
        <f>PortfolioFrontier[[#This Row],[P82 Growth]]/PortfolioFrontier[[#This Row],[P82 HWM]]-1</f>
        <v>-1.2359139715372391E-2</v>
      </c>
      <c r="LS14" s="28">
        <f>SUMPRODUCT(INDEX(PortfolioRef[[SPY]:[PE]],MATCH(LS$1,PortfolioRef[Reference '#]),0),AssetMonthlyReturns[[#This Row],[SPY]:[PE]])</f>
        <v>-1.2218259793258614E-2</v>
      </c>
      <c r="LT14" s="27">
        <f>IF(ISNUMBER(LT13),LT13*(1+PortfolioFrontier[[#This Row],[P83 Return]]),1+PortfolioFrontier[[#This Row],[P83 Return]])</f>
        <v>1.0546412007678236</v>
      </c>
      <c r="LU14" s="27">
        <f>MAX(LU13,PortfolioFrontier[[#This Row],[P83 Growth]])</f>
        <v>1.0676864714537937</v>
      </c>
      <c r="LV14" s="27">
        <f>PortfolioFrontier[[#This Row],[P83 Growth]]/PortfolioFrontier[[#This Row],[P83 HWM]]-1</f>
        <v>-1.2218259793258635E-2</v>
      </c>
      <c r="LW14" s="28">
        <f>SUMPRODUCT(INDEX(PortfolioRef[[SPY]:[PE]],MATCH(LW$1,PortfolioRef[Reference '#]),0),AssetMonthlyReturns[[#This Row],[SPY]:[PE]])</f>
        <v>-1.2077379871144888E-2</v>
      </c>
      <c r="LX14" s="27">
        <f>IF(ISNUMBER(LX13),LX13*(1+PortfolioFrontier[[#This Row],[P84 Return]]),1+PortfolioFrontier[[#This Row],[P84 Return]])</f>
        <v>1.0530925481262861</v>
      </c>
      <c r="LY14" s="27">
        <f>MAX(LY13,PortfolioFrontier[[#This Row],[P84 Growth]])</f>
        <v>1.065966632071782</v>
      </c>
      <c r="LZ14" s="27">
        <f>PortfolioFrontier[[#This Row],[P84 Growth]]/PortfolioFrontier[[#This Row],[P84 HWM]]-1</f>
        <v>-1.2077379871144989E-2</v>
      </c>
      <c r="MA14" s="28">
        <f>SUMPRODUCT(INDEX(PortfolioRef[[SPY]:[PE]],MATCH(MA$1,PortfolioRef[Reference '#]),0),AssetMonthlyReturns[[#This Row],[SPY]:[PE]])</f>
        <v>-1.3711064235349568E-2</v>
      </c>
      <c r="MB14" s="27">
        <f>IF(ISNUMBER(MB13),MB13*(1+PortfolioFrontier[[#This Row],[P85 Return]]),1+PortfolioFrontier[[#This Row],[P85 Return]])</f>
        <v>1.0604032166627404</v>
      </c>
      <c r="MC14" s="27">
        <f>MAX(MC13,PortfolioFrontier[[#This Row],[P85 Growth]])</f>
        <v>1.0751445932429837</v>
      </c>
      <c r="MD14" s="27">
        <f>PortfolioFrontier[[#This Row],[P85 Growth]]/PortfolioFrontier[[#This Row],[P85 HWM]]-1</f>
        <v>-1.3711064235349513E-2</v>
      </c>
      <c r="ME14" s="28">
        <f>SUMPRODUCT(INDEX(PortfolioRef[[SPY]:[PE]],MATCH(ME$1,PortfolioRef[Reference '#]),0),AssetMonthlyReturns[[#This Row],[SPY]:[PE]])</f>
        <v>-1.3570184313235846E-2</v>
      </c>
      <c r="MF14" s="27">
        <f>IF(ISNUMBER(MF13),MF13*(1+PortfolioFrontier[[#This Row],[P86 Return]]),1+PortfolioFrontier[[#This Row],[P86 Return]])</f>
        <v>1.0589034387935825</v>
      </c>
      <c r="MG14" s="27">
        <f>MAX(MG13,PortfolioFrontier[[#This Row],[P86 Growth]])</f>
        <v>1.0734706331401402</v>
      </c>
      <c r="MH14" s="27">
        <f>PortfolioFrontier[[#This Row],[P86 Growth]]/PortfolioFrontier[[#This Row],[P86 HWM]]-1</f>
        <v>-1.3570184313235867E-2</v>
      </c>
      <c r="MI14" s="28">
        <f>SUMPRODUCT(INDEX(PortfolioRef[[SPY]:[PE]],MATCH(MI$1,PortfolioRef[Reference '#]),0),AssetMonthlyReturns[[#This Row],[SPY]:[PE]])</f>
        <v>-1.342930439112212E-2</v>
      </c>
      <c r="MJ14" s="27">
        <f>IF(ISNUMBER(MJ13),MJ13*(1+PortfolioFrontier[[#This Row],[P87 Return]]),1+PortfolioFrontier[[#This Row],[P87 Return]])</f>
        <v>1.0573577726199106</v>
      </c>
      <c r="MK14" s="27">
        <f>MAX(MK13,PortfolioFrontier[[#This Row],[P87 Growth]])</f>
        <v>1.0717506381712922</v>
      </c>
      <c r="ML14" s="27">
        <f>PortfolioFrontier[[#This Row],[P87 Growth]]/PortfolioFrontier[[#This Row],[P87 HWM]]-1</f>
        <v>-1.342930439112211E-2</v>
      </c>
      <c r="MM14" s="28">
        <f>SUMPRODUCT(INDEX(PortfolioRef[[SPY]:[PE]],MATCH(MM$1,PortfolioRef[Reference '#]),0),AssetMonthlyReturns[[#This Row],[SPY]:[PE]])</f>
        <v>-1.2544879462695575E-2</v>
      </c>
      <c r="MN14" s="27">
        <f>IF(ISNUMBER(MN13),MN13*(1+PortfolioFrontier[[#This Row],[P88 Return]]),1+PortfolioFrontier[[#This Row],[P88 Return]])</f>
        <v>1.0543559044026654</v>
      </c>
      <c r="MO14" s="27">
        <f>MAX(MO13,PortfolioFrontier[[#This Row],[P88 Growth]])</f>
        <v>1.0692295641878635</v>
      </c>
      <c r="MP14" s="27">
        <f>PortfolioFrontier[[#This Row],[P88 Growth]]/PortfolioFrontier[[#This Row],[P88 HWM]]-1</f>
        <v>-1.3910632742834328E-2</v>
      </c>
      <c r="MQ14" s="28">
        <f>SUMPRODUCT(INDEX(PortfolioRef[[SPY]:[PE]],MATCH(MQ$1,PortfolioRef[Reference '#]),0),AssetMonthlyReturns[[#This Row],[SPY]:[PE]])</f>
        <v>-1.2403999540581849E-2</v>
      </c>
      <c r="MR14" s="27">
        <f>IF(ISNUMBER(MR13),MR13*(1+PortfolioFrontier[[#This Row],[P89 Return]]),1+PortfolioFrontier[[#This Row],[P89 Return]])</f>
        <v>1.0528773740910609</v>
      </c>
      <c r="MS14" s="27">
        <f>MAX(MS13,PortfolioFrontier[[#This Row],[P89 Growth]])</f>
        <v>1.0661012940527044</v>
      </c>
      <c r="MT14" s="27">
        <f>PortfolioFrontier[[#This Row],[P89 Growth]]/PortfolioFrontier[[#This Row],[P89 HWM]]-1</f>
        <v>-1.2403999540581911E-2</v>
      </c>
      <c r="MU14" s="28">
        <f>SUMPRODUCT(INDEX(PortfolioRef[[SPY]:[PE]],MATCH(MU$1,PortfolioRef[Reference '#]),0),AssetMonthlyReturns[[#This Row],[SPY]:[PE]])</f>
        <v>-1.2263119618468127E-2</v>
      </c>
      <c r="MV14" s="27">
        <f>IF(ISNUMBER(MV13),MV13*(1+PortfolioFrontier[[#This Row],[P90 Return]]),1+PortfolioFrontier[[#This Row],[P90 Return]])</f>
        <v>1.0513532332243296</v>
      </c>
      <c r="MW14" s="27">
        <f>MAX(MW13,PortfolioFrontier[[#This Row],[P90 Growth]])</f>
        <v>1.0644061734520076</v>
      </c>
      <c r="MX14" s="27">
        <f>PortfolioFrontier[[#This Row],[P90 Growth]]/PortfolioFrontier[[#This Row],[P90 HWM]]-1</f>
        <v>-1.2263119618468266E-2</v>
      </c>
      <c r="MY14" s="28">
        <f>SUMPRODUCT(INDEX(PortfolioRef[[SPY]:[PE]],MATCH(MY$1,PortfolioRef[Reference '#]),0),AssetMonthlyReturns[[#This Row],[SPY]:[PE]])</f>
        <v>-1.3896803982672807E-2</v>
      </c>
      <c r="MZ14" s="27">
        <f>IF(ISNUMBER(MZ13),MZ13*(1+PortfolioFrontier[[#This Row],[P91 Return]]),1+PortfolioFrontier[[#This Row],[P91 Return]])</f>
        <v>1.0586408087137291</v>
      </c>
      <c r="NA14" s="27">
        <f>MAX(NA13,PortfolioFrontier[[#This Row],[P91 Growth]])</f>
        <v>1.0738341548377508</v>
      </c>
      <c r="NB14" s="27">
        <f>PortfolioFrontier[[#This Row],[P91 Growth]]/PortfolioFrontier[[#This Row],[P91 HWM]]-1</f>
        <v>-1.4148689586351737E-2</v>
      </c>
      <c r="NC14" s="28">
        <f>SUMPRODUCT(INDEX(PortfolioRef[[SPY]:[PE]],MATCH(NC$1,PortfolioRef[Reference '#]),0),AssetMonthlyReturns[[#This Row],[SPY]:[PE]])</f>
        <v>-1.3755924060559081E-2</v>
      </c>
      <c r="ND14" s="27">
        <f>IF(ISNUMBER(ND13),ND13*(1+PortfolioFrontier[[#This Row],[P92 Return]]),1+PortfolioFrontier[[#This Row],[P92 Return]])</f>
        <v>1.0571656075337443</v>
      </c>
      <c r="NE14" s="27">
        <f>MAX(NE13,PortfolioFrontier[[#This Row],[P92 Growth]])</f>
        <v>1.0719107301372102</v>
      </c>
      <c r="NF14" s="27">
        <f>PortfolioFrontier[[#This Row],[P92 Growth]]/PortfolioFrontier[[#This Row],[P92 HWM]]-1</f>
        <v>-1.3755924060559033E-2</v>
      </c>
      <c r="NG14" s="28">
        <f>SUMPRODUCT(INDEX(PortfolioRef[[SPY]:[PE]],MATCH(NG$1,PortfolioRef[Reference '#]),0),AssetMonthlyReturns[[#This Row],[SPY]:[PE]])</f>
        <v>-1.3615044138445359E-2</v>
      </c>
      <c r="NH14" s="27">
        <f>IF(ISNUMBER(NH13),NH13*(1+PortfolioFrontier[[#This Row],[P93 Return]]),1+PortfolioFrontier[[#This Row],[P93 Return]])</f>
        <v>1.0556445510004215</v>
      </c>
      <c r="NI14" s="27">
        <f>MAX(NI13,PortfolioFrontier[[#This Row],[P93 Growth]])</f>
        <v>1.0702155834061484</v>
      </c>
      <c r="NJ14" s="27">
        <f>PortfolioFrontier[[#This Row],[P93 Growth]]/PortfolioFrontier[[#This Row],[P93 HWM]]-1</f>
        <v>-1.3615044138445498E-2</v>
      </c>
      <c r="NK14" s="28">
        <f>SUMPRODUCT(INDEX(PortfolioRef[[SPY]:[PE]],MATCH(NK$1,PortfolioRef[Reference '#]),0),AssetMonthlyReturns[[#This Row],[SPY]:[PE]])</f>
        <v>-1.5248728502650039E-2</v>
      </c>
      <c r="NL14" s="27">
        <f>IF(ISNUMBER(NL13),NL13*(1+PortfolioFrontier[[#This Row],[P94 Return]]),1+PortfolioFrontier[[#This Row],[P94 Return]])</f>
        <v>1.0628928891515674</v>
      </c>
      <c r="NM14" s="27">
        <f>MAX(NM13,PortfolioFrontier[[#This Row],[P94 Growth]])</f>
        <v>1.0793516291026466</v>
      </c>
      <c r="NN14" s="27">
        <f>PortfolioFrontier[[#This Row],[P94 Growth]]/PortfolioFrontier[[#This Row],[P94 HWM]]-1</f>
        <v>-1.5248728502649911E-2</v>
      </c>
      <c r="NO14" s="28">
        <f>SUMPRODUCT(INDEX(PortfolioRef[[SPY]:[PE]],MATCH(NO$1,PortfolioRef[Reference '#]),0),AssetMonthlyReturns[[#This Row],[SPY]:[PE]])</f>
        <v>-1.5107848580536314E-2</v>
      </c>
      <c r="NP14" s="27">
        <f>IF(ISNUMBER(NP13),NP13*(1+PortfolioFrontier[[#This Row],[P95 Return]]),1+PortfolioFrontier[[#This Row],[P95 Return]])</f>
        <v>1.0614210961825423</v>
      </c>
      <c r="NQ14" s="27">
        <f>MAX(NQ13,PortfolioFrontier[[#This Row],[P95 Growth]])</f>
        <v>1.0777028679259777</v>
      </c>
      <c r="NR14" s="27">
        <f>PortfolioFrontier[[#This Row],[P95 Growth]]/PortfolioFrontier[[#This Row],[P95 HWM]]-1</f>
        <v>-1.5107848580536265E-2</v>
      </c>
      <c r="NS14" s="28">
        <f>SUMPRODUCT(INDEX(PortfolioRef[[SPY]:[PE]],MATCH(NS$1,PortfolioRef[Reference '#]),0),AssetMonthlyReturns[[#This Row],[SPY]:[PE]])</f>
        <v>-1.4966968658422591E-2</v>
      </c>
      <c r="NT14" s="27">
        <f>IF(ISNUMBER(NT13),NT13*(1+PortfolioFrontier[[#This Row],[P96 Return]]),1+PortfolioFrontier[[#This Row],[P96 Return]])</f>
        <v>1.0599032038239986</v>
      </c>
      <c r="NU14" s="27">
        <f>MAX(NU13,PortfolioFrontier[[#This Row],[P96 Growth]])</f>
        <v>1.0760077785213464</v>
      </c>
      <c r="NV14" s="27">
        <f>PortfolioFrontier[[#This Row],[P96 Growth]]/PortfolioFrontier[[#This Row],[P96 HWM]]-1</f>
        <v>-1.4966968658422508E-2</v>
      </c>
      <c r="NW14" s="28">
        <f>SUMPRODUCT(INDEX(PortfolioRef[[SPY]:[PE]],MATCH(NW$1,PortfolioRef[Reference '#]),0),AssetMonthlyReturns[[#This Row],[SPY]:[PE]])</f>
        <v>-7.4341804808199519E-3</v>
      </c>
      <c r="NX14" s="27">
        <f>IF(ISNUMBER(NX13),NX13*(1+PortfolioFrontier[[#This Row],[P97 Return]]),1+PortfolioFrontier[[#This Row],[P97 Return]])</f>
        <v>1.0422962116560033</v>
      </c>
      <c r="NY14" s="27">
        <f>MAX(NY13,PortfolioFrontier[[#This Row],[P97 Growth]])</f>
        <v>1.0501028658844143</v>
      </c>
      <c r="NZ14" s="27">
        <f>PortfolioFrontier[[#This Row],[P97 Growth]]/PortfolioFrontier[[#This Row],[P97 HWM]]-1</f>
        <v>-7.4341804808198964E-3</v>
      </c>
      <c r="OA14" s="28">
        <f>SUMPRODUCT(INDEX(PortfolioRef[[SPY]:[PE]],MATCH(OA$1,PortfolioRef[Reference '#]),0),AssetMonthlyReturns[[#This Row],[SPY]:[PE]])</f>
        <v>-7.6199202281431897E-3</v>
      </c>
      <c r="OB14" s="27">
        <f>IF(ISNUMBER(OB13),OB13*(1+PortfolioFrontier[[#This Row],[P98 Return]]),1+PortfolioFrontier[[#This Row],[P98 Return]])</f>
        <v>1.0405978594634042</v>
      </c>
      <c r="OC14" s="27">
        <f>MAX(OC13,PortfolioFrontier[[#This Row],[P98 Growth]])</f>
        <v>1.0495119600802785</v>
      </c>
      <c r="OD14" s="27">
        <f>PortfolioFrontier[[#This Row],[P98 Growth]]/PortfolioFrontier[[#This Row],[P98 HWM]]-1</f>
        <v>-8.4935674446172671E-3</v>
      </c>
      <c r="OE14" s="28">
        <f>SUMPRODUCT(INDEX(PortfolioRef[[SPY]:[PE]],MATCH(OE$1,PortfolioRef[Reference '#]),0),AssetMonthlyReturns[[#This Row],[SPY]:[PE]])</f>
        <v>-8.9718447481204229E-3</v>
      </c>
      <c r="OF14" s="27">
        <f>IF(ISNUMBER(OF13),OF13*(1+PortfolioFrontier[[#This Row],[P99 Return]]),1+PortfolioFrontier[[#This Row],[P99 Return]])</f>
        <v>1.0448648350368785</v>
      </c>
      <c r="OG14" s="27">
        <f>MAX(OG13,PortfolioFrontier[[#This Row],[P99 Growth]])</f>
        <v>1.0543240668791249</v>
      </c>
      <c r="OH14" s="27">
        <f>PortfolioFrontier[[#This Row],[P99 Growth]]/PortfolioFrontier[[#This Row],[P99 HWM]]-1</f>
        <v>-8.9718447481204056E-3</v>
      </c>
      <c r="OI14" s="28">
        <f>SUMPRODUCT(INDEX(PortfolioRef[[SPY]:[PE]],MATCH(OI$1,PortfolioRef[Reference '#]),0),AssetMonthlyReturns[[#This Row],[SPY]:[PE]])</f>
        <v>-8.8309648260066972E-3</v>
      </c>
      <c r="OJ14" s="27">
        <f>IF(ISNUMBER(OJ13),OJ13*(1+PortfolioFrontier[[#This Row],[P100 Return]]),1+PortfolioFrontier[[#This Row],[P100 Return]])</f>
        <v>1.0432892678015191</v>
      </c>
      <c r="OK14" s="27">
        <f>MAX(OK13,PortfolioFrontier[[#This Row],[P100 Growth]])</f>
        <v>1.0525846054284538</v>
      </c>
      <c r="OL14" s="27">
        <f>PortfolioFrontier[[#This Row],[P100 Growth]]/PortfolioFrontier[[#This Row],[P100 HWM]]-1</f>
        <v>-8.8309648260065376E-3</v>
      </c>
      <c r="OM14" s="28">
        <f>SUMPRODUCT(INDEX(PortfolioRef[[SPY]:[PE]],MATCH(OM$1,PortfolioRef[Reference '#]),0),AssetMonthlyReturns[[#This Row],[SPY]:[PE]])</f>
        <v>-7.8056599754664285E-3</v>
      </c>
      <c r="ON14" s="27">
        <f>IF(ISNUMBER(ON13),ON13*(1+PortfolioFrontier[[#This Row],[P101 Return]]),1+PortfolioFrontier[[#This Row],[P101 Return]])</f>
        <v>1.0388582668396003</v>
      </c>
      <c r="OO14" s="27">
        <f>MAX(OO13,PortfolioFrontier[[#This Row],[P101 Growth]])</f>
        <v>1.05059106106777</v>
      </c>
      <c r="OP14" s="27">
        <f>PortfolioFrontier[[#This Row],[P101 Growth]]/PortfolioFrontier[[#This Row],[P101 HWM]]-1</f>
        <v>-1.1167803213788186E-2</v>
      </c>
      <c r="OQ14" s="28">
        <f>SUMPRODUCT(INDEX(PortfolioRef[[SPY]:[PE]],MATCH(OQ$1,PortfolioRef[Reference '#]),0),AssetMonthlyReturns[[#This Row],[SPY]:[PE]])</f>
        <v>-9.1575844954436617E-3</v>
      </c>
      <c r="OR14" s="27">
        <f>IF(ISNUMBER(OR13),OR13*(1+PortfolioFrontier[[#This Row],[P102 Return]]),1+PortfolioFrontier[[#This Row],[P102 Return]])</f>
        <v>1.0431510310175884</v>
      </c>
      <c r="OS14" s="27">
        <f>MAX(OS13,PortfolioFrontier[[#This Row],[P102 Growth]])</f>
        <v>1.0551404417516972</v>
      </c>
      <c r="OT14" s="27">
        <f>PortfolioFrontier[[#This Row],[P102 Growth]]/PortfolioFrontier[[#This Row],[P102 HWM]]-1</f>
        <v>-1.1362857738828058E-2</v>
      </c>
      <c r="OU14" s="28">
        <f>SUMPRODUCT(INDEX(PortfolioRef[[SPY]:[PE]],MATCH(OU$1,PortfolioRef[Reference '#]),0),AssetMonthlyReturns[[#This Row],[SPY]:[PE]])</f>
        <v>-9.016704573329936E-3</v>
      </c>
      <c r="OV14" s="27">
        <f>IF(ISNUMBER(OV13),OV13*(1+PortfolioFrontier[[#This Row],[P103 Return]]),1+PortfolioFrontier[[#This Row],[P103 Return]])</f>
        <v>1.0415998551383876</v>
      </c>
      <c r="OW14" s="27">
        <f>MAX(OW13,PortfolioFrontier[[#This Row],[P103 Growth]])</f>
        <v>1.0510771068950506</v>
      </c>
      <c r="OX14" s="27">
        <f>PortfolioFrontier[[#This Row],[P103 Growth]]/PortfolioFrontier[[#This Row],[P103 HWM]]-1</f>
        <v>-9.0167045733299256E-3</v>
      </c>
      <c r="OY14" s="28">
        <f>SUMPRODUCT(INDEX(PortfolioRef[[SPY]:[PE]],MATCH(OY$1,PortfolioRef[Reference '#]),0),AssetMonthlyReturns[[#This Row],[SPY]:[PE]])</f>
        <v>-1.0509509015420894E-2</v>
      </c>
      <c r="OZ14" s="27">
        <f>IF(ISNUMBER(OZ13),OZ13*(1+PortfolioFrontier[[#This Row],[P104 Return]]),1+PortfolioFrontier[[#This Row],[P104 Return]])</f>
        <v>1.0474116924381311</v>
      </c>
      <c r="PA14" s="27">
        <f>MAX(PA13,PortfolioFrontier[[#This Row],[P104 Growth]])</f>
        <v>1.0596859973699932</v>
      </c>
      <c r="PB14" s="27">
        <f>PortfolioFrontier[[#This Row],[P104 Growth]]/PortfolioFrontier[[#This Row],[P104 HWM]]-1</f>
        <v>-1.1582964163276088E-2</v>
      </c>
      <c r="PC14" s="28">
        <f>SUMPRODUCT(INDEX(PortfolioRef[[SPY]:[PE]],MATCH(PC$1,PortfolioRef[Reference '#]),0),AssetMonthlyReturns[[#This Row],[SPY]:[PE]])</f>
        <v>-1.0368629093307168E-2</v>
      </c>
      <c r="PD14" s="27">
        <f>IF(ISNUMBER(PD13),PD13*(1+PortfolioFrontier[[#This Row],[P105 Return]]),1+PortfolioFrontier[[#This Row],[P105 Return]])</f>
        <v>1.045863328176927</v>
      </c>
      <c r="PE14" s="27">
        <f>MAX(PE13,PortfolioFrontier[[#This Row],[P105 Growth]])</f>
        <v>1.056821114329384</v>
      </c>
      <c r="PF14" s="27">
        <f>PortfolioFrontier[[#This Row],[P105 Growth]]/PortfolioFrontier[[#This Row],[P105 HWM]]-1</f>
        <v>-1.0368629093307269E-2</v>
      </c>
      <c r="PG14" s="28">
        <f>SUMPRODUCT(INDEX(PortfolioRef[[SPY]:[PE]],MATCH(PG$1,PortfolioRef[Reference '#]),0),AssetMonthlyReturns[[#This Row],[SPY]:[PE]])</f>
        <v>-1.0227749171193446E-2</v>
      </c>
      <c r="PH14" s="27">
        <f>IF(ISNUMBER(PH13),PH13*(1+PortfolioFrontier[[#This Row],[P106 Return]]),1+PortfolioFrontier[[#This Row],[P106 Return]])</f>
        <v>1.0442698295732225</v>
      </c>
      <c r="PI14" s="27">
        <f>MAX(PI13,PortfolioFrontier[[#This Row],[P106 Growth]])</f>
        <v>1.0550607260395319</v>
      </c>
      <c r="PJ14" s="27">
        <f>PortfolioFrontier[[#This Row],[P106 Growth]]/PortfolioFrontier[[#This Row],[P106 HWM]]-1</f>
        <v>-1.0227749171193401E-2</v>
      </c>
      <c r="PK14" s="28">
        <f>SUMPRODUCT(INDEX(PortfolioRef[[SPY]:[PE]],MATCH(PK$1,PortfolioRef[Reference '#]),0),AssetMonthlyReturns[[#This Row],[SPY]:[PE]])</f>
        <v>-9.3433242427668987E-3</v>
      </c>
      <c r="PL14" s="27">
        <f>IF(ISNUMBER(PL13),PL13*(1+PortfolioFrontier[[#This Row],[P107 Return]]),1+PortfolioFrontier[[#This Row],[P107 Return]])</f>
        <v>1.0413960044497095</v>
      </c>
      <c r="PM14" s="27">
        <f>MAX(PM13,PortfolioFrontier[[#This Row],[P107 Growth]])</f>
        <v>1.0562201870951351</v>
      </c>
      <c r="PN14" s="27">
        <f>PortfolioFrontier[[#This Row],[P107 Growth]]/PortfolioFrontier[[#This Row],[P107 HWM]]-1</f>
        <v>-1.4035125276478322E-2</v>
      </c>
      <c r="PO14" s="28">
        <f>SUMPRODUCT(INDEX(PortfolioRef[[SPY]:[PE]],MATCH(PO$1,PortfolioRef[Reference '#]),0),AssetMonthlyReturns[[#This Row],[SPY]:[PE]])</f>
        <v>-9.2024443206531747E-3</v>
      </c>
      <c r="PP14" s="27">
        <f>IF(ISNUMBER(PP13),PP13*(1+PortfolioFrontier[[#This Row],[P108 Return]]),1+PortfolioFrontier[[#This Row],[P108 Return]])</f>
        <v>1.0398691332590795</v>
      </c>
      <c r="PQ14" s="27">
        <f>MAX(PQ13,PortfolioFrontier[[#This Row],[P108 Growth]])</f>
        <v>1.051372855315329</v>
      </c>
      <c r="PR14" s="27">
        <f>PortfolioFrontier[[#This Row],[P108 Growth]]/PortfolioFrontier[[#This Row],[P108 HWM]]-1</f>
        <v>-1.0941619805087455E-2</v>
      </c>
      <c r="PS14" s="28">
        <f>SUMPRODUCT(INDEX(PortfolioRef[[SPY]:[PE]],MATCH(PS$1,PortfolioRef[Reference '#]),0),AssetMonthlyReturns[[#This Row],[SPY]:[PE]])</f>
        <v>-1.0695248762744129E-2</v>
      </c>
      <c r="PT14" s="27">
        <f>IF(ISNUMBER(PT13),PT13*(1+PortfolioFrontier[[#This Row],[P109 Return]]),1+PortfolioFrontier[[#This Row],[P109 Return]])</f>
        <v>1.0456824274243097</v>
      </c>
      <c r="PU14" s="27">
        <f>MAX(PU13,PortfolioFrontier[[#This Row],[P109 Growth]])</f>
        <v>1.0607882528163963</v>
      </c>
      <c r="PV14" s="27">
        <f>PortfolioFrontier[[#This Row],[P109 Growth]]/PortfolioFrontier[[#This Row],[P109 HWM]]-1</f>
        <v>-1.4240189172514461E-2</v>
      </c>
      <c r="PW14" s="28">
        <f>SUMPRODUCT(INDEX(PortfolioRef[[SPY]:[PE]],MATCH(PW$1,PortfolioRef[Reference '#]),0),AssetMonthlyReturns[[#This Row],[SPY]:[PE]])</f>
        <v>-1.0554368840630407E-2</v>
      </c>
      <c r="PX14" s="27">
        <f>IF(ISNUMBER(PX13),PX13*(1+PortfolioFrontier[[#This Row],[P110 Return]]),1+PortfolioFrontier[[#This Row],[P110 Return]])</f>
        <v>1.0441584649645343</v>
      </c>
      <c r="PY14" s="27">
        <f>MAX(PY13,PortfolioFrontier[[#This Row],[P110 Growth]])</f>
        <v>1.0559214762599245</v>
      </c>
      <c r="PZ14" s="27">
        <f>PortfolioFrontier[[#This Row],[P110 Growth]]/PortfolioFrontier[[#This Row],[P110 HWM]]-1</f>
        <v>-1.1140043611059691E-2</v>
      </c>
      <c r="QA14" s="28">
        <f>SUMPRODUCT(INDEX(PortfolioRef[[SPY]:[PE]],MATCH(QA$1,PortfolioRef[Reference '#]),0),AssetMonthlyReturns[[#This Row],[SPY]:[PE]])</f>
        <v>-1.0413488918516685E-2</v>
      </c>
      <c r="QB14" s="27">
        <f>IF(ISNUMBER(QB13),QB13*(1+PortfolioFrontier[[#This Row],[P111 Return]]),1+PortfolioFrontier[[#This Row],[P111 Return]])</f>
        <v>1.0425893984731387</v>
      </c>
      <c r="QC14" s="27">
        <f>MAX(QC13,PortfolioFrontier[[#This Row],[P111 Growth]])</f>
        <v>1.0535606405282651</v>
      </c>
      <c r="QD14" s="27">
        <f>PortfolioFrontier[[#This Row],[P111 Growth]]/PortfolioFrontier[[#This Row],[P111 HWM]]-1</f>
        <v>-1.0413488918516678E-2</v>
      </c>
      <c r="QE14" s="28">
        <f>SUMPRODUCT(INDEX(PortfolioRef[[SPY]:[PE]],MATCH(QE$1,PortfolioRef[Reference '#]),0),AssetMonthlyReturns[[#This Row],[SPY]:[PE]])</f>
        <v>-1.2047173282721362E-2</v>
      </c>
      <c r="QF14" s="27">
        <f>IF(ISNUMBER(QF13),QF13*(1+PortfolioFrontier[[#This Row],[P112 Return]]),1+PortfolioFrontier[[#This Row],[P112 Return]])</f>
        <v>1.0499366039671276</v>
      </c>
      <c r="QG14" s="27">
        <f>MAX(QG13,PortfolioFrontier[[#This Row],[P112 Growth]])</f>
        <v>1.0653524862884685</v>
      </c>
      <c r="QH14" s="27">
        <f>PortfolioFrontier[[#This Row],[P112 Growth]]/PortfolioFrontier[[#This Row],[P112 HWM]]-1</f>
        <v>-1.4470217622570614E-2</v>
      </c>
      <c r="QI14" s="28">
        <f>SUMPRODUCT(INDEX(PortfolioRef[[SPY]:[PE]],MATCH(QI$1,PortfolioRef[Reference '#]),0),AssetMonthlyReturns[[#This Row],[SPY]:[PE]])</f>
        <v>-1.1906293360607639E-2</v>
      </c>
      <c r="QJ14" s="27">
        <f>IF(ISNUMBER(QJ13),QJ13*(1+PortfolioFrontier[[#This Row],[P113 Return]]),1+PortfolioFrontier[[#This Row],[P113 Return]])</f>
        <v>1.048415630182038</v>
      </c>
      <c r="QK14" s="27">
        <f>MAX(QK13,PortfolioFrontier[[#This Row],[P113 Growth]])</f>
        <v>1.0610487883257618</v>
      </c>
      <c r="QL14" s="27">
        <f>PortfolioFrontier[[#This Row],[P113 Growth]]/PortfolioFrontier[[#This Row],[P113 HWM]]-1</f>
        <v>-1.1906293360607667E-2</v>
      </c>
      <c r="QM14" s="28">
        <f>SUMPRODUCT(INDEX(PortfolioRef[[SPY]:[PE]],MATCH(QM$1,PortfolioRef[Reference '#]),0),AssetMonthlyReturns[[#This Row],[SPY]:[PE]])</f>
        <v>-1.1765413438493917E-2</v>
      </c>
      <c r="QN14" s="27">
        <f>IF(ISNUMBER(QN13),QN13*(1+PortfolioFrontier[[#This Row],[P114 Return]]),1+PortfolioFrontier[[#This Row],[P114 Return]])</f>
        <v>1.0468493092122235</v>
      </c>
      <c r="QO14" s="27">
        <f>MAX(QO13,PortfolioFrontier[[#This Row],[P114 Growth]])</f>
        <v>1.0593125594345603</v>
      </c>
      <c r="QP14" s="27">
        <f>PortfolioFrontier[[#This Row],[P114 Growth]]/PortfolioFrontier[[#This Row],[P114 HWM]]-1</f>
        <v>-1.176541343849391E-2</v>
      </c>
      <c r="QQ14" s="28">
        <f>SUMPRODUCT(INDEX(PortfolioRef[[SPY]:[PE]],MATCH(QQ$1,PortfolioRef[Reference '#]),0),AssetMonthlyReturns[[#This Row],[SPY]:[PE]])</f>
        <v>-1.0880988510067368E-2</v>
      </c>
      <c r="QR14" s="27">
        <f>IF(ISNUMBER(QR13),QR13*(1+PortfolioFrontier[[#This Row],[P115 Return]]),1+PortfolioFrontier[[#This Row],[P115 Return]])</f>
        <v>1.0439119588750847</v>
      </c>
      <c r="QS14" s="27">
        <f>MAX(QS13,PortfolioFrontier[[#This Row],[P115 Growth]])</f>
        <v>1.0618686348654582</v>
      </c>
      <c r="QT14" s="27">
        <f>PortfolioFrontier[[#This Row],[P115 Growth]]/PortfolioFrontier[[#This Row],[P115 HWM]]-1</f>
        <v>-1.6910449561069019E-2</v>
      </c>
      <c r="QU14" s="28">
        <f>SUMPRODUCT(INDEX(PortfolioRef[[SPY]:[PE]],MATCH(QU$1,PortfolioRef[Reference '#]),0),AssetMonthlyReturns[[#This Row],[SPY]:[PE]])</f>
        <v>-1.0740108587953646E-2</v>
      </c>
      <c r="QV14" s="27">
        <f>IF(ISNUMBER(QV13),QV13*(1+PortfolioFrontier[[#This Row],[P116 Return]]),1+PortfolioFrontier[[#This Row],[P116 Return]])</f>
        <v>1.0424123101979701</v>
      </c>
      <c r="QW14" s="27">
        <f>MAX(QW13,PortfolioFrontier[[#This Row],[P116 Growth]])</f>
        <v>1.0570041848172638</v>
      </c>
      <c r="QX14" s="27">
        <f>PortfolioFrontier[[#This Row],[P116 Growth]]/PortfolioFrontier[[#This Row],[P116 HWM]]-1</f>
        <v>-1.3804935523331285E-2</v>
      </c>
      <c r="QY14" s="28">
        <f>SUMPRODUCT(INDEX(PortfolioRef[[SPY]:[PE]],MATCH(QY$1,PortfolioRef[Reference '#]),0),AssetMonthlyReturns[[#This Row],[SPY]:[PE]])</f>
        <v>-1.0599228665839922E-2</v>
      </c>
      <c r="QZ14" s="27">
        <f>IF(ISNUMBER(QZ13),QZ13*(1+PortfolioFrontier[[#This Row],[P117 Return]]),1+PortfolioFrontier[[#This Row],[P117 Return]])</f>
        <v>1.0408675898137258</v>
      </c>
      <c r="RA14" s="27">
        <f>MAX(RA13,PortfolioFrontier[[#This Row],[P117 Growth]])</f>
        <v>1.0521518697486996</v>
      </c>
      <c r="RB14" s="27">
        <f>PortfolioFrontier[[#This Row],[P117 Growth]]/PortfolioFrontier[[#This Row],[P117 HWM]]-1</f>
        <v>-1.072495355415648E-2</v>
      </c>
      <c r="RC14" s="28">
        <f>SUMPRODUCT(INDEX(PortfolioRef[[SPY]:[PE]],MATCH(RC$1,PortfolioRef[Reference '#]),0),AssetMonthlyReturns[[#This Row],[SPY]:[PE]])</f>
        <v>-1.22329130300446E-2</v>
      </c>
      <c r="RD14" s="27">
        <f>IF(ISNUMBER(RD13),RD13*(1+PortfolioFrontier[[#This Row],[P118 Return]]),1+PortfolioFrontier[[#This Row],[P118 Return]])</f>
        <v>1.0481918695358157</v>
      </c>
      <c r="RE14" s="27">
        <f>MAX(RE13,PortfolioFrontier[[#This Row],[P118 Growth]])</f>
        <v>1.0664554246268612</v>
      </c>
      <c r="RF14" s="27">
        <f>PortfolioFrontier[[#This Row],[P118 Growth]]/PortfolioFrontier[[#This Row],[P118 HWM]]-1</f>
        <v>-1.712547441674428E-2</v>
      </c>
      <c r="RG14" s="28">
        <f>SUMPRODUCT(INDEX(PortfolioRef[[SPY]:[PE]],MATCH(RG$1,PortfolioRef[Reference '#]),0),AssetMonthlyReturns[[#This Row],[SPY]:[PE]])</f>
        <v>-1.2092033107930878E-2</v>
      </c>
      <c r="RH14" s="27">
        <f>IF(ISNUMBER(RH13),RH13*(1+PortfolioFrontier[[#This Row],[P119 Return]]),1+PortfolioFrontier[[#This Row],[P119 Return]])</f>
        <v>1.0466953070368388</v>
      </c>
      <c r="RI14" s="27">
        <f>MAX(RI13,PortfolioFrontier[[#This Row],[P119 Growth]])</f>
        <v>1.0615714914212842</v>
      </c>
      <c r="RJ14" s="27">
        <f>PortfolioFrontier[[#This Row],[P119 Growth]]/PortfolioFrontier[[#This Row],[P119 HWM]]-1</f>
        <v>-1.4013360856675261E-2</v>
      </c>
      <c r="RK14" s="28">
        <f>SUMPRODUCT(INDEX(PortfolioRef[[SPY]:[PE]],MATCH(RK$1,PortfolioRef[Reference '#]),0),AssetMonthlyReturns[[#This Row],[SPY]:[PE]])</f>
        <v>-1.1951153185817154E-2</v>
      </c>
      <c r="RL14" s="27">
        <f>IF(ISNUMBER(RL13),RL13*(1+PortfolioFrontier[[#This Row],[P120 Return]]),1+PortfolioFrontier[[#This Row],[P120 Return]])</f>
        <v>1.0451534289697835</v>
      </c>
      <c r="RM14" s="27">
        <f>MAX(RM13,PortfolioFrontier[[#This Row],[P120 Growth]])</f>
        <v>1.0577953026712454</v>
      </c>
      <c r="RN14" s="27">
        <f>PortfolioFrontier[[#This Row],[P120 Growth]]/PortfolioFrontier[[#This Row],[P120 HWM]]-1</f>
        <v>-1.1951153185817298E-2</v>
      </c>
      <c r="RO14" s="28">
        <f>SUMPRODUCT(INDEX(PortfolioRef[[SPY]:[PE]],MATCH(RO$1,PortfolioRef[Reference '#]),0),AssetMonthlyReturns[[#This Row],[SPY]:[PE]])</f>
        <v>-1.3584837550021833E-2</v>
      </c>
      <c r="RP14" s="27">
        <f>IF(ISNUMBER(RP13),RP13*(1+PortfolioFrontier[[#This Row],[P121 Return]]),1+PortfolioFrontier[[#This Row],[P121 Return]])</f>
        <v>1.0524393905521479</v>
      </c>
      <c r="RQ14" s="27">
        <f>MAX(RQ13,PortfolioFrontier[[#This Row],[P121 Growth]])</f>
        <v>1.0710383749555177</v>
      </c>
      <c r="RR14" s="27">
        <f>PortfolioFrontier[[#This Row],[P121 Growth]]/PortfolioFrontier[[#This Row],[P121 HWM]]-1</f>
        <v>-1.7365376291155088E-2</v>
      </c>
      <c r="RS14" s="28">
        <f>SUMPRODUCT(INDEX(PortfolioRef[[SPY]:[PE]],MATCH(RS$1,PortfolioRef[Reference '#]),0),AssetMonthlyReturns[[#This Row],[SPY]:[PE]])</f>
        <v>-1.344395762790811E-2</v>
      </c>
      <c r="RT14" s="27">
        <f>IF(ISNUMBER(RT13),RT13*(1+PortfolioFrontier[[#This Row],[P122 Return]]),1+PortfolioFrontier[[#This Row],[P122 Return]])</f>
        <v>1.0509459937220125</v>
      </c>
      <c r="RU14" s="27">
        <f>MAX(RU13,PortfolioFrontier[[#This Row],[P122 Growth]])</f>
        <v>1.0661349333347574</v>
      </c>
      <c r="RV14" s="27">
        <f>PortfolioFrontier[[#This Row],[P122 Growth]]/PortfolioFrontier[[#This Row],[P122 HWM]]-1</f>
        <v>-1.4246732883271607E-2</v>
      </c>
      <c r="RW14" s="28">
        <f>SUMPRODUCT(INDEX(PortfolioRef[[SPY]:[PE]],MATCH(RW$1,PortfolioRef[Reference '#]),0),AssetMonthlyReturns[[#This Row],[SPY]:[PE]])</f>
        <v>-1.3303077705794386E-2</v>
      </c>
      <c r="RX14" s="27">
        <f>IF(ISNUMBER(RX13),RX13*(1+PortfolioFrontier[[#This Row],[P123 Return]]),1+PortfolioFrontier[[#This Row],[P123 Return]])</f>
        <v>1.0494070382057652</v>
      </c>
      <c r="RY14" s="27">
        <f>MAX(RY13,PortfolioFrontier[[#This Row],[P123 Growth]])</f>
        <v>1.0635556010104399</v>
      </c>
      <c r="RZ14" s="27">
        <f>PortfolioFrontier[[#This Row],[P123 Growth]]/PortfolioFrontier[[#This Row],[P123 HWM]]-1</f>
        <v>-1.3303077705794308E-2</v>
      </c>
      <c r="SA14" s="28">
        <f>SUMPRODUCT(INDEX(PortfolioRef[[SPY]:[PE]],MATCH(SA$1,PortfolioRef[Reference '#]),0),AssetMonthlyReturns[[#This Row],[SPY]:[PE]])</f>
        <v>-1.2418652777367839E-2</v>
      </c>
      <c r="SB14" s="27">
        <f>IF(ISNUMBER(SB13),SB13*(1+PortfolioFrontier[[#This Row],[P124 Return]]),1+PortfolioFrontier[[#This Row],[P124 Return]])</f>
        <v>1.0464059517129936</v>
      </c>
      <c r="SC14" s="27">
        <f>MAX(SC13,PortfolioFrontier[[#This Row],[P124 Growth]])</f>
        <v>1.0675364357312243</v>
      </c>
      <c r="SD14" s="27">
        <f>PortfolioFrontier[[#This Row],[P124 Growth]]/PortfolioFrontier[[#This Row],[P124 HWM]]-1</f>
        <v>-1.9793688825016198E-2</v>
      </c>
      <c r="SE14" s="28">
        <f>SUMPRODUCT(INDEX(PortfolioRef[[SPY]:[PE]],MATCH(SE$1,PortfolioRef[Reference '#]),0),AssetMonthlyReturns[[#This Row],[SPY]:[PE]])</f>
        <v>-1.2277772855254117E-2</v>
      </c>
      <c r="SF14" s="27">
        <f>IF(ISNUMBER(SF13),SF13*(1+PortfolioFrontier[[#This Row],[P125 Return]]),1+PortfolioFrontier[[#This Row],[P125 Return]])</f>
        <v>1.0449337111303654</v>
      </c>
      <c r="SG14" s="27">
        <f>MAX(SG13,PortfolioFrontier[[#This Row],[P125 Growth]])</f>
        <v>1.0626548391355537</v>
      </c>
      <c r="SH14" s="27">
        <f>PortfolioFrontier[[#This Row],[P125 Growth]]/PortfolioFrontier[[#This Row],[P125 HWM]]-1</f>
        <v>-1.6676278460844407E-2</v>
      </c>
      <c r="SI14" s="28">
        <f>SUMPRODUCT(INDEX(PortfolioRef[[SPY]:[PE]],MATCH(SI$1,PortfolioRef[Reference '#]),0),AssetMonthlyReturns[[#This Row],[SPY]:[PE]])</f>
        <v>-1.2136892933140391E-2</v>
      </c>
      <c r="SJ14" s="27">
        <f>IF(ISNUMBER(SJ13),SJ13*(1+PortfolioFrontier[[#This Row],[P126 Return]]),1+PortfolioFrontier[[#This Row],[P126 Return]])</f>
        <v>1.043416188609134</v>
      </c>
      <c r="SK14" s="27">
        <f>MAX(SK13,PortfolioFrontier[[#This Row],[P126 Growth]])</f>
        <v>1.0577853996594109</v>
      </c>
      <c r="SL14" s="27">
        <f>PortfolioFrontier[[#This Row],[P126 Growth]]/PortfolioFrontier[[#This Row],[P126 HWM]]-1</f>
        <v>-1.3584240295719252E-2</v>
      </c>
      <c r="SM14" s="28">
        <f>SUMPRODUCT(INDEX(PortfolioRef[[SPY]:[PE]],MATCH(SM$1,PortfolioRef[Reference '#]),0),AssetMonthlyReturns[[#This Row],[SPY]:[PE]])</f>
        <v>-1.3770577297345071E-2</v>
      </c>
      <c r="SN14" s="27">
        <f>IF(ISNUMBER(SN13),SN13*(1+PortfolioFrontier[[#This Row],[P127 Return]]),1+PortfolioFrontier[[#This Row],[P127 Return]])</f>
        <v>1.050679179027914</v>
      </c>
      <c r="SO14" s="27">
        <f>MAX(SO13,PortfolioFrontier[[#This Row],[P127 Growth]])</f>
        <v>1.072141988535577</v>
      </c>
      <c r="SP14" s="27">
        <f>PortfolioFrontier[[#This Row],[P127 Growth]]/PortfolioFrontier[[#This Row],[P127 HWM]]-1</f>
        <v>-2.0018626018908914E-2</v>
      </c>
      <c r="SQ14" s="28">
        <f>SUMPRODUCT(INDEX(PortfolioRef[[SPY]:[PE]],MATCH(SQ$1,PortfolioRef[Reference '#]),0),AssetMonthlyReturns[[#This Row],[SPY]:[PE]])</f>
        <v>-1.3629697375231349E-2</v>
      </c>
      <c r="SR14" s="27">
        <f>IF(ISNUMBER(SR13),SR13*(1+PortfolioFrontier[[#This Row],[P128 Return]]),1+PortfolioFrontier[[#This Row],[P128 Return]])</f>
        <v>1.0492102020049763</v>
      </c>
      <c r="SS14" s="27">
        <f>MAX(SS13,PortfolioFrontier[[#This Row],[P128 Growth]])</f>
        <v>1.0672408704018066</v>
      </c>
      <c r="ST14" s="27">
        <f>PortfolioFrontier[[#This Row],[P128 Growth]]/PortfolioFrontier[[#This Row],[P128 HWM]]-1</f>
        <v>-1.6894656957844867E-2</v>
      </c>
      <c r="SU14" s="28">
        <f>SUMPRODUCT(INDEX(PortfolioRef[[SPY]:[PE]],MATCH(SU$1,PortfolioRef[Reference '#]),0),AssetMonthlyReturns[[#This Row],[SPY]:[PE]])</f>
        <v>-1.3488817453117623E-2</v>
      </c>
      <c r="SV14" s="27">
        <f>IF(ISNUMBER(SV13),SV13*(1+PortfolioFrontier[[#This Row],[P129 Return]]),1+PortfolioFrontier[[#This Row],[P129 Return]])</f>
        <v>1.0476956992217183</v>
      </c>
      <c r="SW14" s="27">
        <f>MAX(SW13,PortfolioFrontier[[#This Row],[P129 Growth]])</f>
        <v>1.0623519347147268</v>
      </c>
      <c r="SX14" s="27">
        <f>PortfolioFrontier[[#This Row],[P129 Growth]]/PortfolioFrontier[[#This Row],[P129 HWM]]-1</f>
        <v>-1.3796026546460838E-2</v>
      </c>
      <c r="SY14" s="28">
        <f>SUMPRODUCT(INDEX(PortfolioRef[[SPY]:[PE]],MATCH(SY$1,PortfolioRef[Reference '#]),0),AssetMonthlyReturns[[#This Row],[SPY]:[PE]])</f>
        <v>-1.5122501817322304E-2</v>
      </c>
      <c r="SZ14" s="27">
        <f>IF(ISNUMBER(SZ13),SZ13*(1+PortfolioFrontier[[#This Row],[P130 Return]]),1+PortfolioFrontier[[#This Row],[P130 Return]])</f>
        <v>1.0549198739573489</v>
      </c>
      <c r="TA14" s="27">
        <f>MAX(TA13,PortfolioFrontier[[#This Row],[P130 Growth]])</f>
        <v>1.0767436947236253</v>
      </c>
      <c r="TB14" s="27">
        <f>PortfolioFrontier[[#This Row],[P130 Growth]]/PortfolioFrontier[[#This Row],[P130 HWM]]-1</f>
        <v>-2.0268352508790999E-2</v>
      </c>
      <c r="TC14" s="28">
        <f>SUMPRODUCT(INDEX(PortfolioRef[[SPY]:[PE]],MATCH(TC$1,PortfolioRef[Reference '#]),0),AssetMonthlyReturns[[#This Row],[SPY]:[PE]])</f>
        <v>-1.4981621895208581E-2</v>
      </c>
      <c r="TD14" s="27">
        <f>IF(ISNUMBER(TD13),TD13*(1+PortfolioFrontier[[#This Row],[P131 Return]]),1+PortfolioFrontier[[#This Row],[P131 Return]])</f>
        <v>1.0534542395217186</v>
      </c>
      <c r="TE14" s="27">
        <f>MAX(TE13,PortfolioFrontier[[#This Row],[P131 Growth]])</f>
        <v>1.0718230297939548</v>
      </c>
      <c r="TF14" s="27">
        <f>PortfolioFrontier[[#This Row],[P131 Growth]]/PortfolioFrontier[[#This Row],[P131 HWM]]-1</f>
        <v>-1.7137894747202287E-2</v>
      </c>
      <c r="TG14" s="28">
        <f>SUMPRODUCT(INDEX(PortfolioRef[[SPY]:[PE]],MATCH(TG$1,PortfolioRef[Reference '#]),0),AssetMonthlyReturns[[#This Row],[SPY]:[PE]])</f>
        <v>-1.4840741973094857E-2</v>
      </c>
      <c r="TH14" s="27">
        <f>IF(ISNUMBER(TH13),TH13*(1+PortfolioFrontier[[#This Row],[P132 Return]]),1+PortfolioFrontier[[#This Row],[P132 Return]])</f>
        <v>1.0519428362573062</v>
      </c>
      <c r="TI14" s="27">
        <f>MAX(TI13,PortfolioFrontier[[#This Row],[P132 Growth]])</f>
        <v>1.0677896265870317</v>
      </c>
      <c r="TJ14" s="27">
        <f>PortfolioFrontier[[#This Row],[P132 Growth]]/PortfolioFrontier[[#This Row],[P132 HWM]]-1</f>
        <v>-1.4840741973094929E-2</v>
      </c>
      <c r="TK14" s="28">
        <f>SUMPRODUCT(INDEX(PortfolioRef[[SPY]:[PE]],MATCH(TK$1,PortfolioRef[Reference '#]),0),AssetMonthlyReturns[[#This Row],[SPY]:[PE]])</f>
        <v>-1.395631704466831E-2</v>
      </c>
      <c r="TL14" s="27">
        <f>IF(ISNUMBER(TL13),TL13*(1+PortfolioFrontier[[#This Row],[P133 Return]]),1+PortfolioFrontier[[#This Row],[P133 Return]])</f>
        <v>1.0488778053868579</v>
      </c>
      <c r="TM14" s="27">
        <f>MAX(TM13,PortfolioFrontier[[#This Row],[P133 Growth]])</f>
        <v>1.0732236210449184</v>
      </c>
      <c r="TN14" s="27">
        <f>PortfolioFrontier[[#This Row],[P133 Growth]]/PortfolioFrontier[[#This Row],[P133 HWM]]-1</f>
        <v>-2.2684755702969683E-2</v>
      </c>
      <c r="TO14" s="28">
        <f>SUMPRODUCT(INDEX(PortfolioRef[[SPY]:[PE]],MATCH(TO$1,PortfolioRef[Reference '#]),0),AssetMonthlyReturns[[#This Row],[SPY]:[PE]])</f>
        <v>-1.3815437122554584E-2</v>
      </c>
      <c r="TP14" s="27">
        <f>IF(ISNUMBER(TP13),TP13*(1+PortfolioFrontier[[#This Row],[P134 Return]]),1+PortfolioFrontier[[#This Row],[P134 Return]])</f>
        <v>1.0474331574506017</v>
      </c>
      <c r="TQ14" s="27">
        <f>MAX(TQ13,PortfolioFrontier[[#This Row],[P134 Growth]])</f>
        <v>1.0683248496226843</v>
      </c>
      <c r="TR14" s="27">
        <f>PortfolioFrontier[[#This Row],[P134 Growth]]/PortfolioFrontier[[#This Row],[P134 HWM]]-1</f>
        <v>-1.9555561381410458E-2</v>
      </c>
      <c r="TS14" s="28">
        <f>SUMPRODUCT(INDEX(PortfolioRef[[SPY]:[PE]],MATCH(TS$1,PortfolioRef[Reference '#]),0),AssetMonthlyReturns[[#This Row],[SPY]:[PE]])</f>
        <v>-1.3674557200440862E-2</v>
      </c>
      <c r="TT14" s="27">
        <f>IF(ISNUMBER(TT13),TT13*(1+PortfolioFrontier[[#This Row],[P135 Return]]),1+PortfolioFrontier[[#This Row],[P135 Return]])</f>
        <v>1.0459430186917911</v>
      </c>
      <c r="TU14" s="27">
        <f>MAX(TU13,PortfolioFrontier[[#This Row],[P135 Growth]])</f>
        <v>1.0634382574598751</v>
      </c>
      <c r="TV14" s="27">
        <f>PortfolioFrontier[[#This Row],[P135 Growth]]/PortfolioFrontier[[#This Row],[P135 HWM]]-1</f>
        <v>-1.6451579248120241E-2</v>
      </c>
      <c r="TW14" s="28">
        <f>SUMPRODUCT(INDEX(PortfolioRef[[SPY]:[PE]],MATCH(TW$1,PortfolioRef[Reference '#]),0),AssetMonthlyReturns[[#This Row],[SPY]:[PE]])</f>
        <v>-1.5308241564645542E-2</v>
      </c>
      <c r="TX14" s="27">
        <f>IF(ISNUMBER(TX13),TX13*(1+PortfolioFrontier[[#This Row],[P136 Return]]),1+PortfolioFrontier[[#This Row],[P136 Return]])</f>
        <v>1.0531441784149023</v>
      </c>
      <c r="TY14" s="27">
        <f>MAX(TY13,PortfolioFrontier[[#This Row],[P136 Growth]])</f>
        <v>1.0778479758950288</v>
      </c>
      <c r="TZ14" s="27">
        <f>PortfolioFrontier[[#This Row],[P136 Growth]]/PortfolioFrontier[[#This Row],[P136 HWM]]-1</f>
        <v>-2.2919556405543107E-2</v>
      </c>
      <c r="UA14" s="28">
        <f>SUMPRODUCT(INDEX(PortfolioRef[[SPY]:[PE]],MATCH(UA$1,PortfolioRef[Reference '#]),0),AssetMonthlyReturns[[#This Row],[SPY]:[PE]])</f>
        <v>-1.5167361642531817E-2</v>
      </c>
      <c r="UB14" s="27">
        <f>IF(ISNUMBER(UB13),UB13*(1+PortfolioFrontier[[#This Row],[P137 Return]]),1+PortfolioFrontier[[#This Row],[P137 Return]])</f>
        <v>1.0517029713409849</v>
      </c>
      <c r="UC14" s="27">
        <f>MAX(UC13,PortfolioFrontier[[#This Row],[P137 Growth]])</f>
        <v>1.0729296445539775</v>
      </c>
      <c r="UD14" s="27">
        <f>PortfolioFrontier[[#This Row],[P137 Growth]]/PortfolioFrontier[[#This Row],[P137 HWM]]-1</f>
        <v>-1.9783844468028167E-2</v>
      </c>
      <c r="UE14" s="28">
        <f>SUMPRODUCT(INDEX(PortfolioRef[[SPY]:[PE]],MATCH(UE$1,PortfolioRef[Reference '#]),0),AssetMonthlyReturns[[#This Row],[SPY]:[PE]])</f>
        <v>-1.5026481720418094E-2</v>
      </c>
      <c r="UF14" s="27">
        <f>IF(ISNUMBER(UF13),UF13*(1+PortfolioFrontier[[#This Row],[P138 Return]]),1+PortfolioFrontier[[#This Row],[P138 Return]])</f>
        <v>1.0502160296765455</v>
      </c>
      <c r="UG14" s="27">
        <f>MAX(UG13,PortfolioFrontier[[#This Row],[P138 Growth]])</f>
        <v>1.0680235177995143</v>
      </c>
      <c r="UH14" s="27">
        <f>PortfolioFrontier[[#This Row],[P138 Growth]]/PortfolioFrontier[[#This Row],[P138 HWM]]-1</f>
        <v>-1.6673310864594226E-2</v>
      </c>
      <c r="UI14" s="28">
        <f>SUMPRODUCT(INDEX(PortfolioRef[[SPY]:[PE]],MATCH(UI$1,PortfolioRef[Reference '#]),0),AssetMonthlyReturns[[#This Row],[SPY]:[PE]])</f>
        <v>-1.6660166084622775E-2</v>
      </c>
      <c r="UJ14" s="27">
        <f>IF(ISNUMBER(UJ13),UJ13*(1+PortfolioFrontier[[#This Row],[P139 Return]]),1+PortfolioFrontier[[#This Row],[P139 Return]])</f>
        <v>1.0573778767977169</v>
      </c>
      <c r="UK14" s="27">
        <f>MAX(UK13,PortfolioFrontier[[#This Row],[P139 Growth]])</f>
        <v>1.0824684769452779</v>
      </c>
      <c r="UL14" s="27">
        <f>PortfolioFrontier[[#This Row],[P139 Growth]]/PortfolioFrontier[[#This Row],[P139 HWM]]-1</f>
        <v>-2.3179058496342164E-2</v>
      </c>
      <c r="UM14" s="28">
        <f>SUMPRODUCT(INDEX(PortfolioRef[[SPY]:[PE]],MATCH(UM$1,PortfolioRef[Reference '#]),0),AssetMonthlyReturns[[#This Row],[SPY]:[PE]])</f>
        <v>-1.6519286162509049E-2</v>
      </c>
      <c r="UN14" s="27">
        <f>IF(ISNUMBER(UN13),UN13*(1+PortfolioFrontier[[#This Row],[P140 Return]]),1+PortfolioFrontier[[#This Row],[P140 Return]])</f>
        <v>1.0559401891406974</v>
      </c>
      <c r="UO14" s="27">
        <f>MAX(UO13,PortfolioFrontier[[#This Row],[P140 Growth]])</f>
        <v>1.0775305604276091</v>
      </c>
      <c r="UP14" s="27">
        <f>PortfolioFrontier[[#This Row],[P140 Growth]]/PortfolioFrontier[[#This Row],[P140 HWM]]-1</f>
        <v>-2.0036899258192409E-2</v>
      </c>
      <c r="UQ14" s="28">
        <f>SUMPRODUCT(INDEX(PortfolioRef[[SPY]:[PE]],MATCH(UQ$1,PortfolioRef[Reference '#]),0),AssetMonthlyReturns[[#This Row],[SPY]:[PE]])</f>
        <v>-1.6378406240395327E-2</v>
      </c>
      <c r="UR14" s="27">
        <f>IF(ISNUMBER(UR13),UR13*(1+PortfolioFrontier[[#This Row],[P141 Return]]),1+PortfolioFrontier[[#This Row],[P141 Return]])</f>
        <v>1.0544565238887986</v>
      </c>
      <c r="US14" s="27">
        <f>MAX(US13,PortfolioFrontier[[#This Row],[P141 Growth]])</f>
        <v>1.0726048738236913</v>
      </c>
      <c r="UT14" s="27">
        <f>PortfolioFrontier[[#This Row],[P141 Growth]]/PortfolioFrontier[[#This Row],[P141 HWM]]-1</f>
        <v>-1.6919883899274346E-2</v>
      </c>
    </row>
    <row r="15" spans="1:566" x14ac:dyDescent="0.2">
      <c r="B15" s="41">
        <f>AssetMonthlyReturns[[#This Row],[Date]]</f>
        <v>42826</v>
      </c>
      <c r="C15" s="28">
        <f>SUMPRODUCT(INDEX(PortfolioRef[[SPY]:[PE]],MATCH(C$1,PortfolioRef[Reference '#]),0),AssetMonthlyReturns[[#This Row],[SPY]:[PE]])</f>
        <v>1.1409828238729115E-2</v>
      </c>
      <c r="D15" s="29">
        <f>IF(ISNUMBER(D14),D14*(1+PortfolioFrontier[[#This Row],[P1 Return]]),1+PortfolioFrontier[[#This Row],[P1 Return]])</f>
        <v>1.1028900453619379</v>
      </c>
      <c r="E15" s="29">
        <f>MAX(E14,PortfolioFrontier[[#This Row],[P1 Growth]])</f>
        <v>1.1028900453619379</v>
      </c>
      <c r="F15" s="29">
        <f>PortfolioFrontier[[#This Row],[P1 Growth]]/PortfolioFrontier[[#This Row],[P1 HWM]]-1</f>
        <v>0</v>
      </c>
      <c r="G15" s="28">
        <f>SUMPRODUCT(INDEX(PortfolioRef[[SPY]:[PE]],MATCH(G$1,PortfolioRef[Reference '#]),0),AssetMonthlyReturns[[#This Row],[SPY]:[PE]])</f>
        <v>1.1146159031536452E-2</v>
      </c>
      <c r="H15" s="27">
        <f>IF(ISNUMBER(H14),H14*(1+PortfolioFrontier[[#This Row],[P2 Return]]),1+PortfolioFrontier[[#This Row],[P2 Return]])</f>
        <v>1.0943861650774886</v>
      </c>
      <c r="I15" s="27">
        <f>MAX(I14,PortfolioFrontier[[#This Row],[P2 Growth]])</f>
        <v>1.0943861650774886</v>
      </c>
      <c r="J15" s="27">
        <f>PortfolioFrontier[[#This Row],[P2 Growth]]/PortfolioFrontier[[#This Row],[P2 HWM]]-1</f>
        <v>0</v>
      </c>
      <c r="K15" s="28">
        <f>SUMPRODUCT(INDEX(PortfolioRef[[SPY]:[PE]],MATCH(K$1,PortfolioRef[Reference '#]),0),AssetMonthlyReturns[[#This Row],[SPY]:[PE]])</f>
        <v>1.1557206267538755E-2</v>
      </c>
      <c r="L15" s="27">
        <f>IF(ISNUMBER(L14),L14*(1+PortfolioFrontier[[#This Row],[P3 Return]]),1+PortfolioFrontier[[#This Row],[P3 Return]])</f>
        <v>1.0931043990437905</v>
      </c>
      <c r="M15" s="27">
        <f>MAX(M14,PortfolioFrontier[[#This Row],[P3 Growth]])</f>
        <v>1.0931043990437905</v>
      </c>
      <c r="N15" s="27">
        <f>PortfolioFrontier[[#This Row],[P3 Growth]]/PortfolioFrontier[[#This Row],[P3 HWM]]-1</f>
        <v>0</v>
      </c>
      <c r="O15" s="28">
        <f>SUMPRODUCT(INDEX(PortfolioRef[[SPY]:[PE]],MATCH(O$1,PortfolioRef[Reference '#]),0),AssetMonthlyReturns[[#This Row],[SPY]:[PE]])</f>
        <v>1.1181191324758276E-2</v>
      </c>
      <c r="P15" s="27">
        <f>IF(ISNUMBER(P14),P14*(1+PortfolioFrontier[[#This Row],[P4 Return]]),1+PortfolioFrontier[[#This Row],[P4 Return]])</f>
        <v>1.0970716785999308</v>
      </c>
      <c r="Q15" s="27">
        <f>MAX(Q14,PortfolioFrontier[[#This Row],[P4 Growth]])</f>
        <v>1.0970716785999308</v>
      </c>
      <c r="R15" s="27">
        <f>PortfolioFrontier[[#This Row],[P4 Growth]]/PortfolioFrontier[[#This Row],[P4 HWM]]-1</f>
        <v>0</v>
      </c>
      <c r="S15" s="28">
        <f>SUMPRODUCT(INDEX(PortfolioRef[[SPY]:[PE]],MATCH(S$1,PortfolioRef[Reference '#]),0),AssetMonthlyReturns[[#This Row],[SPY]:[PE]])</f>
        <v>1.0431544694907174E-2</v>
      </c>
      <c r="T15" s="27">
        <f>IF(ISNUMBER(T14),T14*(1+PortfolioFrontier[[#This Row],[P5 Return]]),1+PortfolioFrontier[[#This Row],[P5 Return]])</f>
        <v>1.0946307066720151</v>
      </c>
      <c r="U15" s="27">
        <f>MAX(U14,PortfolioFrontier[[#This Row],[P5 Growth]])</f>
        <v>1.0946307066720151</v>
      </c>
      <c r="V15" s="27">
        <f>PortfolioFrontier[[#This Row],[P5 Growth]]/PortfolioFrontier[[#This Row],[P5 HWM]]-1</f>
        <v>0</v>
      </c>
      <c r="W15" s="28">
        <f>SUMPRODUCT(INDEX(PortfolioRef[[SPY]:[PE]],MATCH(W$1,PortfolioRef[Reference '#]),0),AssetMonthlyReturns[[#This Row],[SPY]:[PE]])</f>
        <v>1.088248982434379E-2</v>
      </c>
      <c r="X15" s="27">
        <f>IF(ISNUMBER(X14),X14*(1+PortfolioFrontier[[#This Row],[P6 Return]]),1+PortfolioFrontier[[#This Row],[P6 Return]])</f>
        <v>1.0859273052858212</v>
      </c>
      <c r="Y15" s="27">
        <f>MAX(Y14,PortfolioFrontier[[#This Row],[P6 Growth]])</f>
        <v>1.0859273052858212</v>
      </c>
      <c r="Z15" s="27">
        <f>PortfolioFrontier[[#This Row],[P6 Growth]]/PortfolioFrontier[[#This Row],[P6 HWM]]-1</f>
        <v>0</v>
      </c>
      <c r="AA15" s="28">
        <f>SUMPRODUCT(INDEX(PortfolioRef[[SPY]:[PE]],MATCH(AA$1,PortfolioRef[Reference '#]),0),AssetMonthlyReturns[[#This Row],[SPY]:[PE]])</f>
        <v>1.1293537060346094E-2</v>
      </c>
      <c r="AB15" s="27">
        <f>IF(ISNUMBER(AB14),AB14*(1+PortfolioFrontier[[#This Row],[P7 Return]]),1+PortfolioFrontier[[#This Row],[P7 Return]])</f>
        <v>1.0846442758270021</v>
      </c>
      <c r="AC15" s="27">
        <f>MAX(AC14,PortfolioFrontier[[#This Row],[P7 Growth]])</f>
        <v>1.0846442758270021</v>
      </c>
      <c r="AD15" s="27">
        <f>PortfolioFrontier[[#This Row],[P7 Growth]]/PortfolioFrontier[[#This Row],[P7 HWM]]-1</f>
        <v>0</v>
      </c>
      <c r="AE15" s="28">
        <f>SUMPRODUCT(INDEX(PortfolioRef[[SPY]:[PE]],MATCH(AE$1,PortfolioRef[Reference '#]),0),AssetMonthlyReturns[[#This Row],[SPY]:[PE]])</f>
        <v>1.0917522117565614E-2</v>
      </c>
      <c r="AF15" s="27">
        <f>IF(ISNUMBER(AF14),AF14*(1+PortfolioFrontier[[#This Row],[P8 Return]]),1+PortfolioFrontier[[#This Row],[P8 Return]])</f>
        <v>1.0886018077902282</v>
      </c>
      <c r="AG15" s="27">
        <f>MAX(AG14,PortfolioFrontier[[#This Row],[P8 Growth]])</f>
        <v>1.0886018077902282</v>
      </c>
      <c r="AH15" s="27">
        <f>PortfolioFrontier[[#This Row],[P8 Growth]]/PortfolioFrontier[[#This Row],[P8 HWM]]-1</f>
        <v>0</v>
      </c>
      <c r="AI15" s="28">
        <f>SUMPRODUCT(INDEX(PortfolioRef[[SPY]:[PE]],MATCH(AI$1,PortfolioRef[Reference '#]),0),AssetMonthlyReturns[[#This Row],[SPY]:[PE]])</f>
        <v>1.0167875487714513E-2</v>
      </c>
      <c r="AJ15" s="27">
        <f>IF(ISNUMBER(AJ14),AJ14*(1+PortfolioFrontier[[#This Row],[P9 Return]]),1+PortfolioFrontier[[#This Row],[P9 Return]])</f>
        <v>1.086174469013359</v>
      </c>
      <c r="AK15" s="27">
        <f>MAX(AK14,PortfolioFrontier[[#This Row],[P9 Growth]])</f>
        <v>1.086174469013359</v>
      </c>
      <c r="AL15" s="27">
        <f>PortfolioFrontier[[#This Row],[P9 Growth]]/PortfolioFrontier[[#This Row],[P9 HWM]]-1</f>
        <v>0</v>
      </c>
      <c r="AM15" s="28">
        <f>SUMPRODUCT(INDEX(PortfolioRef[[SPY]:[PE]],MATCH(AM$1,PortfolioRef[Reference '#]),0),AssetMonthlyReturns[[#This Row],[SPY]:[PE]])</f>
        <v>1.1704584296348398E-2</v>
      </c>
      <c r="AN15" s="27">
        <f>IF(ISNUMBER(AN14),AN14*(1+PortfolioFrontier[[#This Row],[P10 Return]]),1+PortfolioFrontier[[#This Row],[P10 Return]])</f>
        <v>1.0833169712505974</v>
      </c>
      <c r="AO15" s="27">
        <f>MAX(AO14,PortfolioFrontier[[#This Row],[P10 Growth]])</f>
        <v>1.0833169712505974</v>
      </c>
      <c r="AP15" s="27">
        <f>PortfolioFrontier[[#This Row],[P10 Growth]]/PortfolioFrontier[[#This Row],[P10 HWM]]-1</f>
        <v>0</v>
      </c>
      <c r="AQ15" s="28">
        <f>SUMPRODUCT(INDEX(PortfolioRef[[SPY]:[PE]],MATCH(AQ$1,PortfolioRef[Reference '#]),0),AssetMonthlyReturns[[#This Row],[SPY]:[PE]])</f>
        <v>1.1328569353567918E-2</v>
      </c>
      <c r="AR15" s="27">
        <f>IF(ISNUMBER(AR14),AR14*(1+PortfolioFrontier[[#This Row],[P11 Return]]),1+PortfolioFrontier[[#This Row],[P11 Return]])</f>
        <v>1.0873037958169671</v>
      </c>
      <c r="AS15" s="27">
        <f>MAX(AS14,PortfolioFrontier[[#This Row],[P11 Growth]])</f>
        <v>1.0873037958169671</v>
      </c>
      <c r="AT15" s="27">
        <f>PortfolioFrontier[[#This Row],[P11 Growth]]/PortfolioFrontier[[#This Row],[P11 HWM]]-1</f>
        <v>0</v>
      </c>
      <c r="AU15" s="28">
        <f>SUMPRODUCT(INDEX(PortfolioRef[[SPY]:[PE]],MATCH(AU$1,PortfolioRef[Reference '#]),0),AssetMonthlyReturns[[#This Row],[SPY]:[PE]])</f>
        <v>1.0578922723716817E-2</v>
      </c>
      <c r="AV15" s="27">
        <f>IF(ISNUMBER(AV14),AV14*(1+PortfolioFrontier[[#This Row],[P12 Return]]),1+PortfolioFrontier[[#This Row],[P12 Return]])</f>
        <v>1.0849023768506845</v>
      </c>
      <c r="AW15" s="27">
        <f>MAX(AW14,PortfolioFrontier[[#This Row],[P12 Growth]])</f>
        <v>1.0849023768506845</v>
      </c>
      <c r="AX15" s="27">
        <f>PortfolioFrontier[[#This Row],[P12 Growth]]/PortfolioFrontier[[#This Row],[P12 HWM]]-1</f>
        <v>0</v>
      </c>
      <c r="AY15" s="28">
        <f>SUMPRODUCT(INDEX(PortfolioRef[[SPY]:[PE]],MATCH(AY$1,PortfolioRef[Reference '#]),0),AssetMonthlyReturns[[#This Row],[SPY]:[PE]])</f>
        <v>1.095255441078744E-2</v>
      </c>
      <c r="AZ15" s="27">
        <f>IF(ISNUMBER(AZ14),AZ14*(1+PortfolioFrontier[[#This Row],[P13 Return]]),1+PortfolioFrontier[[#This Row],[P13 Return]])</f>
        <v>1.0912537178866515</v>
      </c>
      <c r="BA15" s="27">
        <f>MAX(BA14,PortfolioFrontier[[#This Row],[P13 Growth]])</f>
        <v>1.0914529051318316</v>
      </c>
      <c r="BB15" s="27">
        <f>PortfolioFrontier[[#This Row],[P13 Growth]]/PortfolioFrontier[[#This Row],[P13 HWM]]-1</f>
        <v>-1.8249733382313948E-4</v>
      </c>
      <c r="BC15" s="28">
        <f>SUMPRODUCT(INDEX(PortfolioRef[[SPY]:[PE]],MATCH(BC$1,PortfolioRef[Reference '#]),0),AssetMonthlyReturns[[#This Row],[SPY]:[PE]])</f>
        <v>1.0202907780936337E-2</v>
      </c>
      <c r="BD15" s="27">
        <f>IF(ISNUMBER(BD14),BD14*(1+PortfolioFrontier[[#This Row],[P14 Return]]),1+PortfolioFrontier[[#This Row],[P14 Return]])</f>
        <v>1.088852761732588</v>
      </c>
      <c r="BE15" s="27">
        <f>MAX(BE14,PortfolioFrontier[[#This Row],[P14 Growth]])</f>
        <v>1.0897044417465918</v>
      </c>
      <c r="BF15" s="27">
        <f>PortfolioFrontier[[#This Row],[P14 Growth]]/PortfolioFrontier[[#This Row],[P14 HWM]]-1</f>
        <v>-7.8156973705512112E-4</v>
      </c>
      <c r="BG15" s="28">
        <f>SUMPRODUCT(INDEX(PortfolioRef[[SPY]:[PE]],MATCH(BG$1,PortfolioRef[Reference '#]),0),AssetMonthlyReturns[[#This Row],[SPY]:[PE]])</f>
        <v>9.4532611510852356E-3</v>
      </c>
      <c r="BH15" s="27">
        <f>IF(ISNUMBER(BH14),BH14*(1+PortfolioFrontier[[#This Row],[P15 Return]]),1+PortfolioFrontier[[#This Row],[P15 Return]])</f>
        <v>1.0864072734412606</v>
      </c>
      <c r="BI15" s="27">
        <f>MAX(BI14,PortfolioFrontier[[#This Row],[P15 Growth]])</f>
        <v>1.0879095169537805</v>
      </c>
      <c r="BJ15" s="27">
        <f>PortfolioFrontier[[#This Row],[P15 Growth]]/PortfolioFrontier[[#This Row],[P15 HWM]]-1</f>
        <v>-1.3808533606050055E-3</v>
      </c>
      <c r="BK15" s="28">
        <f>SUMPRODUCT(INDEX(PortfolioRef[[SPY]:[PE]],MATCH(BK$1,PortfolioRef[Reference '#]),0),AssetMonthlyReturns[[#This Row],[SPY]:[PE]])</f>
        <v>1.0618820617151126E-2</v>
      </c>
      <c r="BL15" s="27">
        <f>IF(ISNUMBER(BL14),BL14*(1+PortfolioFrontier[[#This Row],[P16 Return]]),1+PortfolioFrontier[[#This Row],[P16 Return]])</f>
        <v>1.0775133478526109</v>
      </c>
      <c r="BM15" s="27">
        <f>MAX(BM14,PortfolioFrontier[[#This Row],[P16 Growth]])</f>
        <v>1.0775133478526109</v>
      </c>
      <c r="BN15" s="27">
        <f>PortfolioFrontier[[#This Row],[P16 Growth]]/PortfolioFrontier[[#This Row],[P16 HWM]]-1</f>
        <v>0</v>
      </c>
      <c r="BO15" s="28">
        <f>SUMPRODUCT(INDEX(PortfolioRef[[SPY]:[PE]],MATCH(BO$1,PortfolioRef[Reference '#]),0),AssetMonthlyReturns[[#This Row],[SPY]:[PE]])</f>
        <v>1.1029867853153432E-2</v>
      </c>
      <c r="BP15" s="27">
        <f>IF(ISNUMBER(BP14),BP14*(1+PortfolioFrontier[[#This Row],[P17 Return]]),1+PortfolioFrontier[[#This Row],[P17 Return]])</f>
        <v>1.0762291332342619</v>
      </c>
      <c r="BQ15" s="27">
        <f>MAX(BQ14,PortfolioFrontier[[#This Row],[P17 Growth]])</f>
        <v>1.0762291332342619</v>
      </c>
      <c r="BR15" s="27">
        <f>PortfolioFrontier[[#This Row],[P17 Growth]]/PortfolioFrontier[[#This Row],[P17 HWM]]-1</f>
        <v>0</v>
      </c>
      <c r="BS15" s="28">
        <f>SUMPRODUCT(INDEX(PortfolioRef[[SPY]:[PE]],MATCH(BS$1,PortfolioRef[Reference '#]),0),AssetMonthlyReturns[[#This Row],[SPY]:[PE]])</f>
        <v>1.0653852910372952E-2</v>
      </c>
      <c r="BT15" s="27">
        <f>IF(ISNUMBER(BT14),BT14*(1+PortfolioFrontier[[#This Row],[P18 Return]]),1+PortfolioFrontier[[#This Row],[P18 Return]])</f>
        <v>1.0801768404797396</v>
      </c>
      <c r="BU15" s="27">
        <f>MAX(BU14,PortfolioFrontier[[#This Row],[P18 Growth]])</f>
        <v>1.0801768404797396</v>
      </c>
      <c r="BV15" s="27">
        <f>PortfolioFrontier[[#This Row],[P18 Growth]]/PortfolioFrontier[[#This Row],[P18 HWM]]-1</f>
        <v>0</v>
      </c>
      <c r="BW15" s="28">
        <f>SUMPRODUCT(INDEX(PortfolioRef[[SPY]:[PE]],MATCH(BW$1,PortfolioRef[Reference '#]),0),AssetMonthlyReturns[[#This Row],[SPY]:[PE]])</f>
        <v>9.904206280521851E-3</v>
      </c>
      <c r="BX15" s="27">
        <f>IF(ISNUMBER(BX14),BX14*(1+PortfolioFrontier[[#This Row],[P19 Return]]),1+PortfolioFrontier[[#This Row],[P19 Return]])</f>
        <v>1.0777630948449128</v>
      </c>
      <c r="BY15" s="27">
        <f>MAX(BY14,PortfolioFrontier[[#This Row],[P19 Growth]])</f>
        <v>1.0777630948449128</v>
      </c>
      <c r="BZ15" s="27">
        <f>PortfolioFrontier[[#This Row],[P19 Growth]]/PortfolioFrontier[[#This Row],[P19 HWM]]-1</f>
        <v>0</v>
      </c>
      <c r="CA15" s="28">
        <f>SUMPRODUCT(INDEX(PortfolioRef[[SPY]:[PE]],MATCH(CA$1,PortfolioRef[Reference '#]),0),AssetMonthlyReturns[[#This Row],[SPY]:[PE]])</f>
        <v>1.1440915089155736E-2</v>
      </c>
      <c r="CB15" s="27">
        <f>IF(ISNUMBER(CB14),CB14*(1+PortfolioFrontier[[#This Row],[P20 Return]]),1+PortfolioFrontier[[#This Row],[P20 Return]])</f>
        <v>1.0749009456896581</v>
      </c>
      <c r="CC15" s="27">
        <f>MAX(CC14,PortfolioFrontier[[#This Row],[P20 Growth]])</f>
        <v>1.0749009456896581</v>
      </c>
      <c r="CD15" s="27">
        <f>PortfolioFrontier[[#This Row],[P20 Growth]]/PortfolioFrontier[[#This Row],[P20 HWM]]-1</f>
        <v>0</v>
      </c>
      <c r="CE15" s="28">
        <f>SUMPRODUCT(INDEX(PortfolioRef[[SPY]:[PE]],MATCH(CE$1,PortfolioRef[Reference '#]),0),AssetMonthlyReturns[[#This Row],[SPY]:[PE]])</f>
        <v>1.1064900146375256E-2</v>
      </c>
      <c r="CF15" s="27">
        <f>IF(ISNUMBER(CF14),CF14*(1+PortfolioFrontier[[#This Row],[P21 Return]]),1+PortfolioFrontier[[#This Row],[P21 Return]])</f>
        <v>1.078877736360909</v>
      </c>
      <c r="CG15" s="27">
        <f>MAX(CG14,PortfolioFrontier[[#This Row],[P21 Growth]])</f>
        <v>1.078877736360909</v>
      </c>
      <c r="CH15" s="27">
        <f>PortfolioFrontier[[#This Row],[P21 Growth]]/PortfolioFrontier[[#This Row],[P21 HWM]]-1</f>
        <v>0</v>
      </c>
      <c r="CI15" s="28">
        <f>SUMPRODUCT(INDEX(PortfolioRef[[SPY]:[PE]],MATCH(CI$1,PortfolioRef[Reference '#]),0),AssetMonthlyReturns[[#This Row],[SPY]:[PE]])</f>
        <v>1.0315253516524155E-2</v>
      </c>
      <c r="CJ15" s="27">
        <f>IF(ISNUMBER(CJ14),CJ14*(1+PortfolioFrontier[[#This Row],[P22 Return]]),1+PortfolioFrontier[[#This Row],[P22 Return]])</f>
        <v>1.0764897442409951</v>
      </c>
      <c r="CK15" s="27">
        <f>MAX(CK14,PortfolioFrontier[[#This Row],[P22 Growth]])</f>
        <v>1.0764897442409951</v>
      </c>
      <c r="CL15" s="27">
        <f>PortfolioFrontier[[#This Row],[P22 Growth]]/PortfolioFrontier[[#This Row],[P22 HWM]]-1</f>
        <v>0</v>
      </c>
      <c r="CM15" s="28">
        <f>SUMPRODUCT(INDEX(PortfolioRef[[SPY]:[PE]],MATCH(CM$1,PortfolioRef[Reference '#]),0),AssetMonthlyReturns[[#This Row],[SPY]:[PE]])</f>
        <v>1.0688885203594779E-2</v>
      </c>
      <c r="CN15" s="27">
        <f>IF(ISNUMBER(CN14),CN14*(1+PortfolioFrontier[[#This Row],[P23 Return]]),1+PortfolioFrontier[[#This Row],[P23 Return]])</f>
        <v>1.0828179401317255</v>
      </c>
      <c r="CO15" s="27">
        <f>MAX(CO14,PortfolioFrontier[[#This Row],[P23 Growth]])</f>
        <v>1.0831598790513297</v>
      </c>
      <c r="CP15" s="27">
        <f>PortfolioFrontier[[#This Row],[P23 Growth]]/PortfolioFrontier[[#This Row],[P23 HWM]]-1</f>
        <v>-3.1568647086865909E-4</v>
      </c>
      <c r="CQ15" s="28">
        <f>SUMPRODUCT(INDEX(PortfolioRef[[SPY]:[PE]],MATCH(CQ$1,PortfolioRef[Reference '#]),0),AssetMonthlyReturns[[#This Row],[SPY]:[PE]])</f>
        <v>9.9392385737436754E-3</v>
      </c>
      <c r="CR15" s="27">
        <f>IF(ISNUMBER(CR14),CR14*(1+PortfolioFrontier[[#This Row],[P24 Return]]),1+PortfolioFrontier[[#This Row],[P24 Return]])</f>
        <v>1.0804303513006468</v>
      </c>
      <c r="CS15" s="27">
        <f>MAX(CS14,PortfolioFrontier[[#This Row],[P24 Growth]])</f>
        <v>1.0814197320970851</v>
      </c>
      <c r="CT15" s="27">
        <f>PortfolioFrontier[[#This Row],[P24 Growth]]/PortfolioFrontier[[#This Row],[P24 HWM]]-1</f>
        <v>-9.1489064520733354E-4</v>
      </c>
      <c r="CU15" s="28">
        <f>SUMPRODUCT(INDEX(PortfolioRef[[SPY]:[PE]],MATCH(CU$1,PortfolioRef[Reference '#]),0),AssetMonthlyReturns[[#This Row],[SPY]:[PE]])</f>
        <v>9.1895919438925739E-3</v>
      </c>
      <c r="CV15" s="27">
        <f>IF(ISNUMBER(CV14),CV14*(1+PortfolioFrontier[[#This Row],[P25 Return]]),1+PortfolioFrontier[[#This Row],[P25 Return]])</f>
        <v>1.0779985682251945</v>
      </c>
      <c r="CW15" s="27">
        <f>MAX(CW14,PortfolioFrontier[[#This Row],[P25 Growth]])</f>
        <v>1.0796334637001144</v>
      </c>
      <c r="CX15" s="27">
        <f>PortfolioFrontier[[#This Row],[P25 Growth]]/PortfolioFrontier[[#This Row],[P25 HWM]]-1</f>
        <v>-1.5143060398635777E-3</v>
      </c>
      <c r="CY15" s="28">
        <f>SUMPRODUCT(INDEX(PortfolioRef[[SPY]:[PE]],MATCH(CY$1,PortfolioRef[Reference '#]),0),AssetMonthlyReturns[[#This Row],[SPY]:[PE]])</f>
        <v>1.147594738237756E-2</v>
      </c>
      <c r="CZ15" s="27">
        <f>IF(ISNUMBER(CZ14),CZ14*(1+PortfolioFrontier[[#This Row],[P26 Return]]),1+PortfolioFrontier[[#This Row],[P26 Return]])</f>
        <v>1.0775346640882588</v>
      </c>
      <c r="DA15" s="27">
        <f>MAX(DA14,PortfolioFrontier[[#This Row],[P26 Growth]])</f>
        <v>1.0775346640882588</v>
      </c>
      <c r="DB15" s="27">
        <f>PortfolioFrontier[[#This Row],[P26 Growth]]/PortfolioFrontier[[#This Row],[P26 HWM]]-1</f>
        <v>0</v>
      </c>
      <c r="DC15" s="28">
        <f>SUMPRODUCT(INDEX(PortfolioRef[[SPY]:[PE]],MATCH(DC$1,PortfolioRef[Reference '#]),0),AssetMonthlyReturns[[#This Row],[SPY]:[PE]])</f>
        <v>1.0726300752526459E-2</v>
      </c>
      <c r="DD15" s="27">
        <f>IF(ISNUMBER(DD14),DD14*(1+PortfolioFrontier[[#This Row],[P27 Return]]),1+PortfolioFrontier[[#This Row],[P27 Return]])</f>
        <v>1.0751723879825907</v>
      </c>
      <c r="DE15" s="27">
        <f>MAX(DE14,PortfolioFrontier[[#This Row],[P27 Growth]])</f>
        <v>1.0751723879825907</v>
      </c>
      <c r="DF15" s="27">
        <f>PortfolioFrontier[[#This Row],[P27 Growth]]/PortfolioFrontier[[#This Row],[P27 HWM]]-1</f>
        <v>0</v>
      </c>
      <c r="DG15" s="28">
        <f>SUMPRODUCT(INDEX(PortfolioRef[[SPY]:[PE]],MATCH(DG$1,PortfolioRef[Reference '#]),0),AssetMonthlyReturns[[#This Row],[SPY]:[PE]])</f>
        <v>1.1099932439597083E-2</v>
      </c>
      <c r="DH15" s="27">
        <f>IF(ISNUMBER(DH14),DH14*(1+PortfolioFrontier[[#This Row],[P28 Return]]),1+PortfolioFrontier[[#This Row],[P28 Return]])</f>
        <v>1.0815039267036644</v>
      </c>
      <c r="DI15" s="27">
        <f>MAX(DI14,PortfolioFrontier[[#This Row],[P28 Growth]])</f>
        <v>1.0816087521580038</v>
      </c>
      <c r="DJ15" s="27">
        <f>PortfolioFrontier[[#This Row],[P28 Growth]]/PortfolioFrontier[[#This Row],[P28 HWM]]-1</f>
        <v>-9.6916240859057368E-5</v>
      </c>
      <c r="DK15" s="28">
        <f>SUMPRODUCT(INDEX(PortfolioRef[[SPY]:[PE]],MATCH(DK$1,PortfolioRef[Reference '#]),0),AssetMonthlyReturns[[#This Row],[SPY]:[PE]])</f>
        <v>1.0350285809745979E-2</v>
      </c>
      <c r="DL15" s="27">
        <f>IF(ISNUMBER(DL14),DL14*(1+PortfolioFrontier[[#This Row],[P29 Return]]),1+PortfolioFrontier[[#This Row],[P29 Return]])</f>
        <v>1.0791421262480001</v>
      </c>
      <c r="DM15" s="27">
        <f>MAX(DM14,PortfolioFrontier[[#This Row],[P29 Growth]])</f>
        <v>1.0798936493652558</v>
      </c>
      <c r="DN15" s="27">
        <f>PortfolioFrontier[[#This Row],[P29 Growth]]/PortfolioFrontier[[#This Row],[P29 HWM]]-1</f>
        <v>-6.9592326771938939E-4</v>
      </c>
      <c r="DO15" s="28">
        <f>SUMPRODUCT(INDEX(PortfolioRef[[SPY]:[PE]],MATCH(DO$1,PortfolioRef[Reference '#]),0),AssetMonthlyReturns[[#This Row],[SPY]:[PE]])</f>
        <v>9.6006391798948779E-3</v>
      </c>
      <c r="DP15" s="27">
        <f>IF(ISNUMBER(DP14),DP14*(1+PortfolioFrontier[[#This Row],[P30 Return]]),1+PortfolioFrontier[[#This Row],[P30 Return]])</f>
        <v>1.0767361059323968</v>
      </c>
      <c r="DQ15" s="27">
        <f>MAX(DQ14,PortfolioFrontier[[#This Row],[P30 Growth]])</f>
        <v>1.0781324400140169</v>
      </c>
      <c r="DR15" s="27">
        <f>PortfolioFrontier[[#This Row],[P30 Growth]]/PortfolioFrontier[[#This Row],[P30 HWM]]-1</f>
        <v>-1.2951415148977352E-3</v>
      </c>
      <c r="DS15" s="28">
        <f>SUMPRODUCT(INDEX(PortfolioRef[[SPY]:[PE]],MATCH(DS$1,PortfolioRef[Reference '#]),0),AssetMonthlyReturns[[#This Row],[SPY]:[PE]])</f>
        <v>1.0723917496816605E-2</v>
      </c>
      <c r="DT15" s="27">
        <f>IF(ISNUMBER(DT14),DT14*(1+PortfolioFrontier[[#This Row],[P31 Return]]),1+PortfolioFrontier[[#This Row],[P31 Return]])</f>
        <v>1.0854364603677293</v>
      </c>
      <c r="DU15" s="27">
        <f>MAX(DU14,PortfolioFrontier[[#This Row],[P31 Growth]])</f>
        <v>1.0874321045305282</v>
      </c>
      <c r="DV15" s="27">
        <f>PortfolioFrontier[[#This Row],[P31 Growth]]/PortfolioFrontier[[#This Row],[P31 HWM]]-1</f>
        <v>-1.8351896679199564E-3</v>
      </c>
      <c r="DW15" s="28">
        <f>SUMPRODUCT(INDEX(PortfolioRef[[SPY]:[PE]],MATCH(DW$1,PortfolioRef[Reference '#]),0),AssetMonthlyReturns[[#This Row],[SPY]:[PE]])</f>
        <v>9.9742708669655015E-3</v>
      </c>
      <c r="DX15" s="27">
        <f>IF(ISNUMBER(DX14),DX14*(1+PortfolioFrontier[[#This Row],[P32 Return]]),1+PortfolioFrontier[[#This Row],[P32 Return]])</f>
        <v>1.0830752389887681</v>
      </c>
      <c r="DY15" s="27">
        <f>MAX(DY14,PortfolioFrontier[[#This Row],[P32 Growth]])</f>
        <v>1.0857170450078923</v>
      </c>
      <c r="DZ15" s="27">
        <f>PortfolioFrontier[[#This Row],[P32 Growth]]/PortfolioFrontier[[#This Row],[P32 HWM]]-1</f>
        <v>-2.4332362020760279E-3</v>
      </c>
      <c r="EA15" s="28">
        <f>SUMPRODUCT(INDEX(PortfolioRef[[SPY]:[PE]],MATCH(EA$1,PortfolioRef[Reference '#]),0),AssetMonthlyReturns[[#This Row],[SPY]:[PE]])</f>
        <v>9.2246242371143983E-3</v>
      </c>
      <c r="EB15" s="27">
        <f>IF(ISNUMBER(EB14),EB14*(1+PortfolioFrontier[[#This Row],[P33 Return]]),1+PortfolioFrontier[[#This Row],[P33 Return]])</f>
        <v>1.0806695619480715</v>
      </c>
      <c r="EC15" s="27">
        <f>MAX(EC14,PortfolioFrontier[[#This Row],[P33 Growth]])</f>
        <v>1.0839555666976839</v>
      </c>
      <c r="ED15" s="27">
        <f>PortfolioFrontier[[#This Row],[P33 Growth]]/PortfolioFrontier[[#This Row],[P33 HWM]]-1</f>
        <v>-3.031493956549669E-3</v>
      </c>
      <c r="EE15" s="28">
        <f>SUMPRODUCT(INDEX(PortfolioRef[[SPY]:[PE]],MATCH(EE$1,PortfolioRef[Reference '#]),0),AssetMonthlyReturns[[#This Row],[SPY]:[PE]])</f>
        <v>1.0355151409958463E-2</v>
      </c>
      <c r="EF15" s="27">
        <f>IF(ISNUMBER(EF14),EF14*(1+PortfolioFrontier[[#This Row],[P34 Return]]),1+PortfolioFrontier[[#This Row],[P34 Return]])</f>
        <v>1.0691441743453036</v>
      </c>
      <c r="EG15" s="27">
        <f>MAX(EG14,PortfolioFrontier[[#This Row],[P34 Growth]])</f>
        <v>1.0691441743453036</v>
      </c>
      <c r="EH15" s="27">
        <f>PortfolioFrontier[[#This Row],[P34 Growth]]/PortfolioFrontier[[#This Row],[P34 HWM]]-1</f>
        <v>0</v>
      </c>
      <c r="EI15" s="28">
        <f>SUMPRODUCT(INDEX(PortfolioRef[[SPY]:[PE]],MATCH(EI$1,PortfolioRef[Reference '#]),0),AssetMonthlyReturns[[#This Row],[SPY]:[PE]])</f>
        <v>1.0766198645960767E-2</v>
      </c>
      <c r="EJ15" s="27">
        <f>IF(ISNUMBER(EJ14),EJ14*(1+PortfolioFrontier[[#This Row],[P35 Return]]),1+PortfolioFrontier[[#This Row],[P35 Return]])</f>
        <v>1.0678588520403576</v>
      </c>
      <c r="EK15" s="27">
        <f>MAX(EK14,PortfolioFrontier[[#This Row],[P35 Growth]])</f>
        <v>1.0678588520403576</v>
      </c>
      <c r="EL15" s="27">
        <f>PortfolioFrontier[[#This Row],[P35 Growth]]/PortfolioFrontier[[#This Row],[P35 HWM]]-1</f>
        <v>0</v>
      </c>
      <c r="EM15" s="28">
        <f>SUMPRODUCT(INDEX(PortfolioRef[[SPY]:[PE]],MATCH(EM$1,PortfolioRef[Reference '#]),0),AssetMonthlyReturns[[#This Row],[SPY]:[PE]])</f>
        <v>1.0390183703180287E-2</v>
      </c>
      <c r="EN15" s="27">
        <f>IF(ISNUMBER(EN14),EN14*(1+PortfolioFrontier[[#This Row],[P36 Return]]),1+PortfolioFrontier[[#This Row],[P36 Return]])</f>
        <v>1.0717966583857077</v>
      </c>
      <c r="EO15" s="27">
        <f>MAX(EO14,PortfolioFrontier[[#This Row],[P36 Growth]])</f>
        <v>1.0717966583857077</v>
      </c>
      <c r="EP15" s="27">
        <f>PortfolioFrontier[[#This Row],[P36 Growth]]/PortfolioFrontier[[#This Row],[P36 HWM]]-1</f>
        <v>0</v>
      </c>
      <c r="EQ15" s="28">
        <f>SUMPRODUCT(INDEX(PortfolioRef[[SPY]:[PE]],MATCH(EQ$1,PortfolioRef[Reference '#]),0),AssetMonthlyReturns[[#This Row],[SPY]:[PE]])</f>
        <v>9.6405370733291858E-3</v>
      </c>
      <c r="ER15" s="27">
        <f>IF(ISNUMBER(ER14),ER14*(1+PortfolioFrontier[[#This Row],[P37 Return]]),1+PortfolioFrontier[[#This Row],[P37 Return]])</f>
        <v>1.0693964660017128</v>
      </c>
      <c r="ES15" s="27">
        <f>MAX(ES14,PortfolioFrontier[[#This Row],[P37 Growth]])</f>
        <v>1.0693964660017128</v>
      </c>
      <c r="ET15" s="27">
        <f>PortfolioFrontier[[#This Row],[P37 Growth]]/PortfolioFrontier[[#This Row],[P37 HWM]]-1</f>
        <v>0</v>
      </c>
      <c r="EU15" s="28">
        <f>SUMPRODUCT(INDEX(PortfolioRef[[SPY]:[PE]],MATCH(EU$1,PortfolioRef[Reference '#]),0),AssetMonthlyReturns[[#This Row],[SPY]:[PE]])</f>
        <v>1.1177245881963071E-2</v>
      </c>
      <c r="EV15" s="27">
        <f>IF(ISNUMBER(EV14),EV14*(1+PortfolioFrontier[[#This Row],[P38 Return]]),1+PortfolioFrontier[[#This Row],[P38 Return]])</f>
        <v>1.0665298574145186</v>
      </c>
      <c r="EW15" s="27">
        <f>MAX(EW14,PortfolioFrontier[[#This Row],[P38 Growth]])</f>
        <v>1.0665298574145186</v>
      </c>
      <c r="EX15" s="27">
        <f>PortfolioFrontier[[#This Row],[P38 Growth]]/PortfolioFrontier[[#This Row],[P38 HWM]]-1</f>
        <v>0</v>
      </c>
      <c r="EY15" s="28">
        <f>SUMPRODUCT(INDEX(PortfolioRef[[SPY]:[PE]],MATCH(EY$1,PortfolioRef[Reference '#]),0),AssetMonthlyReturns[[#This Row],[SPY]:[PE]])</f>
        <v>1.0801230939182591E-2</v>
      </c>
      <c r="EZ15" s="27">
        <f>IF(ISNUMBER(EZ14),EZ14*(1+PortfolioFrontier[[#This Row],[P39 Return]]),1+PortfolioFrontier[[#This Row],[P39 Return]])</f>
        <v>1.0704965389596934</v>
      </c>
      <c r="FA15" s="27">
        <f>MAX(FA14,PortfolioFrontier[[#This Row],[P39 Growth]])</f>
        <v>1.0704965389596934</v>
      </c>
      <c r="FB15" s="27">
        <f>PortfolioFrontier[[#This Row],[P39 Growth]]/PortfolioFrontier[[#This Row],[P39 HWM]]-1</f>
        <v>0</v>
      </c>
      <c r="FC15" s="28">
        <f>SUMPRODUCT(INDEX(PortfolioRef[[SPY]:[PE]],MATCH(FC$1,PortfolioRef[Reference '#]),0),AssetMonthlyReturns[[#This Row],[SPY]:[PE]])</f>
        <v>1.005158430933149E-2</v>
      </c>
      <c r="FD15" s="27">
        <f>IF(ISNUMBER(FD14),FD14*(1+PortfolioFrontier[[#This Row],[P40 Return]]),1+PortfolioFrontier[[#This Row],[P40 Return]])</f>
        <v>1.0681219348242199</v>
      </c>
      <c r="FE15" s="27">
        <f>MAX(FE14,PortfolioFrontier[[#This Row],[P40 Growth]])</f>
        <v>1.0681219348242199</v>
      </c>
      <c r="FF15" s="27">
        <f>PortfolioFrontier[[#This Row],[P40 Growth]]/PortfolioFrontier[[#This Row],[P40 HWM]]-1</f>
        <v>0</v>
      </c>
      <c r="FG15" s="28">
        <f>SUMPRODUCT(INDEX(PortfolioRef[[SPY]:[PE]],MATCH(FG$1,PortfolioRef[Reference '#]),0),AssetMonthlyReturns[[#This Row],[SPY]:[PE]])</f>
        <v>1.0425215996402113E-2</v>
      </c>
      <c r="FH15" s="27">
        <f>IF(ISNUMBER(FH14),FH14*(1+PortfolioFrontier[[#This Row],[P41 Return]]),1+PortfolioFrontier[[#This Row],[P41 Return]])</f>
        <v>1.0744269477530632</v>
      </c>
      <c r="FI15" s="27">
        <f>MAX(FI14,PortfolioFrontier[[#This Row],[P41 Growth]])</f>
        <v>1.0749095199677625</v>
      </c>
      <c r="FJ15" s="27">
        <f>PortfolioFrontier[[#This Row],[P41 Growth]]/PortfolioFrontier[[#This Row],[P41 HWM]]-1</f>
        <v>-4.489421720943465E-4</v>
      </c>
      <c r="FK15" s="28">
        <f>SUMPRODUCT(INDEX(PortfolioRef[[SPY]:[PE]],MATCH(FK$1,PortfolioRef[Reference '#]),0),AssetMonthlyReturns[[#This Row],[SPY]:[PE]])</f>
        <v>9.6755693665510102E-3</v>
      </c>
      <c r="FL15" s="27">
        <f>IF(ISNUMBER(FL14),FL14*(1+PortfolioFrontier[[#This Row],[P42 Return]]),1+PortfolioFrontier[[#This Row],[P42 Return]])</f>
        <v>1.0720526876983127</v>
      </c>
      <c r="FM15" s="27">
        <f>MAX(FM14,PortfolioFrontier[[#This Row],[P42 Growth]])</f>
        <v>1.0731776763726861</v>
      </c>
      <c r="FN15" s="27">
        <f>PortfolioFrontier[[#This Row],[P42 Growth]]/PortfolioFrontier[[#This Row],[P42 HWM]]-1</f>
        <v>-1.0482781175394917E-3</v>
      </c>
      <c r="FO15" s="28">
        <f>SUMPRODUCT(INDEX(PortfolioRef[[SPY]:[PE]],MATCH(FO$1,PortfolioRef[Reference '#]),0),AssetMonthlyReturns[[#This Row],[SPY]:[PE]])</f>
        <v>8.9259227366999087E-3</v>
      </c>
      <c r="FP15" s="27">
        <f>IF(ISNUMBER(FP14),FP14*(1+PortfolioFrontier[[#This Row],[P43 Return]]),1+PortfolioFrontier[[#This Row],[P43 Return]])</f>
        <v>1.0696345693892044</v>
      </c>
      <c r="FQ15" s="27">
        <f>MAX(FQ14,PortfolioFrontier[[#This Row],[P43 Growth]])</f>
        <v>1.0714000494792679</v>
      </c>
      <c r="FR15" s="27">
        <f>PortfolioFrontier[[#This Row],[P43 Growth]]/PortfolioFrontier[[#This Row],[P43 HWM]]-1</f>
        <v>-1.6478252833025397E-3</v>
      </c>
      <c r="FS15" s="28">
        <f>SUMPRODUCT(INDEX(PortfolioRef[[SPY]:[PE]],MATCH(FS$1,PortfolioRef[Reference '#]),0),AssetMonthlyReturns[[#This Row],[SPY]:[PE]])</f>
        <v>1.1212278175184897E-2</v>
      </c>
      <c r="FT15" s="27">
        <f>IF(ISNUMBER(FT14),FT14*(1+PortfolioFrontier[[#This Row],[P44 Return]]),1+PortfolioFrontier[[#This Row],[P44 Return]])</f>
        <v>1.0691527516999926</v>
      </c>
      <c r="FU15" s="27">
        <f>MAX(FU14,PortfolioFrontier[[#This Row],[P44 Growth]])</f>
        <v>1.0691527516999926</v>
      </c>
      <c r="FV15" s="27">
        <f>PortfolioFrontier[[#This Row],[P44 Growth]]/PortfolioFrontier[[#This Row],[P44 HWM]]-1</f>
        <v>0</v>
      </c>
      <c r="FW15" s="28">
        <f>SUMPRODUCT(INDEX(PortfolioRef[[SPY]:[PE]],MATCH(FW$1,PortfolioRef[Reference '#]),0),AssetMonthlyReturns[[#This Row],[SPY]:[PE]])</f>
        <v>1.0462631545333795E-2</v>
      </c>
      <c r="FX15" s="27">
        <f>IF(ISNUMBER(FX14),FX14*(1+PortfolioFrontier[[#This Row],[P45 Return]]),1+PortfolioFrontier[[#This Row],[P45 Return]])</f>
        <v>1.0668036986236988</v>
      </c>
      <c r="FY15" s="27">
        <f>MAX(FY14,PortfolioFrontier[[#This Row],[P45 Growth]])</f>
        <v>1.0668036986236988</v>
      </c>
      <c r="FZ15" s="27">
        <f>PortfolioFrontier[[#This Row],[P45 Growth]]/PortfolioFrontier[[#This Row],[P45 HWM]]-1</f>
        <v>0</v>
      </c>
      <c r="GA15" s="28">
        <f>SUMPRODUCT(INDEX(PortfolioRef[[SPY]:[PE]],MATCH(GA$1,PortfolioRef[Reference '#]),0),AssetMonthlyReturns[[#This Row],[SPY]:[PE]])</f>
        <v>1.0836263232404419E-2</v>
      </c>
      <c r="GB15" s="27">
        <f>IF(ISNUMBER(GB14),GB14*(1+PortfolioFrontier[[#This Row],[P46 Return]]),1+PortfolioFrontier[[#This Row],[P46 Return]])</f>
        <v>1.0731120115702921</v>
      </c>
      <c r="GC15" s="27">
        <f>MAX(GC14,PortfolioFrontier[[#This Row],[P46 Growth]])</f>
        <v>1.073358960428876</v>
      </c>
      <c r="GD15" s="27">
        <f>PortfolioFrontier[[#This Row],[P46 Growth]]/PortfolioFrontier[[#This Row],[P46 HWM]]-1</f>
        <v>-2.3007108310268976E-4</v>
      </c>
      <c r="GE15" s="28">
        <f>SUMPRODUCT(INDEX(PortfolioRef[[SPY]:[PE]],MATCH(GE$1,PortfolioRef[Reference '#]),0),AssetMonthlyReturns[[#This Row],[SPY]:[PE]])</f>
        <v>1.0086616602553316E-2</v>
      </c>
      <c r="GF15" s="27">
        <f>IF(ISNUMBER(GF14),GF14*(1+PortfolioFrontier[[#This Row],[P47 Return]]),1+PortfolioFrontier[[#This Row],[P47 Return]])</f>
        <v>1.0707633743941183</v>
      </c>
      <c r="GG15" s="27">
        <f>MAX(GG14,PortfolioFrontier[[#This Row],[P47 Growth]])</f>
        <v>1.0716519988206086</v>
      </c>
      <c r="GH15" s="27">
        <f>PortfolioFrontier[[#This Row],[P47 Growth]]/PortfolioFrontier[[#This Row],[P47 HWM]]-1</f>
        <v>-8.2920988106982563E-4</v>
      </c>
      <c r="GI15" s="28">
        <f>SUMPRODUCT(INDEX(PortfolioRef[[SPY]:[PE]],MATCH(GI$1,PortfolioRef[Reference '#]),0),AssetMonthlyReturns[[#This Row],[SPY]:[PE]])</f>
        <v>9.3369699727022144E-3</v>
      </c>
      <c r="GJ15" s="27">
        <f>IF(ISNUMBER(GJ14),GJ14*(1+PortfolioFrontier[[#This Row],[P48 Return]]),1+PortfolioFrontier[[#This Row],[P48 Return]])</f>
        <v>1.0683708537019996</v>
      </c>
      <c r="GK15" s="27">
        <f>MAX(GK14,PortfolioFrontier[[#This Row],[P48 Growth]])</f>
        <v>1.0698992688938902</v>
      </c>
      <c r="GL15" s="27">
        <f>PortfolioFrontier[[#This Row],[P48 Growth]]/PortfolioFrontier[[#This Row],[P48 HWM]]-1</f>
        <v>-1.4285598993546422E-3</v>
      </c>
      <c r="GM15" s="28">
        <f>SUMPRODUCT(INDEX(PortfolioRef[[SPY]:[PE]],MATCH(GM$1,PortfolioRef[Reference '#]),0),AssetMonthlyReturns[[#This Row],[SPY]:[PE]])</f>
        <v>1.0460248289623941E-2</v>
      </c>
      <c r="GN15" s="27">
        <f>IF(ISNUMBER(GN14),GN14*(1+PortfolioFrontier[[#This Row],[P49 Return]]),1+PortfolioFrontier[[#This Row],[P49 Return]])</f>
        <v>1.0770348568317689</v>
      </c>
      <c r="GO15" s="27">
        <f>MAX(GO14,PortfolioFrontier[[#This Row],[P49 Growth]])</f>
        <v>1.0791586794364327</v>
      </c>
      <c r="GP15" s="27">
        <f>PortfolioFrontier[[#This Row],[P49 Growth]]/PortfolioFrontier[[#This Row],[P49 HWM]]-1</f>
        <v>-1.9680355124168658E-3</v>
      </c>
      <c r="GQ15" s="28">
        <f>SUMPRODUCT(INDEX(PortfolioRef[[SPY]:[PE]],MATCH(GQ$1,PortfolioRef[Reference '#]),0),AssetMonthlyReturns[[#This Row],[SPY]:[PE]])</f>
        <v>9.7106016597728381E-3</v>
      </c>
      <c r="GR15" s="27">
        <f>IF(ISNUMBER(GR14),GR14*(1+PortfolioFrontier[[#This Row],[P50 Return]]),1+PortfolioFrontier[[#This Row],[P50 Return]])</f>
        <v>1.0746867387307357</v>
      </c>
      <c r="GS15" s="27">
        <f>MAX(GS14,PortfolioFrontier[[#This Row],[P50 Growth]])</f>
        <v>1.0774517101973269</v>
      </c>
      <c r="GT15" s="27">
        <f>PortfolioFrontier[[#This Row],[P50 Growth]]/PortfolioFrontier[[#This Row],[P50 HWM]]-1</f>
        <v>-2.5662138176798521E-3</v>
      </c>
      <c r="GU15" s="28">
        <f>SUMPRODUCT(INDEX(PortfolioRef[[SPY]:[PE]],MATCH(GU$1,PortfolioRef[Reference '#]),0),AssetMonthlyReturns[[#This Row],[SPY]:[PE]])</f>
        <v>8.9609550299217348E-3</v>
      </c>
      <c r="GV15" s="27">
        <f>IF(ISNUMBER(GV14),GV14*(1+PortfolioFrontier[[#This Row],[P51 Return]]),1+PortfolioFrontier[[#This Row],[P51 Return]])</f>
        <v>1.072294502338881</v>
      </c>
      <c r="GW15" s="27">
        <f>MAX(GW14,PortfolioFrontier[[#This Row],[P51 Growth]])</f>
        <v>1.0756986619207358</v>
      </c>
      <c r="GX15" s="27">
        <f>PortfolioFrontier[[#This Row],[P51 Growth]]/PortfolioFrontier[[#This Row],[P51 HWM]]-1</f>
        <v>-3.1646033432600751E-3</v>
      </c>
      <c r="GY15" s="28">
        <f>SUMPRODUCT(INDEX(PortfolioRef[[SPY]:[PE]],MATCH(GY$1,PortfolioRef[Reference '#]),0),AssetMonthlyReturns[[#This Row],[SPY]:[PE]])</f>
        <v>1.1247310468406723E-2</v>
      </c>
      <c r="GZ15" s="27">
        <f>IF(ISNUMBER(GZ14),GZ14*(1+PortfolioFrontier[[#This Row],[P52 Return]]),1+PortfolioFrontier[[#This Row],[P52 Return]])</f>
        <v>1.0717534131897606</v>
      </c>
      <c r="HA15" s="27">
        <f>MAX(HA14,PortfolioFrontier[[#This Row],[P52 Growth]])</f>
        <v>1.0717655806118611</v>
      </c>
      <c r="HB15" s="27">
        <f>PortfolioFrontier[[#This Row],[P52 Growth]]/PortfolioFrontier[[#This Row],[P52 HWM]]-1</f>
        <v>-1.1352689730514953E-5</v>
      </c>
      <c r="HC15" s="28">
        <f>SUMPRODUCT(INDEX(PortfolioRef[[SPY]:[PE]],MATCH(HC$1,PortfolioRef[Reference '#]),0),AssetMonthlyReturns[[#This Row],[SPY]:[PE]])</f>
        <v>1.049766383855562E-2</v>
      </c>
      <c r="HD15" s="27">
        <f>IF(ISNUMBER(HD14),HD14*(1+PortfolioFrontier[[#This Row],[P53 Return]]),1+PortfolioFrontier[[#This Row],[P53 Return]])</f>
        <v>1.0694303603150037</v>
      </c>
      <c r="HE15" s="27">
        <f>MAX(HE14,PortfolioFrontier[[#This Row],[P53 Growth]])</f>
        <v>1.0700834261735601</v>
      </c>
      <c r="HF15" s="27">
        <f>PortfolioFrontier[[#This Row],[P53 Growth]]/PortfolioFrontier[[#This Row],[P53 HWM]]-1</f>
        <v>-6.1029434021953044E-4</v>
      </c>
      <c r="HG15" s="28">
        <f>SUMPRODUCT(INDEX(PortfolioRef[[SPY]:[PE]],MATCH(HG$1,PortfolioRef[Reference '#]),0),AssetMonthlyReturns[[#This Row],[SPY]:[PE]])</f>
        <v>9.7480172087045184E-3</v>
      </c>
      <c r="HH15" s="27">
        <f>IF(ISNUMBER(HH14),HH14*(1+PortfolioFrontier[[#This Row],[P54 Return]]),1+PortfolioFrontier[[#This Row],[P54 Return]])</f>
        <v>1.0670634008749862</v>
      </c>
      <c r="HI15" s="27">
        <f>MAX(HI14,PortfolioFrontier[[#This Row],[P54 Growth]])</f>
        <v>1.0683555204796147</v>
      </c>
      <c r="HJ15" s="27">
        <f>PortfolioFrontier[[#This Row],[P54 Growth]]/PortfolioFrontier[[#This Row],[P54 HWM]]-1</f>
        <v>-1.2094472110262267E-3</v>
      </c>
      <c r="HK15" s="28">
        <f>SUMPRODUCT(INDEX(PortfolioRef[[SPY]:[PE]],MATCH(HK$1,PortfolioRef[Reference '#]),0),AssetMonthlyReturns[[#This Row],[SPY]:[PE]])</f>
        <v>1.0871295525626245E-2</v>
      </c>
      <c r="HL15" s="27">
        <f>IF(ISNUMBER(HL14),HL14*(1+PortfolioFrontier[[#This Row],[P55 Return]]),1+PortfolioFrontier[[#This Row],[P55 Return]])</f>
        <v>1.07570508494262</v>
      </c>
      <c r="HM15" s="27">
        <f>MAX(HM14,PortfolioFrontier[[#This Row],[P55 Growth]])</f>
        <v>1.0775906562874031</v>
      </c>
      <c r="HN15" s="27">
        <f>PortfolioFrontier[[#This Row],[P55 Growth]]/PortfolioFrontier[[#This Row],[P55 HWM]]-1</f>
        <v>-1.749802982961568E-3</v>
      </c>
      <c r="HO15" s="28">
        <f>SUMPRODUCT(INDEX(PortfolioRef[[SPY]:[PE]],MATCH(HO$1,PortfolioRef[Reference '#]),0),AssetMonthlyReturns[[#This Row],[SPY]:[PE]])</f>
        <v>1.0121648895775142E-2</v>
      </c>
      <c r="HP15" s="27">
        <f>IF(ISNUMBER(HP14),HP14*(1+PortfolioFrontier[[#This Row],[P56 Return]]),1+PortfolioFrontier[[#This Row],[P56 Return]])</f>
        <v>1.0733826234542674</v>
      </c>
      <c r="HQ15" s="27">
        <f>MAX(HQ14,PortfolioFrontier[[#This Row],[P56 Growth]])</f>
        <v>1.0759086246601364</v>
      </c>
      <c r="HR15" s="27">
        <f>PortfolioFrontier[[#This Row],[P56 Growth]]/PortfolioFrontier[[#This Row],[P56 HWM]]-1</f>
        <v>-2.3477841407461009E-3</v>
      </c>
      <c r="HS15" s="28">
        <f>SUMPRODUCT(INDEX(PortfolioRef[[SPY]:[PE]],MATCH(HS$1,PortfolioRef[Reference '#]),0),AssetMonthlyReturns[[#This Row],[SPY]:[PE]])</f>
        <v>9.3720022659240388E-3</v>
      </c>
      <c r="HT15" s="27">
        <f>IF(ISNUMBER(HT14),HT14*(1+PortfolioFrontier[[#This Row],[P57 Return]]),1+PortfolioFrontier[[#This Row],[P57 Return]])</f>
        <v>1.0710160196435896</v>
      </c>
      <c r="HU15" s="27">
        <f>MAX(HU14,PortfolioFrontier[[#This Row],[P57 Growth]])</f>
        <v>1.0741805302627476</v>
      </c>
      <c r="HV15" s="27">
        <f>PortfolioFrontier[[#This Row],[P57 Growth]]/PortfolioFrontier[[#This Row],[P57 HWM]]-1</f>
        <v>-2.9459765188482034E-3</v>
      </c>
      <c r="HW15" s="28">
        <f>SUMPRODUCT(INDEX(PortfolioRef[[SPY]:[PE]],MATCH(HW$1,PortfolioRef[Reference '#]),0),AssetMonthlyReturns[[#This Row],[SPY]:[PE]])</f>
        <v>1.0495280582845767E-2</v>
      </c>
      <c r="HX15" s="27">
        <f>IF(ISNUMBER(HX14),HX14*(1+PortfolioFrontier[[#This Row],[P58 Return]]),1+PortfolioFrontier[[#This Row],[P58 Return]])</f>
        <v>1.079620200829402</v>
      </c>
      <c r="HY15" s="27">
        <f>MAX(HY14,PortfolioFrontier[[#This Row],[P58 Growth]])</f>
        <v>1.0833982669057278</v>
      </c>
      <c r="HZ15" s="27">
        <f>PortfolioFrontier[[#This Row],[P58 Growth]]/PortfolioFrontier[[#This Row],[P58 HWM]]-1</f>
        <v>-3.4872365885504353E-3</v>
      </c>
      <c r="IA15" s="28">
        <f>SUMPRODUCT(INDEX(PortfolioRef[[SPY]:[PE]],MATCH(IA$1,PortfolioRef[Reference '#]),0),AssetMonthlyReturns[[#This Row],[SPY]:[PE]])</f>
        <v>9.7456339529946642E-3</v>
      </c>
      <c r="IB15" s="27">
        <f>IF(ISNUMBER(IB14),IB14*(1+PortfolioFrontier[[#This Row],[P59 Return]]),1+PortfolioFrontier[[#This Row],[P59 Return]])</f>
        <v>1.0772984334073281</v>
      </c>
      <c r="IC15" s="27">
        <f>MAX(IC14,PortfolioFrontier[[#This Row],[P59 Growth]])</f>
        <v>1.0817164416304288</v>
      </c>
      <c r="ID15" s="27">
        <f>PortfolioFrontier[[#This Row],[P59 Growth]]/PortfolioFrontier[[#This Row],[P59 HWM]]-1</f>
        <v>-4.0842572536307076E-3</v>
      </c>
      <c r="IE15" s="28">
        <f>SUMPRODUCT(INDEX(PortfolioRef[[SPY]:[PE]],MATCH(IE$1,PortfolioRef[Reference '#]),0),AssetMonthlyReturns[[#This Row],[SPY]:[PE]])</f>
        <v>8.9959873231435609E-3</v>
      </c>
      <c r="IF15" s="27">
        <f>IF(ISNUMBER(IF14),IF14*(1+PortfolioFrontier[[#This Row],[P60 Return]]),1+PortfolioFrontier[[#This Row],[P60 Return]])</f>
        <v>1.074932288738645</v>
      </c>
      <c r="IG15" s="27">
        <f>MAX(IG14,PortfolioFrontier[[#This Row],[P60 Growth]])</f>
        <v>1.0799882419636764</v>
      </c>
      <c r="IH15" s="27">
        <f>PortfolioFrontier[[#This Row],[P60 Growth]]/PortfolioFrontier[[#This Row],[P60 HWM]]-1</f>
        <v>-4.6814891390284386E-3</v>
      </c>
      <c r="II15" s="28">
        <f>SUMPRODUCT(INDEX(PortfolioRef[[SPY]:[PE]],MATCH(II$1,PortfolioRef[Reference '#]),0),AssetMonthlyReturns[[#This Row],[SPY]:[PE]])</f>
        <v>1.0091482202765801E-2</v>
      </c>
      <c r="IJ15" s="27">
        <f>IF(ISNUMBER(IJ14),IJ14*(1+PortfolioFrontier[[#This Row],[P61 Return]]),1+PortfolioFrontier[[#This Row],[P61 Return]])</f>
        <v>1.0608196660369695</v>
      </c>
      <c r="IK15" s="27">
        <f>MAX(IK14,PortfolioFrontier[[#This Row],[P61 Growth]])</f>
        <v>1.0608196660369695</v>
      </c>
      <c r="IL15" s="27">
        <f>PortfolioFrontier[[#This Row],[P61 Growth]]/PortfolioFrontier[[#This Row],[P61 HWM]]-1</f>
        <v>0</v>
      </c>
      <c r="IM15" s="28">
        <f>SUMPRODUCT(INDEX(PortfolioRef[[SPY]:[PE]],MATCH(IM$1,PortfolioRef[Reference '#]),0),AssetMonthlyReturns[[#This Row],[SPY]:[PE]])</f>
        <v>1.0502529438768105E-2</v>
      </c>
      <c r="IN15" s="27">
        <f>IF(ISNUMBER(IN14),IN14*(1+PortfolioFrontier[[#This Row],[P62 Return]]),1+PortfolioFrontier[[#This Row],[P62 Return]])</f>
        <v>1.0595333127304138</v>
      </c>
      <c r="IO15" s="27">
        <f>MAX(IO14,PortfolioFrontier[[#This Row],[P62 Growth]])</f>
        <v>1.0595333127304138</v>
      </c>
      <c r="IP15" s="27">
        <f>PortfolioFrontier[[#This Row],[P62 Growth]]/PortfolioFrontier[[#This Row],[P62 HWM]]-1</f>
        <v>0</v>
      </c>
      <c r="IQ15" s="28">
        <f>SUMPRODUCT(INDEX(PortfolioRef[[SPY]:[PE]],MATCH(IQ$1,PortfolioRef[Reference '#]),0),AssetMonthlyReturns[[#This Row],[SPY]:[PE]])</f>
        <v>1.0126514495987626E-2</v>
      </c>
      <c r="IR15" s="27">
        <f>IF(ISNUMBER(IR14),IR14*(1+PortfolioFrontier[[#This Row],[P63 Return]]),1+PortfolioFrontier[[#This Row],[P63 Return]])</f>
        <v>1.0634611429319241</v>
      </c>
      <c r="IS15" s="27">
        <f>MAX(IS14,PortfolioFrontier[[#This Row],[P63 Growth]])</f>
        <v>1.0634611429319241</v>
      </c>
      <c r="IT15" s="27">
        <f>PortfolioFrontier[[#This Row],[P63 Growth]]/PortfolioFrontier[[#This Row],[P63 HWM]]-1</f>
        <v>0</v>
      </c>
      <c r="IU15" s="28">
        <f>SUMPRODUCT(INDEX(PortfolioRef[[SPY]:[PE]],MATCH(IU$1,PortfolioRef[Reference '#]),0),AssetMonthlyReturns[[#This Row],[SPY]:[PE]])</f>
        <v>9.3768678661365241E-3</v>
      </c>
      <c r="IV15" s="27">
        <f>IF(ISNUMBER(IV14),IV14*(1+PortfolioFrontier[[#This Row],[P64 Return]]),1+PortfolioFrontier[[#This Row],[P64 Return]])</f>
        <v>1.0610744640233338</v>
      </c>
      <c r="IW15" s="27">
        <f>MAX(IW14,PortfolioFrontier[[#This Row],[P64 Growth]])</f>
        <v>1.0610744640233338</v>
      </c>
      <c r="IX15" s="27">
        <f>PortfolioFrontier[[#This Row],[P64 Growth]]/PortfolioFrontier[[#This Row],[P64 HWM]]-1</f>
        <v>0</v>
      </c>
      <c r="IY15" s="28">
        <f>SUMPRODUCT(INDEX(PortfolioRef[[SPY]:[PE]],MATCH(IY$1,PortfolioRef[Reference '#]),0),AssetMonthlyReturns[[#This Row],[SPY]:[PE]])</f>
        <v>1.0913576674770409E-2</v>
      </c>
      <c r="IZ15" s="27">
        <f>IF(ISNUMBER(IZ14),IZ14*(1+PortfolioFrontier[[#This Row],[P65 Return]]),1+PortfolioFrontier[[#This Row],[P65 Return]])</f>
        <v>1.0582035861283989</v>
      </c>
      <c r="JA15" s="27">
        <f>MAX(JA14,PortfolioFrontier[[#This Row],[P65 Growth]])</f>
        <v>1.0582035861283989</v>
      </c>
      <c r="JB15" s="27">
        <f>PortfolioFrontier[[#This Row],[P65 Growth]]/PortfolioFrontier[[#This Row],[P65 HWM]]-1</f>
        <v>0</v>
      </c>
      <c r="JC15" s="28">
        <f>SUMPRODUCT(INDEX(PortfolioRef[[SPY]:[PE]],MATCH(JC$1,PortfolioRef[Reference '#]),0),AssetMonthlyReturns[[#This Row],[SPY]:[PE]])</f>
        <v>1.053756173198993E-2</v>
      </c>
      <c r="JD15" s="27">
        <f>IF(ISNUMBER(JD14),JD14*(1+PortfolioFrontier[[#This Row],[P66 Return]]),1+PortfolioFrontier[[#This Row],[P66 Return]])</f>
        <v>1.0621600842534589</v>
      </c>
      <c r="JE15" s="27">
        <f>MAX(JE14,PortfolioFrontier[[#This Row],[P66 Growth]])</f>
        <v>1.0621600842534589</v>
      </c>
      <c r="JF15" s="27">
        <f>PortfolioFrontier[[#This Row],[P66 Growth]]/PortfolioFrontier[[#This Row],[P66 HWM]]-1</f>
        <v>0</v>
      </c>
      <c r="JG15" s="28">
        <f>SUMPRODUCT(INDEX(PortfolioRef[[SPY]:[PE]],MATCH(JG$1,PortfolioRef[Reference '#]),0),AssetMonthlyReturns[[#This Row],[SPY]:[PE]])</f>
        <v>9.7879151021388281E-3</v>
      </c>
      <c r="JH15" s="27">
        <f>IF(ISNUMBER(JH14),JH14*(1+PortfolioFrontier[[#This Row],[P67 Return]]),1+PortfolioFrontier[[#This Row],[P67 Return]])</f>
        <v>1.0597988293504512</v>
      </c>
      <c r="JI15" s="27">
        <f>MAX(JI14,PortfolioFrontier[[#This Row],[P67 Growth]])</f>
        <v>1.0597988293504512</v>
      </c>
      <c r="JJ15" s="27">
        <f>PortfolioFrontier[[#This Row],[P67 Growth]]/PortfolioFrontier[[#This Row],[P67 HWM]]-1</f>
        <v>0</v>
      </c>
      <c r="JK15" s="28">
        <f>SUMPRODUCT(INDEX(PortfolioRef[[SPY]:[PE]],MATCH(JK$1,PortfolioRef[Reference '#]),0),AssetMonthlyReturns[[#This Row],[SPY]:[PE]])</f>
        <v>1.0161546789209452E-2</v>
      </c>
      <c r="JL15" s="27">
        <f>IF(ISNUMBER(JL14),JL14*(1+PortfolioFrontier[[#This Row],[P68 Return]]),1+PortfolioFrontier[[#This Row],[P68 Return]])</f>
        <v>1.0660806223286794</v>
      </c>
      <c r="JM15" s="27">
        <f>MAX(JM14,PortfolioFrontier[[#This Row],[P68 Growth]])</f>
        <v>1.0667017248084552</v>
      </c>
      <c r="JN15" s="27">
        <f>PortfolioFrontier[[#This Row],[P68 Growth]]/PortfolioFrontier[[#This Row],[P68 HWM]]-1</f>
        <v>-5.8226443749986867E-4</v>
      </c>
      <c r="JO15" s="28">
        <f>SUMPRODUCT(INDEX(PortfolioRef[[SPY]:[PE]],MATCH(JO$1,PortfolioRef[Reference '#]),0),AssetMonthlyReturns[[#This Row],[SPY]:[PE]])</f>
        <v>9.4119001593583485E-3</v>
      </c>
      <c r="JP15" s="27">
        <f>IF(ISNUMBER(JP14),JP14*(1+PortfolioFrontier[[#This Row],[P69 Return]]),1+PortfolioFrontier[[#This Row],[P69 Return]])</f>
        <v>1.063719652614519</v>
      </c>
      <c r="JQ15" s="27">
        <f>MAX(JQ14,PortfolioFrontier[[#This Row],[P69 Growth]])</f>
        <v>1.0649781715632185</v>
      </c>
      <c r="JR15" s="27">
        <f>PortfolioFrontier[[#This Row],[P69 Growth]]/PortfolioFrontier[[#This Row],[P69 HWM]]-1</f>
        <v>-1.1817321540518178E-3</v>
      </c>
      <c r="JS15" s="28">
        <f>SUMPRODUCT(INDEX(PortfolioRef[[SPY]:[PE]],MATCH(JS$1,PortfolioRef[Reference '#]),0),AssetMonthlyReturns[[#This Row],[SPY]:[PE]])</f>
        <v>8.662253529507247E-3</v>
      </c>
      <c r="JT15" s="27">
        <f>IF(ISNUMBER(JT14),JT14*(1+PortfolioFrontier[[#This Row],[P70 Return]]),1+PortfolioFrontier[[#This Row],[P70 Return]])</f>
        <v>1.0613151587401362</v>
      </c>
      <c r="JU15" s="27">
        <f>MAX(JU14,PortfolioFrontier[[#This Row],[P70 Growth]])</f>
        <v>1.0632091713499485</v>
      </c>
      <c r="JV15" s="27">
        <f>PortfolioFrontier[[#This Row],[P70 Growth]]/PortfolioFrontier[[#This Row],[P70 HWM]]-1</f>
        <v>-1.7814110909215586E-3</v>
      </c>
      <c r="JW15" s="28">
        <f>SUMPRODUCT(INDEX(PortfolioRef[[SPY]:[PE]],MATCH(JW$1,PortfolioRef[Reference '#]),0),AssetMonthlyReturns[[#This Row],[SPY]:[PE]])</f>
        <v>1.0948608967992234E-2</v>
      </c>
      <c r="JX15" s="27">
        <f>IF(ISNUMBER(JX14),JX14*(1+PortfolioFrontier[[#This Row],[P71 Return]]),1+PortfolioFrontier[[#This Row],[P71 Return]])</f>
        <v>1.0608156564846316</v>
      </c>
      <c r="JY15" s="27">
        <f>MAX(JY14,PortfolioFrontier[[#This Row],[P71 Growth]])</f>
        <v>1.0608156564846316</v>
      </c>
      <c r="JZ15" s="27">
        <f>PortfolioFrontier[[#This Row],[P71 Growth]]/PortfolioFrontier[[#This Row],[P71 HWM]]-1</f>
        <v>0</v>
      </c>
      <c r="KA15" s="28">
        <f>SUMPRODUCT(INDEX(PortfolioRef[[SPY]:[PE]],MATCH(KA$1,PortfolioRef[Reference '#]),0),AssetMonthlyReturns[[#This Row],[SPY]:[PE]])</f>
        <v>1.0198962338141132E-2</v>
      </c>
      <c r="KB15" s="27">
        <f>IF(ISNUMBER(KB14),KB14*(1+PortfolioFrontier[[#This Row],[P72 Return]]),1+PortfolioFrontier[[#This Row],[P72 Return]])</f>
        <v>1.0584797887066428</v>
      </c>
      <c r="KC15" s="27">
        <f>MAX(KC14,PortfolioFrontier[[#This Row],[P72 Growth]])</f>
        <v>1.0584797887066428</v>
      </c>
      <c r="KD15" s="27">
        <f>PortfolioFrontier[[#This Row],[P72 Growth]]/PortfolioFrontier[[#This Row],[P72 HWM]]-1</f>
        <v>0</v>
      </c>
      <c r="KE15" s="28">
        <f>SUMPRODUCT(INDEX(PortfolioRef[[SPY]:[PE]],MATCH(KE$1,PortfolioRef[Reference '#]),0),AssetMonthlyReturns[[#This Row],[SPY]:[PE]])</f>
        <v>1.0572594025211756E-2</v>
      </c>
      <c r="KF15" s="27">
        <f>IF(ISNUMBER(KF14),KF14*(1+PortfolioFrontier[[#This Row],[P73 Return]]),1+PortfolioFrontier[[#This Row],[P73 Return]])</f>
        <v>1.0647648388149287</v>
      </c>
      <c r="KG15" s="27">
        <f>MAX(KG14,PortfolioFrontier[[#This Row],[P73 Growth]])</f>
        <v>1.0651518004642428</v>
      </c>
      <c r="KH15" s="27">
        <f>PortfolioFrontier[[#This Row],[P73 Growth]]/PortfolioFrontier[[#This Row],[P73 HWM]]-1</f>
        <v>-3.6329248952637894E-4</v>
      </c>
      <c r="KI15" s="28">
        <f>SUMPRODUCT(INDEX(PortfolioRef[[SPY]:[PE]],MATCH(KI$1,PortfolioRef[Reference '#]),0),AssetMonthlyReturns[[#This Row],[SPY]:[PE]])</f>
        <v>9.8229473953606525E-3</v>
      </c>
      <c r="KJ15" s="27">
        <f>IF(ISNUMBER(KJ14),KJ14*(1+PortfolioFrontier[[#This Row],[P74 Return]]),1+PortfolioFrontier[[#This Row],[P74 Return]])</f>
        <v>1.0624293275067673</v>
      </c>
      <c r="KK15" s="27">
        <f>MAX(KK14,PortfolioFrontier[[#This Row],[P74 Growth]])</f>
        <v>1.0634529680483693</v>
      </c>
      <c r="KL15" s="27">
        <f>PortfolioFrontier[[#This Row],[P74 Growth]]/PortfolioFrontier[[#This Row],[P74 HWM]]-1</f>
        <v>-9.6256305860009661E-4</v>
      </c>
      <c r="KM15" s="28">
        <f>SUMPRODUCT(INDEX(PortfolioRef[[SPY]:[PE]],MATCH(KM$1,PortfolioRef[Reference '#]),0),AssetMonthlyReturns[[#This Row],[SPY]:[PE]])</f>
        <v>9.073300765509551E-3</v>
      </c>
      <c r="KN15" s="27">
        <f>IF(ISNUMBER(KN14),KN14*(1+PortfolioFrontier[[#This Row],[P75 Return]]),1+PortfolioFrontier[[#This Row],[P75 Return]])</f>
        <v>1.0600502671286864</v>
      </c>
      <c r="KO15" s="27">
        <f>MAX(KO14,PortfolioFrontier[[#This Row],[P75 Growth]])</f>
        <v>1.0617087037394304</v>
      </c>
      <c r="KP15" s="27">
        <f>PortfolioFrontier[[#This Row],[P75 Growth]]/PortfolioFrontier[[#This Row],[P75 HWM]]-1</f>
        <v>-1.562044847991495E-3</v>
      </c>
      <c r="KQ15" s="28">
        <f>SUMPRODUCT(INDEX(PortfolioRef[[SPY]:[PE]],MATCH(KQ$1,PortfolioRef[Reference '#]),0),AssetMonthlyReturns[[#This Row],[SPY]:[PE]])</f>
        <v>1.0196579082431278E-2</v>
      </c>
      <c r="KR15" s="27">
        <f>IF(ISNUMBER(KR14),KR14*(1+PortfolioFrontier[[#This Row],[P76 Return]]),1+PortfolioFrontier[[#This Row],[P76 Return]])</f>
        <v>1.0686779194362437</v>
      </c>
      <c r="KS15" s="27">
        <f>MAX(KS14,PortfolioFrontier[[#This Row],[P76 Growth]])</f>
        <v>1.0709278831459812</v>
      </c>
      <c r="KT15" s="27">
        <f>PortfolioFrontier[[#This Row],[P76 Growth]]/PortfolioFrontier[[#This Row],[P76 HWM]]-1</f>
        <v>-2.1009479210943871E-3</v>
      </c>
      <c r="KU15" s="28">
        <f>SUMPRODUCT(INDEX(PortfolioRef[[SPY]:[PE]],MATCH(KU$1,PortfolioRef[Reference '#]),0),AssetMonthlyReturns[[#This Row],[SPY]:[PE]])</f>
        <v>9.4469324525801746E-3</v>
      </c>
      <c r="KV15" s="27">
        <f>IF(ISNUMBER(KV14),KV14*(1+PortfolioFrontier[[#This Row],[P77 Return]]),1+PortfolioFrontier[[#This Row],[P77 Return]])</f>
        <v>1.0663428675186755</v>
      </c>
      <c r="KW15" s="27">
        <f>MAX(KW14,PortfolioFrontier[[#This Row],[P77 Growth]])</f>
        <v>1.0692289924276055</v>
      </c>
      <c r="KX15" s="27">
        <f>PortfolioFrontier[[#This Row],[P77 Growth]]/PortfolioFrontier[[#This Row],[P77 HWM]]-1</f>
        <v>-2.6992579974635111E-3</v>
      </c>
      <c r="KY15" s="28">
        <f>SUMPRODUCT(INDEX(PortfolioRef[[SPY]:[PE]],MATCH(KY$1,PortfolioRef[Reference '#]),0),AssetMonthlyReturns[[#This Row],[SPY]:[PE]])</f>
        <v>8.6972858227290714E-3</v>
      </c>
      <c r="KZ15" s="27">
        <f>IF(ISNUMBER(KZ14),KZ14*(1+PortfolioFrontier[[#This Row],[P78 Return]]),1+PortfolioFrontier[[#This Row],[P78 Return]])</f>
        <v>1.0639640327819559</v>
      </c>
      <c r="LA15" s="27">
        <f>MAX(LA14,PortfolioFrontier[[#This Row],[P78 Growth]])</f>
        <v>1.0674843606031827</v>
      </c>
      <c r="LB15" s="27">
        <f>PortfolioFrontier[[#This Row],[P78 Growth]]/PortfolioFrontier[[#This Row],[P78 HWM]]-1</f>
        <v>-3.297779294150649E-3</v>
      </c>
      <c r="LC15" s="28">
        <f>SUMPRODUCT(INDEX(PortfolioRef[[SPY]:[PE]],MATCH(LC$1,PortfolioRef[Reference '#]),0),AssetMonthlyReturns[[#This Row],[SPY]:[PE]])</f>
        <v>1.0983641261214061E-2</v>
      </c>
      <c r="LD15" s="27">
        <f>IF(ISNUMBER(LD14),LD14*(1+PortfolioFrontier[[#This Row],[P79 Return]]),1+PortfolioFrontier[[#This Row],[P79 Return]])</f>
        <v>1.0634056915584602</v>
      </c>
      <c r="LE15" s="27">
        <f>MAX(LE14,PortfolioFrontier[[#This Row],[P79 Growth]])</f>
        <v>1.0635593474203067</v>
      </c>
      <c r="LF15" s="27">
        <f>PortfolioFrontier[[#This Row],[P79 Growth]]/PortfolioFrontier[[#This Row],[P79 HWM]]-1</f>
        <v>-1.444732371721491E-4</v>
      </c>
      <c r="LG15" s="28">
        <f>SUMPRODUCT(INDEX(PortfolioRef[[SPY]:[PE]],MATCH(LG$1,PortfolioRef[Reference '#]),0),AssetMonthlyReturns[[#This Row],[SPY]:[PE]])</f>
        <v>1.0233994631362958E-2</v>
      </c>
      <c r="LH15" s="27">
        <f>IF(ISNUMBER(LH14),LH14*(1+PortfolioFrontier[[#This Row],[P80 Return]]),1+PortfolioFrontier[[#This Row],[P80 Return]])</f>
        <v>1.0610956003951637</v>
      </c>
      <c r="LI15" s="27">
        <f>MAX(LI14,PortfolioFrontier[[#This Row],[P80 Growth]])</f>
        <v>1.0618851615590359</v>
      </c>
      <c r="LJ15" s="27">
        <f>PortfolioFrontier[[#This Row],[P80 Growth]]/PortfolioFrontier[[#This Row],[P80 HWM]]-1</f>
        <v>-7.4354665876763537E-4</v>
      </c>
      <c r="LK15" s="28">
        <f>SUMPRODUCT(INDEX(PortfolioRef[[SPY]:[PE]],MATCH(LK$1,PortfolioRef[Reference '#]),0),AssetMonthlyReturns[[#This Row],[SPY]:[PE]])</f>
        <v>9.4843480015118567E-3</v>
      </c>
      <c r="LL15" s="27">
        <f>IF(ISNUMBER(LL14),LL14*(1+PortfolioFrontier[[#This Row],[P81 Return]]),1+PortfolioFrontier[[#This Row],[P81 Return]])</f>
        <v>1.0587419374528935</v>
      </c>
      <c r="LM15" s="27">
        <f>MAX(LM14,PortfolioFrontier[[#This Row],[P81 Growth]])</f>
        <v>1.0601655609520437</v>
      </c>
      <c r="LN15" s="27">
        <f>PortfolioFrontier[[#This Row],[P81 Growth]]/PortfolioFrontier[[#This Row],[P81 HWM]]-1</f>
        <v>-1.3428313006808024E-3</v>
      </c>
      <c r="LO15" s="28">
        <f>SUMPRODUCT(INDEX(PortfolioRef[[SPY]:[PE]],MATCH(LO$1,PortfolioRef[Reference '#]),0),AssetMonthlyReturns[[#This Row],[SPY]:[PE]])</f>
        <v>1.0607626318433584E-2</v>
      </c>
      <c r="LP15" s="27">
        <f>IF(ISNUMBER(LP14),LP14*(1+PortfolioFrontier[[#This Row],[P82 Return]]),1+PortfolioFrontier[[#This Row],[P82 Return]])</f>
        <v>1.0673473923056875</v>
      </c>
      <c r="LQ15" s="27">
        <f>MAX(LQ14,PortfolioFrontier[[#This Row],[P82 Growth]])</f>
        <v>1.0693605860857027</v>
      </c>
      <c r="LR15" s="27">
        <f>PortfolioFrontier[[#This Row],[P82 Growth]]/PortfolioFrontier[[#This Row],[P82 HWM]]-1</f>
        <v>-1.8826145326567012E-3</v>
      </c>
      <c r="LS15" s="28">
        <f>SUMPRODUCT(INDEX(PortfolioRef[[SPY]:[PE]],MATCH(LS$1,PortfolioRef[Reference '#]),0),AssetMonthlyReturns[[#This Row],[SPY]:[PE]])</f>
        <v>9.8579796885824803E-3</v>
      </c>
      <c r="LT15" s="27">
        <f>IF(ISNUMBER(LT14),LT14*(1+PortfolioFrontier[[#This Row],[P83 Return]]),1+PortfolioFrontier[[#This Row],[P83 Return]])</f>
        <v>1.0650378323037351</v>
      </c>
      <c r="LU15" s="27">
        <f>MAX(LU14,PortfolioFrontier[[#This Row],[P83 Growth]])</f>
        <v>1.0676864714537937</v>
      </c>
      <c r="LV15" s="27">
        <f>PortfolioFrontier[[#This Row],[P83 Growth]]/PortfolioFrontier[[#This Row],[P83 HWM]]-1</f>
        <v>-2.4807274615479269E-3</v>
      </c>
      <c r="LW15" s="28">
        <f>SUMPRODUCT(INDEX(PortfolioRef[[SPY]:[PE]],MATCH(LW$1,PortfolioRef[Reference '#]),0),AssetMonthlyReturns[[#This Row],[SPY]:[PE]])</f>
        <v>9.1083330587313771E-3</v>
      </c>
      <c r="LX15" s="27">
        <f>IF(ISNUMBER(LX14),LX14*(1+PortfolioFrontier[[#This Row],[P84 Return]]),1+PortfolioFrontier[[#This Row],[P84 Return]])</f>
        <v>1.0626844657962884</v>
      </c>
      <c r="LY15" s="27">
        <f>MAX(LY14,PortfolioFrontier[[#This Row],[P84 Growth]])</f>
        <v>1.065966632071782</v>
      </c>
      <c r="LZ15" s="27">
        <f>PortfolioFrontier[[#This Row],[P84 Growth]]/PortfolioFrontier[[#This Row],[P84 HWM]]-1</f>
        <v>-3.0790516107568333E-3</v>
      </c>
      <c r="MA15" s="28">
        <f>SUMPRODUCT(INDEX(PortfolioRef[[SPY]:[PE]],MATCH(MA$1,PortfolioRef[Reference '#]),0),AssetMonthlyReturns[[#This Row],[SPY]:[PE]])</f>
        <v>1.0231611375653106E-2</v>
      </c>
      <c r="MB15" s="27">
        <f>IF(ISNUMBER(MB14),MB14*(1+PortfolioFrontier[[#This Row],[P85 Return]]),1+PortfolioFrontier[[#This Row],[P85 Return]])</f>
        <v>1.0712528502771261</v>
      </c>
      <c r="MC15" s="27">
        <f>MAX(MC14,PortfolioFrontier[[#This Row],[P85 Growth]])</f>
        <v>1.0751445932429837</v>
      </c>
      <c r="MD15" s="27">
        <f>PortfolioFrontier[[#This Row],[P85 Growth]]/PortfolioFrontier[[#This Row],[P85 HWM]]-1</f>
        <v>-3.6197391404990675E-3</v>
      </c>
      <c r="ME15" s="28">
        <f>SUMPRODUCT(INDEX(PortfolioRef[[SPY]:[PE]],MATCH(ME$1,PortfolioRef[Reference '#]),0),AssetMonthlyReturns[[#This Row],[SPY]:[PE]])</f>
        <v>9.4819647458020025E-3</v>
      </c>
      <c r="MF15" s="27">
        <f>IF(ISNUMBER(MF14),MF14*(1+PortfolioFrontier[[#This Row],[P86 Return]]),1+PortfolioFrontier[[#This Row],[P86 Return]])</f>
        <v>1.0689439238694318</v>
      </c>
      <c r="MG15" s="27">
        <f>MAX(MG14,PortfolioFrontier[[#This Row],[P86 Growth]])</f>
        <v>1.0734706331401402</v>
      </c>
      <c r="MH15" s="27">
        <f>PortfolioFrontier[[#This Row],[P86 Growth]]/PortfolioFrontier[[#This Row],[P86 HWM]]-1</f>
        <v>-4.2168915766859216E-3</v>
      </c>
      <c r="MI15" s="28">
        <f>SUMPRODUCT(INDEX(PortfolioRef[[SPY]:[PE]],MATCH(MI$1,PortfolioRef[Reference '#]),0),AssetMonthlyReturns[[#This Row],[SPY]:[PE]])</f>
        <v>8.7323181159508993E-3</v>
      </c>
      <c r="MJ15" s="27">
        <f>IF(ISNUMBER(MJ14),MJ14*(1+PortfolioFrontier[[#This Row],[P87 Return]]),1+PortfolioFrontier[[#This Row],[P87 Return]])</f>
        <v>1.0665909570528009</v>
      </c>
      <c r="MK15" s="27">
        <f>MAX(MK14,PortfolioFrontier[[#This Row],[P87 Growth]])</f>
        <v>1.0717506381712922</v>
      </c>
      <c r="ML15" s="27">
        <f>PortfolioFrontier[[#This Row],[P87 Growth]]/PortfolioFrontier[[#This Row],[P87 HWM]]-1</f>
        <v>-4.8142552331904565E-3</v>
      </c>
      <c r="MM15" s="28">
        <f>SUMPRODUCT(INDEX(PortfolioRef[[SPY]:[PE]],MATCH(MM$1,PortfolioRef[Reference '#]),0),AssetMonthlyReturns[[#This Row],[SPY]:[PE]])</f>
        <v>1.1018673554435887E-2</v>
      </c>
      <c r="MN15" s="27">
        <f>IF(ISNUMBER(MN14),MN14*(1+PortfolioFrontier[[#This Row],[P88 Return]]),1+PortfolioFrontier[[#This Row],[P88 Return]])</f>
        <v>1.0659735079234705</v>
      </c>
      <c r="MO15" s="27">
        <f>MAX(MO14,PortfolioFrontier[[#This Row],[P88 Growth]])</f>
        <v>1.0692295641878635</v>
      </c>
      <c r="MP15" s="27">
        <f>PortfolioFrontier[[#This Row],[P88 Growth]]/PortfolioFrontier[[#This Row],[P88 HWM]]-1</f>
        <v>-3.0452359095272108E-3</v>
      </c>
      <c r="MQ15" s="28">
        <f>SUMPRODUCT(INDEX(PortfolioRef[[SPY]:[PE]],MATCH(MQ$1,PortfolioRef[Reference '#]),0),AssetMonthlyReturns[[#This Row],[SPY]:[PE]])</f>
        <v>1.0269026924584784E-2</v>
      </c>
      <c r="MR15" s="27">
        <f>IF(ISNUMBER(MR14),MR14*(1+PortfolioFrontier[[#This Row],[P89 Return]]),1+PortfolioFrontier[[#This Row],[P89 Return]])</f>
        <v>1.0636894001938881</v>
      </c>
      <c r="MS15" s="27">
        <f>MAX(MS14,PortfolioFrontier[[#This Row],[P89 Growth]])</f>
        <v>1.0661012940527044</v>
      </c>
      <c r="MT15" s="27">
        <f>PortfolioFrontier[[#This Row],[P89 Growth]]/PortfolioFrontier[[#This Row],[P89 HWM]]-1</f>
        <v>-2.2623496212518246E-3</v>
      </c>
      <c r="MU15" s="28">
        <f>SUMPRODUCT(INDEX(PortfolioRef[[SPY]:[PE]],MATCH(MU$1,PortfolioRef[Reference '#]),0),AssetMonthlyReturns[[#This Row],[SPY]:[PE]])</f>
        <v>9.5193802947336811E-3</v>
      </c>
      <c r="MV15" s="27">
        <f>IF(ISNUMBER(MV14),MV14*(1+PortfolioFrontier[[#This Row],[P90 Return]]),1+PortfolioFrontier[[#This Row],[P90 Return]])</f>
        <v>1.0613614644754898</v>
      </c>
      <c r="MW15" s="27">
        <f>MAX(MW14,PortfolioFrontier[[#This Row],[P90 Growth]])</f>
        <v>1.0644061734520076</v>
      </c>
      <c r="MX15" s="27">
        <f>PortfolioFrontier[[#This Row],[P90 Growth]]/PortfolioFrontier[[#This Row],[P90 HWM]]-1</f>
        <v>-2.8604766229824996E-3</v>
      </c>
      <c r="MY15" s="28">
        <f>SUMPRODUCT(INDEX(PortfolioRef[[SPY]:[PE]],MATCH(MY$1,PortfolioRef[Reference '#]),0),AssetMonthlyReturns[[#This Row],[SPY]:[PE]])</f>
        <v>1.064265861165541E-2</v>
      </c>
      <c r="MZ15" s="27">
        <f>IF(ISNUMBER(MZ14),MZ14*(1+PortfolioFrontier[[#This Row],[P91 Return]]),1+PortfolioFrontier[[#This Row],[P91 Return]])</f>
        <v>1.0699075614332363</v>
      </c>
      <c r="NA15" s="27">
        <f>MAX(NA14,PortfolioFrontier[[#This Row],[P91 Growth]])</f>
        <v>1.0738341548377508</v>
      </c>
      <c r="NB15" s="27">
        <f>PortfolioFrontier[[#This Row],[P91 Growth]]/PortfolioFrontier[[#This Row],[P91 HWM]]-1</f>
        <v>-3.6566106477660121E-3</v>
      </c>
      <c r="NC15" s="28">
        <f>SUMPRODUCT(INDEX(PortfolioRef[[SPY]:[PE]],MATCH(NC$1,PortfolioRef[Reference '#]),0),AssetMonthlyReturns[[#This Row],[SPY]:[PE]])</f>
        <v>9.8930119818043064E-3</v>
      </c>
      <c r="ND15" s="27">
        <f>IF(ISNUMBER(ND14),ND14*(1+PortfolioFrontier[[#This Row],[P92 Return]]),1+PortfolioFrontier[[#This Row],[P92 Return]])</f>
        <v>1.0676241595558271</v>
      </c>
      <c r="NE15" s="27">
        <f>MAX(NE14,PortfolioFrontier[[#This Row],[P92 Growth]])</f>
        <v>1.0719107301372102</v>
      </c>
      <c r="NF15" s="27">
        <f>PortfolioFrontier[[#This Row],[P92 Growth]]/PortfolioFrontier[[#This Row],[P92 HWM]]-1</f>
        <v>-3.9989996003065853E-3</v>
      </c>
      <c r="NG15" s="28">
        <f>SUMPRODUCT(INDEX(PortfolioRef[[SPY]:[PE]],MATCH(NG$1,PortfolioRef[Reference '#]),0),AssetMonthlyReturns[[#This Row],[SPY]:[PE]])</f>
        <v>9.1433653519532032E-3</v>
      </c>
      <c r="NH15" s="27">
        <f>IF(ISNUMBER(NH14),NH14*(1+PortfolioFrontier[[#This Row],[P93 Return]]),1+PortfolioFrontier[[#This Row],[P93 Return]])</f>
        <v>1.0652966948120171</v>
      </c>
      <c r="NI15" s="27">
        <f>MAX(NI14,PortfolioFrontier[[#This Row],[P93 Growth]])</f>
        <v>1.0702155834061484</v>
      </c>
      <c r="NJ15" s="27">
        <f>PortfolioFrontier[[#This Row],[P93 Growth]]/PortfolioFrontier[[#This Row],[P93 HWM]]-1</f>
        <v>-4.5961661093329997E-3</v>
      </c>
      <c r="NK15" s="28">
        <f>SUMPRODUCT(INDEX(PortfolioRef[[SPY]:[PE]],MATCH(NK$1,PortfolioRef[Reference '#]),0),AssetMonthlyReturns[[#This Row],[SPY]:[PE]])</f>
        <v>1.026664366887493E-2</v>
      </c>
      <c r="NL15" s="27">
        <f>IF(ISNUMBER(NL14),NL14*(1+PortfolioFrontier[[#This Row],[P94 Return]]),1+PortfolioFrontier[[#This Row],[P94 Return]])</f>
        <v>1.0738052317026676</v>
      </c>
      <c r="NM15" s="27">
        <f>MAX(NM14,PortfolioFrontier[[#This Row],[P94 Growth]])</f>
        <v>1.0793516291026466</v>
      </c>
      <c r="NN15" s="27">
        <f>PortfolioFrontier[[#This Row],[P94 Growth]]/PortfolioFrontier[[#This Row],[P94 HWM]]-1</f>
        <v>-5.1386380957150202E-3</v>
      </c>
      <c r="NO15" s="28">
        <f>SUMPRODUCT(INDEX(PortfolioRef[[SPY]:[PE]],MATCH(NO$1,PortfolioRef[Reference '#]),0),AssetMonthlyReturns[[#This Row],[SPY]:[PE]])</f>
        <v>9.5169970390238286E-3</v>
      </c>
      <c r="NP15" s="27">
        <f>IF(ISNUMBER(NP14),NP14*(1+PortfolioFrontier[[#This Row],[P95 Return]]),1+PortfolioFrontier[[#This Row],[P95 Return]])</f>
        <v>1.071522637612069</v>
      </c>
      <c r="NQ15" s="27">
        <f>MAX(NQ14,PortfolioFrontier[[#This Row],[P95 Growth]])</f>
        <v>1.0777028679259777</v>
      </c>
      <c r="NR15" s="27">
        <f>PortfolioFrontier[[#This Row],[P95 Growth]]/PortfolioFrontier[[#This Row],[P95 HWM]]-1</f>
        <v>-5.7346328917194933E-3</v>
      </c>
      <c r="NS15" s="28">
        <f>SUMPRODUCT(INDEX(PortfolioRef[[SPY]:[PE]],MATCH(NS$1,PortfolioRef[Reference '#]),0),AssetMonthlyReturns[[#This Row],[SPY]:[PE]])</f>
        <v>8.7673504091727254E-3</v>
      </c>
      <c r="NT15" s="27">
        <f>IF(ISNUMBER(NT14),NT14*(1+PortfolioFrontier[[#This Row],[P96 Return]]),1+PortfolioFrontier[[#This Row],[P96 Return]])</f>
        <v>1.0691957466117286</v>
      </c>
      <c r="NU15" s="27">
        <f>MAX(NU14,PortfolioFrontier[[#This Row],[P96 Growth]])</f>
        <v>1.0760077785213464</v>
      </c>
      <c r="NV15" s="27">
        <f>PortfolioFrontier[[#This Row],[P96 Growth]]/PortfolioFrontier[[#This Row],[P96 HWM]]-1</f>
        <v>-6.3308389080412031E-3</v>
      </c>
      <c r="NW15" s="28">
        <f>SUMPRODUCT(INDEX(PortfolioRef[[SPY]:[PE]],MATCH(NW$1,PortfolioRef[Reference '#]),0),AssetMonthlyReturns[[#This Row],[SPY]:[PE]])</f>
        <v>9.8278129955731396E-3</v>
      </c>
      <c r="NX15" s="27">
        <f>IF(ISNUMBER(NX14),NX14*(1+PortfolioFrontier[[#This Row],[P97 Return]]),1+PortfolioFrontier[[#This Row],[P97 Return]])</f>
        <v>1.0525397039101527</v>
      </c>
      <c r="NY15" s="27">
        <f>MAX(NY14,PortfolioFrontier[[#This Row],[P97 Growth]])</f>
        <v>1.0525397039101527</v>
      </c>
      <c r="NZ15" s="27">
        <f>PortfolioFrontier[[#This Row],[P97 Growth]]/PortfolioFrontier[[#This Row],[P97 HWM]]-1</f>
        <v>0</v>
      </c>
      <c r="OA15" s="28">
        <f>SUMPRODUCT(INDEX(PortfolioRef[[SPY]:[PE]],MATCH(OA$1,PortfolioRef[Reference '#]),0),AssetMonthlyReturns[[#This Row],[SPY]:[PE]])</f>
        <v>1.0238860231575442E-2</v>
      </c>
      <c r="OB15" s="27">
        <f>IF(ISNUMBER(OB14),OB14*(1+PortfolioFrontier[[#This Row],[P98 Return]]),1+PortfolioFrontier[[#This Row],[P98 Return]])</f>
        <v>1.0512523955037267</v>
      </c>
      <c r="OC15" s="27">
        <f>MAX(OC14,PortfolioFrontier[[#This Row],[P98 Growth]])</f>
        <v>1.0512523955037267</v>
      </c>
      <c r="OD15" s="27">
        <f>PortfolioFrontier[[#This Row],[P98 Growth]]/PortfolioFrontier[[#This Row],[P98 HWM]]-1</f>
        <v>0</v>
      </c>
      <c r="OE15" s="28">
        <f>SUMPRODUCT(INDEX(PortfolioRef[[SPY]:[PE]],MATCH(OE$1,PortfolioRef[Reference '#]),0),AssetMonthlyReturns[[#This Row],[SPY]:[PE]])</f>
        <v>9.8628452887949622E-3</v>
      </c>
      <c r="OF15" s="27">
        <f>IF(ISNUMBER(OF14),OF14*(1+PortfolioFrontier[[#This Row],[P99 Return]]),1+PortfolioFrontier[[#This Row],[P99 Return]])</f>
        <v>1.0551701752525495</v>
      </c>
      <c r="OG15" s="27">
        <f>MAX(OG14,PortfolioFrontier[[#This Row],[P99 Growth]])</f>
        <v>1.0551701752525495</v>
      </c>
      <c r="OH15" s="27">
        <f>PortfolioFrontier[[#This Row],[P99 Growth]]/PortfolioFrontier[[#This Row],[P99 HWM]]-1</f>
        <v>0</v>
      </c>
      <c r="OI15" s="28">
        <f>SUMPRODUCT(INDEX(PortfolioRef[[SPY]:[PE]],MATCH(OI$1,PortfolioRef[Reference '#]),0),AssetMonthlyReturns[[#This Row],[SPY]:[PE]])</f>
        <v>9.1131986589438607E-3</v>
      </c>
      <c r="OJ15" s="27">
        <f>IF(ISNUMBER(OJ14),OJ14*(1+PortfolioFrontier[[#This Row],[P100 Return]]),1+PortfolioFrontier[[#This Row],[P100 Return]])</f>
        <v>1.0527969701577384</v>
      </c>
      <c r="OK15" s="27">
        <f>MAX(OK14,PortfolioFrontier[[#This Row],[P100 Growth]])</f>
        <v>1.0527969701577384</v>
      </c>
      <c r="OL15" s="27">
        <f>PortfolioFrontier[[#This Row],[P100 Growth]]/PortfolioFrontier[[#This Row],[P100 HWM]]-1</f>
        <v>0</v>
      </c>
      <c r="OM15" s="28">
        <f>SUMPRODUCT(INDEX(PortfolioRef[[SPY]:[PE]],MATCH(OM$1,PortfolioRef[Reference '#]),0),AssetMonthlyReturns[[#This Row],[SPY]:[PE]])</f>
        <v>1.0649907467577747E-2</v>
      </c>
      <c r="ON15" s="27">
        <f>IF(ISNUMBER(ON14),ON14*(1+PortfolioFrontier[[#This Row],[P101 Return]]),1+PortfolioFrontier[[#This Row],[P101 Return]])</f>
        <v>1.04992201125337</v>
      </c>
      <c r="OO15" s="27">
        <f>MAX(OO14,PortfolioFrontier[[#This Row],[P101 Growth]])</f>
        <v>1.05059106106777</v>
      </c>
      <c r="OP15" s="27">
        <f>PortfolioFrontier[[#This Row],[P101 Growth]]/PortfolioFrontier[[#This Row],[P101 HWM]]-1</f>
        <v>-6.3683181705354031E-4</v>
      </c>
      <c r="OQ15" s="28">
        <f>SUMPRODUCT(INDEX(PortfolioRef[[SPY]:[PE]],MATCH(OQ$1,PortfolioRef[Reference '#]),0),AssetMonthlyReturns[[#This Row],[SPY]:[PE]])</f>
        <v>1.0273892524797268E-2</v>
      </c>
      <c r="OR15" s="27">
        <f>IF(ISNUMBER(OR14),OR14*(1+PortfolioFrontier[[#This Row],[P102 Return]]),1+PortfolioFrontier[[#This Row],[P102 Return]])</f>
        <v>1.0538682525973948</v>
      </c>
      <c r="OS15" s="27">
        <f>MAX(OS14,PortfolioFrontier[[#This Row],[P102 Growth]])</f>
        <v>1.0551404417516972</v>
      </c>
      <c r="OT15" s="27">
        <f>PortfolioFrontier[[#This Row],[P102 Growth]]/PortfolioFrontier[[#This Row],[P102 HWM]]-1</f>
        <v>-1.2057059932139014E-3</v>
      </c>
      <c r="OU15" s="28">
        <f>SUMPRODUCT(INDEX(PortfolioRef[[SPY]:[PE]],MATCH(OU$1,PortfolioRef[Reference '#]),0),AssetMonthlyReturns[[#This Row],[SPY]:[PE]])</f>
        <v>9.5242458949461664E-3</v>
      </c>
      <c r="OV15" s="27">
        <f>IF(ISNUMBER(OV14),OV14*(1+PortfolioFrontier[[#This Row],[P103 Return]]),1+PortfolioFrontier[[#This Row],[P103 Return]])</f>
        <v>1.0515203082828659</v>
      </c>
      <c r="OW15" s="27">
        <f>MAX(OW14,PortfolioFrontier[[#This Row],[P103 Growth]])</f>
        <v>1.0515203082828659</v>
      </c>
      <c r="OX15" s="27">
        <f>PortfolioFrontier[[#This Row],[P103 Growth]]/PortfolioFrontier[[#This Row],[P103 HWM]]-1</f>
        <v>0</v>
      </c>
      <c r="OY15" s="28">
        <f>SUMPRODUCT(INDEX(PortfolioRef[[SPY]:[PE]],MATCH(OY$1,PortfolioRef[Reference '#]),0),AssetMonthlyReturns[[#This Row],[SPY]:[PE]])</f>
        <v>9.89787758201679E-3</v>
      </c>
      <c r="OZ15" s="27">
        <f>IF(ISNUMBER(OZ14),OZ14*(1+PortfolioFrontier[[#This Row],[P104 Return]]),1+PortfolioFrontier[[#This Row],[P104 Return]])</f>
        <v>1.0577788451478569</v>
      </c>
      <c r="PA15" s="27">
        <f>MAX(PA14,PortfolioFrontier[[#This Row],[P104 Growth]])</f>
        <v>1.0596859973699932</v>
      </c>
      <c r="PB15" s="27">
        <f>PortfolioFrontier[[#This Row],[P104 Growth]]/PortfolioFrontier[[#This Row],[P104 HWM]]-1</f>
        <v>-1.7997333425842088E-3</v>
      </c>
      <c r="PC15" s="28">
        <f>SUMPRODUCT(INDEX(PortfolioRef[[SPY]:[PE]],MATCH(PC$1,PortfolioRef[Reference '#]),0),AssetMonthlyReturns[[#This Row],[SPY]:[PE]])</f>
        <v>9.1482309521656868E-3</v>
      </c>
      <c r="PD15" s="27">
        <f>IF(ISNUMBER(PD14),PD14*(1+PortfolioFrontier[[#This Row],[P105 Return]]),1+PortfolioFrontier[[#This Row],[P105 Return]])</f>
        <v>1.0554311274474901</v>
      </c>
      <c r="PE15" s="27">
        <f>MAX(PE14,PortfolioFrontier[[#This Row],[P105 Growth]])</f>
        <v>1.056821114329384</v>
      </c>
      <c r="PF15" s="27">
        <f>PortfolioFrontier[[#This Row],[P105 Growth]]/PortfolioFrontier[[#This Row],[P105 HWM]]-1</f>
        <v>-1.3152527547444226E-3</v>
      </c>
      <c r="PG15" s="28">
        <f>SUMPRODUCT(INDEX(PortfolioRef[[SPY]:[PE]],MATCH(PG$1,PortfolioRef[Reference '#]),0),AssetMonthlyReturns[[#This Row],[SPY]:[PE]])</f>
        <v>8.3985843223145853E-3</v>
      </c>
      <c r="PH15" s="27">
        <f>IF(ISNUMBER(PH14),PH14*(1+PortfolioFrontier[[#This Row],[P106 Return]]),1+PortfolioFrontier[[#This Row],[P106 Return]])</f>
        <v>1.0530402177921423</v>
      </c>
      <c r="PI15" s="27">
        <f>MAX(PI14,PortfolioFrontier[[#This Row],[P106 Growth]])</f>
        <v>1.0550607260395319</v>
      </c>
      <c r="PJ15" s="27">
        <f>PortfolioFrontier[[#This Row],[P106 Growth]]/PortfolioFrontier[[#This Row],[P106 HWM]]-1</f>
        <v>-1.9150634627205232E-3</v>
      </c>
      <c r="PK15" s="28">
        <f>SUMPRODUCT(INDEX(PortfolioRef[[SPY]:[PE]],MATCH(PK$1,PortfolioRef[Reference '#]),0),AssetMonthlyReturns[[#This Row],[SPY]:[PE]])</f>
        <v>1.0684939760799572E-2</v>
      </c>
      <c r="PL15" s="27">
        <f>IF(ISNUMBER(PL14),PL14*(1+PortfolioFrontier[[#This Row],[P107 Return]]),1+PortfolioFrontier[[#This Row],[P107 Return]])</f>
        <v>1.052523258024392</v>
      </c>
      <c r="PM15" s="27">
        <f>MAX(PM14,PortfolioFrontier[[#This Row],[P107 Growth]])</f>
        <v>1.0562201870951351</v>
      </c>
      <c r="PN15" s="27">
        <f>PortfolioFrontier[[#This Row],[P107 Growth]]/PortfolioFrontier[[#This Row],[P107 HWM]]-1</f>
        <v>-3.5001499837932215E-3</v>
      </c>
      <c r="PO15" s="28">
        <f>SUMPRODUCT(INDEX(PortfolioRef[[SPY]:[PE]],MATCH(PO$1,PortfolioRef[Reference '#]),0),AssetMonthlyReturns[[#This Row],[SPY]:[PE]])</f>
        <v>9.9352931309484704E-3</v>
      </c>
      <c r="PP15" s="27">
        <f>IF(ISNUMBER(PP14),PP14*(1+PortfolioFrontier[[#This Row],[P108 Return]]),1+PortfolioFrontier[[#This Row],[P108 Return]])</f>
        <v>1.0502005379158337</v>
      </c>
      <c r="PQ15" s="27">
        <f>MAX(PQ14,PortfolioFrontier[[#This Row],[P108 Growth]])</f>
        <v>1.051372855315329</v>
      </c>
      <c r="PR15" s="27">
        <f>PortfolioFrontier[[#This Row],[P108 Growth]]/PortfolioFrontier[[#This Row],[P108 HWM]]-1</f>
        <v>-1.1150348742299254E-3</v>
      </c>
      <c r="PS15" s="28">
        <f>SUMPRODUCT(INDEX(PortfolioRef[[SPY]:[PE]],MATCH(PS$1,PortfolioRef[Reference '#]),0),AssetMonthlyReturns[[#This Row],[SPY]:[PE]])</f>
        <v>1.0308924818019094E-2</v>
      </c>
      <c r="PT15" s="27">
        <f>IF(ISNUMBER(PT14),PT14*(1+PortfolioFrontier[[#This Row],[P109 Return]]),1+PortfolioFrontier[[#This Row],[P109 Return]])</f>
        <v>1.0564622889521507</v>
      </c>
      <c r="PU15" s="27">
        <f>MAX(PU14,PortfolioFrontier[[#This Row],[P109 Growth]])</f>
        <v>1.0607882528163963</v>
      </c>
      <c r="PV15" s="27">
        <f>PortfolioFrontier[[#This Row],[P109 Growth]]/PortfolioFrontier[[#This Row],[P109 HWM]]-1</f>
        <v>-4.0780653940691858E-3</v>
      </c>
      <c r="PW15" s="28">
        <f>SUMPRODUCT(INDEX(PortfolioRef[[SPY]:[PE]],MATCH(PW$1,PortfolioRef[Reference '#]),0),AssetMonthlyReturns[[#This Row],[SPY]:[PE]])</f>
        <v>9.5592781881679908E-3</v>
      </c>
      <c r="PX15" s="27">
        <f>IF(ISNUMBER(PX14),PX14*(1+PortfolioFrontier[[#This Row],[P110 Return]]),1+PortfolioFrontier[[#This Row],[P110 Return]])</f>
        <v>1.0541398662036607</v>
      </c>
      <c r="PY15" s="27">
        <f>MAX(PY14,PortfolioFrontier[[#This Row],[P110 Growth]])</f>
        <v>1.0559214762599245</v>
      </c>
      <c r="PZ15" s="27">
        <f>PortfolioFrontier[[#This Row],[P110 Growth]]/PortfolioFrontier[[#This Row],[P110 HWM]]-1</f>
        <v>-1.6872561987982815E-3</v>
      </c>
      <c r="QA15" s="28">
        <f>SUMPRODUCT(INDEX(PortfolioRef[[SPY]:[PE]],MATCH(QA$1,PortfolioRef[Reference '#]),0),AssetMonthlyReturns[[#This Row],[SPY]:[PE]])</f>
        <v>8.8096315583168893E-3</v>
      </c>
      <c r="QB15" s="27">
        <f>IF(ISNUMBER(QB14),QB14*(1+PortfolioFrontier[[#This Row],[P111 Return]]),1+PortfolioFrontier[[#This Row],[P111 Return]])</f>
        <v>1.0517742269402941</v>
      </c>
      <c r="QC15" s="27">
        <f>MAX(QC14,PortfolioFrontier[[#This Row],[P111 Growth]])</f>
        <v>1.0535606405282651</v>
      </c>
      <c r="QD15" s="27">
        <f>PortfolioFrontier[[#This Row],[P111 Growth]]/PortfolioFrontier[[#This Row],[P111 HWM]]-1</f>
        <v>-1.6955963608087377E-3</v>
      </c>
      <c r="QE15" s="28">
        <f>SUMPRODUCT(INDEX(PortfolioRef[[SPY]:[PE]],MATCH(QE$1,PortfolioRef[Reference '#]),0),AssetMonthlyReturns[[#This Row],[SPY]:[PE]])</f>
        <v>9.9329098752386161E-3</v>
      </c>
      <c r="QF15" s="27">
        <f>IF(ISNUMBER(QF14),QF14*(1+PortfolioFrontier[[#This Row],[P112 Return]]),1+PortfolioFrontier[[#This Row],[P112 Return]])</f>
        <v>1.0603655296290471</v>
      </c>
      <c r="QG15" s="27">
        <f>MAX(QG14,PortfolioFrontier[[#This Row],[P112 Growth]])</f>
        <v>1.0653524862884685</v>
      </c>
      <c r="QH15" s="27">
        <f>PortfolioFrontier[[#This Row],[P112 Growth]]/PortfolioFrontier[[#This Row],[P112 HWM]]-1</f>
        <v>-4.6810391148521813E-3</v>
      </c>
      <c r="QI15" s="28">
        <f>SUMPRODUCT(INDEX(PortfolioRef[[SPY]:[PE]],MATCH(QI$1,PortfolioRef[Reference '#]),0),AssetMonthlyReturns[[#This Row],[SPY]:[PE]])</f>
        <v>9.1832632453875129E-3</v>
      </c>
      <c r="QJ15" s="27">
        <f>IF(ISNUMBER(QJ14),QJ14*(1+PortfolioFrontier[[#This Row],[P113 Return]]),1+PortfolioFrontier[[#This Row],[P113 Return]])</f>
        <v>1.0580435069045784</v>
      </c>
      <c r="QK15" s="27">
        <f>MAX(QK14,PortfolioFrontier[[#This Row],[P113 Growth]])</f>
        <v>1.0610487883257618</v>
      </c>
      <c r="QL15" s="27">
        <f>PortfolioFrontier[[#This Row],[P113 Growth]]/PortfolioFrontier[[#This Row],[P113 HWM]]-1</f>
        <v>-2.832368741427449E-3</v>
      </c>
      <c r="QM15" s="28">
        <f>SUMPRODUCT(INDEX(PortfolioRef[[SPY]:[PE]],MATCH(QM$1,PortfolioRef[Reference '#]),0),AssetMonthlyReturns[[#This Row],[SPY]:[PE]])</f>
        <v>8.4336166155364097E-3</v>
      </c>
      <c r="QN15" s="27">
        <f>IF(ISNUMBER(QN14),QN14*(1+PortfolioFrontier[[#This Row],[P114 Return]]),1+PortfolioFrontier[[#This Row],[P114 Return]])</f>
        <v>1.0556780349403585</v>
      </c>
      <c r="QO15" s="27">
        <f>MAX(QO14,PortfolioFrontier[[#This Row],[P114 Growth]])</f>
        <v>1.0593125594345603</v>
      </c>
      <c r="QP15" s="27">
        <f>PortfolioFrontier[[#This Row],[P114 Growth]]/PortfolioFrontier[[#This Row],[P114 HWM]]-1</f>
        <v>-3.4310218092210576E-3</v>
      </c>
      <c r="QQ15" s="28">
        <f>SUMPRODUCT(INDEX(PortfolioRef[[SPY]:[PE]],MATCH(QQ$1,PortfolioRef[Reference '#]),0),AssetMonthlyReturns[[#This Row],[SPY]:[PE]])</f>
        <v>1.0719972054021398E-2</v>
      </c>
      <c r="QR15" s="27">
        <f>IF(ISNUMBER(QR14),QR14*(1+PortfolioFrontier[[#This Row],[P115 Return]]),1+PortfolioFrontier[[#This Row],[P115 Return]])</f>
        <v>1.0551026659010843</v>
      </c>
      <c r="QS15" s="27">
        <f>MAX(QS14,PortfolioFrontier[[#This Row],[P115 Growth]])</f>
        <v>1.0618686348654582</v>
      </c>
      <c r="QT15" s="27">
        <f>PortfolioFrontier[[#This Row],[P115 Growth]]/PortfolioFrontier[[#This Row],[P115 HWM]]-1</f>
        <v>-6.3717570537632495E-3</v>
      </c>
      <c r="QU15" s="28">
        <f>SUMPRODUCT(INDEX(PortfolioRef[[SPY]:[PE]],MATCH(QU$1,PortfolioRef[Reference '#]),0),AssetMonthlyReturns[[#This Row],[SPY]:[PE]])</f>
        <v>9.9703254241702947E-3</v>
      </c>
      <c r="QV15" s="27">
        <f>IF(ISNUMBER(QV14),QV14*(1+PortfolioFrontier[[#This Row],[P116 Return]]),1+PortfolioFrontier[[#This Row],[P116 Return]])</f>
        <v>1.0528055001568051</v>
      </c>
      <c r="QW15" s="27">
        <f>MAX(QW14,PortfolioFrontier[[#This Row],[P116 Growth]])</f>
        <v>1.0570041848172638</v>
      </c>
      <c r="QX15" s="27">
        <f>PortfolioFrontier[[#This Row],[P116 Growth]]/PortfolioFrontier[[#This Row],[P116 HWM]]-1</f>
        <v>-3.9722497987881855E-3</v>
      </c>
      <c r="QY15" s="28">
        <f>SUMPRODUCT(INDEX(PortfolioRef[[SPY]:[PE]],MATCH(QY$1,PortfolioRef[Reference '#]),0),AssetMonthlyReturns[[#This Row],[SPY]:[PE]])</f>
        <v>9.2206787943191933E-3</v>
      </c>
      <c r="QZ15" s="27">
        <f>IF(ISNUMBER(QZ14),QZ14*(1+PortfolioFrontier[[#This Row],[P117 Return]]),1+PortfolioFrontier[[#This Row],[P117 Return]])</f>
        <v>1.0504650955268153</v>
      </c>
      <c r="RA15" s="27">
        <f>MAX(RA14,PortfolioFrontier[[#This Row],[P117 Growth]])</f>
        <v>1.0521518697486996</v>
      </c>
      <c r="RB15" s="27">
        <f>PortfolioFrontier[[#This Row],[P117 Growth]]/PortfolioFrontier[[#This Row],[P117 HWM]]-1</f>
        <v>-1.6031661116442386E-3</v>
      </c>
      <c r="RC15" s="28">
        <f>SUMPRODUCT(INDEX(PortfolioRef[[SPY]:[PE]],MATCH(RC$1,PortfolioRef[Reference '#]),0),AssetMonthlyReturns[[#This Row],[SPY]:[PE]])</f>
        <v>1.034395711124092E-2</v>
      </c>
      <c r="RD15" s="27">
        <f>IF(ISNUMBER(RD14),RD14*(1+PortfolioFrontier[[#This Row],[P118 Return]]),1+PortfolioFrontier[[#This Row],[P118 Return]])</f>
        <v>1.0590343212786455</v>
      </c>
      <c r="RE15" s="27">
        <f>MAX(RE14,PortfolioFrontier[[#This Row],[P118 Growth]])</f>
        <v>1.0664554246268612</v>
      </c>
      <c r="RF15" s="27">
        <f>PortfolioFrontier[[#This Row],[P118 Growth]]/PortfolioFrontier[[#This Row],[P118 HWM]]-1</f>
        <v>-6.9586624783799511E-3</v>
      </c>
      <c r="RG15" s="28">
        <f>SUMPRODUCT(INDEX(PortfolioRef[[SPY]:[PE]],MATCH(RG$1,PortfolioRef[Reference '#]),0),AssetMonthlyReturns[[#This Row],[SPY]:[PE]])</f>
        <v>9.5943104813898169E-3</v>
      </c>
      <c r="RH15" s="27">
        <f>IF(ISNUMBER(RH14),RH14*(1+PortfolioFrontier[[#This Row],[P119 Return]]),1+PortfolioFrontier[[#This Row],[P119 Return]])</f>
        <v>1.0567376267919639</v>
      </c>
      <c r="RI15" s="27">
        <f>MAX(RI14,PortfolioFrontier[[#This Row],[P119 Growth]])</f>
        <v>1.0615714914212842</v>
      </c>
      <c r="RJ15" s="27">
        <f>PortfolioFrontier[[#This Row],[P119 Growth]]/PortfolioFrontier[[#This Row],[P119 HWM]]-1</f>
        <v>-4.5534989102320456E-3</v>
      </c>
      <c r="RK15" s="28">
        <f>SUMPRODUCT(INDEX(PortfolioRef[[SPY]:[PE]],MATCH(RK$1,PortfolioRef[Reference '#]),0),AssetMonthlyReturns[[#This Row],[SPY]:[PE]])</f>
        <v>8.8446638515387137E-3</v>
      </c>
      <c r="RL15" s="27">
        <f>IF(ISNUMBER(RL14),RL14*(1+PortfolioFrontier[[#This Row],[P120 Return]]),1+PortfolioFrontier[[#This Row],[P120 Return]])</f>
        <v>1.0543974597223043</v>
      </c>
      <c r="RM15" s="27">
        <f>MAX(RM14,PortfolioFrontier[[#This Row],[P120 Growth]])</f>
        <v>1.0577953026712454</v>
      </c>
      <c r="RN15" s="27">
        <f>PortfolioFrontier[[#This Row],[P120 Growth]]/PortfolioFrontier[[#This Row],[P120 HWM]]-1</f>
        <v>-3.2121932668452979E-3</v>
      </c>
      <c r="RO15" s="28">
        <f>SUMPRODUCT(INDEX(PortfolioRef[[SPY]:[PE]],MATCH(RO$1,PortfolioRef[Reference '#]),0),AssetMonthlyReturns[[#This Row],[SPY]:[PE]])</f>
        <v>9.9679421684604422E-3</v>
      </c>
      <c r="RP15" s="27">
        <f>IF(ISNUMBER(RP14),RP14*(1+PortfolioFrontier[[#This Row],[P121 Return]]),1+PortfolioFrontier[[#This Row],[P121 Return]])</f>
        <v>1.0629300455329813</v>
      </c>
      <c r="RQ15" s="27">
        <f>MAX(RQ14,PortfolioFrontier[[#This Row],[P121 Growth]])</f>
        <v>1.0710383749555177</v>
      </c>
      <c r="RR15" s="27">
        <f>PortfolioFrontier[[#This Row],[P121 Growth]]/PortfolioFrontier[[#This Row],[P121 HWM]]-1</f>
        <v>-7.5705311892985128E-3</v>
      </c>
      <c r="RS15" s="28">
        <f>SUMPRODUCT(INDEX(PortfolioRef[[SPY]:[PE]],MATCH(RS$1,PortfolioRef[Reference '#]),0),AssetMonthlyReturns[[#This Row],[SPY]:[PE]])</f>
        <v>9.218295538609339E-3</v>
      </c>
      <c r="RT15" s="27">
        <f>IF(ISNUMBER(RT14),RT14*(1+PortfolioFrontier[[#This Row],[P122 Return]]),1+PortfolioFrontier[[#This Row],[P122 Return]])</f>
        <v>1.0606339244872593</v>
      </c>
      <c r="RU15" s="27">
        <f>MAX(RU14,PortfolioFrontier[[#This Row],[P122 Growth]])</f>
        <v>1.0661349333347574</v>
      </c>
      <c r="RV15" s="27">
        <f>PortfolioFrontier[[#This Row],[P122 Growth]]/PortfolioFrontier[[#This Row],[P122 HWM]]-1</f>
        <v>-5.1597679388399875E-3</v>
      </c>
      <c r="RW15" s="28">
        <f>SUMPRODUCT(INDEX(PortfolioRef[[SPY]:[PE]],MATCH(RW$1,PortfolioRef[Reference '#]),0),AssetMonthlyReturns[[#This Row],[SPY]:[PE]])</f>
        <v>8.4686489087582358E-3</v>
      </c>
      <c r="RX15" s="27">
        <f>IF(ISNUMBER(RX14),RX14*(1+PortfolioFrontier[[#This Row],[P123 Return]]),1+PortfolioFrontier[[#This Row],[P123 Return]])</f>
        <v>1.0582940979747095</v>
      </c>
      <c r="RY15" s="27">
        <f>MAX(RY14,PortfolioFrontier[[#This Row],[P123 Growth]])</f>
        <v>1.0635556010104399</v>
      </c>
      <c r="RZ15" s="27">
        <f>PortfolioFrontier[[#This Row],[P123 Growth]]/PortfolioFrontier[[#This Row],[P123 HWM]]-1</f>
        <v>-4.9470878915325311E-3</v>
      </c>
      <c r="SA15" s="28">
        <f>SUMPRODUCT(INDEX(PortfolioRef[[SPY]:[PE]],MATCH(SA$1,PortfolioRef[Reference '#]),0),AssetMonthlyReturns[[#This Row],[SPY]:[PE]])</f>
        <v>1.0755004347243224E-2</v>
      </c>
      <c r="SB15" s="27">
        <f>IF(ISNUMBER(SB14),SB14*(1+PortfolioFrontier[[#This Row],[P124 Return]]),1+PortfolioFrontier[[#This Row],[P124 Return]])</f>
        <v>1.057660052272648</v>
      </c>
      <c r="SC15" s="27">
        <f>MAX(SC14,PortfolioFrontier[[#This Row],[P124 Growth]])</f>
        <v>1.0675364357312243</v>
      </c>
      <c r="SD15" s="27">
        <f>PortfolioFrontier[[#This Row],[P124 Growth]]/PortfolioFrontier[[#This Row],[P124 HWM]]-1</f>
        <v>-9.2515656871339225E-3</v>
      </c>
      <c r="SE15" s="28">
        <f>SUMPRODUCT(INDEX(PortfolioRef[[SPY]:[PE]],MATCH(SE$1,PortfolioRef[Reference '#]),0),AssetMonthlyReturns[[#This Row],[SPY]:[PE]])</f>
        <v>1.0005357717392121E-2</v>
      </c>
      <c r="SF15" s="27">
        <f>IF(ISNUMBER(SF14),SF14*(1+PortfolioFrontier[[#This Row],[P125 Return]]),1+PortfolioFrontier[[#This Row],[P125 Return]])</f>
        <v>1.0553886467011868</v>
      </c>
      <c r="SG15" s="27">
        <f>MAX(SG14,PortfolioFrontier[[#This Row],[P125 Growth]])</f>
        <v>1.0626548391355537</v>
      </c>
      <c r="SH15" s="27">
        <f>PortfolioFrontier[[#This Row],[P125 Growth]]/PortfolioFrontier[[#This Row],[P125 HWM]]-1</f>
        <v>-6.8377728748478805E-3</v>
      </c>
      <c r="SI15" s="28">
        <f>SUMPRODUCT(INDEX(PortfolioRef[[SPY]:[PE]],MATCH(SI$1,PortfolioRef[Reference '#]),0),AssetMonthlyReturns[[#This Row],[SPY]:[PE]])</f>
        <v>9.2557110875410176E-3</v>
      </c>
      <c r="SJ15" s="27">
        <f>IF(ISNUMBER(SJ14),SJ14*(1+PortfolioFrontier[[#This Row],[P126 Return]]),1+PortfolioFrontier[[#This Row],[P126 Return]])</f>
        <v>1.0530737473949634</v>
      </c>
      <c r="SK15" s="27">
        <f>MAX(SK14,PortfolioFrontier[[#This Row],[P126 Growth]])</f>
        <v>1.0577853996594109</v>
      </c>
      <c r="SL15" s="27">
        <f>PortfolioFrontier[[#This Row],[P126 Growth]]/PortfolioFrontier[[#This Row],[P126 HWM]]-1</f>
        <v>-4.454261011699101E-3</v>
      </c>
      <c r="SM15" s="28">
        <f>SUMPRODUCT(INDEX(PortfolioRef[[SPY]:[PE]],MATCH(SM$1,PortfolioRef[Reference '#]),0),AssetMonthlyReturns[[#This Row],[SPY]:[PE]])</f>
        <v>1.0378989404462746E-2</v>
      </c>
      <c r="SN15" s="27">
        <f>IF(ISNUMBER(SN14),SN14*(1+PortfolioFrontier[[#This Row],[P127 Return]]),1+PortfolioFrontier[[#This Row],[P127 Return]])</f>
        <v>1.0615841670945343</v>
      </c>
      <c r="SO15" s="27">
        <f>MAX(SO14,PortfolioFrontier[[#This Row],[P127 Growth]])</f>
        <v>1.072141988535577</v>
      </c>
      <c r="SP15" s="27">
        <f>PortfolioFrontier[[#This Row],[P127 Growth]]/PortfolioFrontier[[#This Row],[P127 HWM]]-1</f>
        <v>-9.847409721788325E-3</v>
      </c>
      <c r="SQ15" s="28">
        <f>SUMPRODUCT(INDEX(PortfolioRef[[SPY]:[PE]],MATCH(SQ$1,PortfolioRef[Reference '#]),0),AssetMonthlyReturns[[#This Row],[SPY]:[PE]])</f>
        <v>9.629342774611643E-3</v>
      </c>
      <c r="SR15" s="27">
        <f>IF(ISNUMBER(SR14),SR14*(1+PortfolioFrontier[[#This Row],[P128 Return]]),1+PortfolioFrontier[[#This Row],[P128 Return]])</f>
        <v>1.0593134066827017</v>
      </c>
      <c r="SS15" s="27">
        <f>MAX(SS14,PortfolioFrontier[[#This Row],[P128 Growth]])</f>
        <v>1.0672408704018066</v>
      </c>
      <c r="ST15" s="27">
        <f>PortfolioFrontier[[#This Row],[P128 Growth]]/PortfolioFrontier[[#This Row],[P128 HWM]]-1</f>
        <v>-7.4279986261398534E-3</v>
      </c>
      <c r="SU15" s="28">
        <f>SUMPRODUCT(INDEX(PortfolioRef[[SPY]:[PE]],MATCH(SU$1,PortfolioRef[Reference '#]),0),AssetMonthlyReturns[[#This Row],[SPY]:[PE]])</f>
        <v>8.8796961447605398E-3</v>
      </c>
      <c r="SV15" s="27">
        <f>IF(ISNUMBER(SV14),SV14*(1+PortfolioFrontier[[#This Row],[P129 Return]]),1+PortfolioFrontier[[#This Row],[P129 Return]])</f>
        <v>1.0569989186829798</v>
      </c>
      <c r="SW15" s="27">
        <f>MAX(SW14,PortfolioFrontier[[#This Row],[P129 Growth]])</f>
        <v>1.0623519347147268</v>
      </c>
      <c r="SX15" s="27">
        <f>PortfolioFrontier[[#This Row],[P129 Growth]]/PortfolioFrontier[[#This Row],[P129 HWM]]-1</f>
        <v>-5.038834925437774E-3</v>
      </c>
      <c r="SY15" s="28">
        <f>SUMPRODUCT(INDEX(PortfolioRef[[SPY]:[PE]],MATCH(SY$1,PortfolioRef[Reference '#]),0),AssetMonthlyReturns[[#This Row],[SPY]:[PE]])</f>
        <v>1.0002974461682267E-2</v>
      </c>
      <c r="SZ15" s="27">
        <f>IF(ISNUMBER(SZ14),SZ14*(1+PortfolioFrontier[[#This Row],[P130 Return]]),1+PortfolioFrontier[[#This Row],[P130 Return]])</f>
        <v>1.0654722105156653</v>
      </c>
      <c r="TA15" s="27">
        <f>MAX(TA14,PortfolioFrontier[[#This Row],[P130 Growth]])</f>
        <v>1.0767436947236253</v>
      </c>
      <c r="TB15" s="27">
        <f>PortfolioFrontier[[#This Row],[P130 Growth]]/PortfolioFrontier[[#This Row],[P130 HWM]]-1</f>
        <v>-1.0468121859634527E-2</v>
      </c>
      <c r="TC15" s="28">
        <f>SUMPRODUCT(INDEX(PortfolioRef[[SPY]:[PE]],MATCH(TC$1,PortfolioRef[Reference '#]),0),AssetMonthlyReturns[[#This Row],[SPY]:[PE]])</f>
        <v>9.2533278318311651E-3</v>
      </c>
      <c r="TD15" s="27">
        <f>IF(ISNUMBER(TD14),TD14*(1+PortfolioFrontier[[#This Row],[P131 Return]]),1+PortfolioFrontier[[#This Row],[P131 Return]])</f>
        <v>1.0632021969558454</v>
      </c>
      <c r="TE15" s="27">
        <f>MAX(TE14,PortfolioFrontier[[#This Row],[P131 Growth]])</f>
        <v>1.0718230297939548</v>
      </c>
      <c r="TF15" s="27">
        <f>PortfolioFrontier[[#This Row],[P131 Growth]]/PortfolioFrontier[[#This Row],[P131 HWM]]-1</f>
        <v>-8.0431494738144593E-3</v>
      </c>
      <c r="TG15" s="28">
        <f>SUMPRODUCT(INDEX(PortfolioRef[[SPY]:[PE]],MATCH(TG$1,PortfolioRef[Reference '#]),0),AssetMonthlyReturns[[#This Row],[SPY]:[PE]])</f>
        <v>8.5036812019800619E-3</v>
      </c>
      <c r="TH15" s="27">
        <f>IF(ISNUMBER(TH14),TH14*(1+PortfolioFrontier[[#This Row],[P132 Return]]),1+PortfolioFrontier[[#This Row],[P132 Return]])</f>
        <v>1.0608882227795451</v>
      </c>
      <c r="TI15" s="27">
        <f>MAX(TI14,PortfolioFrontier[[#This Row],[P132 Growth]])</f>
        <v>1.0677896265870317</v>
      </c>
      <c r="TJ15" s="27">
        <f>PortfolioFrontier[[#This Row],[P132 Growth]]/PortfolioFrontier[[#This Row],[P132 HWM]]-1</f>
        <v>-6.4632617096548328E-3</v>
      </c>
      <c r="TK15" s="28">
        <f>SUMPRODUCT(INDEX(PortfolioRef[[SPY]:[PE]],MATCH(TK$1,PortfolioRef[Reference '#]),0),AssetMonthlyReturns[[#This Row],[SPY]:[PE]])</f>
        <v>1.079003664046505E-2</v>
      </c>
      <c r="TL15" s="27">
        <f>IF(ISNUMBER(TL14),TL14*(1+PortfolioFrontier[[#This Row],[P133 Return]]),1+PortfolioFrontier[[#This Row],[P133 Return]])</f>
        <v>1.0601952353383526</v>
      </c>
      <c r="TM15" s="27">
        <f>MAX(TM14,PortfolioFrontier[[#This Row],[P133 Growth]])</f>
        <v>1.0732236210449184</v>
      </c>
      <c r="TN15" s="27">
        <f>PortfolioFrontier[[#This Row],[P133 Growth]]/PortfolioFrontier[[#This Row],[P133 HWM]]-1</f>
        <v>-1.2139488407719834E-2</v>
      </c>
      <c r="TO15" s="28">
        <f>SUMPRODUCT(INDEX(PortfolioRef[[SPY]:[PE]],MATCH(TO$1,PortfolioRef[Reference '#]),0),AssetMonthlyReturns[[#This Row],[SPY]:[PE]])</f>
        <v>1.0040390010613947E-2</v>
      </c>
      <c r="TP15" s="27">
        <f>IF(ISNUMBER(TP14),TP14*(1+PortfolioFrontier[[#This Row],[P134 Return]]),1+PortfolioFrontier[[#This Row],[P134 Return]])</f>
        <v>1.0579497948614545</v>
      </c>
      <c r="TQ15" s="27">
        <f>MAX(TQ14,PortfolioFrontier[[#This Row],[P134 Growth]])</f>
        <v>1.0683248496226843</v>
      </c>
      <c r="TR15" s="27">
        <f>PortfolioFrontier[[#This Row],[P134 Growth]]/PortfolioFrontier[[#This Row],[P134 HWM]]-1</f>
        <v>-9.7115168339425573E-3</v>
      </c>
      <c r="TS15" s="28">
        <f>SUMPRODUCT(INDEX(PortfolioRef[[SPY]:[PE]],MATCH(TS$1,PortfolioRef[Reference '#]),0),AssetMonthlyReturns[[#This Row],[SPY]:[PE]])</f>
        <v>9.2907433807628437E-3</v>
      </c>
      <c r="TT15" s="27">
        <f>IF(ISNUMBER(TT14),TT14*(1+PortfolioFrontier[[#This Row],[P135 Return]]),1+PortfolioFrontier[[#This Row],[P135 Return]])</f>
        <v>1.0556606068693568</v>
      </c>
      <c r="TU15" s="27">
        <f>MAX(TU14,PortfolioFrontier[[#This Row],[P135 Growth]])</f>
        <v>1.0634382574598751</v>
      </c>
      <c r="TV15" s="27">
        <f>PortfolioFrontier[[#This Row],[P135 Growth]]/PortfolioFrontier[[#This Row],[P135 HWM]]-1</f>
        <v>-7.3136832683600161E-3</v>
      </c>
      <c r="TW15" s="28">
        <f>SUMPRODUCT(INDEX(PortfolioRef[[SPY]:[PE]],MATCH(TW$1,PortfolioRef[Reference '#]),0),AssetMonthlyReturns[[#This Row],[SPY]:[PE]])</f>
        <v>1.0414021697684572E-2</v>
      </c>
      <c r="TX15" s="27">
        <f>IF(ISNUMBER(TX14),TX14*(1+PortfolioFrontier[[#This Row],[P136 Return]]),1+PortfolioFrontier[[#This Row],[P136 Return]])</f>
        <v>1.0641116447397052</v>
      </c>
      <c r="TY15" s="27">
        <f>MAX(TY14,PortfolioFrontier[[#This Row],[P136 Growth]])</f>
        <v>1.0778479758950288</v>
      </c>
      <c r="TZ15" s="27">
        <f>PortfolioFrontier[[#This Row],[P136 Growth]]/PortfolioFrontier[[#This Row],[P136 HWM]]-1</f>
        <v>-1.2744219465567141E-2</v>
      </c>
      <c r="UA15" s="28">
        <f>SUMPRODUCT(INDEX(PortfolioRef[[SPY]:[PE]],MATCH(UA$1,PortfolioRef[Reference '#]),0),AssetMonthlyReturns[[#This Row],[SPY]:[PE]])</f>
        <v>9.6643750678334691E-3</v>
      </c>
      <c r="UB15" s="27">
        <f>IF(ISNUMBER(UB14),UB14*(1+PortfolioFrontier[[#This Row],[P137 Return]]),1+PortfolioFrontier[[#This Row],[P137 Return]])</f>
        <v>1.0618670233159793</v>
      </c>
      <c r="UC15" s="27">
        <f>MAX(UC14,PortfolioFrontier[[#This Row],[P137 Growth]])</f>
        <v>1.0729296445539775</v>
      </c>
      <c r="UD15" s="27">
        <f>PortfolioFrontier[[#This Row],[P137 Growth]]/PortfolioFrontier[[#This Row],[P137 HWM]]-1</f>
        <v>-1.031066789341728E-2</v>
      </c>
      <c r="UE15" s="28">
        <f>SUMPRODUCT(INDEX(PortfolioRef[[SPY]:[PE]],MATCH(UE$1,PortfolioRef[Reference '#]),0),AssetMonthlyReturns[[#This Row],[SPY]:[PE]])</f>
        <v>8.9147284379823659E-3</v>
      </c>
      <c r="UF15" s="27">
        <f>IF(ISNUMBER(UF14),UF14*(1+PortfolioFrontier[[#This Row],[P138 Return]]),1+PortfolioFrontier[[#This Row],[P138 Return]])</f>
        <v>1.059578420382328</v>
      </c>
      <c r="UG15" s="27">
        <f>MAX(UG14,PortfolioFrontier[[#This Row],[P138 Growth]])</f>
        <v>1.0680235177995143</v>
      </c>
      <c r="UH15" s="27">
        <f>PortfolioFrontier[[#This Row],[P138 Growth]]/PortfolioFrontier[[#This Row],[P138 HWM]]-1</f>
        <v>-7.9072204651318145E-3</v>
      </c>
      <c r="UI15" s="28">
        <f>SUMPRODUCT(INDEX(PortfolioRef[[SPY]:[PE]],MATCH(UI$1,PortfolioRef[Reference '#]),0),AssetMonthlyReturns[[#This Row],[SPY]:[PE]])</f>
        <v>1.0038006754904094E-2</v>
      </c>
      <c r="UJ15" s="27">
        <f>IF(ISNUMBER(UJ14),UJ14*(1+PortfolioFrontier[[#This Row],[P139 Return]]),1+PortfolioFrontier[[#This Row],[P139 Return]])</f>
        <v>1.0679918430674986</v>
      </c>
      <c r="UK15" s="27">
        <f>MAX(UK14,PortfolioFrontier[[#This Row],[P139 Growth]])</f>
        <v>1.0824684769452779</v>
      </c>
      <c r="UL15" s="27">
        <f>PortfolioFrontier[[#This Row],[P139 Growth]]/PortfolioFrontier[[#This Row],[P139 HWM]]-1</f>
        <v>-1.3373723287196659E-2</v>
      </c>
      <c r="UM15" s="28">
        <f>SUMPRODUCT(INDEX(PortfolioRef[[SPY]:[PE]],MATCH(UM$1,PortfolioRef[Reference '#]),0),AssetMonthlyReturns[[#This Row],[SPY]:[PE]])</f>
        <v>9.2883601250529912E-3</v>
      </c>
      <c r="UN15" s="27">
        <f>IF(ISNUMBER(UN14),UN14*(1+PortfolioFrontier[[#This Row],[P140 Return]]),1+PortfolioFrontier[[#This Row],[P140 Return]])</f>
        <v>1.0657481418879529</v>
      </c>
      <c r="UO15" s="27">
        <f>MAX(UO14,PortfolioFrontier[[#This Row],[P140 Growth]])</f>
        <v>1.0775305604276091</v>
      </c>
      <c r="UP15" s="27">
        <f>PortfolioFrontier[[#This Row],[P140 Growth]]/PortfolioFrontier[[#This Row],[P140 HWM]]-1</f>
        <v>-1.0934649069238911E-2</v>
      </c>
      <c r="UQ15" s="28">
        <f>SUMPRODUCT(INDEX(PortfolioRef[[SPY]:[PE]],MATCH(UQ$1,PortfolioRef[Reference '#]),0),AssetMonthlyReturns[[#This Row],[SPY]:[PE]])</f>
        <v>8.538713495201888E-3</v>
      </c>
      <c r="UR15" s="27">
        <f>IF(ISNUMBER(UR14),UR14*(1+PortfolioFrontier[[#This Row],[P141 Return]]),1+PortfolioFrontier[[#This Row],[P141 Return]])</f>
        <v>1.0634602260394317</v>
      </c>
      <c r="US15" s="27">
        <f>MAX(US14,PortfolioFrontier[[#This Row],[P141 Growth]])</f>
        <v>1.0726048738236913</v>
      </c>
      <c r="UT15" s="27">
        <f>PortfolioFrontier[[#This Row],[P141 Growth]]/PortfolioFrontier[[#This Row],[P141 HWM]]-1</f>
        <v>-8.5256444450603208E-3</v>
      </c>
    </row>
    <row r="16" spans="1:566" x14ac:dyDescent="0.2">
      <c r="B16" s="41">
        <f>AssetMonthlyReturns[[#This Row],[Date]]</f>
        <v>42856</v>
      </c>
      <c r="C16" s="28">
        <f>SUMPRODUCT(INDEX(PortfolioRef[[SPY]:[PE]],MATCH(C$1,PortfolioRef[Reference '#]),0),AssetMonthlyReturns[[#This Row],[SPY]:[PE]])</f>
        <v>6.4966784126978868E-3</v>
      </c>
      <c r="D16" s="29">
        <f>IF(ISNUMBER(D15),D15*(1+PortfolioFrontier[[#This Row],[P1 Return]]),1+PortfolioFrontier[[#This Row],[P1 Return]])</f>
        <v>1.1100551673112202</v>
      </c>
      <c r="E16" s="29">
        <f>MAX(E15,PortfolioFrontier[[#This Row],[P1 Growth]])</f>
        <v>1.1100551673112202</v>
      </c>
      <c r="F16" s="29">
        <f>PortfolioFrontier[[#This Row],[P1 Growth]]/PortfolioFrontier[[#This Row],[P1 HWM]]-1</f>
        <v>0</v>
      </c>
      <c r="G16" s="28">
        <f>SUMPRODUCT(INDEX(PortfolioRef[[SPY]:[PE]],MATCH(G$1,PortfolioRef[Reference '#]),0),AssetMonthlyReturns[[#This Row],[SPY]:[PE]])</f>
        <v>6.1274512585336449E-3</v>
      </c>
      <c r="H16" s="27">
        <f>IF(ISNUMBER(H15),H15*(1+PortfolioFrontier[[#This Row],[P2 Return]]),1+PortfolioFrontier[[#This Row],[P2 Return]])</f>
        <v>1.1010919629620146</v>
      </c>
      <c r="I16" s="27">
        <f>MAX(I15,PortfolioFrontier[[#This Row],[P2 Growth]])</f>
        <v>1.1010919629620146</v>
      </c>
      <c r="J16" s="27">
        <f>PortfolioFrontier[[#This Row],[P2 Growth]]/PortfolioFrontier[[#This Row],[P2 HWM]]-1</f>
        <v>0</v>
      </c>
      <c r="K16" s="28">
        <f>SUMPRODUCT(INDEX(PortfolioRef[[SPY]:[PE]],MATCH(K$1,PortfolioRef[Reference '#]),0),AssetMonthlyReturns[[#This Row],[SPY]:[PE]])</f>
        <v>5.7289429399255461E-3</v>
      </c>
      <c r="L16" s="27">
        <f>IF(ISNUMBER(L15),L15*(1+PortfolioFrontier[[#This Row],[P3 Return]]),1+PortfolioFrontier[[#This Row],[P3 Return]])</f>
        <v>1.099366731773294</v>
      </c>
      <c r="M16" s="27">
        <f>MAX(M15,PortfolioFrontier[[#This Row],[P3 Growth]])</f>
        <v>1.099366731773294</v>
      </c>
      <c r="N16" s="27">
        <f>PortfolioFrontier[[#This Row],[P3 Growth]]/PortfolioFrontier[[#This Row],[P3 HWM]]-1</f>
        <v>0</v>
      </c>
      <c r="O16" s="28">
        <f>SUMPRODUCT(INDEX(PortfolioRef[[SPY]:[PE]],MATCH(O$1,PortfolioRef[Reference '#]),0),AssetMonthlyReturns[[#This Row],[SPY]:[PE]])</f>
        <v>5.4286966069036699E-3</v>
      </c>
      <c r="P16" s="27">
        <f>IF(ISNUMBER(P15),P15*(1+PortfolioFrontier[[#This Row],[P4 Return]]),1+PortfolioFrontier[[#This Row],[P4 Return]])</f>
        <v>1.1030273478990764</v>
      </c>
      <c r="Q16" s="27">
        <f>MAX(Q15,PortfolioFrontier[[#This Row],[P4 Growth]])</f>
        <v>1.1030273478990764</v>
      </c>
      <c r="R16" s="27">
        <f>PortfolioFrontier[[#This Row],[P4 Growth]]/PortfolioFrontier[[#This Row],[P4 HWM]]-1</f>
        <v>0</v>
      </c>
      <c r="S16" s="28">
        <f>SUMPRODUCT(INDEX(PortfolioRef[[SPY]:[PE]],MATCH(S$1,PortfolioRef[Reference '#]),0),AssetMonthlyReturns[[#This Row],[SPY]:[PE]])</f>
        <v>5.0782108167723716E-3</v>
      </c>
      <c r="T16" s="27">
        <f>IF(ISNUMBER(T15),T15*(1+PortfolioFrontier[[#This Row],[P5 Return]]),1+PortfolioFrontier[[#This Row],[P5 Return]])</f>
        <v>1.1001894721670082</v>
      </c>
      <c r="U16" s="27">
        <f>MAX(U15,PortfolioFrontier[[#This Row],[P5 Growth]])</f>
        <v>1.1001894721670082</v>
      </c>
      <c r="V16" s="27">
        <f>PortfolioFrontier[[#This Row],[P5 Growth]]/PortfolioFrontier[[#This Row],[P5 HWM]]-1</f>
        <v>0</v>
      </c>
      <c r="W16" s="28">
        <f>SUMPRODUCT(INDEX(PortfolioRef[[SPY]:[PE]],MATCH(W$1,PortfolioRef[Reference '#]),0),AssetMonthlyReturns[[#This Row],[SPY]:[PE]])</f>
        <v>5.7582241043694013E-3</v>
      </c>
      <c r="X16" s="27">
        <f>IF(ISNUMBER(X15),X15*(1+PortfolioFrontier[[#This Row],[P6 Return]]),1+PortfolioFrontier[[#This Row],[P6 Return]])</f>
        <v>1.0921803180707108</v>
      </c>
      <c r="Y16" s="27">
        <f>MAX(Y15,PortfolioFrontier[[#This Row],[P6 Growth]])</f>
        <v>1.0921803180707108</v>
      </c>
      <c r="Z16" s="27">
        <f>PortfolioFrontier[[#This Row],[P6 Growth]]/PortfolioFrontier[[#This Row],[P6 HWM]]-1</f>
        <v>0</v>
      </c>
      <c r="AA16" s="28">
        <f>SUMPRODUCT(INDEX(PortfolioRef[[SPY]:[PE]],MATCH(AA$1,PortfolioRef[Reference '#]),0),AssetMonthlyReturns[[#This Row],[SPY]:[PE]])</f>
        <v>5.3597157857613043E-3</v>
      </c>
      <c r="AB16" s="27">
        <f>IF(ISNUMBER(AB15),AB15*(1+PortfolioFrontier[[#This Row],[P7 Return]]),1+PortfolioFrontier[[#This Row],[P7 Return]])</f>
        <v>1.0904576608740877</v>
      </c>
      <c r="AC16" s="27">
        <f>MAX(AC15,PortfolioFrontier[[#This Row],[P7 Growth]])</f>
        <v>1.0904576608740877</v>
      </c>
      <c r="AD16" s="27">
        <f>PortfolioFrontier[[#This Row],[P7 Growth]]/PortfolioFrontier[[#This Row],[P7 HWM]]-1</f>
        <v>0</v>
      </c>
      <c r="AE16" s="28">
        <f>SUMPRODUCT(INDEX(PortfolioRef[[SPY]:[PE]],MATCH(AE$1,PortfolioRef[Reference '#]),0),AssetMonthlyReturns[[#This Row],[SPY]:[PE]])</f>
        <v>5.059469452739428E-3</v>
      </c>
      <c r="AF16" s="27">
        <f>IF(ISNUMBER(AF15),AF15*(1+PortfolioFrontier[[#This Row],[P8 Return]]),1+PortfolioFrontier[[#This Row],[P8 Return]])</f>
        <v>1.0941095553829399</v>
      </c>
      <c r="AG16" s="27">
        <f>MAX(AG15,PortfolioFrontier[[#This Row],[P8 Growth]])</f>
        <v>1.0941095553829399</v>
      </c>
      <c r="AH16" s="27">
        <f>PortfolioFrontier[[#This Row],[P8 Growth]]/PortfolioFrontier[[#This Row],[P8 HWM]]-1</f>
        <v>0</v>
      </c>
      <c r="AI16" s="28">
        <f>SUMPRODUCT(INDEX(PortfolioRef[[SPY]:[PE]],MATCH(AI$1,PortfolioRef[Reference '#]),0),AssetMonthlyReturns[[#This Row],[SPY]:[PE]])</f>
        <v>4.7089836626081297E-3</v>
      </c>
      <c r="AJ16" s="27">
        <f>IF(ISNUMBER(AJ15),AJ15*(1+PortfolioFrontier[[#This Row],[P9 Return]]),1+PortfolioFrontier[[#This Row],[P9 Return]])</f>
        <v>1.0912892468426851</v>
      </c>
      <c r="AK16" s="27">
        <f>MAX(AK15,PortfolioFrontier[[#This Row],[P9 Growth]])</f>
        <v>1.0912892468426851</v>
      </c>
      <c r="AL16" s="27">
        <f>PortfolioFrontier[[#This Row],[P9 Growth]]/PortfolioFrontier[[#This Row],[P9 HWM]]-1</f>
        <v>0</v>
      </c>
      <c r="AM16" s="28">
        <f>SUMPRODUCT(INDEX(PortfolioRef[[SPY]:[PE]],MATCH(AM$1,PortfolioRef[Reference '#]),0),AssetMonthlyReturns[[#This Row],[SPY]:[PE]])</f>
        <v>4.9612074671532055E-3</v>
      </c>
      <c r="AN16" s="27">
        <f>IF(ISNUMBER(AN15),AN15*(1+PortfolioFrontier[[#This Row],[P10 Return]]),1+PortfolioFrontier[[#This Row],[P10 Return]])</f>
        <v>1.0886915314976597</v>
      </c>
      <c r="AO16" s="27">
        <f>MAX(AO15,PortfolioFrontier[[#This Row],[P10 Growth]])</f>
        <v>1.0886915314976597</v>
      </c>
      <c r="AP16" s="27">
        <f>PortfolioFrontier[[#This Row],[P10 Growth]]/PortfolioFrontier[[#This Row],[P10 HWM]]-1</f>
        <v>0</v>
      </c>
      <c r="AQ16" s="28">
        <f>SUMPRODUCT(INDEX(PortfolioRef[[SPY]:[PE]],MATCH(AQ$1,PortfolioRef[Reference '#]),0),AssetMonthlyReturns[[#This Row],[SPY]:[PE]])</f>
        <v>4.660961134131331E-3</v>
      </c>
      <c r="AR16" s="27">
        <f>IF(ISNUMBER(AR15),AR15*(1+PortfolioFrontier[[#This Row],[P11 Return]]),1+PortfolioFrontier[[#This Row],[P11 Return]])</f>
        <v>1.0923716765502633</v>
      </c>
      <c r="AS16" s="27">
        <f>MAX(AS15,PortfolioFrontier[[#This Row],[P11 Growth]])</f>
        <v>1.0923716765502633</v>
      </c>
      <c r="AT16" s="27">
        <f>PortfolioFrontier[[#This Row],[P11 Growth]]/PortfolioFrontier[[#This Row],[P11 HWM]]-1</f>
        <v>0</v>
      </c>
      <c r="AU16" s="28">
        <f>SUMPRODUCT(INDEX(PortfolioRef[[SPY]:[PE]],MATCH(AU$1,PortfolioRef[Reference '#]),0),AssetMonthlyReturns[[#This Row],[SPY]:[PE]])</f>
        <v>4.310475344000031E-3</v>
      </c>
      <c r="AV16" s="27">
        <f>IF(ISNUMBER(AV15),AV15*(1+PortfolioFrontier[[#This Row],[P12 Return]]),1+PortfolioFrontier[[#This Row],[P12 Return]])</f>
        <v>1.0895788217967464</v>
      </c>
      <c r="AW16" s="27">
        <f>MAX(AW15,PortfolioFrontier[[#This Row],[P12 Growth]])</f>
        <v>1.0895788217967464</v>
      </c>
      <c r="AX16" s="27">
        <f>PortfolioFrontier[[#This Row],[P12 Growth]]/PortfolioFrontier[[#This Row],[P12 HWM]]-1</f>
        <v>0</v>
      </c>
      <c r="AY16" s="28">
        <f>SUMPRODUCT(INDEX(PortfolioRef[[SPY]:[PE]],MATCH(AY$1,PortfolioRef[Reference '#]),0),AssetMonthlyReturns[[#This Row],[SPY]:[PE]])</f>
        <v>4.3607148011094547E-3</v>
      </c>
      <c r="AZ16" s="27">
        <f>IF(ISNUMBER(AZ15),AZ15*(1+PortfolioFrontier[[#This Row],[P13 Return]]),1+PortfolioFrontier[[#This Row],[P13 Return]])</f>
        <v>1.0960123641260056</v>
      </c>
      <c r="BA16" s="27">
        <f>MAX(BA15,PortfolioFrontier[[#This Row],[P13 Growth]])</f>
        <v>1.0960123641260056</v>
      </c>
      <c r="BB16" s="27">
        <f>PortfolioFrontier[[#This Row],[P13 Growth]]/PortfolioFrontier[[#This Row],[P13 HWM]]-1</f>
        <v>0</v>
      </c>
      <c r="BC16" s="28">
        <f>SUMPRODUCT(INDEX(PortfolioRef[[SPY]:[PE]],MATCH(BC$1,PortfolioRef[Reference '#]),0),AssetMonthlyReturns[[#This Row],[SPY]:[PE]])</f>
        <v>4.0102290109781547E-3</v>
      </c>
      <c r="BD16" s="27">
        <f>IF(ISNUMBER(BD15),BD15*(1+PortfolioFrontier[[#This Row],[P14 Return]]),1+PortfolioFrontier[[#This Row],[P14 Return]])</f>
        <v>1.0932193106663719</v>
      </c>
      <c r="BE16" s="27">
        <f>MAX(BE15,PortfolioFrontier[[#This Row],[P14 Growth]])</f>
        <v>1.0932193106663719</v>
      </c>
      <c r="BF16" s="27">
        <f>PortfolioFrontier[[#This Row],[P14 Growth]]/PortfolioFrontier[[#This Row],[P14 HWM]]-1</f>
        <v>0</v>
      </c>
      <c r="BG16" s="28">
        <f>SUMPRODUCT(INDEX(PortfolioRef[[SPY]:[PE]],MATCH(BG$1,PortfolioRef[Reference '#]),0),AssetMonthlyReturns[[#This Row],[SPY]:[PE]])</f>
        <v>3.6597432208468556E-3</v>
      </c>
      <c r="BH16" s="27">
        <f>IF(ISNUMBER(BH15),BH15*(1+PortfolioFrontier[[#This Row],[P15 Return]]),1+PortfolioFrontier[[#This Row],[P15 Return]])</f>
        <v>1.0903832450953161</v>
      </c>
      <c r="BI16" s="27">
        <f>MAX(BI15,PortfolioFrontier[[#This Row],[P15 Growth]])</f>
        <v>1.0903832450953161</v>
      </c>
      <c r="BJ16" s="27">
        <f>PortfolioFrontier[[#This Row],[P15 Growth]]/PortfolioFrontier[[#This Row],[P15 HWM]]-1</f>
        <v>0</v>
      </c>
      <c r="BK16" s="28">
        <f>SUMPRODUCT(INDEX(PortfolioRef[[SPY]:[PE]],MATCH(BK$1,PortfolioRef[Reference '#]),0),AssetMonthlyReturns[[#This Row],[SPY]:[PE]])</f>
        <v>5.3889969502051594E-3</v>
      </c>
      <c r="BL16" s="27">
        <f>IF(ISNUMBER(BL15),BL15*(1+PortfolioFrontier[[#This Row],[P16 Return]]),1+PortfolioFrontier[[#This Row],[P16 Return]])</f>
        <v>1.0833200639979941</v>
      </c>
      <c r="BM16" s="27">
        <f>MAX(BM15,PortfolioFrontier[[#This Row],[P16 Growth]])</f>
        <v>1.0833200639979941</v>
      </c>
      <c r="BN16" s="27">
        <f>PortfolioFrontier[[#This Row],[P16 Growth]]/PortfolioFrontier[[#This Row],[P16 HWM]]-1</f>
        <v>0</v>
      </c>
      <c r="BO16" s="28">
        <f>SUMPRODUCT(INDEX(PortfolioRef[[SPY]:[PE]],MATCH(BO$1,PortfolioRef[Reference '#]),0),AssetMonthlyReturns[[#This Row],[SPY]:[PE]])</f>
        <v>4.9904886315970624E-3</v>
      </c>
      <c r="BP16" s="27">
        <f>IF(ISNUMBER(BP15),BP15*(1+PortfolioFrontier[[#This Row],[P17 Return]]),1+PortfolioFrontier[[#This Row],[P17 Return]])</f>
        <v>1.0816000424886609</v>
      </c>
      <c r="BQ16" s="27">
        <f>MAX(BQ15,PortfolioFrontier[[#This Row],[P17 Growth]])</f>
        <v>1.0816000424886609</v>
      </c>
      <c r="BR16" s="27">
        <f>PortfolioFrontier[[#This Row],[P17 Growth]]/PortfolioFrontier[[#This Row],[P17 HWM]]-1</f>
        <v>0</v>
      </c>
      <c r="BS16" s="28">
        <f>SUMPRODUCT(INDEX(PortfolioRef[[SPY]:[PE]],MATCH(BS$1,PortfolioRef[Reference '#]),0),AssetMonthlyReturns[[#This Row],[SPY]:[PE]])</f>
        <v>4.6902422985751861E-3</v>
      </c>
      <c r="BT16" s="27">
        <f>IF(ISNUMBER(BT15),BT15*(1+PortfolioFrontier[[#This Row],[P18 Return]]),1+PortfolioFrontier[[#This Row],[P18 Return]])</f>
        <v>1.0852431315868991</v>
      </c>
      <c r="BU16" s="27">
        <f>MAX(BU15,PortfolioFrontier[[#This Row],[P18 Growth]])</f>
        <v>1.0852431315868991</v>
      </c>
      <c r="BV16" s="27">
        <f>PortfolioFrontier[[#This Row],[P18 Growth]]/PortfolioFrontier[[#This Row],[P18 HWM]]-1</f>
        <v>0</v>
      </c>
      <c r="BW16" s="28">
        <f>SUMPRODUCT(INDEX(PortfolioRef[[SPY]:[PE]],MATCH(BW$1,PortfolioRef[Reference '#]),0),AssetMonthlyReturns[[#This Row],[SPY]:[PE]])</f>
        <v>4.3397565084438879E-3</v>
      </c>
      <c r="BX16" s="27">
        <f>IF(ISNUMBER(BX15),BX15*(1+PortfolioFrontier[[#This Row],[P19 Return]]),1+PortfolioFrontier[[#This Row],[P19 Return]])</f>
        <v>1.0824403242503269</v>
      </c>
      <c r="BY16" s="27">
        <f>MAX(BY15,PortfolioFrontier[[#This Row],[P19 Growth]])</f>
        <v>1.0824403242503269</v>
      </c>
      <c r="BZ16" s="27">
        <f>PortfolioFrontier[[#This Row],[P19 Growth]]/PortfolioFrontier[[#This Row],[P19 HWM]]-1</f>
        <v>0</v>
      </c>
      <c r="CA16" s="28">
        <f>SUMPRODUCT(INDEX(PortfolioRef[[SPY]:[PE]],MATCH(CA$1,PortfolioRef[Reference '#]),0),AssetMonthlyReturns[[#This Row],[SPY]:[PE]])</f>
        <v>4.5919803129889636E-3</v>
      </c>
      <c r="CB16" s="27">
        <f>IF(ISNUMBER(CB15),CB15*(1+PortfolioFrontier[[#This Row],[P20 Return]]),1+PortfolioFrontier[[#This Row],[P20 Return]])</f>
        <v>1.0798368696706784</v>
      </c>
      <c r="CC16" s="27">
        <f>MAX(CC15,PortfolioFrontier[[#This Row],[P20 Growth]])</f>
        <v>1.0798368696706784</v>
      </c>
      <c r="CD16" s="27">
        <f>PortfolioFrontier[[#This Row],[P20 Growth]]/PortfolioFrontier[[#This Row],[P20 HWM]]-1</f>
        <v>0</v>
      </c>
      <c r="CE16" s="28">
        <f>SUMPRODUCT(INDEX(PortfolioRef[[SPY]:[PE]],MATCH(CE$1,PortfolioRef[Reference '#]),0),AssetMonthlyReturns[[#This Row],[SPY]:[PE]])</f>
        <v>4.2917339799670891E-3</v>
      </c>
      <c r="CF16" s="27">
        <f>IF(ISNUMBER(CF15),CF15*(1+PortfolioFrontier[[#This Row],[P21 Return]]),1+PortfolioFrontier[[#This Row],[P21 Return]])</f>
        <v>1.083507992602279</v>
      </c>
      <c r="CG16" s="27">
        <f>MAX(CG15,PortfolioFrontier[[#This Row],[P21 Growth]])</f>
        <v>1.083507992602279</v>
      </c>
      <c r="CH16" s="27">
        <f>PortfolioFrontier[[#This Row],[P21 Growth]]/PortfolioFrontier[[#This Row],[P21 HWM]]-1</f>
        <v>0</v>
      </c>
      <c r="CI16" s="28">
        <f>SUMPRODUCT(INDEX(PortfolioRef[[SPY]:[PE]],MATCH(CI$1,PortfolioRef[Reference '#]),0),AssetMonthlyReturns[[#This Row],[SPY]:[PE]])</f>
        <v>3.9412481898357891E-3</v>
      </c>
      <c r="CJ16" s="27">
        <f>IF(ISNUMBER(CJ15),CJ15*(1+PortfolioFrontier[[#This Row],[P22 Return]]),1+PortfolioFrontier[[#This Row],[P22 Return]])</f>
        <v>1.0807324574968618</v>
      </c>
      <c r="CK16" s="27">
        <f>MAX(CK15,PortfolioFrontier[[#This Row],[P22 Growth]])</f>
        <v>1.0807324574968618</v>
      </c>
      <c r="CL16" s="27">
        <f>PortfolioFrontier[[#This Row],[P22 Growth]]/PortfolioFrontier[[#This Row],[P22 HWM]]-1</f>
        <v>0</v>
      </c>
      <c r="CM16" s="28">
        <f>SUMPRODUCT(INDEX(PortfolioRef[[SPY]:[PE]],MATCH(CM$1,PortfolioRef[Reference '#]),0),AssetMonthlyReturns[[#This Row],[SPY]:[PE]])</f>
        <v>3.9914876469452128E-3</v>
      </c>
      <c r="CN16" s="27">
        <f>IF(ISNUMBER(CN15),CN15*(1+PortfolioFrontier[[#This Row],[P23 Return]]),1+PortfolioFrontier[[#This Row],[P23 Return]])</f>
        <v>1.0871399945636517</v>
      </c>
      <c r="CO16" s="27">
        <f>MAX(CO15,PortfolioFrontier[[#This Row],[P23 Growth]])</f>
        <v>1.0871399945636517</v>
      </c>
      <c r="CP16" s="27">
        <f>PortfolioFrontier[[#This Row],[P23 Growth]]/PortfolioFrontier[[#This Row],[P23 HWM]]-1</f>
        <v>0</v>
      </c>
      <c r="CQ16" s="28">
        <f>SUMPRODUCT(INDEX(PortfolioRef[[SPY]:[PE]],MATCH(CQ$1,PortfolioRef[Reference '#]),0),AssetMonthlyReturns[[#This Row],[SPY]:[PE]])</f>
        <v>3.6410018568139133E-3</v>
      </c>
      <c r="CR16" s="27">
        <f>IF(ISNUMBER(CR15),CR15*(1+PortfolioFrontier[[#This Row],[P24 Return]]),1+PortfolioFrontier[[#This Row],[P24 Return]])</f>
        <v>1.0843642002158904</v>
      </c>
      <c r="CS16" s="27">
        <f>MAX(CS15,PortfolioFrontier[[#This Row],[P24 Growth]])</f>
        <v>1.0843642002158904</v>
      </c>
      <c r="CT16" s="27">
        <f>PortfolioFrontier[[#This Row],[P24 Growth]]/PortfolioFrontier[[#This Row],[P24 HWM]]-1</f>
        <v>0</v>
      </c>
      <c r="CU16" s="28">
        <f>SUMPRODUCT(INDEX(PortfolioRef[[SPY]:[PE]],MATCH(CU$1,PortfolioRef[Reference '#]),0),AssetMonthlyReturns[[#This Row],[SPY]:[PE]])</f>
        <v>3.2905160666826137E-3</v>
      </c>
      <c r="CV16" s="27">
        <f>IF(ISNUMBER(CV15),CV15*(1+PortfolioFrontier[[#This Row],[P25 Return]]),1+PortfolioFrontier[[#This Row],[P25 Return]])</f>
        <v>1.0815457398338002</v>
      </c>
      <c r="CW16" s="27">
        <f>MAX(CW15,PortfolioFrontier[[#This Row],[P25 Growth]])</f>
        <v>1.0815457398338002</v>
      </c>
      <c r="CX16" s="27">
        <f>PortfolioFrontier[[#This Row],[P25 Growth]]/PortfolioFrontier[[#This Row],[P25 HWM]]-1</f>
        <v>0</v>
      </c>
      <c r="CY16" s="28">
        <f>SUMPRODUCT(INDEX(PortfolioRef[[SPY]:[PE]],MATCH(CY$1,PortfolioRef[Reference '#]),0),AssetMonthlyReturns[[#This Row],[SPY]:[PE]])</f>
        <v>3.8932256613589899E-3</v>
      </c>
      <c r="CZ16" s="27">
        <f>IF(ISNUMBER(CZ15),CZ15*(1+PortfolioFrontier[[#This Row],[P26 Return]]),1+PortfolioFrontier[[#This Row],[P26 Return]])</f>
        <v>1.0817297496934912</v>
      </c>
      <c r="DA16" s="27">
        <f>MAX(DA15,PortfolioFrontier[[#This Row],[P26 Growth]])</f>
        <v>1.0817297496934912</v>
      </c>
      <c r="DB16" s="27">
        <f>PortfolioFrontier[[#This Row],[P26 Growth]]/PortfolioFrontier[[#This Row],[P26 HWM]]-1</f>
        <v>0</v>
      </c>
      <c r="DC16" s="28">
        <f>SUMPRODUCT(INDEX(PortfolioRef[[SPY]:[PE]],MATCH(DC$1,PortfolioRef[Reference '#]),0),AssetMonthlyReturns[[#This Row],[SPY]:[PE]])</f>
        <v>3.5427398712276907E-3</v>
      </c>
      <c r="DD16" s="27">
        <f>IF(ISNUMBER(DD15),DD15*(1+PortfolioFrontier[[#This Row],[P27 Return]]),1+PortfolioFrontier[[#This Row],[P27 Return]])</f>
        <v>1.0789814440699399</v>
      </c>
      <c r="DE16" s="27">
        <f>MAX(DE15,PortfolioFrontier[[#This Row],[P27 Growth]])</f>
        <v>1.0789814440699399</v>
      </c>
      <c r="DF16" s="27">
        <f>PortfolioFrontier[[#This Row],[P27 Growth]]/PortfolioFrontier[[#This Row],[P27 HWM]]-1</f>
        <v>0</v>
      </c>
      <c r="DG16" s="28">
        <f>SUMPRODUCT(INDEX(PortfolioRef[[SPY]:[PE]],MATCH(DG$1,PortfolioRef[Reference '#]),0),AssetMonthlyReturns[[#This Row],[SPY]:[PE]])</f>
        <v>3.5929793283371154E-3</v>
      </c>
      <c r="DH16" s="27">
        <f>IF(ISNUMBER(DH15),DH15*(1+PortfolioFrontier[[#This Row],[P28 Return]]),1+PortfolioFrontier[[#This Row],[P28 Return]])</f>
        <v>1.0853897479558261</v>
      </c>
      <c r="DI16" s="27">
        <f>MAX(DI15,PortfolioFrontier[[#This Row],[P28 Growth]])</f>
        <v>1.0853897479558261</v>
      </c>
      <c r="DJ16" s="27">
        <f>PortfolioFrontier[[#This Row],[P28 Growth]]/PortfolioFrontier[[#This Row],[P28 HWM]]-1</f>
        <v>0</v>
      </c>
      <c r="DK16" s="28">
        <f>SUMPRODUCT(INDEX(PortfolioRef[[SPY]:[PE]],MATCH(DK$1,PortfolioRef[Reference '#]),0),AssetMonthlyReturns[[#This Row],[SPY]:[PE]])</f>
        <v>3.2424935382058154E-3</v>
      </c>
      <c r="DL16" s="27">
        <f>IF(ISNUMBER(DL15),DL15*(1+PortfolioFrontier[[#This Row],[P29 Return]]),1+PortfolioFrontier[[#This Row],[P29 Return]])</f>
        <v>1.082641237619165</v>
      </c>
      <c r="DM16" s="27">
        <f>MAX(DM15,PortfolioFrontier[[#This Row],[P29 Growth]])</f>
        <v>1.082641237619165</v>
      </c>
      <c r="DN16" s="27">
        <f>PortfolioFrontier[[#This Row],[P29 Growth]]/PortfolioFrontier[[#This Row],[P29 HWM]]-1</f>
        <v>0</v>
      </c>
      <c r="DO16" s="28">
        <f>SUMPRODUCT(INDEX(PortfolioRef[[SPY]:[PE]],MATCH(DO$1,PortfolioRef[Reference '#]),0),AssetMonthlyReturns[[#This Row],[SPY]:[PE]])</f>
        <v>2.8920077480745158E-3</v>
      </c>
      <c r="DP16" s="27">
        <f>IF(ISNUMBER(DP15),DP15*(1+PortfolioFrontier[[#This Row],[P30 Return]]),1+PortfolioFrontier[[#This Row],[P30 Return]])</f>
        <v>1.0798500350933848</v>
      </c>
      <c r="DQ16" s="27">
        <f>MAX(DQ15,PortfolioFrontier[[#This Row],[P30 Growth]])</f>
        <v>1.0798500350933848</v>
      </c>
      <c r="DR16" s="27">
        <f>PortfolioFrontier[[#This Row],[P30 Growth]]/PortfolioFrontier[[#This Row],[P30 HWM]]-1</f>
        <v>0</v>
      </c>
      <c r="DS16" s="28">
        <f>SUMPRODUCT(INDEX(PortfolioRef[[SPY]:[PE]],MATCH(DS$1,PortfolioRef[Reference '#]),0),AssetMonthlyReturns[[#This Row],[SPY]:[PE]])</f>
        <v>3.2927329953152391E-3</v>
      </c>
      <c r="DT16" s="27">
        <f>IF(ISNUMBER(DT15),DT15*(1+PortfolioFrontier[[#This Row],[P31 Return]]),1+PortfolioFrontier[[#This Row],[P31 Return]])</f>
        <v>1.0890105128151002</v>
      </c>
      <c r="DU16" s="27">
        <f>MAX(DU15,PortfolioFrontier[[#This Row],[P31 Growth]])</f>
        <v>1.0890105128151002</v>
      </c>
      <c r="DV16" s="27">
        <f>PortfolioFrontier[[#This Row],[P31 Growth]]/PortfolioFrontier[[#This Row],[P31 HWM]]-1</f>
        <v>0</v>
      </c>
      <c r="DW16" s="28">
        <f>SUMPRODUCT(INDEX(PortfolioRef[[SPY]:[PE]],MATCH(DW$1,PortfolioRef[Reference '#]),0),AssetMonthlyReturns[[#This Row],[SPY]:[PE]])</f>
        <v>2.94224720518394E-3</v>
      </c>
      <c r="DX16" s="27">
        <f>IF(ISNUMBER(DX15),DX15*(1+PortfolioFrontier[[#This Row],[P32 Return]]),1+PortfolioFrontier[[#This Row],[P32 Return]])</f>
        <v>1.0862619140836867</v>
      </c>
      <c r="DY16" s="27">
        <f>MAX(DY15,PortfolioFrontier[[#This Row],[P32 Growth]])</f>
        <v>1.0862619140836867</v>
      </c>
      <c r="DZ16" s="27">
        <f>PortfolioFrontier[[#This Row],[P32 Growth]]/PortfolioFrontier[[#This Row],[P32 HWM]]-1</f>
        <v>0</v>
      </c>
      <c r="EA16" s="28">
        <f>SUMPRODUCT(INDEX(PortfolioRef[[SPY]:[PE]],MATCH(EA$1,PortfolioRef[Reference '#]),0),AssetMonthlyReturns[[#This Row],[SPY]:[PE]])</f>
        <v>2.5917614150526395E-3</v>
      </c>
      <c r="EB16" s="27">
        <f>IF(ISNUMBER(EB15),EB15*(1+PortfolioFrontier[[#This Row],[P33 Return]]),1+PortfolioFrontier[[#This Row],[P33 Return]])</f>
        <v>1.0834703996211503</v>
      </c>
      <c r="EC16" s="27">
        <f>MAX(EC15,PortfolioFrontier[[#This Row],[P33 Growth]])</f>
        <v>1.0839555666976839</v>
      </c>
      <c r="ED16" s="27">
        <f>PortfolioFrontier[[#This Row],[P33 Growth]]/PortfolioFrontier[[#This Row],[P33 HWM]]-1</f>
        <v>-4.4758945056355692E-4</v>
      </c>
      <c r="EE16" s="28">
        <f>SUMPRODUCT(INDEX(PortfolioRef[[SPY]:[PE]],MATCH(EE$1,PortfolioRef[Reference '#]),0),AssetMonthlyReturns[[#This Row],[SPY]:[PE]])</f>
        <v>5.0197697960409175E-3</v>
      </c>
      <c r="EF16" s="27">
        <f>IF(ISNUMBER(EF15),EF15*(1+PortfolioFrontier[[#This Row],[P34 Return]]),1+PortfolioFrontier[[#This Row],[P34 Return]])</f>
        <v>1.0745110319792954</v>
      </c>
      <c r="EG16" s="27">
        <f>MAX(EG15,PortfolioFrontier[[#This Row],[P34 Growth]])</f>
        <v>1.0745110319792954</v>
      </c>
      <c r="EH16" s="27">
        <f>PortfolioFrontier[[#This Row],[P34 Growth]]/PortfolioFrontier[[#This Row],[P34 HWM]]-1</f>
        <v>0</v>
      </c>
      <c r="EI16" s="28">
        <f>SUMPRODUCT(INDEX(PortfolioRef[[SPY]:[PE]],MATCH(EI$1,PortfolioRef[Reference '#]),0),AssetMonthlyReturns[[#This Row],[SPY]:[PE]])</f>
        <v>4.6212614774328187E-3</v>
      </c>
      <c r="EJ16" s="27">
        <f>IF(ISNUMBER(EJ15),EJ15*(1+PortfolioFrontier[[#This Row],[P35 Return]]),1+PortfolioFrontier[[#This Row],[P35 Return]])</f>
        <v>1.0727937070166274</v>
      </c>
      <c r="EK16" s="27">
        <f>MAX(EK15,PortfolioFrontier[[#This Row],[P35 Growth]])</f>
        <v>1.0727937070166274</v>
      </c>
      <c r="EL16" s="27">
        <f>PortfolioFrontier[[#This Row],[P35 Growth]]/PortfolioFrontier[[#This Row],[P35 HWM]]-1</f>
        <v>0</v>
      </c>
      <c r="EM16" s="28">
        <f>SUMPRODUCT(INDEX(PortfolioRef[[SPY]:[PE]],MATCH(EM$1,PortfolioRef[Reference '#]),0),AssetMonthlyReturns[[#This Row],[SPY]:[PE]])</f>
        <v>4.3210151444109425E-3</v>
      </c>
      <c r="EN16" s="27">
        <f>IF(ISNUMBER(EN15),EN15*(1+PortfolioFrontier[[#This Row],[P36 Return]]),1+PortfolioFrontier[[#This Row],[P36 Return]])</f>
        <v>1.0764279079783212</v>
      </c>
      <c r="EO16" s="27">
        <f>MAX(EO15,PortfolioFrontier[[#This Row],[P36 Growth]])</f>
        <v>1.0764279079783212</v>
      </c>
      <c r="EP16" s="27">
        <f>PortfolioFrontier[[#This Row],[P36 Growth]]/PortfolioFrontier[[#This Row],[P36 HWM]]-1</f>
        <v>0</v>
      </c>
      <c r="EQ16" s="28">
        <f>SUMPRODUCT(INDEX(PortfolioRef[[SPY]:[PE]],MATCH(EQ$1,PortfolioRef[Reference '#]),0),AssetMonthlyReturns[[#This Row],[SPY]:[PE]])</f>
        <v>3.9705293542796442E-3</v>
      </c>
      <c r="ER16" s="27">
        <f>IF(ISNUMBER(ER15),ER15*(1+PortfolioFrontier[[#This Row],[P37 Return]]),1+PortfolioFrontier[[#This Row],[P37 Return]])</f>
        <v>1.0736425360613353</v>
      </c>
      <c r="ES16" s="27">
        <f>MAX(ES15,PortfolioFrontier[[#This Row],[P37 Growth]])</f>
        <v>1.0736425360613353</v>
      </c>
      <c r="ET16" s="27">
        <f>PortfolioFrontier[[#This Row],[P37 Growth]]/PortfolioFrontier[[#This Row],[P37 HWM]]-1</f>
        <v>0</v>
      </c>
      <c r="EU16" s="28">
        <f>SUMPRODUCT(INDEX(PortfolioRef[[SPY]:[PE]],MATCH(EU$1,PortfolioRef[Reference '#]),0),AssetMonthlyReturns[[#This Row],[SPY]:[PE]])</f>
        <v>4.2227531588247217E-3</v>
      </c>
      <c r="EV16" s="27">
        <f>IF(ISNUMBER(EV15),EV15*(1+PortfolioFrontier[[#This Row],[P38 Return]]),1+PortfolioFrontier[[#This Row],[P38 Return]])</f>
        <v>1.0710335497388968</v>
      </c>
      <c r="EW16" s="27">
        <f>MAX(EW15,PortfolioFrontier[[#This Row],[P38 Growth]])</f>
        <v>1.0710335497388968</v>
      </c>
      <c r="EX16" s="27">
        <f>PortfolioFrontier[[#This Row],[P38 Growth]]/PortfolioFrontier[[#This Row],[P38 HWM]]-1</f>
        <v>0</v>
      </c>
      <c r="EY16" s="28">
        <f>SUMPRODUCT(INDEX(PortfolioRef[[SPY]:[PE]],MATCH(EY$1,PortfolioRef[Reference '#]),0),AssetMonthlyReturns[[#This Row],[SPY]:[PE]])</f>
        <v>3.9225068258028455E-3</v>
      </c>
      <c r="EZ16" s="27">
        <f>IF(ISNUMBER(EZ15),EZ15*(1+PortfolioFrontier[[#This Row],[P39 Return]]),1+PortfolioFrontier[[#This Row],[P39 Return]])</f>
        <v>1.0746955689407611</v>
      </c>
      <c r="FA16" s="27">
        <f>MAX(FA15,PortfolioFrontier[[#This Row],[P39 Growth]])</f>
        <v>1.0746955689407611</v>
      </c>
      <c r="FB16" s="27">
        <f>PortfolioFrontier[[#This Row],[P39 Growth]]/PortfolioFrontier[[#This Row],[P39 HWM]]-1</f>
        <v>0</v>
      </c>
      <c r="FC16" s="28">
        <f>SUMPRODUCT(INDEX(PortfolioRef[[SPY]:[PE]],MATCH(FC$1,PortfolioRef[Reference '#]),0),AssetMonthlyReturns[[#This Row],[SPY]:[PE]])</f>
        <v>3.5720210356715468E-3</v>
      </c>
      <c r="FD16" s="27">
        <f>IF(ISNUMBER(FD15),FD15*(1+PortfolioFrontier[[#This Row],[P40 Return]]),1+PortfolioFrontier[[#This Row],[P40 Return]])</f>
        <v>1.0719372888440741</v>
      </c>
      <c r="FE16" s="27">
        <f>MAX(FE15,PortfolioFrontier[[#This Row],[P40 Growth]])</f>
        <v>1.0719372888440741</v>
      </c>
      <c r="FF16" s="27">
        <f>PortfolioFrontier[[#This Row],[P40 Growth]]/PortfolioFrontier[[#This Row],[P40 HWM]]-1</f>
        <v>0</v>
      </c>
      <c r="FG16" s="28">
        <f>SUMPRODUCT(INDEX(PortfolioRef[[SPY]:[PE]],MATCH(FG$1,PortfolioRef[Reference '#]),0),AssetMonthlyReturns[[#This Row],[SPY]:[PE]])</f>
        <v>3.6222604927809705E-3</v>
      </c>
      <c r="FH16" s="27">
        <f>IF(ISNUMBER(FH15),FH15*(1+PortfolioFrontier[[#This Row],[P41 Return]]),1+PortfolioFrontier[[#This Row],[P41 Return]])</f>
        <v>1.0783188020382883</v>
      </c>
      <c r="FI16" s="27">
        <f>MAX(FI15,PortfolioFrontier[[#This Row],[P41 Growth]])</f>
        <v>1.0783188020382883</v>
      </c>
      <c r="FJ16" s="27">
        <f>PortfolioFrontier[[#This Row],[P41 Growth]]/PortfolioFrontier[[#This Row],[P41 HWM]]-1</f>
        <v>0</v>
      </c>
      <c r="FK16" s="28">
        <f>SUMPRODUCT(INDEX(PortfolioRef[[SPY]:[PE]],MATCH(FK$1,PortfolioRef[Reference '#]),0),AssetMonthlyReturns[[#This Row],[SPY]:[PE]])</f>
        <v>3.2717747026496705E-3</v>
      </c>
      <c r="FL16" s="27">
        <f>IF(ISNUMBER(FL15),FL15*(1+PortfolioFrontier[[#This Row],[P42 Return]]),1+PortfolioFrontier[[#This Row],[P42 Return]])</f>
        <v>1.0755602025618316</v>
      </c>
      <c r="FM16" s="27">
        <f>MAX(FM15,PortfolioFrontier[[#This Row],[P42 Growth]])</f>
        <v>1.0755602025618316</v>
      </c>
      <c r="FN16" s="27">
        <f>PortfolioFrontier[[#This Row],[P42 Growth]]/PortfolioFrontier[[#This Row],[P42 HWM]]-1</f>
        <v>0</v>
      </c>
      <c r="FO16" s="28">
        <f>SUMPRODUCT(INDEX(PortfolioRef[[SPY]:[PE]],MATCH(FO$1,PortfolioRef[Reference '#]),0),AssetMonthlyReturns[[#This Row],[SPY]:[PE]])</f>
        <v>2.9212889125183709E-3</v>
      </c>
      <c r="FP16" s="27">
        <f>IF(ISNUMBER(FP15),FP15*(1+PortfolioFrontier[[#This Row],[P43 Return]]),1+PortfolioFrontier[[#This Row],[P43 Return]])</f>
        <v>1.0727592809972073</v>
      </c>
      <c r="FQ16" s="27">
        <f>MAX(FQ15,PortfolioFrontier[[#This Row],[P43 Growth]])</f>
        <v>1.0727592809972073</v>
      </c>
      <c r="FR16" s="27">
        <f>PortfolioFrontier[[#This Row],[P43 Growth]]/PortfolioFrontier[[#This Row],[P43 HWM]]-1</f>
        <v>0</v>
      </c>
      <c r="FS16" s="28">
        <f>SUMPRODUCT(INDEX(PortfolioRef[[SPY]:[PE]],MATCH(FS$1,PortfolioRef[Reference '#]),0),AssetMonthlyReturns[[#This Row],[SPY]:[PE]])</f>
        <v>3.5239985071947471E-3</v>
      </c>
      <c r="FT16" s="27">
        <f>IF(ISNUMBER(FT15),FT15*(1+PortfolioFrontier[[#This Row],[P44 Return]]),1+PortfolioFrontier[[#This Row],[P44 Return]])</f>
        <v>1.0729204444009464</v>
      </c>
      <c r="FU16" s="27">
        <f>MAX(FU15,PortfolioFrontier[[#This Row],[P44 Growth]])</f>
        <v>1.0729204444009464</v>
      </c>
      <c r="FV16" s="27">
        <f>PortfolioFrontier[[#This Row],[P44 Growth]]/PortfolioFrontier[[#This Row],[P44 HWM]]-1</f>
        <v>0</v>
      </c>
      <c r="FW16" s="28">
        <f>SUMPRODUCT(INDEX(PortfolioRef[[SPY]:[PE]],MATCH(FW$1,PortfolioRef[Reference '#]),0),AssetMonthlyReturns[[#This Row],[SPY]:[PE]])</f>
        <v>3.173512717063448E-3</v>
      </c>
      <c r="FX16" s="27">
        <f>IF(ISNUMBER(FX15),FX15*(1+PortfolioFrontier[[#This Row],[P45 Return]]),1+PortfolioFrontier[[#This Row],[P45 Return]])</f>
        <v>1.0701892137278914</v>
      </c>
      <c r="FY16" s="27">
        <f>MAX(FY15,PortfolioFrontier[[#This Row],[P45 Growth]])</f>
        <v>1.0701892137278914</v>
      </c>
      <c r="FZ16" s="27">
        <f>PortfolioFrontier[[#This Row],[P45 Growth]]/PortfolioFrontier[[#This Row],[P45 HWM]]-1</f>
        <v>0</v>
      </c>
      <c r="GA16" s="28">
        <f>SUMPRODUCT(INDEX(PortfolioRef[[SPY]:[PE]],MATCH(GA$1,PortfolioRef[Reference '#]),0),AssetMonthlyReturns[[#This Row],[SPY]:[PE]])</f>
        <v>3.2237521741728717E-3</v>
      </c>
      <c r="GB16" s="27">
        <f>IF(ISNUMBER(GB15),GB15*(1+PortfolioFrontier[[#This Row],[P46 Return]]),1+PortfolioFrontier[[#This Row],[P46 Return]])</f>
        <v>1.0765714587507229</v>
      </c>
      <c r="GC16" s="27">
        <f>MAX(GC15,PortfolioFrontier[[#This Row],[P46 Growth]])</f>
        <v>1.0765714587507229</v>
      </c>
      <c r="GD16" s="27">
        <f>PortfolioFrontier[[#This Row],[P46 Growth]]/PortfolioFrontier[[#This Row],[P46 HWM]]-1</f>
        <v>0</v>
      </c>
      <c r="GE16" s="28">
        <f>SUMPRODUCT(INDEX(PortfolioRef[[SPY]:[PE]],MATCH(GE$1,PortfolioRef[Reference '#]),0),AssetMonthlyReturns[[#This Row],[SPY]:[PE]])</f>
        <v>2.8732663840415726E-3</v>
      </c>
      <c r="GF16" s="27">
        <f>IF(ISNUMBER(GF15),GF15*(1+PortfolioFrontier[[#This Row],[P47 Return]]),1+PortfolioFrontier[[#This Row],[P47 Return]])</f>
        <v>1.073839962803028</v>
      </c>
      <c r="GG16" s="27">
        <f>MAX(GG15,PortfolioFrontier[[#This Row],[P47 Growth]])</f>
        <v>1.073839962803028</v>
      </c>
      <c r="GH16" s="27">
        <f>PortfolioFrontier[[#This Row],[P47 Growth]]/PortfolioFrontier[[#This Row],[P47 HWM]]-1</f>
        <v>0</v>
      </c>
      <c r="GI16" s="28">
        <f>SUMPRODUCT(INDEX(PortfolioRef[[SPY]:[PE]],MATCH(GI$1,PortfolioRef[Reference '#]),0),AssetMonthlyReturns[[#This Row],[SPY]:[PE]])</f>
        <v>2.522780593910273E-3</v>
      </c>
      <c r="GJ16" s="27">
        <f>IF(ISNUMBER(GJ15),GJ15*(1+PortfolioFrontier[[#This Row],[P48 Return]]),1+PortfolioFrontier[[#This Row],[P48 Return]])</f>
        <v>1.0710661189588184</v>
      </c>
      <c r="GK16" s="27">
        <f>MAX(GK15,PortfolioFrontier[[#This Row],[P48 Growth]])</f>
        <v>1.0710661189588184</v>
      </c>
      <c r="GL16" s="27">
        <f>PortfolioFrontier[[#This Row],[P48 Growth]]/PortfolioFrontier[[#This Row],[P48 HWM]]-1</f>
        <v>0</v>
      </c>
      <c r="GM16" s="28">
        <f>SUMPRODUCT(INDEX(PortfolioRef[[SPY]:[PE]],MATCH(GM$1,PortfolioRef[Reference '#]),0),AssetMonthlyReturns[[#This Row],[SPY]:[PE]])</f>
        <v>2.9235058411509964E-3</v>
      </c>
      <c r="GN16" s="27">
        <f>IF(ISNUMBER(GN15),GN15*(1+PortfolioFrontier[[#This Row],[P49 Return]]),1+PortfolioFrontier[[#This Row],[P49 Return]])</f>
        <v>1.0801835745268398</v>
      </c>
      <c r="GO16" s="27">
        <f>MAX(GO15,PortfolioFrontier[[#This Row],[P49 Growth]])</f>
        <v>1.0801835745268398</v>
      </c>
      <c r="GP16" s="27">
        <f>PortfolioFrontier[[#This Row],[P49 Growth]]/PortfolioFrontier[[#This Row],[P49 HWM]]-1</f>
        <v>0</v>
      </c>
      <c r="GQ16" s="28">
        <f>SUMPRODUCT(INDEX(PortfolioRef[[SPY]:[PE]],MATCH(GQ$1,PortfolioRef[Reference '#]),0),AssetMonthlyReturns[[#This Row],[SPY]:[PE]])</f>
        <v>2.5730200510196964E-3</v>
      </c>
      <c r="GR16" s="27">
        <f>IF(ISNUMBER(GR15),GR15*(1+PortfolioFrontier[[#This Row],[P50 Return]]),1+PortfolioFrontier[[#This Row],[P50 Return]])</f>
        <v>1.0774519292580549</v>
      </c>
      <c r="GS16" s="27">
        <f>MAX(GS15,PortfolioFrontier[[#This Row],[P50 Growth]])</f>
        <v>1.0774519292580549</v>
      </c>
      <c r="GT16" s="27">
        <f>PortfolioFrontier[[#This Row],[P50 Growth]]/PortfolioFrontier[[#This Row],[P50 HWM]]-1</f>
        <v>0</v>
      </c>
      <c r="GU16" s="28">
        <f>SUMPRODUCT(INDEX(PortfolioRef[[SPY]:[PE]],MATCH(GU$1,PortfolioRef[Reference '#]),0),AssetMonthlyReturns[[#This Row],[SPY]:[PE]])</f>
        <v>2.2225342608883968E-3</v>
      </c>
      <c r="GV16" s="27">
        <f>IF(ISNUMBER(GV15),GV15*(1+PortfolioFrontier[[#This Row],[P51 Return]]),1+PortfolioFrontier[[#This Row],[P51 Return]])</f>
        <v>1.0746777136080914</v>
      </c>
      <c r="GW16" s="27">
        <f>MAX(GW15,PortfolioFrontier[[#This Row],[P51 Growth]])</f>
        <v>1.0756986619207358</v>
      </c>
      <c r="GX16" s="27">
        <f>PortfolioFrontier[[#This Row],[P51 Growth]]/PortfolioFrontier[[#This Row],[P51 HWM]]-1</f>
        <v>-9.4910252172430987E-4</v>
      </c>
      <c r="GY16" s="28">
        <f>SUMPRODUCT(INDEX(PortfolioRef[[SPY]:[PE]],MATCH(GY$1,PortfolioRef[Reference '#]),0),AssetMonthlyReturns[[#This Row],[SPY]:[PE]])</f>
        <v>2.825243855564773E-3</v>
      </c>
      <c r="GZ16" s="27">
        <f>IF(ISNUMBER(GZ15),GZ15*(1+PortfolioFrontier[[#This Row],[P52 Return]]),1+PortfolioFrontier[[#This Row],[P52 Return]])</f>
        <v>1.0747813779350555</v>
      </c>
      <c r="HA16" s="27">
        <f>MAX(HA15,PortfolioFrontier[[#This Row],[P52 Growth]])</f>
        <v>1.0747813779350555</v>
      </c>
      <c r="HB16" s="27">
        <f>PortfolioFrontier[[#This Row],[P52 Growth]]/PortfolioFrontier[[#This Row],[P52 HWM]]-1</f>
        <v>0</v>
      </c>
      <c r="HC16" s="28">
        <f>SUMPRODUCT(INDEX(PortfolioRef[[SPY]:[PE]],MATCH(HC$1,PortfolioRef[Reference '#]),0),AssetMonthlyReturns[[#This Row],[SPY]:[PE]])</f>
        <v>2.4747580654334738E-3</v>
      </c>
      <c r="HD16" s="27">
        <f>IF(ISNUMBER(HD15),HD15*(1+PortfolioFrontier[[#This Row],[P53 Return]]),1+PortfolioFrontier[[#This Row],[P53 Return]])</f>
        <v>1.0720769417246125</v>
      </c>
      <c r="HE16" s="27">
        <f>MAX(HE15,PortfolioFrontier[[#This Row],[P53 Growth]])</f>
        <v>1.0720769417246125</v>
      </c>
      <c r="HF16" s="27">
        <f>PortfolioFrontier[[#This Row],[P53 Growth]]/PortfolioFrontier[[#This Row],[P53 HWM]]-1</f>
        <v>0</v>
      </c>
      <c r="HG16" s="28">
        <f>SUMPRODUCT(INDEX(PortfolioRef[[SPY]:[PE]],MATCH(HG$1,PortfolioRef[Reference '#]),0),AssetMonthlyReturns[[#This Row],[SPY]:[PE]])</f>
        <v>2.1242722753021743E-3</v>
      </c>
      <c r="HH16" s="27">
        <f>IF(ISNUMBER(HH15),HH15*(1+PortfolioFrontier[[#This Row],[P54 Return]]),1+PortfolioFrontier[[#This Row],[P54 Return]])</f>
        <v>1.0693301340734545</v>
      </c>
      <c r="HI16" s="27">
        <f>MAX(HI15,PortfolioFrontier[[#This Row],[P54 Growth]])</f>
        <v>1.0693301340734545</v>
      </c>
      <c r="HJ16" s="27">
        <f>PortfolioFrontier[[#This Row],[P54 Growth]]/PortfolioFrontier[[#This Row],[P54 HWM]]-1</f>
        <v>0</v>
      </c>
      <c r="HK16" s="28">
        <f>SUMPRODUCT(INDEX(PortfolioRef[[SPY]:[PE]],MATCH(HK$1,PortfolioRef[Reference '#]),0),AssetMonthlyReturns[[#This Row],[SPY]:[PE]])</f>
        <v>2.5249975225428985E-3</v>
      </c>
      <c r="HL16" s="27">
        <f>IF(ISNUMBER(HL15),HL15*(1+PortfolioFrontier[[#This Row],[P55 Return]]),1+PortfolioFrontier[[#This Row],[P55 Return]])</f>
        <v>1.078421237617087</v>
      </c>
      <c r="HM16" s="27">
        <f>MAX(HM15,PortfolioFrontier[[#This Row],[P55 Growth]])</f>
        <v>1.078421237617087</v>
      </c>
      <c r="HN16" s="27">
        <f>PortfolioFrontier[[#This Row],[P55 Growth]]/PortfolioFrontier[[#This Row],[P55 HWM]]-1</f>
        <v>0</v>
      </c>
      <c r="HO16" s="28">
        <f>SUMPRODUCT(INDEX(PortfolioRef[[SPY]:[PE]],MATCH(HO$1,PortfolioRef[Reference '#]),0),AssetMonthlyReturns[[#This Row],[SPY]:[PE]])</f>
        <v>2.1745117324115993E-3</v>
      </c>
      <c r="HP16" s="27">
        <f>IF(ISNUMBER(HP15),HP15*(1+PortfolioFrontier[[#This Row],[P56 Return]]),1+PortfolioFrontier[[#This Row],[P56 Return]])</f>
        <v>1.0757167065623354</v>
      </c>
      <c r="HQ16" s="27">
        <f>MAX(HQ15,PortfolioFrontier[[#This Row],[P56 Growth]])</f>
        <v>1.0759086246601364</v>
      </c>
      <c r="HR16" s="27">
        <f>PortfolioFrontier[[#This Row],[P56 Growth]]/PortfolioFrontier[[#This Row],[P56 HWM]]-1</f>
        <v>-1.7837769249373636E-4</v>
      </c>
      <c r="HS16" s="28">
        <f>SUMPRODUCT(INDEX(PortfolioRef[[SPY]:[PE]],MATCH(HS$1,PortfolioRef[Reference '#]),0),AssetMonthlyReturns[[#This Row],[SPY]:[PE]])</f>
        <v>1.8240259422802989E-3</v>
      </c>
      <c r="HT16" s="27">
        <f>IF(ISNUMBER(HT15),HT15*(1+PortfolioFrontier[[#This Row],[P57 Return]]),1+PortfolioFrontier[[#This Row],[P57 Return]])</f>
        <v>1.0729695806480173</v>
      </c>
      <c r="HU16" s="27">
        <f>MAX(HU15,PortfolioFrontier[[#This Row],[P57 Growth]])</f>
        <v>1.0741805302627476</v>
      </c>
      <c r="HV16" s="27">
        <f>PortfolioFrontier[[#This Row],[P57 Growth]]/PortfolioFrontier[[#This Row],[P57 HWM]]-1</f>
        <v>-1.1273241141637191E-3</v>
      </c>
      <c r="HW16" s="28">
        <f>SUMPRODUCT(INDEX(PortfolioRef[[SPY]:[PE]],MATCH(HW$1,PortfolioRef[Reference '#]),0),AssetMonthlyReturns[[#This Row],[SPY]:[PE]])</f>
        <v>2.2247511895210226E-3</v>
      </c>
      <c r="HX16" s="27">
        <f>IF(ISNUMBER(HX15),HX15*(1+PortfolioFrontier[[#This Row],[P58 Return]]),1+PortfolioFrontier[[#This Row],[P58 Return]])</f>
        <v>1.0820220871554282</v>
      </c>
      <c r="HY16" s="27">
        <f>MAX(HY15,PortfolioFrontier[[#This Row],[P58 Growth]])</f>
        <v>1.0833982669057278</v>
      </c>
      <c r="HZ16" s="27">
        <f>PortfolioFrontier[[#This Row],[P58 Growth]]/PortfolioFrontier[[#This Row],[P58 HWM]]-1</f>
        <v>-1.2702436327778344E-3</v>
      </c>
      <c r="IA16" s="28">
        <f>SUMPRODUCT(INDEX(PortfolioRef[[SPY]:[PE]],MATCH(IA$1,PortfolioRef[Reference '#]),0),AssetMonthlyReturns[[#This Row],[SPY]:[PE]])</f>
        <v>1.8742653993897231E-3</v>
      </c>
      <c r="IB16" s="27">
        <f>IF(ISNUMBER(IB15),IB15*(1+PortfolioFrontier[[#This Row],[P59 Return]]),1+PortfolioFrontier[[#This Row],[P59 Return]])</f>
        <v>1.0793175765858802</v>
      </c>
      <c r="IC16" s="27">
        <f>MAX(IC15,PortfolioFrontier[[#This Row],[P59 Growth]])</f>
        <v>1.0817164416304288</v>
      </c>
      <c r="ID16" s="27">
        <f>PortfolioFrontier[[#This Row],[P59 Growth]]/PortfolioFrontier[[#This Row],[P59 HWM]]-1</f>
        <v>-2.217646836293663E-3</v>
      </c>
      <c r="IE16" s="28">
        <f>SUMPRODUCT(INDEX(PortfolioRef[[SPY]:[PE]],MATCH(IE$1,PortfolioRef[Reference '#]),0),AssetMonthlyReturns[[#This Row],[SPY]:[PE]])</f>
        <v>1.5237796092584235E-3</v>
      </c>
      <c r="IF16" s="27">
        <f>IF(ISNUMBER(IF15),IF15*(1+PortfolioFrontier[[#This Row],[P60 Return]]),1+PortfolioFrontier[[#This Row],[P60 Return]])</f>
        <v>1.0765702486415585</v>
      </c>
      <c r="IG16" s="27">
        <f>MAX(IG15,PortfolioFrontier[[#This Row],[P60 Growth]])</f>
        <v>1.0799882419636764</v>
      </c>
      <c r="IH16" s="27">
        <f>PortfolioFrontier[[#This Row],[P60 Growth]]/PortfolioFrontier[[#This Row],[P60 HWM]]-1</f>
        <v>-3.1648430874610112E-3</v>
      </c>
      <c r="II16" s="28">
        <f>SUMPRODUCT(INDEX(PortfolioRef[[SPY]:[PE]],MATCH(II$1,PortfolioRef[Reference '#]),0),AssetMonthlyReturns[[#This Row],[SPY]:[PE]])</f>
        <v>4.6505426418766756E-3</v>
      </c>
      <c r="IJ16" s="27">
        <f>IF(ISNUMBER(IJ15),IJ15*(1+PortfolioFrontier[[#This Row],[P61 Return]]),1+PortfolioFrontier[[#This Row],[P61 Return]])</f>
        <v>1.0657530531292156</v>
      </c>
      <c r="IK16" s="27">
        <f>MAX(IK15,PortfolioFrontier[[#This Row],[P61 Growth]])</f>
        <v>1.0657530531292156</v>
      </c>
      <c r="IL16" s="27">
        <f>PortfolioFrontier[[#This Row],[P61 Growth]]/PortfolioFrontier[[#This Row],[P61 HWM]]-1</f>
        <v>0</v>
      </c>
      <c r="IM16" s="28">
        <f>SUMPRODUCT(INDEX(PortfolioRef[[SPY]:[PE]],MATCH(IM$1,PortfolioRef[Reference '#]),0),AssetMonthlyReturns[[#This Row],[SPY]:[PE]])</f>
        <v>4.2520343232685769E-3</v>
      </c>
      <c r="IN16" s="27">
        <f>IF(ISNUMBER(IN15),IN15*(1+PortfolioFrontier[[#This Row],[P62 Return]]),1+PortfolioFrontier[[#This Row],[P62 Return]])</f>
        <v>1.0640384847427899</v>
      </c>
      <c r="IO16" s="27">
        <f>MAX(IO15,PortfolioFrontier[[#This Row],[P62 Growth]])</f>
        <v>1.0640384847427899</v>
      </c>
      <c r="IP16" s="27">
        <f>PortfolioFrontier[[#This Row],[P62 Growth]]/PortfolioFrontier[[#This Row],[P62 HWM]]-1</f>
        <v>0</v>
      </c>
      <c r="IQ16" s="28">
        <f>SUMPRODUCT(INDEX(PortfolioRef[[SPY]:[PE]],MATCH(IQ$1,PortfolioRef[Reference '#]),0),AssetMonthlyReturns[[#This Row],[SPY]:[PE]])</f>
        <v>3.9517879902467006E-3</v>
      </c>
      <c r="IR16" s="27">
        <f>IF(ISNUMBER(IR15),IR15*(1+PortfolioFrontier[[#This Row],[P63 Return]]),1+PortfolioFrontier[[#This Row],[P63 Return]])</f>
        <v>1.0676637159046565</v>
      </c>
      <c r="IS16" s="27">
        <f>MAX(IS15,PortfolioFrontier[[#This Row],[P63 Growth]])</f>
        <v>1.0676637159046565</v>
      </c>
      <c r="IT16" s="27">
        <f>PortfolioFrontier[[#This Row],[P63 Growth]]/PortfolioFrontier[[#This Row],[P63 HWM]]-1</f>
        <v>0</v>
      </c>
      <c r="IU16" s="28">
        <f>SUMPRODUCT(INDEX(PortfolioRef[[SPY]:[PE]],MATCH(IU$1,PortfolioRef[Reference '#]),0),AssetMonthlyReturns[[#This Row],[SPY]:[PE]])</f>
        <v>3.6013022001154019E-3</v>
      </c>
      <c r="IV16" s="27">
        <f>IF(ISNUMBER(IV15),IV15*(1+PortfolioFrontier[[#This Row],[P64 Return]]),1+PortfolioFrontier[[#This Row],[P64 Return]])</f>
        <v>1.0648957138251072</v>
      </c>
      <c r="IW16" s="27">
        <f>MAX(IW15,PortfolioFrontier[[#This Row],[P64 Growth]])</f>
        <v>1.0648957138251072</v>
      </c>
      <c r="IX16" s="27">
        <f>PortfolioFrontier[[#This Row],[P64 Growth]]/PortfolioFrontier[[#This Row],[P64 HWM]]-1</f>
        <v>0</v>
      </c>
      <c r="IY16" s="28">
        <f>SUMPRODUCT(INDEX(PortfolioRef[[SPY]:[PE]],MATCH(IY$1,PortfolioRef[Reference '#]),0),AssetMonthlyReturns[[#This Row],[SPY]:[PE]])</f>
        <v>3.8535260046604794E-3</v>
      </c>
      <c r="IZ16" s="27">
        <f>IF(ISNUMBER(IZ15),IZ15*(1+PortfolioFrontier[[#This Row],[P65 Return]]),1+PortfolioFrontier[[#This Row],[P65 Return]])</f>
        <v>1.0622814011657695</v>
      </c>
      <c r="JA16" s="27">
        <f>MAX(JA15,PortfolioFrontier[[#This Row],[P65 Growth]])</f>
        <v>1.0622814011657695</v>
      </c>
      <c r="JB16" s="27">
        <f>PortfolioFrontier[[#This Row],[P65 Growth]]/PortfolioFrontier[[#This Row],[P65 HWM]]-1</f>
        <v>0</v>
      </c>
      <c r="JC16" s="28">
        <f>SUMPRODUCT(INDEX(PortfolioRef[[SPY]:[PE]],MATCH(JC$1,PortfolioRef[Reference '#]),0),AssetMonthlyReturns[[#This Row],[SPY]:[PE]])</f>
        <v>3.553279671638604E-3</v>
      </c>
      <c r="JD16" s="27">
        <f>IF(ISNUMBER(JD15),JD15*(1+PortfolioFrontier[[#This Row],[P66 Return]]),1+PortfolioFrontier[[#This Row],[P66 Return]])</f>
        <v>1.0659342360888626</v>
      </c>
      <c r="JE16" s="27">
        <f>MAX(JE15,PortfolioFrontier[[#This Row],[P66 Growth]])</f>
        <v>1.0659342360888626</v>
      </c>
      <c r="JF16" s="27">
        <f>PortfolioFrontier[[#This Row],[P66 Growth]]/PortfolioFrontier[[#This Row],[P66 HWM]]-1</f>
        <v>0</v>
      </c>
      <c r="JG16" s="28">
        <f>SUMPRODUCT(INDEX(PortfolioRef[[SPY]:[PE]],MATCH(JG$1,PortfolioRef[Reference '#]),0),AssetMonthlyReturns[[#This Row],[SPY]:[PE]])</f>
        <v>3.2027938815073049E-3</v>
      </c>
      <c r="JH16" s="27">
        <f>IF(ISNUMBER(JH15),JH15*(1+PortfolioFrontier[[#This Row],[P67 Return]]),1+PortfolioFrontier[[#This Row],[P67 Return]])</f>
        <v>1.0631931465567235</v>
      </c>
      <c r="JI16" s="27">
        <f>MAX(JI15,PortfolioFrontier[[#This Row],[P67 Growth]])</f>
        <v>1.0631931465567235</v>
      </c>
      <c r="JJ16" s="27">
        <f>PortfolioFrontier[[#This Row],[P67 Growth]]/PortfolioFrontier[[#This Row],[P67 HWM]]-1</f>
        <v>0</v>
      </c>
      <c r="JK16" s="28">
        <f>SUMPRODUCT(INDEX(PortfolioRef[[SPY]:[PE]],MATCH(JK$1,PortfolioRef[Reference '#]),0),AssetMonthlyReturns[[#This Row],[SPY]:[PE]])</f>
        <v>3.2530333386167286E-3</v>
      </c>
      <c r="JL16" s="27">
        <f>IF(ISNUMBER(JL15),JL15*(1+PortfolioFrontier[[#This Row],[P68 Return]]),1+PortfolioFrontier[[#This Row],[P68 Return]])</f>
        <v>1.0695486181347678</v>
      </c>
      <c r="JM16" s="27">
        <f>MAX(JM15,PortfolioFrontier[[#This Row],[P68 Growth]])</f>
        <v>1.0695486181347678</v>
      </c>
      <c r="JN16" s="27">
        <f>PortfolioFrontier[[#This Row],[P68 Growth]]/PortfolioFrontier[[#This Row],[P68 HWM]]-1</f>
        <v>0</v>
      </c>
      <c r="JO16" s="28">
        <f>SUMPRODUCT(INDEX(PortfolioRef[[SPY]:[PE]],MATCH(JO$1,PortfolioRef[Reference '#]),0),AssetMonthlyReturns[[#This Row],[SPY]:[PE]])</f>
        <v>2.9025475484854286E-3</v>
      </c>
      <c r="JP16" s="27">
        <f>IF(ISNUMBER(JP15),JP15*(1+PortfolioFrontier[[#This Row],[P69 Return]]),1+PortfolioFrontier[[#This Row],[P69 Return]])</f>
        <v>1.0668071494844911</v>
      </c>
      <c r="JQ16" s="27">
        <f>MAX(JQ15,PortfolioFrontier[[#This Row],[P69 Growth]])</f>
        <v>1.0668071494844911</v>
      </c>
      <c r="JR16" s="27">
        <f>PortfolioFrontier[[#This Row],[P69 Growth]]/PortfolioFrontier[[#This Row],[P69 HWM]]-1</f>
        <v>0</v>
      </c>
      <c r="JS16" s="28">
        <f>SUMPRODUCT(INDEX(PortfolioRef[[SPY]:[PE]],MATCH(JS$1,PortfolioRef[Reference '#]),0),AssetMonthlyReturns[[#This Row],[SPY]:[PE]])</f>
        <v>2.5520617583541291E-3</v>
      </c>
      <c r="JT16" s="27">
        <f>IF(ISNUMBER(JT15),JT15*(1+PortfolioFrontier[[#This Row],[P70 Return]]),1+PortfolioFrontier[[#This Row],[P70 Return]])</f>
        <v>1.0640237005703184</v>
      </c>
      <c r="JU16" s="27">
        <f>MAX(JU15,PortfolioFrontier[[#This Row],[P70 Growth]])</f>
        <v>1.0640237005703184</v>
      </c>
      <c r="JV16" s="27">
        <f>PortfolioFrontier[[#This Row],[P70 Growth]]/PortfolioFrontier[[#This Row],[P70 HWM]]-1</f>
        <v>0</v>
      </c>
      <c r="JW16" s="28">
        <f>SUMPRODUCT(INDEX(PortfolioRef[[SPY]:[PE]],MATCH(JW$1,PortfolioRef[Reference '#]),0),AssetMonthlyReturns[[#This Row],[SPY]:[PE]])</f>
        <v>3.1547713530305052E-3</v>
      </c>
      <c r="JX16" s="27">
        <f>IF(ISNUMBER(JX15),JX15*(1+PortfolioFrontier[[#This Row],[P71 Return]]),1+PortfolioFrontier[[#This Row],[P71 Return]])</f>
        <v>1.0641622873285554</v>
      </c>
      <c r="JY16" s="27">
        <f>MAX(JY15,PortfolioFrontier[[#This Row],[P71 Growth]])</f>
        <v>1.0641622873285554</v>
      </c>
      <c r="JZ16" s="27">
        <f>PortfolioFrontier[[#This Row],[P71 Growth]]/PortfolioFrontier[[#This Row],[P71 HWM]]-1</f>
        <v>0</v>
      </c>
      <c r="KA16" s="28">
        <f>SUMPRODUCT(INDEX(PortfolioRef[[SPY]:[PE]],MATCH(KA$1,PortfolioRef[Reference '#]),0),AssetMonthlyReturns[[#This Row],[SPY]:[PE]])</f>
        <v>2.8042855628992061E-3</v>
      </c>
      <c r="KB16" s="27">
        <f>IF(ISNUMBER(KB15),KB15*(1+PortfolioFrontier[[#This Row],[P72 Return]]),1+PortfolioFrontier[[#This Row],[P72 Return]])</f>
        <v>1.0614480682967333</v>
      </c>
      <c r="KC16" s="27">
        <f>MAX(KC15,PortfolioFrontier[[#This Row],[P72 Growth]])</f>
        <v>1.0614480682967333</v>
      </c>
      <c r="KD16" s="27">
        <f>PortfolioFrontier[[#This Row],[P72 Growth]]/PortfolioFrontier[[#This Row],[P72 HWM]]-1</f>
        <v>0</v>
      </c>
      <c r="KE16" s="28">
        <f>SUMPRODUCT(INDEX(PortfolioRef[[SPY]:[PE]],MATCH(KE$1,PortfolioRef[Reference '#]),0),AssetMonthlyReturns[[#This Row],[SPY]:[PE]])</f>
        <v>2.8545250200086299E-3</v>
      </c>
      <c r="KF16" s="27">
        <f>IF(ISNUMBER(KF15),KF15*(1+PortfolioFrontier[[#This Row],[P73 Return]]),1+PortfolioFrontier[[#This Row],[P73 Return]])</f>
        <v>1.0678042366877514</v>
      </c>
      <c r="KG16" s="27">
        <f>MAX(KG15,PortfolioFrontier[[#This Row],[P73 Growth]])</f>
        <v>1.0678042366877514</v>
      </c>
      <c r="KH16" s="27">
        <f>PortfolioFrontier[[#This Row],[P73 Growth]]/PortfolioFrontier[[#This Row],[P73 HWM]]-1</f>
        <v>0</v>
      </c>
      <c r="KI16" s="28">
        <f>SUMPRODUCT(INDEX(PortfolioRef[[SPY]:[PE]],MATCH(KI$1,PortfolioRef[Reference '#]),0),AssetMonthlyReturns[[#This Row],[SPY]:[PE]])</f>
        <v>2.5040392298773307E-3</v>
      </c>
      <c r="KJ16" s="27">
        <f>IF(ISNUMBER(KJ15),KJ15*(1+PortfolioFrontier[[#This Row],[P74 Return]]),1+PortfolioFrontier[[#This Row],[P74 Return]])</f>
        <v>1.0650896922218165</v>
      </c>
      <c r="KK16" s="27">
        <f>MAX(KK15,PortfolioFrontier[[#This Row],[P74 Growth]])</f>
        <v>1.0650896922218165</v>
      </c>
      <c r="KL16" s="27">
        <f>PortfolioFrontier[[#This Row],[P74 Growth]]/PortfolioFrontier[[#This Row],[P74 HWM]]-1</f>
        <v>0</v>
      </c>
      <c r="KM16" s="28">
        <f>SUMPRODUCT(INDEX(PortfolioRef[[SPY]:[PE]],MATCH(KM$1,PortfolioRef[Reference '#]),0),AssetMonthlyReturns[[#This Row],[SPY]:[PE]])</f>
        <v>2.1535534397460311E-3</v>
      </c>
      <c r="KN16" s="27">
        <f>IF(ISNUMBER(KN15),KN15*(1+PortfolioFrontier[[#This Row],[P75 Return]]),1+PortfolioFrontier[[#This Row],[P75 Return]])</f>
        <v>1.0623331420277653</v>
      </c>
      <c r="KO16" s="27">
        <f>MAX(KO15,PortfolioFrontier[[#This Row],[P75 Growth]])</f>
        <v>1.0623331420277653</v>
      </c>
      <c r="KP16" s="27">
        <f>PortfolioFrontier[[#This Row],[P75 Growth]]/PortfolioFrontier[[#This Row],[P75 HWM]]-1</f>
        <v>0</v>
      </c>
      <c r="KQ16" s="28">
        <f>SUMPRODUCT(INDEX(PortfolioRef[[SPY]:[PE]],MATCH(KQ$1,PortfolioRef[Reference '#]),0),AssetMonthlyReturns[[#This Row],[SPY]:[PE]])</f>
        <v>2.5542786869867545E-3</v>
      </c>
      <c r="KR16" s="27">
        <f>IF(ISNUMBER(KR15),KR15*(1+PortfolioFrontier[[#This Row],[P76 Return]]),1+PortfolioFrontier[[#This Row],[P76 Return]])</f>
        <v>1.071407620669113</v>
      </c>
      <c r="KS16" s="27">
        <f>MAX(KS15,PortfolioFrontier[[#This Row],[P76 Growth]])</f>
        <v>1.071407620669113</v>
      </c>
      <c r="KT16" s="27">
        <f>PortfolioFrontier[[#This Row],[P76 Growth]]/PortfolioFrontier[[#This Row],[P76 HWM]]-1</f>
        <v>0</v>
      </c>
      <c r="KU16" s="28">
        <f>SUMPRODUCT(INDEX(PortfolioRef[[SPY]:[PE]],MATCH(KU$1,PortfolioRef[Reference '#]),0),AssetMonthlyReturns[[#This Row],[SPY]:[PE]])</f>
        <v>2.2037928968554545E-3</v>
      </c>
      <c r="KV16" s="27">
        <f>IF(ISNUMBER(KV15),KV15*(1+PortfolioFrontier[[#This Row],[P77 Return]]),1+PortfolioFrontier[[#This Row],[P77 Return]])</f>
        <v>1.0686928663557256</v>
      </c>
      <c r="KW16" s="27">
        <f>MAX(KW15,PortfolioFrontier[[#This Row],[P77 Growth]])</f>
        <v>1.0692289924276055</v>
      </c>
      <c r="KX16" s="27">
        <f>PortfolioFrontier[[#This Row],[P77 Growth]]/PortfolioFrontier[[#This Row],[P77 HWM]]-1</f>
        <v>-5.0141370620959691E-4</v>
      </c>
      <c r="KY16" s="28">
        <f>SUMPRODUCT(INDEX(PortfolioRef[[SPY]:[PE]],MATCH(KY$1,PortfolioRef[Reference '#]),0),AssetMonthlyReturns[[#This Row],[SPY]:[PE]])</f>
        <v>1.8533071067241549E-3</v>
      </c>
      <c r="KZ16" s="27">
        <f>IF(ISNUMBER(KZ15),KZ15*(1+PortfolioFrontier[[#This Row],[P78 Return]]),1+PortfolioFrontier[[#This Row],[P78 Return]])</f>
        <v>1.0659358848852096</v>
      </c>
      <c r="LA16" s="27">
        <f>MAX(LA15,PortfolioFrontier[[#This Row],[P78 Growth]])</f>
        <v>1.0674843606031827</v>
      </c>
      <c r="LB16" s="27">
        <f>PortfolioFrontier[[#This Row],[P78 Growth]]/PortfolioFrontier[[#This Row],[P78 HWM]]-1</f>
        <v>-1.4505839852287927E-3</v>
      </c>
      <c r="LC16" s="28">
        <f>SUMPRODUCT(INDEX(PortfolioRef[[SPY]:[PE]],MATCH(LC$1,PortfolioRef[Reference '#]),0),AssetMonthlyReturns[[#This Row],[SPY]:[PE]])</f>
        <v>2.4560167014005315E-3</v>
      </c>
      <c r="LD16" s="27">
        <f>IF(ISNUMBER(LD15),LD15*(1+PortfolioFrontier[[#This Row],[P79 Return]]),1+PortfolioFrontier[[#This Row],[P79 Return]])</f>
        <v>1.0660174336972921</v>
      </c>
      <c r="LE16" s="27">
        <f>MAX(LE15,PortfolioFrontier[[#This Row],[P79 Growth]])</f>
        <v>1.0660174336972921</v>
      </c>
      <c r="LF16" s="27">
        <f>PortfolioFrontier[[#This Row],[P79 Growth]]/PortfolioFrontier[[#This Row],[P79 HWM]]-1</f>
        <v>0</v>
      </c>
      <c r="LG16" s="28">
        <f>SUMPRODUCT(INDEX(PortfolioRef[[SPY]:[PE]],MATCH(LG$1,PortfolioRef[Reference '#]),0),AssetMonthlyReturns[[#This Row],[SPY]:[PE]])</f>
        <v>2.1055309112692319E-3</v>
      </c>
      <c r="LH16" s="27">
        <f>IF(ISNUMBER(LH15),LH15*(1+PortfolioFrontier[[#This Row],[P80 Return]]),1+PortfolioFrontier[[#This Row],[P80 Return]])</f>
        <v>1.0633297699816076</v>
      </c>
      <c r="LI16" s="27">
        <f>MAX(LI15,PortfolioFrontier[[#This Row],[P80 Growth]])</f>
        <v>1.0633297699816076</v>
      </c>
      <c r="LJ16" s="27">
        <f>PortfolioFrontier[[#This Row],[P80 Growth]]/PortfolioFrontier[[#This Row],[P80 HWM]]-1</f>
        <v>0</v>
      </c>
      <c r="LK16" s="28">
        <f>SUMPRODUCT(INDEX(PortfolioRef[[SPY]:[PE]],MATCH(LK$1,PortfolioRef[Reference '#]),0),AssetMonthlyReturns[[#This Row],[SPY]:[PE]])</f>
        <v>1.7550451211379324E-3</v>
      </c>
      <c r="LL16" s="27">
        <f>IF(ISNUMBER(LL15),LL15*(1+PortfolioFrontier[[#This Row],[P81 Return]]),1+PortfolioFrontier[[#This Row],[P81 Return]])</f>
        <v>1.0606000773247641</v>
      </c>
      <c r="LM16" s="27">
        <f>MAX(LM15,PortfolioFrontier[[#This Row],[P81 Growth]])</f>
        <v>1.0606000773247641</v>
      </c>
      <c r="LN16" s="27">
        <f>PortfolioFrontier[[#This Row],[P81 Growth]]/PortfolioFrontier[[#This Row],[P81 HWM]]-1</f>
        <v>0</v>
      </c>
      <c r="LO16" s="28">
        <f>SUMPRODUCT(INDEX(PortfolioRef[[SPY]:[PE]],MATCH(LO$1,PortfolioRef[Reference '#]),0),AssetMonthlyReturns[[#This Row],[SPY]:[PE]])</f>
        <v>2.1557703683786566E-3</v>
      </c>
      <c r="LP16" s="27">
        <f>IF(ISNUMBER(LP15),LP15*(1+PortfolioFrontier[[#This Row],[P82 Return]]),1+PortfolioFrontier[[#This Row],[P82 Return]])</f>
        <v>1.0696483481867862</v>
      </c>
      <c r="LQ16" s="27">
        <f>MAX(LQ15,PortfolioFrontier[[#This Row],[P82 Growth]])</f>
        <v>1.0696483481867862</v>
      </c>
      <c r="LR16" s="27">
        <f>PortfolioFrontier[[#This Row],[P82 Growth]]/PortfolioFrontier[[#This Row],[P82 HWM]]-1</f>
        <v>0</v>
      </c>
      <c r="LS16" s="28">
        <f>SUMPRODUCT(INDEX(PortfolioRef[[SPY]:[PE]],MATCH(LS$1,PortfolioRef[Reference '#]),0),AssetMonthlyReturns[[#This Row],[SPY]:[PE]])</f>
        <v>1.8052845782473574E-3</v>
      </c>
      <c r="LT16" s="27">
        <f>IF(ISNUMBER(LT15),LT15*(1+PortfolioFrontier[[#This Row],[P83 Return]]),1+PortfolioFrontier[[#This Row],[P83 Return]])</f>
        <v>1.0669605286776431</v>
      </c>
      <c r="LU16" s="27">
        <f>MAX(LU15,PortfolioFrontier[[#This Row],[P83 Growth]])</f>
        <v>1.0676864714537937</v>
      </c>
      <c r="LV16" s="27">
        <f>PortfolioFrontier[[#This Row],[P83 Growth]]/PortfolioFrontier[[#This Row],[P83 HWM]]-1</f>
        <v>-6.7992130232963355E-4</v>
      </c>
      <c r="LW16" s="28">
        <f>SUMPRODUCT(INDEX(PortfolioRef[[SPY]:[PE]],MATCH(LW$1,PortfolioRef[Reference '#]),0),AssetMonthlyReturns[[#This Row],[SPY]:[PE]])</f>
        <v>1.454798788116057E-3</v>
      </c>
      <c r="LX16" s="27">
        <f>IF(ISNUMBER(LX15),LX15*(1+PortfolioFrontier[[#This Row],[P84 Return]]),1+PortfolioFrontier[[#This Row],[P84 Return]])</f>
        <v>1.0642304578692787</v>
      </c>
      <c r="LY16" s="27">
        <f>MAX(LY15,PortfolioFrontier[[#This Row],[P84 Growth]])</f>
        <v>1.065966632071782</v>
      </c>
      <c r="LZ16" s="27">
        <f>PortfolioFrontier[[#This Row],[P84 Growth]]/PortfolioFrontier[[#This Row],[P84 HWM]]-1</f>
        <v>-1.6287322231924861E-3</v>
      </c>
      <c r="MA16" s="28">
        <f>SUMPRODUCT(INDEX(PortfolioRef[[SPY]:[PE]],MATCH(MA$1,PortfolioRef[Reference '#]),0),AssetMonthlyReturns[[#This Row],[SPY]:[PE]])</f>
        <v>1.8555240353567808E-3</v>
      </c>
      <c r="MB16" s="27">
        <f>IF(ISNUMBER(MB15),MB15*(1+PortfolioFrontier[[#This Row],[P85 Return]]),1+PortfolioFrontier[[#This Row],[P85 Return]])</f>
        <v>1.0732405856887599</v>
      </c>
      <c r="MC16" s="27">
        <f>MAX(MC15,PortfolioFrontier[[#This Row],[P85 Growth]])</f>
        <v>1.0751445932429837</v>
      </c>
      <c r="MD16" s="27">
        <f>PortfolioFrontier[[#This Row],[P85 Growth]]/PortfolioFrontier[[#This Row],[P85 HWM]]-1</f>
        <v>-1.7709316181191426E-3</v>
      </c>
      <c r="ME16" s="28">
        <f>SUMPRODUCT(INDEX(PortfolioRef[[SPY]:[PE]],MATCH(ME$1,PortfolioRef[Reference '#]),0),AssetMonthlyReturns[[#This Row],[SPY]:[PE]])</f>
        <v>1.5050382452254812E-3</v>
      </c>
      <c r="MF16" s="27">
        <f>IF(ISNUMBER(MF15),MF15*(1+PortfolioFrontier[[#This Row],[P86 Return]]),1+PortfolioFrontier[[#This Row],[P86 Return]])</f>
        <v>1.0705527253568567</v>
      </c>
      <c r="MG16" s="27">
        <f>MAX(MG15,PortfolioFrontier[[#This Row],[P86 Growth]])</f>
        <v>1.0734706331401402</v>
      </c>
      <c r="MH16" s="27">
        <f>PortfolioFrontier[[#This Row],[P86 Growth]]/PortfolioFrontier[[#This Row],[P86 HWM]]-1</f>
        <v>-2.7181999145593494E-3</v>
      </c>
      <c r="MI16" s="28">
        <f>SUMPRODUCT(INDEX(PortfolioRef[[SPY]:[PE]],MATCH(MI$1,PortfolioRef[Reference '#]),0),AssetMonthlyReturns[[#This Row],[SPY]:[PE]])</f>
        <v>1.1545524550941816E-3</v>
      </c>
      <c r="MJ16" s="27">
        <f>IF(ISNUMBER(MJ15),MJ15*(1+PortfolioFrontier[[#This Row],[P87 Return]]),1+PortfolioFrontier[[#This Row],[P87 Return]])</f>
        <v>1.0678223922608476</v>
      </c>
      <c r="MK16" s="27">
        <f>MAX(MK15,PortfolioFrontier[[#This Row],[P87 Growth]])</f>
        <v>1.0717506381712922</v>
      </c>
      <c r="ML16" s="27">
        <f>PortfolioFrontier[[#This Row],[P87 Growth]]/PortfolioFrontier[[#This Row],[P87 HWM]]-1</f>
        <v>-3.6652610882950132E-3</v>
      </c>
      <c r="MM16" s="28">
        <f>SUMPRODUCT(INDEX(PortfolioRef[[SPY]:[PE]],MATCH(MM$1,PortfolioRef[Reference '#]),0),AssetMonthlyReturns[[#This Row],[SPY]:[PE]])</f>
        <v>1.7572620497705578E-3</v>
      </c>
      <c r="MN16" s="27">
        <f>IF(ISNUMBER(MN15),MN15*(1+PortfolioFrontier[[#This Row],[P88 Return]]),1+PortfolioFrontier[[#This Row],[P88 Return]])</f>
        <v>1.0678467027150051</v>
      </c>
      <c r="MO16" s="27">
        <f>MAX(MO15,PortfolioFrontier[[#This Row],[P88 Growth]])</f>
        <v>1.0692295641878635</v>
      </c>
      <c r="MP16" s="27">
        <f>PortfolioFrontier[[#This Row],[P88 Growth]]/PortfolioFrontier[[#This Row],[P88 HWM]]-1</f>
        <v>-1.2933251372531096E-3</v>
      </c>
      <c r="MQ16" s="28">
        <f>SUMPRODUCT(INDEX(PortfolioRef[[SPY]:[PE]],MATCH(MQ$1,PortfolioRef[Reference '#]),0),AssetMonthlyReturns[[#This Row],[SPY]:[PE]])</f>
        <v>1.4067762596392582E-3</v>
      </c>
      <c r="MR16" s="27">
        <f>IF(ISNUMBER(MR15),MR15*(1+PortfolioFrontier[[#This Row],[P89 Return]]),1+PortfolioFrontier[[#This Row],[P89 Return]])</f>
        <v>1.0651857731897107</v>
      </c>
      <c r="MS16" s="27">
        <f>MAX(MS15,PortfolioFrontier[[#This Row],[P89 Growth]])</f>
        <v>1.0661012940527044</v>
      </c>
      <c r="MT16" s="27">
        <f>PortfolioFrontier[[#This Row],[P89 Growth]]/PortfolioFrontier[[#This Row],[P89 HWM]]-1</f>
        <v>-8.5875598135087827E-4</v>
      </c>
      <c r="MU16" s="28">
        <f>SUMPRODUCT(INDEX(PortfolioRef[[SPY]:[PE]],MATCH(MU$1,PortfolioRef[Reference '#]),0),AssetMonthlyReturns[[#This Row],[SPY]:[PE]])</f>
        <v>1.0562904695079582E-3</v>
      </c>
      <c r="MV16" s="27">
        <f>IF(ISNUMBER(MV15),MV15*(1+PortfolioFrontier[[#This Row],[P90 Return]]),1+PortfolioFrontier[[#This Row],[P90 Return]])</f>
        <v>1.0624825704751184</v>
      </c>
      <c r="MW16" s="27">
        <f>MAX(MW15,PortfolioFrontier[[#This Row],[P90 Growth]])</f>
        <v>1.0644061734520076</v>
      </c>
      <c r="MX16" s="27">
        <f>PortfolioFrontier[[#This Row],[P90 Growth]]/PortfolioFrontier[[#This Row],[P90 HWM]]-1</f>
        <v>-1.8072076476696175E-3</v>
      </c>
      <c r="MY16" s="28">
        <f>SUMPRODUCT(INDEX(PortfolioRef[[SPY]:[PE]],MATCH(MY$1,PortfolioRef[Reference '#]),0),AssetMonthlyReturns[[#This Row],[SPY]:[PE]])</f>
        <v>1.4570157167486828E-3</v>
      </c>
      <c r="MZ16" s="27">
        <f>IF(ISNUMBER(MZ15),MZ15*(1+PortfolioFrontier[[#This Row],[P91 Return]]),1+PortfolioFrontier[[#This Row],[P91 Return]])</f>
        <v>1.0714664335657127</v>
      </c>
      <c r="NA16" s="27">
        <f>MAX(NA15,PortfolioFrontier[[#This Row],[P91 Growth]])</f>
        <v>1.0738341548377508</v>
      </c>
      <c r="NB16" s="27">
        <f>PortfolioFrontier[[#This Row],[P91 Growth]]/PortfolioFrontier[[#This Row],[P91 HWM]]-1</f>
        <v>-2.2049226702012259E-3</v>
      </c>
      <c r="NC16" s="28">
        <f>SUMPRODUCT(INDEX(PortfolioRef[[SPY]:[PE]],MATCH(NC$1,PortfolioRef[Reference '#]),0),AssetMonthlyReturns[[#This Row],[SPY]:[PE]])</f>
        <v>1.1065299266173833E-3</v>
      </c>
      <c r="ND16" s="27">
        <f>IF(ISNUMBER(ND15),ND15*(1+PortfolioFrontier[[#This Row],[P92 Return]]),1+PortfolioFrontier[[#This Row],[P92 Return]])</f>
        <v>1.0688055176387552</v>
      </c>
      <c r="NE16" s="27">
        <f>MAX(NE15,PortfolioFrontier[[#This Row],[P92 Growth]])</f>
        <v>1.0719107301372102</v>
      </c>
      <c r="NF16" s="27">
        <f>PortfolioFrontier[[#This Row],[P92 Growth]]/PortfolioFrontier[[#This Row],[P92 HWM]]-1</f>
        <v>-2.8968946864236234E-3</v>
      </c>
      <c r="NG16" s="28">
        <f>SUMPRODUCT(INDEX(PortfolioRef[[SPY]:[PE]],MATCH(NG$1,PortfolioRef[Reference '#]),0),AssetMonthlyReturns[[#This Row],[SPY]:[PE]])</f>
        <v>7.5604413648608327E-4</v>
      </c>
      <c r="NH16" s="27">
        <f>IF(ISNUMBER(NH15),NH15*(1+PortfolioFrontier[[#This Row],[P93 Return]]),1+PortfolioFrontier[[#This Row],[P93 Return]])</f>
        <v>1.0661021061317475</v>
      </c>
      <c r="NI16" s="27">
        <f>MAX(NI15,PortfolioFrontier[[#This Row],[P93 Growth]])</f>
        <v>1.0702155834061484</v>
      </c>
      <c r="NJ16" s="27">
        <f>PortfolioFrontier[[#This Row],[P93 Growth]]/PortfolioFrontier[[#This Row],[P93 HWM]]-1</f>
        <v>-3.8435968772843054E-3</v>
      </c>
      <c r="NK16" s="28">
        <f>SUMPRODUCT(INDEX(PortfolioRef[[SPY]:[PE]],MATCH(NK$1,PortfolioRef[Reference '#]),0),AssetMonthlyReturns[[#This Row],[SPY]:[PE]])</f>
        <v>1.156769383726807E-3</v>
      </c>
      <c r="NL16" s="27">
        <f>IF(ISNUMBER(NL15),NL15*(1+PortfolioFrontier[[#This Row],[P94 Return]]),1+PortfolioFrontier[[#This Row],[P94 Return]])</f>
        <v>1.0750473767187869</v>
      </c>
      <c r="NM16" s="27">
        <f>MAX(NM15,PortfolioFrontier[[#This Row],[P94 Growth]])</f>
        <v>1.0793516291026466</v>
      </c>
      <c r="NN16" s="27">
        <f>PortfolioFrontier[[#This Row],[P94 Growth]]/PortfolioFrontier[[#This Row],[P94 HWM]]-1</f>
        <v>-3.9878129312114208E-3</v>
      </c>
      <c r="NO16" s="28">
        <f>SUMPRODUCT(INDEX(PortfolioRef[[SPY]:[PE]],MATCH(NO$1,PortfolioRef[Reference '#]),0),AssetMonthlyReturns[[#This Row],[SPY]:[PE]])</f>
        <v>8.0628359359550747E-4</v>
      </c>
      <c r="NP16" s="27">
        <f>IF(ISNUMBER(NP15),NP15*(1+PortfolioFrontier[[#This Row],[P95 Return]]),1+PortfolioFrontier[[#This Row],[P95 Return]])</f>
        <v>1.072386588734942</v>
      </c>
      <c r="NQ16" s="27">
        <f>MAX(NQ15,PortfolioFrontier[[#This Row],[P95 Growth]])</f>
        <v>1.0777028679259777</v>
      </c>
      <c r="NR16" s="27">
        <f>PortfolioFrontier[[#This Row],[P95 Growth]]/PortfolioFrontier[[#This Row],[P95 HWM]]-1</f>
        <v>-4.9329730385396786E-3</v>
      </c>
      <c r="NS16" s="28">
        <f>SUMPRODUCT(INDEX(PortfolioRef[[SPY]:[PE]],MATCH(NS$1,PortfolioRef[Reference '#]),0),AssetMonthlyReturns[[#This Row],[SPY]:[PE]])</f>
        <v>4.5579780346420747E-4</v>
      </c>
      <c r="NT16" s="27">
        <f>IF(ISNUMBER(NT15),NT15*(1+PortfolioFrontier[[#This Row],[P96 Return]]),1+PortfolioFrontier[[#This Row],[P96 Return]])</f>
        <v>1.0696830836845075</v>
      </c>
      <c r="NU16" s="27">
        <f>MAX(NU15,PortfolioFrontier[[#This Row],[P96 Growth]])</f>
        <v>1.0760077785213464</v>
      </c>
      <c r="NV16" s="27">
        <f>PortfolioFrontier[[#This Row],[P96 Growth]]/PortfolioFrontier[[#This Row],[P96 HWM]]-1</f>
        <v>-5.8779266870453428E-3</v>
      </c>
      <c r="NW16" s="28">
        <f>SUMPRODUCT(INDEX(PortfolioRef[[SPY]:[PE]],MATCH(NW$1,PortfolioRef[Reference '#]),0),AssetMonthlyReturns[[#This Row],[SPY]:[PE]])</f>
        <v>4.2813154877124338E-3</v>
      </c>
      <c r="NX16" s="27">
        <f>IF(ISNUMBER(NX15),NX15*(1+PortfolioFrontier[[#This Row],[P97 Return]]),1+PortfolioFrontier[[#This Row],[P97 Return]])</f>
        <v>1.0570459584459355</v>
      </c>
      <c r="NY16" s="27">
        <f>MAX(NY15,PortfolioFrontier[[#This Row],[P97 Growth]])</f>
        <v>1.0570459584459355</v>
      </c>
      <c r="NZ16" s="27">
        <f>PortfolioFrontier[[#This Row],[P97 Growth]]/PortfolioFrontier[[#This Row],[P97 HWM]]-1</f>
        <v>0</v>
      </c>
      <c r="OA16" s="28">
        <f>SUMPRODUCT(INDEX(PortfolioRef[[SPY]:[PE]],MATCH(OA$1,PortfolioRef[Reference '#]),0),AssetMonthlyReturns[[#This Row],[SPY]:[PE]])</f>
        <v>3.8828071691043354E-3</v>
      </c>
      <c r="OB16" s="27">
        <f>IF(ISNUMBER(OB15),OB15*(1+PortfolioFrontier[[#This Row],[P98 Return]]),1+PortfolioFrontier[[#This Row],[P98 Return]])</f>
        <v>1.0553342058415267</v>
      </c>
      <c r="OC16" s="27">
        <f>MAX(OC15,PortfolioFrontier[[#This Row],[P98 Growth]])</f>
        <v>1.0553342058415267</v>
      </c>
      <c r="OD16" s="27">
        <f>PortfolioFrontier[[#This Row],[P98 Growth]]/PortfolioFrontier[[#This Row],[P98 HWM]]-1</f>
        <v>0</v>
      </c>
      <c r="OE16" s="28">
        <f>SUMPRODUCT(INDEX(PortfolioRef[[SPY]:[PE]],MATCH(OE$1,PortfolioRef[Reference '#]),0),AssetMonthlyReturns[[#This Row],[SPY]:[PE]])</f>
        <v>3.5825608360824592E-3</v>
      </c>
      <c r="OF16" s="27">
        <f>IF(ISNUMBER(OF15),OF15*(1+PortfolioFrontier[[#This Row],[P99 Return]]),1+PortfolioFrontier[[#This Row],[P99 Return]])</f>
        <v>1.0589503865978116</v>
      </c>
      <c r="OG16" s="27">
        <f>MAX(OG15,PortfolioFrontier[[#This Row],[P99 Growth]])</f>
        <v>1.0589503865978116</v>
      </c>
      <c r="OH16" s="27">
        <f>PortfolioFrontier[[#This Row],[P99 Growth]]/PortfolioFrontier[[#This Row],[P99 HWM]]-1</f>
        <v>0</v>
      </c>
      <c r="OI16" s="28">
        <f>SUMPRODUCT(INDEX(PortfolioRef[[SPY]:[PE]],MATCH(OI$1,PortfolioRef[Reference '#]),0),AssetMonthlyReturns[[#This Row],[SPY]:[PE]])</f>
        <v>3.23207504595116E-3</v>
      </c>
      <c r="OJ16" s="27">
        <f>IF(ISNUMBER(OJ15),OJ15*(1+PortfolioFrontier[[#This Row],[P100 Return]]),1+PortfolioFrontier[[#This Row],[P100 Return]])</f>
        <v>1.0561996889734382</v>
      </c>
      <c r="OK16" s="27">
        <f>MAX(OK15,PortfolioFrontier[[#This Row],[P100 Growth]])</f>
        <v>1.0561996889734382</v>
      </c>
      <c r="OL16" s="27">
        <f>PortfolioFrontier[[#This Row],[P100 Growth]]/PortfolioFrontier[[#This Row],[P100 HWM]]-1</f>
        <v>0</v>
      </c>
      <c r="OM16" s="28">
        <f>SUMPRODUCT(INDEX(PortfolioRef[[SPY]:[PE]],MATCH(OM$1,PortfolioRef[Reference '#]),0),AssetMonthlyReturns[[#This Row],[SPY]:[PE]])</f>
        <v>3.4842988504962375E-3</v>
      </c>
      <c r="ON16" s="27">
        <f>IF(ISNUMBER(ON15),ON15*(1+PortfolioFrontier[[#This Row],[P101 Return]]),1+PortfolioFrontier[[#This Row],[P101 Return]])</f>
        <v>1.0535802533102907</v>
      </c>
      <c r="OO16" s="27">
        <f>MAX(OO15,PortfolioFrontier[[#This Row],[P101 Growth]])</f>
        <v>1.0535802533102907</v>
      </c>
      <c r="OP16" s="27">
        <f>PortfolioFrontier[[#This Row],[P101 Growth]]/PortfolioFrontier[[#This Row],[P101 HWM]]-1</f>
        <v>0</v>
      </c>
      <c r="OQ16" s="28">
        <f>SUMPRODUCT(INDEX(PortfolioRef[[SPY]:[PE]],MATCH(OQ$1,PortfolioRef[Reference '#]),0),AssetMonthlyReturns[[#This Row],[SPY]:[PE]])</f>
        <v>3.1840525174743621E-3</v>
      </c>
      <c r="OR16" s="27">
        <f>IF(ISNUMBER(OR15),OR15*(1+PortfolioFrontier[[#This Row],[P102 Return]]),1+PortfolioFrontier[[#This Row],[P102 Return]])</f>
        <v>1.0572238244601639</v>
      </c>
      <c r="OS16" s="27">
        <f>MAX(OS15,PortfolioFrontier[[#This Row],[P102 Growth]])</f>
        <v>1.0572238244601639</v>
      </c>
      <c r="OT16" s="27">
        <f>PortfolioFrontier[[#This Row],[P102 Growth]]/PortfolioFrontier[[#This Row],[P102 HWM]]-1</f>
        <v>0</v>
      </c>
      <c r="OU16" s="28">
        <f>SUMPRODUCT(INDEX(PortfolioRef[[SPY]:[PE]],MATCH(OU$1,PortfolioRef[Reference '#]),0),AssetMonthlyReturns[[#This Row],[SPY]:[PE]])</f>
        <v>2.833566727343063E-3</v>
      </c>
      <c r="OV16" s="27">
        <f>IF(ISNUMBER(OV15),OV15*(1+PortfolioFrontier[[#This Row],[P103 Return]]),1+PortfolioFrontier[[#This Row],[P103 Return]])</f>
        <v>1.0544998612415419</v>
      </c>
      <c r="OW16" s="27">
        <f>MAX(OW15,PortfolioFrontier[[#This Row],[P103 Growth]])</f>
        <v>1.0544998612415419</v>
      </c>
      <c r="OX16" s="27">
        <f>PortfolioFrontier[[#This Row],[P103 Growth]]/PortfolioFrontier[[#This Row],[P103 HWM]]-1</f>
        <v>0</v>
      </c>
      <c r="OY16" s="28">
        <f>SUMPRODUCT(INDEX(PortfolioRef[[SPY]:[PE]],MATCH(OY$1,PortfolioRef[Reference '#]),0),AssetMonthlyReturns[[#This Row],[SPY]:[PE]])</f>
        <v>2.8838061844524867E-3</v>
      </c>
      <c r="OZ16" s="27">
        <f>IF(ISNUMBER(OZ15),OZ15*(1+PortfolioFrontier[[#This Row],[P104 Return]]),1+PortfolioFrontier[[#This Row],[P104 Return]])</f>
        <v>1.0608292743232772</v>
      </c>
      <c r="PA16" s="27">
        <f>MAX(PA15,PortfolioFrontier[[#This Row],[P104 Growth]])</f>
        <v>1.0608292743232772</v>
      </c>
      <c r="PB16" s="27">
        <f>PortfolioFrontier[[#This Row],[P104 Growth]]/PortfolioFrontier[[#This Row],[P104 HWM]]-1</f>
        <v>0</v>
      </c>
      <c r="PC16" s="28">
        <f>SUMPRODUCT(INDEX(PortfolioRef[[SPY]:[PE]],MATCH(PC$1,PortfolioRef[Reference '#]),0),AssetMonthlyReturns[[#This Row],[SPY]:[PE]])</f>
        <v>2.5333203943211867E-3</v>
      </c>
      <c r="PD16" s="27">
        <f>IF(ISNUMBER(PD15),PD15*(1+PortfolioFrontier[[#This Row],[P105 Return]]),1+PortfolioFrontier[[#This Row],[P105 Return]])</f>
        <v>1.0581048726474542</v>
      </c>
      <c r="PE16" s="27">
        <f>MAX(PE15,PortfolioFrontier[[#This Row],[P105 Growth]])</f>
        <v>1.0581048726474542</v>
      </c>
      <c r="PF16" s="27">
        <f>PortfolioFrontier[[#This Row],[P105 Growth]]/PortfolioFrontier[[#This Row],[P105 HWM]]-1</f>
        <v>0</v>
      </c>
      <c r="PG16" s="28">
        <f>SUMPRODUCT(INDEX(PortfolioRef[[SPY]:[PE]],MATCH(PG$1,PortfolioRef[Reference '#]),0),AssetMonthlyReturns[[#This Row],[SPY]:[PE]])</f>
        <v>2.1828346041898872E-3</v>
      </c>
      <c r="PH16" s="27">
        <f>IF(ISNUMBER(PH15),PH15*(1+PortfolioFrontier[[#This Row],[P106 Return]]),1+PortfolioFrontier[[#This Row],[P106 Return]])</f>
        <v>1.0553388304191427</v>
      </c>
      <c r="PI16" s="27">
        <f>MAX(PI15,PortfolioFrontier[[#This Row],[P106 Growth]])</f>
        <v>1.0553388304191427</v>
      </c>
      <c r="PJ16" s="27">
        <f>PortfolioFrontier[[#This Row],[P106 Growth]]/PortfolioFrontier[[#This Row],[P106 HWM]]-1</f>
        <v>0</v>
      </c>
      <c r="PK16" s="28">
        <f>SUMPRODUCT(INDEX(PortfolioRef[[SPY]:[PE]],MATCH(PK$1,PortfolioRef[Reference '#]),0),AssetMonthlyReturns[[#This Row],[SPY]:[PE]])</f>
        <v>2.7855441988662625E-3</v>
      </c>
      <c r="PL16" s="27">
        <f>IF(ISNUMBER(PL15),PL15*(1+PortfolioFrontier[[#This Row],[P107 Return]]),1+PortfolioFrontier[[#This Row],[P107 Return]])</f>
        <v>1.0554551080799537</v>
      </c>
      <c r="PM16" s="27">
        <f>MAX(PM15,PortfolioFrontier[[#This Row],[P107 Growth]])</f>
        <v>1.0562201870951351</v>
      </c>
      <c r="PN16" s="27">
        <f>PortfolioFrontier[[#This Row],[P107 Growth]]/PortfolioFrontier[[#This Row],[P107 HWM]]-1</f>
        <v>-7.2435560740946592E-4</v>
      </c>
      <c r="PO16" s="28">
        <f>SUMPRODUCT(INDEX(PortfolioRef[[SPY]:[PE]],MATCH(PO$1,PortfolioRef[Reference '#]),0),AssetMonthlyReturns[[#This Row],[SPY]:[PE]])</f>
        <v>2.4350584087349633E-3</v>
      </c>
      <c r="PP16" s="27">
        <f>IF(ISNUMBER(PP15),PP15*(1+PortfolioFrontier[[#This Row],[P108 Return]]),1+PortfolioFrontier[[#This Row],[P108 Return]])</f>
        <v>1.0527578375665436</v>
      </c>
      <c r="PQ16" s="27">
        <f>MAX(PQ15,PortfolioFrontier[[#This Row],[P108 Growth]])</f>
        <v>1.0527578375665436</v>
      </c>
      <c r="PR16" s="27">
        <f>PortfolioFrontier[[#This Row],[P108 Growth]]/PortfolioFrontier[[#This Row],[P108 HWM]]-1</f>
        <v>0</v>
      </c>
      <c r="PS16" s="28">
        <f>SUMPRODUCT(INDEX(PortfolioRef[[SPY]:[PE]],MATCH(PS$1,PortfolioRef[Reference '#]),0),AssetMonthlyReturns[[#This Row],[SPY]:[PE]])</f>
        <v>2.485297865844388E-3</v>
      </c>
      <c r="PT16" s="27">
        <f>IF(ISNUMBER(PT15),PT15*(1+PortfolioFrontier[[#This Row],[P109 Return]]),1+PortfolioFrontier[[#This Row],[P109 Return]])</f>
        <v>1.0590879124242285</v>
      </c>
      <c r="PU16" s="27">
        <f>MAX(PU15,PortfolioFrontier[[#This Row],[P109 Growth]])</f>
        <v>1.0607882528163963</v>
      </c>
      <c r="PV16" s="27">
        <f>PortfolioFrontier[[#This Row],[P109 Growth]]/PortfolioFrontier[[#This Row],[P109 HWM]]-1</f>
        <v>-1.6029027354454994E-3</v>
      </c>
      <c r="PW16" s="28">
        <f>SUMPRODUCT(INDEX(PortfolioRef[[SPY]:[PE]],MATCH(PW$1,PortfolioRef[Reference '#]),0),AssetMonthlyReturns[[#This Row],[SPY]:[PE]])</f>
        <v>2.134812075713088E-3</v>
      </c>
      <c r="PX16" s="27">
        <f>IF(ISNUMBER(PX15),PX15*(1+PortfolioFrontier[[#This Row],[P110 Return]]),1+PortfolioFrontier[[#This Row],[P110 Return]])</f>
        <v>1.0563902567195227</v>
      </c>
      <c r="PY16" s="27">
        <f>MAX(PY15,PortfolioFrontier[[#This Row],[P110 Growth]])</f>
        <v>1.0563902567195227</v>
      </c>
      <c r="PZ16" s="27">
        <f>PortfolioFrontier[[#This Row],[P110 Growth]]/PortfolioFrontier[[#This Row],[P110 HWM]]-1</f>
        <v>0</v>
      </c>
      <c r="QA16" s="28">
        <f>SUMPRODUCT(INDEX(PortfolioRef[[SPY]:[PE]],MATCH(QA$1,PortfolioRef[Reference '#]),0),AssetMonthlyReturns[[#This Row],[SPY]:[PE]])</f>
        <v>1.7843262855817884E-3</v>
      </c>
      <c r="QB16" s="27">
        <f>IF(ISNUMBER(QB15),QB15*(1+PortfolioFrontier[[#This Row],[P111 Return]]),1+PortfolioFrontier[[#This Row],[P111 Return]])</f>
        <v>1.0536509353399213</v>
      </c>
      <c r="QC16" s="27">
        <f>MAX(QC15,PortfolioFrontier[[#This Row],[P111 Growth]])</f>
        <v>1.0536509353399213</v>
      </c>
      <c r="QD16" s="27">
        <f>PortfolioFrontier[[#This Row],[P111 Growth]]/PortfolioFrontier[[#This Row],[P111 HWM]]-1</f>
        <v>0</v>
      </c>
      <c r="QE16" s="28">
        <f>SUMPRODUCT(INDEX(PortfolioRef[[SPY]:[PE]],MATCH(QE$1,PortfolioRef[Reference '#]),0),AssetMonthlyReturns[[#This Row],[SPY]:[PE]])</f>
        <v>2.1850515328225117E-3</v>
      </c>
      <c r="QF16" s="27">
        <f>IF(ISNUMBER(QF15),QF15*(1+PortfolioFrontier[[#This Row],[P112 Return]]),1+PortfolioFrontier[[#This Row],[P112 Return]])</f>
        <v>1.0626824829549153</v>
      </c>
      <c r="QG16" s="27">
        <f>MAX(QG15,PortfolioFrontier[[#This Row],[P112 Growth]])</f>
        <v>1.0653524862884685</v>
      </c>
      <c r="QH16" s="27">
        <f>PortfolioFrontier[[#This Row],[P112 Growth]]/PortfolioFrontier[[#This Row],[P112 HWM]]-1</f>
        <v>-2.5062158937226853E-3</v>
      </c>
      <c r="QI16" s="28">
        <f>SUMPRODUCT(INDEX(PortfolioRef[[SPY]:[PE]],MATCH(QI$1,PortfolioRef[Reference '#]),0),AssetMonthlyReturns[[#This Row],[SPY]:[PE]])</f>
        <v>1.8345657426912126E-3</v>
      </c>
      <c r="QJ16" s="27">
        <f>IF(ISNUMBER(QJ15),QJ15*(1+PortfolioFrontier[[#This Row],[P113 Return]]),1+PortfolioFrontier[[#This Row],[P113 Return]])</f>
        <v>1.0599845572766224</v>
      </c>
      <c r="QK16" s="27">
        <f>MAX(QK15,PortfolioFrontier[[#This Row],[P113 Growth]])</f>
        <v>1.0610487883257618</v>
      </c>
      <c r="QL16" s="27">
        <f>PortfolioFrontier[[#This Row],[P113 Growth]]/PortfolioFrontier[[#This Row],[P113 HWM]]-1</f>
        <v>-1.0029991653999204E-3</v>
      </c>
      <c r="QM16" s="28">
        <f>SUMPRODUCT(INDEX(PortfolioRef[[SPY]:[PE]],MATCH(QM$1,PortfolioRef[Reference '#]),0),AssetMonthlyReturns[[#This Row],[SPY]:[PE]])</f>
        <v>1.4840799525599122E-3</v>
      </c>
      <c r="QN16" s="27">
        <f>IF(ISNUMBER(QN15),QN15*(1+PortfolioFrontier[[#This Row],[P114 Return]]),1+PortfolioFrontier[[#This Row],[P114 Return]])</f>
        <v>1.0572447455483713</v>
      </c>
      <c r="QO16" s="27">
        <f>MAX(QO15,PortfolioFrontier[[#This Row],[P114 Growth]])</f>
        <v>1.0593125594345603</v>
      </c>
      <c r="QP16" s="27">
        <f>PortfolioFrontier[[#This Row],[P114 Growth]]/PortfolioFrontier[[#This Row],[P114 HWM]]-1</f>
        <v>-1.952033767344985E-3</v>
      </c>
      <c r="QQ16" s="28">
        <f>SUMPRODUCT(INDEX(PortfolioRef[[SPY]:[PE]],MATCH(QQ$1,PortfolioRef[Reference '#]),0),AssetMonthlyReturns[[#This Row],[SPY]:[PE]])</f>
        <v>2.0867895472362896E-3</v>
      </c>
      <c r="QR16" s="27">
        <f>IF(ISNUMBER(QR15),QR15*(1+PortfolioFrontier[[#This Row],[P115 Return]]),1+PortfolioFrontier[[#This Row],[P115 Return]])</f>
        <v>1.0573044431155478</v>
      </c>
      <c r="QS16" s="27">
        <f>MAX(QS15,PortfolioFrontier[[#This Row],[P115 Growth]])</f>
        <v>1.0618686348654582</v>
      </c>
      <c r="QT16" s="27">
        <f>PortfolioFrontier[[#This Row],[P115 Growth]]/PortfolioFrontier[[#This Row],[P115 HWM]]-1</f>
        <v>-4.2982640225442958E-3</v>
      </c>
      <c r="QU16" s="28">
        <f>SUMPRODUCT(INDEX(PortfolioRef[[SPY]:[PE]],MATCH(QU$1,PortfolioRef[Reference '#]),0),AssetMonthlyReturns[[#This Row],[SPY]:[PE]])</f>
        <v>1.7363037571049901E-3</v>
      </c>
      <c r="QV16" s="27">
        <f>IF(ISNUMBER(QV15),QV15*(1+PortfolioFrontier[[#This Row],[P116 Return]]),1+PortfolioFrontier[[#This Row],[P116 Return]])</f>
        <v>1.0546334903022281</v>
      </c>
      <c r="QW16" s="27">
        <f>MAX(QW15,PortfolioFrontier[[#This Row],[P116 Growth]])</f>
        <v>1.0570041848172638</v>
      </c>
      <c r="QX16" s="27">
        <f>PortfolioFrontier[[#This Row],[P116 Growth]]/PortfolioFrontier[[#This Row],[P116 HWM]]-1</f>
        <v>-2.2428430739330762E-3</v>
      </c>
      <c r="QY16" s="28">
        <f>SUMPRODUCT(INDEX(PortfolioRef[[SPY]:[PE]],MATCH(QY$1,PortfolioRef[Reference '#]),0),AssetMonthlyReturns[[#This Row],[SPY]:[PE]])</f>
        <v>1.3858179669736905E-3</v>
      </c>
      <c r="QZ16" s="27">
        <f>IF(ISNUMBER(QZ15),QZ15*(1+PortfolioFrontier[[#This Row],[P117 Return]]),1+PortfolioFrontier[[#This Row],[P117 Return]])</f>
        <v>1.051920848929875</v>
      </c>
      <c r="RA16" s="27">
        <f>MAX(RA15,PortfolioFrontier[[#This Row],[P117 Growth]])</f>
        <v>1.0521518697486996</v>
      </c>
      <c r="RB16" s="27">
        <f>PortfolioFrontier[[#This Row],[P117 Growth]]/PortfolioFrontier[[#This Row],[P117 HWM]]-1</f>
        <v>-2.1956984107218691E-4</v>
      </c>
      <c r="RC16" s="28">
        <f>SUMPRODUCT(INDEX(PortfolioRef[[SPY]:[PE]],MATCH(RC$1,PortfolioRef[Reference '#]),0),AssetMonthlyReturns[[#This Row],[SPY]:[PE]])</f>
        <v>1.7865432142144147E-3</v>
      </c>
      <c r="RD16" s="27">
        <f>IF(ISNUMBER(RD15),RD15*(1+PortfolioFrontier[[#This Row],[P118 Return]]),1+PortfolioFrontier[[#This Row],[P118 Return]])</f>
        <v>1.0609263318589459</v>
      </c>
      <c r="RE16" s="27">
        <f>MAX(RE15,PortfolioFrontier[[#This Row],[P118 Growth]])</f>
        <v>1.0664554246268612</v>
      </c>
      <c r="RF16" s="27">
        <f>PortfolioFrontier[[#This Row],[P118 Growth]]/PortfolioFrontier[[#This Row],[P118 HWM]]-1</f>
        <v>-5.1845512153964046E-3</v>
      </c>
      <c r="RG16" s="28">
        <f>SUMPRODUCT(INDEX(PortfolioRef[[SPY]:[PE]],MATCH(RG$1,PortfolioRef[Reference '#]),0),AssetMonthlyReturns[[#This Row],[SPY]:[PE]])</f>
        <v>1.4360574240831151E-3</v>
      </c>
      <c r="RH16" s="27">
        <f>IF(ISNUMBER(RH15),RH15*(1+PortfolioFrontier[[#This Row],[P119 Return]]),1+PortfolioFrontier[[#This Row],[P119 Return]])</f>
        <v>1.0582551627062264</v>
      </c>
      <c r="RI16" s="27">
        <f>MAX(RI15,PortfolioFrontier[[#This Row],[P119 Growth]])</f>
        <v>1.0615714914212842</v>
      </c>
      <c r="RJ16" s="27">
        <f>PortfolioFrontier[[#This Row],[P119 Growth]]/PortfolioFrontier[[#This Row],[P119 HWM]]-1</f>
        <v>-3.1239805720645331E-3</v>
      </c>
      <c r="RK16" s="28">
        <f>SUMPRODUCT(INDEX(PortfolioRef[[SPY]:[PE]],MATCH(RK$1,PortfolioRef[Reference '#]),0),AssetMonthlyReturns[[#This Row],[SPY]:[PE]])</f>
        <v>1.0855716339518151E-3</v>
      </c>
      <c r="RL16" s="27">
        <f>IF(ISNUMBER(RL15),RL15*(1+PortfolioFrontier[[#This Row],[P120 Return]]),1+PortfolioFrontier[[#This Row],[P120 Return]])</f>
        <v>1.0555420836954896</v>
      </c>
      <c r="RM16" s="27">
        <f>MAX(RM15,PortfolioFrontier[[#This Row],[P120 Growth]])</f>
        <v>1.0577953026712454</v>
      </c>
      <c r="RN16" s="27">
        <f>PortfolioFrontier[[#This Row],[P120 Growth]]/PortfolioFrontier[[#This Row],[P120 HWM]]-1</f>
        <v>-2.1301086987868256E-3</v>
      </c>
      <c r="RO16" s="28">
        <f>SUMPRODUCT(INDEX(PortfolioRef[[SPY]:[PE]],MATCH(RO$1,PortfolioRef[Reference '#]),0),AssetMonthlyReturns[[#This Row],[SPY]:[PE]])</f>
        <v>1.4862968811925389E-3</v>
      </c>
      <c r="RP16" s="27">
        <f>IF(ISNUMBER(RP15),RP15*(1+PortfolioFrontier[[#This Row],[P121 Return]]),1+PortfolioFrontier[[#This Row],[P121 Return]])</f>
        <v>1.064509875144583</v>
      </c>
      <c r="RQ16" s="27">
        <f>MAX(RQ15,PortfolioFrontier[[#This Row],[P121 Growth]])</f>
        <v>1.0710383749555177</v>
      </c>
      <c r="RR16" s="27">
        <f>PortfolioFrontier[[#This Row],[P121 Growth]]/PortfolioFrontier[[#This Row],[P121 HWM]]-1</f>
        <v>-6.0954863650014568E-3</v>
      </c>
      <c r="RS16" s="28">
        <f>SUMPRODUCT(INDEX(PortfolioRef[[SPY]:[PE]],MATCH(RS$1,PortfolioRef[Reference '#]),0),AssetMonthlyReturns[[#This Row],[SPY]:[PE]])</f>
        <v>1.1358110910612393E-3</v>
      </c>
      <c r="RT16" s="27">
        <f>IF(ISNUMBER(RT15),RT15*(1+PortfolioFrontier[[#This Row],[P122 Return]]),1+PortfolioFrontier[[#This Row],[P122 Return]])</f>
        <v>1.0618386042622479</v>
      </c>
      <c r="RU16" s="27">
        <f>MAX(RU15,PortfolioFrontier[[#This Row],[P122 Growth]])</f>
        <v>1.0661349333347574</v>
      </c>
      <c r="RV16" s="27">
        <f>PortfolioFrontier[[#This Row],[P122 Growth]]/PortfolioFrontier[[#This Row],[P122 HWM]]-1</f>
        <v>-4.0298173694309769E-3</v>
      </c>
      <c r="RW16" s="28">
        <f>SUMPRODUCT(INDEX(PortfolioRef[[SPY]:[PE]],MATCH(RW$1,PortfolioRef[Reference '#]),0),AssetMonthlyReturns[[#This Row],[SPY]:[PE]])</f>
        <v>7.853253009299393E-4</v>
      </c>
      <c r="RX16" s="27">
        <f>IF(ISNUMBER(RX15),RX15*(1+PortfolioFrontier[[#This Row],[P123 Return]]),1+PortfolioFrontier[[#This Row],[P123 Return]])</f>
        <v>1.0591252031056739</v>
      </c>
      <c r="RY16" s="27">
        <f>MAX(RY15,PortfolioFrontier[[#This Row],[P123 Growth]])</f>
        <v>1.0635556010104399</v>
      </c>
      <c r="RZ16" s="27">
        <f>PortfolioFrontier[[#This Row],[P123 Growth]]/PortfolioFrontier[[#This Row],[P123 HWM]]-1</f>
        <v>-4.1656476638897155E-3</v>
      </c>
      <c r="SA16" s="28">
        <f>SUMPRODUCT(INDEX(PortfolioRef[[SPY]:[PE]],MATCH(SA$1,PortfolioRef[Reference '#]),0),AssetMonthlyReturns[[#This Row],[SPY]:[PE]])</f>
        <v>1.3880348956063159E-3</v>
      </c>
      <c r="SB16" s="27">
        <f>IF(ISNUMBER(SB15),SB15*(1+PortfolioFrontier[[#This Row],[P124 Return]]),1+PortfolioFrontier[[#This Row],[P124 Return]])</f>
        <v>1.0591281213328914</v>
      </c>
      <c r="SC16" s="27">
        <f>MAX(SC15,PortfolioFrontier[[#This Row],[P124 Growth]])</f>
        <v>1.0675364357312243</v>
      </c>
      <c r="SD16" s="27">
        <f>PortfolioFrontier[[#This Row],[P124 Growth]]/PortfolioFrontier[[#This Row],[P124 HWM]]-1</f>
        <v>-7.8763722875402342E-3</v>
      </c>
      <c r="SE16" s="28">
        <f>SUMPRODUCT(INDEX(PortfolioRef[[SPY]:[PE]],MATCH(SE$1,PortfolioRef[Reference '#]),0),AssetMonthlyReturns[[#This Row],[SPY]:[PE]])</f>
        <v>1.0375491054750163E-3</v>
      </c>
      <c r="SF16" s="27">
        <f>IF(ISNUMBER(SF15),SF15*(1+PortfolioFrontier[[#This Row],[P125 Return]]),1+PortfolioFrontier[[#This Row],[P125 Return]])</f>
        <v>1.0564836642475002</v>
      </c>
      <c r="SG16" s="27">
        <f>MAX(SG15,PortfolioFrontier[[#This Row],[P125 Growth]])</f>
        <v>1.0626548391355537</v>
      </c>
      <c r="SH16" s="27">
        <f>PortfolioFrontier[[#This Row],[P125 Growth]]/PortfolioFrontier[[#This Row],[P125 HWM]]-1</f>
        <v>-5.8073182945025392E-3</v>
      </c>
      <c r="SI16" s="28">
        <f>SUMPRODUCT(INDEX(PortfolioRef[[SPY]:[PE]],MATCH(SI$1,PortfolioRef[Reference '#]),0),AssetMonthlyReturns[[#This Row],[SPY]:[PE]])</f>
        <v>6.8706331534371633E-4</v>
      </c>
      <c r="SJ16" s="27">
        <f>IF(ISNUMBER(SJ15),SJ15*(1+PortfolioFrontier[[#This Row],[P126 Return]]),1+PortfolioFrontier[[#This Row],[P126 Return]])</f>
        <v>1.0537972757351501</v>
      </c>
      <c r="SK16" s="27">
        <f>MAX(SK15,PortfolioFrontier[[#This Row],[P126 Growth]])</f>
        <v>1.0577853996594109</v>
      </c>
      <c r="SL16" s="27">
        <f>PortfolioFrontier[[#This Row],[P126 Growth]]/PortfolioFrontier[[#This Row],[P126 HWM]]-1</f>
        <v>-3.7702580556934207E-3</v>
      </c>
      <c r="SM16" s="28">
        <f>SUMPRODUCT(INDEX(PortfolioRef[[SPY]:[PE]],MATCH(SM$1,PortfolioRef[Reference '#]),0),AssetMonthlyReturns[[#This Row],[SPY]:[PE]])</f>
        <v>1.087788562584441E-3</v>
      </c>
      <c r="SN16" s="27">
        <f>IF(ISNUMBER(SN15),SN15*(1+PortfolioFrontier[[#This Row],[P127 Return]]),1+PortfolioFrontier[[#This Row],[P127 Return]])</f>
        <v>1.0627389462097203</v>
      </c>
      <c r="SO16" s="27">
        <f>MAX(SO15,PortfolioFrontier[[#This Row],[P127 Growth]])</f>
        <v>1.072141988535577</v>
      </c>
      <c r="SP16" s="27">
        <f>PortfolioFrontier[[#This Row],[P127 Growth]]/PortfolioFrontier[[#This Row],[P127 HWM]]-1</f>
        <v>-8.7703330588704276E-3</v>
      </c>
      <c r="SQ16" s="28">
        <f>SUMPRODUCT(INDEX(PortfolioRef[[SPY]:[PE]],MATCH(SQ$1,PortfolioRef[Reference '#]),0),AssetMonthlyReturns[[#This Row],[SPY]:[PE]])</f>
        <v>7.3730277245314139E-4</v>
      </c>
      <c r="SR16" s="27">
        <f>IF(ISNUMBER(SR15),SR15*(1+PortfolioFrontier[[#This Row],[P128 Return]]),1+PortfolioFrontier[[#This Row],[P128 Return]])</f>
        <v>1.0600944413943456</v>
      </c>
      <c r="SS16" s="27">
        <f>MAX(SS15,PortfolioFrontier[[#This Row],[P128 Growth]])</f>
        <v>1.0672408704018066</v>
      </c>
      <c r="ST16" s="27">
        <f>PortfolioFrontier[[#This Row],[P128 Growth]]/PortfolioFrontier[[#This Row],[P128 HWM]]-1</f>
        <v>-6.6961725376675219E-3</v>
      </c>
      <c r="SU16" s="28">
        <f>SUMPRODUCT(INDEX(PortfolioRef[[SPY]:[PE]],MATCH(SU$1,PortfolioRef[Reference '#]),0),AssetMonthlyReturns[[#This Row],[SPY]:[PE]])</f>
        <v>3.8681698232184139E-4</v>
      </c>
      <c r="SV16" s="27">
        <f>IF(ISNUMBER(SV15),SV15*(1+PortfolioFrontier[[#This Row],[P129 Return]]),1+PortfolioFrontier[[#This Row],[P129 Return]])</f>
        <v>1.0574077838150222</v>
      </c>
      <c r="SW16" s="27">
        <f>MAX(SW15,PortfolioFrontier[[#This Row],[P129 Growth]])</f>
        <v>1.0623519347147268</v>
      </c>
      <c r="SX16" s="27">
        <f>PortfolioFrontier[[#This Row],[P129 Growth]]/PortfolioFrontier[[#This Row],[P129 HWM]]-1</f>
        <v>-4.6539670500361785E-3</v>
      </c>
      <c r="SY16" s="28">
        <f>SUMPRODUCT(INDEX(PortfolioRef[[SPY]:[PE]],MATCH(SY$1,PortfolioRef[Reference '#]),0),AssetMonthlyReturns[[#This Row],[SPY]:[PE]])</f>
        <v>7.8754222956256515E-4</v>
      </c>
      <c r="SZ16" s="27">
        <f>IF(ISNUMBER(SZ15),SZ15*(1+PortfolioFrontier[[#This Row],[P130 Return]]),1+PortfolioFrontier[[#This Row],[P130 Return]])</f>
        <v>1.0663113148758716</v>
      </c>
      <c r="TA16" s="27">
        <f>MAX(TA15,PortfolioFrontier[[#This Row],[P130 Growth]])</f>
        <v>1.0767436947236253</v>
      </c>
      <c r="TB16" s="27">
        <f>PortfolioFrontier[[#This Row],[P130 Growth]]/PortfolioFrontier[[#This Row],[P130 HWM]]-1</f>
        <v>-9.6888237181007586E-3</v>
      </c>
      <c r="TC16" s="28">
        <f>SUMPRODUCT(INDEX(PortfolioRef[[SPY]:[PE]],MATCH(TC$1,PortfolioRef[Reference '#]),0),AssetMonthlyReturns[[#This Row],[SPY]:[PE]])</f>
        <v>4.3705643943126558E-4</v>
      </c>
      <c r="TD16" s="27">
        <f>IF(ISNUMBER(TD15),TD15*(1+PortfolioFrontier[[#This Row],[P131 Return]]),1+PortfolioFrontier[[#This Row],[P131 Return]])</f>
        <v>1.0636668763224426</v>
      </c>
      <c r="TE16" s="27">
        <f>MAX(TE15,PortfolioFrontier[[#This Row],[P131 Growth]])</f>
        <v>1.0718230297939548</v>
      </c>
      <c r="TF16" s="27">
        <f>PortfolioFrontier[[#This Row],[P131 Growth]]/PortfolioFrontier[[#This Row],[P131 HWM]]-1</f>
        <v>-7.6096083446538509E-3</v>
      </c>
      <c r="TG16" s="28">
        <f>SUMPRODUCT(INDEX(PortfolioRef[[SPY]:[PE]],MATCH(TG$1,PortfolioRef[Reference '#]),0),AssetMonthlyReturns[[#This Row],[SPY]:[PE]])</f>
        <v>8.657064929996558E-5</v>
      </c>
      <c r="TH16" s="27">
        <f>IF(ISNUMBER(TH15),TH15*(1+PortfolioFrontier[[#This Row],[P132 Return]]),1+PortfolioFrontier[[#This Row],[P132 Return]])</f>
        <v>1.0609800645618259</v>
      </c>
      <c r="TI16" s="27">
        <f>MAX(TI15,PortfolioFrontier[[#This Row],[P132 Growth]])</f>
        <v>1.0677896265870317</v>
      </c>
      <c r="TJ16" s="27">
        <f>PortfolioFrontier[[#This Row],[P132 Growth]]/PortfolioFrontier[[#This Row],[P132 HWM]]-1</f>
        <v>-6.3772505891175335E-3</v>
      </c>
      <c r="TK16" s="28">
        <f>SUMPRODUCT(INDEX(PortfolioRef[[SPY]:[PE]],MATCH(TK$1,PortfolioRef[Reference '#]),0),AssetMonthlyReturns[[#This Row],[SPY]:[PE]])</f>
        <v>6.8928024397634218E-4</v>
      </c>
      <c r="TL16" s="27">
        <f>IF(ISNUMBER(TL15),TL15*(1+PortfolioFrontier[[#This Row],[P133 Return]]),1+PortfolioFrontier[[#This Row],[P133 Return]])</f>
        <v>1.0609260069688293</v>
      </c>
      <c r="TM16" s="27">
        <f>MAX(TM15,PortfolioFrontier[[#This Row],[P133 Growth]])</f>
        <v>1.0732236210449184</v>
      </c>
      <c r="TN16" s="27">
        <f>PortfolioFrontier[[#This Row],[P133 Growth]]/PortfolioFrontier[[#This Row],[P133 HWM]]-1</f>
        <v>-1.1458575673274685E-2</v>
      </c>
      <c r="TO16" s="28">
        <f>SUMPRODUCT(INDEX(PortfolioRef[[SPY]:[PE]],MATCH(TO$1,PortfolioRef[Reference '#]),0),AssetMonthlyReturns[[#This Row],[SPY]:[PE]])</f>
        <v>3.3879445384504261E-4</v>
      </c>
      <c r="TP16" s="27">
        <f>IF(ISNUMBER(TP15),TP15*(1+PortfolioFrontier[[#This Row],[P134 Return]]),1+PortfolioFrontier[[#This Row],[P134 Return]])</f>
        <v>1.0583082223844</v>
      </c>
      <c r="TQ16" s="27">
        <f>MAX(TQ15,PortfolioFrontier[[#This Row],[P134 Growth]])</f>
        <v>1.0683248496226843</v>
      </c>
      <c r="TR16" s="27">
        <f>PortfolioFrontier[[#This Row],[P134 Growth]]/PortfolioFrontier[[#This Row],[P134 HWM]]-1</f>
        <v>-9.3760125881392486E-3</v>
      </c>
      <c r="TS16" s="28">
        <f>SUMPRODUCT(INDEX(PortfolioRef[[SPY]:[PE]],MATCH(TS$1,PortfolioRef[Reference '#]),0),AssetMonthlyReturns[[#This Row],[SPY]:[PE]])</f>
        <v>-1.1691336286257393E-5</v>
      </c>
      <c r="TT16" s="27">
        <f>IF(ISNUMBER(TT15),TT15*(1+PortfolioFrontier[[#This Row],[P135 Return]]),1+PortfolioFrontier[[#This Row],[P135 Return]])</f>
        <v>1.0556482647861978</v>
      </c>
      <c r="TU16" s="27">
        <f>MAX(TU15,PortfolioFrontier[[#This Row],[P135 Growth]])</f>
        <v>1.0634382574598751</v>
      </c>
      <c r="TV16" s="27">
        <f>PortfolioFrontier[[#This Row],[P135 Growth]]/PortfolioFrontier[[#This Row],[P135 HWM]]-1</f>
        <v>-7.3252890979157437E-3</v>
      </c>
      <c r="TW16" s="28">
        <f>SUMPRODUCT(INDEX(PortfolioRef[[SPY]:[PE]],MATCH(TW$1,PortfolioRef[Reference '#]),0),AssetMonthlyReturns[[#This Row],[SPY]:[PE]])</f>
        <v>3.8903391095446724E-4</v>
      </c>
      <c r="TX16" s="27">
        <f>IF(ISNUMBER(TX15),TX15*(1+PortfolioFrontier[[#This Row],[P136 Return]]),1+PortfolioFrontier[[#This Row],[P136 Return]])</f>
        <v>1.0645256202545506</v>
      </c>
      <c r="TY16" s="27">
        <f>MAX(TY15,PortfolioFrontier[[#This Row],[P136 Growth]])</f>
        <v>1.0778479758950288</v>
      </c>
      <c r="TZ16" s="27">
        <f>PortfolioFrontier[[#This Row],[P136 Growth]]/PortfolioFrontier[[#This Row],[P136 HWM]]-1</f>
        <v>-1.2360143488153397E-2</v>
      </c>
      <c r="UA16" s="28">
        <f>SUMPRODUCT(INDEX(PortfolioRef[[SPY]:[PE]],MATCH(UA$1,PortfolioRef[Reference '#]),0),AssetMonthlyReturns[[#This Row],[SPY]:[PE]])</f>
        <v>3.8548120823167671E-5</v>
      </c>
      <c r="UB16" s="27">
        <f>IF(ISNUMBER(UB15),UB15*(1+PortfolioFrontier[[#This Row],[P137 Return]]),1+PortfolioFrontier[[#This Row],[P137 Return]])</f>
        <v>1.0619079562942921</v>
      </c>
      <c r="UC16" s="27">
        <f>MAX(UC15,PortfolioFrontier[[#This Row],[P137 Growth]])</f>
        <v>1.0729296445539775</v>
      </c>
      <c r="UD16" s="27">
        <f>PortfolioFrontier[[#This Row],[P137 Growth]]/PortfolioFrontier[[#This Row],[P137 HWM]]-1</f>
        <v>-1.0272517229465872E-2</v>
      </c>
      <c r="UE16" s="28">
        <f>SUMPRODUCT(INDEX(PortfolioRef[[SPY]:[PE]],MATCH(UE$1,PortfolioRef[Reference '#]),0),AssetMonthlyReturns[[#This Row],[SPY]:[PE]])</f>
        <v>-3.1193766930813233E-4</v>
      </c>
      <c r="UF16" s="27">
        <f>IF(ISNUMBER(UF15),UF15*(1+PortfolioFrontier[[#This Row],[P138 Return]]),1+PortfolioFrontier[[#This Row],[P138 Return]])</f>
        <v>1.0592478979594246</v>
      </c>
      <c r="UG16" s="27">
        <f>MAX(UG15,PortfolioFrontier[[#This Row],[P138 Growth]])</f>
        <v>1.0680235177995143</v>
      </c>
      <c r="UH16" s="27">
        <f>PortfolioFrontier[[#This Row],[P138 Growth]]/PortfolioFrontier[[#This Row],[P138 HWM]]-1</f>
        <v>-8.2166915745173208E-3</v>
      </c>
      <c r="UI16" s="28">
        <f>SUMPRODUCT(INDEX(PortfolioRef[[SPY]:[PE]],MATCH(UI$1,PortfolioRef[Reference '#]),0),AssetMonthlyReturns[[#This Row],[SPY]:[PE]])</f>
        <v>8.8787577932591E-5</v>
      </c>
      <c r="UJ16" s="27">
        <f>IF(ISNUMBER(UJ15),UJ15*(1+PortfolioFrontier[[#This Row],[P139 Return]]),1+PortfolioFrontier[[#This Row],[P139 Return]])</f>
        <v>1.0680866674764962</v>
      </c>
      <c r="UK16" s="27">
        <f>MAX(UK15,PortfolioFrontier[[#This Row],[P139 Growth]])</f>
        <v>1.0824684769452779</v>
      </c>
      <c r="UL16" s="27">
        <f>PortfolioFrontier[[#This Row],[P139 Growth]]/PortfolioFrontier[[#This Row],[P139 HWM]]-1</f>
        <v>-1.3286123129762739E-2</v>
      </c>
      <c r="UM16" s="28">
        <f>SUMPRODUCT(INDEX(PortfolioRef[[SPY]:[PE]],MATCH(UM$1,PortfolioRef[Reference '#]),0),AssetMonthlyReturns[[#This Row],[SPY]:[PE]])</f>
        <v>-2.6169821219870814E-4</v>
      </c>
      <c r="UN16" s="27">
        <f>IF(ISNUMBER(UN15),UN15*(1+PortfolioFrontier[[#This Row],[P140 Return]]),1+PortfolioFrontier[[#This Row],[P140 Return]])</f>
        <v>1.0654692375045667</v>
      </c>
      <c r="UO16" s="27">
        <f>MAX(UO15,PortfolioFrontier[[#This Row],[P140 Growth]])</f>
        <v>1.0775305604276091</v>
      </c>
      <c r="UP16" s="27">
        <f>PortfolioFrontier[[#This Row],[P140 Growth]]/PortfolioFrontier[[#This Row],[P140 HWM]]-1</f>
        <v>-1.1193485703325123E-2</v>
      </c>
      <c r="UQ16" s="28">
        <f>SUMPRODUCT(INDEX(PortfolioRef[[SPY]:[PE]],MATCH(UQ$1,PortfolioRef[Reference '#]),0),AssetMonthlyReturns[[#This Row],[SPY]:[PE]])</f>
        <v>-6.1218400233000814E-4</v>
      </c>
      <c r="UR16" s="27">
        <f>IF(ISNUMBER(UR15),UR15*(1+PortfolioFrontier[[#This Row],[P141 Return]]),1+PortfolioFrontier[[#This Row],[P141 Return]])</f>
        <v>1.0628091927019361</v>
      </c>
      <c r="US16" s="27">
        <f>MAX(US15,PortfolioFrontier[[#This Row],[P141 Growth]])</f>
        <v>1.0726048738236913</v>
      </c>
      <c r="UT16" s="27">
        <f>PortfolioFrontier[[#This Row],[P141 Growth]]/PortfolioFrontier[[#This Row],[P141 HWM]]-1</f>
        <v>-9.1326091842515167E-3</v>
      </c>
    </row>
    <row r="17" spans="2:566" x14ac:dyDescent="0.2">
      <c r="B17" s="41">
        <f>AssetMonthlyReturns[[#This Row],[Date]]</f>
        <v>42887</v>
      </c>
      <c r="C17" s="28">
        <f>SUMPRODUCT(INDEX(PortfolioRef[[SPY]:[PE]],MATCH(C$1,PortfolioRef[Reference '#]),0),AssetMonthlyReturns[[#This Row],[SPY]:[PE]])</f>
        <v>1.1447973280174497E-3</v>
      </c>
      <c r="D17" s="29">
        <f>IF(ISNUMBER(D16),D16*(1+PortfolioFrontier[[#This Row],[P1 Return]]),1+PortfolioFrontier[[#This Row],[P1 Return]])</f>
        <v>1.11132595550071</v>
      </c>
      <c r="E17" s="29">
        <f>MAX(E16,PortfolioFrontier[[#This Row],[P1 Growth]])</f>
        <v>1.11132595550071</v>
      </c>
      <c r="F17" s="29">
        <f>PortfolioFrontier[[#This Row],[P1 Growth]]/PortfolioFrontier[[#This Row],[P1 HWM]]-1</f>
        <v>0</v>
      </c>
      <c r="G17" s="28">
        <f>SUMPRODUCT(INDEX(PortfolioRef[[SPY]:[PE]],MATCH(G$1,PortfolioRef[Reference '#]),0),AssetMonthlyReturns[[#This Row],[SPY]:[PE]])</f>
        <v>1.0656878300753683E-3</v>
      </c>
      <c r="H17" s="27">
        <f>IF(ISNUMBER(H16),H16*(1+PortfolioFrontier[[#This Row],[P2 Return]]),1+PortfolioFrontier[[#This Row],[P2 Return]])</f>
        <v>1.1022653832667371</v>
      </c>
      <c r="I17" s="27">
        <f>MAX(I16,PortfolioFrontier[[#This Row],[P2 Growth]])</f>
        <v>1.1022653832667371</v>
      </c>
      <c r="J17" s="27">
        <f>PortfolioFrontier[[#This Row],[P2 Growth]]/PortfolioFrontier[[#This Row],[P2 HWM]]-1</f>
        <v>0</v>
      </c>
      <c r="K17" s="28">
        <f>SUMPRODUCT(INDEX(PortfolioRef[[SPY]:[PE]],MATCH(K$1,PortfolioRef[Reference '#]),0),AssetMonthlyReturns[[#This Row],[SPY]:[PE]])</f>
        <v>-7.5288654543589212E-6</v>
      </c>
      <c r="L17" s="27">
        <f>IF(ISNUMBER(L16),L16*(1+PortfolioFrontier[[#This Row],[P3 Return]]),1+PortfolioFrontier[[#This Row],[P3 Return]])</f>
        <v>1.0993584547890856</v>
      </c>
      <c r="M17" s="27">
        <f>MAX(M16,PortfolioFrontier[[#This Row],[P3 Growth]])</f>
        <v>1.099366731773294</v>
      </c>
      <c r="N17" s="27">
        <f>PortfolioFrontier[[#This Row],[P3 Growth]]/PortfolioFrontier[[#This Row],[P3 HWM]]-1</f>
        <v>-7.5288654542982059E-6</v>
      </c>
      <c r="O17" s="28">
        <f>SUMPRODUCT(INDEX(PortfolioRef[[SPY]:[PE]],MATCH(O$1,PortfolioRef[Reference '#]),0),AssetMonthlyReturns[[#This Row],[SPY]:[PE]])</f>
        <v>1.7029098622403369E-3</v>
      </c>
      <c r="P17" s="27">
        <f>IF(ISNUMBER(P16),P16*(1+PortfolioFrontier[[#This Row],[P4 Return]]),1+PortfolioFrontier[[#This Row],[P4 Return]])</f>
        <v>1.1049057040481345</v>
      </c>
      <c r="Q17" s="27">
        <f>MAX(Q16,PortfolioFrontier[[#This Row],[P4 Growth]])</f>
        <v>1.1049057040481345</v>
      </c>
      <c r="R17" s="27">
        <f>PortfolioFrontier[[#This Row],[P4 Growth]]/PortfolioFrontier[[#This Row],[P4 HWM]]-1</f>
        <v>0</v>
      </c>
      <c r="S17" s="28">
        <f>SUMPRODUCT(INDEX(PortfolioRef[[SPY]:[PE]],MATCH(S$1,PortfolioRef[Reference '#]),0),AssetMonthlyReturns[[#This Row],[SPY]:[PE]])</f>
        <v>1.6844858226998051E-3</v>
      </c>
      <c r="T17" s="27">
        <f>IF(ISNUMBER(T16),T16*(1+PortfolioFrontier[[#This Row],[P5 Return]]),1+PortfolioFrontier[[#This Row],[P5 Return]])</f>
        <v>1.1020427257351573</v>
      </c>
      <c r="U17" s="27">
        <f>MAX(U16,PortfolioFrontier[[#This Row],[P5 Growth]])</f>
        <v>1.1020427257351573</v>
      </c>
      <c r="V17" s="27">
        <f>PortfolioFrontier[[#This Row],[P5 Growth]]/PortfolioFrontier[[#This Row],[P5 HWM]]-1</f>
        <v>0</v>
      </c>
      <c r="W17" s="28">
        <f>SUMPRODUCT(INDEX(PortfolioRef[[SPY]:[PE]],MATCH(W$1,PortfolioRef[Reference '#]),0),AssetMonthlyReturns[[#This Row],[SPY]:[PE]])</f>
        <v>9.8657833213328669E-4</v>
      </c>
      <c r="X17" s="27">
        <f>IF(ISNUMBER(X16),X16*(1+PortfolioFrontier[[#This Row],[P6 Return]]),1+PortfolioFrontier[[#This Row],[P6 Return]])</f>
        <v>1.0932578395073018</v>
      </c>
      <c r="Y17" s="27">
        <f>MAX(Y16,PortfolioFrontier[[#This Row],[P6 Growth]])</f>
        <v>1.0932578395073018</v>
      </c>
      <c r="Z17" s="27">
        <f>PortfolioFrontier[[#This Row],[P6 Growth]]/PortfolioFrontier[[#This Row],[P6 HWM]]-1</f>
        <v>0</v>
      </c>
      <c r="AA17" s="28">
        <f>SUMPRODUCT(INDEX(PortfolioRef[[SPY]:[PE]],MATCH(AA$1,PortfolioRef[Reference '#]),0),AssetMonthlyReturns[[#This Row],[SPY]:[PE]])</f>
        <v>-8.6638363396440536E-5</v>
      </c>
      <c r="AB17" s="27">
        <f>IF(ISNUMBER(AB16),AB16*(1+PortfolioFrontier[[#This Row],[P7 Return]]),1+PortfolioFrontier[[#This Row],[P7 Return]])</f>
        <v>1.0903631854069964</v>
      </c>
      <c r="AC17" s="27">
        <f>MAX(AC16,PortfolioFrontier[[#This Row],[P7 Growth]])</f>
        <v>1.0904576608740877</v>
      </c>
      <c r="AD17" s="27">
        <f>PortfolioFrontier[[#This Row],[P7 Growth]]/PortfolioFrontier[[#This Row],[P7 HWM]]-1</f>
        <v>-8.6638363396507323E-5</v>
      </c>
      <c r="AE17" s="28">
        <f>SUMPRODUCT(INDEX(PortfolioRef[[SPY]:[PE]],MATCH(AE$1,PortfolioRef[Reference '#]),0),AssetMonthlyReturns[[#This Row],[SPY]:[PE]])</f>
        <v>1.6238003642982555E-3</v>
      </c>
      <c r="AF17" s="27">
        <f>IF(ISNUMBER(AF16),AF16*(1+PortfolioFrontier[[#This Row],[P8 Return]]),1+PortfolioFrontier[[#This Row],[P8 Return]])</f>
        <v>1.0958861708775529</v>
      </c>
      <c r="AG17" s="27">
        <f>MAX(AG16,PortfolioFrontier[[#This Row],[P8 Growth]])</f>
        <v>1.0958861708775529</v>
      </c>
      <c r="AH17" s="27">
        <f>PortfolioFrontier[[#This Row],[P8 Growth]]/PortfolioFrontier[[#This Row],[P8 HWM]]-1</f>
        <v>0</v>
      </c>
      <c r="AI17" s="28">
        <f>SUMPRODUCT(INDEX(PortfolioRef[[SPY]:[PE]],MATCH(AI$1,PortfolioRef[Reference '#]),0),AssetMonthlyReturns[[#This Row],[SPY]:[PE]])</f>
        <v>1.6053763247577237E-3</v>
      </c>
      <c r="AJ17" s="27">
        <f>IF(ISNUMBER(AJ16),AJ16*(1+PortfolioFrontier[[#This Row],[P9 Return]]),1+PortfolioFrontier[[#This Row],[P9 Return]])</f>
        <v>1.093041176763029</v>
      </c>
      <c r="AK17" s="27">
        <f>MAX(AK16,PortfolioFrontier[[#This Row],[P9 Growth]])</f>
        <v>1.093041176763029</v>
      </c>
      <c r="AL17" s="27">
        <f>PortfolioFrontier[[#This Row],[P9 Growth]]/PortfolioFrontier[[#This Row],[P9 HWM]]-1</f>
        <v>0</v>
      </c>
      <c r="AM17" s="28">
        <f>SUMPRODUCT(INDEX(PortfolioRef[[SPY]:[PE]],MATCH(AM$1,PortfolioRef[Reference '#]),0),AssetMonthlyReturns[[#This Row],[SPY]:[PE]])</f>
        <v>-1.1598550589261678E-3</v>
      </c>
      <c r="AN17" s="27">
        <f>IF(ISNUMBER(AN16),AN16*(1+PortfolioFrontier[[#This Row],[P10 Return]]),1+PortfolioFrontier[[#This Row],[P10 Return]])</f>
        <v>1.0874288071172422</v>
      </c>
      <c r="AO17" s="27">
        <f>MAX(AO16,PortfolioFrontier[[#This Row],[P10 Growth]])</f>
        <v>1.0886915314976597</v>
      </c>
      <c r="AP17" s="27">
        <f>PortfolioFrontier[[#This Row],[P10 Growth]]/PortfolioFrontier[[#This Row],[P10 HWM]]-1</f>
        <v>-1.1598550589260181E-3</v>
      </c>
      <c r="AQ17" s="28">
        <f>SUMPRODUCT(INDEX(PortfolioRef[[SPY]:[PE]],MATCH(AQ$1,PortfolioRef[Reference '#]),0),AssetMonthlyReturns[[#This Row],[SPY]:[PE]])</f>
        <v>5.5058366876852829E-4</v>
      </c>
      <c r="AR17" s="27">
        <f>IF(ISNUMBER(AR16),AR16*(1+PortfolioFrontier[[#This Row],[P11 Return]]),1+PortfolioFrontier[[#This Row],[P11 Return]])</f>
        <v>1.0929731185555971</v>
      </c>
      <c r="AS17" s="27">
        <f>MAX(AS16,PortfolioFrontier[[#This Row],[P11 Growth]])</f>
        <v>1.0929731185555971</v>
      </c>
      <c r="AT17" s="27">
        <f>PortfolioFrontier[[#This Row],[P11 Growth]]/PortfolioFrontier[[#This Row],[P11 HWM]]-1</f>
        <v>0</v>
      </c>
      <c r="AU17" s="28">
        <f>SUMPRODUCT(INDEX(PortfolioRef[[SPY]:[PE]],MATCH(AU$1,PortfolioRef[Reference '#]),0),AssetMonthlyReturns[[#This Row],[SPY]:[PE]])</f>
        <v>5.3215962922799646E-4</v>
      </c>
      <c r="AV17" s="27">
        <f>IF(ISNUMBER(AV16),AV16*(1+PortfolioFrontier[[#This Row],[P12 Return]]),1+PortfolioFrontier[[#This Row],[P12 Return]])</f>
        <v>1.0901586516585684</v>
      </c>
      <c r="AW17" s="27">
        <f>MAX(AW16,PortfolioFrontier[[#This Row],[P12 Growth]])</f>
        <v>1.0901586516585684</v>
      </c>
      <c r="AX17" s="27">
        <f>PortfolioFrontier[[#This Row],[P12 Growth]]/PortfolioFrontier[[#This Row],[P12 HWM]]-1</f>
        <v>0</v>
      </c>
      <c r="AY17" s="28">
        <f>SUMPRODUCT(INDEX(PortfolioRef[[SPY]:[PE]],MATCH(AY$1,PortfolioRef[Reference '#]),0),AssetMonthlyReturns[[#This Row],[SPY]:[PE]])</f>
        <v>2.2610223964632252E-3</v>
      </c>
      <c r="AZ17" s="27">
        <f>IF(ISNUMBER(AZ16),AZ16*(1+PortfolioFrontier[[#This Row],[P13 Return]]),1+PortfolioFrontier[[#This Row],[P13 Return]])</f>
        <v>1.0984904726280951</v>
      </c>
      <c r="BA17" s="27">
        <f>MAX(BA16,PortfolioFrontier[[#This Row],[P13 Growth]])</f>
        <v>1.0984904726280951</v>
      </c>
      <c r="BB17" s="27">
        <f>PortfolioFrontier[[#This Row],[P13 Growth]]/PortfolioFrontier[[#This Row],[P13 HWM]]-1</f>
        <v>0</v>
      </c>
      <c r="BC17" s="28">
        <f>SUMPRODUCT(INDEX(PortfolioRef[[SPY]:[PE]],MATCH(BC$1,PortfolioRef[Reference '#]),0),AssetMonthlyReturns[[#This Row],[SPY]:[PE]])</f>
        <v>2.2425983569226925E-3</v>
      </c>
      <c r="BD17" s="27">
        <f>IF(ISNUMBER(BD16),BD16*(1+PortfolioFrontier[[#This Row],[P14 Return]]),1+PortfolioFrontier[[#This Row],[P14 Return]])</f>
        <v>1.0956709624962286</v>
      </c>
      <c r="BE17" s="27">
        <f>MAX(BE16,PortfolioFrontier[[#This Row],[P14 Growth]])</f>
        <v>1.0956709624962286</v>
      </c>
      <c r="BF17" s="27">
        <f>PortfolioFrontier[[#This Row],[P14 Growth]]/PortfolioFrontier[[#This Row],[P14 HWM]]-1</f>
        <v>0</v>
      </c>
      <c r="BG17" s="28">
        <f>SUMPRODUCT(INDEX(PortfolioRef[[SPY]:[PE]],MATCH(BG$1,PortfolioRef[Reference '#]),0),AssetMonthlyReturns[[#This Row],[SPY]:[PE]])</f>
        <v>2.2241743173821607E-3</v>
      </c>
      <c r="BH17" s="27">
        <f>IF(ISNUMBER(BH16),BH16*(1+PortfolioFrontier[[#This Row],[P15 Return]]),1+PortfolioFrontier[[#This Row],[P15 Return]])</f>
        <v>1.0928084475051609</v>
      </c>
      <c r="BI17" s="27">
        <f>MAX(BI16,PortfolioFrontier[[#This Row],[P15 Growth]])</f>
        <v>1.0928084475051609</v>
      </c>
      <c r="BJ17" s="27">
        <f>PortfolioFrontier[[#This Row],[P15 Growth]]/PortfolioFrontier[[#This Row],[P15 HWM]]-1</f>
        <v>0</v>
      </c>
      <c r="BK17" s="28">
        <f>SUMPRODUCT(INDEX(PortfolioRef[[SPY]:[PE]],MATCH(BK$1,PortfolioRef[Reference '#]),0),AssetMonthlyReturns[[#This Row],[SPY]:[PE]])</f>
        <v>9.0746883419120551E-4</v>
      </c>
      <c r="BL17" s="27">
        <f>IF(ISNUMBER(BL16),BL16*(1+PortfolioFrontier[[#This Row],[P16 Return]]),1+PortfolioFrontier[[#This Row],[P16 Return]])</f>
        <v>1.0843031431935264</v>
      </c>
      <c r="BM17" s="27">
        <f>MAX(BM16,PortfolioFrontier[[#This Row],[P16 Growth]])</f>
        <v>1.0843031431935264</v>
      </c>
      <c r="BN17" s="27">
        <f>PortfolioFrontier[[#This Row],[P16 Growth]]/PortfolioFrontier[[#This Row],[P16 HWM]]-1</f>
        <v>0</v>
      </c>
      <c r="BO17" s="28">
        <f>SUMPRODUCT(INDEX(PortfolioRef[[SPY]:[PE]],MATCH(BO$1,PortfolioRef[Reference '#]),0),AssetMonthlyReturns[[#This Row],[SPY]:[PE]])</f>
        <v>-1.6574786133852215E-4</v>
      </c>
      <c r="BP17" s="27">
        <f>IF(ISNUMBER(BP16),BP16*(1+PortfolioFrontier[[#This Row],[P17 Return]]),1+PortfolioFrontier[[#This Row],[P17 Return]])</f>
        <v>1.0814207695947948</v>
      </c>
      <c r="BQ17" s="27">
        <f>MAX(BQ16,PortfolioFrontier[[#This Row],[P17 Growth]])</f>
        <v>1.0816000424886609</v>
      </c>
      <c r="BR17" s="27">
        <f>PortfolioFrontier[[#This Row],[P17 Growth]]/PortfolioFrontier[[#This Row],[P17 HWM]]-1</f>
        <v>-1.657478613384944E-4</v>
      </c>
      <c r="BS17" s="28">
        <f>SUMPRODUCT(INDEX(PortfolioRef[[SPY]:[PE]],MATCH(BS$1,PortfolioRef[Reference '#]),0),AssetMonthlyReturns[[#This Row],[SPY]:[PE]])</f>
        <v>1.5446908663561741E-3</v>
      </c>
      <c r="BT17" s="27">
        <f>IF(ISNUMBER(BT16),BT16*(1+PortfolioFrontier[[#This Row],[P18 Return]]),1+PortfolioFrontier[[#This Row],[P18 Return]])</f>
        <v>1.0869194967400371</v>
      </c>
      <c r="BU17" s="27">
        <f>MAX(BU16,PortfolioFrontier[[#This Row],[P18 Growth]])</f>
        <v>1.0869194967400371</v>
      </c>
      <c r="BV17" s="27">
        <f>PortfolioFrontier[[#This Row],[P18 Growth]]/PortfolioFrontier[[#This Row],[P18 HWM]]-1</f>
        <v>0</v>
      </c>
      <c r="BW17" s="28">
        <f>SUMPRODUCT(INDEX(PortfolioRef[[SPY]:[PE]],MATCH(BW$1,PortfolioRef[Reference '#]),0),AssetMonthlyReturns[[#This Row],[SPY]:[PE]])</f>
        <v>1.5262668268156423E-3</v>
      </c>
      <c r="BX17" s="27">
        <f>IF(ISNUMBER(BX16),BX16*(1+PortfolioFrontier[[#This Row],[P19 Return]]),1+PortfolioFrontier[[#This Row],[P19 Return]])</f>
        <v>1.0840924170092376</v>
      </c>
      <c r="BY17" s="27">
        <f>MAX(BY16,PortfolioFrontier[[#This Row],[P19 Growth]])</f>
        <v>1.0840924170092376</v>
      </c>
      <c r="BZ17" s="27">
        <f>PortfolioFrontier[[#This Row],[P19 Growth]]/PortfolioFrontier[[#This Row],[P19 HWM]]-1</f>
        <v>0</v>
      </c>
      <c r="CA17" s="28">
        <f>SUMPRODUCT(INDEX(PortfolioRef[[SPY]:[PE]],MATCH(CA$1,PortfolioRef[Reference '#]),0),AssetMonthlyReturns[[#This Row],[SPY]:[PE]])</f>
        <v>-1.2389645568682494E-3</v>
      </c>
      <c r="CB17" s="27">
        <f>IF(ISNUMBER(CB16),CB16*(1+PortfolioFrontier[[#This Row],[P20 Return]]),1+PortfolioFrontier[[#This Row],[P20 Return]])</f>
        <v>1.0784989900619568</v>
      </c>
      <c r="CC17" s="27">
        <f>MAX(CC16,PortfolioFrontier[[#This Row],[P20 Growth]])</f>
        <v>1.0798368696706784</v>
      </c>
      <c r="CD17" s="27">
        <f>PortfolioFrontier[[#This Row],[P20 Growth]]/PortfolioFrontier[[#This Row],[P20 HWM]]-1</f>
        <v>-1.2389645568682273E-3</v>
      </c>
      <c r="CE17" s="28">
        <f>SUMPRODUCT(INDEX(PortfolioRef[[SPY]:[PE]],MATCH(CE$1,PortfolioRef[Reference '#]),0),AssetMonthlyReturns[[#This Row],[SPY]:[PE]])</f>
        <v>4.7147417082644668E-4</v>
      </c>
      <c r="CF17" s="27">
        <f>IF(ISNUMBER(CF16),CF16*(1+PortfolioFrontier[[#This Row],[P21 Return]]),1+PortfolioFrontier[[#This Row],[P21 Return]])</f>
        <v>1.084018838634675</v>
      </c>
      <c r="CG17" s="27">
        <f>MAX(CG16,PortfolioFrontier[[#This Row],[P21 Growth]])</f>
        <v>1.084018838634675</v>
      </c>
      <c r="CH17" s="27">
        <f>PortfolioFrontier[[#This Row],[P21 Growth]]/PortfolioFrontier[[#This Row],[P21 HWM]]-1</f>
        <v>0</v>
      </c>
      <c r="CI17" s="28">
        <f>SUMPRODUCT(INDEX(PortfolioRef[[SPY]:[PE]],MATCH(CI$1,PortfolioRef[Reference '#]),0),AssetMonthlyReturns[[#This Row],[SPY]:[PE]])</f>
        <v>4.5305013128591485E-4</v>
      </c>
      <c r="CJ17" s="27">
        <f>IF(ISNUMBER(CJ16),CJ16*(1+PortfolioFrontier[[#This Row],[P22 Return]]),1+PortfolioFrontier[[#This Row],[P22 Return]])</f>
        <v>1.0812220834786155</v>
      </c>
      <c r="CK17" s="27">
        <f>MAX(CK16,PortfolioFrontier[[#This Row],[P22 Growth]])</f>
        <v>1.0812220834786155</v>
      </c>
      <c r="CL17" s="27">
        <f>PortfolioFrontier[[#This Row],[P22 Growth]]/PortfolioFrontier[[#This Row],[P22 HWM]]-1</f>
        <v>0</v>
      </c>
      <c r="CM17" s="28">
        <f>SUMPRODUCT(INDEX(PortfolioRef[[SPY]:[PE]],MATCH(CM$1,PortfolioRef[Reference '#]),0),AssetMonthlyReturns[[#This Row],[SPY]:[PE]])</f>
        <v>2.1819128985211436E-3</v>
      </c>
      <c r="CN17" s="27">
        <f>IF(ISNUMBER(CN16),CN16*(1+PortfolioFrontier[[#This Row],[P23 Return]]),1+PortfolioFrontier[[#This Row],[P23 Return]])</f>
        <v>1.0895120393402884</v>
      </c>
      <c r="CO17" s="27">
        <f>MAX(CO16,PortfolioFrontier[[#This Row],[P23 Growth]])</f>
        <v>1.0895120393402884</v>
      </c>
      <c r="CP17" s="27">
        <f>PortfolioFrontier[[#This Row],[P23 Growth]]/PortfolioFrontier[[#This Row],[P23 HWM]]-1</f>
        <v>0</v>
      </c>
      <c r="CQ17" s="28">
        <f>SUMPRODUCT(INDEX(PortfolioRef[[SPY]:[PE]],MATCH(CQ$1,PortfolioRef[Reference '#]),0),AssetMonthlyReturns[[#This Row],[SPY]:[PE]])</f>
        <v>2.1634888589806109E-3</v>
      </c>
      <c r="CR17" s="27">
        <f>IF(ISNUMBER(CR16),CR16*(1+PortfolioFrontier[[#This Row],[P24 Return]]),1+PortfolioFrontier[[#This Row],[P24 Return]])</f>
        <v>1.0867102100821349</v>
      </c>
      <c r="CS17" s="27">
        <f>MAX(CS16,PortfolioFrontier[[#This Row],[P24 Growth]])</f>
        <v>1.0867102100821349</v>
      </c>
      <c r="CT17" s="27">
        <f>PortfolioFrontier[[#This Row],[P24 Growth]]/PortfolioFrontier[[#This Row],[P24 HWM]]-1</f>
        <v>0</v>
      </c>
      <c r="CU17" s="28">
        <f>SUMPRODUCT(INDEX(PortfolioRef[[SPY]:[PE]],MATCH(CU$1,PortfolioRef[Reference '#]),0),AssetMonthlyReturns[[#This Row],[SPY]:[PE]])</f>
        <v>2.1450648194400791E-3</v>
      </c>
      <c r="CV17" s="27">
        <f>IF(ISNUMBER(CV16),CV16*(1+PortfolioFrontier[[#This Row],[P25 Return]]),1+PortfolioFrontier[[#This Row],[P25 Return]])</f>
        <v>1.083865725550933</v>
      </c>
      <c r="CW17" s="27">
        <f>MAX(CW16,PortfolioFrontier[[#This Row],[P25 Growth]])</f>
        <v>1.083865725550933</v>
      </c>
      <c r="CX17" s="27">
        <f>PortfolioFrontier[[#This Row],[P25 Growth]]/PortfolioFrontier[[#This Row],[P25 HWM]]-1</f>
        <v>0</v>
      </c>
      <c r="CY17" s="28">
        <f>SUMPRODUCT(INDEX(PortfolioRef[[SPY]:[PE]],MATCH(CY$1,PortfolioRef[Reference '#]),0),AssetMonthlyReturns[[#This Row],[SPY]:[PE]])</f>
        <v>-6.0174252470328055E-4</v>
      </c>
      <c r="CZ17" s="27">
        <f>IF(ISNUMBER(CZ16),CZ16*(1+PortfolioFrontier[[#This Row],[P26 Return]]),1+PortfolioFrontier[[#This Row],[P26 Return]])</f>
        <v>1.0810788269028642</v>
      </c>
      <c r="DA17" s="27">
        <f>MAX(DA16,PortfolioFrontier[[#This Row],[P26 Growth]])</f>
        <v>1.0817297496934912</v>
      </c>
      <c r="DB17" s="27">
        <f>PortfolioFrontier[[#This Row],[P26 Growth]]/PortfolioFrontier[[#This Row],[P26 HWM]]-1</f>
        <v>-6.017425247031305E-4</v>
      </c>
      <c r="DC17" s="28">
        <f>SUMPRODUCT(INDEX(PortfolioRef[[SPY]:[PE]],MATCH(DC$1,PortfolioRef[Reference '#]),0),AssetMonthlyReturns[[#This Row],[SPY]:[PE]])</f>
        <v>-6.2016656424381238E-4</v>
      </c>
      <c r="DD17" s="27">
        <f>IF(ISNUMBER(DD16),DD16*(1+PortfolioFrontier[[#This Row],[P27 Return]]),1+PortfolioFrontier[[#This Row],[P27 Return]])</f>
        <v>1.0783122958548883</v>
      </c>
      <c r="DE17" s="27">
        <f>MAX(DE16,PortfolioFrontier[[#This Row],[P27 Growth]])</f>
        <v>1.0789814440699399</v>
      </c>
      <c r="DF17" s="27">
        <f>PortfolioFrontier[[#This Row],[P27 Growth]]/PortfolioFrontier[[#This Row],[P27 HWM]]-1</f>
        <v>-6.2016656424368488E-4</v>
      </c>
      <c r="DG17" s="28">
        <f>SUMPRODUCT(INDEX(PortfolioRef[[SPY]:[PE]],MATCH(DG$1,PortfolioRef[Reference '#]),0),AssetMonthlyReturns[[#This Row],[SPY]:[PE]])</f>
        <v>1.1086962029914164E-3</v>
      </c>
      <c r="DH17" s="27">
        <f>IF(ISNUMBER(DH16),DH16*(1+PortfolioFrontier[[#This Row],[P28 Return]]),1+PortfolioFrontier[[#This Row],[P28 Return]])</f>
        <v>1.0865931154481505</v>
      </c>
      <c r="DI17" s="27">
        <f>MAX(DI16,PortfolioFrontier[[#This Row],[P28 Growth]])</f>
        <v>1.0865931154481505</v>
      </c>
      <c r="DJ17" s="27">
        <f>PortfolioFrontier[[#This Row],[P28 Growth]]/PortfolioFrontier[[#This Row],[P28 HWM]]-1</f>
        <v>0</v>
      </c>
      <c r="DK17" s="28">
        <f>SUMPRODUCT(INDEX(PortfolioRef[[SPY]:[PE]],MATCH(DK$1,PortfolioRef[Reference '#]),0),AssetMonthlyReturns[[#This Row],[SPY]:[PE]])</f>
        <v>1.0902721634508837E-3</v>
      </c>
      <c r="DL17" s="27">
        <f>IF(ISNUMBER(DL16),DL16*(1+PortfolioFrontier[[#This Row],[P29 Return]]),1+PortfolioFrontier[[#This Row],[P29 Return]])</f>
        <v>1.0838216112235453</v>
      </c>
      <c r="DM17" s="27">
        <f>MAX(DM16,PortfolioFrontier[[#This Row],[P29 Growth]])</f>
        <v>1.0838216112235453</v>
      </c>
      <c r="DN17" s="27">
        <f>PortfolioFrontier[[#This Row],[P29 Growth]]/PortfolioFrontier[[#This Row],[P29 HWM]]-1</f>
        <v>0</v>
      </c>
      <c r="DO17" s="28">
        <f>SUMPRODUCT(INDEX(PortfolioRef[[SPY]:[PE]],MATCH(DO$1,PortfolioRef[Reference '#]),0),AssetMonthlyReturns[[#This Row],[SPY]:[PE]])</f>
        <v>1.0718481239103518E-3</v>
      </c>
      <c r="DP17" s="27">
        <f>IF(ISNUMBER(DP16),DP16*(1+PortfolioFrontier[[#This Row],[P30 Return]]),1+PortfolioFrontier[[#This Row],[P30 Return]])</f>
        <v>1.081007470327604</v>
      </c>
      <c r="DQ17" s="27">
        <f>MAX(DQ16,PortfolioFrontier[[#This Row],[P30 Growth]])</f>
        <v>1.081007470327604</v>
      </c>
      <c r="DR17" s="27">
        <f>PortfolioFrontier[[#This Row],[P30 Growth]]/PortfolioFrontier[[#This Row],[P30 HWM]]-1</f>
        <v>0</v>
      </c>
      <c r="DS17" s="28">
        <f>SUMPRODUCT(INDEX(PortfolioRef[[SPY]:[PE]],MATCH(DS$1,PortfolioRef[Reference '#]),0),AssetMonthlyReturns[[#This Row],[SPY]:[PE]])</f>
        <v>2.8191349306861124E-3</v>
      </c>
      <c r="DT17" s="27">
        <f>IF(ISNUMBER(DT16),DT16*(1+PortfolioFrontier[[#This Row],[P31 Return]]),1+PortfolioFrontier[[#This Row],[P31 Return]])</f>
        <v>1.0920805803916616</v>
      </c>
      <c r="DU17" s="27">
        <f>MAX(DU16,PortfolioFrontier[[#This Row],[P31 Growth]])</f>
        <v>1.0920805803916616</v>
      </c>
      <c r="DV17" s="27">
        <f>PortfolioFrontier[[#This Row],[P31 Growth]]/PortfolioFrontier[[#This Row],[P31 HWM]]-1</f>
        <v>0</v>
      </c>
      <c r="DW17" s="28">
        <f>SUMPRODUCT(INDEX(PortfolioRef[[SPY]:[PE]],MATCH(DW$1,PortfolioRef[Reference '#]),0),AssetMonthlyReturns[[#This Row],[SPY]:[PE]])</f>
        <v>2.8007108911455806E-3</v>
      </c>
      <c r="DX17" s="27">
        <f>IF(ISNUMBER(DX16),DX16*(1+PortfolioFrontier[[#This Row],[P32 Return]]),1+PortfolioFrontier[[#This Row],[P32 Return]])</f>
        <v>1.0893042196570975</v>
      </c>
      <c r="DY17" s="27">
        <f>MAX(DY16,PortfolioFrontier[[#This Row],[P32 Growth]])</f>
        <v>1.0893042196570975</v>
      </c>
      <c r="DZ17" s="27">
        <f>PortfolioFrontier[[#This Row],[P32 Growth]]/PortfolioFrontier[[#This Row],[P32 HWM]]-1</f>
        <v>0</v>
      </c>
      <c r="EA17" s="28">
        <f>SUMPRODUCT(INDEX(PortfolioRef[[SPY]:[PE]],MATCH(EA$1,PortfolioRef[Reference '#]),0),AssetMonthlyReturns[[#This Row],[SPY]:[PE]])</f>
        <v>2.7822868516050479E-3</v>
      </c>
      <c r="EB17" s="27">
        <f>IF(ISNUMBER(EB16),EB16*(1+PortfolioFrontier[[#This Row],[P33 Return]]),1+PortfolioFrontier[[#This Row],[P33 Return]])</f>
        <v>1.0864849250681194</v>
      </c>
      <c r="EC17" s="27">
        <f>MAX(EC16,PortfolioFrontier[[#This Row],[P33 Growth]])</f>
        <v>1.0864849250681194</v>
      </c>
      <c r="ED17" s="27">
        <f>PortfolioFrontier[[#This Row],[P33 Growth]]/PortfolioFrontier[[#This Row],[P33 HWM]]-1</f>
        <v>0</v>
      </c>
      <c r="EE17" s="28">
        <f>SUMPRODUCT(INDEX(PortfolioRef[[SPY]:[PE]],MATCH(EE$1,PortfolioRef[Reference '#]),0),AssetMonthlyReturns[[#This Row],[SPY]:[PE]])</f>
        <v>8.283593362491239E-4</v>
      </c>
      <c r="EF17" s="27">
        <f>IF(ISNUMBER(EF16),EF16*(1+PortfolioFrontier[[#This Row],[P34 Return]]),1+PortfolioFrontier[[#This Row],[P34 Return]])</f>
        <v>1.075401113224538</v>
      </c>
      <c r="EG17" s="27">
        <f>MAX(EG16,PortfolioFrontier[[#This Row],[P34 Growth]])</f>
        <v>1.075401113224538</v>
      </c>
      <c r="EH17" s="27">
        <f>PortfolioFrontier[[#This Row],[P34 Growth]]/PortfolioFrontier[[#This Row],[P34 HWM]]-1</f>
        <v>0</v>
      </c>
      <c r="EI17" s="28">
        <f>SUMPRODUCT(INDEX(PortfolioRef[[SPY]:[PE]],MATCH(EI$1,PortfolioRef[Reference '#]),0),AssetMonthlyReturns[[#This Row],[SPY]:[PE]])</f>
        <v>-2.4485735928060333E-4</v>
      </c>
      <c r="EJ17" s="27">
        <f>IF(ISNUMBER(EJ16),EJ16*(1+PortfolioFrontier[[#This Row],[P35 Return]]),1+PortfolioFrontier[[#This Row],[P35 Return]])</f>
        <v>1.0725310255824745</v>
      </c>
      <c r="EK17" s="27">
        <f>MAX(EK16,PortfolioFrontier[[#This Row],[P35 Growth]])</f>
        <v>1.0727937070166274</v>
      </c>
      <c r="EL17" s="27">
        <f>PortfolioFrontier[[#This Row],[P35 Growth]]/PortfolioFrontier[[#This Row],[P35 HWM]]-1</f>
        <v>-2.4485735928048147E-4</v>
      </c>
      <c r="EM17" s="28">
        <f>SUMPRODUCT(INDEX(PortfolioRef[[SPY]:[PE]],MATCH(EM$1,PortfolioRef[Reference '#]),0),AssetMonthlyReturns[[#This Row],[SPY]:[PE]])</f>
        <v>1.4655813684140927E-3</v>
      </c>
      <c r="EN17" s="27">
        <f>IF(ISNUMBER(EN16),EN16*(1+PortfolioFrontier[[#This Row],[P36 Return]]),1+PortfolioFrontier[[#This Row],[P36 Return]])</f>
        <v>1.0780055006646951</v>
      </c>
      <c r="EO17" s="27">
        <f>MAX(EO16,PortfolioFrontier[[#This Row],[P36 Growth]])</f>
        <v>1.0780055006646951</v>
      </c>
      <c r="EP17" s="27">
        <f>PortfolioFrontier[[#This Row],[P36 Growth]]/PortfolioFrontier[[#This Row],[P36 HWM]]-1</f>
        <v>0</v>
      </c>
      <c r="EQ17" s="28">
        <f>SUMPRODUCT(INDEX(PortfolioRef[[SPY]:[PE]],MATCH(EQ$1,PortfolioRef[Reference '#]),0),AssetMonthlyReturns[[#This Row],[SPY]:[PE]])</f>
        <v>1.4471573288735609E-3</v>
      </c>
      <c r="ER17" s="27">
        <f>IF(ISNUMBER(ER16),ER16*(1+PortfolioFrontier[[#This Row],[P37 Return]]),1+PortfolioFrontier[[#This Row],[P37 Return]])</f>
        <v>1.0751962657259868</v>
      </c>
      <c r="ES17" s="27">
        <f>MAX(ES16,PortfolioFrontier[[#This Row],[P37 Growth]])</f>
        <v>1.0751962657259868</v>
      </c>
      <c r="ET17" s="27">
        <f>PortfolioFrontier[[#This Row],[P37 Growth]]/PortfolioFrontier[[#This Row],[P37 HWM]]-1</f>
        <v>0</v>
      </c>
      <c r="EU17" s="28">
        <f>SUMPRODUCT(INDEX(PortfolioRef[[SPY]:[PE]],MATCH(EU$1,PortfolioRef[Reference '#]),0),AssetMonthlyReturns[[#This Row],[SPY]:[PE]])</f>
        <v>-1.3180740548103306E-3</v>
      </c>
      <c r="EV17" s="27">
        <f>IF(ISNUMBER(EV16),EV16*(1+PortfolioFrontier[[#This Row],[P38 Return]]),1+PortfolioFrontier[[#This Row],[P38 Return]])</f>
        <v>1.0696218482051545</v>
      </c>
      <c r="EW17" s="27">
        <f>MAX(EW16,PortfolioFrontier[[#This Row],[P38 Growth]])</f>
        <v>1.0710335497388968</v>
      </c>
      <c r="EX17" s="27">
        <f>PortfolioFrontier[[#This Row],[P38 Growth]]/PortfolioFrontier[[#This Row],[P38 HWM]]-1</f>
        <v>-1.3180740548103254E-3</v>
      </c>
      <c r="EY17" s="28">
        <f>SUMPRODUCT(INDEX(PortfolioRef[[SPY]:[PE]],MATCH(EY$1,PortfolioRef[Reference '#]),0),AssetMonthlyReturns[[#This Row],[SPY]:[PE]])</f>
        <v>3.923646728843655E-4</v>
      </c>
      <c r="EZ17" s="27">
        <f>IF(ISNUMBER(EZ16),EZ16*(1+PortfolioFrontier[[#This Row],[P39 Return]]),1+PortfolioFrontier[[#This Row],[P39 Return]])</f>
        <v>1.0751172415161188</v>
      </c>
      <c r="FA17" s="27">
        <f>MAX(FA16,PortfolioFrontier[[#This Row],[P39 Growth]])</f>
        <v>1.0751172415161188</v>
      </c>
      <c r="FB17" s="27">
        <f>PortfolioFrontier[[#This Row],[P39 Growth]]/PortfolioFrontier[[#This Row],[P39 HWM]]-1</f>
        <v>0</v>
      </c>
      <c r="FC17" s="28">
        <f>SUMPRODUCT(INDEX(PortfolioRef[[SPY]:[PE]],MATCH(FC$1,PortfolioRef[Reference '#]),0),AssetMonthlyReturns[[#This Row],[SPY]:[PE]])</f>
        <v>3.7394063334383366E-4</v>
      </c>
      <c r="FD17" s="27">
        <f>IF(ISNUMBER(FD16),FD16*(1+PortfolioFrontier[[#This Row],[P40 Return]]),1+PortfolioFrontier[[#This Row],[P40 Return]])</f>
        <v>1.0723381297527694</v>
      </c>
      <c r="FE17" s="27">
        <f>MAX(FE16,PortfolioFrontier[[#This Row],[P40 Growth]])</f>
        <v>1.0723381297527694</v>
      </c>
      <c r="FF17" s="27">
        <f>PortfolioFrontier[[#This Row],[P40 Growth]]/PortfolioFrontier[[#This Row],[P40 HWM]]-1</f>
        <v>0</v>
      </c>
      <c r="FG17" s="28">
        <f>SUMPRODUCT(INDEX(PortfolioRef[[SPY]:[PE]],MATCH(FG$1,PortfolioRef[Reference '#]),0),AssetMonthlyReturns[[#This Row],[SPY]:[PE]])</f>
        <v>2.1028034005790624E-3</v>
      </c>
      <c r="FH17" s="27">
        <f>IF(ISNUMBER(FH16),FH16*(1+PortfolioFrontier[[#This Row],[P41 Return]]),1+PortfolioFrontier[[#This Row],[P41 Return]])</f>
        <v>1.0805862944821227</v>
      </c>
      <c r="FI17" s="27">
        <f>MAX(FI16,PortfolioFrontier[[#This Row],[P41 Growth]])</f>
        <v>1.0805862944821227</v>
      </c>
      <c r="FJ17" s="27">
        <f>PortfolioFrontier[[#This Row],[P41 Growth]]/PortfolioFrontier[[#This Row],[P41 HWM]]-1</f>
        <v>0</v>
      </c>
      <c r="FK17" s="28">
        <f>SUMPRODUCT(INDEX(PortfolioRef[[SPY]:[PE]],MATCH(FK$1,PortfolioRef[Reference '#]),0),AssetMonthlyReturns[[#This Row],[SPY]:[PE]])</f>
        <v>2.0843793610385297E-3</v>
      </c>
      <c r="FL17" s="27">
        <f>IF(ISNUMBER(FL16),FL16*(1+PortfolioFrontier[[#This Row],[P42 Return]]),1+PortfolioFrontier[[#This Row],[P42 Return]])</f>
        <v>1.077802078049606</v>
      </c>
      <c r="FM17" s="27">
        <f>MAX(FM16,PortfolioFrontier[[#This Row],[P42 Growth]])</f>
        <v>1.077802078049606</v>
      </c>
      <c r="FN17" s="27">
        <f>PortfolioFrontier[[#This Row],[P42 Growth]]/PortfolioFrontier[[#This Row],[P42 HWM]]-1</f>
        <v>0</v>
      </c>
      <c r="FO17" s="28">
        <f>SUMPRODUCT(INDEX(PortfolioRef[[SPY]:[PE]],MATCH(FO$1,PortfolioRef[Reference '#]),0),AssetMonthlyReturns[[#This Row],[SPY]:[PE]])</f>
        <v>2.0659553214979979E-3</v>
      </c>
      <c r="FP17" s="27">
        <f>IF(ISNUMBER(FP16),FP16*(1+PortfolioFrontier[[#This Row],[P43 Return]]),1+PortfolioFrontier[[#This Row],[P43 Return]])</f>
        <v>1.0749755537424697</v>
      </c>
      <c r="FQ17" s="27">
        <f>MAX(FQ16,PortfolioFrontier[[#This Row],[P43 Growth]])</f>
        <v>1.0749755537424697</v>
      </c>
      <c r="FR17" s="27">
        <f>PortfolioFrontier[[#This Row],[P43 Growth]]/PortfolioFrontier[[#This Row],[P43 HWM]]-1</f>
        <v>0</v>
      </c>
      <c r="FS17" s="28">
        <f>SUMPRODUCT(INDEX(PortfolioRef[[SPY]:[PE]],MATCH(FS$1,PortfolioRef[Reference '#]),0),AssetMonthlyReturns[[#This Row],[SPY]:[PE]])</f>
        <v>-6.8085202264536217E-4</v>
      </c>
      <c r="FT17" s="27">
        <f>IF(ISNUMBER(FT16),FT16*(1+PortfolioFrontier[[#This Row],[P44 Return]]),1+PortfolioFrontier[[#This Row],[P44 Return]])</f>
        <v>1.0721899443462384</v>
      </c>
      <c r="FU17" s="27">
        <f>MAX(FU16,PortfolioFrontier[[#This Row],[P44 Growth]])</f>
        <v>1.0729204444009464</v>
      </c>
      <c r="FV17" s="27">
        <f>PortfolioFrontier[[#This Row],[P44 Growth]]/PortfolioFrontier[[#This Row],[P44 HWM]]-1</f>
        <v>-6.8085202264545064E-4</v>
      </c>
      <c r="FW17" s="28">
        <f>SUMPRODUCT(INDEX(PortfolioRef[[SPY]:[PE]],MATCH(FW$1,PortfolioRef[Reference '#]),0),AssetMonthlyReturns[[#This Row],[SPY]:[PE]])</f>
        <v>-6.99276062185894E-4</v>
      </c>
      <c r="FX17" s="27">
        <f>IF(ISNUMBER(FX16),FX16*(1+PortfolioFrontier[[#This Row],[P45 Return]]),1+PortfolioFrontier[[#This Row],[P45 Return]])</f>
        <v>1.0694408560287221</v>
      </c>
      <c r="FY17" s="27">
        <f>MAX(FY16,PortfolioFrontier[[#This Row],[P45 Growth]])</f>
        <v>1.0701892137278914</v>
      </c>
      <c r="FZ17" s="27">
        <f>PortfolioFrontier[[#This Row],[P45 Growth]]/PortfolioFrontier[[#This Row],[P45 HWM]]-1</f>
        <v>-6.9927606218578298E-4</v>
      </c>
      <c r="GA17" s="28">
        <f>SUMPRODUCT(INDEX(PortfolioRef[[SPY]:[PE]],MATCH(GA$1,PortfolioRef[Reference '#]),0),AssetMonthlyReturns[[#This Row],[SPY]:[PE]])</f>
        <v>1.0295867050493348E-3</v>
      </c>
      <c r="GB17" s="27">
        <f>IF(ISNUMBER(GB16),GB16*(1+PortfolioFrontier[[#This Row],[P46 Return]]),1+PortfolioFrontier[[#This Row],[P46 Return]])</f>
        <v>1.0776798824116882</v>
      </c>
      <c r="GC17" s="27">
        <f>MAX(GC16,PortfolioFrontier[[#This Row],[P46 Growth]])</f>
        <v>1.0776798824116882</v>
      </c>
      <c r="GD17" s="27">
        <f>PortfolioFrontier[[#This Row],[P46 Growth]]/PortfolioFrontier[[#This Row],[P46 HWM]]-1</f>
        <v>0</v>
      </c>
      <c r="GE17" s="28">
        <f>SUMPRODUCT(INDEX(PortfolioRef[[SPY]:[PE]],MATCH(GE$1,PortfolioRef[Reference '#]),0),AssetMonthlyReturns[[#This Row],[SPY]:[PE]])</f>
        <v>1.0111626655088021E-3</v>
      </c>
      <c r="GF17" s="27">
        <f>IF(ISNUMBER(GF16),GF16*(1+PortfolioFrontier[[#This Row],[P47 Return]]),1+PortfolioFrontier[[#This Row],[P47 Return]])</f>
        <v>1.0749257896821456</v>
      </c>
      <c r="GG17" s="27">
        <f>MAX(GG16,PortfolioFrontier[[#This Row],[P47 Growth]])</f>
        <v>1.0749257896821456</v>
      </c>
      <c r="GH17" s="27">
        <f>PortfolioFrontier[[#This Row],[P47 Growth]]/PortfolioFrontier[[#This Row],[P47 HWM]]-1</f>
        <v>0</v>
      </c>
      <c r="GI17" s="28">
        <f>SUMPRODUCT(INDEX(PortfolioRef[[SPY]:[PE]],MATCH(GI$1,PortfolioRef[Reference '#]),0),AssetMonthlyReturns[[#This Row],[SPY]:[PE]])</f>
        <v>9.9273862596827023E-4</v>
      </c>
      <c r="GJ17" s="27">
        <f>IF(ISNUMBER(GJ16),GJ16*(1+PortfolioFrontier[[#This Row],[P48 Return]]),1+PortfolioFrontier[[#This Row],[P48 Return]])</f>
        <v>1.0721294076660748</v>
      </c>
      <c r="GK17" s="27">
        <f>MAX(GK16,PortfolioFrontier[[#This Row],[P48 Growth]])</f>
        <v>1.0721294076660748</v>
      </c>
      <c r="GL17" s="27">
        <f>PortfolioFrontier[[#This Row],[P48 Growth]]/PortfolioFrontier[[#This Row],[P48 HWM]]-1</f>
        <v>0</v>
      </c>
      <c r="GM17" s="28">
        <f>SUMPRODUCT(INDEX(PortfolioRef[[SPY]:[PE]],MATCH(GM$1,PortfolioRef[Reference '#]),0),AssetMonthlyReturns[[#This Row],[SPY]:[PE]])</f>
        <v>2.7400254327440308E-3</v>
      </c>
      <c r="GN17" s="27">
        <f>IF(ISNUMBER(GN16),GN16*(1+PortfolioFrontier[[#This Row],[P49 Return]]),1+PortfolioFrontier[[#This Row],[P49 Return]])</f>
        <v>1.0831433049930757</v>
      </c>
      <c r="GO17" s="27">
        <f>MAX(GO16,PortfolioFrontier[[#This Row],[P49 Growth]])</f>
        <v>1.0831433049930757</v>
      </c>
      <c r="GP17" s="27">
        <f>PortfolioFrontier[[#This Row],[P49 Growth]]/PortfolioFrontier[[#This Row],[P49 HWM]]-1</f>
        <v>0</v>
      </c>
      <c r="GQ17" s="28">
        <f>SUMPRODUCT(INDEX(PortfolioRef[[SPY]:[PE]],MATCH(GQ$1,PortfolioRef[Reference '#]),0),AssetMonthlyReturns[[#This Row],[SPY]:[PE]])</f>
        <v>2.721601393203499E-3</v>
      </c>
      <c r="GR17" s="27">
        <f>IF(ISNUMBER(GR16),GR16*(1+PortfolioFrontier[[#This Row],[P50 Return]]),1+PortfolioFrontier[[#This Row],[P50 Return]])</f>
        <v>1.0803843239298334</v>
      </c>
      <c r="GS17" s="27">
        <f>MAX(GS16,PortfolioFrontier[[#This Row],[P50 Growth]])</f>
        <v>1.0803843239298334</v>
      </c>
      <c r="GT17" s="27">
        <f>PortfolioFrontier[[#This Row],[P50 Growth]]/PortfolioFrontier[[#This Row],[P50 HWM]]-1</f>
        <v>0</v>
      </c>
      <c r="GU17" s="28">
        <f>SUMPRODUCT(INDEX(PortfolioRef[[SPY]:[PE]],MATCH(GU$1,PortfolioRef[Reference '#]),0),AssetMonthlyReturns[[#This Row],[SPY]:[PE]])</f>
        <v>2.7031773536629663E-3</v>
      </c>
      <c r="GV17" s="27">
        <f>IF(ISNUMBER(GV16),GV16*(1+PortfolioFrontier[[#This Row],[P51 Return]]),1+PortfolioFrontier[[#This Row],[P51 Return]])</f>
        <v>1.0775827580660031</v>
      </c>
      <c r="GW17" s="27">
        <f>MAX(GW16,PortfolioFrontier[[#This Row],[P51 Growth]])</f>
        <v>1.0775827580660031</v>
      </c>
      <c r="GX17" s="27">
        <f>PortfolioFrontier[[#This Row],[P51 Growth]]/PortfolioFrontier[[#This Row],[P51 HWM]]-1</f>
        <v>0</v>
      </c>
      <c r="GY17" s="28">
        <f>SUMPRODUCT(INDEX(PortfolioRef[[SPY]:[PE]],MATCH(GY$1,PortfolioRef[Reference '#]),0),AssetMonthlyReturns[[#This Row],[SPY]:[PE]])</f>
        <v>-4.3629990480392473E-5</v>
      </c>
      <c r="GZ17" s="27">
        <f>IF(ISNUMBER(GZ16),GZ16*(1+PortfolioFrontier[[#This Row],[P52 Return]]),1+PortfolioFrontier[[#This Row],[P52 Return]])</f>
        <v>1.0747344852337677</v>
      </c>
      <c r="HA17" s="27">
        <f>MAX(HA16,PortfolioFrontier[[#This Row],[P52 Growth]])</f>
        <v>1.0747813779350555</v>
      </c>
      <c r="HB17" s="27">
        <f>PortfolioFrontier[[#This Row],[P52 Growth]]/PortfolioFrontier[[#This Row],[P52 HWM]]-1</f>
        <v>-4.3629990480353875E-5</v>
      </c>
      <c r="HC17" s="28">
        <f>SUMPRODUCT(INDEX(PortfolioRef[[SPY]:[PE]],MATCH(HC$1,PortfolioRef[Reference '#]),0),AssetMonthlyReturns[[#This Row],[SPY]:[PE]])</f>
        <v>-6.2054030020925171E-5</v>
      </c>
      <c r="HD17" s="27">
        <f>IF(ISNUMBER(HD16),HD16*(1+PortfolioFrontier[[#This Row],[P53 Return]]),1+PortfolioFrontier[[#This Row],[P53 Return]])</f>
        <v>1.0720104150298861</v>
      </c>
      <c r="HE17" s="27">
        <f>MAX(HE16,PortfolioFrontier[[#This Row],[P53 Growth]])</f>
        <v>1.0720769417246125</v>
      </c>
      <c r="HF17" s="27">
        <f>PortfolioFrontier[[#This Row],[P53 Growth]]/PortfolioFrontier[[#This Row],[P53 HWM]]-1</f>
        <v>-6.2054030020797235E-5</v>
      </c>
      <c r="HG17" s="28">
        <f>SUMPRODUCT(INDEX(PortfolioRef[[SPY]:[PE]],MATCH(HG$1,PortfolioRef[Reference '#]),0),AssetMonthlyReturns[[#This Row],[SPY]:[PE]])</f>
        <v>-8.0478069561457002E-5</v>
      </c>
      <c r="HH17" s="27">
        <f>IF(ISNUMBER(HH16),HH16*(1+PortfolioFrontier[[#This Row],[P54 Return]]),1+PortfolioFrontier[[#This Row],[P54 Return]])</f>
        <v>1.0692440764485402</v>
      </c>
      <c r="HI17" s="27">
        <f>MAX(HI16,PortfolioFrontier[[#This Row],[P54 Growth]])</f>
        <v>1.0693301340734545</v>
      </c>
      <c r="HJ17" s="27">
        <f>PortfolioFrontier[[#This Row],[P54 Growth]]/PortfolioFrontier[[#This Row],[P54 HWM]]-1</f>
        <v>-8.0478069561573662E-5</v>
      </c>
      <c r="HK17" s="28">
        <f>SUMPRODUCT(INDEX(PortfolioRef[[SPY]:[PE]],MATCH(HK$1,PortfolioRef[Reference '#]),0),AssetMonthlyReturns[[#This Row],[SPY]:[PE]])</f>
        <v>1.6668087372143036E-3</v>
      </c>
      <c r="HL17" s="27">
        <f>IF(ISNUMBER(HL16),HL16*(1+PortfolioFrontier[[#This Row],[P55 Return]]),1+PortfolioFrontier[[#This Row],[P55 Return]])</f>
        <v>1.0802187595583446</v>
      </c>
      <c r="HM17" s="27">
        <f>MAX(HM16,PortfolioFrontier[[#This Row],[P55 Growth]])</f>
        <v>1.0802187595583446</v>
      </c>
      <c r="HN17" s="27">
        <f>PortfolioFrontier[[#This Row],[P55 Growth]]/PortfolioFrontier[[#This Row],[P55 HWM]]-1</f>
        <v>0</v>
      </c>
      <c r="HO17" s="28">
        <f>SUMPRODUCT(INDEX(PortfolioRef[[SPY]:[PE]],MATCH(HO$1,PortfolioRef[Reference '#]),0),AssetMonthlyReturns[[#This Row],[SPY]:[PE]])</f>
        <v>1.6483846976737718E-3</v>
      </c>
      <c r="HP17" s="27">
        <f>IF(ISNUMBER(HP16),HP16*(1+PortfolioFrontier[[#This Row],[P56 Return]]),1+PortfolioFrontier[[#This Row],[P56 Return]])</f>
        <v>1.0774899015204649</v>
      </c>
      <c r="HQ17" s="27">
        <f>MAX(HQ16,PortfolioFrontier[[#This Row],[P56 Growth]])</f>
        <v>1.0774899015204649</v>
      </c>
      <c r="HR17" s="27">
        <f>PortfolioFrontier[[#This Row],[P56 Growth]]/PortfolioFrontier[[#This Row],[P56 HWM]]-1</f>
        <v>0</v>
      </c>
      <c r="HS17" s="28">
        <f>SUMPRODUCT(INDEX(PortfolioRef[[SPY]:[PE]],MATCH(HS$1,PortfolioRef[Reference '#]),0),AssetMonthlyReturns[[#This Row],[SPY]:[PE]])</f>
        <v>1.6299606581332391E-3</v>
      </c>
      <c r="HT17" s="27">
        <f>IF(ISNUMBER(HT16),HT16*(1+PortfolioFrontier[[#This Row],[P57 Return]]),1+PortfolioFrontier[[#This Row],[P57 Return]])</f>
        <v>1.0747184788518471</v>
      </c>
      <c r="HU17" s="27">
        <f>MAX(HU16,PortfolioFrontier[[#This Row],[P57 Growth]])</f>
        <v>1.0747184788518471</v>
      </c>
      <c r="HV17" s="27">
        <f>PortfolioFrontier[[#This Row],[P57 Growth]]/PortfolioFrontier[[#This Row],[P57 HWM]]-1</f>
        <v>0</v>
      </c>
      <c r="HW17" s="28">
        <f>SUMPRODUCT(INDEX(PortfolioRef[[SPY]:[PE]],MATCH(HW$1,PortfolioRef[Reference '#]),0),AssetMonthlyReturns[[#This Row],[SPY]:[PE]])</f>
        <v>3.3772474649089996E-3</v>
      </c>
      <c r="HX17" s="27">
        <f>IF(ISNUMBER(HX16),HX16*(1+PortfolioFrontier[[#This Row],[P58 Return]]),1+PortfolioFrontier[[#This Row],[P58 Return]])</f>
        <v>1.0856763435062495</v>
      </c>
      <c r="HY17" s="27">
        <f>MAX(HY16,PortfolioFrontier[[#This Row],[P58 Growth]])</f>
        <v>1.0856763435062495</v>
      </c>
      <c r="HZ17" s="27">
        <f>PortfolioFrontier[[#This Row],[P58 Growth]]/PortfolioFrontier[[#This Row],[P58 HWM]]-1</f>
        <v>0</v>
      </c>
      <c r="IA17" s="28">
        <f>SUMPRODUCT(INDEX(PortfolioRef[[SPY]:[PE]],MATCH(IA$1,PortfolioRef[Reference '#]),0),AssetMonthlyReturns[[#This Row],[SPY]:[PE]])</f>
        <v>3.3588234253684678E-3</v>
      </c>
      <c r="IB17" s="27">
        <f>IF(ISNUMBER(IB16),IB16*(1+PortfolioFrontier[[#This Row],[P59 Return]]),1+PortfolioFrontier[[#This Row],[P59 Return]])</f>
        <v>1.0829428137455288</v>
      </c>
      <c r="IC17" s="27">
        <f>MAX(IC16,PortfolioFrontier[[#This Row],[P59 Growth]])</f>
        <v>1.0829428137455288</v>
      </c>
      <c r="ID17" s="27">
        <f>PortfolioFrontier[[#This Row],[P59 Growth]]/PortfolioFrontier[[#This Row],[P59 HWM]]-1</f>
        <v>0</v>
      </c>
      <c r="IE17" s="28">
        <f>SUMPRODUCT(INDEX(PortfolioRef[[SPY]:[PE]],MATCH(IE$1,PortfolioRef[Reference '#]),0),AssetMonthlyReturns[[#This Row],[SPY]:[PE]])</f>
        <v>3.340399385827936E-3</v>
      </c>
      <c r="IF17" s="27">
        <f>IF(ISNUMBER(IF16),IF16*(1+PortfolioFrontier[[#This Row],[P60 Return]]),1+PortfolioFrontier[[#This Row],[P60 Return]])</f>
        <v>1.0801664232389212</v>
      </c>
      <c r="IG17" s="27">
        <f>MAX(IG16,PortfolioFrontier[[#This Row],[P60 Growth]])</f>
        <v>1.0801664232389212</v>
      </c>
      <c r="IH17" s="27">
        <f>PortfolioFrontier[[#This Row],[P60 Growth]]/PortfolioFrontier[[#This Row],[P60 HWM]]-1</f>
        <v>0</v>
      </c>
      <c r="II17" s="28">
        <f>SUMPRODUCT(INDEX(PortfolioRef[[SPY]:[PE]],MATCH(II$1,PortfolioRef[Reference '#]),0),AssetMonthlyReturns[[#This Row],[SPY]:[PE]])</f>
        <v>7.492498383070425E-4</v>
      </c>
      <c r="IJ17" s="27">
        <f>IF(ISNUMBER(IJ16),IJ16*(1+PortfolioFrontier[[#This Row],[P61 Return]]),1+PortfolioFrontier[[#This Row],[P61 Return]])</f>
        <v>1.066551568431948</v>
      </c>
      <c r="IK17" s="27">
        <f>MAX(IK16,PortfolioFrontier[[#This Row],[P61 Growth]])</f>
        <v>1.066551568431948</v>
      </c>
      <c r="IL17" s="27">
        <f>PortfolioFrontier[[#This Row],[P61 Growth]]/PortfolioFrontier[[#This Row],[P61 HWM]]-1</f>
        <v>0</v>
      </c>
      <c r="IM17" s="28">
        <f>SUMPRODUCT(INDEX(PortfolioRef[[SPY]:[PE]],MATCH(IM$1,PortfolioRef[Reference '#]),0),AssetMonthlyReturns[[#This Row],[SPY]:[PE]])</f>
        <v>-3.2396685722268495E-4</v>
      </c>
      <c r="IN17" s="27">
        <f>IF(ISNUMBER(IN16),IN16*(1+PortfolioFrontier[[#This Row],[P62 Return]]),1+PortfolioFrontier[[#This Row],[P62 Return]])</f>
        <v>1.0636937715389239</v>
      </c>
      <c r="IO17" s="27">
        <f>MAX(IO16,PortfolioFrontier[[#This Row],[P62 Growth]])</f>
        <v>1.0640384847427899</v>
      </c>
      <c r="IP17" s="27">
        <f>PortfolioFrontier[[#This Row],[P62 Growth]]/PortfolioFrontier[[#This Row],[P62 HWM]]-1</f>
        <v>-3.2396685722269059E-4</v>
      </c>
      <c r="IQ17" s="28">
        <f>SUMPRODUCT(INDEX(PortfolioRef[[SPY]:[PE]],MATCH(IQ$1,PortfolioRef[Reference '#]),0),AssetMonthlyReturns[[#This Row],[SPY]:[PE]])</f>
        <v>1.3864718704720111E-3</v>
      </c>
      <c r="IR17" s="27">
        <f>IF(ISNUMBER(IR16),IR16*(1+PortfolioFrontier[[#This Row],[P63 Return]]),1+PortfolioFrontier[[#This Row],[P63 Return]])</f>
        <v>1.0691440016138818</v>
      </c>
      <c r="IS17" s="27">
        <f>MAX(IS16,PortfolioFrontier[[#This Row],[P63 Growth]])</f>
        <v>1.0691440016138818</v>
      </c>
      <c r="IT17" s="27">
        <f>PortfolioFrontier[[#This Row],[P63 Growth]]/PortfolioFrontier[[#This Row],[P63 HWM]]-1</f>
        <v>0</v>
      </c>
      <c r="IU17" s="28">
        <f>SUMPRODUCT(INDEX(PortfolioRef[[SPY]:[PE]],MATCH(IU$1,PortfolioRef[Reference '#]),0),AssetMonthlyReturns[[#This Row],[SPY]:[PE]])</f>
        <v>1.3680478309314793E-3</v>
      </c>
      <c r="IV17" s="27">
        <f>IF(ISNUMBER(IV16),IV16*(1+PortfolioFrontier[[#This Row],[P64 Return]]),1+PortfolioFrontier[[#This Row],[P64 Return]])</f>
        <v>1.0663525420965738</v>
      </c>
      <c r="IW17" s="27">
        <f>MAX(IW16,PortfolioFrontier[[#This Row],[P64 Growth]])</f>
        <v>1.0663525420965738</v>
      </c>
      <c r="IX17" s="27">
        <f>PortfolioFrontier[[#This Row],[P64 Growth]]/PortfolioFrontier[[#This Row],[P64 HWM]]-1</f>
        <v>0</v>
      </c>
      <c r="IY17" s="28">
        <f>SUMPRODUCT(INDEX(PortfolioRef[[SPY]:[PE]],MATCH(IY$1,PortfolioRef[Reference '#]),0),AssetMonthlyReturns[[#This Row],[SPY]:[PE]])</f>
        <v>-1.3971835527524122E-3</v>
      </c>
      <c r="IZ17" s="27">
        <f>IF(ISNUMBER(IZ16),IZ16*(1+PortfolioFrontier[[#This Row],[P65 Return]]),1+PortfolioFrontier[[#This Row],[P65 Return]])</f>
        <v>1.060797199063666</v>
      </c>
      <c r="JA17" s="27">
        <f>MAX(JA16,PortfolioFrontier[[#This Row],[P65 Growth]])</f>
        <v>1.0622814011657695</v>
      </c>
      <c r="JB17" s="27">
        <f>PortfolioFrontier[[#This Row],[P65 Growth]]/PortfolioFrontier[[#This Row],[P65 HWM]]-1</f>
        <v>-1.3971835527523124E-3</v>
      </c>
      <c r="JC17" s="28">
        <f>SUMPRODUCT(INDEX(PortfolioRef[[SPY]:[PE]],MATCH(JC$1,PortfolioRef[Reference '#]),0),AssetMonthlyReturns[[#This Row],[SPY]:[PE]])</f>
        <v>3.1325517494228388E-4</v>
      </c>
      <c r="JD17" s="27">
        <f>IF(ISNUMBER(JD16),JD16*(1+PortfolioFrontier[[#This Row],[P66 Return]]),1+PortfolioFrontier[[#This Row],[P66 Return]])</f>
        <v>1.0662681455044656</v>
      </c>
      <c r="JE17" s="27">
        <f>MAX(JE16,PortfolioFrontier[[#This Row],[P66 Growth]])</f>
        <v>1.0662681455044656</v>
      </c>
      <c r="JF17" s="27">
        <f>PortfolioFrontier[[#This Row],[P66 Growth]]/PortfolioFrontier[[#This Row],[P66 HWM]]-1</f>
        <v>0</v>
      </c>
      <c r="JG17" s="28">
        <f>SUMPRODUCT(INDEX(PortfolioRef[[SPY]:[PE]],MATCH(JG$1,PortfolioRef[Reference '#]),0),AssetMonthlyReturns[[#This Row],[SPY]:[PE]])</f>
        <v>2.9483113540175205E-4</v>
      </c>
      <c r="JH17" s="27">
        <f>IF(ISNUMBER(JH16),JH16*(1+PortfolioFrontier[[#This Row],[P67 Return]]),1+PortfolioFrontier[[#This Row],[P67 Return]])</f>
        <v>1.0635066089992742</v>
      </c>
      <c r="JI17" s="27">
        <f>MAX(JI16,PortfolioFrontier[[#This Row],[P67 Growth]])</f>
        <v>1.0635066089992742</v>
      </c>
      <c r="JJ17" s="27">
        <f>PortfolioFrontier[[#This Row],[P67 Growth]]/PortfolioFrontier[[#This Row],[P67 HWM]]-1</f>
        <v>0</v>
      </c>
      <c r="JK17" s="28">
        <f>SUMPRODUCT(INDEX(PortfolioRef[[SPY]:[PE]],MATCH(JK$1,PortfolioRef[Reference '#]),0),AssetMonthlyReturns[[#This Row],[SPY]:[PE]])</f>
        <v>2.0236939026369808E-3</v>
      </c>
      <c r="JL17" s="27">
        <f>IF(ISNUMBER(JL16),JL16*(1+PortfolioFrontier[[#This Row],[P68 Return]]),1+PortfolioFrontier[[#This Row],[P68 Return]])</f>
        <v>1.0717130571518609</v>
      </c>
      <c r="JM17" s="27">
        <f>MAX(JM16,PortfolioFrontier[[#This Row],[P68 Growth]])</f>
        <v>1.0717130571518609</v>
      </c>
      <c r="JN17" s="27">
        <f>PortfolioFrontier[[#This Row],[P68 Growth]]/PortfolioFrontier[[#This Row],[P68 HWM]]-1</f>
        <v>0</v>
      </c>
      <c r="JO17" s="28">
        <f>SUMPRODUCT(INDEX(PortfolioRef[[SPY]:[PE]],MATCH(JO$1,PortfolioRef[Reference '#]),0),AssetMonthlyReturns[[#This Row],[SPY]:[PE]])</f>
        <v>2.0052698630964481E-3</v>
      </c>
      <c r="JP17" s="27">
        <f>IF(ISNUMBER(JP16),JP16*(1+PortfolioFrontier[[#This Row],[P69 Return]]),1+PortfolioFrontier[[#This Row],[P69 Return]])</f>
        <v>1.0689463857110881</v>
      </c>
      <c r="JQ17" s="27">
        <f>MAX(JQ16,PortfolioFrontier[[#This Row],[P69 Growth]])</f>
        <v>1.0689463857110881</v>
      </c>
      <c r="JR17" s="27">
        <f>PortfolioFrontier[[#This Row],[P69 Growth]]/PortfolioFrontier[[#This Row],[P69 HWM]]-1</f>
        <v>0</v>
      </c>
      <c r="JS17" s="28">
        <f>SUMPRODUCT(INDEX(PortfolioRef[[SPY]:[PE]],MATCH(JS$1,PortfolioRef[Reference '#]),0),AssetMonthlyReturns[[#This Row],[SPY]:[PE]])</f>
        <v>1.9868458235559163E-3</v>
      </c>
      <c r="JT17" s="27">
        <f>IF(ISNUMBER(JT16),JT16*(1+PortfolioFrontier[[#This Row],[P70 Return]]),1+PortfolioFrontier[[#This Row],[P70 Return]])</f>
        <v>1.0661377516159609</v>
      </c>
      <c r="JU17" s="27">
        <f>MAX(JU16,PortfolioFrontier[[#This Row],[P70 Growth]])</f>
        <v>1.0661377516159609</v>
      </c>
      <c r="JV17" s="27">
        <f>PortfolioFrontier[[#This Row],[P70 Growth]]/PortfolioFrontier[[#This Row],[P70 HWM]]-1</f>
        <v>0</v>
      </c>
      <c r="JW17" s="28">
        <f>SUMPRODUCT(INDEX(PortfolioRef[[SPY]:[PE]],MATCH(JW$1,PortfolioRef[Reference '#]),0),AssetMonthlyReturns[[#This Row],[SPY]:[PE]])</f>
        <v>-7.5996152058744335E-4</v>
      </c>
      <c r="JX17" s="27">
        <f>IF(ISNUMBER(JX16),JX16*(1+PortfolioFrontier[[#This Row],[P71 Return]]),1+PortfolioFrontier[[#This Row],[P71 Return]])</f>
        <v>1.0633535649385255</v>
      </c>
      <c r="JY17" s="27">
        <f>MAX(JY16,PortfolioFrontier[[#This Row],[P71 Growth]])</f>
        <v>1.0641622873285554</v>
      </c>
      <c r="JZ17" s="27">
        <f>PortfolioFrontier[[#This Row],[P71 Growth]]/PortfolioFrontier[[#This Row],[P71 HWM]]-1</f>
        <v>-7.5996152058732669E-4</v>
      </c>
      <c r="KA17" s="28">
        <f>SUMPRODUCT(INDEX(PortfolioRef[[SPY]:[PE]],MATCH(KA$1,PortfolioRef[Reference '#]),0),AssetMonthlyReturns[[#This Row],[SPY]:[PE]])</f>
        <v>-7.7838556012797518E-4</v>
      </c>
      <c r="KB17" s="27">
        <f>IF(ISNUMBER(KB16),KB16*(1+PortfolioFrontier[[#This Row],[P72 Return]]),1+PortfolioFrontier[[#This Row],[P72 Return]])</f>
        <v>1.0606218524475455</v>
      </c>
      <c r="KC17" s="27">
        <f>MAX(KC16,PortfolioFrontier[[#This Row],[P72 Growth]])</f>
        <v>1.0614480682967333</v>
      </c>
      <c r="KD17" s="27">
        <f>PortfolioFrontier[[#This Row],[P72 Growth]]/PortfolioFrontier[[#This Row],[P72 HWM]]-1</f>
        <v>-7.7838556012788107E-4</v>
      </c>
      <c r="KE17" s="28">
        <f>SUMPRODUCT(INDEX(PortfolioRef[[SPY]:[PE]],MATCH(KE$1,PortfolioRef[Reference '#]),0),AssetMonthlyReturns[[#This Row],[SPY]:[PE]])</f>
        <v>9.5047720710725358E-4</v>
      </c>
      <c r="KF17" s="27">
        <f>IF(ISNUMBER(KF16),KF16*(1+PortfolioFrontier[[#This Row],[P73 Return]]),1+PortfolioFrontier[[#This Row],[P73 Return]])</f>
        <v>1.0688191602763755</v>
      </c>
      <c r="KG17" s="27">
        <f>MAX(KG16,PortfolioFrontier[[#This Row],[P73 Growth]])</f>
        <v>1.0688191602763755</v>
      </c>
      <c r="KH17" s="27">
        <f>PortfolioFrontier[[#This Row],[P73 Growth]]/PortfolioFrontier[[#This Row],[P73 HWM]]-1</f>
        <v>0</v>
      </c>
      <c r="KI17" s="28">
        <f>SUMPRODUCT(INDEX(PortfolioRef[[SPY]:[PE]],MATCH(KI$1,PortfolioRef[Reference '#]),0),AssetMonthlyReturns[[#This Row],[SPY]:[PE]])</f>
        <v>9.3205316756672088E-4</v>
      </c>
      <c r="KJ17" s="27">
        <f>IF(ISNUMBER(KJ16),KJ16*(1+PortfolioFrontier[[#This Row],[P74 Return]]),1+PortfolioFrontier[[#This Row],[P74 Return]])</f>
        <v>1.0660824124431945</v>
      </c>
      <c r="KK17" s="27">
        <f>MAX(KK16,PortfolioFrontier[[#This Row],[P74 Growth]])</f>
        <v>1.0660824124431945</v>
      </c>
      <c r="KL17" s="27">
        <f>PortfolioFrontier[[#This Row],[P74 Growth]]/PortfolioFrontier[[#This Row],[P74 HWM]]-1</f>
        <v>0</v>
      </c>
      <c r="KM17" s="28">
        <f>SUMPRODUCT(INDEX(PortfolioRef[[SPY]:[PE]],MATCH(KM$1,PortfolioRef[Reference '#]),0),AssetMonthlyReturns[[#This Row],[SPY]:[PE]])</f>
        <v>9.1362912802618905E-4</v>
      </c>
      <c r="KN17" s="27">
        <f>IF(ISNUMBER(KN16),KN16*(1+PortfolioFrontier[[#This Row],[P75 Return]]),1+PortfolioFrontier[[#This Row],[P75 Return]])</f>
        <v>1.0633037205299896</v>
      </c>
      <c r="KO17" s="27">
        <f>MAX(KO16,PortfolioFrontier[[#This Row],[P75 Growth]])</f>
        <v>1.0633037205299896</v>
      </c>
      <c r="KP17" s="27">
        <f>PortfolioFrontier[[#This Row],[P75 Growth]]/PortfolioFrontier[[#This Row],[P75 HWM]]-1</f>
        <v>0</v>
      </c>
      <c r="KQ17" s="28">
        <f>SUMPRODUCT(INDEX(PortfolioRef[[SPY]:[PE]],MATCH(KQ$1,PortfolioRef[Reference '#]),0),AssetMonthlyReturns[[#This Row],[SPY]:[PE]])</f>
        <v>2.6609159348019496E-3</v>
      </c>
      <c r="KR17" s="27">
        <f>IF(ISNUMBER(KR16),KR16*(1+PortfolioFrontier[[#This Row],[P76 Return]]),1+PortfolioFrontier[[#This Row],[P76 Return]])</f>
        <v>1.0742585462796197</v>
      </c>
      <c r="KS17" s="27">
        <f>MAX(KS16,PortfolioFrontier[[#This Row],[P76 Growth]])</f>
        <v>1.0742585462796197</v>
      </c>
      <c r="KT17" s="27">
        <f>PortfolioFrontier[[#This Row],[P76 Growth]]/PortfolioFrontier[[#This Row],[P76 HWM]]-1</f>
        <v>0</v>
      </c>
      <c r="KU17" s="28">
        <f>SUMPRODUCT(INDEX(PortfolioRef[[SPY]:[PE]],MATCH(KU$1,PortfolioRef[Reference '#]),0),AssetMonthlyReturns[[#This Row],[SPY]:[PE]])</f>
        <v>2.6424918952614178E-3</v>
      </c>
      <c r="KV17" s="27">
        <f>IF(ISNUMBER(KV16),KV16*(1+PortfolioFrontier[[#This Row],[P77 Return]]),1+PortfolioFrontier[[#This Row],[P77 Return]])</f>
        <v>1.0715168785935942</v>
      </c>
      <c r="KW17" s="27">
        <f>MAX(KW16,PortfolioFrontier[[#This Row],[P77 Growth]])</f>
        <v>1.0715168785935942</v>
      </c>
      <c r="KX17" s="27">
        <f>PortfolioFrontier[[#This Row],[P77 Growth]]/PortfolioFrontier[[#This Row],[P77 HWM]]-1</f>
        <v>0</v>
      </c>
      <c r="KY17" s="28">
        <f>SUMPRODUCT(INDEX(PortfolioRef[[SPY]:[PE]],MATCH(KY$1,PortfolioRef[Reference '#]),0),AssetMonthlyReturns[[#This Row],[SPY]:[PE]])</f>
        <v>2.6240678557208851E-3</v>
      </c>
      <c r="KZ17" s="27">
        <f>IF(ISNUMBER(KZ16),KZ16*(1+PortfolioFrontier[[#This Row],[P78 Return]]),1+PortfolioFrontier[[#This Row],[P78 Return]])</f>
        <v>1.0687329729769961</v>
      </c>
      <c r="LA17" s="27">
        <f>MAX(LA16,PortfolioFrontier[[#This Row],[P78 Growth]])</f>
        <v>1.0687329729769961</v>
      </c>
      <c r="LB17" s="27">
        <f>PortfolioFrontier[[#This Row],[P78 Growth]]/PortfolioFrontier[[#This Row],[P78 HWM]]-1</f>
        <v>0</v>
      </c>
      <c r="LC17" s="28">
        <f>SUMPRODUCT(INDEX(PortfolioRef[[SPY]:[PE]],MATCH(LC$1,PortfolioRef[Reference '#]),0),AssetMonthlyReturns[[#This Row],[SPY]:[PE]])</f>
        <v>-1.2273948842247365E-4</v>
      </c>
      <c r="LD17" s="27">
        <f>IF(ISNUMBER(LD16),LD16*(1+PortfolioFrontier[[#This Row],[P79 Return]]),1+PortfolioFrontier[[#This Row],[P79 Return]])</f>
        <v>1.0658865912628306</v>
      </c>
      <c r="LE17" s="27">
        <f>MAX(LE16,PortfolioFrontier[[#This Row],[P79 Growth]])</f>
        <v>1.0660174336972921</v>
      </c>
      <c r="LF17" s="27">
        <f>PortfolioFrontier[[#This Row],[P79 Growth]]/PortfolioFrontier[[#This Row],[P79 HWM]]-1</f>
        <v>-1.2273948842256299E-4</v>
      </c>
      <c r="LG17" s="28">
        <f>SUMPRODUCT(INDEX(PortfolioRef[[SPY]:[PE]],MATCH(LG$1,PortfolioRef[Reference '#]),0),AssetMonthlyReturns[[#This Row],[SPY]:[PE]])</f>
        <v>-1.4116352796300635E-4</v>
      </c>
      <c r="LH17" s="27">
        <f>IF(ISNUMBER(LH16),LH16*(1+PortfolioFrontier[[#This Row],[P80 Return]]),1+PortfolioFrontier[[#This Row],[P80 Return]])</f>
        <v>1.0631796665998889</v>
      </c>
      <c r="LI17" s="27">
        <f>MAX(LI16,PortfolioFrontier[[#This Row],[P80 Growth]])</f>
        <v>1.0633297699816076</v>
      </c>
      <c r="LJ17" s="27">
        <f>PortfolioFrontier[[#This Row],[P80 Growth]]/PortfolioFrontier[[#This Row],[P80 HWM]]-1</f>
        <v>-1.4116352796289533E-4</v>
      </c>
      <c r="LK17" s="28">
        <f>SUMPRODUCT(INDEX(PortfolioRef[[SPY]:[PE]],MATCH(LK$1,PortfolioRef[Reference '#]),0),AssetMonthlyReturns[[#This Row],[SPY]:[PE]])</f>
        <v>-1.5958756750353818E-4</v>
      </c>
      <c r="LL17" s="27">
        <f>IF(ISNUMBER(LL16),LL16*(1+PortfolioFrontier[[#This Row],[P81 Return]]),1+PortfolioFrontier[[#This Row],[P81 Return]])</f>
        <v>1.0604308187383298</v>
      </c>
      <c r="LM17" s="27">
        <f>MAX(LM16,PortfolioFrontier[[#This Row],[P81 Growth]])</f>
        <v>1.0606000773247641</v>
      </c>
      <c r="LN17" s="27">
        <f>PortfolioFrontier[[#This Row],[P81 Growth]]/PortfolioFrontier[[#This Row],[P81 HWM]]-1</f>
        <v>-1.5958756750356073E-4</v>
      </c>
      <c r="LO17" s="28">
        <f>SUMPRODUCT(INDEX(PortfolioRef[[SPY]:[PE]],MATCH(LO$1,PortfolioRef[Reference '#]),0),AssetMonthlyReturns[[#This Row],[SPY]:[PE]])</f>
        <v>1.5876992392722224E-3</v>
      </c>
      <c r="LP17" s="27">
        <f>IF(ISNUMBER(LP16),LP16*(1+PortfolioFrontier[[#This Row],[P82 Return]]),1+PortfolioFrontier[[#This Row],[P82 Return]])</f>
        <v>1.0713466280554913</v>
      </c>
      <c r="LQ17" s="27">
        <f>MAX(LQ16,PortfolioFrontier[[#This Row],[P82 Growth]])</f>
        <v>1.0713466280554913</v>
      </c>
      <c r="LR17" s="27">
        <f>PortfolioFrontier[[#This Row],[P82 Growth]]/PortfolioFrontier[[#This Row],[P82 HWM]]-1</f>
        <v>0</v>
      </c>
      <c r="LS17" s="28">
        <f>SUMPRODUCT(INDEX(PortfolioRef[[SPY]:[PE]],MATCH(LS$1,PortfolioRef[Reference '#]),0),AssetMonthlyReturns[[#This Row],[SPY]:[PE]])</f>
        <v>1.5692751997316906E-3</v>
      </c>
      <c r="LT17" s="27">
        <f>IF(ISNUMBER(LT16),LT16*(1+PortfolioFrontier[[#This Row],[P83 Return]]),1+PortfolioFrontier[[#This Row],[P83 Return]])</f>
        <v>1.0686348833743895</v>
      </c>
      <c r="LU17" s="27">
        <f>MAX(LU16,PortfolioFrontier[[#This Row],[P83 Growth]])</f>
        <v>1.0686348833743895</v>
      </c>
      <c r="LV17" s="27">
        <f>PortfolioFrontier[[#This Row],[P83 Growth]]/PortfolioFrontier[[#This Row],[P83 HWM]]-1</f>
        <v>0</v>
      </c>
      <c r="LW17" s="28">
        <f>SUMPRODUCT(INDEX(PortfolioRef[[SPY]:[PE]],MATCH(LW$1,PortfolioRef[Reference '#]),0),AssetMonthlyReturns[[#This Row],[SPY]:[PE]])</f>
        <v>1.5508511601911579E-3</v>
      </c>
      <c r="LX17" s="27">
        <f>IF(ISNUMBER(LX16),LX16*(1+PortfolioFrontier[[#This Row],[P84 Return]]),1+PortfolioFrontier[[#This Row],[P84 Return]])</f>
        <v>1.0658809209095761</v>
      </c>
      <c r="LY17" s="27">
        <f>MAX(LY16,PortfolioFrontier[[#This Row],[P84 Growth]])</f>
        <v>1.065966632071782</v>
      </c>
      <c r="LZ17" s="27">
        <f>PortfolioFrontier[[#This Row],[P84 Growth]]/PortfolioFrontier[[#This Row],[P84 HWM]]-1</f>
        <v>-8.0406984259262515E-5</v>
      </c>
      <c r="MA17" s="28">
        <f>SUMPRODUCT(INDEX(PortfolioRef[[SPY]:[PE]],MATCH(MA$1,PortfolioRef[Reference '#]),0),AssetMonthlyReturns[[#This Row],[SPY]:[PE]])</f>
        <v>3.2981379669669185E-3</v>
      </c>
      <c r="MB17" s="27">
        <f>IF(ISNUMBER(MB16),MB16*(1+PortfolioFrontier[[#This Row],[P85 Return]]),1+PortfolioFrontier[[#This Row],[P85 Return]])</f>
        <v>1.0767802812121099</v>
      </c>
      <c r="MC17" s="27">
        <f>MAX(MC16,PortfolioFrontier[[#This Row],[P85 Growth]])</f>
        <v>1.0767802812121099</v>
      </c>
      <c r="MD17" s="27">
        <f>PortfolioFrontier[[#This Row],[P85 Growth]]/PortfolioFrontier[[#This Row],[P85 HWM]]-1</f>
        <v>0</v>
      </c>
      <c r="ME17" s="28">
        <f>SUMPRODUCT(INDEX(PortfolioRef[[SPY]:[PE]],MATCH(ME$1,PortfolioRef[Reference '#]),0),AssetMonthlyReturns[[#This Row],[SPY]:[PE]])</f>
        <v>3.2797139274263866E-3</v>
      </c>
      <c r="MF17" s="27">
        <f>IF(ISNUMBER(MF16),MF16*(1+PortfolioFrontier[[#This Row],[P86 Return]]),1+PortfolioFrontier[[#This Row],[P86 Return]])</f>
        <v>1.0740638320402538</v>
      </c>
      <c r="MG17" s="27">
        <f>MAX(MG16,PortfolioFrontier[[#This Row],[P86 Growth]])</f>
        <v>1.0740638320402538</v>
      </c>
      <c r="MH17" s="27">
        <f>PortfolioFrontier[[#This Row],[P86 Growth]]/PortfolioFrontier[[#This Row],[P86 HWM]]-1</f>
        <v>0</v>
      </c>
      <c r="MI17" s="28">
        <f>SUMPRODUCT(INDEX(PortfolioRef[[SPY]:[PE]],MATCH(MI$1,PortfolioRef[Reference '#]),0),AssetMonthlyReturns[[#This Row],[SPY]:[PE]])</f>
        <v>3.2612898878858548E-3</v>
      </c>
      <c r="MJ17" s="27">
        <f>IF(ISNUMBER(MJ16),MJ16*(1+PortfolioFrontier[[#This Row],[P87 Return]]),1+PortfolioFrontier[[#This Row],[P87 Return]])</f>
        <v>1.0713048706307859</v>
      </c>
      <c r="MK17" s="27">
        <f>MAX(MK16,PortfolioFrontier[[#This Row],[P87 Growth]])</f>
        <v>1.0717506381712922</v>
      </c>
      <c r="ML17" s="27">
        <f>PortfolioFrontier[[#This Row],[P87 Growth]]/PortfolioFrontier[[#This Row],[P87 HWM]]-1</f>
        <v>-4.159246793329352E-4</v>
      </c>
      <c r="MM17" s="28">
        <f>SUMPRODUCT(INDEX(PortfolioRef[[SPY]:[PE]],MATCH(MM$1,PortfolioRef[Reference '#]),0),AssetMonthlyReturns[[#This Row],[SPY]:[PE]])</f>
        <v>5.1448254374249474E-4</v>
      </c>
      <c r="MN17" s="27">
        <f>IF(ISNUMBER(MN16),MN16*(1+PortfolioFrontier[[#This Row],[P88 Return]]),1+PortfolioFrontier[[#This Row],[P88 Return]])</f>
        <v>1.0683960912029449</v>
      </c>
      <c r="MO17" s="27">
        <f>MAX(MO16,PortfolioFrontier[[#This Row],[P88 Growth]])</f>
        <v>1.0692295641878635</v>
      </c>
      <c r="MP17" s="27">
        <f>PortfolioFrontier[[#This Row],[P88 Growth]]/PortfolioFrontier[[#This Row],[P88 HWM]]-1</f>
        <v>-7.7950798671722055E-4</v>
      </c>
      <c r="MQ17" s="28">
        <f>SUMPRODUCT(INDEX(PortfolioRef[[SPY]:[PE]],MATCH(MQ$1,PortfolioRef[Reference '#]),0),AssetMonthlyReturns[[#This Row],[SPY]:[PE]])</f>
        <v>4.9605850420196291E-4</v>
      </c>
      <c r="MR17" s="27">
        <f>IF(ISNUMBER(MR16),MR16*(1+PortfolioFrontier[[#This Row],[P89 Return]]),1+PortfolioFrontier[[#This Row],[P89 Return]])</f>
        <v>1.0657141676510564</v>
      </c>
      <c r="MS17" s="27">
        <f>MAX(MS16,PortfolioFrontier[[#This Row],[P89 Growth]])</f>
        <v>1.0661012940527044</v>
      </c>
      <c r="MT17" s="27">
        <f>PortfolioFrontier[[#This Row],[P89 Growth]]/PortfolioFrontier[[#This Row],[P89 HWM]]-1</f>
        <v>-3.6312347035649672E-4</v>
      </c>
      <c r="MU17" s="28">
        <f>SUMPRODUCT(INDEX(PortfolioRef[[SPY]:[PE]],MATCH(MU$1,PortfolioRef[Reference '#]),0),AssetMonthlyReturns[[#This Row],[SPY]:[PE]])</f>
        <v>4.7763446466143021E-4</v>
      </c>
      <c r="MV17" s="27">
        <f>IF(ISNUMBER(MV16),MV16*(1+PortfolioFrontier[[#This Row],[P90 Return]]),1+PortfolioFrontier[[#This Row],[P90 Return]])</f>
        <v>1.0629900487688795</v>
      </c>
      <c r="MW17" s="27">
        <f>MAX(MW16,PortfolioFrontier[[#This Row],[P90 Growth]])</f>
        <v>1.0644061734520076</v>
      </c>
      <c r="MX17" s="27">
        <f>PortfolioFrontier[[#This Row],[P90 Growth]]/PortfolioFrontier[[#This Row],[P90 HWM]]-1</f>
        <v>-1.3304363676653885E-3</v>
      </c>
      <c r="MY17" s="28">
        <f>SUMPRODUCT(INDEX(PortfolioRef[[SPY]:[PE]],MATCH(MY$1,PortfolioRef[Reference '#]),0),AssetMonthlyReturns[[#This Row],[SPY]:[PE]])</f>
        <v>2.2249212714371908E-3</v>
      </c>
      <c r="MZ17" s="27">
        <f>IF(ISNUMBER(MZ16),MZ16*(1+PortfolioFrontier[[#This Row],[P91 Return]]),1+PortfolioFrontier[[#This Row],[P91 Return]])</f>
        <v>1.0738503620253839</v>
      </c>
      <c r="NA17" s="27">
        <f>MAX(NA16,PortfolioFrontier[[#This Row],[P91 Growth]])</f>
        <v>1.0738503620253839</v>
      </c>
      <c r="NB17" s="27">
        <f>PortfolioFrontier[[#This Row],[P91 Growth]]/PortfolioFrontier[[#This Row],[P91 HWM]]-1</f>
        <v>0</v>
      </c>
      <c r="NC17" s="28">
        <f>SUMPRODUCT(INDEX(PortfolioRef[[SPY]:[PE]],MATCH(NC$1,PortfolioRef[Reference '#]),0),AssetMonthlyReturns[[#This Row],[SPY]:[PE]])</f>
        <v>2.206497231896659E-3</v>
      </c>
      <c r="ND17" s="27">
        <f>IF(ISNUMBER(ND16),ND16*(1+PortfolioFrontier[[#This Row],[P92 Return]]),1+PortfolioFrontier[[#This Row],[P92 Return]])</f>
        <v>1.071163834054861</v>
      </c>
      <c r="NE17" s="27">
        <f>MAX(NE16,PortfolioFrontier[[#This Row],[P92 Growth]])</f>
        <v>1.0719107301372102</v>
      </c>
      <c r="NF17" s="27">
        <f>PortfolioFrontier[[#This Row],[P92 Growth]]/PortfolioFrontier[[#This Row],[P92 HWM]]-1</f>
        <v>-6.9678944463358317E-4</v>
      </c>
      <c r="NG17" s="28">
        <f>SUMPRODUCT(INDEX(PortfolioRef[[SPY]:[PE]],MATCH(NG$1,PortfolioRef[Reference '#]),0),AssetMonthlyReturns[[#This Row],[SPY]:[PE]])</f>
        <v>2.1880731923561271E-3</v>
      </c>
      <c r="NH17" s="27">
        <f>IF(ISNUMBER(NH16),NH16*(1+PortfolioFrontier[[#This Row],[P93 Return]]),1+PortfolioFrontier[[#This Row],[P93 Return]])</f>
        <v>1.0684348155704886</v>
      </c>
      <c r="NI17" s="27">
        <f>MAX(NI16,PortfolioFrontier[[#This Row],[P93 Growth]])</f>
        <v>1.0702155834061484</v>
      </c>
      <c r="NJ17" s="27">
        <f>PortfolioFrontier[[#This Row],[P93 Growth]]/PortfolioFrontier[[#This Row],[P93 HWM]]-1</f>
        <v>-1.6639337562178724E-3</v>
      </c>
      <c r="NK17" s="28">
        <f>SUMPRODUCT(INDEX(PortfolioRef[[SPY]:[PE]],MATCH(NK$1,PortfolioRef[Reference '#]),0),AssetMonthlyReturns[[#This Row],[SPY]:[PE]])</f>
        <v>3.9353599991318869E-3</v>
      </c>
      <c r="NL17" s="27">
        <f>IF(ISNUMBER(NL16),NL16*(1+PortfolioFrontier[[#This Row],[P94 Return]]),1+PortfolioFrontier[[#This Row],[P94 Return]])</f>
        <v>1.0792780751622977</v>
      </c>
      <c r="NM17" s="27">
        <f>MAX(NM16,PortfolioFrontier[[#This Row],[P94 Growth]])</f>
        <v>1.0793516291026466</v>
      </c>
      <c r="NN17" s="27">
        <f>PortfolioFrontier[[#This Row],[P94 Growth]]/PortfolioFrontier[[#This Row],[P94 HWM]]-1</f>
        <v>-6.8146411573044574E-5</v>
      </c>
      <c r="NO17" s="28">
        <f>SUMPRODUCT(INDEX(PortfolioRef[[SPY]:[PE]],MATCH(NO$1,PortfolioRef[Reference '#]),0),AssetMonthlyReturns[[#This Row],[SPY]:[PE]])</f>
        <v>3.916935959591355E-3</v>
      </c>
      <c r="NP17" s="27">
        <f>IF(ISNUMBER(NP16),NP16*(1+PortfolioFrontier[[#This Row],[P95 Return]]),1+PortfolioFrontier[[#This Row],[P95 Return]])</f>
        <v>1.0765870583269415</v>
      </c>
      <c r="NQ17" s="27">
        <f>MAX(NQ16,PortfolioFrontier[[#This Row],[P95 Growth]])</f>
        <v>1.0777028679259777</v>
      </c>
      <c r="NR17" s="27">
        <f>PortfolioFrontier[[#This Row],[P95 Growth]]/PortfolioFrontier[[#This Row],[P95 HWM]]-1</f>
        <v>-1.0353592184305649E-3</v>
      </c>
      <c r="NS17" s="28">
        <f>SUMPRODUCT(INDEX(PortfolioRef[[SPY]:[PE]],MATCH(NS$1,PortfolioRef[Reference '#]),0),AssetMonthlyReturns[[#This Row],[SPY]:[PE]])</f>
        <v>3.8985119200508232E-3</v>
      </c>
      <c r="NT17" s="27">
        <f>IF(ISNUMBER(NT16),NT16*(1+PortfolioFrontier[[#This Row],[P96 Return]]),1+PortfolioFrontier[[#This Row],[P96 Return]])</f>
        <v>1.0738532559369283</v>
      </c>
      <c r="NU17" s="27">
        <f>MAX(NU16,PortfolioFrontier[[#This Row],[P96 Growth]])</f>
        <v>1.0760077785213464</v>
      </c>
      <c r="NV17" s="27">
        <f>PortfolioFrontier[[#This Row],[P96 Growth]]/PortfolioFrontier[[#This Row],[P96 HWM]]-1</f>
        <v>-2.0023299342490919E-3</v>
      </c>
      <c r="NW17" s="28">
        <f>SUMPRODUCT(INDEX(PortfolioRef[[SPY]:[PE]],MATCH(NW$1,PortfolioRef[Reference '#]),0),AssetMonthlyReturns[[#This Row],[SPY]:[PE]])</f>
        <v>6.701403403649611E-4</v>
      </c>
      <c r="NX17" s="27">
        <f>IF(ISNUMBER(NX16),NX16*(1+PortfolioFrontier[[#This Row],[P97 Return]]),1+PortfolioFrontier[[#This Row],[P97 Return]])</f>
        <v>1.05775432758431</v>
      </c>
      <c r="NY17" s="27">
        <f>MAX(NY16,PortfolioFrontier[[#This Row],[P97 Growth]])</f>
        <v>1.05775432758431</v>
      </c>
      <c r="NZ17" s="27">
        <f>PortfolioFrontier[[#This Row],[P97 Growth]]/PortfolioFrontier[[#This Row],[P97 HWM]]-1</f>
        <v>0</v>
      </c>
      <c r="OA17" s="28">
        <f>SUMPRODUCT(INDEX(PortfolioRef[[SPY]:[PE]],MATCH(OA$1,PortfolioRef[Reference '#]),0),AssetMonthlyReturns[[#This Row],[SPY]:[PE]])</f>
        <v>-4.0307635516476613E-4</v>
      </c>
      <c r="OB17" s="27">
        <f>IF(ISNUMBER(OB16),OB16*(1+PortfolioFrontier[[#This Row],[P98 Return]]),1+PortfolioFrontier[[#This Row],[P98 Return]])</f>
        <v>1.0549088255763555</v>
      </c>
      <c r="OC17" s="27">
        <f>MAX(OC16,PortfolioFrontier[[#This Row],[P98 Growth]])</f>
        <v>1.0553342058415267</v>
      </c>
      <c r="OD17" s="27">
        <f>PortfolioFrontier[[#This Row],[P98 Growth]]/PortfolioFrontier[[#This Row],[P98 HWM]]-1</f>
        <v>-4.0307635516467766E-4</v>
      </c>
      <c r="OE17" s="28">
        <f>SUMPRODUCT(INDEX(PortfolioRef[[SPY]:[PE]],MATCH(OE$1,PortfolioRef[Reference '#]),0),AssetMonthlyReturns[[#This Row],[SPY]:[PE]])</f>
        <v>1.3073623725299297E-3</v>
      </c>
      <c r="OF17" s="27">
        <f>IF(ISNUMBER(OF16),OF16*(1+PortfolioFrontier[[#This Row],[P99 Return]]),1+PortfolioFrontier[[#This Row],[P99 Return]])</f>
        <v>1.0603348184876256</v>
      </c>
      <c r="OG17" s="27">
        <f>MAX(OG16,PortfolioFrontier[[#This Row],[P99 Growth]])</f>
        <v>1.0603348184876256</v>
      </c>
      <c r="OH17" s="27">
        <f>PortfolioFrontier[[#This Row],[P99 Growth]]/PortfolioFrontier[[#This Row],[P99 HWM]]-1</f>
        <v>0</v>
      </c>
      <c r="OI17" s="28">
        <f>SUMPRODUCT(INDEX(PortfolioRef[[SPY]:[PE]],MATCH(OI$1,PortfolioRef[Reference '#]),0),AssetMonthlyReturns[[#This Row],[SPY]:[PE]])</f>
        <v>1.2889383329893979E-3</v>
      </c>
      <c r="OJ17" s="27">
        <f>IF(ISNUMBER(OJ16),OJ16*(1+PortfolioFrontier[[#This Row],[P100 Return]]),1+PortfolioFrontier[[#This Row],[P100 Return]])</f>
        <v>1.0575610652398477</v>
      </c>
      <c r="OK17" s="27">
        <f>MAX(OK16,PortfolioFrontier[[#This Row],[P100 Growth]])</f>
        <v>1.0575610652398477</v>
      </c>
      <c r="OL17" s="27">
        <f>PortfolioFrontier[[#This Row],[P100 Growth]]/PortfolioFrontier[[#This Row],[P100 HWM]]-1</f>
        <v>0</v>
      </c>
      <c r="OM17" s="28">
        <f>SUMPRODUCT(INDEX(PortfolioRef[[SPY]:[PE]],MATCH(OM$1,PortfolioRef[Reference '#]),0),AssetMonthlyReturns[[#This Row],[SPY]:[PE]])</f>
        <v>-1.4762930506944938E-3</v>
      </c>
      <c r="ON17" s="27">
        <f>IF(ISNUMBER(ON16),ON16*(1+PortfolioFrontier[[#This Row],[P101 Return]]),1+PortfolioFrontier[[#This Row],[P101 Return]])</f>
        <v>1.0520248601039797</v>
      </c>
      <c r="OO17" s="27">
        <f>MAX(OO16,PortfolioFrontier[[#This Row],[P101 Growth]])</f>
        <v>1.0535802533102907</v>
      </c>
      <c r="OP17" s="27">
        <f>PortfolioFrontier[[#This Row],[P101 Growth]]/PortfolioFrontier[[#This Row],[P101 HWM]]-1</f>
        <v>-1.4762930506946326E-3</v>
      </c>
      <c r="OQ17" s="28">
        <f>SUMPRODUCT(INDEX(PortfolioRef[[SPY]:[PE]],MATCH(OQ$1,PortfolioRef[Reference '#]),0),AssetMonthlyReturns[[#This Row],[SPY]:[PE]])</f>
        <v>2.3414567700020227E-4</v>
      </c>
      <c r="OR17" s="27">
        <f>IF(ISNUMBER(OR16),OR16*(1+PortfolioFrontier[[#This Row],[P102 Return]]),1+PortfolioFrontier[[#This Row],[P102 Return]])</f>
        <v>1.0574713688482831</v>
      </c>
      <c r="OS17" s="27">
        <f>MAX(OS16,PortfolioFrontier[[#This Row],[P102 Growth]])</f>
        <v>1.0574713688482831</v>
      </c>
      <c r="OT17" s="27">
        <f>PortfolioFrontier[[#This Row],[P102 Growth]]/PortfolioFrontier[[#This Row],[P102 HWM]]-1</f>
        <v>0</v>
      </c>
      <c r="OU17" s="28">
        <f>SUMPRODUCT(INDEX(PortfolioRef[[SPY]:[PE]],MATCH(OU$1,PortfolioRef[Reference '#]),0),AssetMonthlyReturns[[#This Row],[SPY]:[PE]])</f>
        <v>2.1572163745967043E-4</v>
      </c>
      <c r="OV17" s="27">
        <f>IF(ISNUMBER(OV16),OV16*(1+PortfolioFrontier[[#This Row],[P103 Return]]),1+PortfolioFrontier[[#This Row],[P103 Return]])</f>
        <v>1.0547273396783099</v>
      </c>
      <c r="OW17" s="27">
        <f>MAX(OW16,PortfolioFrontier[[#This Row],[P103 Growth]])</f>
        <v>1.0547273396783099</v>
      </c>
      <c r="OX17" s="27">
        <f>PortfolioFrontier[[#This Row],[P103 Growth]]/PortfolioFrontier[[#This Row],[P103 HWM]]-1</f>
        <v>0</v>
      </c>
      <c r="OY17" s="28">
        <f>SUMPRODUCT(INDEX(PortfolioRef[[SPY]:[PE]],MATCH(OY$1,PortfolioRef[Reference '#]),0),AssetMonthlyReturns[[#This Row],[SPY]:[PE]])</f>
        <v>1.9445844046948994E-3</v>
      </c>
      <c r="OZ17" s="27">
        <f>IF(ISNUMBER(OZ16),OZ16*(1+PortfolioFrontier[[#This Row],[P104 Return]]),1+PortfolioFrontier[[#This Row],[P104 Return]])</f>
        <v>1.06289214638617</v>
      </c>
      <c r="PA17" s="27">
        <f>MAX(PA16,PortfolioFrontier[[#This Row],[P104 Growth]])</f>
        <v>1.06289214638617</v>
      </c>
      <c r="PB17" s="27">
        <f>PortfolioFrontier[[#This Row],[P104 Growth]]/PortfolioFrontier[[#This Row],[P104 HWM]]-1</f>
        <v>0</v>
      </c>
      <c r="PC17" s="28">
        <f>SUMPRODUCT(INDEX(PortfolioRef[[SPY]:[PE]],MATCH(PC$1,PortfolioRef[Reference '#]),0),AssetMonthlyReturns[[#This Row],[SPY]:[PE]])</f>
        <v>1.9261603651543667E-3</v>
      </c>
      <c r="PD17" s="27">
        <f>IF(ISNUMBER(PD16),PD16*(1+PortfolioFrontier[[#This Row],[P105 Return]]),1+PortfolioFrontier[[#This Row],[P105 Return]])</f>
        <v>1.0601429523153245</v>
      </c>
      <c r="PE17" s="27">
        <f>MAX(PE16,PortfolioFrontier[[#This Row],[P105 Growth]])</f>
        <v>1.0601429523153245</v>
      </c>
      <c r="PF17" s="27">
        <f>PortfolioFrontier[[#This Row],[P105 Growth]]/PortfolioFrontier[[#This Row],[P105 HWM]]-1</f>
        <v>0</v>
      </c>
      <c r="PG17" s="28">
        <f>SUMPRODUCT(INDEX(PortfolioRef[[SPY]:[PE]],MATCH(PG$1,PortfolioRef[Reference '#]),0),AssetMonthlyReturns[[#This Row],[SPY]:[PE]])</f>
        <v>1.9077363256138349E-3</v>
      </c>
      <c r="PH17" s="27">
        <f>IF(ISNUMBER(PH16),PH16*(1+PortfolioFrontier[[#This Row],[P106 Return]]),1+PortfolioFrontier[[#This Row],[P106 Return]])</f>
        <v>1.0573521386417641</v>
      </c>
      <c r="PI17" s="27">
        <f>MAX(PI16,PortfolioFrontier[[#This Row],[P106 Growth]])</f>
        <v>1.0573521386417641</v>
      </c>
      <c r="PJ17" s="27">
        <f>PortfolioFrontier[[#This Row],[P106 Growth]]/PortfolioFrontier[[#This Row],[P106 HWM]]-1</f>
        <v>0</v>
      </c>
      <c r="PK17" s="28">
        <f>SUMPRODUCT(INDEX(PortfolioRef[[SPY]:[PE]],MATCH(PK$1,PortfolioRef[Reference '#]),0),AssetMonthlyReturns[[#This Row],[SPY]:[PE]])</f>
        <v>-8.3907101852952453E-4</v>
      </c>
      <c r="PL17" s="27">
        <f>IF(ISNUMBER(PL16),PL16*(1+PortfolioFrontier[[#This Row],[P107 Return]]),1+PortfolioFrontier[[#This Row],[P107 Return]])</f>
        <v>1.0545695062874048</v>
      </c>
      <c r="PM17" s="27">
        <f>MAX(PM16,PortfolioFrontier[[#This Row],[P107 Growth]])</f>
        <v>1.0562201870951351</v>
      </c>
      <c r="PN17" s="27">
        <f>PortfolioFrontier[[#This Row],[P107 Growth]]/PortfolioFrontier[[#This Row],[P107 HWM]]-1</f>
        <v>-1.5628188401417553E-3</v>
      </c>
      <c r="PO17" s="28">
        <f>SUMPRODUCT(INDEX(PortfolioRef[[SPY]:[PE]],MATCH(PO$1,PortfolioRef[Reference '#]),0),AssetMonthlyReturns[[#This Row],[SPY]:[PE]])</f>
        <v>-8.5749505807005636E-4</v>
      </c>
      <c r="PP17" s="27">
        <f>IF(ISNUMBER(PP16),PP16*(1+PortfolioFrontier[[#This Row],[P108 Return]]),1+PortfolioFrontier[[#This Row],[P108 Return]])</f>
        <v>1.0518551029234857</v>
      </c>
      <c r="PQ17" s="27">
        <f>MAX(PQ16,PortfolioFrontier[[#This Row],[P108 Growth]])</f>
        <v>1.0527578375665436</v>
      </c>
      <c r="PR17" s="27">
        <f>PortfolioFrontier[[#This Row],[P108 Growth]]/PortfolioFrontier[[#This Row],[P108 HWM]]-1</f>
        <v>-8.5749505807009019E-4</v>
      </c>
      <c r="PS17" s="28">
        <f>SUMPRODUCT(INDEX(PortfolioRef[[SPY]:[PE]],MATCH(PS$1,PortfolioRef[Reference '#]),0),AssetMonthlyReturns[[#This Row],[SPY]:[PE]])</f>
        <v>8.7136770916517196E-4</v>
      </c>
      <c r="PT17" s="27">
        <f>IF(ISNUMBER(PT16),PT16*(1+PortfolioFrontier[[#This Row],[P109 Return]]),1+PortfolioFrontier[[#This Row],[P109 Return]])</f>
        <v>1.0600107674322821</v>
      </c>
      <c r="PU17" s="27">
        <f>MAX(PU16,PortfolioFrontier[[#This Row],[P109 Growth]])</f>
        <v>1.0607882528163963</v>
      </c>
      <c r="PV17" s="27">
        <f>PortfolioFrontier[[#This Row],[P109 Growth]]/PortfolioFrontier[[#This Row],[P109 HWM]]-1</f>
        <v>-7.3293174396493743E-4</v>
      </c>
      <c r="PW17" s="28">
        <f>SUMPRODUCT(INDEX(PortfolioRef[[SPY]:[PE]],MATCH(PW$1,PortfolioRef[Reference '#]),0),AssetMonthlyReturns[[#This Row],[SPY]:[PE]])</f>
        <v>8.5294366962463926E-4</v>
      </c>
      <c r="PX17" s="27">
        <f>IF(ISNUMBER(PX16),PX16*(1+PortfolioFrontier[[#This Row],[P110 Return]]),1+PortfolioFrontier[[#This Row],[P110 Return]])</f>
        <v>1.0572912981016449</v>
      </c>
      <c r="PY17" s="27">
        <f>MAX(PY16,PortfolioFrontier[[#This Row],[P110 Growth]])</f>
        <v>1.0572912981016449</v>
      </c>
      <c r="PZ17" s="27">
        <f>PortfolioFrontier[[#This Row],[P110 Growth]]/PortfolioFrontier[[#This Row],[P110 HWM]]-1</f>
        <v>0</v>
      </c>
      <c r="QA17" s="28">
        <f>SUMPRODUCT(INDEX(PortfolioRef[[SPY]:[PE]],MATCH(QA$1,PortfolioRef[Reference '#]),0),AssetMonthlyReturns[[#This Row],[SPY]:[PE]])</f>
        <v>8.3451963008410743E-4</v>
      </c>
      <c r="QB17" s="27">
        <f>IF(ISNUMBER(QB16),QB16*(1+PortfolioFrontier[[#This Row],[P111 Return]]),1+PortfolioFrontier[[#This Row],[P111 Return]])</f>
        <v>1.054530227728719</v>
      </c>
      <c r="QC17" s="27">
        <f>MAX(QC16,PortfolioFrontier[[#This Row],[P111 Growth]])</f>
        <v>1.054530227728719</v>
      </c>
      <c r="QD17" s="27">
        <f>PortfolioFrontier[[#This Row],[P111 Growth]]/PortfolioFrontier[[#This Row],[P111 HWM]]-1</f>
        <v>0</v>
      </c>
      <c r="QE17" s="28">
        <f>SUMPRODUCT(INDEX(PortfolioRef[[SPY]:[PE]],MATCH(QE$1,PortfolioRef[Reference '#]),0),AssetMonthlyReturns[[#This Row],[SPY]:[PE]])</f>
        <v>2.581806436859868E-3</v>
      </c>
      <c r="QF17" s="27">
        <f>IF(ISNUMBER(QF16),QF16*(1+PortfolioFrontier[[#This Row],[P112 Return]]),1+PortfolioFrontier[[#This Row],[P112 Return]])</f>
        <v>1.0654261234297466</v>
      </c>
      <c r="QG17" s="27">
        <f>MAX(QG16,PortfolioFrontier[[#This Row],[P112 Growth]])</f>
        <v>1.0654261234297466</v>
      </c>
      <c r="QH17" s="27">
        <f>PortfolioFrontier[[#This Row],[P112 Growth]]/PortfolioFrontier[[#This Row],[P112 HWM]]-1</f>
        <v>0</v>
      </c>
      <c r="QI17" s="28">
        <f>SUMPRODUCT(INDEX(PortfolioRef[[SPY]:[PE]],MATCH(QI$1,PortfolioRef[Reference '#]),0),AssetMonthlyReturns[[#This Row],[SPY]:[PE]])</f>
        <v>2.5633823973193362E-3</v>
      </c>
      <c r="QJ17" s="27">
        <f>IF(ISNUMBER(QJ16),QJ16*(1+PortfolioFrontier[[#This Row],[P113 Return]]),1+PortfolioFrontier[[#This Row],[P113 Return]])</f>
        <v>1.0627017030321755</v>
      </c>
      <c r="QK17" s="27">
        <f>MAX(QK16,PortfolioFrontier[[#This Row],[P113 Growth]])</f>
        <v>1.0627017030321755</v>
      </c>
      <c r="QL17" s="27">
        <f>PortfolioFrontier[[#This Row],[P113 Growth]]/PortfolioFrontier[[#This Row],[P113 HWM]]-1</f>
        <v>0</v>
      </c>
      <c r="QM17" s="28">
        <f>SUMPRODUCT(INDEX(PortfolioRef[[SPY]:[PE]],MATCH(QM$1,PortfolioRef[Reference '#]),0),AssetMonthlyReturns[[#This Row],[SPY]:[PE]])</f>
        <v>2.5449583577788035E-3</v>
      </c>
      <c r="QN17" s="27">
        <f>IF(ISNUMBER(QN16),QN16*(1+PortfolioFrontier[[#This Row],[P114 Return]]),1+PortfolioFrontier[[#This Row],[P114 Return]])</f>
        <v>1.0599353893997723</v>
      </c>
      <c r="QO17" s="27">
        <f>MAX(QO16,PortfolioFrontier[[#This Row],[P114 Growth]])</f>
        <v>1.0599353893997723</v>
      </c>
      <c r="QP17" s="27">
        <f>PortfolioFrontier[[#This Row],[P114 Growth]]/PortfolioFrontier[[#This Row],[P114 HWM]]-1</f>
        <v>0</v>
      </c>
      <c r="QQ17" s="28">
        <f>SUMPRODUCT(INDEX(PortfolioRef[[SPY]:[PE]],MATCH(QQ$1,PortfolioRef[Reference '#]),0),AssetMonthlyReturns[[#This Row],[SPY]:[PE]])</f>
        <v>-2.0184898636455527E-4</v>
      </c>
      <c r="QR17" s="27">
        <f>IF(ISNUMBER(QR16),QR16*(1+PortfolioFrontier[[#This Row],[P115 Return]]),1+PortfolioFrontier[[#This Row],[P115 Return]])</f>
        <v>1.0570910272854261</v>
      </c>
      <c r="QS17" s="27">
        <f>MAX(QS16,PortfolioFrontier[[#This Row],[P115 Growth]])</f>
        <v>1.0618686348654582</v>
      </c>
      <c r="QT17" s="27">
        <f>PortfolioFrontier[[#This Row],[P115 Growth]]/PortfolioFrontier[[#This Row],[P115 HWM]]-1</f>
        <v>-4.4992454086728584E-3</v>
      </c>
      <c r="QU17" s="28">
        <f>SUMPRODUCT(INDEX(PortfolioRef[[SPY]:[PE]],MATCH(QU$1,PortfolioRef[Reference '#]),0),AssetMonthlyReturns[[#This Row],[SPY]:[PE]])</f>
        <v>-2.2027302590508797E-4</v>
      </c>
      <c r="QV17" s="27">
        <f>IF(ISNUMBER(QV16),QV16*(1+PortfolioFrontier[[#This Row],[P116 Return]]),1+PortfolioFrontier[[#This Row],[P116 Return]])</f>
        <v>1.0544011829920983</v>
      </c>
      <c r="QW17" s="27">
        <f>MAX(QW16,PortfolioFrontier[[#This Row],[P116 Growth]])</f>
        <v>1.0570041848172638</v>
      </c>
      <c r="QX17" s="27">
        <f>PortfolioFrontier[[#This Row],[P116 Growth]]/PortfolioFrontier[[#This Row],[P116 HWM]]-1</f>
        <v>-2.4626220620077577E-3</v>
      </c>
      <c r="QY17" s="28">
        <f>SUMPRODUCT(INDEX(PortfolioRef[[SPY]:[PE]],MATCH(QY$1,PortfolioRef[Reference '#]),0),AssetMonthlyReturns[[#This Row],[SPY]:[PE]])</f>
        <v>-2.386970654456198E-4</v>
      </c>
      <c r="QZ17" s="27">
        <f>IF(ISNUMBER(QZ16),QZ16*(1+PortfolioFrontier[[#This Row],[P117 Return]]),1+PortfolioFrontier[[#This Row],[P117 Return]])</f>
        <v>1.0516697585101544</v>
      </c>
      <c r="RA17" s="27">
        <f>MAX(RA16,PortfolioFrontier[[#This Row],[P117 Growth]])</f>
        <v>1.0521518697486996</v>
      </c>
      <c r="RB17" s="27">
        <f>PortfolioFrontier[[#This Row],[P117 Growth]]/PortfolioFrontier[[#This Row],[P117 HWM]]-1</f>
        <v>-4.5821449584104723E-4</v>
      </c>
      <c r="RC17" s="28">
        <f>SUMPRODUCT(INDEX(PortfolioRef[[SPY]:[PE]],MATCH(RC$1,PortfolioRef[Reference '#]),0),AssetMonthlyReturns[[#This Row],[SPY]:[PE]])</f>
        <v>1.5085897413301408E-3</v>
      </c>
      <c r="RD17" s="27">
        <f>IF(ISNUMBER(RD16),RD16*(1+PortfolioFrontier[[#This Row],[P118 Return]]),1+PortfolioFrontier[[#This Row],[P118 Return]])</f>
        <v>1.0625268344394951</v>
      </c>
      <c r="RE17" s="27">
        <f>MAX(RE16,PortfolioFrontier[[#This Row],[P118 Growth]])</f>
        <v>1.0664554246268612</v>
      </c>
      <c r="RF17" s="27">
        <f>PortfolioFrontier[[#This Row],[P118 Growth]]/PortfolioFrontier[[#This Row],[P118 HWM]]-1</f>
        <v>-3.6837828348433854E-3</v>
      </c>
      <c r="RG17" s="28">
        <f>SUMPRODUCT(INDEX(PortfolioRef[[SPY]:[PE]],MATCH(RG$1,PortfolioRef[Reference '#]),0),AssetMonthlyReturns[[#This Row],[SPY]:[PE]])</f>
        <v>1.490165701789609E-3</v>
      </c>
      <c r="RH17" s="27">
        <f>IF(ISNUMBER(RH16),RH16*(1+PortfolioFrontier[[#This Row],[P119 Return]]),1+PortfolioFrontier[[#This Row],[P119 Return]])</f>
        <v>1.059832138253433</v>
      </c>
      <c r="RI17" s="27">
        <f>MAX(RI16,PortfolioFrontier[[#This Row],[P119 Growth]])</f>
        <v>1.0615714914212842</v>
      </c>
      <c r="RJ17" s="27">
        <f>PortfolioFrontier[[#This Row],[P119 Growth]]/PortfolioFrontier[[#This Row],[P119 HWM]]-1</f>
        <v>-1.6384701189765538E-3</v>
      </c>
      <c r="RK17" s="28">
        <f>SUMPRODUCT(INDEX(PortfolioRef[[SPY]:[PE]],MATCH(RK$1,PortfolioRef[Reference '#]),0),AssetMonthlyReturns[[#This Row],[SPY]:[PE]])</f>
        <v>1.4717416622490763E-3</v>
      </c>
      <c r="RL17" s="27">
        <f>IF(ISNUMBER(RL16),RL16*(1+PortfolioFrontier[[#This Row],[P120 Return]]),1+PortfolioFrontier[[#This Row],[P120 Return]])</f>
        <v>1.0570955689563215</v>
      </c>
      <c r="RM17" s="27">
        <f>MAX(RM16,PortfolioFrontier[[#This Row],[P120 Growth]])</f>
        <v>1.0577953026712454</v>
      </c>
      <c r="RN17" s="27">
        <f>PortfolioFrontier[[#This Row],[P120 Growth]]/PortfolioFrontier[[#This Row],[P120 HWM]]-1</f>
        <v>-6.6150200625481048E-4</v>
      </c>
      <c r="RO17" s="28">
        <f>SUMPRODUCT(INDEX(PortfolioRef[[SPY]:[PE]],MATCH(RO$1,PortfolioRef[Reference '#]),0),AssetMonthlyReturns[[#This Row],[SPY]:[PE]])</f>
        <v>3.2190284690248368E-3</v>
      </c>
      <c r="RP17" s="27">
        <f>IF(ISNUMBER(RP16),RP16*(1+PortfolioFrontier[[#This Row],[P121 Return]]),1+PortfolioFrontier[[#This Row],[P121 Return]])</f>
        <v>1.0679365627382313</v>
      </c>
      <c r="RQ17" s="27">
        <f>MAX(RQ16,PortfolioFrontier[[#This Row],[P121 Growth]])</f>
        <v>1.0710383749555177</v>
      </c>
      <c r="RR17" s="27">
        <f>PortfolioFrontier[[#This Row],[P121 Growth]]/PortfolioFrontier[[#This Row],[P121 HWM]]-1</f>
        <v>-2.896079440118271E-3</v>
      </c>
      <c r="RS17" s="28">
        <f>SUMPRODUCT(INDEX(PortfolioRef[[SPY]:[PE]],MATCH(RS$1,PortfolioRef[Reference '#]),0),AssetMonthlyReturns[[#This Row],[SPY]:[PE]])</f>
        <v>3.200604429484305E-3</v>
      </c>
      <c r="RT17" s="27">
        <f>IF(ISNUMBER(RT16),RT16*(1+PortfolioFrontier[[#This Row],[P122 Return]]),1+PortfolioFrontier[[#This Row],[P122 Return]])</f>
        <v>1.065237129602447</v>
      </c>
      <c r="RU17" s="27">
        <f>MAX(RU16,PortfolioFrontier[[#This Row],[P122 Growth]])</f>
        <v>1.0661349333347574</v>
      </c>
      <c r="RV17" s="27">
        <f>PortfolioFrontier[[#This Row],[P122 Growth]]/PortfolioFrontier[[#This Row],[P122 HWM]]-1</f>
        <v>-8.4211079126927935E-4</v>
      </c>
      <c r="RW17" s="28">
        <f>SUMPRODUCT(INDEX(PortfolioRef[[SPY]:[PE]],MATCH(RW$1,PortfolioRef[Reference '#]),0),AssetMonthlyReturns[[#This Row],[SPY]:[PE]])</f>
        <v>3.1821803899437732E-3</v>
      </c>
      <c r="RX17" s="27">
        <f>IF(ISNUMBER(RX16),RX16*(1+PortfolioFrontier[[#This Row],[P123 Return]]),1+PortfolioFrontier[[#This Row],[P123 Return]])</f>
        <v>1.0624955305574919</v>
      </c>
      <c r="RY17" s="27">
        <f>MAX(RY16,PortfolioFrontier[[#This Row],[P123 Growth]])</f>
        <v>1.0635556010104399</v>
      </c>
      <c r="RZ17" s="27">
        <f>PortfolioFrontier[[#This Row],[P123 Growth]]/PortfolioFrontier[[#This Row],[P123 HWM]]-1</f>
        <v>-9.9672311625353949E-4</v>
      </c>
      <c r="SA17" s="28">
        <f>SUMPRODUCT(INDEX(PortfolioRef[[SPY]:[PE]],MATCH(SA$1,PortfolioRef[Reference '#]),0),AssetMonthlyReturns[[#This Row],[SPY]:[PE]])</f>
        <v>4.3537304580041312E-4</v>
      </c>
      <c r="SB17" s="27">
        <f>IF(ISNUMBER(SB16),SB16*(1+PortfolioFrontier[[#This Row],[P124 Return]]),1+PortfolioFrontier[[#This Row],[P124 Return]])</f>
        <v>1.059589237168969</v>
      </c>
      <c r="SC17" s="27">
        <f>MAX(SC16,PortfolioFrontier[[#This Row],[P124 Growth]])</f>
        <v>1.0675364357312243</v>
      </c>
      <c r="SD17" s="27">
        <f>PortfolioFrontier[[#This Row],[P124 Growth]]/PortfolioFrontier[[#This Row],[P124 HWM]]-1</f>
        <v>-7.4444284019323792E-3</v>
      </c>
      <c r="SE17" s="28">
        <f>SUMPRODUCT(INDEX(PortfolioRef[[SPY]:[PE]],MATCH(SE$1,PortfolioRef[Reference '#]),0),AssetMonthlyReturns[[#This Row],[SPY]:[PE]])</f>
        <v>4.1694900625988129E-4</v>
      </c>
      <c r="SF17" s="27">
        <f>IF(ISNUMBER(SF16),SF16*(1+PortfolioFrontier[[#This Row],[P125 Return]]),1+PortfolioFrontier[[#This Row],[P125 Return]])</f>
        <v>1.0569241640614377</v>
      </c>
      <c r="SG17" s="27">
        <f>MAX(SG16,PortfolioFrontier[[#This Row],[P125 Growth]])</f>
        <v>1.0626548391355537</v>
      </c>
      <c r="SH17" s="27">
        <f>PortfolioFrontier[[#This Row],[P125 Growth]]/PortfolioFrontier[[#This Row],[P125 HWM]]-1</f>
        <v>-5.3927906438347994E-3</v>
      </c>
      <c r="SI17" s="28">
        <f>SUMPRODUCT(INDEX(PortfolioRef[[SPY]:[PE]],MATCH(SI$1,PortfolioRef[Reference '#]),0),AssetMonthlyReturns[[#This Row],[SPY]:[PE]])</f>
        <v>3.985249667193486E-4</v>
      </c>
      <c r="SJ17" s="27">
        <f>IF(ISNUMBER(SJ16),SJ16*(1+PortfolioFrontier[[#This Row],[P126 Return]]),1+PortfolioFrontier[[#This Row],[P126 Return]])</f>
        <v>1.0542172402593915</v>
      </c>
      <c r="SK17" s="27">
        <f>MAX(SK16,PortfolioFrontier[[#This Row],[P126 Growth]])</f>
        <v>1.0577853996594109</v>
      </c>
      <c r="SL17" s="27">
        <f>PortfolioFrontier[[#This Row],[P126 Growth]]/PortfolioFrontier[[#This Row],[P126 HWM]]-1</f>
        <v>-3.3732356309401634E-3</v>
      </c>
      <c r="SM17" s="28">
        <f>SUMPRODUCT(INDEX(PortfolioRef[[SPY]:[PE]],MATCH(SM$1,PortfolioRef[Reference '#]),0),AssetMonthlyReturns[[#This Row],[SPY]:[PE]])</f>
        <v>2.1458117734951096E-3</v>
      </c>
      <c r="SN17" s="27">
        <f>IF(ISNUMBER(SN16),SN16*(1+PortfolioFrontier[[#This Row],[P127 Return]]),1+PortfolioFrontier[[#This Row],[P127 Return]])</f>
        <v>1.0650193839526489</v>
      </c>
      <c r="SO17" s="27">
        <f>MAX(SO16,PortfolioFrontier[[#This Row],[P127 Growth]])</f>
        <v>1.072141988535577</v>
      </c>
      <c r="SP17" s="27">
        <f>PortfolioFrontier[[#This Row],[P127 Growth]]/PortfolioFrontier[[#This Row],[P127 HWM]]-1</f>
        <v>-6.6433407693105018E-3</v>
      </c>
      <c r="SQ17" s="28">
        <f>SUMPRODUCT(INDEX(PortfolioRef[[SPY]:[PE]],MATCH(SQ$1,PortfolioRef[Reference '#]),0),AssetMonthlyReturns[[#This Row],[SPY]:[PE]])</f>
        <v>2.1273877339545778E-3</v>
      </c>
      <c r="SR17" s="27">
        <f>IF(ISNUMBER(SR16),SR16*(1+PortfolioFrontier[[#This Row],[P128 Return]]),1+PortfolioFrontier[[#This Row],[P128 Return]])</f>
        <v>1.0623496733058013</v>
      </c>
      <c r="SS17" s="27">
        <f>MAX(SS16,PortfolioFrontier[[#This Row],[P128 Growth]])</f>
        <v>1.0672408704018066</v>
      </c>
      <c r="ST17" s="27">
        <f>PortfolioFrontier[[#This Row],[P128 Growth]]/PortfolioFrontier[[#This Row],[P128 HWM]]-1</f>
        <v>-4.5830301590340516E-3</v>
      </c>
      <c r="SU17" s="28">
        <f>SUMPRODUCT(INDEX(PortfolioRef[[SPY]:[PE]],MATCH(SU$1,PortfolioRef[Reference '#]),0),AssetMonthlyReturns[[#This Row],[SPY]:[PE]])</f>
        <v>2.108963694414046E-3</v>
      </c>
      <c r="SV17" s="27">
        <f>IF(ISNUMBER(SV16),SV16*(1+PortfolioFrontier[[#This Row],[P129 Return]]),1+PortfolioFrontier[[#This Row],[P129 Return]])</f>
        <v>1.0596378184412789</v>
      </c>
      <c r="SW17" s="27">
        <f>MAX(SW16,PortfolioFrontier[[#This Row],[P129 Growth]])</f>
        <v>1.0623519347147268</v>
      </c>
      <c r="SX17" s="27">
        <f>PortfolioFrontier[[#This Row],[P129 Growth]]/PortfolioFrontier[[#This Row],[P129 HWM]]-1</f>
        <v>-2.5548184031657373E-3</v>
      </c>
      <c r="SY17" s="28">
        <f>SUMPRODUCT(INDEX(PortfolioRef[[SPY]:[PE]],MATCH(SY$1,PortfolioRef[Reference '#]),0),AssetMonthlyReturns[[#This Row],[SPY]:[PE]])</f>
        <v>3.8562505011898057E-3</v>
      </c>
      <c r="SZ17" s="27">
        <f>IF(ISNUMBER(SZ16),SZ16*(1+PortfolioFrontier[[#This Row],[P130 Return]]),1+PortfolioFrontier[[#This Row],[P130 Return]])</f>
        <v>1.0704232784182861</v>
      </c>
      <c r="TA17" s="27">
        <f>MAX(TA16,PortfolioFrontier[[#This Row],[P130 Growth]])</f>
        <v>1.0767436947236253</v>
      </c>
      <c r="TB17" s="27">
        <f>PortfolioFrontier[[#This Row],[P130 Growth]]/PortfolioFrontier[[#This Row],[P130 HWM]]-1</f>
        <v>-5.8699357482298042E-3</v>
      </c>
      <c r="TC17" s="28">
        <f>SUMPRODUCT(INDEX(PortfolioRef[[SPY]:[PE]],MATCH(TC$1,PortfolioRef[Reference '#]),0),AssetMonthlyReturns[[#This Row],[SPY]:[PE]])</f>
        <v>3.8378264616492738E-3</v>
      </c>
      <c r="TD17" s="27">
        <f>IF(ISNUMBER(TD16),TD16*(1+PortfolioFrontier[[#This Row],[P131 Return]]),1+PortfolioFrontier[[#This Row],[P131 Return]])</f>
        <v>1.0677490452067726</v>
      </c>
      <c r="TE17" s="27">
        <f>MAX(TE16,PortfolioFrontier[[#This Row],[P131 Growth]])</f>
        <v>1.0718230297939548</v>
      </c>
      <c r="TF17" s="27">
        <f>PortfolioFrontier[[#This Row],[P131 Growth]]/PortfolioFrontier[[#This Row],[P131 HWM]]-1</f>
        <v>-3.8009862392724969E-3</v>
      </c>
      <c r="TG17" s="28">
        <f>SUMPRODUCT(INDEX(PortfolioRef[[SPY]:[PE]],MATCH(TG$1,PortfolioRef[Reference '#]),0),AssetMonthlyReturns[[#This Row],[SPY]:[PE]])</f>
        <v>3.819402422108742E-3</v>
      </c>
      <c r="TH17" s="27">
        <f>IF(ISNUMBER(TH16),TH16*(1+PortfolioFrontier[[#This Row],[P132 Return]]),1+PortfolioFrontier[[#This Row],[P132 Return]])</f>
        <v>1.0650323743902226</v>
      </c>
      <c r="TI17" s="27">
        <f>MAX(TI16,PortfolioFrontier[[#This Row],[P132 Growth]])</f>
        <v>1.0677896265870317</v>
      </c>
      <c r="TJ17" s="27">
        <f>PortfolioFrontier[[#This Row],[P132 Growth]]/PortfolioFrontier[[#This Row],[P132 HWM]]-1</f>
        <v>-2.5822054533551908E-3</v>
      </c>
      <c r="TK17" s="28">
        <f>SUMPRODUCT(INDEX(PortfolioRef[[SPY]:[PE]],MATCH(TK$1,PortfolioRef[Reference '#]),0),AssetMonthlyReturns[[#This Row],[SPY]:[PE]])</f>
        <v>1.0725950779653824E-3</v>
      </c>
      <c r="TL17" s="27">
        <f>IF(ISNUMBER(TL16),TL16*(1+PortfolioFrontier[[#This Row],[P133 Return]]),1+PortfolioFrontier[[#This Row],[P133 Return]])</f>
        <v>1.0620639509819896</v>
      </c>
      <c r="TM17" s="27">
        <f>MAX(TM16,PortfolioFrontier[[#This Row],[P133 Growth]])</f>
        <v>1.0732236210449184</v>
      </c>
      <c r="TN17" s="27">
        <f>PortfolioFrontier[[#This Row],[P133 Growth]]/PortfolioFrontier[[#This Row],[P133 HWM]]-1</f>
        <v>-1.039827100717694E-2</v>
      </c>
      <c r="TO17" s="28">
        <f>SUMPRODUCT(INDEX(PortfolioRef[[SPY]:[PE]],MATCH(TO$1,PortfolioRef[Reference '#]),0),AssetMonthlyReturns[[#This Row],[SPY]:[PE]])</f>
        <v>1.0541710384248506E-3</v>
      </c>
      <c r="TP17" s="27">
        <f>IF(ISNUMBER(TP16),TP16*(1+PortfolioFrontier[[#This Row],[P134 Return]]),1+PortfolioFrontier[[#This Row],[P134 Return]])</f>
        <v>1.0594238602621646</v>
      </c>
      <c r="TQ17" s="27">
        <f>MAX(TQ16,PortfolioFrontier[[#This Row],[P134 Growth]])</f>
        <v>1.0683248496226843</v>
      </c>
      <c r="TR17" s="27">
        <f>PortfolioFrontier[[#This Row],[P134 Growth]]/PortfolioFrontier[[#This Row],[P134 HWM]]-1</f>
        <v>-8.3317254706406496E-3</v>
      </c>
      <c r="TS17" s="28">
        <f>SUMPRODUCT(INDEX(PortfolioRef[[SPY]:[PE]],MATCH(TS$1,PortfolioRef[Reference '#]),0),AssetMonthlyReturns[[#This Row],[SPY]:[PE]])</f>
        <v>1.0357469988843187E-3</v>
      </c>
      <c r="TT17" s="27">
        <f>IF(ISNUMBER(TT16),TT16*(1+PortfolioFrontier[[#This Row],[P135 Return]]),1+PortfolioFrontier[[#This Row],[P135 Return]])</f>
        <v>1.0567416493083277</v>
      </c>
      <c r="TU17" s="27">
        <f>MAX(TU16,PortfolioFrontier[[#This Row],[P135 Growth]])</f>
        <v>1.0634382574598751</v>
      </c>
      <c r="TV17" s="27">
        <f>PortfolioFrontier[[#This Row],[P135 Growth]]/PortfolioFrontier[[#This Row],[P135 HWM]]-1</f>
        <v>-6.2971292452302929E-3</v>
      </c>
      <c r="TW17" s="28">
        <f>SUMPRODUCT(INDEX(PortfolioRef[[SPY]:[PE]],MATCH(TW$1,PortfolioRef[Reference '#]),0),AssetMonthlyReturns[[#This Row],[SPY]:[PE]])</f>
        <v>2.7830338056600784E-3</v>
      </c>
      <c r="TX17" s="27">
        <f>IF(ISNUMBER(TX16),TX16*(1+PortfolioFrontier[[#This Row],[P136 Return]]),1+PortfolioFrontier[[#This Row],[P136 Return]])</f>
        <v>1.0674882310427101</v>
      </c>
      <c r="TY17" s="27">
        <f>MAX(TY16,PortfolioFrontier[[#This Row],[P136 Growth]])</f>
        <v>1.0778479758950288</v>
      </c>
      <c r="TZ17" s="27">
        <f>PortfolioFrontier[[#This Row],[P136 Growth]]/PortfolioFrontier[[#This Row],[P136 HWM]]-1</f>
        <v>-9.6115083796637357E-3</v>
      </c>
      <c r="UA17" s="28">
        <f>SUMPRODUCT(INDEX(PortfolioRef[[SPY]:[PE]],MATCH(UA$1,PortfolioRef[Reference '#]),0),AssetMonthlyReturns[[#This Row],[SPY]:[PE]])</f>
        <v>2.7646097661195466E-3</v>
      </c>
      <c r="UB17" s="27">
        <f>IF(ISNUMBER(UB16),UB16*(1+PortfolioFrontier[[#This Row],[P137 Return]]),1+PortfolioFrontier[[#This Row],[P137 Return]])</f>
        <v>1.0648437174009835</v>
      </c>
      <c r="UC17" s="27">
        <f>MAX(UC16,PortfolioFrontier[[#This Row],[P137 Growth]])</f>
        <v>1.0729296445539775</v>
      </c>
      <c r="UD17" s="27">
        <f>PortfolioFrontier[[#This Row],[P137 Growth]]/PortfolioFrontier[[#This Row],[P137 HWM]]-1</f>
        <v>-7.5363069648014536E-3</v>
      </c>
      <c r="UE17" s="28">
        <f>SUMPRODUCT(INDEX(PortfolioRef[[SPY]:[PE]],MATCH(UE$1,PortfolioRef[Reference '#]),0),AssetMonthlyReturns[[#This Row],[SPY]:[PE]])</f>
        <v>2.7461857265790148E-3</v>
      </c>
      <c r="UF17" s="27">
        <f>IF(ISNUMBER(UF16),UF16*(1+PortfolioFrontier[[#This Row],[P138 Return]]),1+PortfolioFrontier[[#This Row],[P138 Return]])</f>
        <v>1.0621567894177095</v>
      </c>
      <c r="UG17" s="27">
        <f>MAX(UG16,PortfolioFrontier[[#This Row],[P138 Growth]])</f>
        <v>1.0680235177995143</v>
      </c>
      <c r="UH17" s="27">
        <f>PortfolioFrontier[[#This Row],[P138 Growth]]/PortfolioFrontier[[#This Row],[P138 HWM]]-1</f>
        <v>-5.4930704090601079E-3</v>
      </c>
      <c r="UI17" s="28">
        <f>SUMPRODUCT(INDEX(PortfolioRef[[SPY]:[PE]],MATCH(UI$1,PortfolioRef[Reference '#]),0),AssetMonthlyReturns[[#This Row],[SPY]:[PE]])</f>
        <v>4.4934725333547762E-3</v>
      </c>
      <c r="UJ17" s="27">
        <f>IF(ISNUMBER(UJ16),UJ16*(1+PortfolioFrontier[[#This Row],[P139 Return]]),1+PortfolioFrontier[[#This Row],[P139 Return]])</f>
        <v>1.0728860855800442</v>
      </c>
      <c r="UK17" s="27">
        <f>MAX(UK16,PortfolioFrontier[[#This Row],[P139 Growth]])</f>
        <v>1.0824684769452779</v>
      </c>
      <c r="UL17" s="27">
        <f>PortfolioFrontier[[#This Row],[P139 Growth]]/PortfolioFrontier[[#This Row],[P139 HWM]]-1</f>
        <v>-8.8523514257664582E-3</v>
      </c>
      <c r="UM17" s="28">
        <f>SUMPRODUCT(INDEX(PortfolioRef[[SPY]:[PE]],MATCH(UM$1,PortfolioRef[Reference '#]),0),AssetMonthlyReturns[[#This Row],[SPY]:[PE]])</f>
        <v>4.4750484938142427E-3</v>
      </c>
      <c r="UN17" s="27">
        <f>IF(ISNUMBER(UN16),UN16*(1+PortfolioFrontier[[#This Row],[P140 Return]]),1+PortfolioFrontier[[#This Row],[P140 Return]])</f>
        <v>1.0702372640110669</v>
      </c>
      <c r="UO17" s="27">
        <f>MAX(UO16,PortfolioFrontier[[#This Row],[P140 Growth]])</f>
        <v>1.0775305604276091</v>
      </c>
      <c r="UP17" s="27">
        <f>PortfolioFrontier[[#This Row],[P140 Growth]]/PortfolioFrontier[[#This Row],[P140 HWM]]-1</f>
        <v>-6.7685286008480894E-3</v>
      </c>
      <c r="UQ17" s="28">
        <f>SUMPRODUCT(INDEX(PortfolioRef[[SPY]:[PE]],MATCH(UQ$1,PortfolioRef[Reference '#]),0),AssetMonthlyReturns[[#This Row],[SPY]:[PE]])</f>
        <v>4.4566244542737108E-3</v>
      </c>
      <c r="UR17" s="27">
        <f>IF(ISNUMBER(UR16),UR16*(1+PortfolioFrontier[[#This Row],[P141 Return]]),1+PortfolioFrontier[[#This Row],[P141 Return]])</f>
        <v>1.0675457341403582</v>
      </c>
      <c r="US17" s="27">
        <f>MAX(US16,PortfolioFrontier[[#This Row],[P141 Growth]])</f>
        <v>1.0726048738236913</v>
      </c>
      <c r="UT17" s="27">
        <f>PortfolioFrontier[[#This Row],[P141 Growth]]/PortfolioFrontier[[#This Row],[P141 HWM]]-1</f>
        <v>-4.7166853393998398E-3</v>
      </c>
    </row>
    <row r="18" spans="2:566" x14ac:dyDescent="0.2">
      <c r="B18" s="41">
        <f>AssetMonthlyReturns[[#This Row],[Date]]</f>
        <v>42917</v>
      </c>
      <c r="C18" s="28">
        <f>SUMPRODUCT(INDEX(PortfolioRef[[SPY]:[PE]],MATCH(C$1,PortfolioRef[Reference '#]),0),AssetMonthlyReturns[[#This Row],[SPY]:[PE]])</f>
        <v>1.7850902139705794E-2</v>
      </c>
      <c r="D18" s="29">
        <f>IF(ISNUMBER(D17),D17*(1+PortfolioFrontier[[#This Row],[P1 Return]]),1+PortfolioFrontier[[#This Row],[P1 Return]])</f>
        <v>1.1311641263776682</v>
      </c>
      <c r="E18" s="29">
        <f>MAX(E17,PortfolioFrontier[[#This Row],[P1 Growth]])</f>
        <v>1.1311641263776682</v>
      </c>
      <c r="F18" s="29">
        <f>PortfolioFrontier[[#This Row],[P1 Growth]]/PortfolioFrontier[[#This Row],[P1 HWM]]-1</f>
        <v>0</v>
      </c>
      <c r="G18" s="28">
        <f>SUMPRODUCT(INDEX(PortfolioRef[[SPY]:[PE]],MATCH(G$1,PortfolioRef[Reference '#]),0),AssetMonthlyReturns[[#This Row],[SPY]:[PE]])</f>
        <v>1.6743412604142627E-2</v>
      </c>
      <c r="H18" s="27">
        <f>IF(ISNUMBER(H17),H17*(1+PortfolioFrontier[[#This Row],[P2 Return]]),1+PortfolioFrontier[[#This Row],[P2 Return]])</f>
        <v>1.1207210673780355</v>
      </c>
      <c r="I18" s="27">
        <f>MAX(I17,PortfolioFrontier[[#This Row],[P2 Growth]])</f>
        <v>1.1207210673780355</v>
      </c>
      <c r="J18" s="27">
        <f>PortfolioFrontier[[#This Row],[P2 Growth]]/PortfolioFrontier[[#This Row],[P2 HWM]]-1</f>
        <v>0</v>
      </c>
      <c r="K18" s="28">
        <f>SUMPRODUCT(INDEX(PortfolioRef[[SPY]:[PE]],MATCH(K$1,PortfolioRef[Reference '#]),0),AssetMonthlyReturns[[#This Row],[SPY]:[PE]])</f>
        <v>1.7730936835319698E-2</v>
      </c>
      <c r="L18" s="27">
        <f>IF(ISNUMBER(L17),L17*(1+PortfolioFrontier[[#This Row],[P3 Return]]),1+PortfolioFrontier[[#This Row],[P3 Return]])</f>
        <v>1.1188511101103256</v>
      </c>
      <c r="M18" s="27">
        <f>MAX(M17,PortfolioFrontier[[#This Row],[P3 Growth]])</f>
        <v>1.1188511101103256</v>
      </c>
      <c r="N18" s="27">
        <f>PortfolioFrontier[[#This Row],[P3 Growth]]/PortfolioFrontier[[#This Row],[P3 HWM]]-1</f>
        <v>0</v>
      </c>
      <c r="O18" s="28">
        <f>SUMPRODUCT(INDEX(PortfolioRef[[SPY]:[PE]],MATCH(O$1,PortfolioRef[Reference '#]),0),AssetMonthlyReturns[[#This Row],[SPY]:[PE]])</f>
        <v>1.7676623207537212E-2</v>
      </c>
      <c r="P18" s="27">
        <f>IF(ISNUMBER(P17),P17*(1+PortfolioFrontier[[#This Row],[P4 Return]]),1+PortfolioFrontier[[#This Row],[P4 Return]])</f>
        <v>1.1244367058584519</v>
      </c>
      <c r="Q18" s="27">
        <f>MAX(Q17,PortfolioFrontier[[#This Row],[P4 Growth]])</f>
        <v>1.1244367058584519</v>
      </c>
      <c r="R18" s="27">
        <f>PortfolioFrontier[[#This Row],[P4 Growth]]/PortfolioFrontier[[#This Row],[P4 HWM]]-1</f>
        <v>0</v>
      </c>
      <c r="S18" s="28">
        <f>SUMPRODUCT(INDEX(PortfolioRef[[SPY]:[PE]],MATCH(S$1,PortfolioRef[Reference '#]),0),AssetMonthlyReturns[[#This Row],[SPY]:[PE]])</f>
        <v>1.5966327669129719E-2</v>
      </c>
      <c r="T18" s="27">
        <f>IF(ISNUMBER(T17),T17*(1+PortfolioFrontier[[#This Row],[P5 Return]]),1+PortfolioFrontier[[#This Row],[P5 Return]])</f>
        <v>1.1196383009996256</v>
      </c>
      <c r="U18" s="27">
        <f>MAX(U17,PortfolioFrontier[[#This Row],[P5 Growth]])</f>
        <v>1.1196383009996256</v>
      </c>
      <c r="V18" s="27">
        <f>PortfolioFrontier[[#This Row],[P5 Growth]]/PortfolioFrontier[[#This Row],[P5 HWM]]-1</f>
        <v>0</v>
      </c>
      <c r="W18" s="28">
        <f>SUMPRODUCT(INDEX(PortfolioRef[[SPY]:[PE]],MATCH(W$1,PortfolioRef[Reference '#]),0),AssetMonthlyReturns[[#This Row],[SPY]:[PE]])</f>
        <v>1.5635923068579461E-2</v>
      </c>
      <c r="X18" s="27">
        <f>IF(ISNUMBER(X17),X17*(1+PortfolioFrontier[[#This Row],[P6 Return]]),1+PortfolioFrontier[[#This Row],[P6 Return]])</f>
        <v>1.1103519349799593</v>
      </c>
      <c r="Y18" s="27">
        <f>MAX(Y17,PortfolioFrontier[[#This Row],[P6 Growth]])</f>
        <v>1.1103519349799593</v>
      </c>
      <c r="Z18" s="27">
        <f>PortfolioFrontier[[#This Row],[P6 Growth]]/PortfolioFrontier[[#This Row],[P6 HWM]]-1</f>
        <v>0</v>
      </c>
      <c r="AA18" s="28">
        <f>SUMPRODUCT(INDEX(PortfolioRef[[SPY]:[PE]],MATCH(AA$1,PortfolioRef[Reference '#]),0),AssetMonthlyReturns[[#This Row],[SPY]:[PE]])</f>
        <v>1.6623447299756532E-2</v>
      </c>
      <c r="AB18" s="27">
        <f>IF(ISNUMBER(AB17),AB17*(1+PortfolioFrontier[[#This Row],[P7 Return]]),1+PortfolioFrontier[[#This Row],[P7 Return]])</f>
        <v>1.1084887803572043</v>
      </c>
      <c r="AC18" s="27">
        <f>MAX(AC17,PortfolioFrontier[[#This Row],[P7 Growth]])</f>
        <v>1.1084887803572043</v>
      </c>
      <c r="AD18" s="27">
        <f>PortfolioFrontier[[#This Row],[P7 Growth]]/PortfolioFrontier[[#This Row],[P7 HWM]]-1</f>
        <v>0</v>
      </c>
      <c r="AE18" s="28">
        <f>SUMPRODUCT(INDEX(PortfolioRef[[SPY]:[PE]],MATCH(AE$1,PortfolioRef[Reference '#]),0),AssetMonthlyReturns[[#This Row],[SPY]:[PE]])</f>
        <v>1.6569133671974046E-2</v>
      </c>
      <c r="AF18" s="27">
        <f>IF(ISNUMBER(AF17),AF17*(1+PortfolioFrontier[[#This Row],[P8 Return]]),1+PortfolioFrontier[[#This Row],[P8 Return]])</f>
        <v>1.1140440553320907</v>
      </c>
      <c r="AG18" s="27">
        <f>MAX(AG17,PortfolioFrontier[[#This Row],[P8 Growth]])</f>
        <v>1.1140440553320907</v>
      </c>
      <c r="AH18" s="27">
        <f>PortfolioFrontier[[#This Row],[P8 Growth]]/PortfolioFrontier[[#This Row],[P8 HWM]]-1</f>
        <v>0</v>
      </c>
      <c r="AI18" s="28">
        <f>SUMPRODUCT(INDEX(PortfolioRef[[SPY]:[PE]],MATCH(AI$1,PortfolioRef[Reference '#]),0),AssetMonthlyReturns[[#This Row],[SPY]:[PE]])</f>
        <v>1.4858838133566553E-2</v>
      </c>
      <c r="AJ18" s="27">
        <f>IF(ISNUMBER(AJ17),AJ17*(1+PortfolioFrontier[[#This Row],[P9 Return]]),1+PortfolioFrontier[[#This Row],[P9 Return]])</f>
        <v>1.1092824986818741</v>
      </c>
      <c r="AK18" s="27">
        <f>MAX(AK17,PortfolioFrontier[[#This Row],[P9 Growth]])</f>
        <v>1.1092824986818741</v>
      </c>
      <c r="AL18" s="27">
        <f>PortfolioFrontier[[#This Row],[P9 Growth]]/PortfolioFrontier[[#This Row],[P9 HWM]]-1</f>
        <v>0</v>
      </c>
      <c r="AM18" s="28">
        <f>SUMPRODUCT(INDEX(PortfolioRef[[SPY]:[PE]],MATCH(AM$1,PortfolioRef[Reference '#]),0),AssetMonthlyReturns[[#This Row],[SPY]:[PE]])</f>
        <v>1.7610971530933602E-2</v>
      </c>
      <c r="AN18" s="27">
        <f>IF(ISNUMBER(AN17),AN17*(1+PortfolioFrontier[[#This Row],[P10 Return]]),1+PortfolioFrontier[[#This Row],[P10 Return]])</f>
        <v>1.1065794848813011</v>
      </c>
      <c r="AO18" s="27">
        <f>MAX(AO17,PortfolioFrontier[[#This Row],[P10 Growth]])</f>
        <v>1.1065794848813011</v>
      </c>
      <c r="AP18" s="27">
        <f>PortfolioFrontier[[#This Row],[P10 Growth]]/PortfolioFrontier[[#This Row],[P10 HWM]]-1</f>
        <v>0</v>
      </c>
      <c r="AQ18" s="28">
        <f>SUMPRODUCT(INDEX(PortfolioRef[[SPY]:[PE]],MATCH(AQ$1,PortfolioRef[Reference '#]),0),AssetMonthlyReturns[[#This Row],[SPY]:[PE]])</f>
        <v>1.7556657903151116E-2</v>
      </c>
      <c r="AR18" s="27">
        <f>IF(ISNUMBER(AR17),AR17*(1+PortfolioFrontier[[#This Row],[P11 Return]]),1+PortfolioFrontier[[#This Row],[P11 Return]])</f>
        <v>1.1121620736954181</v>
      </c>
      <c r="AS18" s="27">
        <f>MAX(AS17,PortfolioFrontier[[#This Row],[P11 Growth]])</f>
        <v>1.1121620736954181</v>
      </c>
      <c r="AT18" s="27">
        <f>PortfolioFrontier[[#This Row],[P11 Growth]]/PortfolioFrontier[[#This Row],[P11 HWM]]-1</f>
        <v>0</v>
      </c>
      <c r="AU18" s="28">
        <f>SUMPRODUCT(INDEX(PortfolioRef[[SPY]:[PE]],MATCH(AU$1,PortfolioRef[Reference '#]),0),AssetMonthlyReturns[[#This Row],[SPY]:[PE]])</f>
        <v>1.5846362364743627E-2</v>
      </c>
      <c r="AV18" s="27">
        <f>IF(ISNUMBER(AV17),AV17*(1+PortfolioFrontier[[#This Row],[P12 Return]]),1+PortfolioFrontier[[#This Row],[P12 Return]])</f>
        <v>1.1074337006878103</v>
      </c>
      <c r="AW18" s="27">
        <f>MAX(AW17,PortfolioFrontier[[#This Row],[P12 Growth]])</f>
        <v>1.1074337006878103</v>
      </c>
      <c r="AX18" s="27">
        <f>PortfolioFrontier[[#This Row],[P12 Growth]]/PortfolioFrontier[[#This Row],[P12 HWM]]-1</f>
        <v>0</v>
      </c>
      <c r="AY18" s="28">
        <f>SUMPRODUCT(INDEX(PortfolioRef[[SPY]:[PE]],MATCH(AY$1,PortfolioRef[Reference '#]),0),AssetMonthlyReturns[[#This Row],[SPY]:[PE]])</f>
        <v>1.750234427536863E-2</v>
      </c>
      <c r="AZ18" s="27">
        <f>IF(ISNUMBER(AZ17),AZ17*(1+PortfolioFrontier[[#This Row],[P13 Return]]),1+PortfolioFrontier[[#This Row],[P13 Return]])</f>
        <v>1.1177166310632443</v>
      </c>
      <c r="BA18" s="27">
        <f>MAX(BA17,PortfolioFrontier[[#This Row],[P13 Growth]])</f>
        <v>1.1177166310632443</v>
      </c>
      <c r="BB18" s="27">
        <f>PortfolioFrontier[[#This Row],[P13 Growth]]/PortfolioFrontier[[#This Row],[P13 HWM]]-1</f>
        <v>0</v>
      </c>
      <c r="BC18" s="28">
        <f>SUMPRODUCT(INDEX(PortfolioRef[[SPY]:[PE]],MATCH(BC$1,PortfolioRef[Reference '#]),0),AssetMonthlyReturns[[#This Row],[SPY]:[PE]])</f>
        <v>1.5792048736961137E-2</v>
      </c>
      <c r="BD18" s="27">
        <f>IF(ISNUMBER(BD17),BD17*(1+PortfolioFrontier[[#This Row],[P14 Return]]),1+PortfolioFrontier[[#This Row],[P14 Return]])</f>
        <v>1.1129738517356422</v>
      </c>
      <c r="BE18" s="27">
        <f>MAX(BE17,PortfolioFrontier[[#This Row],[P14 Growth]])</f>
        <v>1.1129738517356422</v>
      </c>
      <c r="BF18" s="27">
        <f>PortfolioFrontier[[#This Row],[P14 Growth]]/PortfolioFrontier[[#This Row],[P14 HWM]]-1</f>
        <v>0</v>
      </c>
      <c r="BG18" s="28">
        <f>SUMPRODUCT(INDEX(PortfolioRef[[SPY]:[PE]],MATCH(BG$1,PortfolioRef[Reference '#]),0),AssetMonthlyReturns[[#This Row],[SPY]:[PE]])</f>
        <v>1.4081753198553648E-2</v>
      </c>
      <c r="BH18" s="27">
        <f>IF(ISNUMBER(BH17),BH17*(1+PortfolioFrontier[[#This Row],[P15 Return]]),1+PortfolioFrontier[[#This Row],[P15 Return]])</f>
        <v>1.1081971063562233</v>
      </c>
      <c r="BI18" s="27">
        <f>MAX(BI17,PortfolioFrontier[[#This Row],[P15 Growth]])</f>
        <v>1.1081971063562233</v>
      </c>
      <c r="BJ18" s="27">
        <f>PortfolioFrontier[[#This Row],[P15 Growth]]/PortfolioFrontier[[#This Row],[P15 HWM]]-1</f>
        <v>0</v>
      </c>
      <c r="BK18" s="28">
        <f>SUMPRODUCT(INDEX(PortfolioRef[[SPY]:[PE]],MATCH(BK$1,PortfolioRef[Reference '#]),0),AssetMonthlyReturns[[#This Row],[SPY]:[PE]])</f>
        <v>1.4528433533016295E-2</v>
      </c>
      <c r="BL18" s="27">
        <f>IF(ISNUMBER(BL17),BL17*(1+PortfolioFrontier[[#This Row],[P16 Return]]),1+PortfolioFrontier[[#This Row],[P16 Return]])</f>
        <v>1.1000563693390542</v>
      </c>
      <c r="BM18" s="27">
        <f>MAX(BM17,PortfolioFrontier[[#This Row],[P16 Growth]])</f>
        <v>1.1000563693390542</v>
      </c>
      <c r="BN18" s="27">
        <f>PortfolioFrontier[[#This Row],[P16 Growth]]/PortfolioFrontier[[#This Row],[P16 HWM]]-1</f>
        <v>0</v>
      </c>
      <c r="BO18" s="28">
        <f>SUMPRODUCT(INDEX(PortfolioRef[[SPY]:[PE]],MATCH(BO$1,PortfolioRef[Reference '#]),0),AssetMonthlyReturns[[#This Row],[SPY]:[PE]])</f>
        <v>1.5515957764193369E-2</v>
      </c>
      <c r="BP18" s="27">
        <f>IF(ISNUMBER(BP17),BP17*(1+PortfolioFrontier[[#This Row],[P17 Return]]),1+PortfolioFrontier[[#This Row],[P17 Return]])</f>
        <v>1.0982000485811492</v>
      </c>
      <c r="BQ18" s="27">
        <f>MAX(BQ17,PortfolioFrontier[[#This Row],[P17 Growth]])</f>
        <v>1.0982000485811492</v>
      </c>
      <c r="BR18" s="27">
        <f>PortfolioFrontier[[#This Row],[P17 Growth]]/PortfolioFrontier[[#This Row],[P17 HWM]]-1</f>
        <v>0</v>
      </c>
      <c r="BS18" s="28">
        <f>SUMPRODUCT(INDEX(PortfolioRef[[SPY]:[PE]],MATCH(BS$1,PortfolioRef[Reference '#]),0),AssetMonthlyReturns[[#This Row],[SPY]:[PE]])</f>
        <v>1.5461644136410879E-2</v>
      </c>
      <c r="BT18" s="27">
        <f>IF(ISNUMBER(BT17),BT17*(1+PortfolioFrontier[[#This Row],[P18 Return]]),1+PortfolioFrontier[[#This Row],[P18 Return]])</f>
        <v>1.1037250592035583</v>
      </c>
      <c r="BU18" s="27">
        <f>MAX(BU17,PortfolioFrontier[[#This Row],[P18 Growth]])</f>
        <v>1.1037250592035583</v>
      </c>
      <c r="BV18" s="27">
        <f>PortfolioFrontier[[#This Row],[P18 Growth]]/PortfolioFrontier[[#This Row],[P18 HWM]]-1</f>
        <v>0</v>
      </c>
      <c r="BW18" s="28">
        <f>SUMPRODUCT(INDEX(PortfolioRef[[SPY]:[PE]],MATCH(BW$1,PortfolioRef[Reference '#]),0),AssetMonthlyReturns[[#This Row],[SPY]:[PE]])</f>
        <v>1.375134859800339E-2</v>
      </c>
      <c r="BX18" s="27">
        <f>IF(ISNUMBER(BX17),BX17*(1+PortfolioFrontier[[#This Row],[P19 Return]]),1+PortfolioFrontier[[#This Row],[P19 Return]])</f>
        <v>1.0990001497479838</v>
      </c>
      <c r="BY18" s="27">
        <f>MAX(BY17,PortfolioFrontier[[#This Row],[P19 Growth]])</f>
        <v>1.0990001497479838</v>
      </c>
      <c r="BZ18" s="27">
        <f>PortfolioFrontier[[#This Row],[P19 Growth]]/PortfolioFrontier[[#This Row],[P19 HWM]]-1</f>
        <v>0</v>
      </c>
      <c r="CA18" s="28">
        <f>SUMPRODUCT(INDEX(PortfolioRef[[SPY]:[PE]],MATCH(CA$1,PortfolioRef[Reference '#]),0),AssetMonthlyReturns[[#This Row],[SPY]:[PE]])</f>
        <v>1.6503481995370439E-2</v>
      </c>
      <c r="CB18" s="27">
        <f>IF(ISNUMBER(CB17),CB17*(1+PortfolioFrontier[[#This Row],[P20 Return]]),1+PortfolioFrontier[[#This Row],[P20 Return]])</f>
        <v>1.0962979787264695</v>
      </c>
      <c r="CC18" s="27">
        <f>MAX(CC17,PortfolioFrontier[[#This Row],[P20 Growth]])</f>
        <v>1.0962979787264695</v>
      </c>
      <c r="CD18" s="27">
        <f>PortfolioFrontier[[#This Row],[P20 Growth]]/PortfolioFrontier[[#This Row],[P20 HWM]]-1</f>
        <v>0</v>
      </c>
      <c r="CE18" s="28">
        <f>SUMPRODUCT(INDEX(PortfolioRef[[SPY]:[PE]],MATCH(CE$1,PortfolioRef[Reference '#]),0),AssetMonthlyReturns[[#This Row],[SPY]:[PE]])</f>
        <v>1.6449168367587953E-2</v>
      </c>
      <c r="CF18" s="27">
        <f>IF(ISNUMBER(CF17),CF17*(1+PortfolioFrontier[[#This Row],[P21 Return]]),1+PortfolioFrontier[[#This Row],[P21 Return]])</f>
        <v>1.1018500470250139</v>
      </c>
      <c r="CG18" s="27">
        <f>MAX(CG17,PortfolioFrontier[[#This Row],[P21 Growth]])</f>
        <v>1.1018500470250139</v>
      </c>
      <c r="CH18" s="27">
        <f>PortfolioFrontier[[#This Row],[P21 Growth]]/PortfolioFrontier[[#This Row],[P21 HWM]]-1</f>
        <v>0</v>
      </c>
      <c r="CI18" s="28">
        <f>SUMPRODUCT(INDEX(PortfolioRef[[SPY]:[PE]],MATCH(CI$1,PortfolioRef[Reference '#]),0),AssetMonthlyReturns[[#This Row],[SPY]:[PE]])</f>
        <v>1.473887282918046E-2</v>
      </c>
      <c r="CJ18" s="27">
        <f>IF(ISNUMBER(CJ17),CJ17*(1+PortfolioFrontier[[#This Row],[P22 Return]]),1+PortfolioFrontier[[#This Row],[P22 Return]])</f>
        <v>1.0971580782671082</v>
      </c>
      <c r="CK18" s="27">
        <f>MAX(CK17,PortfolioFrontier[[#This Row],[P22 Growth]])</f>
        <v>1.0971580782671082</v>
      </c>
      <c r="CL18" s="27">
        <f>PortfolioFrontier[[#This Row],[P22 Growth]]/PortfolioFrontier[[#This Row],[P22 HWM]]-1</f>
        <v>0</v>
      </c>
      <c r="CM18" s="28">
        <f>SUMPRODUCT(INDEX(PortfolioRef[[SPY]:[PE]],MATCH(CM$1,PortfolioRef[Reference '#]),0),AssetMonthlyReturns[[#This Row],[SPY]:[PE]])</f>
        <v>1.6394854739805467E-2</v>
      </c>
      <c r="CN18" s="27">
        <f>IF(ISNUMBER(CN17),CN17*(1+PortfolioFrontier[[#This Row],[P23 Return]]),1+PortfolioFrontier[[#This Row],[P23 Return]])</f>
        <v>1.1073744309625415</v>
      </c>
      <c r="CO18" s="27">
        <f>MAX(CO17,PortfolioFrontier[[#This Row],[P23 Growth]])</f>
        <v>1.1073744309625415</v>
      </c>
      <c r="CP18" s="27">
        <f>PortfolioFrontier[[#This Row],[P23 Growth]]/PortfolioFrontier[[#This Row],[P23 HWM]]-1</f>
        <v>0</v>
      </c>
      <c r="CQ18" s="28">
        <f>SUMPRODUCT(INDEX(PortfolioRef[[SPY]:[PE]],MATCH(CQ$1,PortfolioRef[Reference '#]),0),AssetMonthlyReturns[[#This Row],[SPY]:[PE]])</f>
        <v>1.4684559201397974E-2</v>
      </c>
      <c r="CR18" s="27">
        <f>IF(ISNUMBER(CR17),CR17*(1+PortfolioFrontier[[#This Row],[P24 Return]]),1+PortfolioFrontier[[#This Row],[P24 Return]])</f>
        <v>1.1026680704968497</v>
      </c>
      <c r="CS18" s="27">
        <f>MAX(CS17,PortfolioFrontier[[#This Row],[P24 Growth]])</f>
        <v>1.1026680704968497</v>
      </c>
      <c r="CT18" s="27">
        <f>PortfolioFrontier[[#This Row],[P24 Growth]]/PortfolioFrontier[[#This Row],[P24 HWM]]-1</f>
        <v>0</v>
      </c>
      <c r="CU18" s="28">
        <f>SUMPRODUCT(INDEX(PortfolioRef[[SPY]:[PE]],MATCH(CU$1,PortfolioRef[Reference '#]),0),AssetMonthlyReturns[[#This Row],[SPY]:[PE]])</f>
        <v>1.2974263662990482E-2</v>
      </c>
      <c r="CV18" s="27">
        <f>IF(ISNUMBER(CV17),CV17*(1+PortfolioFrontier[[#This Row],[P25 Return]]),1+PortfolioFrontier[[#This Row],[P25 Return]])</f>
        <v>1.097928085249509</v>
      </c>
      <c r="CW18" s="27">
        <f>MAX(CW17,PortfolioFrontier[[#This Row],[P25 Growth]])</f>
        <v>1.097928085249509</v>
      </c>
      <c r="CX18" s="27">
        <f>PortfolioFrontier[[#This Row],[P25 Growth]]/PortfolioFrontier[[#This Row],[P25 HWM]]-1</f>
        <v>0</v>
      </c>
      <c r="CY18" s="28">
        <f>SUMPRODUCT(INDEX(PortfolioRef[[SPY]:[PE]],MATCH(CY$1,PortfolioRef[Reference '#]),0),AssetMonthlyReturns[[#This Row],[SPY]:[PE]])</f>
        <v>1.7436692598765024E-2</v>
      </c>
      <c r="CZ18" s="27">
        <f>IF(ISNUMBER(CZ17),CZ17*(1+PortfolioFrontier[[#This Row],[P26 Return]]),1+PortfolioFrontier[[#This Row],[P26 Return]])</f>
        <v>1.099929266082603</v>
      </c>
      <c r="DA18" s="27">
        <f>MAX(DA17,PortfolioFrontier[[#This Row],[P26 Growth]])</f>
        <v>1.099929266082603</v>
      </c>
      <c r="DB18" s="27">
        <f>PortfolioFrontier[[#This Row],[P26 Growth]]/PortfolioFrontier[[#This Row],[P26 HWM]]-1</f>
        <v>0</v>
      </c>
      <c r="DC18" s="28">
        <f>SUMPRODUCT(INDEX(PortfolioRef[[SPY]:[PE]],MATCH(DC$1,PortfolioRef[Reference '#]),0),AssetMonthlyReturns[[#This Row],[SPY]:[PE]])</f>
        <v>1.5726397060357535E-2</v>
      </c>
      <c r="DD18" s="27">
        <f>IF(ISNUMBER(DD17),DD17*(1+PortfolioFrontier[[#This Row],[P27 Return]]),1+PortfolioFrontier[[#This Row],[P27 Return]])</f>
        <v>1.0952702631745681</v>
      </c>
      <c r="DE18" s="27">
        <f>MAX(DE17,PortfolioFrontier[[#This Row],[P27 Growth]])</f>
        <v>1.0952702631745681</v>
      </c>
      <c r="DF18" s="27">
        <f>PortfolioFrontier[[#This Row],[P27 Growth]]/PortfolioFrontier[[#This Row],[P27 HWM]]-1</f>
        <v>0</v>
      </c>
      <c r="DG18" s="28">
        <f>SUMPRODUCT(INDEX(PortfolioRef[[SPY]:[PE]],MATCH(DG$1,PortfolioRef[Reference '#]),0),AssetMonthlyReturns[[#This Row],[SPY]:[PE]])</f>
        <v>1.7382378970982538E-2</v>
      </c>
      <c r="DH18" s="27">
        <f>IF(ISNUMBER(DH17),DH17*(1+PortfolioFrontier[[#This Row],[P28 Return]]),1+PortfolioFrontier[[#This Row],[P28 Return]])</f>
        <v>1.105480688768131</v>
      </c>
      <c r="DI18" s="27">
        <f>MAX(DI17,PortfolioFrontier[[#This Row],[P28 Growth]])</f>
        <v>1.105480688768131</v>
      </c>
      <c r="DJ18" s="27">
        <f>PortfolioFrontier[[#This Row],[P28 Growth]]/PortfolioFrontier[[#This Row],[P28 HWM]]-1</f>
        <v>0</v>
      </c>
      <c r="DK18" s="28">
        <f>SUMPRODUCT(INDEX(PortfolioRef[[SPY]:[PE]],MATCH(DK$1,PortfolioRef[Reference '#]),0),AssetMonthlyReturns[[#This Row],[SPY]:[PE]])</f>
        <v>1.5672083432575045E-2</v>
      </c>
      <c r="DL18" s="27">
        <f>IF(ISNUMBER(DL17),DL17*(1+PortfolioFrontier[[#This Row],[P29 Return]]),1+PortfolioFrontier[[#This Row],[P29 Return]])</f>
        <v>1.1008073539406684</v>
      </c>
      <c r="DM18" s="27">
        <f>MAX(DM17,PortfolioFrontier[[#This Row],[P29 Growth]])</f>
        <v>1.1008073539406684</v>
      </c>
      <c r="DN18" s="27">
        <f>PortfolioFrontier[[#This Row],[P29 Growth]]/PortfolioFrontier[[#This Row],[P29 HWM]]-1</f>
        <v>0</v>
      </c>
      <c r="DO18" s="28">
        <f>SUMPRODUCT(INDEX(PortfolioRef[[SPY]:[PE]],MATCH(DO$1,PortfolioRef[Reference '#]),0),AssetMonthlyReturns[[#This Row],[SPY]:[PE]])</f>
        <v>1.3961787894167556E-2</v>
      </c>
      <c r="DP18" s="27">
        <f>IF(ISNUMBER(DP17),DP17*(1+PortfolioFrontier[[#This Row],[P30 Return]]),1+PortfolioFrontier[[#This Row],[P30 Return]])</f>
        <v>1.0961002673403286</v>
      </c>
      <c r="DQ18" s="27">
        <f>MAX(DQ17,PortfolioFrontier[[#This Row],[P30 Growth]])</f>
        <v>1.0961002673403286</v>
      </c>
      <c r="DR18" s="27">
        <f>PortfolioFrontier[[#This Row],[P30 Growth]]/PortfolioFrontier[[#This Row],[P30 HWM]]-1</f>
        <v>0</v>
      </c>
      <c r="DS18" s="28">
        <f>SUMPRODUCT(INDEX(PortfolioRef[[SPY]:[PE]],MATCH(DS$1,PortfolioRef[Reference '#]),0),AssetMonthlyReturns[[#This Row],[SPY]:[PE]])</f>
        <v>1.7328065343200048E-2</v>
      </c>
      <c r="DT18" s="27">
        <f>IF(ISNUMBER(DT17),DT17*(1+PortfolioFrontier[[#This Row],[P31 Return]]),1+PortfolioFrontier[[#This Row],[P31 Return]])</f>
        <v>1.1110042240487281</v>
      </c>
      <c r="DU18" s="27">
        <f>MAX(DU17,PortfolioFrontier[[#This Row],[P31 Growth]])</f>
        <v>1.1110042240487281</v>
      </c>
      <c r="DV18" s="27">
        <f>PortfolioFrontier[[#This Row],[P31 Growth]]/PortfolioFrontier[[#This Row],[P31 HWM]]-1</f>
        <v>0</v>
      </c>
      <c r="DW18" s="28">
        <f>SUMPRODUCT(INDEX(PortfolioRef[[SPY]:[PE]],MATCH(DW$1,PortfolioRef[Reference '#]),0),AssetMonthlyReturns[[#This Row],[SPY]:[PE]])</f>
        <v>1.5617769804792559E-2</v>
      </c>
      <c r="DX18" s="27">
        <f>IF(ISNUMBER(DX17),DX17*(1+PortfolioFrontier[[#This Row],[P32 Return]]),1+PortfolioFrontier[[#This Row],[P32 Return]])</f>
        <v>1.1063167222070911</v>
      </c>
      <c r="DY18" s="27">
        <f>MAX(DY17,PortfolioFrontier[[#This Row],[P32 Growth]])</f>
        <v>1.1063167222070911</v>
      </c>
      <c r="DZ18" s="27">
        <f>PortfolioFrontier[[#This Row],[P32 Growth]]/PortfolioFrontier[[#This Row],[P32 HWM]]-1</f>
        <v>0</v>
      </c>
      <c r="EA18" s="28">
        <f>SUMPRODUCT(INDEX(PortfolioRef[[SPY]:[PE]],MATCH(EA$1,PortfolioRef[Reference '#]),0),AssetMonthlyReturns[[#This Row],[SPY]:[PE]])</f>
        <v>1.3907474266385066E-2</v>
      </c>
      <c r="EB18" s="27">
        <f>IF(ISNUMBER(EB17),EB17*(1+PortfolioFrontier[[#This Row],[P33 Return]]),1+PortfolioFrontier[[#This Row],[P33 Return]])</f>
        <v>1.1015951862043198</v>
      </c>
      <c r="EC18" s="27">
        <f>MAX(EC17,PortfolioFrontier[[#This Row],[P33 Growth]])</f>
        <v>1.1015951862043198</v>
      </c>
      <c r="ED18" s="27">
        <f>PortfolioFrontier[[#This Row],[P33 Growth]]/PortfolioFrontier[[#This Row],[P33 HWM]]-1</f>
        <v>0</v>
      </c>
      <c r="EE18" s="28">
        <f>SUMPRODUCT(INDEX(PortfolioRef[[SPY]:[PE]],MATCH(EE$1,PortfolioRef[Reference '#]),0),AssetMonthlyReturns[[#This Row],[SPY]:[PE]])</f>
        <v>1.3420943997453125E-2</v>
      </c>
      <c r="EF18" s="27">
        <f>IF(ISNUMBER(EF17),EF17*(1+PortfolioFrontier[[#This Row],[P34 Return]]),1+PortfolioFrontier[[#This Row],[P34 Return]])</f>
        <v>1.0898340113399232</v>
      </c>
      <c r="EG18" s="27">
        <f>MAX(EG17,PortfolioFrontier[[#This Row],[P34 Growth]])</f>
        <v>1.0898340113399232</v>
      </c>
      <c r="EH18" s="27">
        <f>PortfolioFrontier[[#This Row],[P34 Growth]]/PortfolioFrontier[[#This Row],[P34 HWM]]-1</f>
        <v>0</v>
      </c>
      <c r="EI18" s="28">
        <f>SUMPRODUCT(INDEX(PortfolioRef[[SPY]:[PE]],MATCH(EI$1,PortfolioRef[Reference '#]),0),AssetMonthlyReturns[[#This Row],[SPY]:[PE]])</f>
        <v>1.4408468228630199E-2</v>
      </c>
      <c r="EJ18" s="27">
        <f>IF(ISNUMBER(EJ17),EJ17*(1+PortfolioFrontier[[#This Row],[P35 Return]]),1+PortfolioFrontier[[#This Row],[P35 Return]])</f>
        <v>1.0879845547887999</v>
      </c>
      <c r="EK18" s="27">
        <f>MAX(EK17,PortfolioFrontier[[#This Row],[P35 Growth]])</f>
        <v>1.0879845547887999</v>
      </c>
      <c r="EL18" s="27">
        <f>PortfolioFrontier[[#This Row],[P35 Growth]]/PortfolioFrontier[[#This Row],[P35 HWM]]-1</f>
        <v>0</v>
      </c>
      <c r="EM18" s="28">
        <f>SUMPRODUCT(INDEX(PortfolioRef[[SPY]:[PE]],MATCH(EM$1,PortfolioRef[Reference '#]),0),AssetMonthlyReturns[[#This Row],[SPY]:[PE]])</f>
        <v>1.4354154600847713E-2</v>
      </c>
      <c r="EN18" s="27">
        <f>IF(ISNUMBER(EN17),EN17*(1+PortfolioFrontier[[#This Row],[P36 Return]]),1+PortfolioFrontier[[#This Row],[P36 Return]])</f>
        <v>1.0934793582818003</v>
      </c>
      <c r="EO18" s="27">
        <f>MAX(EO17,PortfolioFrontier[[#This Row],[P36 Growth]])</f>
        <v>1.0934793582818003</v>
      </c>
      <c r="EP18" s="27">
        <f>PortfolioFrontier[[#This Row],[P36 Growth]]/PortfolioFrontier[[#This Row],[P36 HWM]]-1</f>
        <v>0</v>
      </c>
      <c r="EQ18" s="28">
        <f>SUMPRODUCT(INDEX(PortfolioRef[[SPY]:[PE]],MATCH(EQ$1,PortfolioRef[Reference '#]),0),AssetMonthlyReturns[[#This Row],[SPY]:[PE]])</f>
        <v>1.264385906244022E-2</v>
      </c>
      <c r="ER18" s="27">
        <f>IF(ISNUMBER(ER17),ER17*(1+PortfolioFrontier[[#This Row],[P37 Return]]),1+PortfolioFrontier[[#This Row],[P37 Return]])</f>
        <v>1.0887908957742882</v>
      </c>
      <c r="ES18" s="27">
        <f>MAX(ES17,PortfolioFrontier[[#This Row],[P37 Growth]])</f>
        <v>1.0887908957742882</v>
      </c>
      <c r="ET18" s="27">
        <f>PortfolioFrontier[[#This Row],[P37 Growth]]/PortfolioFrontier[[#This Row],[P37 HWM]]-1</f>
        <v>0</v>
      </c>
      <c r="EU18" s="28">
        <f>SUMPRODUCT(INDEX(PortfolioRef[[SPY]:[PE]],MATCH(EU$1,PortfolioRef[Reference '#]),0),AssetMonthlyReturns[[#This Row],[SPY]:[PE]])</f>
        <v>1.5395992459807273E-2</v>
      </c>
      <c r="EV18" s="27">
        <f>IF(ISNUMBER(EV17),EV17*(1+PortfolioFrontier[[#This Row],[P38 Return]]),1+PortfolioFrontier[[#This Row],[P38 Return]])</f>
        <v>1.0860897381149661</v>
      </c>
      <c r="EW18" s="27">
        <f>MAX(EW17,PortfolioFrontier[[#This Row],[P38 Growth]])</f>
        <v>1.0860897381149661</v>
      </c>
      <c r="EX18" s="27">
        <f>PortfolioFrontier[[#This Row],[P38 Growth]]/PortfolioFrontier[[#This Row],[P38 HWM]]-1</f>
        <v>0</v>
      </c>
      <c r="EY18" s="28">
        <f>SUMPRODUCT(INDEX(PortfolioRef[[SPY]:[PE]],MATCH(EY$1,PortfolioRef[Reference '#]),0),AssetMonthlyReturns[[#This Row],[SPY]:[PE]])</f>
        <v>1.5341678832024783E-2</v>
      </c>
      <c r="EZ18" s="27">
        <f>IF(ISNUMBER(EZ17),EZ17*(1+PortfolioFrontier[[#This Row],[P39 Return]]),1+PortfolioFrontier[[#This Row],[P39 Return]])</f>
        <v>1.0916113449422316</v>
      </c>
      <c r="FA18" s="27">
        <f>MAX(FA17,PortfolioFrontier[[#This Row],[P39 Growth]])</f>
        <v>1.0916113449422316</v>
      </c>
      <c r="FB18" s="27">
        <f>PortfolioFrontier[[#This Row],[P39 Growth]]/PortfolioFrontier[[#This Row],[P39 HWM]]-1</f>
        <v>0</v>
      </c>
      <c r="FC18" s="28">
        <f>SUMPRODUCT(INDEX(PortfolioRef[[SPY]:[PE]],MATCH(FC$1,PortfolioRef[Reference '#]),0),AssetMonthlyReturns[[#This Row],[SPY]:[PE]])</f>
        <v>1.3631383293617294E-2</v>
      </c>
      <c r="FD18" s="27">
        <f>IF(ISNUMBER(FD17),FD17*(1+PortfolioFrontier[[#This Row],[P40 Return]]),1+PortfolioFrontier[[#This Row],[P40 Return]])</f>
        <v>1.08695558181979</v>
      </c>
      <c r="FE18" s="27">
        <f>MAX(FE17,PortfolioFrontier[[#This Row],[P40 Growth]])</f>
        <v>1.08695558181979</v>
      </c>
      <c r="FF18" s="27">
        <f>PortfolioFrontier[[#This Row],[P40 Growth]]/PortfolioFrontier[[#This Row],[P40 HWM]]-1</f>
        <v>0</v>
      </c>
      <c r="FG18" s="28">
        <f>SUMPRODUCT(INDEX(PortfolioRef[[SPY]:[PE]],MATCH(FG$1,PortfolioRef[Reference '#]),0),AssetMonthlyReturns[[#This Row],[SPY]:[PE]])</f>
        <v>1.5287365204242297E-2</v>
      </c>
      <c r="FH18" s="27">
        <f>IF(ISNUMBER(FH17),FH17*(1+PortfolioFrontier[[#This Row],[P41 Return]]),1+PortfolioFrontier[[#This Row],[P41 Return]])</f>
        <v>1.0971056118005698</v>
      </c>
      <c r="FI18" s="27">
        <f>MAX(FI17,PortfolioFrontier[[#This Row],[P41 Growth]])</f>
        <v>1.0971056118005698</v>
      </c>
      <c r="FJ18" s="27">
        <f>PortfolioFrontier[[#This Row],[P41 Growth]]/PortfolioFrontier[[#This Row],[P41 HWM]]-1</f>
        <v>0</v>
      </c>
      <c r="FK18" s="28">
        <f>SUMPRODUCT(INDEX(PortfolioRef[[SPY]:[PE]],MATCH(FK$1,PortfolioRef[Reference '#]),0),AssetMonthlyReturns[[#This Row],[SPY]:[PE]])</f>
        <v>1.3577069665834805E-2</v>
      </c>
      <c r="FL18" s="27">
        <f>IF(ISNUMBER(FL17),FL17*(1+PortfolioFrontier[[#This Row],[P42 Return]]),1+PortfolioFrontier[[#This Row],[P42 Return]])</f>
        <v>1.092435471949267</v>
      </c>
      <c r="FM18" s="27">
        <f>MAX(FM17,PortfolioFrontier[[#This Row],[P42 Growth]])</f>
        <v>1.092435471949267</v>
      </c>
      <c r="FN18" s="27">
        <f>PortfolioFrontier[[#This Row],[P42 Growth]]/PortfolioFrontier[[#This Row],[P42 HWM]]-1</f>
        <v>0</v>
      </c>
      <c r="FO18" s="28">
        <f>SUMPRODUCT(INDEX(PortfolioRef[[SPY]:[PE]],MATCH(FO$1,PortfolioRef[Reference '#]),0),AssetMonthlyReturns[[#This Row],[SPY]:[PE]])</f>
        <v>1.1866774127427315E-2</v>
      </c>
      <c r="FP18" s="27">
        <f>IF(ISNUMBER(FP17),FP17*(1+PortfolioFrontier[[#This Row],[P43 Return]]),1+PortfolioFrontier[[#This Row],[P43 Return]])</f>
        <v>1.0877320458312378</v>
      </c>
      <c r="FQ18" s="27">
        <f>MAX(FQ17,PortfolioFrontier[[#This Row],[P43 Growth]])</f>
        <v>1.0877320458312378</v>
      </c>
      <c r="FR18" s="27">
        <f>PortfolioFrontier[[#This Row],[P43 Growth]]/PortfolioFrontier[[#This Row],[P43 HWM]]-1</f>
        <v>0</v>
      </c>
      <c r="FS18" s="28">
        <f>SUMPRODUCT(INDEX(PortfolioRef[[SPY]:[PE]],MATCH(FS$1,PortfolioRef[Reference '#]),0),AssetMonthlyReturns[[#This Row],[SPY]:[PE]])</f>
        <v>1.6329203063201857E-2</v>
      </c>
      <c r="FT18" s="27">
        <f>IF(ISNUMBER(FT17),FT17*(1+PortfolioFrontier[[#This Row],[P44 Return]]),1+PortfolioFrontier[[#This Row],[P44 Return]])</f>
        <v>1.0896979516697911</v>
      </c>
      <c r="FU18" s="27">
        <f>MAX(FU17,PortfolioFrontier[[#This Row],[P44 Growth]])</f>
        <v>1.0896979516697911</v>
      </c>
      <c r="FV18" s="27">
        <f>PortfolioFrontier[[#This Row],[P44 Growth]]/PortfolioFrontier[[#This Row],[P44 HWM]]-1</f>
        <v>0</v>
      </c>
      <c r="FW18" s="28">
        <f>SUMPRODUCT(INDEX(PortfolioRef[[SPY]:[PE]],MATCH(FW$1,PortfolioRef[Reference '#]),0),AssetMonthlyReturns[[#This Row],[SPY]:[PE]])</f>
        <v>1.4618907524794365E-2</v>
      </c>
      <c r="FX18" s="27">
        <f>IF(ISNUMBER(FX17),FX17*(1+PortfolioFrontier[[#This Row],[P45 Return]]),1+PortfolioFrontier[[#This Row],[P45 Return]])</f>
        <v>1.0850749130062429</v>
      </c>
      <c r="FY18" s="27">
        <f>MAX(FY17,PortfolioFrontier[[#This Row],[P45 Growth]])</f>
        <v>1.0850749130062429</v>
      </c>
      <c r="FZ18" s="27">
        <f>PortfolioFrontier[[#This Row],[P45 Growth]]/PortfolioFrontier[[#This Row],[P45 HWM]]-1</f>
        <v>0</v>
      </c>
      <c r="GA18" s="28">
        <f>SUMPRODUCT(INDEX(PortfolioRef[[SPY]:[PE]],MATCH(GA$1,PortfolioRef[Reference '#]),0),AssetMonthlyReturns[[#This Row],[SPY]:[PE]])</f>
        <v>1.6274889435419368E-2</v>
      </c>
      <c r="GB18" s="27">
        <f>IF(ISNUMBER(GB17),GB17*(1+PortfolioFrontier[[#This Row],[P46 Return]]),1+PortfolioFrontier[[#This Row],[P46 Return]])</f>
        <v>1.0952190033447142</v>
      </c>
      <c r="GC18" s="27">
        <f>MAX(GC17,PortfolioFrontier[[#This Row],[P46 Growth]])</f>
        <v>1.0952190033447142</v>
      </c>
      <c r="GD18" s="27">
        <f>PortfolioFrontier[[#This Row],[P46 Growth]]/PortfolioFrontier[[#This Row],[P46 HWM]]-1</f>
        <v>0</v>
      </c>
      <c r="GE18" s="28">
        <f>SUMPRODUCT(INDEX(PortfolioRef[[SPY]:[PE]],MATCH(GE$1,PortfolioRef[Reference '#]),0),AssetMonthlyReturns[[#This Row],[SPY]:[PE]])</f>
        <v>1.4564593897011879E-2</v>
      </c>
      <c r="GF18" s="27">
        <f>IF(ISNUMBER(GF17),GF17*(1+PortfolioFrontier[[#This Row],[P47 Return]]),1+PortfolioFrontier[[#This Row],[P47 Return]])</f>
        <v>1.0905816472782908</v>
      </c>
      <c r="GG18" s="27">
        <f>MAX(GG17,PortfolioFrontier[[#This Row],[P47 Growth]])</f>
        <v>1.0905816472782908</v>
      </c>
      <c r="GH18" s="27">
        <f>PortfolioFrontier[[#This Row],[P47 Growth]]/PortfolioFrontier[[#This Row],[P47 HWM]]-1</f>
        <v>0</v>
      </c>
      <c r="GI18" s="28">
        <f>SUMPRODUCT(INDEX(PortfolioRef[[SPY]:[PE]],MATCH(GI$1,PortfolioRef[Reference '#]),0),AssetMonthlyReturns[[#This Row],[SPY]:[PE]])</f>
        <v>1.2854298358604386E-2</v>
      </c>
      <c r="GJ18" s="27">
        <f>IF(ISNUMBER(GJ17),GJ17*(1+PortfolioFrontier[[#This Row],[P48 Return]]),1+PortfolioFrontier[[#This Row],[P48 Return]])</f>
        <v>1.0859108789512484</v>
      </c>
      <c r="GK18" s="27">
        <f>MAX(GK17,PortfolioFrontier[[#This Row],[P48 Growth]])</f>
        <v>1.0859108789512484</v>
      </c>
      <c r="GL18" s="27">
        <f>PortfolioFrontier[[#This Row],[P48 Growth]]/PortfolioFrontier[[#This Row],[P48 HWM]]-1</f>
        <v>0</v>
      </c>
      <c r="GM18" s="28">
        <f>SUMPRODUCT(INDEX(PortfolioRef[[SPY]:[PE]],MATCH(GM$1,PortfolioRef[Reference '#]),0),AssetMonthlyReturns[[#This Row],[SPY]:[PE]])</f>
        <v>1.6220575807636882E-2</v>
      </c>
      <c r="GN18" s="27">
        <f>IF(ISNUMBER(GN17),GN17*(1+PortfolioFrontier[[#This Row],[P49 Return]]),1+PortfolioFrontier[[#This Row],[P49 Return]])</f>
        <v>1.1007125130822502</v>
      </c>
      <c r="GO18" s="27">
        <f>MAX(GO17,PortfolioFrontier[[#This Row],[P49 Growth]])</f>
        <v>1.1007125130822502</v>
      </c>
      <c r="GP18" s="27">
        <f>PortfolioFrontier[[#This Row],[P49 Growth]]/PortfolioFrontier[[#This Row],[P49 HWM]]-1</f>
        <v>0</v>
      </c>
      <c r="GQ18" s="28">
        <f>SUMPRODUCT(INDEX(PortfolioRef[[SPY]:[PE]],MATCH(GQ$1,PortfolioRef[Reference '#]),0),AssetMonthlyReturns[[#This Row],[SPY]:[PE]])</f>
        <v>1.4510280269229389E-2</v>
      </c>
      <c r="GR18" s="27">
        <f>IF(ISNUMBER(GR17),GR17*(1+PortfolioFrontier[[#This Row],[P50 Return]]),1+PortfolioFrontier[[#This Row],[P50 Return]])</f>
        <v>1.0960610032685372</v>
      </c>
      <c r="GS18" s="27">
        <f>MAX(GS17,PortfolioFrontier[[#This Row],[P50 Growth]])</f>
        <v>1.0960610032685372</v>
      </c>
      <c r="GT18" s="27">
        <f>PortfolioFrontier[[#This Row],[P50 Growth]]/PortfolioFrontier[[#This Row],[P50 HWM]]-1</f>
        <v>0</v>
      </c>
      <c r="GU18" s="28">
        <f>SUMPRODUCT(INDEX(PortfolioRef[[SPY]:[PE]],MATCH(GU$1,PortfolioRef[Reference '#]),0),AssetMonthlyReturns[[#This Row],[SPY]:[PE]])</f>
        <v>1.27999847308219E-2</v>
      </c>
      <c r="GV18" s="27">
        <f>IF(ISNUMBER(GV17),GV17*(1+PortfolioFrontier[[#This Row],[P51 Return]]),1+PortfolioFrontier[[#This Row],[P51 Return]])</f>
        <v>1.0913758009154451</v>
      </c>
      <c r="GW18" s="27">
        <f>MAX(GW17,PortfolioFrontier[[#This Row],[P51 Growth]])</f>
        <v>1.0913758009154451</v>
      </c>
      <c r="GX18" s="27">
        <f>PortfolioFrontier[[#This Row],[P51 Growth]]/PortfolioFrontier[[#This Row],[P51 HWM]]-1</f>
        <v>0</v>
      </c>
      <c r="GY18" s="28">
        <f>SUMPRODUCT(INDEX(PortfolioRef[[SPY]:[PE]],MATCH(GY$1,PortfolioRef[Reference '#]),0),AssetMonthlyReturns[[#This Row],[SPY]:[PE]])</f>
        <v>1.7262413666596442E-2</v>
      </c>
      <c r="GZ18" s="27">
        <f>IF(ISNUMBER(GZ17),GZ17*(1+PortfolioFrontier[[#This Row],[P52 Return]]),1+PortfolioFrontier[[#This Row],[P52 Return]])</f>
        <v>1.0932869964996295</v>
      </c>
      <c r="HA18" s="27">
        <f>MAX(HA17,PortfolioFrontier[[#This Row],[P52 Growth]])</f>
        <v>1.0932869964996295</v>
      </c>
      <c r="HB18" s="27">
        <f>PortfolioFrontier[[#This Row],[P52 Growth]]/PortfolioFrontier[[#This Row],[P52 HWM]]-1</f>
        <v>0</v>
      </c>
      <c r="HC18" s="28">
        <f>SUMPRODUCT(INDEX(PortfolioRef[[SPY]:[PE]],MATCH(HC$1,PortfolioRef[Reference '#]),0),AssetMonthlyReturns[[#This Row],[SPY]:[PE]])</f>
        <v>1.5552118128188949E-2</v>
      </c>
      <c r="HD18" s="27">
        <f>IF(ISNUMBER(HD17),HD17*(1+PortfolioFrontier[[#This Row],[P53 Return]]),1+PortfolioFrontier[[#This Row],[P53 Return]])</f>
        <v>1.08868244763908</v>
      </c>
      <c r="HE18" s="27">
        <f>MAX(HE17,PortfolioFrontier[[#This Row],[P53 Growth]])</f>
        <v>1.08868244763908</v>
      </c>
      <c r="HF18" s="27">
        <f>PortfolioFrontier[[#This Row],[P53 Growth]]/PortfolioFrontier[[#This Row],[P53 HWM]]-1</f>
        <v>0</v>
      </c>
      <c r="HG18" s="28">
        <f>SUMPRODUCT(INDEX(PortfolioRef[[SPY]:[PE]],MATCH(HG$1,PortfolioRef[Reference '#]),0),AssetMonthlyReturns[[#This Row],[SPY]:[PE]])</f>
        <v>1.384182258978146E-2</v>
      </c>
      <c r="HH18" s="27">
        <f>IF(ISNUMBER(HH17),HH17*(1+PortfolioFrontier[[#This Row],[P54 Return]]),1+PortfolioFrontier[[#This Row],[P54 Return]])</f>
        <v>1.0840443632599155</v>
      </c>
      <c r="HI18" s="27">
        <f>MAX(HI17,PortfolioFrontier[[#This Row],[P54 Growth]])</f>
        <v>1.0840443632599155</v>
      </c>
      <c r="HJ18" s="27">
        <f>PortfolioFrontier[[#This Row],[P54 Growth]]/PortfolioFrontier[[#This Row],[P54 HWM]]-1</f>
        <v>0</v>
      </c>
      <c r="HK18" s="28">
        <f>SUMPRODUCT(INDEX(PortfolioRef[[SPY]:[PE]],MATCH(HK$1,PortfolioRef[Reference '#]),0),AssetMonthlyReturns[[#This Row],[SPY]:[PE]])</f>
        <v>1.7208100038813956E-2</v>
      </c>
      <c r="HL18" s="27">
        <f>IF(ISNUMBER(HL17),HL17*(1+PortfolioFrontier[[#This Row],[P55 Return]]),1+PortfolioFrontier[[#This Row],[P55 Return]])</f>
        <v>1.0988072720366282</v>
      </c>
      <c r="HM18" s="27">
        <f>MAX(HM17,PortfolioFrontier[[#This Row],[P55 Growth]])</f>
        <v>1.0988072720366282</v>
      </c>
      <c r="HN18" s="27">
        <f>PortfolioFrontier[[#This Row],[P55 Growth]]/PortfolioFrontier[[#This Row],[P55 HWM]]-1</f>
        <v>0</v>
      </c>
      <c r="HO18" s="28">
        <f>SUMPRODUCT(INDEX(PortfolioRef[[SPY]:[PE]],MATCH(HO$1,PortfolioRef[Reference '#]),0),AssetMonthlyReturns[[#This Row],[SPY]:[PE]])</f>
        <v>1.5497804500406463E-2</v>
      </c>
      <c r="HP18" s="27">
        <f>IF(ISNUMBER(HP17),HP17*(1+PortfolioFrontier[[#This Row],[P56 Return]]),1+PortfolioFrontier[[#This Row],[P56 Return]])</f>
        <v>1.0941886293653911</v>
      </c>
      <c r="HQ18" s="27">
        <f>MAX(HQ17,PortfolioFrontier[[#This Row],[P56 Growth]])</f>
        <v>1.0941886293653911</v>
      </c>
      <c r="HR18" s="27">
        <f>PortfolioFrontier[[#This Row],[P56 Growth]]/PortfolioFrontier[[#This Row],[P56 HWM]]-1</f>
        <v>0</v>
      </c>
      <c r="HS18" s="28">
        <f>SUMPRODUCT(INDEX(PortfolioRef[[SPY]:[PE]],MATCH(HS$1,PortfolioRef[Reference '#]),0),AssetMonthlyReturns[[#This Row],[SPY]:[PE]])</f>
        <v>1.378750896199897E-2</v>
      </c>
      <c r="HT18" s="27">
        <f>IF(ISNUMBER(HT17),HT17*(1+PortfolioFrontier[[#This Row],[P57 Return]]),1+PortfolioFrontier[[#This Row],[P57 Return]])</f>
        <v>1.0895361695106429</v>
      </c>
      <c r="HU18" s="27">
        <f>MAX(HU17,PortfolioFrontier[[#This Row],[P57 Growth]])</f>
        <v>1.0895361695106429</v>
      </c>
      <c r="HV18" s="27">
        <f>PortfolioFrontier[[#This Row],[P57 Growth]]/PortfolioFrontier[[#This Row],[P57 HWM]]-1</f>
        <v>0</v>
      </c>
      <c r="HW18" s="28">
        <f>SUMPRODUCT(INDEX(PortfolioRef[[SPY]:[PE]],MATCH(HW$1,PortfolioRef[Reference '#]),0),AssetMonthlyReturns[[#This Row],[SPY]:[PE]])</f>
        <v>1.7153786411031467E-2</v>
      </c>
      <c r="HX18" s="27">
        <f>IF(ISNUMBER(HX17),HX17*(1+PortfolioFrontier[[#This Row],[P58 Return]]),1+PortfolioFrontier[[#This Row],[P58 Return]])</f>
        <v>1.1042998036142653</v>
      </c>
      <c r="HY18" s="27">
        <f>MAX(HY17,PortfolioFrontier[[#This Row],[P58 Growth]])</f>
        <v>1.1042998036142653</v>
      </c>
      <c r="HZ18" s="27">
        <f>PortfolioFrontier[[#This Row],[P58 Growth]]/PortfolioFrontier[[#This Row],[P58 HWM]]-1</f>
        <v>0</v>
      </c>
      <c r="IA18" s="28">
        <f>SUMPRODUCT(INDEX(PortfolioRef[[SPY]:[PE]],MATCH(IA$1,PortfolioRef[Reference '#]),0),AssetMonthlyReturns[[#This Row],[SPY]:[PE]])</f>
        <v>1.5443490872623977E-2</v>
      </c>
      <c r="IB18" s="27">
        <f>IF(ISNUMBER(IB17),IB17*(1+PortfolioFrontier[[#This Row],[P59 Return]]),1+PortfolioFrontier[[#This Row],[P59 Return]])</f>
        <v>1.0996672312051816</v>
      </c>
      <c r="IC18" s="27">
        <f>MAX(IC17,PortfolioFrontier[[#This Row],[P59 Growth]])</f>
        <v>1.0996672312051816</v>
      </c>
      <c r="ID18" s="27">
        <f>PortfolioFrontier[[#This Row],[P59 Growth]]/PortfolioFrontier[[#This Row],[P59 HWM]]-1</f>
        <v>0</v>
      </c>
      <c r="IE18" s="28">
        <f>SUMPRODUCT(INDEX(PortfolioRef[[SPY]:[PE]],MATCH(IE$1,PortfolioRef[Reference '#]),0),AssetMonthlyReturns[[#This Row],[SPY]:[PE]])</f>
        <v>1.3733195334216484E-2</v>
      </c>
      <c r="IF18" s="27">
        <f>IF(ISNUMBER(IF17),IF17*(1+PortfolioFrontier[[#This Row],[P60 Return]]),1+PortfolioFrontier[[#This Row],[P60 Return]])</f>
        <v>1.0950005597227233</v>
      </c>
      <c r="IG18" s="27">
        <f>MAX(IG17,PortfolioFrontier[[#This Row],[P60 Growth]])</f>
        <v>1.0950005597227233</v>
      </c>
      <c r="IH18" s="27">
        <f>PortfolioFrontier[[#This Row],[P60 Growth]]/PortfolioFrontier[[#This Row],[P60 HWM]]-1</f>
        <v>0</v>
      </c>
      <c r="II18" s="28">
        <f>SUMPRODUCT(INDEX(PortfolioRef[[SPY]:[PE]],MATCH(II$1,PortfolioRef[Reference '#]),0),AssetMonthlyReturns[[#This Row],[SPY]:[PE]])</f>
        <v>1.2313454461889962E-2</v>
      </c>
      <c r="IJ18" s="27">
        <f>IF(ISNUMBER(IJ17),IJ17*(1+PortfolioFrontier[[#This Row],[P61 Return]]),1+PortfolioFrontier[[#This Row],[P61 Return]])</f>
        <v>1.0796845026010919</v>
      </c>
      <c r="IK18" s="27">
        <f>MAX(IK17,PortfolioFrontier[[#This Row],[P61 Growth]])</f>
        <v>1.0796845026010919</v>
      </c>
      <c r="IL18" s="27">
        <f>PortfolioFrontier[[#This Row],[P61 Growth]]/PortfolioFrontier[[#This Row],[P61 HWM]]-1</f>
        <v>0</v>
      </c>
      <c r="IM18" s="28">
        <f>SUMPRODUCT(INDEX(PortfolioRef[[SPY]:[PE]],MATCH(IM$1,PortfolioRef[Reference '#]),0),AssetMonthlyReturns[[#This Row],[SPY]:[PE]])</f>
        <v>1.3300978693067032E-2</v>
      </c>
      <c r="IN18" s="27">
        <f>IF(ISNUMBER(IN17),IN17*(1+PortfolioFrontier[[#This Row],[P62 Return]]),1+PortfolioFrontier[[#This Row],[P62 Return]])</f>
        <v>1.0778419397301113</v>
      </c>
      <c r="IO18" s="27">
        <f>MAX(IO17,PortfolioFrontier[[#This Row],[P62 Growth]])</f>
        <v>1.0778419397301113</v>
      </c>
      <c r="IP18" s="27">
        <f>PortfolioFrontier[[#This Row],[P62 Growth]]/PortfolioFrontier[[#This Row],[P62 HWM]]-1</f>
        <v>0</v>
      </c>
      <c r="IQ18" s="28">
        <f>SUMPRODUCT(INDEX(PortfolioRef[[SPY]:[PE]],MATCH(IQ$1,PortfolioRef[Reference '#]),0),AssetMonthlyReturns[[#This Row],[SPY]:[PE]])</f>
        <v>1.3246665065284546E-2</v>
      </c>
      <c r="IR18" s="27">
        <f>IF(ISNUMBER(IR17),IR17*(1+PortfolioFrontier[[#This Row],[P63 Return]]),1+PortfolioFrontier[[#This Row],[P63 Return]])</f>
        <v>1.0833065941098188</v>
      </c>
      <c r="IS18" s="27">
        <f>MAX(IS17,PortfolioFrontier[[#This Row],[P63 Growth]])</f>
        <v>1.0833065941098188</v>
      </c>
      <c r="IT18" s="27">
        <f>PortfolioFrontier[[#This Row],[P63 Growth]]/PortfolioFrontier[[#This Row],[P63 HWM]]-1</f>
        <v>0</v>
      </c>
      <c r="IU18" s="28">
        <f>SUMPRODUCT(INDEX(PortfolioRef[[SPY]:[PE]],MATCH(IU$1,PortfolioRef[Reference '#]),0),AssetMonthlyReturns[[#This Row],[SPY]:[PE]])</f>
        <v>1.1536369526877054E-2</v>
      </c>
      <c r="IV18" s="27">
        <f>IF(ISNUMBER(IV17),IV17*(1+PortfolioFrontier[[#This Row],[P64 Return]]),1+PortfolioFrontier[[#This Row],[P64 Return]])</f>
        <v>1.0786543790681247</v>
      </c>
      <c r="IW18" s="27">
        <f>MAX(IW17,PortfolioFrontier[[#This Row],[P64 Growth]])</f>
        <v>1.0786543790681247</v>
      </c>
      <c r="IX18" s="27">
        <f>PortfolioFrontier[[#This Row],[P64 Growth]]/PortfolioFrontier[[#This Row],[P64 HWM]]-1</f>
        <v>0</v>
      </c>
      <c r="IY18" s="28">
        <f>SUMPRODUCT(INDEX(PortfolioRef[[SPY]:[PE]],MATCH(IY$1,PortfolioRef[Reference '#]),0),AssetMonthlyReturns[[#This Row],[SPY]:[PE]])</f>
        <v>1.4288502924244106E-2</v>
      </c>
      <c r="IZ18" s="27">
        <f>IF(ISNUMBER(IZ17),IZ17*(1+PortfolioFrontier[[#This Row],[P65 Return]]),1+PortfolioFrontier[[#This Row],[P65 Return]])</f>
        <v>1.0759544029445172</v>
      </c>
      <c r="JA18" s="27">
        <f>MAX(JA17,PortfolioFrontier[[#This Row],[P65 Growth]])</f>
        <v>1.0759544029445172</v>
      </c>
      <c r="JB18" s="27">
        <f>PortfolioFrontier[[#This Row],[P65 Growth]]/PortfolioFrontier[[#This Row],[P65 HWM]]-1</f>
        <v>0</v>
      </c>
      <c r="JC18" s="28">
        <f>SUMPRODUCT(INDEX(PortfolioRef[[SPY]:[PE]],MATCH(JC$1,PortfolioRef[Reference '#]),0),AssetMonthlyReturns[[#This Row],[SPY]:[PE]])</f>
        <v>1.4234189296461617E-2</v>
      </c>
      <c r="JD18" s="27">
        <f>IF(ISNUMBER(JD17),JD17*(1+PortfolioFrontier[[#This Row],[P66 Return]]),1+PortfolioFrontier[[#This Row],[P66 Return]])</f>
        <v>1.0814456081283632</v>
      </c>
      <c r="JE18" s="27">
        <f>MAX(JE17,PortfolioFrontier[[#This Row],[P66 Growth]])</f>
        <v>1.0814456081283632</v>
      </c>
      <c r="JF18" s="27">
        <f>PortfolioFrontier[[#This Row],[P66 Growth]]/PortfolioFrontier[[#This Row],[P66 HWM]]-1</f>
        <v>0</v>
      </c>
      <c r="JG18" s="28">
        <f>SUMPRODUCT(INDEX(PortfolioRef[[SPY]:[PE]],MATCH(JG$1,PortfolioRef[Reference '#]),0),AssetMonthlyReturns[[#This Row],[SPY]:[PE]])</f>
        <v>1.2523893758054128E-2</v>
      </c>
      <c r="JH18" s="27">
        <f>IF(ISNUMBER(JH17),JH17*(1+PortfolioFrontier[[#This Row],[P67 Return]]),1+PortfolioFrontier[[#This Row],[P67 Return]])</f>
        <v>1.0768258527813694</v>
      </c>
      <c r="JI18" s="27">
        <f>MAX(JI17,PortfolioFrontier[[#This Row],[P67 Growth]])</f>
        <v>1.0768258527813694</v>
      </c>
      <c r="JJ18" s="27">
        <f>PortfolioFrontier[[#This Row],[P67 Growth]]/PortfolioFrontier[[#This Row],[P67 HWM]]-1</f>
        <v>0</v>
      </c>
      <c r="JK18" s="28">
        <f>SUMPRODUCT(INDEX(PortfolioRef[[SPY]:[PE]],MATCH(JK$1,PortfolioRef[Reference '#]),0),AssetMonthlyReturns[[#This Row],[SPY]:[PE]])</f>
        <v>1.4179875668679131E-2</v>
      </c>
      <c r="JL18" s="27">
        <f>IF(ISNUMBER(JL17),JL17*(1+PortfolioFrontier[[#This Row],[P68 Return]]),1+PortfolioFrontier[[#This Row],[P68 Return]])</f>
        <v>1.0869098150547742</v>
      </c>
      <c r="JM18" s="27">
        <f>MAX(JM17,PortfolioFrontier[[#This Row],[P68 Growth]])</f>
        <v>1.0869098150547742</v>
      </c>
      <c r="JN18" s="27">
        <f>PortfolioFrontier[[#This Row],[P68 Growth]]/PortfolioFrontier[[#This Row],[P68 HWM]]-1</f>
        <v>0</v>
      </c>
      <c r="JO18" s="28">
        <f>SUMPRODUCT(INDEX(PortfolioRef[[SPY]:[PE]],MATCH(JO$1,PortfolioRef[Reference '#]),0),AssetMonthlyReturns[[#This Row],[SPY]:[PE]])</f>
        <v>1.2469580130271638E-2</v>
      </c>
      <c r="JP18" s="27">
        <f>IF(ISNUMBER(JP17),JP17*(1+PortfolioFrontier[[#This Row],[P69 Return]]),1+PortfolioFrontier[[#This Row],[P69 Return]])</f>
        <v>1.0822756983226769</v>
      </c>
      <c r="JQ18" s="27">
        <f>MAX(JQ17,PortfolioFrontier[[#This Row],[P69 Growth]])</f>
        <v>1.0822756983226769</v>
      </c>
      <c r="JR18" s="27">
        <f>PortfolioFrontier[[#This Row],[P69 Growth]]/PortfolioFrontier[[#This Row],[P69 HWM]]-1</f>
        <v>0</v>
      </c>
      <c r="JS18" s="28">
        <f>SUMPRODUCT(INDEX(PortfolioRef[[SPY]:[PE]],MATCH(JS$1,PortfolioRef[Reference '#]),0),AssetMonthlyReturns[[#This Row],[SPY]:[PE]])</f>
        <v>1.0759284591864149E-2</v>
      </c>
      <c r="JT18" s="27">
        <f>IF(ISNUMBER(JT17),JT17*(1+PortfolioFrontier[[#This Row],[P70 Return]]),1+PortfolioFrontier[[#This Row],[P70 Return]])</f>
        <v>1.077608631099727</v>
      </c>
      <c r="JU18" s="27">
        <f>MAX(JU17,PortfolioFrontier[[#This Row],[P70 Growth]])</f>
        <v>1.077608631099727</v>
      </c>
      <c r="JV18" s="27">
        <f>PortfolioFrontier[[#This Row],[P70 Growth]]/PortfolioFrontier[[#This Row],[P70 HWM]]-1</f>
        <v>0</v>
      </c>
      <c r="JW18" s="28">
        <f>SUMPRODUCT(INDEX(PortfolioRef[[SPY]:[PE]],MATCH(JW$1,PortfolioRef[Reference '#]),0),AssetMonthlyReturns[[#This Row],[SPY]:[PE]])</f>
        <v>1.5221713527638691E-2</v>
      </c>
      <c r="JX18" s="27">
        <f>IF(ISNUMBER(JX17),JX17*(1+PortfolioFrontier[[#This Row],[P71 Return]]),1+PortfolioFrontier[[#This Row],[P71 Return]])</f>
        <v>1.0795396282826131</v>
      </c>
      <c r="JY18" s="27">
        <f>MAX(JY17,PortfolioFrontier[[#This Row],[P71 Growth]])</f>
        <v>1.0795396282826131</v>
      </c>
      <c r="JZ18" s="27">
        <f>PortfolioFrontier[[#This Row],[P71 Growth]]/PortfolioFrontier[[#This Row],[P71 HWM]]-1</f>
        <v>0</v>
      </c>
      <c r="KA18" s="28">
        <f>SUMPRODUCT(INDEX(PortfolioRef[[SPY]:[PE]],MATCH(KA$1,PortfolioRef[Reference '#]),0),AssetMonthlyReturns[[#This Row],[SPY]:[PE]])</f>
        <v>1.3511417989231198E-2</v>
      </c>
      <c r="KB18" s="27">
        <f>IF(ISNUMBER(KB17),KB17*(1+PortfolioFrontier[[#This Row],[P72 Return]]),1+PortfolioFrontier[[#This Row],[P72 Return]])</f>
        <v>1.0749523576244771</v>
      </c>
      <c r="KC18" s="27">
        <f>MAX(KC17,PortfolioFrontier[[#This Row],[P72 Growth]])</f>
        <v>1.0749523576244771</v>
      </c>
      <c r="KD18" s="27">
        <f>PortfolioFrontier[[#This Row],[P72 Growth]]/PortfolioFrontier[[#This Row],[P72 HWM]]-1</f>
        <v>0</v>
      </c>
      <c r="KE18" s="28">
        <f>SUMPRODUCT(INDEX(PortfolioRef[[SPY]:[PE]],MATCH(KE$1,PortfolioRef[Reference '#]),0),AssetMonthlyReturns[[#This Row],[SPY]:[PE]])</f>
        <v>1.5167399899856202E-2</v>
      </c>
      <c r="KF18" s="27">
        <f>IF(ISNUMBER(KF17),KF17*(1+PortfolioFrontier[[#This Row],[P73 Return]]),1+PortfolioFrontier[[#This Row],[P73 Return]])</f>
        <v>1.0850303679009159</v>
      </c>
      <c r="KG18" s="27">
        <f>MAX(KG17,PortfolioFrontier[[#This Row],[P73 Growth]])</f>
        <v>1.0850303679009159</v>
      </c>
      <c r="KH18" s="27">
        <f>PortfolioFrontier[[#This Row],[P73 Growth]]/PortfolioFrontier[[#This Row],[P73 HWM]]-1</f>
        <v>0</v>
      </c>
      <c r="KI18" s="28">
        <f>SUMPRODUCT(INDEX(PortfolioRef[[SPY]:[PE]],MATCH(KI$1,PortfolioRef[Reference '#]),0),AssetMonthlyReturns[[#This Row],[SPY]:[PE]])</f>
        <v>1.3457104361448712E-2</v>
      </c>
      <c r="KJ18" s="27">
        <f>IF(ISNUMBER(KJ17),KJ17*(1+PortfolioFrontier[[#This Row],[P74 Return]]),1+PortfolioFrontier[[#This Row],[P74 Return]])</f>
        <v>1.0804287947253475</v>
      </c>
      <c r="KK18" s="27">
        <f>MAX(KK17,PortfolioFrontier[[#This Row],[P74 Growth]])</f>
        <v>1.0804287947253475</v>
      </c>
      <c r="KL18" s="27">
        <f>PortfolioFrontier[[#This Row],[P74 Growth]]/PortfolioFrontier[[#This Row],[P74 HWM]]-1</f>
        <v>0</v>
      </c>
      <c r="KM18" s="28">
        <f>SUMPRODUCT(INDEX(PortfolioRef[[SPY]:[PE]],MATCH(KM$1,PortfolioRef[Reference '#]),0),AssetMonthlyReturns[[#This Row],[SPY]:[PE]])</f>
        <v>1.1746808823041219E-2</v>
      </c>
      <c r="KN18" s="27">
        <f>IF(ISNUMBER(KN17),KN17*(1+PortfolioFrontier[[#This Row],[P75 Return]]),1+PortfolioFrontier[[#This Row],[P75 Return]])</f>
        <v>1.0757941460558837</v>
      </c>
      <c r="KO18" s="27">
        <f>MAX(KO17,PortfolioFrontier[[#This Row],[P75 Growth]])</f>
        <v>1.0757941460558837</v>
      </c>
      <c r="KP18" s="27">
        <f>PortfolioFrontier[[#This Row],[P75 Growth]]/PortfolioFrontier[[#This Row],[P75 HWM]]-1</f>
        <v>0</v>
      </c>
      <c r="KQ18" s="28">
        <f>SUMPRODUCT(INDEX(PortfolioRef[[SPY]:[PE]],MATCH(KQ$1,PortfolioRef[Reference '#]),0),AssetMonthlyReturns[[#This Row],[SPY]:[PE]])</f>
        <v>1.5113086272073716E-2</v>
      </c>
      <c r="KR18" s="27">
        <f>IF(ISNUMBER(KR17),KR17*(1+PortfolioFrontier[[#This Row],[P76 Return]]),1+PortfolioFrontier[[#This Row],[P76 Return]])</f>
        <v>1.090493908368056</v>
      </c>
      <c r="KS18" s="27">
        <f>MAX(KS17,PortfolioFrontier[[#This Row],[P76 Growth]])</f>
        <v>1.090493908368056</v>
      </c>
      <c r="KT18" s="27">
        <f>PortfolioFrontier[[#This Row],[P76 Growth]]/PortfolioFrontier[[#This Row],[P76 HWM]]-1</f>
        <v>0</v>
      </c>
      <c r="KU18" s="28">
        <f>SUMPRODUCT(INDEX(PortfolioRef[[SPY]:[PE]],MATCH(KU$1,PortfolioRef[Reference '#]),0),AssetMonthlyReturns[[#This Row],[SPY]:[PE]])</f>
        <v>1.3402790733666224E-2</v>
      </c>
      <c r="KV18" s="27">
        <f>IF(ISNUMBER(KV17),KV17*(1+PortfolioFrontier[[#This Row],[P77 Return]]),1+PortfolioFrontier[[#This Row],[P77 Return]])</f>
        <v>1.0858781950849754</v>
      </c>
      <c r="KW18" s="27">
        <f>MAX(KW17,PortfolioFrontier[[#This Row],[P77 Growth]])</f>
        <v>1.0858781950849754</v>
      </c>
      <c r="KX18" s="27">
        <f>PortfolioFrontier[[#This Row],[P77 Growth]]/PortfolioFrontier[[#This Row],[P77 HWM]]-1</f>
        <v>0</v>
      </c>
      <c r="KY18" s="28">
        <f>SUMPRODUCT(INDEX(PortfolioRef[[SPY]:[PE]],MATCH(KY$1,PortfolioRef[Reference '#]),0),AssetMonthlyReturns[[#This Row],[SPY]:[PE]])</f>
        <v>1.1692495195258733E-2</v>
      </c>
      <c r="KZ18" s="27">
        <f>IF(ISNUMBER(KZ17),KZ17*(1+PortfolioFrontier[[#This Row],[P78 Return]]),1+PortfolioFrontier[[#This Row],[P78 Return]])</f>
        <v>1.0812291281285442</v>
      </c>
      <c r="LA18" s="27">
        <f>MAX(LA17,PortfolioFrontier[[#This Row],[P78 Growth]])</f>
        <v>1.0812291281285442</v>
      </c>
      <c r="LB18" s="27">
        <f>PortfolioFrontier[[#This Row],[P78 Growth]]/PortfolioFrontier[[#This Row],[P78 HWM]]-1</f>
        <v>0</v>
      </c>
      <c r="LC18" s="28">
        <f>SUMPRODUCT(INDEX(PortfolioRef[[SPY]:[PE]],MATCH(LC$1,PortfolioRef[Reference '#]),0),AssetMonthlyReturns[[#This Row],[SPY]:[PE]])</f>
        <v>1.6154924131033276E-2</v>
      </c>
      <c r="LD18" s="27">
        <f>IF(ISNUMBER(LD17),LD17*(1+PortfolioFrontier[[#This Row],[P79 Return]]),1+PortfolioFrontier[[#This Row],[P79 Return]])</f>
        <v>1.0831059082769672</v>
      </c>
      <c r="LE18" s="27">
        <f>MAX(LE17,PortfolioFrontier[[#This Row],[P79 Growth]])</f>
        <v>1.0831059082769672</v>
      </c>
      <c r="LF18" s="27">
        <f>PortfolioFrontier[[#This Row],[P79 Growth]]/PortfolioFrontier[[#This Row],[P79 HWM]]-1</f>
        <v>0</v>
      </c>
      <c r="LG18" s="28">
        <f>SUMPRODUCT(INDEX(PortfolioRef[[SPY]:[PE]],MATCH(LG$1,PortfolioRef[Reference '#]),0),AssetMonthlyReturns[[#This Row],[SPY]:[PE]])</f>
        <v>1.4444628592625786E-2</v>
      </c>
      <c r="LH18" s="27">
        <f>IF(ISNUMBER(LH17),LH17*(1+PortfolioFrontier[[#This Row],[P80 Return]]),1+PortfolioFrontier[[#This Row],[P80 Return]])</f>
        <v>1.0785369020111562</v>
      </c>
      <c r="LI18" s="27">
        <f>MAX(LI17,PortfolioFrontier[[#This Row],[P80 Growth]])</f>
        <v>1.0785369020111562</v>
      </c>
      <c r="LJ18" s="27">
        <f>PortfolioFrontier[[#This Row],[P80 Growth]]/PortfolioFrontier[[#This Row],[P80 HWM]]-1</f>
        <v>0</v>
      </c>
      <c r="LK18" s="28">
        <f>SUMPRODUCT(INDEX(PortfolioRef[[SPY]:[PE]],MATCH(LK$1,PortfolioRef[Reference '#]),0),AssetMonthlyReturns[[#This Row],[SPY]:[PE]])</f>
        <v>1.2734333054218294E-2</v>
      </c>
      <c r="LL18" s="27">
        <f>IF(ISNUMBER(LL17),LL17*(1+PortfolioFrontier[[#This Row],[P81 Return]]),1+PortfolioFrontier[[#This Row],[P81 Return]])</f>
        <v>1.073934697965101</v>
      </c>
      <c r="LM18" s="27">
        <f>MAX(LM17,PortfolioFrontier[[#This Row],[P81 Growth]])</f>
        <v>1.073934697965101</v>
      </c>
      <c r="LN18" s="27">
        <f>PortfolioFrontier[[#This Row],[P81 Growth]]/PortfolioFrontier[[#This Row],[P81 HWM]]-1</f>
        <v>0</v>
      </c>
      <c r="LO18" s="28">
        <f>SUMPRODUCT(INDEX(PortfolioRef[[SPY]:[PE]],MATCH(LO$1,PortfolioRef[Reference '#]),0),AssetMonthlyReturns[[#This Row],[SPY]:[PE]])</f>
        <v>1.610061050325079E-2</v>
      </c>
      <c r="LP18" s="27">
        <f>IF(ISNUMBER(LP17),LP17*(1+PortfolioFrontier[[#This Row],[P82 Return]]),1+PortfolioFrontier[[#This Row],[P82 Return]])</f>
        <v>1.0885959628277839</v>
      </c>
      <c r="LQ18" s="27">
        <f>MAX(LQ17,PortfolioFrontier[[#This Row],[P82 Growth]])</f>
        <v>1.0885959628277839</v>
      </c>
      <c r="LR18" s="27">
        <f>PortfolioFrontier[[#This Row],[P82 Growth]]/PortfolioFrontier[[#This Row],[P82 HWM]]-1</f>
        <v>0</v>
      </c>
      <c r="LS18" s="28">
        <f>SUMPRODUCT(INDEX(PortfolioRef[[SPY]:[PE]],MATCH(LS$1,PortfolioRef[Reference '#]),0),AssetMonthlyReturns[[#This Row],[SPY]:[PE]])</f>
        <v>1.4390314964843297E-2</v>
      </c>
      <c r="LT18" s="27">
        <f>IF(ISNUMBER(LT17),LT17*(1+PortfolioFrontier[[#This Row],[P83 Return]]),1+PortfolioFrontier[[#This Row],[P83 Return]])</f>
        <v>1.0840128759285654</v>
      </c>
      <c r="LU18" s="27">
        <f>MAX(LU17,PortfolioFrontier[[#This Row],[P83 Growth]])</f>
        <v>1.0840128759285654</v>
      </c>
      <c r="LV18" s="27">
        <f>PortfolioFrontier[[#This Row],[P83 Growth]]/PortfolioFrontier[[#This Row],[P83 HWM]]-1</f>
        <v>0</v>
      </c>
      <c r="LW18" s="28">
        <f>SUMPRODUCT(INDEX(PortfolioRef[[SPY]:[PE]],MATCH(LW$1,PortfolioRef[Reference '#]),0),AssetMonthlyReturns[[#This Row],[SPY]:[PE]])</f>
        <v>1.2680019426435808E-2</v>
      </c>
      <c r="LX18" s="27">
        <f>IF(ISNUMBER(LX17),LX17*(1+PortfolioFrontier[[#This Row],[P84 Return]]),1+PortfolioFrontier[[#This Row],[P84 Return]])</f>
        <v>1.0793963116929768</v>
      </c>
      <c r="LY18" s="27">
        <f>MAX(LY17,PortfolioFrontier[[#This Row],[P84 Growth]])</f>
        <v>1.0793963116929768</v>
      </c>
      <c r="LZ18" s="27">
        <f>PortfolioFrontier[[#This Row],[P84 Growth]]/PortfolioFrontier[[#This Row],[P84 HWM]]-1</f>
        <v>0</v>
      </c>
      <c r="MA18" s="28">
        <f>SUMPRODUCT(INDEX(PortfolioRef[[SPY]:[PE]],MATCH(MA$1,PortfolioRef[Reference '#]),0),AssetMonthlyReturns[[#This Row],[SPY]:[PE]])</f>
        <v>1.6046296875468304E-2</v>
      </c>
      <c r="MB18" s="27">
        <f>IF(ISNUMBER(MB17),MB17*(1+PortfolioFrontier[[#This Row],[P85 Return]]),1+PortfolioFrontier[[#This Row],[P85 Return]])</f>
        <v>1.0940586172740896</v>
      </c>
      <c r="MC18" s="27">
        <f>MAX(MC17,PortfolioFrontier[[#This Row],[P85 Growth]])</f>
        <v>1.0940586172740896</v>
      </c>
      <c r="MD18" s="27">
        <f>PortfolioFrontier[[#This Row],[P85 Growth]]/PortfolioFrontier[[#This Row],[P85 HWM]]-1</f>
        <v>0</v>
      </c>
      <c r="ME18" s="28">
        <f>SUMPRODUCT(INDEX(PortfolioRef[[SPY]:[PE]],MATCH(ME$1,PortfolioRef[Reference '#]),0),AssetMonthlyReturns[[#This Row],[SPY]:[PE]])</f>
        <v>1.4336001337060811E-2</v>
      </c>
      <c r="MF18" s="27">
        <f>IF(ISNUMBER(MF17),MF17*(1+PortfolioFrontier[[#This Row],[P86 Return]]),1+PortfolioFrontier[[#This Row],[P86 Return]])</f>
        <v>1.0894616125724714</v>
      </c>
      <c r="MG18" s="27">
        <f>MAX(MG17,PortfolioFrontier[[#This Row],[P86 Growth]])</f>
        <v>1.0894616125724714</v>
      </c>
      <c r="MH18" s="27">
        <f>PortfolioFrontier[[#This Row],[P86 Growth]]/PortfolioFrontier[[#This Row],[P86 HWM]]-1</f>
        <v>0</v>
      </c>
      <c r="MI18" s="28">
        <f>SUMPRODUCT(INDEX(PortfolioRef[[SPY]:[PE]],MATCH(MI$1,PortfolioRef[Reference '#]),0),AssetMonthlyReturns[[#This Row],[SPY]:[PE]])</f>
        <v>1.262570579865332E-2</v>
      </c>
      <c r="MJ18" s="27">
        <f>IF(ISNUMBER(MJ17),MJ17*(1+PortfolioFrontier[[#This Row],[P87 Return]]),1+PortfolioFrontier[[#This Row],[P87 Return]])</f>
        <v>1.0848308507480346</v>
      </c>
      <c r="MK18" s="27">
        <f>MAX(MK17,PortfolioFrontier[[#This Row],[P87 Growth]])</f>
        <v>1.0848308507480346</v>
      </c>
      <c r="ML18" s="27">
        <f>PortfolioFrontier[[#This Row],[P87 Growth]]/PortfolioFrontier[[#This Row],[P87 HWM]]-1</f>
        <v>0</v>
      </c>
      <c r="MM18" s="28">
        <f>SUMPRODUCT(INDEX(PortfolioRef[[SPY]:[PE]],MATCH(MM$1,PortfolioRef[Reference '#]),0),AssetMonthlyReturns[[#This Row],[SPY]:[PE]])</f>
        <v>1.7088134734427864E-2</v>
      </c>
      <c r="MN18" s="27">
        <f>IF(ISNUMBER(MN17),MN17*(1+PortfolioFrontier[[#This Row],[P88 Return]]),1+PortfolioFrontier[[#This Row],[P88 Return]])</f>
        <v>1.0866529875591568</v>
      </c>
      <c r="MO18" s="27">
        <f>MAX(MO17,PortfolioFrontier[[#This Row],[P88 Growth]])</f>
        <v>1.0866529875591568</v>
      </c>
      <c r="MP18" s="27">
        <f>PortfolioFrontier[[#This Row],[P88 Growth]]/PortfolioFrontier[[#This Row],[P88 HWM]]-1</f>
        <v>0</v>
      </c>
      <c r="MQ18" s="28">
        <f>SUMPRODUCT(INDEX(PortfolioRef[[SPY]:[PE]],MATCH(MQ$1,PortfolioRef[Reference '#]),0),AssetMonthlyReturns[[#This Row],[SPY]:[PE]])</f>
        <v>1.5377839196020371E-2</v>
      </c>
      <c r="MR18" s="27">
        <f>IF(ISNUMBER(MR17),MR17*(1+PortfolioFrontier[[#This Row],[P89 Return]]),1+PortfolioFrontier[[#This Row],[P89 Return]])</f>
        <v>1.082102548750115</v>
      </c>
      <c r="MS18" s="27">
        <f>MAX(MS17,PortfolioFrontier[[#This Row],[P89 Growth]])</f>
        <v>1.082102548750115</v>
      </c>
      <c r="MT18" s="27">
        <f>PortfolioFrontier[[#This Row],[P89 Growth]]/PortfolioFrontier[[#This Row],[P89 HWM]]-1</f>
        <v>0</v>
      </c>
      <c r="MU18" s="28">
        <f>SUMPRODUCT(INDEX(PortfolioRef[[SPY]:[PE]],MATCH(MU$1,PortfolioRef[Reference '#]),0),AssetMonthlyReturns[[#This Row],[SPY]:[PE]])</f>
        <v>1.3667543657612878E-2</v>
      </c>
      <c r="MV18" s="27">
        <f>IF(ISNUMBER(MV17),MV17*(1+PortfolioFrontier[[#This Row],[P90 Return]]),1+PortfolioFrontier[[#This Row],[P90 Return]])</f>
        <v>1.0775185116680361</v>
      </c>
      <c r="MW18" s="27">
        <f>MAX(MW17,PortfolioFrontier[[#This Row],[P90 Growth]])</f>
        <v>1.0775185116680361</v>
      </c>
      <c r="MX18" s="27">
        <f>PortfolioFrontier[[#This Row],[P90 Growth]]/PortfolioFrontier[[#This Row],[P90 HWM]]-1</f>
        <v>0</v>
      </c>
      <c r="MY18" s="28">
        <f>SUMPRODUCT(INDEX(PortfolioRef[[SPY]:[PE]],MATCH(MY$1,PortfolioRef[Reference '#]),0),AssetMonthlyReturns[[#This Row],[SPY]:[PE]])</f>
        <v>1.7033821106645374E-2</v>
      </c>
      <c r="MZ18" s="27">
        <f>IF(ISNUMBER(MZ17),MZ17*(1+PortfolioFrontier[[#This Row],[P91 Return]]),1+PortfolioFrontier[[#This Row],[P91 Return]])</f>
        <v>1.0921421369874307</v>
      </c>
      <c r="NA18" s="27">
        <f>MAX(NA17,PortfolioFrontier[[#This Row],[P91 Growth]])</f>
        <v>1.0921421369874307</v>
      </c>
      <c r="NB18" s="27">
        <f>PortfolioFrontier[[#This Row],[P91 Growth]]/PortfolioFrontier[[#This Row],[P91 HWM]]-1</f>
        <v>0</v>
      </c>
      <c r="NC18" s="28">
        <f>SUMPRODUCT(INDEX(PortfolioRef[[SPY]:[PE]],MATCH(NC$1,PortfolioRef[Reference '#]),0),AssetMonthlyReturns[[#This Row],[SPY]:[PE]])</f>
        <v>1.5323525568237885E-2</v>
      </c>
      <c r="ND18" s="27">
        <f>IF(ISNUMBER(ND17),ND17*(1+PortfolioFrontier[[#This Row],[P92 Return]]),1+PortfolioFrontier[[#This Row],[P92 Return]])</f>
        <v>1.0875778404537724</v>
      </c>
      <c r="NE18" s="27">
        <f>MAX(NE17,PortfolioFrontier[[#This Row],[P92 Growth]])</f>
        <v>1.0875778404537724</v>
      </c>
      <c r="NF18" s="27">
        <f>PortfolioFrontier[[#This Row],[P92 Growth]]/PortfolioFrontier[[#This Row],[P92 HWM]]-1</f>
        <v>0</v>
      </c>
      <c r="NG18" s="28">
        <f>SUMPRODUCT(INDEX(PortfolioRef[[SPY]:[PE]],MATCH(NG$1,PortfolioRef[Reference '#]),0),AssetMonthlyReturns[[#This Row],[SPY]:[PE]])</f>
        <v>1.3613230029830392E-2</v>
      </c>
      <c r="NH18" s="27">
        <f>IF(ISNUMBER(NH17),NH17*(1+PortfolioFrontier[[#This Row],[P93 Return]]),1+PortfolioFrontier[[#This Row],[P93 Return]])</f>
        <v>1.0829796644867291</v>
      </c>
      <c r="NI18" s="27">
        <f>MAX(NI17,PortfolioFrontier[[#This Row],[P93 Growth]])</f>
        <v>1.0829796644867291</v>
      </c>
      <c r="NJ18" s="27">
        <f>PortfolioFrontier[[#This Row],[P93 Growth]]/PortfolioFrontier[[#This Row],[P93 HWM]]-1</f>
        <v>0</v>
      </c>
      <c r="NK18" s="28">
        <f>SUMPRODUCT(INDEX(PortfolioRef[[SPY]:[PE]],MATCH(NK$1,PortfolioRef[Reference '#]),0),AssetMonthlyReturns[[#This Row],[SPY]:[PE]])</f>
        <v>1.6979507478862885E-2</v>
      </c>
      <c r="NL18" s="27">
        <f>IF(ISNUMBER(NL17),NL17*(1+PortfolioFrontier[[#This Row],[P94 Return]]),1+PortfolioFrontier[[#This Row],[P94 Return]])</f>
        <v>1.0976036853112885</v>
      </c>
      <c r="NM18" s="27">
        <f>MAX(NM17,PortfolioFrontier[[#This Row],[P94 Growth]])</f>
        <v>1.0976036853112885</v>
      </c>
      <c r="NN18" s="27">
        <f>PortfolioFrontier[[#This Row],[P94 Growth]]/PortfolioFrontier[[#This Row],[P94 HWM]]-1</f>
        <v>0</v>
      </c>
      <c r="NO18" s="28">
        <f>SUMPRODUCT(INDEX(PortfolioRef[[SPY]:[PE]],MATCH(NO$1,PortfolioRef[Reference '#]),0),AssetMonthlyReturns[[#This Row],[SPY]:[PE]])</f>
        <v>1.5269211940455395E-2</v>
      </c>
      <c r="NP18" s="27">
        <f>IF(ISNUMBER(NP17),NP17*(1+PortfolioFrontier[[#This Row],[P95 Return]]),1+PortfolioFrontier[[#This Row],[P95 Return]])</f>
        <v>1.0930256942928869</v>
      </c>
      <c r="NQ18" s="27">
        <f>MAX(NQ17,PortfolioFrontier[[#This Row],[P95 Growth]])</f>
        <v>1.0930256942928869</v>
      </c>
      <c r="NR18" s="27">
        <f>PortfolioFrontier[[#This Row],[P95 Growth]]/PortfolioFrontier[[#This Row],[P95 HWM]]-1</f>
        <v>0</v>
      </c>
      <c r="NS18" s="28">
        <f>SUMPRODUCT(INDEX(PortfolioRef[[SPY]:[PE]],MATCH(NS$1,PortfolioRef[Reference '#]),0),AssetMonthlyReturns[[#This Row],[SPY]:[PE]])</f>
        <v>1.3558916402047906E-2</v>
      </c>
      <c r="NT18" s="27">
        <f>IF(ISNUMBER(NT17),NT17*(1+PortfolioFrontier[[#This Row],[P96 Return]]),1+PortfolioFrontier[[#This Row],[P96 Return]])</f>
        <v>1.0884135424622441</v>
      </c>
      <c r="NU18" s="27">
        <f>MAX(NU17,PortfolioFrontier[[#This Row],[P96 Growth]])</f>
        <v>1.0884135424622441</v>
      </c>
      <c r="NV18" s="27">
        <f>PortfolioFrontier[[#This Row],[P96 Growth]]/PortfolioFrontier[[#This Row],[P96 HWM]]-1</f>
        <v>0</v>
      </c>
      <c r="NW18" s="28">
        <f>SUMPRODUCT(INDEX(PortfolioRef[[SPY]:[PE]],MATCH(NW$1,PortfolioRef[Reference '#]),0),AssetMonthlyReturns[[#This Row],[SPY]:[PE]])</f>
        <v>1.1205964926326795E-2</v>
      </c>
      <c r="NX18" s="27">
        <f>IF(ISNUMBER(NX17),NX17*(1+PortfolioFrontier[[#This Row],[P97 Return]]),1+PortfolioFrontier[[#This Row],[P97 Return]])</f>
        <v>1.06960748547989</v>
      </c>
      <c r="NY18" s="27">
        <f>MAX(NY17,PortfolioFrontier[[#This Row],[P97 Growth]])</f>
        <v>1.06960748547989</v>
      </c>
      <c r="NZ18" s="27">
        <f>PortfolioFrontier[[#This Row],[P97 Growth]]/PortfolioFrontier[[#This Row],[P97 HWM]]-1</f>
        <v>0</v>
      </c>
      <c r="OA18" s="28">
        <f>SUMPRODUCT(INDEX(PortfolioRef[[SPY]:[PE]],MATCH(OA$1,PortfolioRef[Reference '#]),0),AssetMonthlyReturns[[#This Row],[SPY]:[PE]])</f>
        <v>1.2193489157503866E-2</v>
      </c>
      <c r="OB18" s="27">
        <f>IF(ISNUMBER(OB17),OB17*(1+PortfolioFrontier[[#This Row],[P98 Return]]),1+PortfolioFrontier[[#This Row],[P98 Return]])</f>
        <v>1.0677718449031759</v>
      </c>
      <c r="OC18" s="27">
        <f>MAX(OC17,PortfolioFrontier[[#This Row],[P98 Growth]])</f>
        <v>1.0677718449031759</v>
      </c>
      <c r="OD18" s="27">
        <f>PortfolioFrontier[[#This Row],[P98 Growth]]/PortfolioFrontier[[#This Row],[P98 HWM]]-1</f>
        <v>0</v>
      </c>
      <c r="OE18" s="28">
        <f>SUMPRODUCT(INDEX(PortfolioRef[[SPY]:[PE]],MATCH(OE$1,PortfolioRef[Reference '#]),0),AssetMonthlyReturns[[#This Row],[SPY]:[PE]])</f>
        <v>1.213917552972138E-2</v>
      </c>
      <c r="OF18" s="27">
        <f>IF(ISNUMBER(OF17),OF17*(1+PortfolioFrontier[[#This Row],[P99 Return]]),1+PortfolioFrontier[[#This Row],[P99 Return]])</f>
        <v>1.0732064089695221</v>
      </c>
      <c r="OG18" s="27">
        <f>MAX(OG17,PortfolioFrontier[[#This Row],[P99 Growth]])</f>
        <v>1.0732064089695221</v>
      </c>
      <c r="OH18" s="27">
        <f>PortfolioFrontier[[#This Row],[P99 Growth]]/PortfolioFrontier[[#This Row],[P99 HWM]]-1</f>
        <v>0</v>
      </c>
      <c r="OI18" s="28">
        <f>SUMPRODUCT(INDEX(PortfolioRef[[SPY]:[PE]],MATCH(OI$1,PortfolioRef[Reference '#]),0),AssetMonthlyReturns[[#This Row],[SPY]:[PE]])</f>
        <v>1.0428879991313887E-2</v>
      </c>
      <c r="OJ18" s="27">
        <f>IF(ISNUMBER(OJ17),OJ17*(1+PortfolioFrontier[[#This Row],[P100 Return]]),1+PortfolioFrontier[[#This Row],[P100 Return]])</f>
        <v>1.0685902426727203</v>
      </c>
      <c r="OK18" s="27">
        <f>MAX(OK17,PortfolioFrontier[[#This Row],[P100 Growth]])</f>
        <v>1.0685902426727203</v>
      </c>
      <c r="OL18" s="27">
        <f>PortfolioFrontier[[#This Row],[P100 Growth]]/PortfolioFrontier[[#This Row],[P100 HWM]]-1</f>
        <v>0</v>
      </c>
      <c r="OM18" s="28">
        <f>SUMPRODUCT(INDEX(PortfolioRef[[SPY]:[PE]],MATCH(OM$1,PortfolioRef[Reference '#]),0),AssetMonthlyReturns[[#This Row],[SPY]:[PE]])</f>
        <v>1.318101338868094E-2</v>
      </c>
      <c r="ON18" s="27">
        <f>IF(ISNUMBER(ON17),ON17*(1+PortfolioFrontier[[#This Row],[P101 Return]]),1+PortfolioFrontier[[#This Row],[P101 Return]])</f>
        <v>1.0658916138702355</v>
      </c>
      <c r="OO18" s="27">
        <f>MAX(OO17,PortfolioFrontier[[#This Row],[P101 Growth]])</f>
        <v>1.0658916138702355</v>
      </c>
      <c r="OP18" s="27">
        <f>PortfolioFrontier[[#This Row],[P101 Growth]]/PortfolioFrontier[[#This Row],[P101 HWM]]-1</f>
        <v>0</v>
      </c>
      <c r="OQ18" s="28">
        <f>SUMPRODUCT(INDEX(PortfolioRef[[SPY]:[PE]],MATCH(OQ$1,PortfolioRef[Reference '#]),0),AssetMonthlyReturns[[#This Row],[SPY]:[PE]])</f>
        <v>1.3126699760898454E-2</v>
      </c>
      <c r="OR18" s="27">
        <f>IF(ISNUMBER(OR17),OR17*(1+PortfolioFrontier[[#This Row],[P102 Return]]),1+PortfolioFrontier[[#This Row],[P102 Return]])</f>
        <v>1.0713524780129009</v>
      </c>
      <c r="OS18" s="27">
        <f>MAX(OS17,PortfolioFrontier[[#This Row],[P102 Growth]])</f>
        <v>1.0713524780129009</v>
      </c>
      <c r="OT18" s="27">
        <f>PortfolioFrontier[[#This Row],[P102 Growth]]/PortfolioFrontier[[#This Row],[P102 HWM]]-1</f>
        <v>0</v>
      </c>
      <c r="OU18" s="28">
        <f>SUMPRODUCT(INDEX(PortfolioRef[[SPY]:[PE]],MATCH(OU$1,PortfolioRef[Reference '#]),0),AssetMonthlyReturns[[#This Row],[SPY]:[PE]])</f>
        <v>1.1416404222490961E-2</v>
      </c>
      <c r="OV18" s="27">
        <f>IF(ISNUMBER(OV17),OV17*(1+PortfolioFrontier[[#This Row],[P103 Return]]),1+PortfolioFrontier[[#This Row],[P103 Return]])</f>
        <v>1.06676853333259</v>
      </c>
      <c r="OW18" s="27">
        <f>MAX(OW17,PortfolioFrontier[[#This Row],[P103 Growth]])</f>
        <v>1.06676853333259</v>
      </c>
      <c r="OX18" s="27">
        <f>PortfolioFrontier[[#This Row],[P103 Growth]]/PortfolioFrontier[[#This Row],[P103 HWM]]-1</f>
        <v>0</v>
      </c>
      <c r="OY18" s="28">
        <f>SUMPRODUCT(INDEX(PortfolioRef[[SPY]:[PE]],MATCH(OY$1,PortfolioRef[Reference '#]),0),AssetMonthlyReturns[[#This Row],[SPY]:[PE]])</f>
        <v>1.3072386133115966E-2</v>
      </c>
      <c r="OZ18" s="27">
        <f>IF(ISNUMBER(OZ17),OZ17*(1+PortfolioFrontier[[#This Row],[P104 Return]]),1+PortfolioFrontier[[#This Row],[P104 Return]])</f>
        <v>1.0767866829415864</v>
      </c>
      <c r="PA18" s="27">
        <f>MAX(PA17,PortfolioFrontier[[#This Row],[P104 Growth]])</f>
        <v>1.0767866829415864</v>
      </c>
      <c r="PB18" s="27">
        <f>PortfolioFrontier[[#This Row],[P104 Growth]]/PortfolioFrontier[[#This Row],[P104 HWM]]-1</f>
        <v>0</v>
      </c>
      <c r="PC18" s="28">
        <f>SUMPRODUCT(INDEX(PortfolioRef[[SPY]:[PE]],MATCH(PC$1,PortfolioRef[Reference '#]),0),AssetMonthlyReturns[[#This Row],[SPY]:[PE]])</f>
        <v>1.1362090594708475E-2</v>
      </c>
      <c r="PD18" s="27">
        <f>IF(ISNUMBER(PD17),PD17*(1+PortfolioFrontier[[#This Row],[P105 Return]]),1+PortfolioFrontier[[#This Row],[P105 Return]])</f>
        <v>1.072188392582873</v>
      </c>
      <c r="PE18" s="27">
        <f>MAX(PE17,PortfolioFrontier[[#This Row],[P105 Growth]])</f>
        <v>1.072188392582873</v>
      </c>
      <c r="PF18" s="27">
        <f>PortfolioFrontier[[#This Row],[P105 Growth]]/PortfolioFrontier[[#This Row],[P105 HWM]]-1</f>
        <v>0</v>
      </c>
      <c r="PG18" s="28">
        <f>SUMPRODUCT(INDEX(PortfolioRef[[SPY]:[PE]],MATCH(PG$1,PortfolioRef[Reference '#]),0),AssetMonthlyReturns[[#This Row],[SPY]:[PE]])</f>
        <v>9.6517950563009824E-3</v>
      </c>
      <c r="PH18" s="27">
        <f>IF(ISNUMBER(PH17),PH17*(1+PortfolioFrontier[[#This Row],[P106 Return]]),1+PortfolioFrontier[[#This Row],[P106 Return]])</f>
        <v>1.0675574847862761</v>
      </c>
      <c r="PI18" s="27">
        <f>MAX(PI17,PortfolioFrontier[[#This Row],[P106 Growth]])</f>
        <v>1.0675574847862761</v>
      </c>
      <c r="PJ18" s="27">
        <f>PortfolioFrontier[[#This Row],[P106 Growth]]/PortfolioFrontier[[#This Row],[P106 HWM]]-1</f>
        <v>0</v>
      </c>
      <c r="PK18" s="28">
        <f>SUMPRODUCT(INDEX(PortfolioRef[[SPY]:[PE]],MATCH(PK$1,PortfolioRef[Reference '#]),0),AssetMonthlyReturns[[#This Row],[SPY]:[PE]])</f>
        <v>1.4114223992075525E-2</v>
      </c>
      <c r="PL18" s="27">
        <f>IF(ISNUMBER(PL17),PL17*(1+PortfolioFrontier[[#This Row],[P107 Return]]),1+PortfolioFrontier[[#This Row],[P107 Return]])</f>
        <v>1.0694539365143576</v>
      </c>
      <c r="PM18" s="27">
        <f>MAX(PM17,PortfolioFrontier[[#This Row],[P107 Growth]])</f>
        <v>1.0694539365143576</v>
      </c>
      <c r="PN18" s="27">
        <f>PortfolioFrontier[[#This Row],[P107 Growth]]/PortfolioFrontier[[#This Row],[P107 HWM]]-1</f>
        <v>0</v>
      </c>
      <c r="PO18" s="28">
        <f>SUMPRODUCT(INDEX(PortfolioRef[[SPY]:[PE]],MATCH(PO$1,PortfolioRef[Reference '#]),0),AssetMonthlyReturns[[#This Row],[SPY]:[PE]])</f>
        <v>1.2403928453668035E-2</v>
      </c>
      <c r="PP18" s="27">
        <f>IF(ISNUMBER(PP17),PP17*(1+PortfolioFrontier[[#This Row],[P108 Return]]),1+PortfolioFrontier[[#This Row],[P108 Return]])</f>
        <v>1.0649022383637743</v>
      </c>
      <c r="PQ18" s="27">
        <f>MAX(PQ17,PortfolioFrontier[[#This Row],[P108 Growth]])</f>
        <v>1.0649022383637743</v>
      </c>
      <c r="PR18" s="27">
        <f>PortfolioFrontier[[#This Row],[P108 Growth]]/PortfolioFrontier[[#This Row],[P108 HWM]]-1</f>
        <v>0</v>
      </c>
      <c r="PS18" s="28">
        <f>SUMPRODUCT(INDEX(PortfolioRef[[SPY]:[PE]],MATCH(PS$1,PortfolioRef[Reference '#]),0),AssetMonthlyReturns[[#This Row],[SPY]:[PE]])</f>
        <v>1.4059910364293039E-2</v>
      </c>
      <c r="PT18" s="27">
        <f>IF(ISNUMBER(PT17),PT17*(1+PortfolioFrontier[[#This Row],[P109 Return]]),1+PortfolioFrontier[[#This Row],[P109 Return]])</f>
        <v>1.0749144238075654</v>
      </c>
      <c r="PU18" s="27">
        <f>MAX(PU17,PortfolioFrontier[[#This Row],[P109 Growth]])</f>
        <v>1.0749144238075654</v>
      </c>
      <c r="PV18" s="27">
        <f>PortfolioFrontier[[#This Row],[P109 Growth]]/PortfolioFrontier[[#This Row],[P109 HWM]]-1</f>
        <v>0</v>
      </c>
      <c r="PW18" s="28">
        <f>SUMPRODUCT(INDEX(PortfolioRef[[SPY]:[PE]],MATCH(PW$1,PortfolioRef[Reference '#]),0),AssetMonthlyReturns[[#This Row],[SPY]:[PE]])</f>
        <v>1.2349614825885546E-2</v>
      </c>
      <c r="PX18" s="27">
        <f>IF(ISNUMBER(PX17),PX17*(1+PortfolioFrontier[[#This Row],[P110 Return]]),1+PortfolioFrontier[[#This Row],[P110 Return]])</f>
        <v>1.0703484383919606</v>
      </c>
      <c r="PY18" s="27">
        <f>MAX(PY17,PortfolioFrontier[[#This Row],[P110 Growth]])</f>
        <v>1.0703484383919606</v>
      </c>
      <c r="PZ18" s="27">
        <f>PortfolioFrontier[[#This Row],[P110 Growth]]/PortfolioFrontier[[#This Row],[P110 HWM]]-1</f>
        <v>0</v>
      </c>
      <c r="QA18" s="28">
        <f>SUMPRODUCT(INDEX(PortfolioRef[[SPY]:[PE]],MATCH(QA$1,PortfolioRef[Reference '#]),0),AssetMonthlyReturns[[#This Row],[SPY]:[PE]])</f>
        <v>1.0639319287478056E-2</v>
      </c>
      <c r="QB18" s="27">
        <f>IF(ISNUMBER(QB17),QB17*(1+PortfolioFrontier[[#This Row],[P111 Return]]),1+PortfolioFrontier[[#This Row],[P111 Return]])</f>
        <v>1.0657497115198218</v>
      </c>
      <c r="QC18" s="27">
        <f>MAX(QC17,PortfolioFrontier[[#This Row],[P111 Growth]])</f>
        <v>1.0657497115198218</v>
      </c>
      <c r="QD18" s="27">
        <f>PortfolioFrontier[[#This Row],[P111 Growth]]/PortfolioFrontier[[#This Row],[P111 HWM]]-1</f>
        <v>0</v>
      </c>
      <c r="QE18" s="28">
        <f>SUMPRODUCT(INDEX(PortfolioRef[[SPY]:[PE]],MATCH(QE$1,PortfolioRef[Reference '#]),0),AssetMonthlyReturns[[#This Row],[SPY]:[PE]])</f>
        <v>1.4005596736510551E-2</v>
      </c>
      <c r="QF18" s="27">
        <f>IF(ISNUMBER(QF17),QF17*(1+PortfolioFrontier[[#This Row],[P112 Return]]),1+PortfolioFrontier[[#This Row],[P112 Return]])</f>
        <v>1.0803480520670472</v>
      </c>
      <c r="QG18" s="27">
        <f>MAX(QG17,PortfolioFrontier[[#This Row],[P112 Growth]])</f>
        <v>1.0803480520670472</v>
      </c>
      <c r="QH18" s="27">
        <f>PortfolioFrontier[[#This Row],[P112 Growth]]/PortfolioFrontier[[#This Row],[P112 HWM]]-1</f>
        <v>0</v>
      </c>
      <c r="QI18" s="28">
        <f>SUMPRODUCT(INDEX(PortfolioRef[[SPY]:[PE]],MATCH(QI$1,PortfolioRef[Reference '#]),0),AssetMonthlyReturns[[#This Row],[SPY]:[PE]])</f>
        <v>1.229530119810306E-2</v>
      </c>
      <c r="QJ18" s="27">
        <f>IF(ISNUMBER(QJ17),QJ17*(1+PortfolioFrontier[[#This Row],[P113 Return]]),1+PortfolioFrontier[[#This Row],[P113 Return]])</f>
        <v>1.0757679405546932</v>
      </c>
      <c r="QK18" s="27">
        <f>MAX(QK17,PortfolioFrontier[[#This Row],[P113 Growth]])</f>
        <v>1.0757679405546932</v>
      </c>
      <c r="QL18" s="27">
        <f>PortfolioFrontier[[#This Row],[P113 Growth]]/PortfolioFrontier[[#This Row],[P113 HWM]]-1</f>
        <v>0</v>
      </c>
      <c r="QM18" s="28">
        <f>SUMPRODUCT(INDEX(PortfolioRef[[SPY]:[PE]],MATCH(QM$1,PortfolioRef[Reference '#]),0),AssetMonthlyReturns[[#This Row],[SPY]:[PE]])</f>
        <v>1.0585005659695567E-2</v>
      </c>
      <c r="QN18" s="27">
        <f>IF(ISNUMBER(QN17),QN17*(1+PortfolioFrontier[[#This Row],[P114 Return]]),1+PortfolioFrontier[[#This Row],[P114 Return]])</f>
        <v>1.0711548114954805</v>
      </c>
      <c r="QO18" s="27">
        <f>MAX(QO17,PortfolioFrontier[[#This Row],[P114 Growth]])</f>
        <v>1.0711548114954805</v>
      </c>
      <c r="QP18" s="27">
        <f>PortfolioFrontier[[#This Row],[P114 Growth]]/PortfolioFrontier[[#This Row],[P114 HWM]]-1</f>
        <v>0</v>
      </c>
      <c r="QQ18" s="28">
        <f>SUMPRODUCT(INDEX(PortfolioRef[[SPY]:[PE]],MATCH(QQ$1,PortfolioRef[Reference '#]),0),AssetMonthlyReturns[[#This Row],[SPY]:[PE]])</f>
        <v>1.5047434595470109E-2</v>
      </c>
      <c r="QR18" s="27">
        <f>IF(ISNUMBER(QR17),QR17*(1+PortfolioFrontier[[#This Row],[P115 Return]]),1+PortfolioFrontier[[#This Row],[P115 Return]])</f>
        <v>1.0729975353799619</v>
      </c>
      <c r="QS18" s="27">
        <f>MAX(QS17,PortfolioFrontier[[#This Row],[P115 Growth]])</f>
        <v>1.0729975353799619</v>
      </c>
      <c r="QT18" s="27">
        <f>PortfolioFrontier[[#This Row],[P115 Growth]]/PortfolioFrontier[[#This Row],[P115 HWM]]-1</f>
        <v>0</v>
      </c>
      <c r="QU18" s="28">
        <f>SUMPRODUCT(INDEX(PortfolioRef[[SPY]:[PE]],MATCH(QU$1,PortfolioRef[Reference '#]),0),AssetMonthlyReturns[[#This Row],[SPY]:[PE]])</f>
        <v>1.333713905706262E-2</v>
      </c>
      <c r="QV18" s="27">
        <f>IF(ISNUMBER(QV17),QV17*(1+PortfolioFrontier[[#This Row],[P116 Return]]),1+PortfolioFrontier[[#This Row],[P116 Return]])</f>
        <v>1.0684638781915954</v>
      </c>
      <c r="QW18" s="27">
        <f>MAX(QW17,PortfolioFrontier[[#This Row],[P116 Growth]])</f>
        <v>1.0684638781915954</v>
      </c>
      <c r="QX18" s="27">
        <f>PortfolioFrontier[[#This Row],[P116 Growth]]/PortfolioFrontier[[#This Row],[P116 HWM]]-1</f>
        <v>0</v>
      </c>
      <c r="QY18" s="28">
        <f>SUMPRODUCT(INDEX(PortfolioRef[[SPY]:[PE]],MATCH(QY$1,PortfolioRef[Reference '#]),0),AssetMonthlyReturns[[#This Row],[SPY]:[PE]])</f>
        <v>1.1626843518655127E-2</v>
      </c>
      <c r="QZ18" s="27">
        <f>IF(ISNUMBER(QZ17),QZ17*(1+PortfolioFrontier[[#This Row],[P117 Return]]),1+PortfolioFrontier[[#This Row],[P117 Return]])</f>
        <v>1.0638973582256537</v>
      </c>
      <c r="RA18" s="27">
        <f>MAX(RA17,PortfolioFrontier[[#This Row],[P117 Growth]])</f>
        <v>1.0638973582256537</v>
      </c>
      <c r="RB18" s="27">
        <f>PortfolioFrontier[[#This Row],[P117 Growth]]/PortfolioFrontier[[#This Row],[P117 HWM]]-1</f>
        <v>0</v>
      </c>
      <c r="RC18" s="28">
        <f>SUMPRODUCT(INDEX(PortfolioRef[[SPY]:[PE]],MATCH(RC$1,PortfolioRef[Reference '#]),0),AssetMonthlyReturns[[#This Row],[SPY]:[PE]])</f>
        <v>1.4993120967687623E-2</v>
      </c>
      <c r="RD18" s="27">
        <f>IF(ISNUMBER(RD17),RD17*(1+PortfolioFrontier[[#This Row],[P118 Return]]),1+PortfolioFrontier[[#This Row],[P118 Return]])</f>
        <v>1.0784574277996608</v>
      </c>
      <c r="RE18" s="27">
        <f>MAX(RE17,PortfolioFrontier[[#This Row],[P118 Growth]])</f>
        <v>1.0784574277996608</v>
      </c>
      <c r="RF18" s="27">
        <f>PortfolioFrontier[[#This Row],[P118 Growth]]/PortfolioFrontier[[#This Row],[P118 HWM]]-1</f>
        <v>0</v>
      </c>
      <c r="RG18" s="28">
        <f>SUMPRODUCT(INDEX(PortfolioRef[[SPY]:[PE]],MATCH(RG$1,PortfolioRef[Reference '#]),0),AssetMonthlyReturns[[#This Row],[SPY]:[PE]])</f>
        <v>1.3282825429280132E-2</v>
      </c>
      <c r="RH18" s="27">
        <f>IF(ISNUMBER(RH17),RH17*(1+PortfolioFrontier[[#This Row],[P119 Return]]),1+PortfolioFrontier[[#This Row],[P119 Return]])</f>
        <v>1.0739097035301939</v>
      </c>
      <c r="RI18" s="27">
        <f>MAX(RI17,PortfolioFrontier[[#This Row],[P119 Growth]])</f>
        <v>1.0739097035301939</v>
      </c>
      <c r="RJ18" s="27">
        <f>PortfolioFrontier[[#This Row],[P119 Growth]]/PortfolioFrontier[[#This Row],[P119 HWM]]-1</f>
        <v>0</v>
      </c>
      <c r="RK18" s="28">
        <f>SUMPRODUCT(INDEX(PortfolioRef[[SPY]:[PE]],MATCH(RK$1,PortfolioRef[Reference '#]),0),AssetMonthlyReturns[[#This Row],[SPY]:[PE]])</f>
        <v>1.1572529890872641E-2</v>
      </c>
      <c r="RL18" s="27">
        <f>IF(ISNUMBER(RL17),RL17*(1+PortfolioFrontier[[#This Row],[P120 Return]]),1+PortfolioFrontier[[#This Row],[P120 Return]])</f>
        <v>1.0693288390255775</v>
      </c>
      <c r="RM18" s="27">
        <f>MAX(RM17,PortfolioFrontier[[#This Row],[P120 Growth]])</f>
        <v>1.0693288390255775</v>
      </c>
      <c r="RN18" s="27">
        <f>PortfolioFrontier[[#This Row],[P120 Growth]]/PortfolioFrontier[[#This Row],[P120 HWM]]-1</f>
        <v>0</v>
      </c>
      <c r="RO18" s="28">
        <f>SUMPRODUCT(INDEX(PortfolioRef[[SPY]:[PE]],MATCH(RO$1,PortfolioRef[Reference '#]),0),AssetMonthlyReturns[[#This Row],[SPY]:[PE]])</f>
        <v>1.4938807339905137E-2</v>
      </c>
      <c r="RP18" s="27">
        <f>IF(ISNUMBER(RP17),RP17*(1+PortfolioFrontier[[#This Row],[P121 Return]]),1+PortfolioFrontier[[#This Row],[P121 Return]])</f>
        <v>1.0838902613002181</v>
      </c>
      <c r="RQ18" s="27">
        <f>MAX(RQ17,PortfolioFrontier[[#This Row],[P121 Growth]])</f>
        <v>1.0838902613002181</v>
      </c>
      <c r="RR18" s="27">
        <f>PortfolioFrontier[[#This Row],[P121 Growth]]/PortfolioFrontier[[#This Row],[P121 HWM]]-1</f>
        <v>0</v>
      </c>
      <c r="RS18" s="28">
        <f>SUMPRODUCT(INDEX(PortfolioRef[[SPY]:[PE]],MATCH(RS$1,PortfolioRef[Reference '#]),0),AssetMonthlyReturns[[#This Row],[SPY]:[PE]])</f>
        <v>1.3228511801497644E-2</v>
      </c>
      <c r="RT18" s="27">
        <f>IF(ISNUMBER(RT17),RT17*(1+PortfolioFrontier[[#This Row],[P122 Return]]),1+PortfolioFrontier[[#This Row],[P122 Return]])</f>
        <v>1.0793286315427864</v>
      </c>
      <c r="RU18" s="27">
        <f>MAX(RU17,PortfolioFrontier[[#This Row],[P122 Growth]])</f>
        <v>1.0793286315427864</v>
      </c>
      <c r="RV18" s="27">
        <f>PortfolioFrontier[[#This Row],[P122 Growth]]/PortfolioFrontier[[#This Row],[P122 HWM]]-1</f>
        <v>0</v>
      </c>
      <c r="RW18" s="28">
        <f>SUMPRODUCT(INDEX(PortfolioRef[[SPY]:[PE]],MATCH(RW$1,PortfolioRef[Reference '#]),0),AssetMonthlyReturns[[#This Row],[SPY]:[PE]])</f>
        <v>1.1518216263090153E-2</v>
      </c>
      <c r="RX18" s="27">
        <f>IF(ISNUMBER(RX17),RX17*(1+PortfolioFrontier[[#This Row],[P123 Return]]),1+PortfolioFrontier[[#This Row],[P123 Return]])</f>
        <v>1.07473358385702</v>
      </c>
      <c r="RY18" s="27">
        <f>MAX(RY17,PortfolioFrontier[[#This Row],[P123 Growth]])</f>
        <v>1.07473358385702</v>
      </c>
      <c r="RZ18" s="27">
        <f>PortfolioFrontier[[#This Row],[P123 Growth]]/PortfolioFrontier[[#This Row],[P123 HWM]]-1</f>
        <v>0</v>
      </c>
      <c r="SA18" s="28">
        <f>SUMPRODUCT(INDEX(PortfolioRef[[SPY]:[PE]],MATCH(SA$1,PortfolioRef[Reference '#]),0),AssetMonthlyReturns[[#This Row],[SPY]:[PE]])</f>
        <v>1.5980645198864697E-2</v>
      </c>
      <c r="SB18" s="27">
        <f>IF(ISNUMBER(SB17),SB17*(1+PortfolioFrontier[[#This Row],[P124 Return]]),1+PortfolioFrontier[[#This Row],[P124 Return]])</f>
        <v>1.0765221568247019</v>
      </c>
      <c r="SC18" s="27">
        <f>MAX(SC17,PortfolioFrontier[[#This Row],[P124 Growth]])</f>
        <v>1.0765221568247019</v>
      </c>
      <c r="SD18" s="27">
        <f>PortfolioFrontier[[#This Row],[P124 Growth]]/PortfolioFrontier[[#This Row],[P124 HWM]]-1</f>
        <v>0</v>
      </c>
      <c r="SE18" s="28">
        <f>SUMPRODUCT(INDEX(PortfolioRef[[SPY]:[PE]],MATCH(SE$1,PortfolioRef[Reference '#]),0),AssetMonthlyReturns[[#This Row],[SPY]:[PE]])</f>
        <v>1.4270349660457204E-2</v>
      </c>
      <c r="SF18" s="27">
        <f>IF(ISNUMBER(SF17),SF17*(1+PortfolioFrontier[[#This Row],[P125 Return]]),1+PortfolioFrontier[[#This Row],[P125 Return]])</f>
        <v>1.0720068414471811</v>
      </c>
      <c r="SG18" s="27">
        <f>MAX(SG17,PortfolioFrontier[[#This Row],[P125 Growth]])</f>
        <v>1.0720068414471811</v>
      </c>
      <c r="SH18" s="27">
        <f>PortfolioFrontier[[#This Row],[P125 Growth]]/PortfolioFrontier[[#This Row],[P125 HWM]]-1</f>
        <v>0</v>
      </c>
      <c r="SI18" s="28">
        <f>SUMPRODUCT(INDEX(PortfolioRef[[SPY]:[PE]],MATCH(SI$1,PortfolioRef[Reference '#]),0),AssetMonthlyReturns[[#This Row],[SPY]:[PE]])</f>
        <v>1.2560054122049712E-2</v>
      </c>
      <c r="SJ18" s="27">
        <f>IF(ISNUMBER(SJ17),SJ17*(1+PortfolioFrontier[[#This Row],[P126 Return]]),1+PortfolioFrontier[[#This Row],[P126 Return]])</f>
        <v>1.0674582658534473</v>
      </c>
      <c r="SK18" s="27">
        <f>MAX(SK17,PortfolioFrontier[[#This Row],[P126 Growth]])</f>
        <v>1.0674582658534473</v>
      </c>
      <c r="SL18" s="27">
        <f>PortfolioFrontier[[#This Row],[P126 Growth]]/PortfolioFrontier[[#This Row],[P126 HWM]]-1</f>
        <v>0</v>
      </c>
      <c r="SM18" s="28">
        <f>SUMPRODUCT(INDEX(PortfolioRef[[SPY]:[PE]],MATCH(SM$1,PortfolioRef[Reference '#]),0),AssetMonthlyReturns[[#This Row],[SPY]:[PE]])</f>
        <v>1.5926331571082208E-2</v>
      </c>
      <c r="SN18" s="27">
        <f>IF(ISNUMBER(SN17),SN17*(1+PortfolioFrontier[[#This Row],[P127 Return]]),1+PortfolioFrontier[[#This Row],[P127 Return]])</f>
        <v>1.0819812357911085</v>
      </c>
      <c r="SO18" s="27">
        <f>MAX(SO17,PortfolioFrontier[[#This Row],[P127 Growth]])</f>
        <v>1.0819812357911085</v>
      </c>
      <c r="SP18" s="27">
        <f>PortfolioFrontier[[#This Row],[P127 Growth]]/PortfolioFrontier[[#This Row],[P127 HWM]]-1</f>
        <v>0</v>
      </c>
      <c r="SQ18" s="28">
        <f>SUMPRODUCT(INDEX(PortfolioRef[[SPY]:[PE]],MATCH(SQ$1,PortfolioRef[Reference '#]),0),AssetMonthlyReturns[[#This Row],[SPY]:[PE]])</f>
        <v>1.4216036032674718E-2</v>
      </c>
      <c r="SR18" s="27">
        <f>IF(ISNUMBER(SR17),SR17*(1+PortfolioFrontier[[#This Row],[P128 Return]]),1+PortfolioFrontier[[#This Row],[P128 Return]])</f>
        <v>1.0774520745408167</v>
      </c>
      <c r="SS18" s="27">
        <f>MAX(SS17,PortfolioFrontier[[#This Row],[P128 Growth]])</f>
        <v>1.0774520745408167</v>
      </c>
      <c r="ST18" s="27">
        <f>PortfolioFrontier[[#This Row],[P128 Growth]]/PortfolioFrontier[[#This Row],[P128 HWM]]-1</f>
        <v>0</v>
      </c>
      <c r="SU18" s="28">
        <f>SUMPRODUCT(INDEX(PortfolioRef[[SPY]:[PE]],MATCH(SU$1,PortfolioRef[Reference '#]),0),AssetMonthlyReturns[[#This Row],[SPY]:[PE]])</f>
        <v>1.2505740494267226E-2</v>
      </c>
      <c r="SV18" s="27">
        <f>IF(ISNUMBER(SV17),SV17*(1+PortfolioFrontier[[#This Row],[P129 Return]]),1+PortfolioFrontier[[#This Row],[P129 Return]])</f>
        <v>1.072889374016617</v>
      </c>
      <c r="SW18" s="27">
        <f>MAX(SW17,PortfolioFrontier[[#This Row],[P129 Growth]])</f>
        <v>1.072889374016617</v>
      </c>
      <c r="SX18" s="27">
        <f>PortfolioFrontier[[#This Row],[P129 Growth]]/PortfolioFrontier[[#This Row],[P129 HWM]]-1</f>
        <v>0</v>
      </c>
      <c r="SY18" s="28">
        <f>SUMPRODUCT(INDEX(PortfolioRef[[SPY]:[PE]],MATCH(SY$1,PortfolioRef[Reference '#]),0),AssetMonthlyReturns[[#This Row],[SPY]:[PE]])</f>
        <v>1.5872017943299718E-2</v>
      </c>
      <c r="SZ18" s="27">
        <f>IF(ISNUMBER(SZ17),SZ17*(1+PortfolioFrontier[[#This Row],[P130 Return]]),1+PortfolioFrontier[[#This Row],[P130 Return]])</f>
        <v>1.0874130559002668</v>
      </c>
      <c r="TA18" s="27">
        <f>MAX(TA17,PortfolioFrontier[[#This Row],[P130 Growth]])</f>
        <v>1.0874130559002668</v>
      </c>
      <c r="TB18" s="27">
        <f>PortfolioFrontier[[#This Row],[P130 Growth]]/PortfolioFrontier[[#This Row],[P130 HWM]]-1</f>
        <v>0</v>
      </c>
      <c r="TC18" s="28">
        <f>SUMPRODUCT(INDEX(PortfolioRef[[SPY]:[PE]],MATCH(TC$1,PortfolioRef[Reference '#]),0),AssetMonthlyReturns[[#This Row],[SPY]:[PE]])</f>
        <v>1.4161722404892229E-2</v>
      </c>
      <c r="TD18" s="27">
        <f>IF(ISNUMBER(TD17),TD17*(1+PortfolioFrontier[[#This Row],[P131 Return]]),1+PortfolioFrontier[[#This Row],[P131 Return]])</f>
        <v>1.0828702107830797</v>
      </c>
      <c r="TE18" s="27">
        <f>MAX(TE17,PortfolioFrontier[[#This Row],[P131 Growth]])</f>
        <v>1.0828702107830797</v>
      </c>
      <c r="TF18" s="27">
        <f>PortfolioFrontier[[#This Row],[P131 Growth]]/PortfolioFrontier[[#This Row],[P131 HWM]]-1</f>
        <v>0</v>
      </c>
      <c r="TG18" s="28">
        <f>SUMPRODUCT(INDEX(PortfolioRef[[SPY]:[PE]],MATCH(TG$1,PortfolioRef[Reference '#]),0),AssetMonthlyReturns[[#This Row],[SPY]:[PE]])</f>
        <v>1.2451426866484738E-2</v>
      </c>
      <c r="TH18" s="27">
        <f>IF(ISNUMBER(TH17),TH17*(1+PortfolioFrontier[[#This Row],[P132 Return]]),1+PortfolioFrontier[[#This Row],[P132 Return]])</f>
        <v>1.0782935471103812</v>
      </c>
      <c r="TI18" s="27">
        <f>MAX(TI17,PortfolioFrontier[[#This Row],[P132 Growth]])</f>
        <v>1.0782935471103812</v>
      </c>
      <c r="TJ18" s="27">
        <f>PortfolioFrontier[[#This Row],[P132 Growth]]/PortfolioFrontier[[#This Row],[P132 HWM]]-1</f>
        <v>0</v>
      </c>
      <c r="TK18" s="28">
        <f>SUMPRODUCT(INDEX(PortfolioRef[[SPY]:[PE]],MATCH(TK$1,PortfolioRef[Reference '#]),0),AssetMonthlyReturns[[#This Row],[SPY]:[PE]])</f>
        <v>1.6913855802259278E-2</v>
      </c>
      <c r="TL18" s="27">
        <f>IF(ISNUMBER(TL17),TL17*(1+PortfolioFrontier[[#This Row],[P133 Return]]),1+PortfolioFrontier[[#This Row],[P133 Return]])</f>
        <v>1.0800275475016767</v>
      </c>
      <c r="TM18" s="27">
        <f>MAX(TM17,PortfolioFrontier[[#This Row],[P133 Growth]])</f>
        <v>1.0800275475016767</v>
      </c>
      <c r="TN18" s="27">
        <f>PortfolioFrontier[[#This Row],[P133 Growth]]/PortfolioFrontier[[#This Row],[P133 HWM]]-1</f>
        <v>0</v>
      </c>
      <c r="TO18" s="28">
        <f>SUMPRODUCT(INDEX(PortfolioRef[[SPY]:[PE]],MATCH(TO$1,PortfolioRef[Reference '#]),0),AssetMonthlyReturns[[#This Row],[SPY]:[PE]])</f>
        <v>1.5203560263851789E-2</v>
      </c>
      <c r="TP18" s="27">
        <f>IF(ISNUMBER(TP17),TP17*(1+PortfolioFrontier[[#This Row],[P134 Return]]),1+PortfolioFrontier[[#This Row],[P134 Return]])</f>
        <v>1.075530874766623</v>
      </c>
      <c r="TQ18" s="27">
        <f>MAX(TQ17,PortfolioFrontier[[#This Row],[P134 Growth]])</f>
        <v>1.075530874766623</v>
      </c>
      <c r="TR18" s="27">
        <f>PortfolioFrontier[[#This Row],[P134 Growth]]/PortfolioFrontier[[#This Row],[P134 HWM]]-1</f>
        <v>0</v>
      </c>
      <c r="TS18" s="28">
        <f>SUMPRODUCT(INDEX(PortfolioRef[[SPY]:[PE]],MATCH(TS$1,PortfolioRef[Reference '#]),0),AssetMonthlyReturns[[#This Row],[SPY]:[PE]])</f>
        <v>1.34932647254443E-2</v>
      </c>
      <c r="TT18" s="27">
        <f>IF(ISNUMBER(TT17),TT17*(1+PortfolioFrontier[[#This Row],[P135 Return]]),1+PortfolioFrontier[[#This Row],[P135 Return]])</f>
        <v>1.0710005441288475</v>
      </c>
      <c r="TU18" s="27">
        <f>MAX(TU17,PortfolioFrontier[[#This Row],[P135 Growth]])</f>
        <v>1.0710005441288475</v>
      </c>
      <c r="TV18" s="27">
        <f>PortfolioFrontier[[#This Row],[P135 Growth]]/PortfolioFrontier[[#This Row],[P135 HWM]]-1</f>
        <v>0</v>
      </c>
      <c r="TW18" s="28">
        <f>SUMPRODUCT(INDEX(PortfolioRef[[SPY]:[PE]],MATCH(TW$1,PortfolioRef[Reference '#]),0),AssetMonthlyReturns[[#This Row],[SPY]:[PE]])</f>
        <v>1.6859542174476792E-2</v>
      </c>
      <c r="TX18" s="27">
        <f>IF(ISNUMBER(TX17),TX17*(1+PortfolioFrontier[[#This Row],[P136 Return]]),1+PortfolioFrontier[[#This Row],[P136 Return]])</f>
        <v>1.0854855938947323</v>
      </c>
      <c r="TY18" s="27">
        <f>MAX(TY17,PortfolioFrontier[[#This Row],[P136 Growth]])</f>
        <v>1.0854855938947323</v>
      </c>
      <c r="TZ18" s="27">
        <f>PortfolioFrontier[[#This Row],[P136 Growth]]/PortfolioFrontier[[#This Row],[P136 HWM]]-1</f>
        <v>0</v>
      </c>
      <c r="UA18" s="28">
        <f>SUMPRODUCT(INDEX(PortfolioRef[[SPY]:[PE]],MATCH(UA$1,PortfolioRef[Reference '#]),0),AssetMonthlyReturns[[#This Row],[SPY]:[PE]])</f>
        <v>1.51492466360693E-2</v>
      </c>
      <c r="UB18" s="27">
        <f>IF(ISNUMBER(UB17),UB17*(1+PortfolioFrontier[[#This Row],[P137 Return]]),1+PortfolioFrontier[[#This Row],[P137 Return]])</f>
        <v>1.0809752975047597</v>
      </c>
      <c r="UC18" s="27">
        <f>MAX(UC17,PortfolioFrontier[[#This Row],[P137 Growth]])</f>
        <v>1.0809752975047597</v>
      </c>
      <c r="UD18" s="27">
        <f>PortfolioFrontier[[#This Row],[P137 Growth]]/PortfolioFrontier[[#This Row],[P137 HWM]]-1</f>
        <v>0</v>
      </c>
      <c r="UE18" s="28">
        <f>SUMPRODUCT(INDEX(PortfolioRef[[SPY]:[PE]],MATCH(UE$1,PortfolioRef[Reference '#]),0),AssetMonthlyReturns[[#This Row],[SPY]:[PE]])</f>
        <v>1.343895109766181E-2</v>
      </c>
      <c r="UF18" s="27">
        <f>IF(ISNUMBER(UF17),UF17*(1+PortfolioFrontier[[#This Row],[P138 Return]]),1+PortfolioFrontier[[#This Row],[P138 Return]])</f>
        <v>1.0764310625687437</v>
      </c>
      <c r="UG18" s="27">
        <f>MAX(UG17,PortfolioFrontier[[#This Row],[P138 Growth]])</f>
        <v>1.0764310625687437</v>
      </c>
      <c r="UH18" s="27">
        <f>PortfolioFrontier[[#This Row],[P138 Growth]]/PortfolioFrontier[[#This Row],[P138 HWM]]-1</f>
        <v>0</v>
      </c>
      <c r="UI18" s="28">
        <f>SUMPRODUCT(INDEX(PortfolioRef[[SPY]:[PE]],MATCH(UI$1,PortfolioRef[Reference '#]),0),AssetMonthlyReturns[[#This Row],[SPY]:[PE]])</f>
        <v>1.6805228546694306E-2</v>
      </c>
      <c r="UJ18" s="27">
        <f>IF(ISNUMBER(UJ17),UJ17*(1+PortfolioFrontier[[#This Row],[P139 Return]]),1+PortfolioFrontier[[#This Row],[P139 Return]])</f>
        <v>1.090916181452785</v>
      </c>
      <c r="UK18" s="27">
        <f>MAX(UK17,PortfolioFrontier[[#This Row],[P139 Growth]])</f>
        <v>1.090916181452785</v>
      </c>
      <c r="UL18" s="27">
        <f>PortfolioFrontier[[#This Row],[P139 Growth]]/PortfolioFrontier[[#This Row],[P139 HWM]]-1</f>
        <v>0</v>
      </c>
      <c r="UM18" s="28">
        <f>SUMPRODUCT(INDEX(PortfolioRef[[SPY]:[PE]],MATCH(UM$1,PortfolioRef[Reference '#]),0),AssetMonthlyReturns[[#This Row],[SPY]:[PE]])</f>
        <v>1.5094933008286814E-2</v>
      </c>
      <c r="UN18" s="27">
        <f>IF(ISNUMBER(UN17),UN17*(1+PortfolioFrontier[[#This Row],[P140 Return]]),1+PortfolioFrontier[[#This Row],[P140 Return]])</f>
        <v>1.0863924238142861</v>
      </c>
      <c r="UO18" s="27">
        <f>MAX(UO17,PortfolioFrontier[[#This Row],[P140 Growth]])</f>
        <v>1.0863924238142861</v>
      </c>
      <c r="UP18" s="27">
        <f>PortfolioFrontier[[#This Row],[P140 Growth]]/PortfolioFrontier[[#This Row],[P140 HWM]]-1</f>
        <v>0</v>
      </c>
      <c r="UQ18" s="28">
        <f>SUMPRODUCT(INDEX(PortfolioRef[[SPY]:[PE]],MATCH(UQ$1,PortfolioRef[Reference '#]),0),AssetMonthlyReturns[[#This Row],[SPY]:[PE]])</f>
        <v>1.3384637469879321E-2</v>
      </c>
      <c r="UR18" s="27">
        <f>IF(ISNUMBER(UR17),UR17*(1+PortfolioFrontier[[#This Row],[P141 Return]]),1+PortfolioFrontier[[#This Row],[P141 Return]])</f>
        <v>1.0818344467743433</v>
      </c>
      <c r="US18" s="27">
        <f>MAX(US17,PortfolioFrontier[[#This Row],[P141 Growth]])</f>
        <v>1.0818344467743433</v>
      </c>
      <c r="UT18" s="27">
        <f>PortfolioFrontier[[#This Row],[P141 Growth]]/PortfolioFrontier[[#This Row],[P141 HWM]]-1</f>
        <v>0</v>
      </c>
    </row>
    <row r="19" spans="2:566" x14ac:dyDescent="0.2">
      <c r="B19" s="41">
        <f>AssetMonthlyReturns[[#This Row],[Date]]</f>
        <v>42948</v>
      </c>
      <c r="C19" s="28">
        <f>SUMPRODUCT(INDEX(PortfolioRef[[SPY]:[PE]],MATCH(C$1,PortfolioRef[Reference '#]),0),AssetMonthlyReturns[[#This Row],[SPY]:[PE]])</f>
        <v>4.7233201250889804E-3</v>
      </c>
      <c r="D19" s="29">
        <f>IF(ISNUMBER(D18),D18*(1+PortfolioFrontier[[#This Row],[P1 Return]]),1+PortfolioFrontier[[#This Row],[P1 Return]])</f>
        <v>1.1365069766605664</v>
      </c>
      <c r="E19" s="29">
        <f>MAX(E18,PortfolioFrontier[[#This Row],[P1 Growth]])</f>
        <v>1.1365069766605664</v>
      </c>
      <c r="F19" s="29">
        <f>PortfolioFrontier[[#This Row],[P1 Growth]]/PortfolioFrontier[[#This Row],[P1 HWM]]-1</f>
        <v>0</v>
      </c>
      <c r="G19" s="28">
        <f>SUMPRODUCT(INDEX(PortfolioRef[[SPY]:[PE]],MATCH(G$1,PortfolioRef[Reference '#]),0),AssetMonthlyReturns[[#This Row],[SPY]:[PE]])</f>
        <v>5.0459297836131563E-3</v>
      </c>
      <c r="H19" s="27">
        <f>IF(ISNUMBER(H18),H18*(1+PortfolioFrontier[[#This Row],[P2 Return]]),1+PortfolioFrontier[[#This Row],[P2 Return]])</f>
        <v>1.126376147191041</v>
      </c>
      <c r="I19" s="27">
        <f>MAX(I18,PortfolioFrontier[[#This Row],[P2 Growth]])</f>
        <v>1.126376147191041</v>
      </c>
      <c r="J19" s="27">
        <f>PortfolioFrontier[[#This Row],[P2 Growth]]/PortfolioFrontier[[#This Row],[P2 HWM]]-1</f>
        <v>0</v>
      </c>
      <c r="K19" s="28">
        <f>SUMPRODUCT(INDEX(PortfolioRef[[SPY]:[PE]],MATCH(K$1,PortfolioRef[Reference '#]),0),AssetMonthlyReturns[[#This Row],[SPY]:[PE]])</f>
        <v>6.6768111347769053E-3</v>
      </c>
      <c r="L19" s="27">
        <f>IF(ISNUMBER(L18),L18*(1+PortfolioFrontier[[#This Row],[P3 Return]]),1+PortfolioFrontier[[#This Row],[P3 Return]])</f>
        <v>1.1263214676604676</v>
      </c>
      <c r="M19" s="27">
        <f>MAX(M18,PortfolioFrontier[[#This Row],[P3 Growth]])</f>
        <v>1.1263214676604676</v>
      </c>
      <c r="N19" s="27">
        <f>PortfolioFrontier[[#This Row],[P3 Growth]]/PortfolioFrontier[[#This Row],[P3 HWM]]-1</f>
        <v>0</v>
      </c>
      <c r="O19" s="28">
        <f>SUMPRODUCT(INDEX(PortfolioRef[[SPY]:[PE]],MATCH(O$1,PortfolioRef[Reference '#]),0),AssetMonthlyReturns[[#This Row],[SPY]:[PE]])</f>
        <v>4.4468886460766735E-3</v>
      </c>
      <c r="P19" s="27">
        <f>IF(ISNUMBER(P18),P18*(1+PortfolioFrontier[[#This Row],[P4 Return]]),1+PortfolioFrontier[[#This Row],[P4 Return]])</f>
        <v>1.1294369506789657</v>
      </c>
      <c r="Q19" s="27">
        <f>MAX(Q18,PortfolioFrontier[[#This Row],[P4 Growth]])</f>
        <v>1.1294369506789657</v>
      </c>
      <c r="R19" s="27">
        <f>PortfolioFrontier[[#This Row],[P4 Growth]]/PortfolioFrontier[[#This Row],[P4 HWM]]-1</f>
        <v>0</v>
      </c>
      <c r="S19" s="28">
        <f>SUMPRODUCT(INDEX(PortfolioRef[[SPY]:[PE]],MATCH(S$1,PortfolioRef[Reference '#]),0),AssetMonthlyReturns[[#This Row],[SPY]:[PE]])</f>
        <v>3.4651286884111341E-3</v>
      </c>
      <c r="T19" s="27">
        <f>IF(ISNUMBER(T18),T18*(1+PortfolioFrontier[[#This Row],[P5 Return]]),1+PortfolioFrontier[[#This Row],[P5 Return]])</f>
        <v>1.1235179917970632</v>
      </c>
      <c r="U19" s="27">
        <f>MAX(U18,PortfolioFrontier[[#This Row],[P5 Growth]])</f>
        <v>1.1235179917970632</v>
      </c>
      <c r="V19" s="27">
        <f>PortfolioFrontier[[#This Row],[P5 Growth]]/PortfolioFrontier[[#This Row],[P5 HWM]]-1</f>
        <v>0</v>
      </c>
      <c r="W19" s="28">
        <f>SUMPRODUCT(INDEX(PortfolioRef[[SPY]:[PE]],MATCH(W$1,PortfolioRef[Reference '#]),0),AssetMonthlyReturns[[#This Row],[SPY]:[PE]])</f>
        <v>5.3685394421373323E-3</v>
      </c>
      <c r="X19" s="27">
        <f>IF(ISNUMBER(X18),X18*(1+PortfolioFrontier[[#This Row],[P6 Return]]),1+PortfolioFrontier[[#This Row],[P6 Return]])</f>
        <v>1.1163129031375529</v>
      </c>
      <c r="Y19" s="27">
        <f>MAX(Y18,PortfolioFrontier[[#This Row],[P6 Growth]])</f>
        <v>1.1163129031375529</v>
      </c>
      <c r="Z19" s="27">
        <f>PortfolioFrontier[[#This Row],[P6 Growth]]/PortfolioFrontier[[#This Row],[P6 HWM]]-1</f>
        <v>0</v>
      </c>
      <c r="AA19" s="28">
        <f>SUMPRODUCT(INDEX(PortfolioRef[[SPY]:[PE]],MATCH(AA$1,PortfolioRef[Reference '#]),0),AssetMonthlyReturns[[#This Row],[SPY]:[PE]])</f>
        <v>6.9994207933010795E-3</v>
      </c>
      <c r="AB19" s="27">
        <f>IF(ISNUMBER(AB18),AB18*(1+PortfolioFrontier[[#This Row],[P7 Return]]),1+PortfolioFrontier[[#This Row],[P7 Return]])</f>
        <v>1.1162475597755774</v>
      </c>
      <c r="AC19" s="27">
        <f>MAX(AC18,PortfolioFrontier[[#This Row],[P7 Growth]])</f>
        <v>1.1162475597755774</v>
      </c>
      <c r="AD19" s="27">
        <f>PortfolioFrontier[[#This Row],[P7 Growth]]/PortfolioFrontier[[#This Row],[P7 HWM]]-1</f>
        <v>0</v>
      </c>
      <c r="AE19" s="28">
        <f>SUMPRODUCT(INDEX(PortfolioRef[[SPY]:[PE]],MATCH(AE$1,PortfolioRef[Reference '#]),0),AssetMonthlyReturns[[#This Row],[SPY]:[PE]])</f>
        <v>4.7694983046008494E-3</v>
      </c>
      <c r="AF19" s="27">
        <f>IF(ISNUMBER(AF18),AF18*(1+PortfolioFrontier[[#This Row],[P8 Return]]),1+PortfolioFrontier[[#This Row],[P8 Return]])</f>
        <v>1.1193574865652478</v>
      </c>
      <c r="AG19" s="27">
        <f>MAX(AG18,PortfolioFrontier[[#This Row],[P8 Growth]])</f>
        <v>1.1193574865652478</v>
      </c>
      <c r="AH19" s="27">
        <f>PortfolioFrontier[[#This Row],[P8 Growth]]/PortfolioFrontier[[#This Row],[P8 HWM]]-1</f>
        <v>0</v>
      </c>
      <c r="AI19" s="28">
        <f>SUMPRODUCT(INDEX(PortfolioRef[[SPY]:[PE]],MATCH(AI$1,PortfolioRef[Reference '#]),0),AssetMonthlyReturns[[#This Row],[SPY]:[PE]])</f>
        <v>3.78773834693531E-3</v>
      </c>
      <c r="AJ19" s="27">
        <f>IF(ISNUMBER(AJ18),AJ18*(1+PortfolioFrontier[[#This Row],[P9 Return]]),1+PortfolioFrontier[[#This Row],[P9 Return]])</f>
        <v>1.1134841705397158</v>
      </c>
      <c r="AK19" s="27">
        <f>MAX(AK18,PortfolioFrontier[[#This Row],[P9 Growth]])</f>
        <v>1.1134841705397158</v>
      </c>
      <c r="AL19" s="27">
        <f>PortfolioFrontier[[#This Row],[P9 Growth]]/PortfolioFrontier[[#This Row],[P9 HWM]]-1</f>
        <v>0</v>
      </c>
      <c r="AM19" s="28">
        <f>SUMPRODUCT(INDEX(PortfolioRef[[SPY]:[PE]],MATCH(AM$1,PortfolioRef[Reference '#]),0),AssetMonthlyReturns[[#This Row],[SPY]:[PE]])</f>
        <v>8.6303021444648284E-3</v>
      </c>
      <c r="AN19" s="27">
        <f>IF(ISNUMBER(AN18),AN18*(1+PortfolioFrontier[[#This Row],[P10 Return]]),1+PortfolioFrontier[[#This Row],[P10 Return]])</f>
        <v>1.116129600182693</v>
      </c>
      <c r="AO19" s="27">
        <f>MAX(AO18,PortfolioFrontier[[#This Row],[P10 Growth]])</f>
        <v>1.116129600182693</v>
      </c>
      <c r="AP19" s="27">
        <f>PortfolioFrontier[[#This Row],[P10 Growth]]/PortfolioFrontier[[#This Row],[P10 HWM]]-1</f>
        <v>0</v>
      </c>
      <c r="AQ19" s="28">
        <f>SUMPRODUCT(INDEX(PortfolioRef[[SPY]:[PE]],MATCH(AQ$1,PortfolioRef[Reference '#]),0),AssetMonthlyReturns[[#This Row],[SPY]:[PE]])</f>
        <v>6.4003796557645992E-3</v>
      </c>
      <c r="AR19" s="27">
        <f>IF(ISNUMBER(AR18),AR18*(1+PortfolioFrontier[[#This Row],[P11 Return]]),1+PortfolioFrontier[[#This Row],[P11 Return]])</f>
        <v>1.1192803332058112</v>
      </c>
      <c r="AS19" s="27">
        <f>MAX(AS18,PortfolioFrontier[[#This Row],[P11 Growth]])</f>
        <v>1.1192803332058112</v>
      </c>
      <c r="AT19" s="27">
        <f>PortfolioFrontier[[#This Row],[P11 Growth]]/PortfolioFrontier[[#This Row],[P11 HWM]]-1</f>
        <v>0</v>
      </c>
      <c r="AU19" s="28">
        <f>SUMPRODUCT(INDEX(PortfolioRef[[SPY]:[PE]],MATCH(AU$1,PortfolioRef[Reference '#]),0),AssetMonthlyReturns[[#This Row],[SPY]:[PE]])</f>
        <v>5.4186196980990581E-3</v>
      </c>
      <c r="AV19" s="27">
        <f>IF(ISNUMBER(AV18),AV18*(1+PortfolioFrontier[[#This Row],[P12 Return]]),1+PortfolioFrontier[[#This Row],[P12 Return]])</f>
        <v>1.113434462752696</v>
      </c>
      <c r="AW19" s="27">
        <f>MAX(AW18,PortfolioFrontier[[#This Row],[P12 Growth]])</f>
        <v>1.113434462752696</v>
      </c>
      <c r="AX19" s="27">
        <f>PortfolioFrontier[[#This Row],[P12 Growth]]/PortfolioFrontier[[#This Row],[P12 HWM]]-1</f>
        <v>0</v>
      </c>
      <c r="AY19" s="28">
        <f>SUMPRODUCT(INDEX(PortfolioRef[[SPY]:[PE]],MATCH(AY$1,PortfolioRef[Reference '#]),0),AssetMonthlyReturns[[#This Row],[SPY]:[PE]])</f>
        <v>4.1704571670643674E-3</v>
      </c>
      <c r="AZ19" s="27">
        <f>IF(ISNUMBER(AZ18),AZ18*(1+PortfolioFrontier[[#This Row],[P13 Return]]),1+PortfolioFrontier[[#This Row],[P13 Return]])</f>
        <v>1.1223780203980092</v>
      </c>
      <c r="BA19" s="27">
        <f>MAX(BA18,PortfolioFrontier[[#This Row],[P13 Growth]])</f>
        <v>1.1223780203980092</v>
      </c>
      <c r="BB19" s="27">
        <f>PortfolioFrontier[[#This Row],[P13 Growth]]/PortfolioFrontier[[#This Row],[P13 HWM]]-1</f>
        <v>0</v>
      </c>
      <c r="BC19" s="28">
        <f>SUMPRODUCT(INDEX(PortfolioRef[[SPY]:[PE]],MATCH(BC$1,PortfolioRef[Reference '#]),0),AssetMonthlyReturns[[#This Row],[SPY]:[PE]])</f>
        <v>3.1886972093988272E-3</v>
      </c>
      <c r="BD19" s="27">
        <f>IF(ISNUMBER(BD18),BD18*(1+PortfolioFrontier[[#This Row],[P14 Return]]),1+PortfolioFrontier[[#This Row],[P14 Return]])</f>
        <v>1.1165227883508055</v>
      </c>
      <c r="BE19" s="27">
        <f>MAX(BE18,PortfolioFrontier[[#This Row],[P14 Growth]])</f>
        <v>1.1165227883508055</v>
      </c>
      <c r="BF19" s="27">
        <f>PortfolioFrontier[[#This Row],[P14 Growth]]/PortfolioFrontier[[#This Row],[P14 HWM]]-1</f>
        <v>0</v>
      </c>
      <c r="BG19" s="28">
        <f>SUMPRODUCT(INDEX(PortfolioRef[[SPY]:[PE]],MATCH(BG$1,PortfolioRef[Reference '#]),0),AssetMonthlyReturns[[#This Row],[SPY]:[PE]])</f>
        <v>2.206937251733287E-3</v>
      </c>
      <c r="BH19" s="27">
        <f>IF(ISNUMBER(BH18),BH18*(1+PortfolioFrontier[[#This Row],[P15 Return]]),1+PortfolioFrontier[[#This Row],[P15 Return]])</f>
        <v>1.1106428278325038</v>
      </c>
      <c r="BI19" s="27">
        <f>MAX(BI18,PortfolioFrontier[[#This Row],[P15 Growth]])</f>
        <v>1.1106428278325038</v>
      </c>
      <c r="BJ19" s="27">
        <f>PortfolioFrontier[[#This Row],[P15 Growth]]/PortfolioFrontier[[#This Row],[P15 HWM]]-1</f>
        <v>0</v>
      </c>
      <c r="BK19" s="28">
        <f>SUMPRODUCT(INDEX(PortfolioRef[[SPY]:[PE]],MATCH(BK$1,PortfolioRef[Reference '#]),0),AssetMonthlyReturns[[#This Row],[SPY]:[PE]])</f>
        <v>5.6911491006615056E-3</v>
      </c>
      <c r="BL19" s="27">
        <f>IF(ISNUMBER(BL18),BL18*(1+PortfolioFrontier[[#This Row],[P16 Return]]),1+PortfolioFrontier[[#This Row],[P16 Return]])</f>
        <v>1.1063169541560951</v>
      </c>
      <c r="BM19" s="27">
        <f>MAX(BM18,PortfolioFrontier[[#This Row],[P16 Growth]])</f>
        <v>1.1063169541560951</v>
      </c>
      <c r="BN19" s="27">
        <f>PortfolioFrontier[[#This Row],[P16 Growth]]/PortfolioFrontier[[#This Row],[P16 HWM]]-1</f>
        <v>0</v>
      </c>
      <c r="BO19" s="28">
        <f>SUMPRODUCT(INDEX(PortfolioRef[[SPY]:[PE]],MATCH(BO$1,PortfolioRef[Reference '#]),0),AssetMonthlyReturns[[#This Row],[SPY]:[PE]])</f>
        <v>7.3220304518252571E-3</v>
      </c>
      <c r="BP19" s="27">
        <f>IF(ISNUMBER(BP18),BP18*(1+PortfolioFrontier[[#This Row],[P17 Return]]),1+PortfolioFrontier[[#This Row],[P17 Return]])</f>
        <v>1.1062411027790564</v>
      </c>
      <c r="BQ19" s="27">
        <f>MAX(BQ18,PortfolioFrontier[[#This Row],[P17 Growth]])</f>
        <v>1.1062411027790564</v>
      </c>
      <c r="BR19" s="27">
        <f>PortfolioFrontier[[#This Row],[P17 Growth]]/PortfolioFrontier[[#This Row],[P17 HWM]]-1</f>
        <v>0</v>
      </c>
      <c r="BS19" s="28">
        <f>SUMPRODUCT(INDEX(PortfolioRef[[SPY]:[PE]],MATCH(BS$1,PortfolioRef[Reference '#]),0),AssetMonthlyReturns[[#This Row],[SPY]:[PE]])</f>
        <v>5.0921079631250253E-3</v>
      </c>
      <c r="BT19" s="27">
        <f>IF(ISNUMBER(BT18),BT18*(1+PortfolioFrontier[[#This Row],[P18 Return]]),1+PortfolioFrontier[[#This Row],[P18 Return]])</f>
        <v>1.1093453463666294</v>
      </c>
      <c r="BU19" s="27">
        <f>MAX(BU18,PortfolioFrontier[[#This Row],[P18 Growth]])</f>
        <v>1.1093453463666294</v>
      </c>
      <c r="BV19" s="27">
        <f>PortfolioFrontier[[#This Row],[P18 Growth]]/PortfolioFrontier[[#This Row],[P18 HWM]]-1</f>
        <v>0</v>
      </c>
      <c r="BW19" s="28">
        <f>SUMPRODUCT(INDEX(PortfolioRef[[SPY]:[PE]],MATCH(BW$1,PortfolioRef[Reference '#]),0),AssetMonthlyReturns[[#This Row],[SPY]:[PE]])</f>
        <v>4.1103480054594859E-3</v>
      </c>
      <c r="BX19" s="27">
        <f>IF(ISNUMBER(BX18),BX18*(1+PortfolioFrontier[[#This Row],[P19 Return]]),1+PortfolioFrontier[[#This Row],[P19 Return]])</f>
        <v>1.1035174228214999</v>
      </c>
      <c r="BY19" s="27">
        <f>MAX(BY18,PortfolioFrontier[[#This Row],[P19 Growth]])</f>
        <v>1.1035174228214999</v>
      </c>
      <c r="BZ19" s="27">
        <f>PortfolioFrontier[[#This Row],[P19 Growth]]/PortfolioFrontier[[#This Row],[P19 HWM]]-1</f>
        <v>0</v>
      </c>
      <c r="CA19" s="28">
        <f>SUMPRODUCT(INDEX(PortfolioRef[[SPY]:[PE]],MATCH(CA$1,PortfolioRef[Reference '#]),0),AssetMonthlyReturns[[#This Row],[SPY]:[PE]])</f>
        <v>8.952911802989006E-3</v>
      </c>
      <c r="CB19" s="27">
        <f>IF(ISNUMBER(CB18),CB18*(1+PortfolioFrontier[[#This Row],[P20 Return]]),1+PortfolioFrontier[[#This Row],[P20 Return]])</f>
        <v>1.1061130378398027</v>
      </c>
      <c r="CC19" s="27">
        <f>MAX(CC18,PortfolioFrontier[[#This Row],[P20 Growth]])</f>
        <v>1.1061130378398027</v>
      </c>
      <c r="CD19" s="27">
        <f>PortfolioFrontier[[#This Row],[P20 Growth]]/PortfolioFrontier[[#This Row],[P20 HWM]]-1</f>
        <v>0</v>
      </c>
      <c r="CE19" s="28">
        <f>SUMPRODUCT(INDEX(PortfolioRef[[SPY]:[PE]],MATCH(CE$1,PortfolioRef[Reference '#]),0),AssetMonthlyReturns[[#This Row],[SPY]:[PE]])</f>
        <v>6.7229893142887751E-3</v>
      </c>
      <c r="CF19" s="27">
        <f>IF(ISNUMBER(CF18),CF18*(1+PortfolioFrontier[[#This Row],[P21 Return]]),1+PortfolioFrontier[[#This Row],[P21 Return]])</f>
        <v>1.1092577731171116</v>
      </c>
      <c r="CG19" s="27">
        <f>MAX(CG18,PortfolioFrontier[[#This Row],[P21 Growth]])</f>
        <v>1.1092577731171116</v>
      </c>
      <c r="CH19" s="27">
        <f>PortfolioFrontier[[#This Row],[P21 Growth]]/PortfolioFrontier[[#This Row],[P21 HWM]]-1</f>
        <v>0</v>
      </c>
      <c r="CI19" s="28">
        <f>SUMPRODUCT(INDEX(PortfolioRef[[SPY]:[PE]],MATCH(CI$1,PortfolioRef[Reference '#]),0),AssetMonthlyReturns[[#This Row],[SPY]:[PE]])</f>
        <v>5.741229356623234E-3</v>
      </c>
      <c r="CJ19" s="27">
        <f>IF(ISNUMBER(CJ18),CJ18*(1+PortfolioFrontier[[#This Row],[P22 Return]]),1+PortfolioFrontier[[#This Row],[P22 Return]])</f>
        <v>1.1034571144349117</v>
      </c>
      <c r="CK19" s="27">
        <f>MAX(CK18,PortfolioFrontier[[#This Row],[P22 Growth]])</f>
        <v>1.1034571144349117</v>
      </c>
      <c r="CL19" s="27">
        <f>PortfolioFrontier[[#This Row],[P22 Growth]]/PortfolioFrontier[[#This Row],[P22 HWM]]-1</f>
        <v>0</v>
      </c>
      <c r="CM19" s="28">
        <f>SUMPRODUCT(INDEX(PortfolioRef[[SPY]:[PE]],MATCH(CM$1,PortfolioRef[Reference '#]),0),AssetMonthlyReturns[[#This Row],[SPY]:[PE]])</f>
        <v>4.4930668255885433E-3</v>
      </c>
      <c r="CN19" s="27">
        <f>IF(ISNUMBER(CN18),CN18*(1+PortfolioFrontier[[#This Row],[P23 Return]]),1+PortfolioFrontier[[#This Row],[P23 Return]])</f>
        <v>1.1123499382818043</v>
      </c>
      <c r="CO19" s="27">
        <f>MAX(CO18,PortfolioFrontier[[#This Row],[P23 Growth]])</f>
        <v>1.1123499382818043</v>
      </c>
      <c r="CP19" s="27">
        <f>PortfolioFrontier[[#This Row],[P23 Growth]]/PortfolioFrontier[[#This Row],[P23 HWM]]-1</f>
        <v>0</v>
      </c>
      <c r="CQ19" s="28">
        <f>SUMPRODUCT(INDEX(PortfolioRef[[SPY]:[PE]],MATCH(CQ$1,PortfolioRef[Reference '#]),0),AssetMonthlyReturns[[#This Row],[SPY]:[PE]])</f>
        <v>3.5113068679230031E-3</v>
      </c>
      <c r="CR19" s="27">
        <f>IF(ISNUMBER(CR18),CR18*(1+PortfolioFrontier[[#This Row],[P24 Return]]),1+PortfolioFrontier[[#This Row],[P24 Return]])</f>
        <v>1.1065398764658247</v>
      </c>
      <c r="CS19" s="27">
        <f>MAX(CS18,PortfolioFrontier[[#This Row],[P24 Growth]])</f>
        <v>1.1065398764658247</v>
      </c>
      <c r="CT19" s="27">
        <f>PortfolioFrontier[[#This Row],[P24 Growth]]/PortfolioFrontier[[#This Row],[P24 HWM]]-1</f>
        <v>0</v>
      </c>
      <c r="CU19" s="28">
        <f>SUMPRODUCT(INDEX(PortfolioRef[[SPY]:[PE]],MATCH(CU$1,PortfolioRef[Reference '#]),0),AssetMonthlyReturns[[#This Row],[SPY]:[PE]])</f>
        <v>2.5295469102574629E-3</v>
      </c>
      <c r="CV19" s="27">
        <f>IF(ISNUMBER(CV18),CV18*(1+PortfolioFrontier[[#This Row],[P25 Return]]),1+PortfolioFrontier[[#This Row],[P25 Return]])</f>
        <v>1.1007053458452369</v>
      </c>
      <c r="CW19" s="27">
        <f>MAX(CW18,PortfolioFrontier[[#This Row],[P25 Growth]])</f>
        <v>1.1007053458452369</v>
      </c>
      <c r="CX19" s="27">
        <f>PortfolioFrontier[[#This Row],[P25 Growth]]/PortfolioFrontier[[#This Row],[P25 HWM]]-1</f>
        <v>0</v>
      </c>
      <c r="CY19" s="28">
        <f>SUMPRODUCT(INDEX(PortfolioRef[[SPY]:[PE]],MATCH(CY$1,PortfolioRef[Reference '#]),0),AssetMonthlyReturns[[#This Row],[SPY]:[PE]])</f>
        <v>8.3538706654525223E-3</v>
      </c>
      <c r="CZ19" s="27">
        <f>IF(ISNUMBER(CZ18),CZ18*(1+PortfolioFrontier[[#This Row],[P26 Return]]),1+PortfolioFrontier[[#This Row],[P26 Return]])</f>
        <v>1.1091179329126031</v>
      </c>
      <c r="DA19" s="27">
        <f>MAX(DA18,PortfolioFrontier[[#This Row],[P26 Growth]])</f>
        <v>1.1091179329126031</v>
      </c>
      <c r="DB19" s="27">
        <f>PortfolioFrontier[[#This Row],[P26 Growth]]/PortfolioFrontier[[#This Row],[P26 HWM]]-1</f>
        <v>0</v>
      </c>
      <c r="DC19" s="28">
        <f>SUMPRODUCT(INDEX(PortfolioRef[[SPY]:[PE]],MATCH(DC$1,PortfolioRef[Reference '#]),0),AssetMonthlyReturns[[#This Row],[SPY]:[PE]])</f>
        <v>7.3721107077869821E-3</v>
      </c>
      <c r="DD19" s="27">
        <f>IF(ISNUMBER(DD18),DD18*(1+PortfolioFrontier[[#This Row],[P27 Return]]),1+PortfolioFrontier[[#This Row],[P27 Return]])</f>
        <v>1.103344716809638</v>
      </c>
      <c r="DE19" s="27">
        <f>MAX(DE18,PortfolioFrontier[[#This Row],[P27 Growth]])</f>
        <v>1.103344716809638</v>
      </c>
      <c r="DF19" s="27">
        <f>PortfolioFrontier[[#This Row],[P27 Growth]]/PortfolioFrontier[[#This Row],[P27 HWM]]-1</f>
        <v>0</v>
      </c>
      <c r="DG19" s="28">
        <f>SUMPRODUCT(INDEX(PortfolioRef[[SPY]:[PE]],MATCH(DG$1,PortfolioRef[Reference '#]),0),AssetMonthlyReturns[[#This Row],[SPY]:[PE]])</f>
        <v>6.1239481767522913E-3</v>
      </c>
      <c r="DH19" s="27">
        <f>IF(ISNUMBER(DH18),DH18*(1+PortfolioFrontier[[#This Row],[P28 Return]]),1+PortfolioFrontier[[#This Row],[P28 Return]])</f>
        <v>1.1122505952165476</v>
      </c>
      <c r="DI19" s="27">
        <f>MAX(DI18,PortfolioFrontier[[#This Row],[P28 Growth]])</f>
        <v>1.1122505952165476</v>
      </c>
      <c r="DJ19" s="27">
        <f>PortfolioFrontier[[#This Row],[P28 Growth]]/PortfolioFrontier[[#This Row],[P28 HWM]]-1</f>
        <v>0</v>
      </c>
      <c r="DK19" s="28">
        <f>SUMPRODUCT(INDEX(PortfolioRef[[SPY]:[PE]],MATCH(DK$1,PortfolioRef[Reference '#]),0),AssetMonthlyReturns[[#This Row],[SPY]:[PE]])</f>
        <v>5.142188219086752E-3</v>
      </c>
      <c r="DL19" s="27">
        <f>IF(ISNUMBER(DL18),DL18*(1+PortfolioFrontier[[#This Row],[P29 Return]]),1+PortfolioFrontier[[#This Row],[P29 Return]])</f>
        <v>1.1064679125475863</v>
      </c>
      <c r="DM19" s="27">
        <f>MAX(DM18,PortfolioFrontier[[#This Row],[P29 Growth]])</f>
        <v>1.1064679125475863</v>
      </c>
      <c r="DN19" s="27">
        <f>PortfolioFrontier[[#This Row],[P29 Growth]]/PortfolioFrontier[[#This Row],[P29 HWM]]-1</f>
        <v>0</v>
      </c>
      <c r="DO19" s="28">
        <f>SUMPRODUCT(INDEX(PortfolioRef[[SPY]:[PE]],MATCH(DO$1,PortfolioRef[Reference '#]),0),AssetMonthlyReturns[[#This Row],[SPY]:[PE]])</f>
        <v>4.1604282614212101E-3</v>
      </c>
      <c r="DP19" s="27">
        <f>IF(ISNUMBER(DP18),DP18*(1+PortfolioFrontier[[#This Row],[P30 Return]]),1+PortfolioFrontier[[#This Row],[P30 Return]])</f>
        <v>1.1006605138699226</v>
      </c>
      <c r="DQ19" s="27">
        <f>MAX(DQ18,PortfolioFrontier[[#This Row],[P30 Growth]])</f>
        <v>1.1006605138699226</v>
      </c>
      <c r="DR19" s="27">
        <f>PortfolioFrontier[[#This Row],[P30 Growth]]/PortfolioFrontier[[#This Row],[P30 HWM]]-1</f>
        <v>0</v>
      </c>
      <c r="DS19" s="28">
        <f>SUMPRODUCT(INDEX(PortfolioRef[[SPY]:[PE]],MATCH(DS$1,PortfolioRef[Reference '#]),0),AssetMonthlyReturns[[#This Row],[SPY]:[PE]])</f>
        <v>3.8940256880520604E-3</v>
      </c>
      <c r="DT19" s="27">
        <f>IF(ISNUMBER(DT18),DT18*(1+PortfolioFrontier[[#This Row],[P31 Return]]),1+PortfolioFrontier[[#This Row],[P31 Return]])</f>
        <v>1.1153305030367082</v>
      </c>
      <c r="DU19" s="27">
        <f>MAX(DU18,PortfolioFrontier[[#This Row],[P31 Growth]])</f>
        <v>1.1153305030367082</v>
      </c>
      <c r="DV19" s="27">
        <f>PortfolioFrontier[[#This Row],[P31 Growth]]/PortfolioFrontier[[#This Row],[P31 HWM]]-1</f>
        <v>0</v>
      </c>
      <c r="DW19" s="28">
        <f>SUMPRODUCT(INDEX(PortfolioRef[[SPY]:[PE]],MATCH(DW$1,PortfolioRef[Reference '#]),0),AssetMonthlyReturns[[#This Row],[SPY]:[PE]])</f>
        <v>2.912265730386521E-3</v>
      </c>
      <c r="DX19" s="27">
        <f>IF(ISNUMBER(DX18),DX18*(1+PortfolioFrontier[[#This Row],[P32 Return]]),1+PortfolioFrontier[[#This Row],[P32 Return]])</f>
        <v>1.1095386104841285</v>
      </c>
      <c r="DY19" s="27">
        <f>MAX(DY18,PortfolioFrontier[[#This Row],[P32 Growth]])</f>
        <v>1.1095386104841285</v>
      </c>
      <c r="DZ19" s="27">
        <f>PortfolioFrontier[[#This Row],[P32 Growth]]/PortfolioFrontier[[#This Row],[P32 HWM]]-1</f>
        <v>0</v>
      </c>
      <c r="EA19" s="28">
        <f>SUMPRODUCT(INDEX(PortfolioRef[[SPY]:[PE]],MATCH(EA$1,PortfolioRef[Reference '#]),0),AssetMonthlyReturns[[#This Row],[SPY]:[PE]])</f>
        <v>1.93050577272098E-3</v>
      </c>
      <c r="EB19" s="27">
        <f>IF(ISNUMBER(EB18),EB18*(1+PortfolioFrontier[[#This Row],[P33 Return]]),1+PortfolioFrontier[[#This Row],[P33 Return]])</f>
        <v>1.103721822070489</v>
      </c>
      <c r="EC19" s="27">
        <f>MAX(EC18,PortfolioFrontier[[#This Row],[P33 Growth]])</f>
        <v>1.103721822070489</v>
      </c>
      <c r="ED19" s="27">
        <f>PortfolioFrontier[[#This Row],[P33 Growth]]/PortfolioFrontier[[#This Row],[P33 HWM]]-1</f>
        <v>0</v>
      </c>
      <c r="EE19" s="28">
        <f>SUMPRODUCT(INDEX(PortfolioRef[[SPY]:[PE]],MATCH(EE$1,PortfolioRef[Reference '#]),0),AssetMonthlyReturns[[#This Row],[SPY]:[PE]])</f>
        <v>6.0137587591856832E-3</v>
      </c>
      <c r="EF19" s="27">
        <f>IF(ISNUMBER(EF18),EF18*(1+PortfolioFrontier[[#This Row],[P34 Return]]),1+PortfolioFrontier[[#This Row],[P34 Return]])</f>
        <v>1.0963880101716772</v>
      </c>
      <c r="EG19" s="27">
        <f>MAX(EG18,PortfolioFrontier[[#This Row],[P34 Growth]])</f>
        <v>1.0963880101716772</v>
      </c>
      <c r="EH19" s="27">
        <f>PortfolioFrontier[[#This Row],[P34 Growth]]/PortfolioFrontier[[#This Row],[P34 HWM]]-1</f>
        <v>0</v>
      </c>
      <c r="EI19" s="28">
        <f>SUMPRODUCT(INDEX(PortfolioRef[[SPY]:[PE]],MATCH(EI$1,PortfolioRef[Reference '#]),0),AssetMonthlyReturns[[#This Row],[SPY]:[PE]])</f>
        <v>7.6446401103494313E-3</v>
      </c>
      <c r="EJ19" s="27">
        <f>IF(ISNUMBER(EJ18),EJ18*(1+PortfolioFrontier[[#This Row],[P35 Return]]),1+PortfolioFrontier[[#This Row],[P35 Return]])</f>
        <v>1.0963018051557789</v>
      </c>
      <c r="EK19" s="27">
        <f>MAX(EK18,PortfolioFrontier[[#This Row],[P35 Growth]])</f>
        <v>1.0963018051557789</v>
      </c>
      <c r="EL19" s="27">
        <f>PortfolioFrontier[[#This Row],[P35 Growth]]/PortfolioFrontier[[#This Row],[P35 HWM]]-1</f>
        <v>0</v>
      </c>
      <c r="EM19" s="28">
        <f>SUMPRODUCT(INDEX(PortfolioRef[[SPY]:[PE]],MATCH(EM$1,PortfolioRef[Reference '#]),0),AssetMonthlyReturns[[#This Row],[SPY]:[PE]])</f>
        <v>5.4147176216492003E-3</v>
      </c>
      <c r="EN19" s="27">
        <f>IF(ISNUMBER(EN18),EN18*(1+PortfolioFrontier[[#This Row],[P36 Return]]),1+PortfolioFrontier[[#This Row],[P36 Return]])</f>
        <v>1.0994002402319984</v>
      </c>
      <c r="EO19" s="27">
        <f>MAX(EO18,PortfolioFrontier[[#This Row],[P36 Growth]])</f>
        <v>1.0994002402319984</v>
      </c>
      <c r="EP19" s="27">
        <f>PortfolioFrontier[[#This Row],[P36 Growth]]/PortfolioFrontier[[#This Row],[P36 HWM]]-1</f>
        <v>0</v>
      </c>
      <c r="EQ19" s="28">
        <f>SUMPRODUCT(INDEX(PortfolioRef[[SPY]:[PE]],MATCH(EQ$1,PortfolioRef[Reference '#]),0),AssetMonthlyReturns[[#This Row],[SPY]:[PE]])</f>
        <v>4.432957663983661E-3</v>
      </c>
      <c r="ER19" s="27">
        <f>IF(ISNUMBER(ER18),ER18*(1+PortfolioFrontier[[#This Row],[P37 Return]]),1+PortfolioFrontier[[#This Row],[P37 Return]])</f>
        <v>1.0936174597201864</v>
      </c>
      <c r="ES19" s="27">
        <f>MAX(ES18,PortfolioFrontier[[#This Row],[P37 Growth]])</f>
        <v>1.0936174597201864</v>
      </c>
      <c r="ET19" s="27">
        <f>PortfolioFrontier[[#This Row],[P37 Growth]]/PortfolioFrontier[[#This Row],[P37 HWM]]-1</f>
        <v>0</v>
      </c>
      <c r="EU19" s="28">
        <f>SUMPRODUCT(INDEX(PortfolioRef[[SPY]:[PE]],MATCH(EU$1,PortfolioRef[Reference '#]),0),AssetMonthlyReturns[[#This Row],[SPY]:[PE]])</f>
        <v>9.2755214615131802E-3</v>
      </c>
      <c r="EV19" s="27">
        <f>IF(ISNUMBER(EV18),EV18*(1+PortfolioFrontier[[#This Row],[P38 Return]]),1+PortfolioFrontier[[#This Row],[P38 Return]])</f>
        <v>1.0961637867899807</v>
      </c>
      <c r="EW19" s="27">
        <f>MAX(EW18,PortfolioFrontier[[#This Row],[P38 Growth]])</f>
        <v>1.0961637867899807</v>
      </c>
      <c r="EX19" s="27">
        <f>PortfolioFrontier[[#This Row],[P38 Growth]]/PortfolioFrontier[[#This Row],[P38 HWM]]-1</f>
        <v>0</v>
      </c>
      <c r="EY19" s="28">
        <f>SUMPRODUCT(INDEX(PortfolioRef[[SPY]:[PE]],MATCH(EY$1,PortfolioRef[Reference '#]),0),AssetMonthlyReturns[[#This Row],[SPY]:[PE]])</f>
        <v>7.045598972812951E-3</v>
      </c>
      <c r="EZ19" s="27">
        <f>IF(ISNUMBER(EZ18),EZ18*(1+PortfolioFrontier[[#This Row],[P39 Return]]),1+PortfolioFrontier[[#This Row],[P39 Return]])</f>
        <v>1.0993024007128673</v>
      </c>
      <c r="FA19" s="27">
        <f>MAX(FA18,PortfolioFrontier[[#This Row],[P39 Growth]])</f>
        <v>1.0993024007128673</v>
      </c>
      <c r="FB19" s="27">
        <f>PortfolioFrontier[[#This Row],[P39 Growth]]/PortfolioFrontier[[#This Row],[P39 HWM]]-1</f>
        <v>0</v>
      </c>
      <c r="FC19" s="28">
        <f>SUMPRODUCT(INDEX(PortfolioRef[[SPY]:[PE]],MATCH(FC$1,PortfolioRef[Reference '#]),0),AssetMonthlyReturns[[#This Row],[SPY]:[PE]])</f>
        <v>6.0638390151474099E-3</v>
      </c>
      <c r="FD19" s="27">
        <f>IF(ISNUMBER(FD18),FD18*(1+PortfolioFrontier[[#This Row],[P40 Return]]),1+PortfolioFrontier[[#This Row],[P40 Return]])</f>
        <v>1.0935467054845611</v>
      </c>
      <c r="FE19" s="27">
        <f>MAX(FE18,PortfolioFrontier[[#This Row],[P40 Growth]])</f>
        <v>1.0935467054845611</v>
      </c>
      <c r="FF19" s="27">
        <f>PortfolioFrontier[[#This Row],[P40 Growth]]/PortfolioFrontier[[#This Row],[P40 HWM]]-1</f>
        <v>0</v>
      </c>
      <c r="FG19" s="28">
        <f>SUMPRODUCT(INDEX(PortfolioRef[[SPY]:[PE]],MATCH(FG$1,PortfolioRef[Reference '#]),0),AssetMonthlyReturns[[#This Row],[SPY]:[PE]])</f>
        <v>4.8156764841127183E-3</v>
      </c>
      <c r="FH19" s="27">
        <f>IF(ISNUMBER(FH18),FH18*(1+PortfolioFrontier[[#This Row],[P41 Return]]),1+PortfolioFrontier[[#This Row],[P41 Return]])</f>
        <v>1.1023889174959058</v>
      </c>
      <c r="FI19" s="27">
        <f>MAX(FI18,PortfolioFrontier[[#This Row],[P41 Growth]])</f>
        <v>1.1023889174959058</v>
      </c>
      <c r="FJ19" s="27">
        <f>PortfolioFrontier[[#This Row],[P41 Growth]]/PortfolioFrontier[[#This Row],[P41 HWM]]-1</f>
        <v>0</v>
      </c>
      <c r="FK19" s="28">
        <f>SUMPRODUCT(INDEX(PortfolioRef[[SPY]:[PE]],MATCH(FK$1,PortfolioRef[Reference '#]),0),AssetMonthlyReturns[[#This Row],[SPY]:[PE]])</f>
        <v>3.8339165264471781E-3</v>
      </c>
      <c r="FL19" s="27">
        <f>IF(ISNUMBER(FL18),FL18*(1+PortfolioFrontier[[#This Row],[P42 Return]]),1+PortfolioFrontier[[#This Row],[P42 Return]])</f>
        <v>1.0966237783592505</v>
      </c>
      <c r="FM19" s="27">
        <f>MAX(FM18,PortfolioFrontier[[#This Row],[P42 Growth]])</f>
        <v>1.0966237783592505</v>
      </c>
      <c r="FN19" s="27">
        <f>PortfolioFrontier[[#This Row],[P42 Growth]]/PortfolioFrontier[[#This Row],[P42 HWM]]-1</f>
        <v>0</v>
      </c>
      <c r="FO19" s="28">
        <f>SUMPRODUCT(INDEX(PortfolioRef[[SPY]:[PE]],MATCH(FO$1,PortfolioRef[Reference '#]),0),AssetMonthlyReturns[[#This Row],[SPY]:[PE]])</f>
        <v>2.8521565687816379E-3</v>
      </c>
      <c r="FP19" s="27">
        <f>IF(ISNUMBER(FP18),FP18*(1+PortfolioFrontier[[#This Row],[P43 Return]]),1+PortfolioFrontier[[#This Row],[P43 Return]])</f>
        <v>1.0908344279308295</v>
      </c>
      <c r="FQ19" s="27">
        <f>MAX(FQ18,PortfolioFrontier[[#This Row],[P43 Growth]])</f>
        <v>1.0908344279308295</v>
      </c>
      <c r="FR19" s="27">
        <f>PortfolioFrontier[[#This Row],[P43 Growth]]/PortfolioFrontier[[#This Row],[P43 HWM]]-1</f>
        <v>0</v>
      </c>
      <c r="FS19" s="28">
        <f>SUMPRODUCT(INDEX(PortfolioRef[[SPY]:[PE]],MATCH(FS$1,PortfolioRef[Reference '#]),0),AssetMonthlyReturns[[#This Row],[SPY]:[PE]])</f>
        <v>8.6764803239766999E-3</v>
      </c>
      <c r="FT19" s="27">
        <f>IF(ISNUMBER(FT18),FT18*(1+PortfolioFrontier[[#This Row],[P44 Return]]),1+PortfolioFrontier[[#This Row],[P44 Return]])</f>
        <v>1.0991526945065317</v>
      </c>
      <c r="FU19" s="27">
        <f>MAX(FU18,PortfolioFrontier[[#This Row],[P44 Growth]])</f>
        <v>1.0991526945065317</v>
      </c>
      <c r="FV19" s="27">
        <f>PortfolioFrontier[[#This Row],[P44 Growth]]/PortfolioFrontier[[#This Row],[P44 HWM]]-1</f>
        <v>0</v>
      </c>
      <c r="FW19" s="28">
        <f>SUMPRODUCT(INDEX(PortfolioRef[[SPY]:[PE]],MATCH(FW$1,PortfolioRef[Reference '#]),0),AssetMonthlyReturns[[#This Row],[SPY]:[PE]])</f>
        <v>7.694720366311158E-3</v>
      </c>
      <c r="FX19" s="27">
        <f>IF(ISNUMBER(FX18),FX18*(1+PortfolioFrontier[[#This Row],[P45 Return]]),1+PortfolioFrontier[[#This Row],[P45 Return]])</f>
        <v>1.0934242610383254</v>
      </c>
      <c r="FY19" s="27">
        <f>MAX(FY18,PortfolioFrontier[[#This Row],[P45 Growth]])</f>
        <v>1.0934242610383254</v>
      </c>
      <c r="FZ19" s="27">
        <f>PortfolioFrontier[[#This Row],[P45 Growth]]/PortfolioFrontier[[#This Row],[P45 HWM]]-1</f>
        <v>0</v>
      </c>
      <c r="GA19" s="28">
        <f>SUMPRODUCT(INDEX(PortfolioRef[[SPY]:[PE]],MATCH(GA$1,PortfolioRef[Reference '#]),0),AssetMonthlyReturns[[#This Row],[SPY]:[PE]])</f>
        <v>6.4465578352764672E-3</v>
      </c>
      <c r="GB19" s="27">
        <f>IF(ISNUMBER(GB18),GB18*(1+PortfolioFrontier[[#This Row],[P46 Return]]),1+PortfolioFrontier[[#This Row],[P46 Return]])</f>
        <v>1.1022793959920696</v>
      </c>
      <c r="GC19" s="27">
        <f>MAX(GC18,PortfolioFrontier[[#This Row],[P46 Growth]])</f>
        <v>1.1022793959920696</v>
      </c>
      <c r="GD19" s="27">
        <f>PortfolioFrontier[[#This Row],[P46 Growth]]/PortfolioFrontier[[#This Row],[P46 HWM]]-1</f>
        <v>0</v>
      </c>
      <c r="GE19" s="28">
        <f>SUMPRODUCT(INDEX(PortfolioRef[[SPY]:[PE]],MATCH(GE$1,PortfolioRef[Reference '#]),0),AssetMonthlyReturns[[#This Row],[SPY]:[PE]])</f>
        <v>5.4647978776109279E-3</v>
      </c>
      <c r="GF19" s="27">
        <f>IF(ISNUMBER(GF18),GF18*(1+PortfolioFrontier[[#This Row],[P47 Return]]),1+PortfolioFrontier[[#This Row],[P47 Return]])</f>
        <v>1.0965414555496986</v>
      </c>
      <c r="GG19" s="27">
        <f>MAX(GG18,PortfolioFrontier[[#This Row],[P47 Growth]])</f>
        <v>1.0965414555496986</v>
      </c>
      <c r="GH19" s="27">
        <f>PortfolioFrontier[[#This Row],[P47 Growth]]/PortfolioFrontier[[#This Row],[P47 HWM]]-1</f>
        <v>0</v>
      </c>
      <c r="GI19" s="28">
        <f>SUMPRODUCT(INDEX(PortfolioRef[[SPY]:[PE]],MATCH(GI$1,PortfolioRef[Reference '#]),0),AssetMonthlyReturns[[#This Row],[SPY]:[PE]])</f>
        <v>4.483037919945386E-3</v>
      </c>
      <c r="GJ19" s="27">
        <f>IF(ISNUMBER(GJ18),GJ18*(1+PortfolioFrontier[[#This Row],[P48 Return]]),1+PortfolioFrontier[[#This Row],[P48 Return]])</f>
        <v>1.090779058599268</v>
      </c>
      <c r="GK19" s="27">
        <f>MAX(GK18,PortfolioFrontier[[#This Row],[P48 Growth]])</f>
        <v>1.090779058599268</v>
      </c>
      <c r="GL19" s="27">
        <f>PortfolioFrontier[[#This Row],[P48 Growth]]/PortfolioFrontier[[#This Row],[P48 HWM]]-1</f>
        <v>0</v>
      </c>
      <c r="GM19" s="28">
        <f>SUMPRODUCT(INDEX(PortfolioRef[[SPY]:[PE]],MATCH(GM$1,PortfolioRef[Reference '#]),0),AssetMonthlyReturns[[#This Row],[SPY]:[PE]])</f>
        <v>4.2166353465762354E-3</v>
      </c>
      <c r="GN19" s="27">
        <f>IF(ISNUMBER(GN18),GN18*(1+PortfolioFrontier[[#This Row],[P49 Return]]),1+PortfolioFrontier[[#This Row],[P49 Return]])</f>
        <v>1.1053538163713315</v>
      </c>
      <c r="GO19" s="27">
        <f>MAX(GO18,PortfolioFrontier[[#This Row],[P49 Growth]])</f>
        <v>1.1053538163713315</v>
      </c>
      <c r="GP19" s="27">
        <f>PortfolioFrontier[[#This Row],[P49 Growth]]/PortfolioFrontier[[#This Row],[P49 HWM]]-1</f>
        <v>0</v>
      </c>
      <c r="GQ19" s="28">
        <f>SUMPRODUCT(INDEX(PortfolioRef[[SPY]:[PE]],MATCH(GQ$1,PortfolioRef[Reference '#]),0),AssetMonthlyReturns[[#This Row],[SPY]:[PE]])</f>
        <v>3.2348753889106961E-3</v>
      </c>
      <c r="GR19" s="27">
        <f>IF(ISNUMBER(GR18),GR18*(1+PortfolioFrontier[[#This Row],[P50 Return]]),1+PortfolioFrontier[[#This Row],[P50 Return]])</f>
        <v>1.0996066240327553</v>
      </c>
      <c r="GS19" s="27">
        <f>MAX(GS18,PortfolioFrontier[[#This Row],[P50 Growth]])</f>
        <v>1.0996066240327553</v>
      </c>
      <c r="GT19" s="27">
        <f>PortfolioFrontier[[#This Row],[P50 Growth]]/PortfolioFrontier[[#This Row],[P50 HWM]]-1</f>
        <v>0</v>
      </c>
      <c r="GU19" s="28">
        <f>SUMPRODUCT(INDEX(PortfolioRef[[SPY]:[PE]],MATCH(GU$1,PortfolioRef[Reference '#]),0),AssetMonthlyReturns[[#This Row],[SPY]:[PE]])</f>
        <v>2.253115431245155E-3</v>
      </c>
      <c r="GV19" s="27">
        <f>IF(ISNUMBER(GV18),GV18*(1+PortfolioFrontier[[#This Row],[P51 Return]]),1+PortfolioFrontier[[#This Row],[P51 Return]])</f>
        <v>1.0938347965737751</v>
      </c>
      <c r="GW19" s="27">
        <f>MAX(GW18,PortfolioFrontier[[#This Row],[P51 Growth]])</f>
        <v>1.0938347965737751</v>
      </c>
      <c r="GX19" s="27">
        <f>PortfolioFrontier[[#This Row],[P51 Growth]]/PortfolioFrontier[[#This Row],[P51 HWM]]-1</f>
        <v>0</v>
      </c>
      <c r="GY19" s="28">
        <f>SUMPRODUCT(INDEX(PortfolioRef[[SPY]:[PE]],MATCH(GY$1,PortfolioRef[Reference '#]),0),AssetMonthlyReturns[[#This Row],[SPY]:[PE]])</f>
        <v>8.0774391864402162E-3</v>
      </c>
      <c r="GZ19" s="27">
        <f>IF(ISNUMBER(GZ18),GZ18*(1+PortfolioFrontier[[#This Row],[P52 Return]]),1+PortfolioFrontier[[#This Row],[P52 Return]])</f>
        <v>1.1021179557271812</v>
      </c>
      <c r="HA19" s="27">
        <f>MAX(HA18,PortfolioFrontier[[#This Row],[P52 Growth]])</f>
        <v>1.1021179557271812</v>
      </c>
      <c r="HB19" s="27">
        <f>PortfolioFrontier[[#This Row],[P52 Growth]]/PortfolioFrontier[[#This Row],[P52 HWM]]-1</f>
        <v>0</v>
      </c>
      <c r="HC19" s="28">
        <f>SUMPRODUCT(INDEX(PortfolioRef[[SPY]:[PE]],MATCH(HC$1,PortfolioRef[Reference '#]),0),AssetMonthlyReturns[[#This Row],[SPY]:[PE]])</f>
        <v>7.095679228774676E-3</v>
      </c>
      <c r="HD19" s="27">
        <f>IF(ISNUMBER(HD18),HD18*(1+PortfolioFrontier[[#This Row],[P53 Return]]),1+PortfolioFrontier[[#This Row],[P53 Return]])</f>
        <v>1.0964073890695241</v>
      </c>
      <c r="HE19" s="27">
        <f>MAX(HE18,PortfolioFrontier[[#This Row],[P53 Growth]])</f>
        <v>1.0964073890695241</v>
      </c>
      <c r="HF19" s="27">
        <f>PortfolioFrontier[[#This Row],[P53 Growth]]/PortfolioFrontier[[#This Row],[P53 HWM]]-1</f>
        <v>0</v>
      </c>
      <c r="HG19" s="28">
        <f>SUMPRODUCT(INDEX(PortfolioRef[[SPY]:[PE]],MATCH(HG$1,PortfolioRef[Reference '#]),0),AssetMonthlyReturns[[#This Row],[SPY]:[PE]])</f>
        <v>6.1139192711091341E-3</v>
      </c>
      <c r="HH19" s="27">
        <f>IF(ISNUMBER(HH18),HH18*(1+PortfolioFrontier[[#This Row],[P54 Return]]),1+PortfolioFrontier[[#This Row],[P54 Return]])</f>
        <v>1.0906721229831875</v>
      </c>
      <c r="HI19" s="27">
        <f>MAX(HI18,PortfolioFrontier[[#This Row],[P54 Growth]])</f>
        <v>1.0906721229831875</v>
      </c>
      <c r="HJ19" s="27">
        <f>PortfolioFrontier[[#This Row],[P54 Growth]]/PortfolioFrontier[[#This Row],[P54 HWM]]-1</f>
        <v>0</v>
      </c>
      <c r="HK19" s="28">
        <f>SUMPRODUCT(INDEX(PortfolioRef[[SPY]:[PE]],MATCH(HK$1,PortfolioRef[Reference '#]),0),AssetMonthlyReturns[[#This Row],[SPY]:[PE]])</f>
        <v>5.8475166977399852E-3</v>
      </c>
      <c r="HL19" s="27">
        <f>IF(ISNUMBER(HL18),HL18*(1+PortfolioFrontier[[#This Row],[P55 Return]]),1+PortfolioFrontier[[#This Row],[P55 Return]])</f>
        <v>1.1052325659074607</v>
      </c>
      <c r="HM19" s="27">
        <f>MAX(HM18,PortfolioFrontier[[#This Row],[P55 Growth]])</f>
        <v>1.1052325659074607</v>
      </c>
      <c r="HN19" s="27">
        <f>PortfolioFrontier[[#This Row],[P55 Growth]]/PortfolioFrontier[[#This Row],[P55 HWM]]-1</f>
        <v>0</v>
      </c>
      <c r="HO19" s="28">
        <f>SUMPRODUCT(INDEX(PortfolioRef[[SPY]:[PE]],MATCH(HO$1,PortfolioRef[Reference '#]),0),AssetMonthlyReturns[[#This Row],[SPY]:[PE]])</f>
        <v>4.8657567400744459E-3</v>
      </c>
      <c r="HP19" s="27">
        <f>IF(ISNUMBER(HP18),HP18*(1+PortfolioFrontier[[#This Row],[P56 Return]]),1+PortfolioFrontier[[#This Row],[P56 Return]])</f>
        <v>1.0995126850636385</v>
      </c>
      <c r="HQ19" s="27">
        <f>MAX(HQ18,PortfolioFrontier[[#This Row],[P56 Growth]])</f>
        <v>1.0995126850636385</v>
      </c>
      <c r="HR19" s="27">
        <f>PortfolioFrontier[[#This Row],[P56 Growth]]/PortfolioFrontier[[#This Row],[P56 HWM]]-1</f>
        <v>0</v>
      </c>
      <c r="HS19" s="28">
        <f>SUMPRODUCT(INDEX(PortfolioRef[[SPY]:[PE]],MATCH(HS$1,PortfolioRef[Reference '#]),0),AssetMonthlyReturns[[#This Row],[SPY]:[PE]])</f>
        <v>3.8839967824089057E-3</v>
      </c>
      <c r="HT19" s="27">
        <f>IF(ISNUMBER(HT18),HT18*(1+PortfolioFrontier[[#This Row],[P57 Return]]),1+PortfolioFrontier[[#This Row],[P57 Return]])</f>
        <v>1.0937679244873404</v>
      </c>
      <c r="HU19" s="27">
        <f>MAX(HU18,PortfolioFrontier[[#This Row],[P57 Growth]])</f>
        <v>1.0937679244873404</v>
      </c>
      <c r="HV19" s="27">
        <f>PortfolioFrontier[[#This Row],[P57 Growth]]/PortfolioFrontier[[#This Row],[P57 HWM]]-1</f>
        <v>0</v>
      </c>
      <c r="HW19" s="28">
        <f>SUMPRODUCT(INDEX(PortfolioRef[[SPY]:[PE]],MATCH(HW$1,PortfolioRef[Reference '#]),0),AssetMonthlyReturns[[#This Row],[SPY]:[PE]])</f>
        <v>3.6175942090397534E-3</v>
      </c>
      <c r="HX19" s="27">
        <f>IF(ISNUMBER(HX18),HX18*(1+PortfolioFrontier[[#This Row],[P58 Return]]),1+PortfolioFrontier[[#This Row],[P58 Return]])</f>
        <v>1.108294712188864</v>
      </c>
      <c r="HY19" s="27">
        <f>MAX(HY18,PortfolioFrontier[[#This Row],[P58 Growth]])</f>
        <v>1.108294712188864</v>
      </c>
      <c r="HZ19" s="27">
        <f>PortfolioFrontier[[#This Row],[P58 Growth]]/PortfolioFrontier[[#This Row],[P58 HWM]]-1</f>
        <v>0</v>
      </c>
      <c r="IA19" s="28">
        <f>SUMPRODUCT(INDEX(PortfolioRef[[SPY]:[PE]],MATCH(IA$1,PortfolioRef[Reference '#]),0),AssetMonthlyReturns[[#This Row],[SPY]:[PE]])</f>
        <v>2.6358342513742141E-3</v>
      </c>
      <c r="IB19" s="27">
        <f>IF(ISNUMBER(IB18),IB18*(1+PortfolioFrontier[[#This Row],[P59 Return]]),1+PortfolioFrontier[[#This Row],[P59 Return]])</f>
        <v>1.1025657717583059</v>
      </c>
      <c r="IC19" s="27">
        <f>MAX(IC18,PortfolioFrontier[[#This Row],[P59 Growth]])</f>
        <v>1.1025657717583059</v>
      </c>
      <c r="ID19" s="27">
        <f>PortfolioFrontier[[#This Row],[P59 Growth]]/PortfolioFrontier[[#This Row],[P59 HWM]]-1</f>
        <v>0</v>
      </c>
      <c r="IE19" s="28">
        <f>SUMPRODUCT(INDEX(PortfolioRef[[SPY]:[PE]],MATCH(IE$1,PortfolioRef[Reference '#]),0),AssetMonthlyReturns[[#This Row],[SPY]:[PE]])</f>
        <v>1.6540742937086739E-3</v>
      </c>
      <c r="IF19" s="27">
        <f>IF(ISNUMBER(IF18),IF18*(1+PortfolioFrontier[[#This Row],[P60 Return]]),1+PortfolioFrontier[[#This Row],[P60 Return]])</f>
        <v>1.0968117720001573</v>
      </c>
      <c r="IG19" s="27">
        <f>MAX(IG18,PortfolioFrontier[[#This Row],[P60 Growth]])</f>
        <v>1.0968117720001573</v>
      </c>
      <c r="IH19" s="27">
        <f>PortfolioFrontier[[#This Row],[P60 Growth]]/PortfolioFrontier[[#This Row],[P60 HWM]]-1</f>
        <v>0</v>
      </c>
      <c r="II19" s="28">
        <f>SUMPRODUCT(INDEX(PortfolioRef[[SPY]:[PE]],MATCH(II$1,PortfolioRef[Reference '#]),0),AssetMonthlyReturns[[#This Row],[SPY]:[PE]])</f>
        <v>6.3363684177098574E-3</v>
      </c>
      <c r="IJ19" s="27">
        <f>IF(ISNUMBER(IJ18),IJ18*(1+PortfolioFrontier[[#This Row],[P61 Return]]),1+PortfolioFrontier[[#This Row],[P61 Return]])</f>
        <v>1.0865257813844642</v>
      </c>
      <c r="IK19" s="27">
        <f>MAX(IK18,PortfolioFrontier[[#This Row],[P61 Growth]])</f>
        <v>1.0865257813844642</v>
      </c>
      <c r="IL19" s="27">
        <f>PortfolioFrontier[[#This Row],[P61 Growth]]/PortfolioFrontier[[#This Row],[P61 HWM]]-1</f>
        <v>0</v>
      </c>
      <c r="IM19" s="28">
        <f>SUMPRODUCT(INDEX(PortfolioRef[[SPY]:[PE]],MATCH(IM$1,PortfolioRef[Reference '#]),0),AssetMonthlyReturns[[#This Row],[SPY]:[PE]])</f>
        <v>7.9672497688736063E-3</v>
      </c>
      <c r="IN19" s="27">
        <f>IF(ISNUMBER(IN18),IN18*(1+PortfolioFrontier[[#This Row],[P62 Return]]),1+PortfolioFrontier[[#This Row],[P62 Return]])</f>
        <v>1.0864293756753083</v>
      </c>
      <c r="IO19" s="27">
        <f>MAX(IO18,PortfolioFrontier[[#This Row],[P62 Growth]])</f>
        <v>1.0864293756753083</v>
      </c>
      <c r="IP19" s="27">
        <f>PortfolioFrontier[[#This Row],[P62 Growth]]/PortfolioFrontier[[#This Row],[P62 HWM]]-1</f>
        <v>0</v>
      </c>
      <c r="IQ19" s="28">
        <f>SUMPRODUCT(INDEX(PortfolioRef[[SPY]:[PE]],MATCH(IQ$1,PortfolioRef[Reference '#]),0),AssetMonthlyReturns[[#This Row],[SPY]:[PE]])</f>
        <v>5.7373272801733771E-3</v>
      </c>
      <c r="IR19" s="27">
        <f>IF(ISNUMBER(IR18),IR18*(1+PortfolioFrontier[[#This Row],[P63 Return]]),1+PortfolioFrontier[[#This Row],[P63 Return]])</f>
        <v>1.0895218785849967</v>
      </c>
      <c r="IS19" s="27">
        <f>MAX(IS18,PortfolioFrontier[[#This Row],[P63 Growth]])</f>
        <v>1.0895218785849967</v>
      </c>
      <c r="IT19" s="27">
        <f>PortfolioFrontier[[#This Row],[P63 Growth]]/PortfolioFrontier[[#This Row],[P63 HWM]]-1</f>
        <v>0</v>
      </c>
      <c r="IU19" s="28">
        <f>SUMPRODUCT(INDEX(PortfolioRef[[SPY]:[PE]],MATCH(IU$1,PortfolioRef[Reference '#]),0),AssetMonthlyReturns[[#This Row],[SPY]:[PE]])</f>
        <v>4.755567322507836E-3</v>
      </c>
      <c r="IV19" s="27">
        <f>IF(ISNUMBER(IV18),IV18*(1+PortfolioFrontier[[#This Row],[P64 Return]]),1+PortfolioFrontier[[#This Row],[P64 Return]])</f>
        <v>1.0837839925855011</v>
      </c>
      <c r="IW19" s="27">
        <f>MAX(IW18,PortfolioFrontier[[#This Row],[P64 Growth]])</f>
        <v>1.0837839925855011</v>
      </c>
      <c r="IX19" s="27">
        <f>PortfolioFrontier[[#This Row],[P64 Growth]]/PortfolioFrontier[[#This Row],[P64 HWM]]-1</f>
        <v>0</v>
      </c>
      <c r="IY19" s="28">
        <f>SUMPRODUCT(INDEX(PortfolioRef[[SPY]:[PE]],MATCH(IY$1,PortfolioRef[Reference '#]),0),AssetMonthlyReturns[[#This Row],[SPY]:[PE]])</f>
        <v>9.5981311200373544E-3</v>
      </c>
      <c r="IZ19" s="27">
        <f>IF(ISNUMBER(IZ18),IZ18*(1+PortfolioFrontier[[#This Row],[P65 Return]]),1+PortfolioFrontier[[#This Row],[P65 Return]])</f>
        <v>1.0862815543831601</v>
      </c>
      <c r="JA19" s="27">
        <f>MAX(JA18,PortfolioFrontier[[#This Row],[P65 Growth]])</f>
        <v>1.0862815543831601</v>
      </c>
      <c r="JB19" s="27">
        <f>PortfolioFrontier[[#This Row],[P65 Growth]]/PortfolioFrontier[[#This Row],[P65 HWM]]-1</f>
        <v>0</v>
      </c>
      <c r="JC19" s="28">
        <f>SUMPRODUCT(INDEX(PortfolioRef[[SPY]:[PE]],MATCH(JC$1,PortfolioRef[Reference '#]),0),AssetMonthlyReturns[[#This Row],[SPY]:[PE]])</f>
        <v>7.3682086313371252E-3</v>
      </c>
      <c r="JD19" s="27">
        <f>IF(ISNUMBER(JD18),JD18*(1+PortfolioFrontier[[#This Row],[P66 Return]]),1+PortfolioFrontier[[#This Row],[P66 Return]])</f>
        <v>1.0894139249924963</v>
      </c>
      <c r="JE19" s="27">
        <f>MAX(JE18,PortfolioFrontier[[#This Row],[P66 Growth]])</f>
        <v>1.0894139249924963</v>
      </c>
      <c r="JF19" s="27">
        <f>PortfolioFrontier[[#This Row],[P66 Growth]]/PortfolioFrontier[[#This Row],[P66 HWM]]-1</f>
        <v>0</v>
      </c>
      <c r="JG19" s="28">
        <f>SUMPRODUCT(INDEX(PortfolioRef[[SPY]:[PE]],MATCH(JG$1,PortfolioRef[Reference '#]),0),AssetMonthlyReturns[[#This Row],[SPY]:[PE]])</f>
        <v>6.3864486736715841E-3</v>
      </c>
      <c r="JH19" s="27">
        <f>IF(ISNUMBER(JH18),JH18*(1+PortfolioFrontier[[#This Row],[P67 Return]]),1+PortfolioFrontier[[#This Row],[P67 Return]])</f>
        <v>1.0837029458206402</v>
      </c>
      <c r="JI19" s="27">
        <f>MAX(JI18,PortfolioFrontier[[#This Row],[P67 Growth]])</f>
        <v>1.0837029458206402</v>
      </c>
      <c r="JJ19" s="27">
        <f>PortfolioFrontier[[#This Row],[P67 Growth]]/PortfolioFrontier[[#This Row],[P67 HWM]]-1</f>
        <v>0</v>
      </c>
      <c r="JK19" s="28">
        <f>SUMPRODUCT(INDEX(PortfolioRef[[SPY]:[PE]],MATCH(JK$1,PortfolioRef[Reference '#]),0),AssetMonthlyReturns[[#This Row],[SPY]:[PE]])</f>
        <v>5.1382861426368933E-3</v>
      </c>
      <c r="JL19" s="27">
        <f>IF(ISNUMBER(JL18),JL18*(1+PortfolioFrontier[[#This Row],[P68 Return]]),1+PortfolioFrontier[[#This Row],[P68 Return]])</f>
        <v>1.0924946686957662</v>
      </c>
      <c r="JM19" s="27">
        <f>MAX(JM18,PortfolioFrontier[[#This Row],[P68 Growth]])</f>
        <v>1.0924946686957662</v>
      </c>
      <c r="JN19" s="27">
        <f>PortfolioFrontier[[#This Row],[P68 Growth]]/PortfolioFrontier[[#This Row],[P68 HWM]]-1</f>
        <v>0</v>
      </c>
      <c r="JO19" s="28">
        <f>SUMPRODUCT(INDEX(PortfolioRef[[SPY]:[PE]],MATCH(JO$1,PortfolioRef[Reference '#]),0),AssetMonthlyReturns[[#This Row],[SPY]:[PE]])</f>
        <v>4.1565261849713531E-3</v>
      </c>
      <c r="JP19" s="27">
        <f>IF(ISNUMBER(JP18),JP18*(1+PortfolioFrontier[[#This Row],[P69 Return]]),1+PortfolioFrontier[[#This Row],[P69 Return]])</f>
        <v>1.0867742056021132</v>
      </c>
      <c r="JQ19" s="27">
        <f>MAX(JQ18,PortfolioFrontier[[#This Row],[P69 Growth]])</f>
        <v>1.0867742056021132</v>
      </c>
      <c r="JR19" s="27">
        <f>PortfolioFrontier[[#This Row],[P69 Growth]]/PortfolioFrontier[[#This Row],[P69 HWM]]-1</f>
        <v>0</v>
      </c>
      <c r="JS19" s="28">
        <f>SUMPRODUCT(INDEX(PortfolioRef[[SPY]:[PE]],MATCH(JS$1,PortfolioRef[Reference '#]),0),AssetMonthlyReturns[[#This Row],[SPY]:[PE]])</f>
        <v>3.1747662273058129E-3</v>
      </c>
      <c r="JT19" s="27">
        <f>IF(ISNUMBER(JT18),JT18*(1+PortfolioFrontier[[#This Row],[P70 Return]]),1+PortfolioFrontier[[#This Row],[P70 Return]])</f>
        <v>1.0810297865879956</v>
      </c>
      <c r="JU19" s="27">
        <f>MAX(JU18,PortfolioFrontier[[#This Row],[P70 Growth]])</f>
        <v>1.0810297865879956</v>
      </c>
      <c r="JV19" s="27">
        <f>PortfolioFrontier[[#This Row],[P70 Growth]]/PortfolioFrontier[[#This Row],[P70 HWM]]-1</f>
        <v>0</v>
      </c>
      <c r="JW19" s="28">
        <f>SUMPRODUCT(INDEX(PortfolioRef[[SPY]:[PE]],MATCH(JW$1,PortfolioRef[Reference '#]),0),AssetMonthlyReturns[[#This Row],[SPY]:[PE]])</f>
        <v>8.9990899825008741E-3</v>
      </c>
      <c r="JX19" s="27">
        <f>IF(ISNUMBER(JX18),JX18*(1+PortfolioFrontier[[#This Row],[P71 Return]]),1+PortfolioFrontier[[#This Row],[P71 Return]])</f>
        <v>1.0892545025372038</v>
      </c>
      <c r="JY19" s="27">
        <f>MAX(JY18,PortfolioFrontier[[#This Row],[P71 Growth]])</f>
        <v>1.0892545025372038</v>
      </c>
      <c r="JZ19" s="27">
        <f>PortfolioFrontier[[#This Row],[P71 Growth]]/PortfolioFrontier[[#This Row],[P71 HWM]]-1</f>
        <v>0</v>
      </c>
      <c r="KA19" s="28">
        <f>SUMPRODUCT(INDEX(PortfolioRef[[SPY]:[PE]],MATCH(KA$1,PortfolioRef[Reference '#]),0),AssetMonthlyReturns[[#This Row],[SPY]:[PE]])</f>
        <v>8.0173300248353313E-3</v>
      </c>
      <c r="KB19" s="27">
        <f>IF(ISNUMBER(KB18),KB18*(1+PortfolioFrontier[[#This Row],[P72 Return]]),1+PortfolioFrontier[[#This Row],[P72 Return]])</f>
        <v>1.0835706054365273</v>
      </c>
      <c r="KC19" s="27">
        <f>MAX(KC18,PortfolioFrontier[[#This Row],[P72 Growth]])</f>
        <v>1.0835706054365273</v>
      </c>
      <c r="KD19" s="27">
        <f>PortfolioFrontier[[#This Row],[P72 Growth]]/PortfolioFrontier[[#This Row],[P72 HWM]]-1</f>
        <v>0</v>
      </c>
      <c r="KE19" s="28">
        <f>SUMPRODUCT(INDEX(PortfolioRef[[SPY]:[PE]],MATCH(KE$1,PortfolioRef[Reference '#]),0),AssetMonthlyReturns[[#This Row],[SPY]:[PE]])</f>
        <v>6.7691674938006431E-3</v>
      </c>
      <c r="KF19" s="27">
        <f>IF(ISNUMBER(KF18),KF18*(1+PortfolioFrontier[[#This Row],[P73 Return]]),1+PortfolioFrontier[[#This Row],[P73 Return]])</f>
        <v>1.0923751201970973</v>
      </c>
      <c r="KG19" s="27">
        <f>MAX(KG18,PortfolioFrontier[[#This Row],[P73 Growth]])</f>
        <v>1.0923751201970973</v>
      </c>
      <c r="KH19" s="27">
        <f>PortfolioFrontier[[#This Row],[P73 Growth]]/PortfolioFrontier[[#This Row],[P73 HWM]]-1</f>
        <v>0</v>
      </c>
      <c r="KI19" s="28">
        <f>SUMPRODUCT(INDEX(PortfolioRef[[SPY]:[PE]],MATCH(KI$1,PortfolioRef[Reference '#]),0),AssetMonthlyReturns[[#This Row],[SPY]:[PE]])</f>
        <v>5.7874075361351038E-3</v>
      </c>
      <c r="KJ19" s="27">
        <f>IF(ISNUMBER(KJ18),KJ18*(1+PortfolioFrontier[[#This Row],[P74 Return]]),1+PortfolioFrontier[[#This Row],[P74 Return]])</f>
        <v>1.0866816764741982</v>
      </c>
      <c r="KK19" s="27">
        <f>MAX(KK18,PortfolioFrontier[[#This Row],[P74 Growth]])</f>
        <v>1.0866816764741982</v>
      </c>
      <c r="KL19" s="27">
        <f>PortfolioFrontier[[#This Row],[P74 Growth]]/PortfolioFrontier[[#This Row],[P74 HWM]]-1</f>
        <v>0</v>
      </c>
      <c r="KM19" s="28">
        <f>SUMPRODUCT(INDEX(PortfolioRef[[SPY]:[PE]],MATCH(KM$1,PortfolioRef[Reference '#]),0),AssetMonthlyReturns[[#This Row],[SPY]:[PE]])</f>
        <v>4.8056475784695619E-3</v>
      </c>
      <c r="KN19" s="27">
        <f>IF(ISNUMBER(KN18),KN18*(1+PortfolioFrontier[[#This Row],[P75 Return]]),1+PortfolioFrontier[[#This Row],[P75 Return]])</f>
        <v>1.0809640335888089</v>
      </c>
      <c r="KO19" s="27">
        <f>MAX(KO18,PortfolioFrontier[[#This Row],[P75 Growth]])</f>
        <v>1.0809640335888089</v>
      </c>
      <c r="KP19" s="27">
        <f>PortfolioFrontier[[#This Row],[P75 Growth]]/PortfolioFrontier[[#This Row],[P75 HWM]]-1</f>
        <v>0</v>
      </c>
      <c r="KQ19" s="28">
        <f>SUMPRODUCT(INDEX(PortfolioRef[[SPY]:[PE]],MATCH(KQ$1,PortfolioRef[Reference '#]),0),AssetMonthlyReturns[[#This Row],[SPY]:[PE]])</f>
        <v>4.5392450051004113E-3</v>
      </c>
      <c r="KR19" s="27">
        <f>IF(ISNUMBER(KR18),KR18*(1+PortfolioFrontier[[#This Row],[P76 Return]]),1+PortfolioFrontier[[#This Row],[P76 Return]])</f>
        <v>1.0954439273947083</v>
      </c>
      <c r="KS19" s="27">
        <f>MAX(KS18,PortfolioFrontier[[#This Row],[P76 Growth]])</f>
        <v>1.0954439273947083</v>
      </c>
      <c r="KT19" s="27">
        <f>PortfolioFrontier[[#This Row],[P76 Growth]]/PortfolioFrontier[[#This Row],[P76 HWM]]-1</f>
        <v>0</v>
      </c>
      <c r="KU19" s="28">
        <f>SUMPRODUCT(INDEX(PortfolioRef[[SPY]:[PE]],MATCH(KU$1,PortfolioRef[Reference '#]),0),AssetMonthlyReturns[[#This Row],[SPY]:[PE]])</f>
        <v>3.557485047434872E-3</v>
      </c>
      <c r="KV19" s="27">
        <f>IF(ISNUMBER(KV18),KV18*(1+PortfolioFrontier[[#This Row],[P77 Return]]),1+PortfolioFrontier[[#This Row],[P77 Return]])</f>
        <v>1.0897411905273258</v>
      </c>
      <c r="KW19" s="27">
        <f>MAX(KW18,PortfolioFrontier[[#This Row],[P77 Growth]])</f>
        <v>1.0897411905273258</v>
      </c>
      <c r="KX19" s="27">
        <f>PortfolioFrontier[[#This Row],[P77 Growth]]/PortfolioFrontier[[#This Row],[P77 HWM]]-1</f>
        <v>0</v>
      </c>
      <c r="KY19" s="28">
        <f>SUMPRODUCT(INDEX(PortfolioRef[[SPY]:[PE]],MATCH(KY$1,PortfolioRef[Reference '#]),0),AssetMonthlyReturns[[#This Row],[SPY]:[PE]])</f>
        <v>2.5757250897693309E-3</v>
      </c>
      <c r="KZ19" s="27">
        <f>IF(ISNUMBER(KZ18),KZ18*(1+PortfolioFrontier[[#This Row],[P78 Return]]),1+PortfolioFrontier[[#This Row],[P78 Return]])</f>
        <v>1.0840140771216544</v>
      </c>
      <c r="LA19" s="27">
        <f>MAX(LA18,PortfolioFrontier[[#This Row],[P78 Growth]])</f>
        <v>1.0840140771216544</v>
      </c>
      <c r="LB19" s="27">
        <f>PortfolioFrontier[[#This Row],[P78 Growth]]/PortfolioFrontier[[#This Row],[P78 HWM]]-1</f>
        <v>0</v>
      </c>
      <c r="LC19" s="28">
        <f>SUMPRODUCT(INDEX(PortfolioRef[[SPY]:[PE]],MATCH(LC$1,PortfolioRef[Reference '#]),0),AssetMonthlyReturns[[#This Row],[SPY]:[PE]])</f>
        <v>8.4000488449643904E-3</v>
      </c>
      <c r="LD19" s="27">
        <f>IF(ISNUMBER(LD18),LD18*(1+PortfolioFrontier[[#This Row],[P79 Return]]),1+PortfolioFrontier[[#This Row],[P79 Return]])</f>
        <v>1.0922040508107633</v>
      </c>
      <c r="LE19" s="27">
        <f>MAX(LE18,PortfolioFrontier[[#This Row],[P79 Growth]])</f>
        <v>1.0922040508107633</v>
      </c>
      <c r="LF19" s="27">
        <f>PortfolioFrontier[[#This Row],[P79 Growth]]/PortfolioFrontier[[#This Row],[P79 HWM]]-1</f>
        <v>0</v>
      </c>
      <c r="LG19" s="28">
        <f>SUMPRODUCT(INDEX(PortfolioRef[[SPY]:[PE]],MATCH(LG$1,PortfolioRef[Reference '#]),0),AssetMonthlyReturns[[#This Row],[SPY]:[PE]])</f>
        <v>7.4182888872988519E-3</v>
      </c>
      <c r="LH19" s="27">
        <f>IF(ISNUMBER(LH18),LH18*(1+PortfolioFrontier[[#This Row],[P80 Return]]),1+PortfolioFrontier[[#This Row],[P80 Return]])</f>
        <v>1.0865378003258872</v>
      </c>
      <c r="LI19" s="27">
        <f>MAX(LI18,PortfolioFrontier[[#This Row],[P80 Growth]])</f>
        <v>1.0865378003258872</v>
      </c>
      <c r="LJ19" s="27">
        <f>PortfolioFrontier[[#This Row],[P80 Growth]]/PortfolioFrontier[[#This Row],[P80 HWM]]-1</f>
        <v>0</v>
      </c>
      <c r="LK19" s="28">
        <f>SUMPRODUCT(INDEX(PortfolioRef[[SPY]:[PE]],MATCH(LK$1,PortfolioRef[Reference '#]),0),AssetMonthlyReturns[[#This Row],[SPY]:[PE]])</f>
        <v>6.43652892963331E-3</v>
      </c>
      <c r="LL19" s="27">
        <f>IF(ISNUMBER(LL18),LL18*(1+PortfolioFrontier[[#This Row],[P81 Return]]),1+PortfolioFrontier[[#This Row],[P81 Return]])</f>
        <v>1.0808471097170904</v>
      </c>
      <c r="LM19" s="27">
        <f>MAX(LM18,PortfolioFrontier[[#This Row],[P81 Growth]])</f>
        <v>1.0808471097170904</v>
      </c>
      <c r="LN19" s="27">
        <f>PortfolioFrontier[[#This Row],[P81 Growth]]/PortfolioFrontier[[#This Row],[P81 HWM]]-1</f>
        <v>0</v>
      </c>
      <c r="LO19" s="28">
        <f>SUMPRODUCT(INDEX(PortfolioRef[[SPY]:[PE]],MATCH(LO$1,PortfolioRef[Reference '#]),0),AssetMonthlyReturns[[#This Row],[SPY]:[PE]])</f>
        <v>6.1701263562641611E-3</v>
      </c>
      <c r="LP19" s="27">
        <f>IF(ISNUMBER(LP18),LP18*(1+PortfolioFrontier[[#This Row],[P82 Return]]),1+PortfolioFrontier[[#This Row],[P82 Return]])</f>
        <v>1.0953127374693503</v>
      </c>
      <c r="LQ19" s="27">
        <f>MAX(LQ18,PortfolioFrontier[[#This Row],[P82 Growth]])</f>
        <v>1.0953127374693503</v>
      </c>
      <c r="LR19" s="27">
        <f>PortfolioFrontier[[#This Row],[P82 Growth]]/PortfolioFrontier[[#This Row],[P82 HWM]]-1</f>
        <v>0</v>
      </c>
      <c r="LS19" s="28">
        <f>SUMPRODUCT(INDEX(PortfolioRef[[SPY]:[PE]],MATCH(LS$1,PortfolioRef[Reference '#]),0),AssetMonthlyReturns[[#This Row],[SPY]:[PE]])</f>
        <v>5.1883663985986218E-3</v>
      </c>
      <c r="LT19" s="27">
        <f>IF(ISNUMBER(LT18),LT18*(1+PortfolioFrontier[[#This Row],[P83 Return]]),1+PortfolioFrontier[[#This Row],[P83 Return]])</f>
        <v>1.0896371319096814</v>
      </c>
      <c r="LU19" s="27">
        <f>MAX(LU18,PortfolioFrontier[[#This Row],[P83 Growth]])</f>
        <v>1.0896371319096814</v>
      </c>
      <c r="LV19" s="27">
        <f>PortfolioFrontier[[#This Row],[P83 Growth]]/PortfolioFrontier[[#This Row],[P83 HWM]]-1</f>
        <v>0</v>
      </c>
      <c r="LW19" s="28">
        <f>SUMPRODUCT(INDEX(PortfolioRef[[SPY]:[PE]],MATCH(LW$1,PortfolioRef[Reference '#]),0),AssetMonthlyReturns[[#This Row],[SPY]:[PE]])</f>
        <v>4.2066064409330816E-3</v>
      </c>
      <c r="LX19" s="27">
        <f>IF(ISNUMBER(LX18),LX18*(1+PortfolioFrontier[[#This Row],[P84 Return]]),1+PortfolioFrontier[[#This Row],[P84 Return]])</f>
        <v>1.083936907170064</v>
      </c>
      <c r="LY19" s="27">
        <f>MAX(LY18,PortfolioFrontier[[#This Row],[P84 Growth]])</f>
        <v>1.083936907170064</v>
      </c>
      <c r="LZ19" s="27">
        <f>PortfolioFrontier[[#This Row],[P84 Growth]]/PortfolioFrontier[[#This Row],[P84 HWM]]-1</f>
        <v>0</v>
      </c>
      <c r="MA19" s="28">
        <f>SUMPRODUCT(INDEX(PortfolioRef[[SPY]:[PE]],MATCH(MA$1,PortfolioRef[Reference '#]),0),AssetMonthlyReturns[[#This Row],[SPY]:[PE]])</f>
        <v>3.9402038675639293E-3</v>
      </c>
      <c r="MB19" s="27">
        <f>IF(ISNUMBER(MB18),MB18*(1+PortfolioFrontier[[#This Row],[P85 Return]]),1+PortfolioFrontier[[#This Row],[P85 Return]])</f>
        <v>1.0983694312692147</v>
      </c>
      <c r="MC19" s="27">
        <f>MAX(MC18,PortfolioFrontier[[#This Row],[P85 Growth]])</f>
        <v>1.0983694312692147</v>
      </c>
      <c r="MD19" s="27">
        <f>PortfolioFrontier[[#This Row],[P85 Growth]]/PortfolioFrontier[[#This Row],[P85 HWM]]-1</f>
        <v>0</v>
      </c>
      <c r="ME19" s="28">
        <f>SUMPRODUCT(INDEX(PortfolioRef[[SPY]:[PE]],MATCH(ME$1,PortfolioRef[Reference '#]),0),AssetMonthlyReturns[[#This Row],[SPY]:[PE]])</f>
        <v>2.95844390989839E-3</v>
      </c>
      <c r="MF19" s="27">
        <f>IF(ISNUMBER(MF18),MF18*(1+PortfolioFrontier[[#This Row],[P86 Return]]),1+PortfolioFrontier[[#This Row],[P86 Return]])</f>
        <v>1.0926847236452546</v>
      </c>
      <c r="MG19" s="27">
        <f>MAX(MG18,PortfolioFrontier[[#This Row],[P86 Growth]])</f>
        <v>1.0926847236452546</v>
      </c>
      <c r="MH19" s="27">
        <f>PortfolioFrontier[[#This Row],[P86 Growth]]/PortfolioFrontier[[#This Row],[P86 HWM]]-1</f>
        <v>0</v>
      </c>
      <c r="MI19" s="28">
        <f>SUMPRODUCT(INDEX(PortfolioRef[[SPY]:[PE]],MATCH(MI$1,PortfolioRef[Reference '#]),0),AssetMonthlyReturns[[#This Row],[SPY]:[PE]])</f>
        <v>1.9766839522328498E-3</v>
      </c>
      <c r="MJ19" s="27">
        <f>IF(ISNUMBER(MJ18),MJ18*(1+PortfolioFrontier[[#This Row],[P87 Return]]),1+PortfolioFrontier[[#This Row],[P87 Return]])</f>
        <v>1.0869752184815953</v>
      </c>
      <c r="MK19" s="27">
        <f>MAX(MK18,PortfolioFrontier[[#This Row],[P87 Growth]])</f>
        <v>1.0869752184815953</v>
      </c>
      <c r="ML19" s="27">
        <f>PortfolioFrontier[[#This Row],[P87 Growth]]/PortfolioFrontier[[#This Row],[P87 HWM]]-1</f>
        <v>0</v>
      </c>
      <c r="MM19" s="28">
        <f>SUMPRODUCT(INDEX(PortfolioRef[[SPY]:[PE]],MATCH(MM$1,PortfolioRef[Reference '#]),0),AssetMonthlyReturns[[#This Row],[SPY]:[PE]])</f>
        <v>7.8010077074279092E-3</v>
      </c>
      <c r="MN19" s="27">
        <f>IF(ISNUMBER(MN18),MN18*(1+PortfolioFrontier[[#This Row],[P88 Return]]),1+PortfolioFrontier[[#This Row],[P88 Return]])</f>
        <v>1.0951299758904054</v>
      </c>
      <c r="MO19" s="27">
        <f>MAX(MO18,PortfolioFrontier[[#This Row],[P88 Growth]])</f>
        <v>1.0951299758904054</v>
      </c>
      <c r="MP19" s="27">
        <f>PortfolioFrontier[[#This Row],[P88 Growth]]/PortfolioFrontier[[#This Row],[P88 HWM]]-1</f>
        <v>0</v>
      </c>
      <c r="MQ19" s="28">
        <f>SUMPRODUCT(INDEX(PortfolioRef[[SPY]:[PE]],MATCH(MQ$1,PortfolioRef[Reference '#]),0),AssetMonthlyReturns[[#This Row],[SPY]:[PE]])</f>
        <v>6.8192477497623699E-3</v>
      </c>
      <c r="MR19" s="27">
        <f>IF(ISNUMBER(MR18),MR18*(1+PortfolioFrontier[[#This Row],[P89 Return]]),1+PortfolioFrontier[[#This Row],[P89 Return]])</f>
        <v>1.0894816741206914</v>
      </c>
      <c r="MS19" s="27">
        <f>MAX(MS18,PortfolioFrontier[[#This Row],[P89 Growth]])</f>
        <v>1.0894816741206914</v>
      </c>
      <c r="MT19" s="27">
        <f>PortfolioFrontier[[#This Row],[P89 Growth]]/PortfolioFrontier[[#This Row],[P89 HWM]]-1</f>
        <v>0</v>
      </c>
      <c r="MU19" s="28">
        <f>SUMPRODUCT(INDEX(PortfolioRef[[SPY]:[PE]],MATCH(MU$1,PortfolioRef[Reference '#]),0),AssetMonthlyReturns[[#This Row],[SPY]:[PE]])</f>
        <v>5.8374877920968297E-3</v>
      </c>
      <c r="MV19" s="27">
        <f>IF(ISNUMBER(MV18),MV18*(1+PortfolioFrontier[[#This Row],[P90 Return]]),1+PortfolioFrontier[[#This Row],[P90 Return]])</f>
        <v>1.0838085128256567</v>
      </c>
      <c r="MW19" s="27">
        <f>MAX(MW18,PortfolioFrontier[[#This Row],[P90 Growth]])</f>
        <v>1.0838085128256567</v>
      </c>
      <c r="MX19" s="27">
        <f>PortfolioFrontier[[#This Row],[P90 Growth]]/PortfolioFrontier[[#This Row],[P90 HWM]]-1</f>
        <v>0</v>
      </c>
      <c r="MY19" s="28">
        <f>SUMPRODUCT(INDEX(PortfolioRef[[SPY]:[PE]],MATCH(MY$1,PortfolioRef[Reference '#]),0),AssetMonthlyReturns[[#This Row],[SPY]:[PE]])</f>
        <v>5.5710852187276774E-3</v>
      </c>
      <c r="MZ19" s="27">
        <f>IF(ISNUMBER(MZ18),MZ18*(1+PortfolioFrontier[[#This Row],[P91 Return]]),1+PortfolioFrontier[[#This Row],[P91 Return]])</f>
        <v>1.098226553903551</v>
      </c>
      <c r="NA19" s="27">
        <f>MAX(NA18,PortfolioFrontier[[#This Row],[P91 Growth]])</f>
        <v>1.098226553903551</v>
      </c>
      <c r="NB19" s="27">
        <f>PortfolioFrontier[[#This Row],[P91 Growth]]/PortfolioFrontier[[#This Row],[P91 HWM]]-1</f>
        <v>0</v>
      </c>
      <c r="NC19" s="28">
        <f>SUMPRODUCT(INDEX(PortfolioRef[[SPY]:[PE]],MATCH(NC$1,PortfolioRef[Reference '#]),0),AssetMonthlyReturns[[#This Row],[SPY]:[PE]])</f>
        <v>4.5893252610621381E-3</v>
      </c>
      <c r="ND19" s="27">
        <f>IF(ISNUMBER(ND18),ND18*(1+PortfolioFrontier[[#This Row],[P92 Return]]),1+PortfolioFrontier[[#This Row],[P92 Return]])</f>
        <v>1.0925690889103381</v>
      </c>
      <c r="NE19" s="27">
        <f>MAX(NE18,PortfolioFrontier[[#This Row],[P92 Growth]])</f>
        <v>1.0925690889103381</v>
      </c>
      <c r="NF19" s="27">
        <f>PortfolioFrontier[[#This Row],[P92 Growth]]/PortfolioFrontier[[#This Row],[P92 HWM]]-1</f>
        <v>0</v>
      </c>
      <c r="NG19" s="28">
        <f>SUMPRODUCT(INDEX(PortfolioRef[[SPY]:[PE]],MATCH(NG$1,PortfolioRef[Reference '#]),0),AssetMonthlyReturns[[#This Row],[SPY]:[PE]])</f>
        <v>3.6075653033965979E-3</v>
      </c>
      <c r="NH19" s="27">
        <f>IF(ISNUMBER(NH18),NH18*(1+PortfolioFrontier[[#This Row],[P93 Return]]),1+PortfolioFrontier[[#This Row],[P93 Return]])</f>
        <v>1.0868865843486155</v>
      </c>
      <c r="NI19" s="27">
        <f>MAX(NI18,PortfolioFrontier[[#This Row],[P93 Growth]])</f>
        <v>1.0868865843486155</v>
      </c>
      <c r="NJ19" s="27">
        <f>PortfolioFrontier[[#This Row],[P93 Growth]]/PortfolioFrontier[[#This Row],[P93 HWM]]-1</f>
        <v>0</v>
      </c>
      <c r="NK19" s="28">
        <f>SUMPRODUCT(INDEX(PortfolioRef[[SPY]:[PE]],MATCH(NK$1,PortfolioRef[Reference '#]),0),AssetMonthlyReturns[[#This Row],[SPY]:[PE]])</f>
        <v>3.3411627300274464E-3</v>
      </c>
      <c r="NL19" s="27">
        <f>IF(ISNUMBER(NL18),NL18*(1+PortfolioFrontier[[#This Row],[P94 Return]]),1+PortfolioFrontier[[#This Row],[P94 Return]])</f>
        <v>1.1012709578369915</v>
      </c>
      <c r="NM19" s="27">
        <f>MAX(NM18,PortfolioFrontier[[#This Row],[P94 Growth]])</f>
        <v>1.1012709578369915</v>
      </c>
      <c r="NN19" s="27">
        <f>PortfolioFrontier[[#This Row],[P94 Growth]]/PortfolioFrontier[[#This Row],[P94 HWM]]-1</f>
        <v>0</v>
      </c>
      <c r="NO19" s="28">
        <f>SUMPRODUCT(INDEX(PortfolioRef[[SPY]:[PE]],MATCH(NO$1,PortfolioRef[Reference '#]),0),AssetMonthlyReturns[[#This Row],[SPY]:[PE]])</f>
        <v>2.3594027723619062E-3</v>
      </c>
      <c r="NP19" s="27">
        <f>IF(ISNUMBER(NP18),NP18*(1+PortfolioFrontier[[#This Row],[P95 Return]]),1+PortfolioFrontier[[#This Row],[P95 Return]])</f>
        <v>1.0956045821462643</v>
      </c>
      <c r="NQ19" s="27">
        <f>MAX(NQ18,PortfolioFrontier[[#This Row],[P95 Growth]])</f>
        <v>1.0956045821462643</v>
      </c>
      <c r="NR19" s="27">
        <f>PortfolioFrontier[[#This Row],[P95 Growth]]/PortfolioFrontier[[#This Row],[P95 HWM]]-1</f>
        <v>0</v>
      </c>
      <c r="NS19" s="28">
        <f>SUMPRODUCT(INDEX(PortfolioRef[[SPY]:[PE]],MATCH(NS$1,PortfolioRef[Reference '#]),0),AssetMonthlyReturns[[#This Row],[SPY]:[PE]])</f>
        <v>1.377642814696366E-3</v>
      </c>
      <c r="NT19" s="27">
        <f>IF(ISNUMBER(NT18),NT18*(1+PortfolioFrontier[[#This Row],[P96 Return]]),1+PortfolioFrontier[[#This Row],[P96 Return]])</f>
        <v>1.0899129875584355</v>
      </c>
      <c r="NU19" s="27">
        <f>MAX(NU18,PortfolioFrontier[[#This Row],[P96 Growth]])</f>
        <v>1.0899129875584355</v>
      </c>
      <c r="NV19" s="27">
        <f>PortfolioFrontier[[#This Row],[P96 Growth]]/PortfolioFrontier[[#This Row],[P96 HWM]]-1</f>
        <v>0</v>
      </c>
      <c r="NW19" s="28">
        <f>SUMPRODUCT(INDEX(PortfolioRef[[SPY]:[PE]],MATCH(NW$1,PortfolioRef[Reference '#]),0),AssetMonthlyReturns[[#This Row],[SPY]:[PE]])</f>
        <v>6.6589780762340333E-3</v>
      </c>
      <c r="NX19" s="27">
        <f>IF(ISNUMBER(NX18),NX18*(1+PortfolioFrontier[[#This Row],[P97 Return]]),1+PortfolioFrontier[[#This Row],[P97 Return]])</f>
        <v>1.0767299782758766</v>
      </c>
      <c r="NY19" s="27">
        <f>MAX(NY18,PortfolioFrontier[[#This Row],[P97 Growth]])</f>
        <v>1.0767299782758766</v>
      </c>
      <c r="NZ19" s="27">
        <f>PortfolioFrontier[[#This Row],[P97 Growth]]/PortfolioFrontier[[#This Row],[P97 HWM]]-1</f>
        <v>0</v>
      </c>
      <c r="OA19" s="28">
        <f>SUMPRODUCT(INDEX(PortfolioRef[[SPY]:[PE]],MATCH(OA$1,PortfolioRef[Reference '#]),0),AssetMonthlyReturns[[#This Row],[SPY]:[PE]])</f>
        <v>8.2898594273977839E-3</v>
      </c>
      <c r="OB19" s="27">
        <f>IF(ISNUMBER(OB18),OB18*(1+PortfolioFrontier[[#This Row],[P98 Return]]),1+PortfolioFrontier[[#This Row],[P98 Return]])</f>
        <v>1.0766235233979562</v>
      </c>
      <c r="OC19" s="27">
        <f>MAX(OC18,PortfolioFrontier[[#This Row],[P98 Growth]])</f>
        <v>1.0766235233979562</v>
      </c>
      <c r="OD19" s="27">
        <f>PortfolioFrontier[[#This Row],[P98 Growth]]/PortfolioFrontier[[#This Row],[P98 HWM]]-1</f>
        <v>0</v>
      </c>
      <c r="OE19" s="28">
        <f>SUMPRODUCT(INDEX(PortfolioRef[[SPY]:[PE]],MATCH(OE$1,PortfolioRef[Reference '#]),0),AssetMonthlyReturns[[#This Row],[SPY]:[PE]])</f>
        <v>6.0599369386975513E-3</v>
      </c>
      <c r="OF19" s="27">
        <f>IF(ISNUMBER(OF18),OF18*(1+PortfolioFrontier[[#This Row],[P99 Return]]),1+PortfolioFrontier[[#This Row],[P99 Return]])</f>
        <v>1.0797099721300836</v>
      </c>
      <c r="OG19" s="27">
        <f>MAX(OG18,PortfolioFrontier[[#This Row],[P99 Growth]])</f>
        <v>1.0797099721300836</v>
      </c>
      <c r="OH19" s="27">
        <f>PortfolioFrontier[[#This Row],[P99 Growth]]/PortfolioFrontier[[#This Row],[P99 HWM]]-1</f>
        <v>0</v>
      </c>
      <c r="OI19" s="28">
        <f>SUMPRODUCT(INDEX(PortfolioRef[[SPY]:[PE]],MATCH(OI$1,PortfolioRef[Reference '#]),0),AssetMonthlyReturns[[#This Row],[SPY]:[PE]])</f>
        <v>5.0781769810320102E-3</v>
      </c>
      <c r="OJ19" s="27">
        <f>IF(ISNUMBER(OJ18),OJ18*(1+PortfolioFrontier[[#This Row],[P100 Return]]),1+PortfolioFrontier[[#This Row],[P100 Return]])</f>
        <v>1.0740167330452162</v>
      </c>
      <c r="OK19" s="27">
        <f>MAX(OK18,PortfolioFrontier[[#This Row],[P100 Growth]])</f>
        <v>1.0740167330452162</v>
      </c>
      <c r="OL19" s="27">
        <f>PortfolioFrontier[[#This Row],[P100 Growth]]/PortfolioFrontier[[#This Row],[P100 HWM]]-1</f>
        <v>0</v>
      </c>
      <c r="OM19" s="28">
        <f>SUMPRODUCT(INDEX(PortfolioRef[[SPY]:[PE]],MATCH(OM$1,PortfolioRef[Reference '#]),0),AssetMonthlyReturns[[#This Row],[SPY]:[PE]])</f>
        <v>9.920740778561532E-3</v>
      </c>
      <c r="ON19" s="27">
        <f>IF(ISNUMBER(ON18),ON18*(1+PortfolioFrontier[[#This Row],[P101 Return]]),1+PortfolioFrontier[[#This Row],[P101 Return]])</f>
        <v>1.0764660482694846</v>
      </c>
      <c r="OO19" s="27">
        <f>MAX(OO18,PortfolioFrontier[[#This Row],[P101 Growth]])</f>
        <v>1.0764660482694846</v>
      </c>
      <c r="OP19" s="27">
        <f>PortfolioFrontier[[#This Row],[P101 Growth]]/PortfolioFrontier[[#This Row],[P101 HWM]]-1</f>
        <v>0</v>
      </c>
      <c r="OQ19" s="28">
        <f>SUMPRODUCT(INDEX(PortfolioRef[[SPY]:[PE]],MATCH(OQ$1,PortfolioRef[Reference '#]),0),AssetMonthlyReturns[[#This Row],[SPY]:[PE]])</f>
        <v>7.6908182898613028E-3</v>
      </c>
      <c r="OR19" s="27">
        <f>IF(ISNUMBER(OR18),OR18*(1+PortfolioFrontier[[#This Row],[P102 Return]]),1+PortfolioFrontier[[#This Row],[P102 Return]])</f>
        <v>1.0795920552456908</v>
      </c>
      <c r="OS19" s="27">
        <f>MAX(OS18,PortfolioFrontier[[#This Row],[P102 Growth]])</f>
        <v>1.0795920552456908</v>
      </c>
      <c r="OT19" s="27">
        <f>PortfolioFrontier[[#This Row],[P102 Growth]]/PortfolioFrontier[[#This Row],[P102 HWM]]-1</f>
        <v>0</v>
      </c>
      <c r="OU19" s="28">
        <f>SUMPRODUCT(INDEX(PortfolioRef[[SPY]:[PE]],MATCH(OU$1,PortfolioRef[Reference '#]),0),AssetMonthlyReturns[[#This Row],[SPY]:[PE]])</f>
        <v>6.7090583321957617E-3</v>
      </c>
      <c r="OV19" s="27">
        <f>IF(ISNUMBER(OV18),OV18*(1+PortfolioFrontier[[#This Row],[P103 Return]]),1+PortfolioFrontier[[#This Row],[P103 Return]])</f>
        <v>1.0739255456496692</v>
      </c>
      <c r="OW19" s="27">
        <f>MAX(OW18,PortfolioFrontier[[#This Row],[P103 Growth]])</f>
        <v>1.0739255456496692</v>
      </c>
      <c r="OX19" s="27">
        <f>PortfolioFrontier[[#This Row],[P103 Growth]]/PortfolioFrontier[[#This Row],[P103 HWM]]-1</f>
        <v>0</v>
      </c>
      <c r="OY19" s="28">
        <f>SUMPRODUCT(INDEX(PortfolioRef[[SPY]:[PE]],MATCH(OY$1,PortfolioRef[Reference '#]),0),AssetMonthlyReturns[[#This Row],[SPY]:[PE]])</f>
        <v>5.4608958011610692E-3</v>
      </c>
      <c r="OZ19" s="27">
        <f>IF(ISNUMBER(OZ18),OZ18*(1+PortfolioFrontier[[#This Row],[P104 Return]]),1+PortfolioFrontier[[#This Row],[P104 Return]])</f>
        <v>1.0826669028172082</v>
      </c>
      <c r="PA19" s="27">
        <f>MAX(PA18,PortfolioFrontier[[#This Row],[P104 Growth]])</f>
        <v>1.0826669028172082</v>
      </c>
      <c r="PB19" s="27">
        <f>PortfolioFrontier[[#This Row],[P104 Growth]]/PortfolioFrontier[[#This Row],[P104 HWM]]-1</f>
        <v>0</v>
      </c>
      <c r="PC19" s="28">
        <f>SUMPRODUCT(INDEX(PortfolioRef[[SPY]:[PE]],MATCH(PC$1,PortfolioRef[Reference '#]),0),AssetMonthlyReturns[[#This Row],[SPY]:[PE]])</f>
        <v>4.4791358434955299E-3</v>
      </c>
      <c r="PD19" s="27">
        <f>IF(ISNUMBER(PD18),PD18*(1+PortfolioFrontier[[#This Row],[P105 Return]]),1+PortfolioFrontier[[#This Row],[P105 Return]])</f>
        <v>1.0769908700430708</v>
      </c>
      <c r="PE19" s="27">
        <f>MAX(PE18,PortfolioFrontier[[#This Row],[P105 Growth]])</f>
        <v>1.0769908700430708</v>
      </c>
      <c r="PF19" s="27">
        <f>PortfolioFrontier[[#This Row],[P105 Growth]]/PortfolioFrontier[[#This Row],[P105 HWM]]-1</f>
        <v>0</v>
      </c>
      <c r="PG19" s="28">
        <f>SUMPRODUCT(INDEX(PortfolioRef[[SPY]:[PE]],MATCH(PG$1,PortfolioRef[Reference '#]),0),AssetMonthlyReturns[[#This Row],[SPY]:[PE]])</f>
        <v>3.497375885829988E-3</v>
      </c>
      <c r="PH19" s="27">
        <f>IF(ISNUMBER(PH18),PH18*(1+PortfolioFrontier[[#This Row],[P106 Return]]),1+PortfolioFrontier[[#This Row],[P106 Return]])</f>
        <v>1.0712911345903049</v>
      </c>
      <c r="PI19" s="27">
        <f>MAX(PI18,PortfolioFrontier[[#This Row],[P106 Growth]])</f>
        <v>1.0712911345903049</v>
      </c>
      <c r="PJ19" s="27">
        <f>PortfolioFrontier[[#This Row],[P106 Growth]]/PortfolioFrontier[[#This Row],[P106 HWM]]-1</f>
        <v>0</v>
      </c>
      <c r="PK19" s="28">
        <f>SUMPRODUCT(INDEX(PortfolioRef[[SPY]:[PE]],MATCH(PK$1,PortfolioRef[Reference '#]),0),AssetMonthlyReturns[[#This Row],[SPY]:[PE]])</f>
        <v>9.3216996410250483E-3</v>
      </c>
      <c r="PL19" s="27">
        <f>IF(ISNUMBER(PL18),PL18*(1+PortfolioFrontier[[#This Row],[P107 Return]]),1+PortfolioFrontier[[#This Row],[P107 Return]])</f>
        <v>1.0794230648904564</v>
      </c>
      <c r="PM19" s="27">
        <f>MAX(PM18,PortfolioFrontier[[#This Row],[P107 Growth]])</f>
        <v>1.0794230648904564</v>
      </c>
      <c r="PN19" s="27">
        <f>PortfolioFrontier[[#This Row],[P107 Growth]]/PortfolioFrontier[[#This Row],[P107 HWM]]-1</f>
        <v>0</v>
      </c>
      <c r="PO19" s="28">
        <f>SUMPRODUCT(INDEX(PortfolioRef[[SPY]:[PE]],MATCH(PO$1,PortfolioRef[Reference '#]),0),AssetMonthlyReturns[[#This Row],[SPY]:[PE]])</f>
        <v>8.3399396833595089E-3</v>
      </c>
      <c r="PP19" s="27">
        <f>IF(ISNUMBER(PP18),PP18*(1+PortfolioFrontier[[#This Row],[P108 Return]]),1+PortfolioFrontier[[#This Row],[P108 Return]])</f>
        <v>1.0737834588004027</v>
      </c>
      <c r="PQ19" s="27">
        <f>MAX(PQ18,PortfolioFrontier[[#This Row],[P108 Growth]])</f>
        <v>1.0737834588004027</v>
      </c>
      <c r="PR19" s="27">
        <f>PortfolioFrontier[[#This Row],[P108 Growth]]/PortfolioFrontier[[#This Row],[P108 HWM]]-1</f>
        <v>0</v>
      </c>
      <c r="PS19" s="28">
        <f>SUMPRODUCT(INDEX(PortfolioRef[[SPY]:[PE]],MATCH(PS$1,PortfolioRef[Reference '#]),0),AssetMonthlyReturns[[#This Row],[SPY]:[PE]])</f>
        <v>7.0917771523248191E-3</v>
      </c>
      <c r="PT19" s="27">
        <f>IF(ISNUMBER(PT18),PT18*(1+PortfolioFrontier[[#This Row],[P109 Return]]),1+PortfolioFrontier[[#This Row],[P109 Return]])</f>
        <v>1.0825374773590284</v>
      </c>
      <c r="PU19" s="27">
        <f>MAX(PU18,PortfolioFrontier[[#This Row],[P109 Growth]])</f>
        <v>1.0825374773590284</v>
      </c>
      <c r="PV19" s="27">
        <f>PortfolioFrontier[[#This Row],[P109 Growth]]/PortfolioFrontier[[#This Row],[P109 HWM]]-1</f>
        <v>0</v>
      </c>
      <c r="PW19" s="28">
        <f>SUMPRODUCT(INDEX(PortfolioRef[[SPY]:[PE]],MATCH(PW$1,PortfolioRef[Reference '#]),0),AssetMonthlyReturns[[#This Row],[SPY]:[PE]])</f>
        <v>6.1100171946592797E-3</v>
      </c>
      <c r="PX19" s="27">
        <f>IF(ISNUMBER(PX18),PX18*(1+PortfolioFrontier[[#This Row],[P110 Return]]),1+PortfolioFrontier[[#This Row],[P110 Return]])</f>
        <v>1.0768882857548121</v>
      </c>
      <c r="PY19" s="27">
        <f>MAX(PY18,PortfolioFrontier[[#This Row],[P110 Growth]])</f>
        <v>1.0768882857548121</v>
      </c>
      <c r="PZ19" s="27">
        <f>PortfolioFrontier[[#This Row],[P110 Growth]]/PortfolioFrontier[[#This Row],[P110 HWM]]-1</f>
        <v>0</v>
      </c>
      <c r="QA19" s="28">
        <f>SUMPRODUCT(INDEX(PortfolioRef[[SPY]:[PE]],MATCH(QA$1,PortfolioRef[Reference '#]),0),AssetMonthlyReturns[[#This Row],[SPY]:[PE]])</f>
        <v>5.1282572369937378E-3</v>
      </c>
      <c r="QB19" s="27">
        <f>IF(ISNUMBER(QB18),QB18*(1+PortfolioFrontier[[#This Row],[P111 Return]]),1+PortfolioFrontier[[#This Row],[P111 Return]])</f>
        <v>1.0712151501907472</v>
      </c>
      <c r="QC19" s="27">
        <f>MAX(QC18,PortfolioFrontier[[#This Row],[P111 Growth]])</f>
        <v>1.0712151501907472</v>
      </c>
      <c r="QD19" s="27">
        <f>PortfolioFrontier[[#This Row],[P111 Growth]]/PortfolioFrontier[[#This Row],[P111 HWM]]-1</f>
        <v>0</v>
      </c>
      <c r="QE19" s="28">
        <f>SUMPRODUCT(INDEX(PortfolioRef[[SPY]:[PE]],MATCH(QE$1,PortfolioRef[Reference '#]),0),AssetMonthlyReturns[[#This Row],[SPY]:[PE]])</f>
        <v>4.8618546636245872E-3</v>
      </c>
      <c r="QF19" s="27">
        <f>IF(ISNUMBER(QF18),QF18*(1+PortfolioFrontier[[#This Row],[P112 Return]]),1+PortfolioFrontier[[#This Row],[P112 Return]])</f>
        <v>1.0856005472823271</v>
      </c>
      <c r="QG19" s="27">
        <f>MAX(QG18,PortfolioFrontier[[#This Row],[P112 Growth]])</f>
        <v>1.0856005472823271</v>
      </c>
      <c r="QH19" s="27">
        <f>PortfolioFrontier[[#This Row],[P112 Growth]]/PortfolioFrontier[[#This Row],[P112 HWM]]-1</f>
        <v>0</v>
      </c>
      <c r="QI19" s="28">
        <f>SUMPRODUCT(INDEX(PortfolioRef[[SPY]:[PE]],MATCH(QI$1,PortfolioRef[Reference '#]),0),AssetMonthlyReturns[[#This Row],[SPY]:[PE]])</f>
        <v>3.8800947059590479E-3</v>
      </c>
      <c r="QJ19" s="27">
        <f>IF(ISNUMBER(QJ18),QJ18*(1+PortfolioFrontier[[#This Row],[P113 Return]]),1+PortfolioFrontier[[#This Row],[P113 Return]])</f>
        <v>1.0799420220456799</v>
      </c>
      <c r="QK19" s="27">
        <f>MAX(QK18,PortfolioFrontier[[#This Row],[P113 Growth]])</f>
        <v>1.0799420220456799</v>
      </c>
      <c r="QL19" s="27">
        <f>PortfolioFrontier[[#This Row],[P113 Growth]]/PortfolioFrontier[[#This Row],[P113 HWM]]-1</f>
        <v>0</v>
      </c>
      <c r="QM19" s="28">
        <f>SUMPRODUCT(INDEX(PortfolioRef[[SPY]:[PE]],MATCH(QM$1,PortfolioRef[Reference '#]),0),AssetMonthlyReturns[[#This Row],[SPY]:[PE]])</f>
        <v>2.8983347482935068E-3</v>
      </c>
      <c r="QN19" s="27">
        <f>IF(ISNUMBER(QN18),QN18*(1+PortfolioFrontier[[#This Row],[P114 Return]]),1+PortfolioFrontier[[#This Row],[P114 Return]])</f>
        <v>1.0742593767064397</v>
      </c>
      <c r="QO19" s="27">
        <f>MAX(QO18,PortfolioFrontier[[#This Row],[P114 Growth]])</f>
        <v>1.0742593767064397</v>
      </c>
      <c r="QP19" s="27">
        <f>PortfolioFrontier[[#This Row],[P114 Growth]]/PortfolioFrontier[[#This Row],[P114 HWM]]-1</f>
        <v>0</v>
      </c>
      <c r="QQ19" s="28">
        <f>SUMPRODUCT(INDEX(PortfolioRef[[SPY]:[PE]],MATCH(QQ$1,PortfolioRef[Reference '#]),0),AssetMonthlyReturns[[#This Row],[SPY]:[PE]])</f>
        <v>8.722658503488568E-3</v>
      </c>
      <c r="QR19" s="27">
        <f>IF(ISNUMBER(QR18),QR18*(1+PortfolioFrontier[[#This Row],[P115 Return]]),1+PortfolioFrontier[[#This Row],[P115 Return]])</f>
        <v>1.0823569264561661</v>
      </c>
      <c r="QS19" s="27">
        <f>MAX(QS18,PortfolioFrontier[[#This Row],[P115 Growth]])</f>
        <v>1.0823569264561661</v>
      </c>
      <c r="QT19" s="27">
        <f>PortfolioFrontier[[#This Row],[P115 Growth]]/PortfolioFrontier[[#This Row],[P115 HWM]]-1</f>
        <v>0</v>
      </c>
      <c r="QU19" s="28">
        <f>SUMPRODUCT(INDEX(PortfolioRef[[SPY]:[PE]],MATCH(QU$1,PortfolioRef[Reference '#]),0),AssetMonthlyReturns[[#This Row],[SPY]:[PE]])</f>
        <v>7.7408985458230278E-3</v>
      </c>
      <c r="QV19" s="27">
        <f>IF(ISNUMBER(QV18),QV18*(1+PortfolioFrontier[[#This Row],[P116 Return]]),1+PortfolioFrontier[[#This Row],[P116 Return]])</f>
        <v>1.0767347486725531</v>
      </c>
      <c r="QW19" s="27">
        <f>MAX(QW18,PortfolioFrontier[[#This Row],[P116 Growth]])</f>
        <v>1.0767347486725531</v>
      </c>
      <c r="QX19" s="27">
        <f>PortfolioFrontier[[#This Row],[P116 Growth]]/PortfolioFrontier[[#This Row],[P116 HWM]]-1</f>
        <v>0</v>
      </c>
      <c r="QY19" s="28">
        <f>SUMPRODUCT(INDEX(PortfolioRef[[SPY]:[PE]],MATCH(QY$1,PortfolioRef[Reference '#]),0),AssetMonthlyReturns[[#This Row],[SPY]:[PE]])</f>
        <v>6.7591385881574859E-3</v>
      </c>
      <c r="QZ19" s="27">
        <f>IF(ISNUMBER(QZ18),QZ18*(1+PortfolioFrontier[[#This Row],[P117 Return]]),1+PortfolioFrontier[[#This Row],[P117 Return]])</f>
        <v>1.0710883879134756</v>
      </c>
      <c r="RA19" s="27">
        <f>MAX(RA18,PortfolioFrontier[[#This Row],[P117 Growth]])</f>
        <v>1.0710883879134756</v>
      </c>
      <c r="RB19" s="27">
        <f>PortfolioFrontier[[#This Row],[P117 Growth]]/PortfolioFrontier[[#This Row],[P117 HWM]]-1</f>
        <v>0</v>
      </c>
      <c r="RC19" s="28">
        <f>SUMPRODUCT(INDEX(PortfolioRef[[SPY]:[PE]],MATCH(RC$1,PortfolioRef[Reference '#]),0),AssetMonthlyReturns[[#This Row],[SPY]:[PE]])</f>
        <v>6.4927360147883353E-3</v>
      </c>
      <c r="RD19" s="27">
        <f>IF(ISNUMBER(RD18),RD18*(1+PortfolioFrontier[[#This Row],[P118 Return]]),1+PortfolioFrontier[[#This Row],[P118 Return]])</f>
        <v>1.0854595671815517</v>
      </c>
      <c r="RE19" s="27">
        <f>MAX(RE18,PortfolioFrontier[[#This Row],[P118 Growth]])</f>
        <v>1.0854595671815517</v>
      </c>
      <c r="RF19" s="27">
        <f>PortfolioFrontier[[#This Row],[P118 Growth]]/PortfolioFrontier[[#This Row],[P118 HWM]]-1</f>
        <v>0</v>
      </c>
      <c r="RG19" s="28">
        <f>SUMPRODUCT(INDEX(PortfolioRef[[SPY]:[PE]],MATCH(RG$1,PortfolioRef[Reference '#]),0),AssetMonthlyReturns[[#This Row],[SPY]:[PE]])</f>
        <v>5.510976057122796E-3</v>
      </c>
      <c r="RH19" s="27">
        <f>IF(ISNUMBER(RH18),RH18*(1+PortfolioFrontier[[#This Row],[P119 Return]]),1+PortfolioFrontier[[#This Row],[P119 Return]])</f>
        <v>1.0798279941938607</v>
      </c>
      <c r="RI19" s="27">
        <f>MAX(RI18,PortfolioFrontier[[#This Row],[P119 Growth]])</f>
        <v>1.0798279941938607</v>
      </c>
      <c r="RJ19" s="27">
        <f>PortfolioFrontier[[#This Row],[P119 Growth]]/PortfolioFrontier[[#This Row],[P119 HWM]]-1</f>
        <v>0</v>
      </c>
      <c r="RK19" s="28">
        <f>SUMPRODUCT(INDEX(PortfolioRef[[SPY]:[PE]],MATCH(RK$1,PortfolioRef[Reference '#]),0),AssetMonthlyReturns[[#This Row],[SPY]:[PE]])</f>
        <v>4.5292160994572558E-3</v>
      </c>
      <c r="RL19" s="27">
        <f>IF(ISNUMBER(RL18),RL18*(1+PortfolioFrontier[[#This Row],[P120 Return]]),1+PortfolioFrontier[[#This Row],[P120 Return]])</f>
        <v>1.074172060418906</v>
      </c>
      <c r="RM19" s="27">
        <f>MAX(RM18,PortfolioFrontier[[#This Row],[P120 Growth]])</f>
        <v>1.074172060418906</v>
      </c>
      <c r="RN19" s="27">
        <f>PortfolioFrontier[[#This Row],[P120 Growth]]/PortfolioFrontier[[#This Row],[P120 HWM]]-1</f>
        <v>0</v>
      </c>
      <c r="RO19" s="28">
        <f>SUMPRODUCT(INDEX(PortfolioRef[[SPY]:[PE]],MATCH(RO$1,PortfolioRef[Reference '#]),0),AssetMonthlyReturns[[#This Row],[SPY]:[PE]])</f>
        <v>4.2628135260881043E-3</v>
      </c>
      <c r="RP19" s="27">
        <f>IF(ISNUMBER(RP18),RP18*(1+PortfolioFrontier[[#This Row],[P121 Return]]),1+PortfolioFrontier[[#This Row],[P121 Return]])</f>
        <v>1.0885106833668838</v>
      </c>
      <c r="RQ19" s="27">
        <f>MAX(RQ18,PortfolioFrontier[[#This Row],[P121 Growth]])</f>
        <v>1.0885106833668838</v>
      </c>
      <c r="RR19" s="27">
        <f>PortfolioFrontier[[#This Row],[P121 Growth]]/PortfolioFrontier[[#This Row],[P121 HWM]]-1</f>
        <v>0</v>
      </c>
      <c r="RS19" s="28">
        <f>SUMPRODUCT(INDEX(PortfolioRef[[SPY]:[PE]],MATCH(RS$1,PortfolioRef[Reference '#]),0),AssetMonthlyReturns[[#This Row],[SPY]:[PE]])</f>
        <v>3.281053568422565E-3</v>
      </c>
      <c r="RT19" s="27">
        <f>IF(ISNUMBER(RT18),RT18*(1+PortfolioFrontier[[#This Row],[P122 Return]]),1+PortfolioFrontier[[#This Row],[P122 Return]])</f>
        <v>1.0828699666008104</v>
      </c>
      <c r="RU19" s="27">
        <f>MAX(RU18,PortfolioFrontier[[#This Row],[P122 Growth]])</f>
        <v>1.0828699666008104</v>
      </c>
      <c r="RV19" s="27">
        <f>PortfolioFrontier[[#This Row],[P122 Growth]]/PortfolioFrontier[[#This Row],[P122 HWM]]-1</f>
        <v>0</v>
      </c>
      <c r="RW19" s="28">
        <f>SUMPRODUCT(INDEX(PortfolioRef[[SPY]:[PE]],MATCH(RW$1,PortfolioRef[Reference '#]),0),AssetMonthlyReturns[[#This Row],[SPY]:[PE]])</f>
        <v>2.2992936107570248E-3</v>
      </c>
      <c r="RX19" s="27">
        <f>IF(ISNUMBER(RX18),RX18*(1+PortfolioFrontier[[#This Row],[P123 Return]]),1+PortfolioFrontier[[#This Row],[P123 Return]])</f>
        <v>1.0772047119196486</v>
      </c>
      <c r="RY19" s="27">
        <f>MAX(RY18,PortfolioFrontier[[#This Row],[P123 Growth]])</f>
        <v>1.0772047119196486</v>
      </c>
      <c r="RZ19" s="27">
        <f>PortfolioFrontier[[#This Row],[P123 Growth]]/PortfolioFrontier[[#This Row],[P123 HWM]]-1</f>
        <v>0</v>
      </c>
      <c r="SA19" s="28">
        <f>SUMPRODUCT(INDEX(PortfolioRef[[SPY]:[PE]],MATCH(SA$1,PortfolioRef[Reference '#]),0),AssetMonthlyReturns[[#This Row],[SPY]:[PE]])</f>
        <v>8.1236173659520843E-3</v>
      </c>
      <c r="SB19" s="27">
        <f>IF(ISNUMBER(SB18),SB18*(1+PortfolioFrontier[[#This Row],[P124 Return]]),1+PortfolioFrontier[[#This Row],[P124 Return]])</f>
        <v>1.0852674109127152</v>
      </c>
      <c r="SC19" s="27">
        <f>MAX(SC18,PortfolioFrontier[[#This Row],[P124 Growth]])</f>
        <v>1.0852674109127152</v>
      </c>
      <c r="SD19" s="27">
        <f>PortfolioFrontier[[#This Row],[P124 Growth]]/PortfolioFrontier[[#This Row],[P124 HWM]]-1</f>
        <v>0</v>
      </c>
      <c r="SE19" s="28">
        <f>SUMPRODUCT(INDEX(PortfolioRef[[SPY]:[PE]],MATCH(SE$1,PortfolioRef[Reference '#]),0),AssetMonthlyReturns[[#This Row],[SPY]:[PE]])</f>
        <v>7.141857408286544E-3</v>
      </c>
      <c r="SF19" s="27">
        <f>IF(ISNUMBER(SF18),SF18*(1+PortfolioFrontier[[#This Row],[P125 Return]]),1+PortfolioFrontier[[#This Row],[P125 Return]])</f>
        <v>1.0796629614495044</v>
      </c>
      <c r="SG19" s="27">
        <f>MAX(SG18,PortfolioFrontier[[#This Row],[P125 Growth]])</f>
        <v>1.0796629614495044</v>
      </c>
      <c r="SH19" s="27">
        <f>PortfolioFrontier[[#This Row],[P125 Growth]]/PortfolioFrontier[[#This Row],[P125 HWM]]-1</f>
        <v>0</v>
      </c>
      <c r="SI19" s="28">
        <f>SUMPRODUCT(INDEX(PortfolioRef[[SPY]:[PE]],MATCH(SI$1,PortfolioRef[Reference '#]),0),AssetMonthlyReturns[[#This Row],[SPY]:[PE]])</f>
        <v>6.1600974506210038E-3</v>
      </c>
      <c r="SJ19" s="27">
        <f>IF(ISNUMBER(SJ18),SJ18*(1+PortfolioFrontier[[#This Row],[P126 Return]]),1+PortfolioFrontier[[#This Row],[P126 Return]])</f>
        <v>1.0740339127955756</v>
      </c>
      <c r="SK19" s="27">
        <f>MAX(SK18,PortfolioFrontier[[#This Row],[P126 Growth]])</f>
        <v>1.0740339127955756</v>
      </c>
      <c r="SL19" s="27">
        <f>PortfolioFrontier[[#This Row],[P126 Growth]]/PortfolioFrontier[[#This Row],[P126 HWM]]-1</f>
        <v>0</v>
      </c>
      <c r="SM19" s="28">
        <f>SUMPRODUCT(INDEX(PortfolioRef[[SPY]:[PE]],MATCH(SM$1,PortfolioRef[Reference '#]),0),AssetMonthlyReturns[[#This Row],[SPY]:[PE]])</f>
        <v>5.8936948772518533E-3</v>
      </c>
      <c r="SN19" s="27">
        <f>IF(ISNUMBER(SN18),SN18*(1+PortfolioFrontier[[#This Row],[P127 Return]]),1+PortfolioFrontier[[#This Row],[P127 Return]])</f>
        <v>1.0883581030577731</v>
      </c>
      <c r="SO19" s="27">
        <f>MAX(SO18,PortfolioFrontier[[#This Row],[P127 Growth]])</f>
        <v>1.0883581030577731</v>
      </c>
      <c r="SP19" s="27">
        <f>PortfolioFrontier[[#This Row],[P127 Growth]]/PortfolioFrontier[[#This Row],[P127 HWM]]-1</f>
        <v>0</v>
      </c>
      <c r="SQ19" s="28">
        <f>SUMPRODUCT(INDEX(PortfolioRef[[SPY]:[PE]],MATCH(SQ$1,PortfolioRef[Reference '#]),0),AssetMonthlyReturns[[#This Row],[SPY]:[PE]])</f>
        <v>4.911934919586314E-3</v>
      </c>
      <c r="SR19" s="27">
        <f>IF(ISNUMBER(SR18),SR18*(1+PortfolioFrontier[[#This Row],[P128 Return]]),1+PortfolioFrontier[[#This Row],[P128 Return]])</f>
        <v>1.0827444490099345</v>
      </c>
      <c r="SS19" s="27">
        <f>MAX(SS18,PortfolioFrontier[[#This Row],[P128 Growth]])</f>
        <v>1.0827444490099345</v>
      </c>
      <c r="ST19" s="27">
        <f>PortfolioFrontier[[#This Row],[P128 Growth]]/PortfolioFrontier[[#This Row],[P128 HWM]]-1</f>
        <v>0</v>
      </c>
      <c r="SU19" s="28">
        <f>SUMPRODUCT(INDEX(PortfolioRef[[SPY]:[PE]],MATCH(SU$1,PortfolioRef[Reference '#]),0),AssetMonthlyReturns[[#This Row],[SPY]:[PE]])</f>
        <v>3.9301749619207738E-3</v>
      </c>
      <c r="SV19" s="27">
        <f>IF(ISNUMBER(SV18),SV18*(1+PortfolioFrontier[[#This Row],[P129 Return]]),1+PortfolioFrontier[[#This Row],[P129 Return]])</f>
        <v>1.0771060169712878</v>
      </c>
      <c r="SW19" s="27">
        <f>MAX(SW18,PortfolioFrontier[[#This Row],[P129 Growth]])</f>
        <v>1.0771060169712878</v>
      </c>
      <c r="SX19" s="27">
        <f>PortfolioFrontier[[#This Row],[P129 Growth]]/PortfolioFrontier[[#This Row],[P129 HWM]]-1</f>
        <v>0</v>
      </c>
      <c r="SY19" s="28">
        <f>SUMPRODUCT(INDEX(PortfolioRef[[SPY]:[PE]],MATCH(SY$1,PortfolioRef[Reference '#]),0),AssetMonthlyReturns[[#This Row],[SPY]:[PE]])</f>
        <v>3.6637723885516223E-3</v>
      </c>
      <c r="SZ19" s="27">
        <f>IF(ISNUMBER(SZ18),SZ18*(1+PortfolioFrontier[[#This Row],[P130 Return]]),1+PortfolioFrontier[[#This Row],[P130 Return]])</f>
        <v>1.0913970898294247</v>
      </c>
      <c r="TA19" s="27">
        <f>MAX(TA18,PortfolioFrontier[[#This Row],[P130 Growth]])</f>
        <v>1.0913970898294247</v>
      </c>
      <c r="TB19" s="27">
        <f>PortfolioFrontier[[#This Row],[P130 Growth]]/PortfolioFrontier[[#This Row],[P130 HWM]]-1</f>
        <v>0</v>
      </c>
      <c r="TC19" s="28">
        <f>SUMPRODUCT(INDEX(PortfolioRef[[SPY]:[PE]],MATCH(TC$1,PortfolioRef[Reference '#]),0),AssetMonthlyReturns[[#This Row],[SPY]:[PE]])</f>
        <v>2.6820124308860821E-3</v>
      </c>
      <c r="TD19" s="27">
        <f>IF(ISNUMBER(TD18),TD18*(1+PortfolioFrontier[[#This Row],[P131 Return]]),1+PortfolioFrontier[[#This Row],[P131 Return]])</f>
        <v>1.0857744821494362</v>
      </c>
      <c r="TE19" s="27">
        <f>MAX(TE18,PortfolioFrontier[[#This Row],[P131 Growth]])</f>
        <v>1.0857744821494362</v>
      </c>
      <c r="TF19" s="27">
        <f>PortfolioFrontier[[#This Row],[P131 Growth]]/PortfolioFrontier[[#This Row],[P131 HWM]]-1</f>
        <v>0</v>
      </c>
      <c r="TG19" s="28">
        <f>SUMPRODUCT(INDEX(PortfolioRef[[SPY]:[PE]],MATCH(TG$1,PortfolioRef[Reference '#]),0),AssetMonthlyReturns[[#This Row],[SPY]:[PE]])</f>
        <v>1.7002524732205419E-3</v>
      </c>
      <c r="TH19" s="27">
        <f>IF(ISNUMBER(TH18),TH18*(1+PortfolioFrontier[[#This Row],[P132 Return]]),1+PortfolioFrontier[[#This Row],[P132 Return]])</f>
        <v>1.0801269183807134</v>
      </c>
      <c r="TI19" s="27">
        <f>MAX(TI18,PortfolioFrontier[[#This Row],[P132 Growth]])</f>
        <v>1.0801269183807134</v>
      </c>
      <c r="TJ19" s="27">
        <f>PortfolioFrontier[[#This Row],[P132 Growth]]/PortfolioFrontier[[#This Row],[P132 HWM]]-1</f>
        <v>0</v>
      </c>
      <c r="TK19" s="28">
        <f>SUMPRODUCT(INDEX(PortfolioRef[[SPY]:[PE]],MATCH(TK$1,PortfolioRef[Reference '#]),0),AssetMonthlyReturns[[#This Row],[SPY]:[PE]])</f>
        <v>7.5245762284156014E-3</v>
      </c>
      <c r="TL19" s="27">
        <f>IF(ISNUMBER(TL18),TL18*(1+PortfolioFrontier[[#This Row],[P133 Return]]),1+PortfolioFrontier[[#This Row],[P133 Return]])</f>
        <v>1.0881542971116418</v>
      </c>
      <c r="TM19" s="27">
        <f>MAX(TM18,PortfolioFrontier[[#This Row],[P133 Growth]])</f>
        <v>1.0881542971116418</v>
      </c>
      <c r="TN19" s="27">
        <f>PortfolioFrontier[[#This Row],[P133 Growth]]/PortfolioFrontier[[#This Row],[P133 HWM]]-1</f>
        <v>0</v>
      </c>
      <c r="TO19" s="28">
        <f>SUMPRODUCT(INDEX(PortfolioRef[[SPY]:[PE]],MATCH(TO$1,PortfolioRef[Reference '#]),0),AssetMonthlyReturns[[#This Row],[SPY]:[PE]])</f>
        <v>6.542816270750062E-3</v>
      </c>
      <c r="TP19" s="27">
        <f>IF(ISNUMBER(TP18),TP18*(1+PortfolioFrontier[[#This Row],[P134 Return]]),1+PortfolioFrontier[[#This Row],[P134 Return]])</f>
        <v>1.0825678756737402</v>
      </c>
      <c r="TQ19" s="27">
        <f>MAX(TQ18,PortfolioFrontier[[#This Row],[P134 Growth]])</f>
        <v>1.0825678756737402</v>
      </c>
      <c r="TR19" s="27">
        <f>PortfolioFrontier[[#This Row],[P134 Growth]]/PortfolioFrontier[[#This Row],[P134 HWM]]-1</f>
        <v>0</v>
      </c>
      <c r="TS19" s="28">
        <f>SUMPRODUCT(INDEX(PortfolioRef[[SPY]:[PE]],MATCH(TS$1,PortfolioRef[Reference '#]),0),AssetMonthlyReturns[[#This Row],[SPY]:[PE]])</f>
        <v>5.5610563130845218E-3</v>
      </c>
      <c r="TT19" s="27">
        <f>IF(ISNUMBER(TT18),TT18*(1+PortfolioFrontier[[#This Row],[P135 Return]]),1+PortfolioFrontier[[#This Row],[P135 Return]])</f>
        <v>1.0769564384660921</v>
      </c>
      <c r="TU19" s="27">
        <f>MAX(TU18,PortfolioFrontier[[#This Row],[P135 Growth]])</f>
        <v>1.0769564384660921</v>
      </c>
      <c r="TV19" s="27">
        <f>PortfolioFrontier[[#This Row],[P135 Growth]]/PortfolioFrontier[[#This Row],[P135 HWM]]-1</f>
        <v>0</v>
      </c>
      <c r="TW19" s="28">
        <f>SUMPRODUCT(INDEX(PortfolioRef[[SPY]:[PE]],MATCH(TW$1,PortfolioRef[Reference '#]),0),AssetMonthlyReturns[[#This Row],[SPY]:[PE]])</f>
        <v>5.2946537397153721E-3</v>
      </c>
      <c r="TX19" s="27">
        <f>IF(ISNUMBER(TX18),TX18*(1+PortfolioFrontier[[#This Row],[P136 Return]]),1+PortfolioFrontier[[#This Row],[P136 Return]])</f>
        <v>1.0912328642538542</v>
      </c>
      <c r="TY19" s="27">
        <f>MAX(TY18,PortfolioFrontier[[#This Row],[P136 Growth]])</f>
        <v>1.0912328642538542</v>
      </c>
      <c r="TZ19" s="27">
        <f>PortfolioFrontier[[#This Row],[P136 Growth]]/PortfolioFrontier[[#This Row],[P136 HWM]]-1</f>
        <v>0</v>
      </c>
      <c r="UA19" s="28">
        <f>SUMPRODUCT(INDEX(PortfolioRef[[SPY]:[PE]],MATCH(UA$1,PortfolioRef[Reference '#]),0),AssetMonthlyReturns[[#This Row],[SPY]:[PE]])</f>
        <v>4.3128937820498319E-3</v>
      </c>
      <c r="UB19" s="27">
        <f>IF(ISNUMBER(UB18),UB18*(1+PortfolioFrontier[[#This Row],[P137 Return]]),1+PortfolioFrontier[[#This Row],[P137 Return]])</f>
        <v>1.0856374291439175</v>
      </c>
      <c r="UC19" s="27">
        <f>MAX(UC18,PortfolioFrontier[[#This Row],[P137 Growth]])</f>
        <v>1.0856374291439175</v>
      </c>
      <c r="UD19" s="27">
        <f>PortfolioFrontier[[#This Row],[P137 Growth]]/PortfolioFrontier[[#This Row],[P137 HWM]]-1</f>
        <v>0</v>
      </c>
      <c r="UE19" s="28">
        <f>SUMPRODUCT(INDEX(PortfolioRef[[SPY]:[PE]],MATCH(UE$1,PortfolioRef[Reference '#]),0),AssetMonthlyReturns[[#This Row],[SPY]:[PE]])</f>
        <v>3.3311338243842917E-3</v>
      </c>
      <c r="UF19" s="27">
        <f>IF(ISNUMBER(UF18),UF18*(1+PortfolioFrontier[[#This Row],[P138 Return]]),1+PortfolioFrontier[[#This Row],[P138 Return]])</f>
        <v>1.0800167984908842</v>
      </c>
      <c r="UG19" s="27">
        <f>MAX(UG18,PortfolioFrontier[[#This Row],[P138 Growth]])</f>
        <v>1.0800167984908842</v>
      </c>
      <c r="UH19" s="27">
        <f>PortfolioFrontier[[#This Row],[P138 Growth]]/PortfolioFrontier[[#This Row],[P138 HWM]]-1</f>
        <v>0</v>
      </c>
      <c r="UI19" s="28">
        <f>SUMPRODUCT(INDEX(PortfolioRef[[SPY]:[PE]],MATCH(UI$1,PortfolioRef[Reference '#]),0),AssetMonthlyReturns[[#This Row],[SPY]:[PE]])</f>
        <v>3.0647312510151395E-3</v>
      </c>
      <c r="UJ19" s="27">
        <f>IF(ISNUMBER(UJ18),UJ18*(1+PortfolioFrontier[[#This Row],[P139 Return]]),1+PortfolioFrontier[[#This Row],[P139 Return]])</f>
        <v>1.0942595463663214</v>
      </c>
      <c r="UK19" s="27">
        <f>MAX(UK18,PortfolioFrontier[[#This Row],[P139 Growth]])</f>
        <v>1.0942595463663214</v>
      </c>
      <c r="UL19" s="27">
        <f>PortfolioFrontier[[#This Row],[P139 Growth]]/PortfolioFrontier[[#This Row],[P139 HWM]]-1</f>
        <v>0</v>
      </c>
      <c r="UM19" s="28">
        <f>SUMPRODUCT(INDEX(PortfolioRef[[SPY]:[PE]],MATCH(UM$1,PortfolioRef[Reference '#]),0),AssetMonthlyReturns[[#This Row],[SPY]:[PE]])</f>
        <v>2.0829712933496001E-3</v>
      </c>
      <c r="UN19" s="27">
        <f>IF(ISNUMBER(UN18),UN18*(1+PortfolioFrontier[[#This Row],[P140 Return]]),1+PortfolioFrontier[[#This Row],[P140 Return]])</f>
        <v>1.0886553480464038</v>
      </c>
      <c r="UO19" s="27">
        <f>MAX(UO18,PortfolioFrontier[[#This Row],[P140 Growth]])</f>
        <v>1.0886553480464038</v>
      </c>
      <c r="UP19" s="27">
        <f>PortfolioFrontier[[#This Row],[P140 Growth]]/PortfolioFrontier[[#This Row],[P140 HWM]]-1</f>
        <v>0</v>
      </c>
      <c r="UQ19" s="28">
        <f>SUMPRODUCT(INDEX(PortfolioRef[[SPY]:[PE]],MATCH(UQ$1,PortfolioRef[Reference '#]),0),AssetMonthlyReturns[[#This Row],[SPY]:[PE]])</f>
        <v>1.1012113356840591E-3</v>
      </c>
      <c r="UR19" s="27">
        <f>IF(ISNUMBER(UR18),UR18*(1+PortfolioFrontier[[#This Row],[P141 Return]]),1+PortfolioFrontier[[#This Row],[P141 Return]])</f>
        <v>1.0830257751304646</v>
      </c>
      <c r="US19" s="27">
        <f>MAX(US18,PortfolioFrontier[[#This Row],[P141 Growth]])</f>
        <v>1.0830257751304646</v>
      </c>
      <c r="UT19" s="27">
        <f>PortfolioFrontier[[#This Row],[P141 Growth]]/PortfolioFrontier[[#This Row],[P141 HWM]]-1</f>
        <v>0</v>
      </c>
    </row>
    <row r="20" spans="2:566" x14ac:dyDescent="0.2">
      <c r="B20" s="41">
        <f>AssetMonthlyReturns[[#This Row],[Date]]</f>
        <v>42979</v>
      </c>
      <c r="C20" s="28">
        <f>SUMPRODUCT(INDEX(PortfolioRef[[SPY]:[PE]],MATCH(C$1,PortfolioRef[Reference '#]),0),AssetMonthlyReturns[[#This Row],[SPY]:[PE]])</f>
        <v>6.4874278939363872E-3</v>
      </c>
      <c r="D20" s="29">
        <f>IF(ISNUMBER(D19),D19*(1+PortfolioFrontier[[#This Row],[P1 Return]]),1+PortfolioFrontier[[#This Row],[P1 Return]])</f>
        <v>1.1438799837226075</v>
      </c>
      <c r="E20" s="29">
        <f>MAX(E19,PortfolioFrontier[[#This Row],[P1 Growth]])</f>
        <v>1.1438799837226075</v>
      </c>
      <c r="F20" s="29">
        <f>PortfolioFrontier[[#This Row],[P1 Growth]]/PortfolioFrontier[[#This Row],[P1 HWM]]-1</f>
        <v>0</v>
      </c>
      <c r="G20" s="28">
        <f>SUMPRODUCT(INDEX(PortfolioRef[[SPY]:[PE]],MATCH(G$1,PortfolioRef[Reference '#]),0),AssetMonthlyReturns[[#This Row],[SPY]:[PE]])</f>
        <v>5.4468225168551772E-3</v>
      </c>
      <c r="H20" s="27">
        <f>IF(ISNUMBER(H19),H19*(1+PortfolioFrontier[[#This Row],[P2 Return]]),1+PortfolioFrontier[[#This Row],[P2 Return]])</f>
        <v>1.1325113181520097</v>
      </c>
      <c r="I20" s="27">
        <f>MAX(I19,PortfolioFrontier[[#This Row],[P2 Growth]])</f>
        <v>1.1325113181520097</v>
      </c>
      <c r="J20" s="27">
        <f>PortfolioFrontier[[#This Row],[P2 Growth]]/PortfolioFrontier[[#This Row],[P2 HWM]]-1</f>
        <v>0</v>
      </c>
      <c r="K20" s="28">
        <f>SUMPRODUCT(INDEX(PortfolioRef[[SPY]:[PE]],MATCH(K$1,PortfolioRef[Reference '#]),0),AssetMonthlyReturns[[#This Row],[SPY]:[PE]])</f>
        <v>4.0468913466980118E-3</v>
      </c>
      <c r="L20" s="27">
        <f>IF(ISNUMBER(L19),L19*(1+PortfolioFrontier[[#This Row],[P3 Return]]),1+PortfolioFrontier[[#This Row],[P3 Return]])</f>
        <v>1.1308795682615429</v>
      </c>
      <c r="M20" s="27">
        <f>MAX(M19,PortfolioFrontier[[#This Row],[P3 Growth]])</f>
        <v>1.1308795682615429</v>
      </c>
      <c r="N20" s="27">
        <f>PortfolioFrontier[[#This Row],[P3 Growth]]/PortfolioFrontier[[#This Row],[P3 HWM]]-1</f>
        <v>0</v>
      </c>
      <c r="O20" s="28">
        <f>SUMPRODUCT(INDEX(PortfolioRef[[SPY]:[PE]],MATCH(O$1,PortfolioRef[Reference '#]),0),AssetMonthlyReturns[[#This Row],[SPY]:[PE]])</f>
        <v>5.16662202441448E-3</v>
      </c>
      <c r="P20" s="27">
        <f>IF(ISNUMBER(P19),P19*(1+PortfolioFrontier[[#This Row],[P4 Return]]),1+PortfolioFrontier[[#This Row],[P4 Return]])</f>
        <v>1.135272324503531</v>
      </c>
      <c r="Q20" s="27">
        <f>MAX(Q19,PortfolioFrontier[[#This Row],[P4 Growth]])</f>
        <v>1.135272324503531</v>
      </c>
      <c r="R20" s="27">
        <f>PortfolioFrontier[[#This Row],[P4 Growth]]/PortfolioFrontier[[#This Row],[P4 HWM]]-1</f>
        <v>0</v>
      </c>
      <c r="S20" s="28">
        <f>SUMPRODUCT(INDEX(PortfolioRef[[SPY]:[PE]],MATCH(S$1,PortfolioRef[Reference '#]),0),AssetMonthlyReturns[[#This Row],[SPY]:[PE]])</f>
        <v>7.4974860390672523E-3</v>
      </c>
      <c r="T20" s="27">
        <f>IF(ISNUMBER(T19),T19*(1+PortfolioFrontier[[#This Row],[P5 Return]]),1+PortfolioFrontier[[#This Row],[P5 Return]])</f>
        <v>1.1319415522552028</v>
      </c>
      <c r="U20" s="27">
        <f>MAX(U19,PortfolioFrontier[[#This Row],[P5 Growth]])</f>
        <v>1.1319415522552028</v>
      </c>
      <c r="V20" s="27">
        <f>PortfolioFrontier[[#This Row],[P5 Growth]]/PortfolioFrontier[[#This Row],[P5 HWM]]-1</f>
        <v>0</v>
      </c>
      <c r="W20" s="28">
        <f>SUMPRODUCT(INDEX(PortfolioRef[[SPY]:[PE]],MATCH(W$1,PortfolioRef[Reference '#]),0),AssetMonthlyReturns[[#This Row],[SPY]:[PE]])</f>
        <v>4.4062171397739663E-3</v>
      </c>
      <c r="X20" s="27">
        <f>IF(ISNUMBER(X19),X19*(1+PortfolioFrontier[[#This Row],[P6 Return]]),1+PortfolioFrontier[[#This Row],[P6 Return]])</f>
        <v>1.1212316201847086</v>
      </c>
      <c r="Y20" s="27">
        <f>MAX(Y19,PortfolioFrontier[[#This Row],[P6 Growth]])</f>
        <v>1.1212316201847086</v>
      </c>
      <c r="Z20" s="27">
        <f>PortfolioFrontier[[#This Row],[P6 Growth]]/PortfolioFrontier[[#This Row],[P6 HWM]]-1</f>
        <v>0</v>
      </c>
      <c r="AA20" s="28">
        <f>SUMPRODUCT(INDEX(PortfolioRef[[SPY]:[PE]],MATCH(AA$1,PortfolioRef[Reference '#]),0),AssetMonthlyReturns[[#This Row],[SPY]:[PE]])</f>
        <v>3.0062859696168009E-3</v>
      </c>
      <c r="AB20" s="27">
        <f>IF(ISNUMBER(AB19),AB19*(1+PortfolioFrontier[[#This Row],[P7 Return]]),1+PortfolioFrontier[[#This Row],[P7 Return]])</f>
        <v>1.1196033191531496</v>
      </c>
      <c r="AC20" s="27">
        <f>MAX(AC19,PortfolioFrontier[[#This Row],[P7 Growth]])</f>
        <v>1.1196033191531496</v>
      </c>
      <c r="AD20" s="27">
        <f>PortfolioFrontier[[#This Row],[P7 Growth]]/PortfolioFrontier[[#This Row],[P7 HWM]]-1</f>
        <v>0</v>
      </c>
      <c r="AE20" s="28">
        <f>SUMPRODUCT(INDEX(PortfolioRef[[SPY]:[PE]],MATCH(AE$1,PortfolioRef[Reference '#]),0),AssetMonthlyReturns[[#This Row],[SPY]:[PE]])</f>
        <v>4.1260166473332692E-3</v>
      </c>
      <c r="AF20" s="27">
        <f>IF(ISNUMBER(AF19),AF19*(1+PortfolioFrontier[[#This Row],[P8 Return]]),1+PortfolioFrontier[[#This Row],[P8 Return]])</f>
        <v>1.1239759741891333</v>
      </c>
      <c r="AG20" s="27">
        <f>MAX(AG19,PortfolioFrontier[[#This Row],[P8 Growth]])</f>
        <v>1.1239759741891333</v>
      </c>
      <c r="AH20" s="27">
        <f>PortfolioFrontier[[#This Row],[P8 Growth]]/PortfolioFrontier[[#This Row],[P8 HWM]]-1</f>
        <v>0</v>
      </c>
      <c r="AI20" s="28">
        <f>SUMPRODUCT(INDEX(PortfolioRef[[SPY]:[PE]],MATCH(AI$1,PortfolioRef[Reference '#]),0),AssetMonthlyReturns[[#This Row],[SPY]:[PE]])</f>
        <v>6.4568806619860414E-3</v>
      </c>
      <c r="AJ20" s="27">
        <f>IF(ISNUMBER(AJ19),AJ19*(1+PortfolioFrontier[[#This Row],[P9 Return]]),1+PortfolioFrontier[[#This Row],[P9 Return]])</f>
        <v>1.1206738049479013</v>
      </c>
      <c r="AK20" s="27">
        <f>MAX(AK19,PortfolioFrontier[[#This Row],[P9 Growth]])</f>
        <v>1.1206738049479013</v>
      </c>
      <c r="AL20" s="27">
        <f>PortfolioFrontier[[#This Row],[P9 Growth]]/PortfolioFrontier[[#This Row],[P9 HWM]]-1</f>
        <v>0</v>
      </c>
      <c r="AM20" s="28">
        <f>SUMPRODUCT(INDEX(PortfolioRef[[SPY]:[PE]],MATCH(AM$1,PortfolioRef[Reference '#]),0),AssetMonthlyReturns[[#This Row],[SPY]:[PE]])</f>
        <v>1.6063547994596362E-3</v>
      </c>
      <c r="AN20" s="27">
        <f>IF(ISNUMBER(AN19),AN19*(1+PortfolioFrontier[[#This Row],[P10 Return]]),1+PortfolioFrontier[[#This Row],[P10 Return]])</f>
        <v>1.1179225003227653</v>
      </c>
      <c r="AO20" s="27">
        <f>MAX(AO19,PortfolioFrontier[[#This Row],[P10 Growth]])</f>
        <v>1.1179225003227653</v>
      </c>
      <c r="AP20" s="27">
        <f>PortfolioFrontier[[#This Row],[P10 Growth]]/PortfolioFrontier[[#This Row],[P10 HWM]]-1</f>
        <v>0</v>
      </c>
      <c r="AQ20" s="28">
        <f>SUMPRODUCT(INDEX(PortfolioRef[[SPY]:[PE]],MATCH(AQ$1,PortfolioRef[Reference '#]),0),AssetMonthlyReturns[[#This Row],[SPY]:[PE]])</f>
        <v>2.7260854771761047E-3</v>
      </c>
      <c r="AR20" s="27">
        <f>IF(ISNUMBER(AR19),AR19*(1+PortfolioFrontier[[#This Row],[P11 Return]]),1+PortfolioFrontier[[#This Row],[P11 Return]])</f>
        <v>1.1223315870670523</v>
      </c>
      <c r="AS20" s="27">
        <f>MAX(AS19,PortfolioFrontier[[#This Row],[P11 Growth]])</f>
        <v>1.1223315870670523</v>
      </c>
      <c r="AT20" s="27">
        <f>PortfolioFrontier[[#This Row],[P11 Growth]]/PortfolioFrontier[[#This Row],[P11 HWM]]-1</f>
        <v>0</v>
      </c>
      <c r="AU20" s="28">
        <f>SUMPRODUCT(INDEX(PortfolioRef[[SPY]:[PE]],MATCH(AU$1,PortfolioRef[Reference '#]),0),AssetMonthlyReturns[[#This Row],[SPY]:[PE]])</f>
        <v>5.0569494918288769E-3</v>
      </c>
      <c r="AV20" s="27">
        <f>IF(ISNUMBER(AV19),AV19*(1+PortfolioFrontier[[#This Row],[P12 Return]]),1+PortfolioFrontier[[#This Row],[P12 Return]])</f>
        <v>1.1190650445932979</v>
      </c>
      <c r="AW20" s="27">
        <f>MAX(AW19,PortfolioFrontier[[#This Row],[P12 Growth]])</f>
        <v>1.1190650445932979</v>
      </c>
      <c r="AX20" s="27">
        <f>PortfolioFrontier[[#This Row],[P12 Growth]]/PortfolioFrontier[[#This Row],[P12 HWM]]-1</f>
        <v>0</v>
      </c>
      <c r="AY20" s="28">
        <f>SUMPRODUCT(INDEX(PortfolioRef[[SPY]:[PE]],MATCH(AY$1,PortfolioRef[Reference '#]),0),AssetMonthlyReturns[[#This Row],[SPY]:[PE]])</f>
        <v>3.8458161548925729E-3</v>
      </c>
      <c r="AZ20" s="27">
        <f>IF(ISNUMBER(AZ19),AZ19*(1+PortfolioFrontier[[#This Row],[P13 Return]]),1+PortfolioFrontier[[#This Row],[P13 Return]])</f>
        <v>1.1266944799207523</v>
      </c>
      <c r="BA20" s="27">
        <f>MAX(BA19,PortfolioFrontier[[#This Row],[P13 Growth]])</f>
        <v>1.1266944799207523</v>
      </c>
      <c r="BB20" s="27">
        <f>PortfolioFrontier[[#This Row],[P13 Growth]]/PortfolioFrontier[[#This Row],[P13 HWM]]-1</f>
        <v>0</v>
      </c>
      <c r="BC20" s="28">
        <f>SUMPRODUCT(INDEX(PortfolioRef[[SPY]:[PE]],MATCH(BC$1,PortfolioRef[Reference '#]),0),AssetMonthlyReturns[[#This Row],[SPY]:[PE]])</f>
        <v>6.176680169545346E-3</v>
      </c>
      <c r="BD20" s="27">
        <f>IF(ISNUMBER(BD19),BD19*(1+PortfolioFrontier[[#This Row],[P14 Return]]),1+PortfolioFrontier[[#This Row],[P14 Return]])</f>
        <v>1.1234191925164574</v>
      </c>
      <c r="BE20" s="27">
        <f>MAX(BE19,PortfolioFrontier[[#This Row],[P14 Growth]])</f>
        <v>1.1234191925164574</v>
      </c>
      <c r="BF20" s="27">
        <f>PortfolioFrontier[[#This Row],[P14 Growth]]/PortfolioFrontier[[#This Row],[P14 HWM]]-1</f>
        <v>0</v>
      </c>
      <c r="BG20" s="28">
        <f>SUMPRODUCT(INDEX(PortfolioRef[[SPY]:[PE]],MATCH(BG$1,PortfolioRef[Reference '#]),0),AssetMonthlyReturns[[#This Row],[SPY]:[PE]])</f>
        <v>8.5075441841981191E-3</v>
      </c>
      <c r="BH20" s="27">
        <f>IF(ISNUMBER(BH19),BH19*(1+PortfolioFrontier[[#This Row],[P15 Return]]),1+PortfolioFrontier[[#This Row],[P15 Return]])</f>
        <v>1.1200916707631516</v>
      </c>
      <c r="BI20" s="27">
        <f>MAX(BI19,PortfolioFrontier[[#This Row],[P15 Growth]])</f>
        <v>1.1200916707631516</v>
      </c>
      <c r="BJ20" s="27">
        <f>PortfolioFrontier[[#This Row],[P15 Growth]]/PortfolioFrontier[[#This Row],[P15 HWM]]-1</f>
        <v>0</v>
      </c>
      <c r="BK20" s="28">
        <f>SUMPRODUCT(INDEX(PortfolioRef[[SPY]:[PE]],MATCH(BK$1,PortfolioRef[Reference '#]),0),AssetMonthlyReturns[[#This Row],[SPY]:[PE]])</f>
        <v>3.3656117626927554E-3</v>
      </c>
      <c r="BL20" s="27">
        <f>IF(ISNUMBER(BL19),BL19*(1+PortfolioFrontier[[#This Row],[P16 Return]]),1+PortfolioFrontier[[#This Row],[P16 Return]])</f>
        <v>1.1100403875102693</v>
      </c>
      <c r="BM20" s="27">
        <f>MAX(BM19,PortfolioFrontier[[#This Row],[P16 Growth]])</f>
        <v>1.1100403875102693</v>
      </c>
      <c r="BN20" s="27">
        <f>PortfolioFrontier[[#This Row],[P16 Growth]]/PortfolioFrontier[[#This Row],[P16 HWM]]-1</f>
        <v>0</v>
      </c>
      <c r="BO20" s="28">
        <f>SUMPRODUCT(INDEX(PortfolioRef[[SPY]:[PE]],MATCH(BO$1,PortfolioRef[Reference '#]),0),AssetMonthlyReturns[[#This Row],[SPY]:[PE]])</f>
        <v>1.9656805925355909E-3</v>
      </c>
      <c r="BP20" s="27">
        <f>IF(ISNUMBER(BP19),BP19*(1+PortfolioFrontier[[#This Row],[P17 Return]]),1+PortfolioFrontier[[#This Row],[P17 Return]])</f>
        <v>1.1084156194454544</v>
      </c>
      <c r="BQ20" s="27">
        <f>MAX(BQ19,PortfolioFrontier[[#This Row],[P17 Growth]])</f>
        <v>1.1084156194454544</v>
      </c>
      <c r="BR20" s="27">
        <f>PortfolioFrontier[[#This Row],[P17 Growth]]/PortfolioFrontier[[#This Row],[P17 HWM]]-1</f>
        <v>0</v>
      </c>
      <c r="BS20" s="28">
        <f>SUMPRODUCT(INDEX(PortfolioRef[[SPY]:[PE]],MATCH(BS$1,PortfolioRef[Reference '#]),0),AssetMonthlyReturns[[#This Row],[SPY]:[PE]])</f>
        <v>3.0854112702520592E-3</v>
      </c>
      <c r="BT20" s="27">
        <f>IF(ISNUMBER(BT19),BT19*(1+PortfolioFrontier[[#This Row],[P18 Return]]),1+PortfolioFrontier[[#This Row],[P18 Return]])</f>
        <v>1.1127681330009107</v>
      </c>
      <c r="BU20" s="27">
        <f>MAX(BU19,PortfolioFrontier[[#This Row],[P18 Growth]])</f>
        <v>1.1127681330009107</v>
      </c>
      <c r="BV20" s="27">
        <f>PortfolioFrontier[[#This Row],[P18 Growth]]/PortfolioFrontier[[#This Row],[P18 HWM]]-1</f>
        <v>0</v>
      </c>
      <c r="BW20" s="28">
        <f>SUMPRODUCT(INDEX(PortfolioRef[[SPY]:[PE]],MATCH(BW$1,PortfolioRef[Reference '#]),0),AssetMonthlyReturns[[#This Row],[SPY]:[PE]])</f>
        <v>5.4162752849048314E-3</v>
      </c>
      <c r="BX20" s="27">
        <f>IF(ISNUMBER(BX19),BX19*(1+PortfolioFrontier[[#This Row],[P19 Return]]),1+PortfolioFrontier[[#This Row],[P19 Return]])</f>
        <v>1.1094943769651897</v>
      </c>
      <c r="BY20" s="27">
        <f>MAX(BY19,PortfolioFrontier[[#This Row],[P19 Growth]])</f>
        <v>1.1094943769651897</v>
      </c>
      <c r="BZ20" s="27">
        <f>PortfolioFrontier[[#This Row],[P19 Growth]]/PortfolioFrontier[[#This Row],[P19 HWM]]-1</f>
        <v>0</v>
      </c>
      <c r="CA20" s="28">
        <f>SUMPRODUCT(INDEX(PortfolioRef[[SPY]:[PE]],MATCH(CA$1,PortfolioRef[Reference '#]),0),AssetMonthlyReturns[[#This Row],[SPY]:[PE]])</f>
        <v>5.6574942237842601E-4</v>
      </c>
      <c r="CB20" s="27">
        <f>IF(ISNUMBER(CB19),CB19*(1+PortfolioFrontier[[#This Row],[P20 Return]]),1+PortfolioFrontier[[#This Row],[P20 Return]])</f>
        <v>1.1067388206520459</v>
      </c>
      <c r="CC20" s="27">
        <f>MAX(CC19,PortfolioFrontier[[#This Row],[P20 Growth]])</f>
        <v>1.1067388206520459</v>
      </c>
      <c r="CD20" s="27">
        <f>PortfolioFrontier[[#This Row],[P20 Growth]]/PortfolioFrontier[[#This Row],[P20 HWM]]-1</f>
        <v>0</v>
      </c>
      <c r="CE20" s="28">
        <f>SUMPRODUCT(INDEX(PortfolioRef[[SPY]:[PE]],MATCH(CE$1,PortfolioRef[Reference '#]),0),AssetMonthlyReturns[[#This Row],[SPY]:[PE]])</f>
        <v>1.6854801000948949E-3</v>
      </c>
      <c r="CF20" s="27">
        <f>IF(ISNUMBER(CF19),CF19*(1+PortfolioFrontier[[#This Row],[P21 Return]]),1+PortfolioFrontier[[#This Row],[P21 Return]])</f>
        <v>1.1111274050195761</v>
      </c>
      <c r="CG20" s="27">
        <f>MAX(CG19,PortfolioFrontier[[#This Row],[P21 Growth]])</f>
        <v>1.1111274050195761</v>
      </c>
      <c r="CH20" s="27">
        <f>PortfolioFrontier[[#This Row],[P21 Growth]]/PortfolioFrontier[[#This Row],[P21 HWM]]-1</f>
        <v>0</v>
      </c>
      <c r="CI20" s="28">
        <f>SUMPRODUCT(INDEX(PortfolioRef[[SPY]:[PE]],MATCH(CI$1,PortfolioRef[Reference '#]),0),AssetMonthlyReturns[[#This Row],[SPY]:[PE]])</f>
        <v>4.0163441147476669E-3</v>
      </c>
      <c r="CJ20" s="27">
        <f>IF(ISNUMBER(CJ19),CJ19*(1+PortfolioFrontier[[#This Row],[P22 Return]]),1+PortfolioFrontier[[#This Row],[P22 Return]])</f>
        <v>1.1078889779223486</v>
      </c>
      <c r="CK20" s="27">
        <f>MAX(CK19,PortfolioFrontier[[#This Row],[P22 Growth]])</f>
        <v>1.1078889779223486</v>
      </c>
      <c r="CL20" s="27">
        <f>PortfolioFrontier[[#This Row],[P22 Growth]]/PortfolioFrontier[[#This Row],[P22 HWM]]-1</f>
        <v>0</v>
      </c>
      <c r="CM20" s="28">
        <f>SUMPRODUCT(INDEX(PortfolioRef[[SPY]:[PE]],MATCH(CM$1,PortfolioRef[Reference '#]),0),AssetMonthlyReturns[[#This Row],[SPY]:[PE]])</f>
        <v>2.8052107778113629E-3</v>
      </c>
      <c r="CN20" s="27">
        <f>IF(ISNUMBER(CN19),CN19*(1+PortfolioFrontier[[#This Row],[P23 Return]]),1+PortfolioFrontier[[#This Row],[P23 Return]])</f>
        <v>1.1154703143173703</v>
      </c>
      <c r="CO20" s="27">
        <f>MAX(CO19,PortfolioFrontier[[#This Row],[P23 Growth]])</f>
        <v>1.1154703143173703</v>
      </c>
      <c r="CP20" s="27">
        <f>PortfolioFrontier[[#This Row],[P23 Growth]]/PortfolioFrontier[[#This Row],[P23 HWM]]-1</f>
        <v>0</v>
      </c>
      <c r="CQ20" s="28">
        <f>SUMPRODUCT(INDEX(PortfolioRef[[SPY]:[PE]],MATCH(CQ$1,PortfolioRef[Reference '#]),0),AssetMonthlyReturns[[#This Row],[SPY]:[PE]])</f>
        <v>5.136074792464136E-3</v>
      </c>
      <c r="CR20" s="27">
        <f>IF(ISNUMBER(CR19),CR19*(1+PortfolioFrontier[[#This Row],[P24 Return]]),1+PortfolioFrontier[[#This Row],[P24 Return]])</f>
        <v>1.1122231480321971</v>
      </c>
      <c r="CS20" s="27">
        <f>MAX(CS19,PortfolioFrontier[[#This Row],[P24 Growth]])</f>
        <v>1.1122231480321971</v>
      </c>
      <c r="CT20" s="27">
        <f>PortfolioFrontier[[#This Row],[P24 Growth]]/PortfolioFrontier[[#This Row],[P24 HWM]]-1</f>
        <v>0</v>
      </c>
      <c r="CU20" s="28">
        <f>SUMPRODUCT(INDEX(PortfolioRef[[SPY]:[PE]],MATCH(CU$1,PortfolioRef[Reference '#]),0),AssetMonthlyReturns[[#This Row],[SPY]:[PE]])</f>
        <v>7.4669388071169083E-3</v>
      </c>
      <c r="CV20" s="27">
        <f>IF(ISNUMBER(CV19),CV19*(1+PortfolioFrontier[[#This Row],[P25 Return]]),1+PortfolioFrontier[[#This Row],[P25 Return]])</f>
        <v>1.1089242453073298</v>
      </c>
      <c r="CW20" s="27">
        <f>MAX(CW19,PortfolioFrontier[[#This Row],[P25 Growth]])</f>
        <v>1.1089242453073298</v>
      </c>
      <c r="CX20" s="27">
        <f>PortfolioFrontier[[#This Row],[P25 Growth]]/PortfolioFrontier[[#This Row],[P25 HWM]]-1</f>
        <v>0</v>
      </c>
      <c r="CY20" s="28">
        <f>SUMPRODUCT(INDEX(PortfolioRef[[SPY]:[PE]],MATCH(CY$1,PortfolioRef[Reference '#]),0),AssetMonthlyReturns[[#This Row],[SPY]:[PE]])</f>
        <v>2.8554892993772974E-4</v>
      </c>
      <c r="CZ20" s="27">
        <f>IF(ISNUMBER(CZ19),CZ19*(1+PortfolioFrontier[[#This Row],[P26 Return]]),1+PortfolioFrontier[[#This Row],[P26 Return]])</f>
        <v>1.1094346403515212</v>
      </c>
      <c r="DA20" s="27">
        <f>MAX(DA19,PortfolioFrontier[[#This Row],[P26 Growth]])</f>
        <v>1.1094346403515212</v>
      </c>
      <c r="DB20" s="27">
        <f>PortfolioFrontier[[#This Row],[P26 Growth]]/PortfolioFrontier[[#This Row],[P26 HWM]]-1</f>
        <v>0</v>
      </c>
      <c r="DC20" s="28">
        <f>SUMPRODUCT(INDEX(PortfolioRef[[SPY]:[PE]],MATCH(DC$1,PortfolioRef[Reference '#]),0),AssetMonthlyReturns[[#This Row],[SPY]:[PE]])</f>
        <v>2.6164129445905016E-3</v>
      </c>
      <c r="DD20" s="27">
        <f>IF(ISNUMBER(DD19),DD19*(1+PortfolioFrontier[[#This Row],[P27 Return]]),1+PortfolioFrontier[[#This Row],[P27 Return]])</f>
        <v>1.1062315222090442</v>
      </c>
      <c r="DE20" s="27">
        <f>MAX(DE19,PortfolioFrontier[[#This Row],[P27 Growth]])</f>
        <v>1.1062315222090442</v>
      </c>
      <c r="DF20" s="27">
        <f>PortfolioFrontier[[#This Row],[P27 Growth]]/PortfolioFrontier[[#This Row],[P27 HWM]]-1</f>
        <v>0</v>
      </c>
      <c r="DG20" s="28">
        <f>SUMPRODUCT(INDEX(PortfolioRef[[SPY]:[PE]],MATCH(DG$1,PortfolioRef[Reference '#]),0),AssetMonthlyReturns[[#This Row],[SPY]:[PE]])</f>
        <v>1.4052796076541975E-3</v>
      </c>
      <c r="DH20" s="27">
        <f>IF(ISNUMBER(DH19),DH19*(1+PortfolioFrontier[[#This Row],[P28 Return]]),1+PortfolioFrontier[[#This Row],[P28 Return]])</f>
        <v>1.1138136182966067</v>
      </c>
      <c r="DI20" s="27">
        <f>MAX(DI19,PortfolioFrontier[[#This Row],[P28 Growth]])</f>
        <v>1.1138136182966067</v>
      </c>
      <c r="DJ20" s="27">
        <f>PortfolioFrontier[[#This Row],[P28 Growth]]/PortfolioFrontier[[#This Row],[P28 HWM]]-1</f>
        <v>0</v>
      </c>
      <c r="DK20" s="28">
        <f>SUMPRODUCT(INDEX(PortfolioRef[[SPY]:[PE]],MATCH(DK$1,PortfolioRef[Reference '#]),0),AssetMonthlyReturns[[#This Row],[SPY]:[PE]])</f>
        <v>3.7361436223069706E-3</v>
      </c>
      <c r="DL20" s="27">
        <f>IF(ISNUMBER(DL19),DL19*(1+PortfolioFrontier[[#This Row],[P29 Return]]),1+PortfolioFrontier[[#This Row],[P29 Return]])</f>
        <v>1.1106018355823382</v>
      </c>
      <c r="DM20" s="27">
        <f>MAX(DM19,PortfolioFrontier[[#This Row],[P29 Growth]])</f>
        <v>1.1106018355823382</v>
      </c>
      <c r="DN20" s="27">
        <f>PortfolioFrontier[[#This Row],[P29 Growth]]/PortfolioFrontier[[#This Row],[P29 HWM]]-1</f>
        <v>0</v>
      </c>
      <c r="DO20" s="28">
        <f>SUMPRODUCT(INDEX(PortfolioRef[[SPY]:[PE]],MATCH(DO$1,PortfolioRef[Reference '#]),0),AssetMonthlyReturns[[#This Row],[SPY]:[PE]])</f>
        <v>6.0670076369597429E-3</v>
      </c>
      <c r="DP20" s="27">
        <f>IF(ISNUMBER(DP19),DP19*(1+PortfolioFrontier[[#This Row],[P30 Return]]),1+PortfolioFrontier[[#This Row],[P30 Return]])</f>
        <v>1.1073382296132714</v>
      </c>
      <c r="DQ20" s="27">
        <f>MAX(DQ19,PortfolioFrontier[[#This Row],[P30 Growth]])</f>
        <v>1.1073382296132714</v>
      </c>
      <c r="DR20" s="27">
        <f>PortfolioFrontier[[#This Row],[P30 Growth]]/PortfolioFrontier[[#This Row],[P30 HWM]]-1</f>
        <v>0</v>
      </c>
      <c r="DS20" s="28">
        <f>SUMPRODUCT(INDEX(PortfolioRef[[SPY]:[PE]],MATCH(DS$1,PortfolioRef[Reference '#]),0),AssetMonthlyReturns[[#This Row],[SPY]:[PE]])</f>
        <v>2.5250102853706662E-3</v>
      </c>
      <c r="DT20" s="27">
        <f>IF(ISNUMBER(DT19),DT19*(1+PortfolioFrontier[[#This Row],[P31 Return]]),1+PortfolioFrontier[[#This Row],[P31 Return]])</f>
        <v>1.1181467240284635</v>
      </c>
      <c r="DU20" s="27">
        <f>MAX(DU19,PortfolioFrontier[[#This Row],[P31 Growth]])</f>
        <v>1.1181467240284635</v>
      </c>
      <c r="DV20" s="27">
        <f>PortfolioFrontier[[#This Row],[P31 Growth]]/PortfolioFrontier[[#This Row],[P31 HWM]]-1</f>
        <v>0</v>
      </c>
      <c r="DW20" s="28">
        <f>SUMPRODUCT(INDEX(PortfolioRef[[SPY]:[PE]],MATCH(DW$1,PortfolioRef[Reference '#]),0),AssetMonthlyReturns[[#This Row],[SPY]:[PE]])</f>
        <v>4.855874300023438E-3</v>
      </c>
      <c r="DX20" s="27">
        <f>IF(ISNUMBER(DX19),DX19*(1+PortfolioFrontier[[#This Row],[P32 Return]]),1+PortfolioFrontier[[#This Row],[P32 Return]])</f>
        <v>1.1149263905076623</v>
      </c>
      <c r="DY20" s="27">
        <f>MAX(DY19,PortfolioFrontier[[#This Row],[P32 Growth]])</f>
        <v>1.1149263905076623</v>
      </c>
      <c r="DZ20" s="27">
        <f>PortfolioFrontier[[#This Row],[P32 Growth]]/PortfolioFrontier[[#This Row],[P32 HWM]]-1</f>
        <v>0</v>
      </c>
      <c r="EA20" s="28">
        <f>SUMPRODUCT(INDEX(PortfolioRef[[SPY]:[PE]],MATCH(EA$1,PortfolioRef[Reference '#]),0),AssetMonthlyReturns[[#This Row],[SPY]:[PE]])</f>
        <v>7.186738314676212E-3</v>
      </c>
      <c r="EB20" s="27">
        <f>IF(ISNUMBER(EB19),EB19*(1+PortfolioFrontier[[#This Row],[P33 Return]]),1+PortfolioFrontier[[#This Row],[P33 Return]])</f>
        <v>1.1116539819779072</v>
      </c>
      <c r="EC20" s="27">
        <f>MAX(EC19,PortfolioFrontier[[#This Row],[P33 Growth]])</f>
        <v>1.1116539819779072</v>
      </c>
      <c r="ED20" s="27">
        <f>PortfolioFrontier[[#This Row],[P33 Growth]]/PortfolioFrontier[[#This Row],[P33 HWM]]-1</f>
        <v>0</v>
      </c>
      <c r="EE20" s="28">
        <f>SUMPRODUCT(INDEX(PortfolioRef[[SPY]:[PE]],MATCH(EE$1,PortfolioRef[Reference '#]),0),AssetMonthlyReturns[[#This Row],[SPY]:[PE]])</f>
        <v>2.3250063856115446E-3</v>
      </c>
      <c r="EF20" s="27">
        <f>IF(ISNUMBER(EF19),EF19*(1+PortfolioFrontier[[#This Row],[P34 Return]]),1+PortfolioFrontier[[#This Row],[P34 Return]])</f>
        <v>1.0989371192964343</v>
      </c>
      <c r="EG20" s="27">
        <f>MAX(EG19,PortfolioFrontier[[#This Row],[P34 Growth]])</f>
        <v>1.0989371192964343</v>
      </c>
      <c r="EH20" s="27">
        <f>PortfolioFrontier[[#This Row],[P34 Growth]]/PortfolioFrontier[[#This Row],[P34 HWM]]-1</f>
        <v>0</v>
      </c>
      <c r="EI20" s="28">
        <f>SUMPRODUCT(INDEX(PortfolioRef[[SPY]:[PE]],MATCH(EI$1,PortfolioRef[Reference '#]),0),AssetMonthlyReturns[[#This Row],[SPY]:[PE]])</f>
        <v>9.2507521545437963E-4</v>
      </c>
      <c r="EJ20" s="27">
        <f>IF(ISNUMBER(EJ19),EJ19*(1+PortfolioFrontier[[#This Row],[P35 Return]]),1+PortfolioFrontier[[#This Row],[P35 Return]])</f>
        <v>1.0973159667843864</v>
      </c>
      <c r="EK20" s="27">
        <f>MAX(EK19,PortfolioFrontier[[#This Row],[P35 Growth]])</f>
        <v>1.0973159667843864</v>
      </c>
      <c r="EL20" s="27">
        <f>PortfolioFrontier[[#This Row],[P35 Growth]]/PortfolioFrontier[[#This Row],[P35 HWM]]-1</f>
        <v>0</v>
      </c>
      <c r="EM20" s="28">
        <f>SUMPRODUCT(INDEX(PortfolioRef[[SPY]:[PE]],MATCH(EM$1,PortfolioRef[Reference '#]),0),AssetMonthlyReturns[[#This Row],[SPY]:[PE]])</f>
        <v>2.0448058931708483E-3</v>
      </c>
      <c r="EN20" s="27">
        <f>IF(ISNUMBER(EN19),EN19*(1+PortfolioFrontier[[#This Row],[P36 Return]]),1+PortfolioFrontier[[#This Row],[P36 Return]])</f>
        <v>1.1016483003221782</v>
      </c>
      <c r="EO20" s="27">
        <f>MAX(EO19,PortfolioFrontier[[#This Row],[P36 Growth]])</f>
        <v>1.1016483003221782</v>
      </c>
      <c r="EP20" s="27">
        <f>PortfolioFrontier[[#This Row],[P36 Growth]]/PortfolioFrontier[[#This Row],[P36 HWM]]-1</f>
        <v>0</v>
      </c>
      <c r="EQ20" s="28">
        <f>SUMPRODUCT(INDEX(PortfolioRef[[SPY]:[PE]],MATCH(EQ$1,PortfolioRef[Reference '#]),0),AssetMonthlyReturns[[#This Row],[SPY]:[PE]])</f>
        <v>4.3756699078236205E-3</v>
      </c>
      <c r="ER20" s="27">
        <f>IF(ISNUMBER(ER19),ER19*(1+PortfolioFrontier[[#This Row],[P37 Return]]),1+PortfolioFrontier[[#This Row],[P37 Return]])</f>
        <v>1.0984027687293547</v>
      </c>
      <c r="ES20" s="27">
        <f>MAX(ES19,PortfolioFrontier[[#This Row],[P37 Growth]])</f>
        <v>1.0984027687293547</v>
      </c>
      <c r="ET20" s="27">
        <f>PortfolioFrontier[[#This Row],[P37 Growth]]/PortfolioFrontier[[#This Row],[P37 HWM]]-1</f>
        <v>0</v>
      </c>
      <c r="EU20" s="28">
        <f>SUMPRODUCT(INDEX(PortfolioRef[[SPY]:[PE]],MATCH(EU$1,PortfolioRef[Reference '#]),0),AssetMonthlyReturns[[#This Row],[SPY]:[PE]])</f>
        <v>-4.7485595470278573E-4</v>
      </c>
      <c r="EV20" s="27">
        <f>IF(ISNUMBER(EV19),EV19*(1+PortfolioFrontier[[#This Row],[P38 Return]]),1+PortfolioFrontier[[#This Row],[P38 Return]])</f>
        <v>1.0956432668884939</v>
      </c>
      <c r="EW20" s="27">
        <f>MAX(EW19,PortfolioFrontier[[#This Row],[P38 Growth]])</f>
        <v>1.0961637867899807</v>
      </c>
      <c r="EX20" s="27">
        <f>PortfolioFrontier[[#This Row],[P38 Growth]]/PortfolioFrontier[[#This Row],[P38 HWM]]-1</f>
        <v>-4.7485595470286857E-4</v>
      </c>
      <c r="EY20" s="28">
        <f>SUMPRODUCT(INDEX(PortfolioRef[[SPY]:[PE]],MATCH(EY$1,PortfolioRef[Reference '#]),0),AssetMonthlyReturns[[#This Row],[SPY]:[PE]])</f>
        <v>6.4487472301368335E-4</v>
      </c>
      <c r="EZ20" s="27">
        <f>IF(ISNUMBER(EZ19),EZ19*(1+PortfolioFrontier[[#This Row],[P39 Return]]),1+PortfolioFrontier[[#This Row],[P39 Return]])</f>
        <v>1.1000113130440352</v>
      </c>
      <c r="FA20" s="27">
        <f>MAX(FA19,PortfolioFrontier[[#This Row],[P39 Growth]])</f>
        <v>1.1000113130440352</v>
      </c>
      <c r="FB20" s="27">
        <f>PortfolioFrontier[[#This Row],[P39 Growth]]/PortfolioFrontier[[#This Row],[P39 HWM]]-1</f>
        <v>0</v>
      </c>
      <c r="FC20" s="28">
        <f>SUMPRODUCT(INDEX(PortfolioRef[[SPY]:[PE]],MATCH(FC$1,PortfolioRef[Reference '#]),0),AssetMonthlyReturns[[#This Row],[SPY]:[PE]])</f>
        <v>2.9757387376664552E-3</v>
      </c>
      <c r="FD20" s="27">
        <f>IF(ISNUMBER(FD19),FD19*(1+PortfolioFrontier[[#This Row],[P40 Return]]),1+PortfolioFrontier[[#This Row],[P40 Return]])</f>
        <v>1.0968008147775192</v>
      </c>
      <c r="FE20" s="27">
        <f>MAX(FE19,PortfolioFrontier[[#This Row],[P40 Growth]])</f>
        <v>1.0968008147775192</v>
      </c>
      <c r="FF20" s="27">
        <f>PortfolioFrontier[[#This Row],[P40 Growth]]/PortfolioFrontier[[#This Row],[P40 HWM]]-1</f>
        <v>0</v>
      </c>
      <c r="FG20" s="28">
        <f>SUMPRODUCT(INDEX(PortfolioRef[[SPY]:[PE]],MATCH(FG$1,PortfolioRef[Reference '#]),0),AssetMonthlyReturns[[#This Row],[SPY]:[PE]])</f>
        <v>1.7646054007301511E-3</v>
      </c>
      <c r="FH20" s="27">
        <f>IF(ISNUMBER(FH19),FH19*(1+PortfolioFrontier[[#This Row],[P41 Return]]),1+PortfolioFrontier[[#This Row],[P41 Return]])</f>
        <v>1.1043341989334241</v>
      </c>
      <c r="FI20" s="27">
        <f>MAX(FI19,PortfolioFrontier[[#This Row],[P41 Growth]])</f>
        <v>1.1043341989334241</v>
      </c>
      <c r="FJ20" s="27">
        <f>PortfolioFrontier[[#This Row],[P41 Growth]]/PortfolioFrontier[[#This Row],[P41 HWM]]-1</f>
        <v>0</v>
      </c>
      <c r="FK20" s="28">
        <f>SUMPRODUCT(INDEX(PortfolioRef[[SPY]:[PE]],MATCH(FK$1,PortfolioRef[Reference '#]),0),AssetMonthlyReturns[[#This Row],[SPY]:[PE]])</f>
        <v>4.0954694153829243E-3</v>
      </c>
      <c r="FL20" s="27">
        <f>IF(ISNUMBER(FL19),FL19*(1+PortfolioFrontier[[#This Row],[P42 Return]]),1+PortfolioFrontier[[#This Row],[P42 Return]])</f>
        <v>1.1011149675037026</v>
      </c>
      <c r="FM20" s="27">
        <f>MAX(FM19,PortfolioFrontier[[#This Row],[P42 Growth]])</f>
        <v>1.1011149675037026</v>
      </c>
      <c r="FN20" s="27">
        <f>PortfolioFrontier[[#This Row],[P42 Growth]]/PortfolioFrontier[[#This Row],[P42 HWM]]-1</f>
        <v>0</v>
      </c>
      <c r="FO20" s="28">
        <f>SUMPRODUCT(INDEX(PortfolioRef[[SPY]:[PE]],MATCH(FO$1,PortfolioRef[Reference '#]),0),AssetMonthlyReturns[[#This Row],[SPY]:[PE]])</f>
        <v>6.4263334300356965E-3</v>
      </c>
      <c r="FP20" s="27">
        <f>IF(ISNUMBER(FP19),FP19*(1+PortfolioFrontier[[#This Row],[P43 Return]]),1+PortfolioFrontier[[#This Row],[P43 Return]])</f>
        <v>1.0978444936816751</v>
      </c>
      <c r="FQ20" s="27">
        <f>MAX(FQ19,PortfolioFrontier[[#This Row],[P43 Growth]])</f>
        <v>1.0978444936816751</v>
      </c>
      <c r="FR20" s="27">
        <f>PortfolioFrontier[[#This Row],[P43 Growth]]/PortfolioFrontier[[#This Row],[P43 HWM]]-1</f>
        <v>0</v>
      </c>
      <c r="FS20" s="28">
        <f>SUMPRODUCT(INDEX(PortfolioRef[[SPY]:[PE]],MATCH(FS$1,PortfolioRef[Reference '#]),0),AssetMonthlyReturns[[#This Row],[SPY]:[PE]])</f>
        <v>-7.5505644714348114E-4</v>
      </c>
      <c r="FT20" s="27">
        <f>IF(ISNUMBER(FT19),FT19*(1+PortfolioFrontier[[#This Row],[P44 Return]]),1+PortfolioFrontier[[#This Row],[P44 Return]])</f>
        <v>1.0983227721781494</v>
      </c>
      <c r="FU20" s="27">
        <f>MAX(FU19,PortfolioFrontier[[#This Row],[P44 Growth]])</f>
        <v>1.0991526945065317</v>
      </c>
      <c r="FV20" s="27">
        <f>PortfolioFrontier[[#This Row],[P44 Growth]]/PortfolioFrontier[[#This Row],[P44 HWM]]-1</f>
        <v>-7.5505644714346509E-4</v>
      </c>
      <c r="FW20" s="28">
        <f>SUMPRODUCT(INDEX(PortfolioRef[[SPY]:[PE]],MATCH(FW$1,PortfolioRef[Reference '#]),0),AssetMonthlyReturns[[#This Row],[SPY]:[PE]])</f>
        <v>1.5758075675092907E-3</v>
      </c>
      <c r="FX20" s="27">
        <f>IF(ISNUMBER(FX19),FX19*(1+PortfolioFrontier[[#This Row],[P45 Return]]),1+PortfolioFrontier[[#This Row],[P45 Return]])</f>
        <v>1.0951472872633676</v>
      </c>
      <c r="FY20" s="27">
        <f>MAX(FY19,PortfolioFrontier[[#This Row],[P45 Growth]])</f>
        <v>1.0951472872633676</v>
      </c>
      <c r="FZ20" s="27">
        <f>PortfolioFrontier[[#This Row],[P45 Growth]]/PortfolioFrontier[[#This Row],[P45 HWM]]-1</f>
        <v>0</v>
      </c>
      <c r="GA20" s="28">
        <f>SUMPRODUCT(INDEX(PortfolioRef[[SPY]:[PE]],MATCH(GA$1,PortfolioRef[Reference '#]),0),AssetMonthlyReturns[[#This Row],[SPY]:[PE]])</f>
        <v>3.6467423057298665E-4</v>
      </c>
      <c r="GB20" s="27">
        <f>IF(ISNUMBER(GB19),GB19*(1+PortfolioFrontier[[#This Row],[P46 Return]]),1+PortfolioFrontier[[#This Row],[P46 Return]])</f>
        <v>1.1026813688826793</v>
      </c>
      <c r="GC20" s="27">
        <f>MAX(GC19,PortfolioFrontier[[#This Row],[P46 Growth]])</f>
        <v>1.1026813688826793</v>
      </c>
      <c r="GD20" s="27">
        <f>PortfolioFrontier[[#This Row],[P46 Growth]]/PortfolioFrontier[[#This Row],[P46 HWM]]-1</f>
        <v>0</v>
      </c>
      <c r="GE20" s="28">
        <f>SUMPRODUCT(INDEX(PortfolioRef[[SPY]:[PE]],MATCH(GE$1,PortfolioRef[Reference '#]),0),AssetMonthlyReturns[[#This Row],[SPY]:[PE]])</f>
        <v>2.6955382452257598E-3</v>
      </c>
      <c r="GF20" s="27">
        <f>IF(ISNUMBER(GF19),GF19*(1+PortfolioFrontier[[#This Row],[P47 Return]]),1+PortfolioFrontier[[#This Row],[P47 Return]])</f>
        <v>1.0994972249806085</v>
      </c>
      <c r="GG20" s="27">
        <f>MAX(GG19,PortfolioFrontier[[#This Row],[P47 Growth]])</f>
        <v>1.0994972249806085</v>
      </c>
      <c r="GH20" s="27">
        <f>PortfolioFrontier[[#This Row],[P47 Growth]]/PortfolioFrontier[[#This Row],[P47 HWM]]-1</f>
        <v>0</v>
      </c>
      <c r="GI20" s="28">
        <f>SUMPRODUCT(INDEX(PortfolioRef[[SPY]:[PE]],MATCH(GI$1,PortfolioRef[Reference '#]),0),AssetMonthlyReturns[[#This Row],[SPY]:[PE]])</f>
        <v>5.026402259878532E-3</v>
      </c>
      <c r="GJ20" s="27">
        <f>IF(ISNUMBER(GJ19),GJ19*(1+PortfolioFrontier[[#This Row],[P48 Return]]),1+PortfolioFrontier[[#This Row],[P48 Return]])</f>
        <v>1.0962617529244396</v>
      </c>
      <c r="GK20" s="27">
        <f>MAX(GK19,PortfolioFrontier[[#This Row],[P48 Growth]])</f>
        <v>1.0962617529244396</v>
      </c>
      <c r="GL20" s="27">
        <f>PortfolioFrontier[[#This Row],[P48 Growth]]/PortfolioFrontier[[#This Row],[P48 HWM]]-1</f>
        <v>0</v>
      </c>
      <c r="GM20" s="28">
        <f>SUMPRODUCT(INDEX(PortfolioRef[[SPY]:[PE]],MATCH(GM$1,PortfolioRef[Reference '#]),0),AssetMonthlyReturns[[#This Row],[SPY]:[PE]])</f>
        <v>1.4844049082894553E-3</v>
      </c>
      <c r="GN20" s="27">
        <f>IF(ISNUMBER(GN19),GN19*(1+PortfolioFrontier[[#This Row],[P49 Return]]),1+PortfolioFrontier[[#This Row],[P49 Return]])</f>
        <v>1.1069946090017495</v>
      </c>
      <c r="GO20" s="27">
        <f>MAX(GO19,PortfolioFrontier[[#This Row],[P49 Growth]])</f>
        <v>1.1069946090017495</v>
      </c>
      <c r="GP20" s="27">
        <f>PortfolioFrontier[[#This Row],[P49 Growth]]/PortfolioFrontier[[#This Row],[P49 HWM]]-1</f>
        <v>0</v>
      </c>
      <c r="GQ20" s="28">
        <f>SUMPRODUCT(INDEX(PortfolioRef[[SPY]:[PE]],MATCH(GQ$1,PortfolioRef[Reference '#]),0),AssetMonthlyReturns[[#This Row],[SPY]:[PE]])</f>
        <v>3.8152689229422275E-3</v>
      </c>
      <c r="GR20" s="27">
        <f>IF(ISNUMBER(GR19),GR19*(1+PortfolioFrontier[[#This Row],[P50 Return]]),1+PortfolioFrontier[[#This Row],[P50 Return]])</f>
        <v>1.1038019190128889</v>
      </c>
      <c r="GS20" s="27">
        <f>MAX(GS19,PortfolioFrontier[[#This Row],[P50 Growth]])</f>
        <v>1.1038019190128889</v>
      </c>
      <c r="GT20" s="27">
        <f>PortfolioFrontier[[#This Row],[P50 Growth]]/PortfolioFrontier[[#This Row],[P50 HWM]]-1</f>
        <v>0</v>
      </c>
      <c r="GU20" s="28">
        <f>SUMPRODUCT(INDEX(PortfolioRef[[SPY]:[PE]],MATCH(GU$1,PortfolioRef[Reference '#]),0),AssetMonthlyReturns[[#This Row],[SPY]:[PE]])</f>
        <v>6.1461329375950011E-3</v>
      </c>
      <c r="GV20" s="27">
        <f>IF(ISNUMBER(GV19),GV19*(1+PortfolioFrontier[[#This Row],[P51 Return]]),1+PortfolioFrontier[[#This Row],[P51 Return]])</f>
        <v>1.1005576506452845</v>
      </c>
      <c r="GW20" s="27">
        <f>MAX(GW19,PortfolioFrontier[[#This Row],[P51 Growth]])</f>
        <v>1.1005576506452845</v>
      </c>
      <c r="GX20" s="27">
        <f>PortfolioFrontier[[#This Row],[P51 Growth]]/PortfolioFrontier[[#This Row],[P51 HWM]]-1</f>
        <v>0</v>
      </c>
      <c r="GY20" s="28">
        <f>SUMPRODUCT(INDEX(PortfolioRef[[SPY]:[PE]],MATCH(GY$1,PortfolioRef[Reference '#]),0),AssetMonthlyReturns[[#This Row],[SPY]:[PE]])</f>
        <v>-1.0352569395841783E-3</v>
      </c>
      <c r="GZ20" s="27">
        <f>IF(ISNUMBER(GZ19),GZ19*(1+PortfolioFrontier[[#This Row],[P52 Return]]),1+PortfolioFrontier[[#This Row],[P52 Return]])</f>
        <v>1.1009769804652743</v>
      </c>
      <c r="HA20" s="27">
        <f>MAX(HA19,PortfolioFrontier[[#This Row],[P52 Growth]])</f>
        <v>1.1021179557271812</v>
      </c>
      <c r="HB20" s="27">
        <f>PortfolioFrontier[[#This Row],[P52 Growth]]/PortfolioFrontier[[#This Row],[P52 HWM]]-1</f>
        <v>-1.0352569395841726E-3</v>
      </c>
      <c r="HC20" s="28">
        <f>SUMPRODUCT(INDEX(PortfolioRef[[SPY]:[PE]],MATCH(HC$1,PortfolioRef[Reference '#]),0),AssetMonthlyReturns[[#This Row],[SPY]:[PE]])</f>
        <v>1.2956070750685944E-3</v>
      </c>
      <c r="HD20" s="27">
        <f>IF(ISNUMBER(HD19),HD19*(1+PortfolioFrontier[[#This Row],[P53 Return]]),1+PortfolioFrontier[[#This Row],[P53 Return]])</f>
        <v>1.0978279022399602</v>
      </c>
      <c r="HE20" s="27">
        <f>MAX(HE19,PortfolioFrontier[[#This Row],[P53 Growth]])</f>
        <v>1.0978279022399602</v>
      </c>
      <c r="HF20" s="27">
        <f>PortfolioFrontier[[#This Row],[P53 Growth]]/PortfolioFrontier[[#This Row],[P53 HWM]]-1</f>
        <v>0</v>
      </c>
      <c r="HG20" s="28">
        <f>SUMPRODUCT(INDEX(PortfolioRef[[SPY]:[PE]],MATCH(HG$1,PortfolioRef[Reference '#]),0),AssetMonthlyReturns[[#This Row],[SPY]:[PE]])</f>
        <v>3.6264710897213667E-3</v>
      </c>
      <c r="HH20" s="27">
        <f>IF(ISNUMBER(HH19),HH19*(1+PortfolioFrontier[[#This Row],[P54 Return]]),1+PortfolioFrontier[[#This Row],[P54 Return]])</f>
        <v>1.094627413905551</v>
      </c>
      <c r="HI20" s="27">
        <f>MAX(HI19,PortfolioFrontier[[#This Row],[P54 Growth]])</f>
        <v>1.094627413905551</v>
      </c>
      <c r="HJ20" s="27">
        <f>PortfolioFrontier[[#This Row],[P54 Growth]]/PortfolioFrontier[[#This Row],[P54 HWM]]-1</f>
        <v>0</v>
      </c>
      <c r="HK20" s="28">
        <f>SUMPRODUCT(INDEX(PortfolioRef[[SPY]:[PE]],MATCH(HK$1,PortfolioRef[Reference '#]),0),AssetMonthlyReturns[[#This Row],[SPY]:[PE]])</f>
        <v>8.4473738132289939E-5</v>
      </c>
      <c r="HL20" s="27">
        <f>IF(ISNUMBER(HL19),HL19*(1+PortfolioFrontier[[#This Row],[P55 Return]]),1+PortfolioFrontier[[#This Row],[P55 Return]])</f>
        <v>1.1053259290338084</v>
      </c>
      <c r="HM20" s="27">
        <f>MAX(HM19,PortfolioFrontier[[#This Row],[P55 Growth]])</f>
        <v>1.1053259290338084</v>
      </c>
      <c r="HN20" s="27">
        <f>PortfolioFrontier[[#This Row],[P55 Growth]]/PortfolioFrontier[[#This Row],[P55 HWM]]-1</f>
        <v>0</v>
      </c>
      <c r="HO20" s="28">
        <f>SUMPRODUCT(INDEX(PortfolioRef[[SPY]:[PE]],MATCH(HO$1,PortfolioRef[Reference '#]),0),AssetMonthlyReturns[[#This Row],[SPY]:[PE]])</f>
        <v>2.4153377527850622E-3</v>
      </c>
      <c r="HP20" s="27">
        <f>IF(ISNUMBER(HP19),HP19*(1+PortfolioFrontier[[#This Row],[P56 Return]]),1+PortfolioFrontier[[#This Row],[P56 Return]])</f>
        <v>1.1021683795615389</v>
      </c>
      <c r="HQ20" s="27">
        <f>MAX(HQ19,PortfolioFrontier[[#This Row],[P56 Growth]])</f>
        <v>1.1021683795615389</v>
      </c>
      <c r="HR20" s="27">
        <f>PortfolioFrontier[[#This Row],[P56 Growth]]/PortfolioFrontier[[#This Row],[P56 HWM]]-1</f>
        <v>0</v>
      </c>
      <c r="HS20" s="28">
        <f>SUMPRODUCT(INDEX(PortfolioRef[[SPY]:[PE]],MATCH(HS$1,PortfolioRef[Reference '#]),0),AssetMonthlyReturns[[#This Row],[SPY]:[PE]])</f>
        <v>4.7462017674378357E-3</v>
      </c>
      <c r="HT20" s="27">
        <f>IF(ISNUMBER(HT19),HT19*(1+PortfolioFrontier[[#This Row],[P57 Return]]),1+PortfolioFrontier[[#This Row],[P57 Return]])</f>
        <v>1.0989591677437089</v>
      </c>
      <c r="HU20" s="27">
        <f>MAX(HU19,PortfolioFrontier[[#This Row],[P57 Growth]])</f>
        <v>1.0989591677437089</v>
      </c>
      <c r="HV20" s="27">
        <f>PortfolioFrontier[[#This Row],[P57 Growth]]/PortfolioFrontier[[#This Row],[P57 HWM]]-1</f>
        <v>0</v>
      </c>
      <c r="HW20" s="28">
        <f>SUMPRODUCT(INDEX(PortfolioRef[[SPY]:[PE]],MATCH(HW$1,PortfolioRef[Reference '#]),0),AssetMonthlyReturns[[#This Row],[SPY]:[PE]])</f>
        <v>1.2042044158487586E-3</v>
      </c>
      <c r="HX20" s="27">
        <f>IF(ISNUMBER(HX19),HX19*(1+PortfolioFrontier[[#This Row],[P58 Return]]),1+PortfolioFrontier[[#This Row],[P58 Return]])</f>
        <v>1.1096293255753436</v>
      </c>
      <c r="HY20" s="27">
        <f>MAX(HY19,PortfolioFrontier[[#This Row],[P58 Growth]])</f>
        <v>1.1096293255753436</v>
      </c>
      <c r="HZ20" s="27">
        <f>PortfolioFrontier[[#This Row],[P58 Growth]]/PortfolioFrontier[[#This Row],[P58 HWM]]-1</f>
        <v>0</v>
      </c>
      <c r="IA20" s="28">
        <f>SUMPRODUCT(INDEX(PortfolioRef[[SPY]:[PE]],MATCH(IA$1,PortfolioRef[Reference '#]),0),AssetMonthlyReturns[[#This Row],[SPY]:[PE]])</f>
        <v>3.5350684305015308E-3</v>
      </c>
      <c r="IB20" s="27">
        <f>IF(ISNUMBER(IB19),IB19*(1+PortfolioFrontier[[#This Row],[P59 Return]]),1+PortfolioFrontier[[#This Row],[P59 Return]])</f>
        <v>1.1064634172106003</v>
      </c>
      <c r="IC20" s="27">
        <f>MAX(IC19,PortfolioFrontier[[#This Row],[P59 Growth]])</f>
        <v>1.1064634172106003</v>
      </c>
      <c r="ID20" s="27">
        <f>PortfolioFrontier[[#This Row],[P59 Growth]]/PortfolioFrontier[[#This Row],[P59 HWM]]-1</f>
        <v>0</v>
      </c>
      <c r="IE20" s="28">
        <f>SUMPRODUCT(INDEX(PortfolioRef[[SPY]:[PE]],MATCH(IE$1,PortfolioRef[Reference '#]),0),AssetMonthlyReturns[[#This Row],[SPY]:[PE]])</f>
        <v>5.8659324451543031E-3</v>
      </c>
      <c r="IF20" s="27">
        <f>IF(ISNUMBER(IF19),IF19*(1+PortfolioFrontier[[#This Row],[P60 Return]]),1+PortfolioFrontier[[#This Row],[P60 Return]])</f>
        <v>1.1032455957597602</v>
      </c>
      <c r="IG20" s="27">
        <f>MAX(IG19,PortfolioFrontier[[#This Row],[P60 Growth]])</f>
        <v>1.1032455957597602</v>
      </c>
      <c r="IH20" s="27">
        <f>PortfolioFrontier[[#This Row],[P60 Growth]]/PortfolioFrontier[[#This Row],[P60 HWM]]-1</f>
        <v>0</v>
      </c>
      <c r="II20" s="28">
        <f>SUMPRODUCT(INDEX(PortfolioRef[[SPY]:[PE]],MATCH(II$1,PortfolioRef[Reference '#]),0),AssetMonthlyReturns[[#This Row],[SPY]:[PE]])</f>
        <v>1.2844010085303332E-3</v>
      </c>
      <c r="IJ20" s="27">
        <f>IF(ISNUMBER(IJ19),IJ19*(1+PortfolioFrontier[[#This Row],[P61 Return]]),1+PortfolioFrontier[[#This Row],[P61 Return]])</f>
        <v>1.0879213161938686</v>
      </c>
      <c r="IK20" s="27">
        <f>MAX(IK19,PortfolioFrontier[[#This Row],[P61 Growth]])</f>
        <v>1.0879213161938686</v>
      </c>
      <c r="IL20" s="27">
        <f>PortfolioFrontier[[#This Row],[P61 Growth]]/PortfolioFrontier[[#This Row],[P61 HWM]]-1</f>
        <v>0</v>
      </c>
      <c r="IM20" s="28">
        <f>SUMPRODUCT(INDEX(PortfolioRef[[SPY]:[PE]],MATCH(IM$1,PortfolioRef[Reference '#]),0),AssetMonthlyReturns[[#This Row],[SPY]:[PE]])</f>
        <v>-1.1553016162683125E-4</v>
      </c>
      <c r="IN20" s="27">
        <f>IF(ISNUMBER(IN19),IN19*(1+PortfolioFrontier[[#This Row],[P62 Return]]),1+PortfolioFrontier[[#This Row],[P62 Return]])</f>
        <v>1.0863038603139403</v>
      </c>
      <c r="IO20" s="27">
        <f>MAX(IO19,PortfolioFrontier[[#This Row],[P62 Growth]])</f>
        <v>1.0864293756753083</v>
      </c>
      <c r="IP20" s="27">
        <f>PortfolioFrontier[[#This Row],[P62 Growth]]/PortfolioFrontier[[#This Row],[P62 HWM]]-1</f>
        <v>-1.1553016162690888E-4</v>
      </c>
      <c r="IQ20" s="28">
        <f>SUMPRODUCT(INDEX(PortfolioRef[[SPY]:[PE]],MATCH(IQ$1,PortfolioRef[Reference '#]),0),AssetMonthlyReturns[[#This Row],[SPY]:[PE]])</f>
        <v>1.0042005160896378E-3</v>
      </c>
      <c r="IR20" s="27">
        <f>IF(ISNUMBER(IR19),IR19*(1+PortfolioFrontier[[#This Row],[P63 Return]]),1+PortfolioFrontier[[#This Row],[P63 Return]])</f>
        <v>1.0906159770177628</v>
      </c>
      <c r="IS20" s="27">
        <f>MAX(IS19,PortfolioFrontier[[#This Row],[P63 Growth]])</f>
        <v>1.0906159770177628</v>
      </c>
      <c r="IT20" s="27">
        <f>PortfolioFrontier[[#This Row],[P63 Growth]]/PortfolioFrontier[[#This Row],[P63 HWM]]-1</f>
        <v>0</v>
      </c>
      <c r="IU20" s="28">
        <f>SUMPRODUCT(INDEX(PortfolioRef[[SPY]:[PE]],MATCH(IU$1,PortfolioRef[Reference '#]),0),AssetMonthlyReturns[[#This Row],[SPY]:[PE]])</f>
        <v>3.3350645307424097E-3</v>
      </c>
      <c r="IV20" s="27">
        <f>IF(ISNUMBER(IV19),IV19*(1+PortfolioFrontier[[#This Row],[P64 Return]]),1+PortfolioFrontier[[#This Row],[P64 Return]])</f>
        <v>1.0873984821381593</v>
      </c>
      <c r="IW20" s="27">
        <f>MAX(IW19,PortfolioFrontier[[#This Row],[P64 Growth]])</f>
        <v>1.0873984821381593</v>
      </c>
      <c r="IX20" s="27">
        <f>PortfolioFrontier[[#This Row],[P64 Growth]]/PortfolioFrontier[[#This Row],[P64 HWM]]-1</f>
        <v>0</v>
      </c>
      <c r="IY20" s="28">
        <f>SUMPRODUCT(INDEX(PortfolioRef[[SPY]:[PE]],MATCH(IY$1,PortfolioRef[Reference '#]),0),AssetMonthlyReturns[[#This Row],[SPY]:[PE]])</f>
        <v>-1.5154613317839957E-3</v>
      </c>
      <c r="IZ20" s="27">
        <f>IF(ISNUMBER(IZ19),IZ19*(1+PortfolioFrontier[[#This Row],[P65 Return]]),1+PortfolioFrontier[[#This Row],[P65 Return]])</f>
        <v>1.0846353366920622</v>
      </c>
      <c r="JA20" s="27">
        <f>MAX(JA19,PortfolioFrontier[[#This Row],[P65 Growth]])</f>
        <v>1.0862815543831601</v>
      </c>
      <c r="JB20" s="27">
        <f>PortfolioFrontier[[#This Row],[P65 Growth]]/PortfolioFrontier[[#This Row],[P65 HWM]]-1</f>
        <v>-1.5154613317839294E-3</v>
      </c>
      <c r="JC20" s="28">
        <f>SUMPRODUCT(INDEX(PortfolioRef[[SPY]:[PE]],MATCH(JC$1,PortfolioRef[Reference '#]),0),AssetMonthlyReturns[[#This Row],[SPY]:[PE]])</f>
        <v>-3.9573065406752752E-4</v>
      </c>
      <c r="JD20" s="27">
        <f>IF(ISNUMBER(JD19),JD19*(1+PortfolioFrontier[[#This Row],[P66 Return]]),1+PortfolioFrontier[[#This Row],[P66 Return]])</f>
        <v>1.0889828105074089</v>
      </c>
      <c r="JE20" s="27">
        <f>MAX(JE19,PortfolioFrontier[[#This Row],[P66 Growth]])</f>
        <v>1.0894139249924963</v>
      </c>
      <c r="JF20" s="27">
        <f>PortfolioFrontier[[#This Row],[P66 Growth]]/PortfolioFrontier[[#This Row],[P66 HWM]]-1</f>
        <v>-3.9573065406750541E-4</v>
      </c>
      <c r="JG20" s="28">
        <f>SUMPRODUCT(INDEX(PortfolioRef[[SPY]:[PE]],MATCH(JG$1,PortfolioRef[Reference '#]),0),AssetMonthlyReturns[[#This Row],[SPY]:[PE]])</f>
        <v>1.9351333605852452E-3</v>
      </c>
      <c r="JH20" s="27">
        <f>IF(ISNUMBER(JH19),JH19*(1+PortfolioFrontier[[#This Row],[P67 Return]]),1+PortfolioFrontier[[#This Row],[P67 Return]])</f>
        <v>1.0858000555440623</v>
      </c>
      <c r="JI20" s="27">
        <f>MAX(JI19,PortfolioFrontier[[#This Row],[P67 Growth]])</f>
        <v>1.0858000555440623</v>
      </c>
      <c r="JJ20" s="27">
        <f>PortfolioFrontier[[#This Row],[P67 Growth]]/PortfolioFrontier[[#This Row],[P67 HWM]]-1</f>
        <v>0</v>
      </c>
      <c r="JK20" s="28">
        <f>SUMPRODUCT(INDEX(PortfolioRef[[SPY]:[PE]],MATCH(JK$1,PortfolioRef[Reference '#]),0),AssetMonthlyReturns[[#This Row],[SPY]:[PE]])</f>
        <v>7.240000236489407E-4</v>
      </c>
      <c r="JL20" s="27">
        <f>IF(ISNUMBER(JL19),JL19*(1+PortfolioFrontier[[#This Row],[P68 Return]]),1+PortfolioFrontier[[#This Row],[P68 Return]])</f>
        <v>1.0932856348617384</v>
      </c>
      <c r="JM20" s="27">
        <f>MAX(JM19,PortfolioFrontier[[#This Row],[P68 Growth]])</f>
        <v>1.0932856348617384</v>
      </c>
      <c r="JN20" s="27">
        <f>PortfolioFrontier[[#This Row],[P68 Growth]]/PortfolioFrontier[[#This Row],[P68 HWM]]-1</f>
        <v>0</v>
      </c>
      <c r="JO20" s="28">
        <f>SUMPRODUCT(INDEX(PortfolioRef[[SPY]:[PE]],MATCH(JO$1,PortfolioRef[Reference '#]),0),AssetMonthlyReturns[[#This Row],[SPY]:[PE]])</f>
        <v>3.0548640383017134E-3</v>
      </c>
      <c r="JP20" s="27">
        <f>IF(ISNUMBER(JP19),JP19*(1+PortfolioFrontier[[#This Row],[P69 Return]]),1+PortfolioFrontier[[#This Row],[P69 Return]])</f>
        <v>1.090094153040561</v>
      </c>
      <c r="JQ20" s="27">
        <f>MAX(JQ19,PortfolioFrontier[[#This Row],[P69 Growth]])</f>
        <v>1.090094153040561</v>
      </c>
      <c r="JR20" s="27">
        <f>PortfolioFrontier[[#This Row],[P69 Growth]]/PortfolioFrontier[[#This Row],[P69 HWM]]-1</f>
        <v>0</v>
      </c>
      <c r="JS20" s="28">
        <f>SUMPRODUCT(INDEX(PortfolioRef[[SPY]:[PE]],MATCH(JS$1,PortfolioRef[Reference '#]),0),AssetMonthlyReturns[[#This Row],[SPY]:[PE]])</f>
        <v>5.3857280529544865E-3</v>
      </c>
      <c r="JT20" s="27">
        <f>IF(ISNUMBER(JT19),JT19*(1+PortfolioFrontier[[#This Row],[P70 Return]]),1+PortfolioFrontier[[#This Row],[P70 Return]])</f>
        <v>1.086851919035702</v>
      </c>
      <c r="JU20" s="27">
        <f>MAX(JU19,PortfolioFrontier[[#This Row],[P70 Growth]])</f>
        <v>1.086851919035702</v>
      </c>
      <c r="JV20" s="27">
        <f>PortfolioFrontier[[#This Row],[P70 Growth]]/PortfolioFrontier[[#This Row],[P70 HWM]]-1</f>
        <v>0</v>
      </c>
      <c r="JW20" s="28">
        <f>SUMPRODUCT(INDEX(PortfolioRef[[SPY]:[PE]],MATCH(JW$1,PortfolioRef[Reference '#]),0),AssetMonthlyReturns[[#This Row],[SPY]:[PE]])</f>
        <v>-1.795661824224692E-3</v>
      </c>
      <c r="JX20" s="27">
        <f>IF(ISNUMBER(JX19),JX19*(1+PortfolioFrontier[[#This Row],[P71 Return]]),1+PortfolioFrontier[[#This Row],[P71 Return]])</f>
        <v>1.087298569810133</v>
      </c>
      <c r="JY20" s="27">
        <f>MAX(JY19,PortfolioFrontier[[#This Row],[P71 Growth]])</f>
        <v>1.0892545025372038</v>
      </c>
      <c r="JZ20" s="27">
        <f>PortfolioFrontier[[#This Row],[P71 Growth]]/PortfolioFrontier[[#This Row],[P71 HWM]]-1</f>
        <v>-1.7956618242246369E-3</v>
      </c>
      <c r="KA20" s="28">
        <f>SUMPRODUCT(INDEX(PortfolioRef[[SPY]:[PE]],MATCH(KA$1,PortfolioRef[Reference '#]),0),AssetMonthlyReturns[[#This Row],[SPY]:[PE]])</f>
        <v>5.352021904280798E-4</v>
      </c>
      <c r="KB20" s="27">
        <f>IF(ISNUMBER(KB19),KB19*(1+PortfolioFrontier[[#This Row],[P72 Return]]),1+PortfolioFrontier[[#This Row],[P72 Return]])</f>
        <v>1.0841505347980405</v>
      </c>
      <c r="KC20" s="27">
        <f>MAX(KC19,PortfolioFrontier[[#This Row],[P72 Growth]])</f>
        <v>1.0841505347980405</v>
      </c>
      <c r="KD20" s="27">
        <f>PortfolioFrontier[[#This Row],[P72 Growth]]/PortfolioFrontier[[#This Row],[P72 HWM]]-1</f>
        <v>0</v>
      </c>
      <c r="KE20" s="28">
        <f>SUMPRODUCT(INDEX(PortfolioRef[[SPY]:[PE]],MATCH(KE$1,PortfolioRef[Reference '#]),0),AssetMonthlyReturns[[#This Row],[SPY]:[PE]])</f>
        <v>-6.759311465082238E-4</v>
      </c>
      <c r="KF20" s="27">
        <f>IF(ISNUMBER(KF19),KF19*(1+PortfolioFrontier[[#This Row],[P73 Return]]),1+PortfolioFrontier[[#This Row],[P73 Return]])</f>
        <v>1.0916367498296853</v>
      </c>
      <c r="KG20" s="27">
        <f>MAX(KG19,PortfolioFrontier[[#This Row],[P73 Growth]])</f>
        <v>1.0923751201970973</v>
      </c>
      <c r="KH20" s="27">
        <f>PortfolioFrontier[[#This Row],[P73 Growth]]/PortfolioFrontier[[#This Row],[P73 HWM]]-1</f>
        <v>-6.7593114650832398E-4</v>
      </c>
      <c r="KI20" s="28">
        <f>SUMPRODUCT(INDEX(PortfolioRef[[SPY]:[PE]],MATCH(KI$1,PortfolioRef[Reference '#]),0),AssetMonthlyReturns[[#This Row],[SPY]:[PE]])</f>
        <v>1.6549328681445489E-3</v>
      </c>
      <c r="KJ20" s="27">
        <f>IF(ISNUMBER(KJ19),KJ19*(1+PortfolioFrontier[[#This Row],[P74 Return]]),1+PortfolioFrontier[[#This Row],[P74 Return]])</f>
        <v>1.0884800616978059</v>
      </c>
      <c r="KK20" s="27">
        <f>MAX(KK19,PortfolioFrontier[[#This Row],[P74 Growth]])</f>
        <v>1.0884800616978059</v>
      </c>
      <c r="KL20" s="27">
        <f>PortfolioFrontier[[#This Row],[P74 Growth]]/PortfolioFrontier[[#This Row],[P74 HWM]]-1</f>
        <v>0</v>
      </c>
      <c r="KM20" s="28">
        <f>SUMPRODUCT(INDEX(PortfolioRef[[SPY]:[PE]],MATCH(KM$1,PortfolioRef[Reference '#]),0),AssetMonthlyReturns[[#This Row],[SPY]:[PE]])</f>
        <v>3.9857968827973211E-3</v>
      </c>
      <c r="KN20" s="27">
        <f>IF(ISNUMBER(KN19),KN19*(1+PortfolioFrontier[[#This Row],[P75 Return]]),1+PortfolioFrontier[[#This Row],[P75 Return]])</f>
        <v>1.085272536664303</v>
      </c>
      <c r="KO20" s="27">
        <f>MAX(KO19,PortfolioFrontier[[#This Row],[P75 Growth]])</f>
        <v>1.085272536664303</v>
      </c>
      <c r="KP20" s="27">
        <f>PortfolioFrontier[[#This Row],[P75 Growth]]/PortfolioFrontier[[#This Row],[P75 HWM]]-1</f>
        <v>0</v>
      </c>
      <c r="KQ20" s="28">
        <f>SUMPRODUCT(INDEX(PortfolioRef[[SPY]:[PE]],MATCH(KQ$1,PortfolioRef[Reference '#]),0),AssetMonthlyReturns[[#This Row],[SPY]:[PE]])</f>
        <v>4.4379953120824442E-4</v>
      </c>
      <c r="KR20" s="27">
        <f>IF(ISNUMBER(KR19),KR19*(1+PortfolioFrontier[[#This Row],[P76 Return]]),1+PortfolioFrontier[[#This Row],[P76 Return]])</f>
        <v>1.0959300848961511</v>
      </c>
      <c r="KS20" s="27">
        <f>MAX(KS19,PortfolioFrontier[[#This Row],[P76 Growth]])</f>
        <v>1.0959300848961511</v>
      </c>
      <c r="KT20" s="27">
        <f>PortfolioFrontier[[#This Row],[P76 Growth]]/PortfolioFrontier[[#This Row],[P76 HWM]]-1</f>
        <v>0</v>
      </c>
      <c r="KU20" s="28">
        <f>SUMPRODUCT(INDEX(PortfolioRef[[SPY]:[PE]],MATCH(KU$1,PortfolioRef[Reference '#]),0),AssetMonthlyReturns[[#This Row],[SPY]:[PE]])</f>
        <v>2.7746635458610167E-3</v>
      </c>
      <c r="KV20" s="27">
        <f>IF(ISNUMBER(KV19),KV19*(1+PortfolioFrontier[[#This Row],[P77 Return]]),1+PortfolioFrontier[[#This Row],[P77 Return]])</f>
        <v>1.0927648556831051</v>
      </c>
      <c r="KW20" s="27">
        <f>MAX(KW19,PortfolioFrontier[[#This Row],[P77 Growth]])</f>
        <v>1.0927648556831051</v>
      </c>
      <c r="KX20" s="27">
        <f>PortfolioFrontier[[#This Row],[P77 Growth]]/PortfolioFrontier[[#This Row],[P77 HWM]]-1</f>
        <v>0</v>
      </c>
      <c r="KY20" s="28">
        <f>SUMPRODUCT(INDEX(PortfolioRef[[SPY]:[PE]],MATCH(KY$1,PortfolioRef[Reference '#]),0),AssetMonthlyReturns[[#This Row],[SPY]:[PE]])</f>
        <v>5.1055275605137902E-3</v>
      </c>
      <c r="KZ20" s="27">
        <f>IF(ISNUMBER(KZ19),KZ19*(1+PortfolioFrontier[[#This Row],[P78 Return]]),1+PortfolioFrontier[[#This Row],[P78 Return]])</f>
        <v>1.089548540868384</v>
      </c>
      <c r="LA20" s="27">
        <f>MAX(LA19,PortfolioFrontier[[#This Row],[P78 Growth]])</f>
        <v>1.089548540868384</v>
      </c>
      <c r="LB20" s="27">
        <f>PortfolioFrontier[[#This Row],[P78 Growth]]/PortfolioFrontier[[#This Row],[P78 HWM]]-1</f>
        <v>0</v>
      </c>
      <c r="LC20" s="28">
        <f>SUMPRODUCT(INDEX(PortfolioRef[[SPY]:[PE]],MATCH(LC$1,PortfolioRef[Reference '#]),0),AssetMonthlyReturns[[#This Row],[SPY]:[PE]])</f>
        <v>-2.0758623166653892E-3</v>
      </c>
      <c r="LD20" s="27">
        <f>IF(ISNUMBER(LD19),LD19*(1+PortfolioFrontier[[#This Row],[P79 Return]]),1+PortfolioFrontier[[#This Row],[P79 Return]])</f>
        <v>1.0899367855795761</v>
      </c>
      <c r="LE20" s="27">
        <f>MAX(LE19,PortfolioFrontier[[#This Row],[P79 Growth]])</f>
        <v>1.0922040508107633</v>
      </c>
      <c r="LF20" s="27">
        <f>PortfolioFrontier[[#This Row],[P79 Growth]]/PortfolioFrontier[[#This Row],[P79 HWM]]-1</f>
        <v>-2.0758623166653445E-3</v>
      </c>
      <c r="LG20" s="28">
        <f>SUMPRODUCT(INDEX(PortfolioRef[[SPY]:[PE]],MATCH(LG$1,PortfolioRef[Reference '#]),0),AssetMonthlyReturns[[#This Row],[SPY]:[PE]])</f>
        <v>2.5500169798738353E-4</v>
      </c>
      <c r="LH20" s="27">
        <f>IF(ISNUMBER(LH19),LH19*(1+PortfolioFrontier[[#This Row],[P80 Return]]),1+PortfolioFrontier[[#This Row],[P80 Return]])</f>
        <v>1.0868148693098978</v>
      </c>
      <c r="LI20" s="27">
        <f>MAX(LI19,PortfolioFrontier[[#This Row],[P80 Growth]])</f>
        <v>1.0868148693098978</v>
      </c>
      <c r="LJ20" s="27">
        <f>PortfolioFrontier[[#This Row],[P80 Growth]]/PortfolioFrontier[[#This Row],[P80 HWM]]-1</f>
        <v>0</v>
      </c>
      <c r="LK20" s="28">
        <f>SUMPRODUCT(INDEX(PortfolioRef[[SPY]:[PE]],MATCH(LK$1,PortfolioRef[Reference '#]),0),AssetMonthlyReturns[[#This Row],[SPY]:[PE]])</f>
        <v>2.5858657126401566E-3</v>
      </c>
      <c r="LL20" s="27">
        <f>IF(ISNUMBER(LL19),LL19*(1+PortfolioFrontier[[#This Row],[P81 Return]]),1+PortfolioFrontier[[#This Row],[P81 Return]])</f>
        <v>1.0836420351987139</v>
      </c>
      <c r="LM20" s="27">
        <f>MAX(LM19,PortfolioFrontier[[#This Row],[P81 Growth]])</f>
        <v>1.0836420351987139</v>
      </c>
      <c r="LN20" s="27">
        <f>PortfolioFrontier[[#This Row],[P81 Growth]]/PortfolioFrontier[[#This Row],[P81 HWM]]-1</f>
        <v>0</v>
      </c>
      <c r="LO20" s="28">
        <f>SUMPRODUCT(INDEX(PortfolioRef[[SPY]:[PE]],MATCH(LO$1,PortfolioRef[Reference '#]),0),AssetMonthlyReturns[[#This Row],[SPY]:[PE]])</f>
        <v>-9.5613163894892094E-4</v>
      </c>
      <c r="LP20" s="27">
        <f>IF(ISNUMBER(LP19),LP19*(1+PortfolioFrontier[[#This Row],[P82 Return]]),1+PortfolioFrontier[[#This Row],[P82 Return]])</f>
        <v>1.0942654743065121</v>
      </c>
      <c r="LQ20" s="27">
        <f>MAX(LQ19,PortfolioFrontier[[#This Row],[P82 Growth]])</f>
        <v>1.0953127374693503</v>
      </c>
      <c r="LR20" s="27">
        <f>PortfolioFrontier[[#This Row],[P82 Growth]]/PortfolioFrontier[[#This Row],[P82 HWM]]-1</f>
        <v>-9.561316389489205E-4</v>
      </c>
      <c r="LS20" s="28">
        <f>SUMPRODUCT(INDEX(PortfolioRef[[SPY]:[PE]],MATCH(LS$1,PortfolioRef[Reference '#]),0),AssetMonthlyReturns[[#This Row],[SPY]:[PE]])</f>
        <v>1.3747323757038517E-3</v>
      </c>
      <c r="LT20" s="27">
        <f>IF(ISNUMBER(LT19),LT19*(1+PortfolioFrontier[[#This Row],[P83 Return]]),1+PortfolioFrontier[[#This Row],[P83 Return]])</f>
        <v>1.0911350913526867</v>
      </c>
      <c r="LU20" s="27">
        <f>MAX(LU19,PortfolioFrontier[[#This Row],[P83 Growth]])</f>
        <v>1.0911350913526867</v>
      </c>
      <c r="LV20" s="27">
        <f>PortfolioFrontier[[#This Row],[P83 Growth]]/PortfolioFrontier[[#This Row],[P83 HWM]]-1</f>
        <v>0</v>
      </c>
      <c r="LW20" s="28">
        <f>SUMPRODUCT(INDEX(PortfolioRef[[SPY]:[PE]],MATCH(LW$1,PortfolioRef[Reference '#]),0),AssetMonthlyReturns[[#This Row],[SPY]:[PE]])</f>
        <v>3.7055963903566249E-3</v>
      </c>
      <c r="LX20" s="27">
        <f>IF(ISNUMBER(LX19),LX19*(1+PortfolioFrontier[[#This Row],[P84 Return]]),1+PortfolioFrontier[[#This Row],[P84 Return]])</f>
        <v>1.0879535398606477</v>
      </c>
      <c r="LY20" s="27">
        <f>MAX(LY19,PortfolioFrontier[[#This Row],[P84 Growth]])</f>
        <v>1.0879535398606477</v>
      </c>
      <c r="LZ20" s="27">
        <f>PortfolioFrontier[[#This Row],[P84 Growth]]/PortfolioFrontier[[#This Row],[P84 HWM]]-1</f>
        <v>0</v>
      </c>
      <c r="MA20" s="28">
        <f>SUMPRODUCT(INDEX(PortfolioRef[[SPY]:[PE]],MATCH(MA$1,PortfolioRef[Reference '#]),0),AssetMonthlyReturns[[#This Row],[SPY]:[PE]])</f>
        <v>1.6359903876754815E-4</v>
      </c>
      <c r="MB20" s="27">
        <f>IF(ISNUMBER(MB19),MB19*(1+PortfolioFrontier[[#This Row],[P85 Return]]),1+PortfolioFrontier[[#This Row],[P85 Return]])</f>
        <v>1.0985491234523821</v>
      </c>
      <c r="MC20" s="27">
        <f>MAX(MC19,PortfolioFrontier[[#This Row],[P85 Growth]])</f>
        <v>1.0985491234523821</v>
      </c>
      <c r="MD20" s="27">
        <f>PortfolioFrontier[[#This Row],[P85 Growth]]/PortfolioFrontier[[#This Row],[P85 HWM]]-1</f>
        <v>0</v>
      </c>
      <c r="ME20" s="28">
        <f>SUMPRODUCT(INDEX(PortfolioRef[[SPY]:[PE]],MATCH(ME$1,PortfolioRef[Reference '#]),0),AssetMonthlyReturns[[#This Row],[SPY]:[PE]])</f>
        <v>2.4944630534203204E-3</v>
      </c>
      <c r="MF20" s="27">
        <f>IF(ISNUMBER(MF19),MF19*(1+PortfolioFrontier[[#This Row],[P86 Return]]),1+PortfolioFrontier[[#This Row],[P86 Return]])</f>
        <v>1.0954103853174244</v>
      </c>
      <c r="MG20" s="27">
        <f>MAX(MG19,PortfolioFrontier[[#This Row],[P86 Growth]])</f>
        <v>1.0954103853174244</v>
      </c>
      <c r="MH20" s="27">
        <f>PortfolioFrontier[[#This Row],[P86 Growth]]/PortfolioFrontier[[#This Row],[P86 HWM]]-1</f>
        <v>0</v>
      </c>
      <c r="MI20" s="28">
        <f>SUMPRODUCT(INDEX(PortfolioRef[[SPY]:[PE]],MATCH(MI$1,PortfolioRef[Reference '#]),0),AssetMonthlyReturns[[#This Row],[SPY]:[PE]])</f>
        <v>4.8253270680730931E-3</v>
      </c>
      <c r="MJ20" s="27">
        <f>IF(ISNUMBER(MJ19),MJ19*(1+PortfolioFrontier[[#This Row],[P87 Return]]),1+PortfolioFrontier[[#This Row],[P87 Return]])</f>
        <v>1.0922202294256593</v>
      </c>
      <c r="MK20" s="27">
        <f>MAX(MK19,PortfolioFrontier[[#This Row],[P87 Growth]])</f>
        <v>1.0922202294256593</v>
      </c>
      <c r="ML20" s="27">
        <f>PortfolioFrontier[[#This Row],[P87 Growth]]/PortfolioFrontier[[#This Row],[P87 HWM]]-1</f>
        <v>0</v>
      </c>
      <c r="MM20" s="28">
        <f>SUMPRODUCT(INDEX(PortfolioRef[[SPY]:[PE]],MATCH(MM$1,PortfolioRef[Reference '#]),0),AssetMonthlyReturns[[#This Row],[SPY]:[PE]])</f>
        <v>-2.3560628091060854E-3</v>
      </c>
      <c r="MN20" s="27">
        <f>IF(ISNUMBER(MN19),MN19*(1+PortfolioFrontier[[#This Row],[P88 Return]]),1+PortfolioFrontier[[#This Row],[P88 Return]])</f>
        <v>1.0925497808830729</v>
      </c>
      <c r="MO20" s="27">
        <f>MAX(MO19,PortfolioFrontier[[#This Row],[P88 Growth]])</f>
        <v>1.0951299758904054</v>
      </c>
      <c r="MP20" s="27">
        <f>PortfolioFrontier[[#This Row],[P88 Growth]]/PortfolioFrontier[[#This Row],[P88 HWM]]-1</f>
        <v>-2.356062809106052E-3</v>
      </c>
      <c r="MQ20" s="28">
        <f>SUMPRODUCT(INDEX(PortfolioRef[[SPY]:[PE]],MATCH(MQ$1,PortfolioRef[Reference '#]),0),AssetMonthlyReturns[[#This Row],[SPY]:[PE]])</f>
        <v>-2.5198794453313612E-5</v>
      </c>
      <c r="MR20" s="27">
        <f>IF(ISNUMBER(MR19),MR19*(1+PortfolioFrontier[[#This Row],[P89 Return]]),1+PortfolioFrontier[[#This Row],[P89 Return]])</f>
        <v>1.0894542204959246</v>
      </c>
      <c r="MS20" s="27">
        <f>MAX(MS19,PortfolioFrontier[[#This Row],[P89 Growth]])</f>
        <v>1.0894816741206914</v>
      </c>
      <c r="MT20" s="27">
        <f>PortfolioFrontier[[#This Row],[P89 Growth]]/PortfolioFrontier[[#This Row],[P89 HWM]]-1</f>
        <v>-2.5198794453396012E-5</v>
      </c>
      <c r="MU20" s="28">
        <f>SUMPRODUCT(INDEX(PortfolioRef[[SPY]:[PE]],MATCH(MU$1,PortfolioRef[Reference '#]),0),AssetMonthlyReturns[[#This Row],[SPY]:[PE]])</f>
        <v>2.3056652201994604E-3</v>
      </c>
      <c r="MV20" s="27">
        <f>IF(ISNUMBER(MV19),MV19*(1+PortfolioFrontier[[#This Row],[P90 Return]]),1+PortfolioFrontier[[#This Row],[P90 Return]])</f>
        <v>1.0863074124190348</v>
      </c>
      <c r="MW20" s="27">
        <f>MAX(MW19,PortfolioFrontier[[#This Row],[P90 Growth]])</f>
        <v>1.0863074124190348</v>
      </c>
      <c r="MX20" s="27">
        <f>PortfolioFrontier[[#This Row],[P90 Growth]]/PortfolioFrontier[[#This Row],[P90 HWM]]-1</f>
        <v>0</v>
      </c>
      <c r="MY20" s="28">
        <f>SUMPRODUCT(INDEX(PortfolioRef[[SPY]:[PE]],MATCH(MY$1,PortfolioRef[Reference '#]),0),AssetMonthlyReturns[[#This Row],[SPY]:[PE]])</f>
        <v>-1.2363321313896163E-3</v>
      </c>
      <c r="MZ20" s="27">
        <f>IF(ISNUMBER(MZ19),MZ19*(1+PortfolioFrontier[[#This Row],[P91 Return]]),1+PortfolioFrontier[[#This Row],[P91 Return]])</f>
        <v>1.0968687811274147</v>
      </c>
      <c r="NA20" s="27">
        <f>MAX(NA19,PortfolioFrontier[[#This Row],[P91 Growth]])</f>
        <v>1.098226553903551</v>
      </c>
      <c r="NB20" s="27">
        <f>PortfolioFrontier[[#This Row],[P91 Growth]]/PortfolioFrontier[[#This Row],[P91 HWM]]-1</f>
        <v>-1.2363321313896281E-3</v>
      </c>
      <c r="NC20" s="28">
        <f>SUMPRODUCT(INDEX(PortfolioRef[[SPY]:[PE]],MATCH(NC$1,PortfolioRef[Reference '#]),0),AssetMonthlyReturns[[#This Row],[SPY]:[PE]])</f>
        <v>1.0945318832631555E-3</v>
      </c>
      <c r="ND20" s="27">
        <f>IF(ISNUMBER(ND19),ND19*(1+PortfolioFrontier[[#This Row],[P92 Return]]),1+PortfolioFrontier[[#This Row],[P92 Return]])</f>
        <v>1.0937649406128183</v>
      </c>
      <c r="NE20" s="27">
        <f>MAX(NE19,PortfolioFrontier[[#This Row],[P92 Growth]])</f>
        <v>1.0937649406128183</v>
      </c>
      <c r="NF20" s="27">
        <f>PortfolioFrontier[[#This Row],[P92 Growth]]/PortfolioFrontier[[#This Row],[P92 HWM]]-1</f>
        <v>0</v>
      </c>
      <c r="NG20" s="28">
        <f>SUMPRODUCT(INDEX(PortfolioRef[[SPY]:[PE]],MATCH(NG$1,PortfolioRef[Reference '#]),0),AssetMonthlyReturns[[#This Row],[SPY]:[PE]])</f>
        <v>3.4253958979159282E-3</v>
      </c>
      <c r="NH20" s="27">
        <f>IF(ISNUMBER(NH19),NH19*(1+PortfolioFrontier[[#This Row],[P93 Return]]),1+PortfolioFrontier[[#This Row],[P93 Return]])</f>
        <v>1.0906096011961433</v>
      </c>
      <c r="NI20" s="27">
        <f>MAX(NI19,PortfolioFrontier[[#This Row],[P93 Growth]])</f>
        <v>1.0906096011961433</v>
      </c>
      <c r="NJ20" s="27">
        <f>PortfolioFrontier[[#This Row],[P93 Growth]]/PortfolioFrontier[[#This Row],[P93 HWM]]-1</f>
        <v>0</v>
      </c>
      <c r="NK20" s="28">
        <f>SUMPRODUCT(INDEX(PortfolioRef[[SPY]:[PE]],MATCH(NK$1,PortfolioRef[Reference '#]),0),AssetMonthlyReturns[[#This Row],[SPY]:[PE]])</f>
        <v>-1.1660145367314812E-4</v>
      </c>
      <c r="NL20" s="27">
        <f>IF(ISNUMBER(NL19),NL19*(1+PortfolioFrontier[[#This Row],[P94 Return]]),1+PortfolioFrontier[[#This Row],[P94 Return]])</f>
        <v>1.1011425480424197</v>
      </c>
      <c r="NM20" s="27">
        <f>MAX(NM19,PortfolioFrontier[[#This Row],[P94 Growth]])</f>
        <v>1.1012709578369915</v>
      </c>
      <c r="NN20" s="27">
        <f>PortfolioFrontier[[#This Row],[P94 Growth]]/PortfolioFrontier[[#This Row],[P94 HWM]]-1</f>
        <v>-1.1660145367309305E-4</v>
      </c>
      <c r="NO20" s="28">
        <f>SUMPRODUCT(INDEX(PortfolioRef[[SPY]:[PE]],MATCH(NO$1,PortfolioRef[Reference '#]),0),AssetMonthlyReturns[[#This Row],[SPY]:[PE]])</f>
        <v>2.2142625609796241E-3</v>
      </c>
      <c r="NP20" s="27">
        <f>IF(ISNUMBER(NP19),NP19*(1+PortfolioFrontier[[#This Row],[P95 Return]]),1+PortfolioFrontier[[#This Row],[P95 Return]])</f>
        <v>1.0980305383541484</v>
      </c>
      <c r="NQ20" s="27">
        <f>MAX(NQ19,PortfolioFrontier[[#This Row],[P95 Growth]])</f>
        <v>1.0980305383541484</v>
      </c>
      <c r="NR20" s="27">
        <f>PortfolioFrontier[[#This Row],[P95 Growth]]/PortfolioFrontier[[#This Row],[P95 HWM]]-1</f>
        <v>0</v>
      </c>
      <c r="NS20" s="28">
        <f>SUMPRODUCT(INDEX(PortfolioRef[[SPY]:[PE]],MATCH(NS$1,PortfolioRef[Reference '#]),0),AssetMonthlyReturns[[#This Row],[SPY]:[PE]])</f>
        <v>4.5451265756323968E-3</v>
      </c>
      <c r="NT20" s="27">
        <f>IF(ISNUMBER(NT19),NT19*(1+PortfolioFrontier[[#This Row],[P96 Return]]),1+PortfolioFrontier[[#This Row],[P96 Return]])</f>
        <v>1.0948667800433143</v>
      </c>
      <c r="NU20" s="27">
        <f>MAX(NU19,PortfolioFrontier[[#This Row],[P96 Growth]])</f>
        <v>1.0948667800433143</v>
      </c>
      <c r="NV20" s="27">
        <f>PortfolioFrontier[[#This Row],[P96 Growth]]/PortfolioFrontier[[#This Row],[P96 HWM]]-1</f>
        <v>0</v>
      </c>
      <c r="NW20" s="28">
        <f>SUMPRODUCT(INDEX(PortfolioRef[[SPY]:[PE]],MATCH(NW$1,PortfolioRef[Reference '#]),0),AssetMonthlyReturns[[#This Row],[SPY]:[PE]])</f>
        <v>2.4379563144912323E-4</v>
      </c>
      <c r="NX20" s="27">
        <f>IF(ISNUMBER(NX19),NX19*(1+PortfolioFrontier[[#This Row],[P97 Return]]),1+PortfolioFrontier[[#This Row],[P97 Return]])</f>
        <v>1.0769924803408306</v>
      </c>
      <c r="NY20" s="27">
        <f>MAX(NY19,PortfolioFrontier[[#This Row],[P97 Growth]])</f>
        <v>1.0769924803408306</v>
      </c>
      <c r="NZ20" s="27">
        <f>PortfolioFrontier[[#This Row],[P97 Growth]]/PortfolioFrontier[[#This Row],[P97 HWM]]-1</f>
        <v>0</v>
      </c>
      <c r="OA20" s="28">
        <f>SUMPRODUCT(INDEX(PortfolioRef[[SPY]:[PE]],MATCH(OA$1,PortfolioRef[Reference '#]),0),AssetMonthlyReturns[[#This Row],[SPY]:[PE]])</f>
        <v>-1.1561355387080421E-3</v>
      </c>
      <c r="OB20" s="27">
        <f>IF(ISNUMBER(OB19),OB19*(1+PortfolioFrontier[[#This Row],[P98 Return]]),1+PortfolioFrontier[[#This Row],[P98 Return]])</f>
        <v>1.0753788006807468</v>
      </c>
      <c r="OC20" s="27">
        <f>MAX(OC19,PortfolioFrontier[[#This Row],[P98 Growth]])</f>
        <v>1.0766235233979562</v>
      </c>
      <c r="OD20" s="27">
        <f>PortfolioFrontier[[#This Row],[P98 Growth]]/PortfolioFrontier[[#This Row],[P98 HWM]]-1</f>
        <v>-1.1561355387080807E-3</v>
      </c>
      <c r="OE20" s="28">
        <f>SUMPRODUCT(INDEX(PortfolioRef[[SPY]:[PE]],MATCH(OE$1,PortfolioRef[Reference '#]),0),AssetMonthlyReturns[[#This Row],[SPY]:[PE]])</f>
        <v>-3.640486099157304E-5</v>
      </c>
      <c r="OF20" s="27">
        <f>IF(ISNUMBER(OF19),OF19*(1+PortfolioFrontier[[#This Row],[P99 Return]]),1+PortfolioFrontier[[#This Row],[P99 Return]])</f>
        <v>1.079670665438637</v>
      </c>
      <c r="OG20" s="27">
        <f>MAX(OG19,PortfolioFrontier[[#This Row],[P99 Growth]])</f>
        <v>1.0797099721300836</v>
      </c>
      <c r="OH20" s="27">
        <f>PortfolioFrontier[[#This Row],[P99 Growth]]/PortfolioFrontier[[#This Row],[P99 HWM]]-1</f>
        <v>-3.6404860991545718E-5</v>
      </c>
      <c r="OI20" s="28">
        <f>SUMPRODUCT(INDEX(PortfolioRef[[SPY]:[PE]],MATCH(OI$1,PortfolioRef[Reference '#]),0),AssetMonthlyReturns[[#This Row],[SPY]:[PE]])</f>
        <v>2.2944591536611988E-3</v>
      </c>
      <c r="OJ20" s="27">
        <f>IF(ISNUMBER(OJ19),OJ19*(1+PortfolioFrontier[[#This Row],[P100 Return]]),1+PortfolioFrontier[[#This Row],[P100 Return]])</f>
        <v>1.076481020569537</v>
      </c>
      <c r="OK20" s="27">
        <f>MAX(OK19,PortfolioFrontier[[#This Row],[P100 Growth]])</f>
        <v>1.076481020569537</v>
      </c>
      <c r="OL20" s="27">
        <f>PortfolioFrontier[[#This Row],[P100 Growth]]/PortfolioFrontier[[#This Row],[P100 HWM]]-1</f>
        <v>0</v>
      </c>
      <c r="OM20" s="28">
        <f>SUMPRODUCT(INDEX(PortfolioRef[[SPY]:[PE]],MATCH(OM$1,PortfolioRef[Reference '#]),0),AssetMonthlyReturns[[#This Row],[SPY]:[PE]])</f>
        <v>-2.5560667088652066E-3</v>
      </c>
      <c r="ON20" s="27">
        <f>IF(ISNUMBER(ON19),ON19*(1+PortfolioFrontier[[#This Row],[P101 Return]]),1+PortfolioFrontier[[#This Row],[P101 Return]])</f>
        <v>1.0737145292402792</v>
      </c>
      <c r="OO20" s="27">
        <f>MAX(OO19,PortfolioFrontier[[#This Row],[P101 Growth]])</f>
        <v>1.0764660482694846</v>
      </c>
      <c r="OP20" s="27">
        <f>PortfolioFrontier[[#This Row],[P101 Growth]]/PortfolioFrontier[[#This Row],[P101 HWM]]-1</f>
        <v>-2.5560667088652123E-3</v>
      </c>
      <c r="OQ20" s="28">
        <f>SUMPRODUCT(INDEX(PortfolioRef[[SPY]:[PE]],MATCH(OQ$1,PortfolioRef[Reference '#]),0),AssetMonthlyReturns[[#This Row],[SPY]:[PE]])</f>
        <v>-1.4363360311487375E-3</v>
      </c>
      <c r="OR20" s="27">
        <f>IF(ISNUMBER(OR19),OR19*(1+PortfolioFrontier[[#This Row],[P102 Return]]),1+PortfolioFrontier[[#This Row],[P102 Return]])</f>
        <v>1.0780413982777994</v>
      </c>
      <c r="OS20" s="27">
        <f>MAX(OS19,PortfolioFrontier[[#This Row],[P102 Growth]])</f>
        <v>1.0795920552456908</v>
      </c>
      <c r="OT20" s="27">
        <f>PortfolioFrontier[[#This Row],[P102 Growth]]/PortfolioFrontier[[#This Row],[P102 HWM]]-1</f>
        <v>-1.4363360311487883E-3</v>
      </c>
      <c r="OU20" s="28">
        <f>SUMPRODUCT(INDEX(PortfolioRef[[SPY]:[PE]],MATCH(OU$1,PortfolioRef[Reference '#]),0),AssetMonthlyReturns[[#This Row],[SPY]:[PE]])</f>
        <v>8.9452798350403429E-4</v>
      </c>
      <c r="OV20" s="27">
        <f>IF(ISNUMBER(OV19),OV19*(1+PortfolioFrontier[[#This Row],[P103 Return]]),1+PortfolioFrontier[[#This Row],[P103 Return]])</f>
        <v>1.0748862021024526</v>
      </c>
      <c r="OW20" s="27">
        <f>MAX(OW19,PortfolioFrontier[[#This Row],[P103 Growth]])</f>
        <v>1.0748862021024526</v>
      </c>
      <c r="OX20" s="27">
        <f>PortfolioFrontier[[#This Row],[P103 Growth]]/PortfolioFrontier[[#This Row],[P103 HWM]]-1</f>
        <v>0</v>
      </c>
      <c r="OY20" s="28">
        <f>SUMPRODUCT(INDEX(PortfolioRef[[SPY]:[PE]],MATCH(OY$1,PortfolioRef[Reference '#]),0),AssetMonthlyReturns[[#This Row],[SPY]:[PE]])</f>
        <v>-3.1660535343226975E-4</v>
      </c>
      <c r="OZ20" s="27">
        <f>IF(ISNUMBER(OZ19),OZ19*(1+PortfolioFrontier[[#This Row],[P104 Return]]),1+PortfolioFrontier[[#This Row],[P104 Return]])</f>
        <v>1.0823241246797923</v>
      </c>
      <c r="PA20" s="27">
        <f>MAX(PA19,PortfolioFrontier[[#This Row],[P104 Growth]])</f>
        <v>1.0826669028172082</v>
      </c>
      <c r="PB20" s="27">
        <f>PortfolioFrontier[[#This Row],[P104 Growth]]/PortfolioFrontier[[#This Row],[P104 HWM]]-1</f>
        <v>-3.1660535343225327E-4</v>
      </c>
      <c r="PC20" s="28">
        <f>SUMPRODUCT(INDEX(PortfolioRef[[SPY]:[PE]],MATCH(PC$1,PortfolioRef[Reference '#]),0),AssetMonthlyReturns[[#This Row],[SPY]:[PE]])</f>
        <v>2.0142586612205034E-3</v>
      </c>
      <c r="PD20" s="27">
        <f>IF(ISNUMBER(PD19),PD19*(1+PortfolioFrontier[[#This Row],[P105 Return]]),1+PortfolioFrontier[[#This Row],[P105 Return]])</f>
        <v>1.0791602082311105</v>
      </c>
      <c r="PE20" s="27">
        <f>MAX(PE19,PortfolioFrontier[[#This Row],[P105 Growth]])</f>
        <v>1.0791602082311105</v>
      </c>
      <c r="PF20" s="27">
        <f>PortfolioFrontier[[#This Row],[P105 Growth]]/PortfolioFrontier[[#This Row],[P105 HWM]]-1</f>
        <v>0</v>
      </c>
      <c r="PG20" s="28">
        <f>SUMPRODUCT(INDEX(PortfolioRef[[SPY]:[PE]],MATCH(PG$1,PortfolioRef[Reference '#]),0),AssetMonthlyReturns[[#This Row],[SPY]:[PE]])</f>
        <v>4.3451226758732756E-3</v>
      </c>
      <c r="PH20" s="27">
        <f>IF(ISNUMBER(PH19),PH19*(1+PortfolioFrontier[[#This Row],[P106 Return]]),1+PortfolioFrontier[[#This Row],[P106 Return]])</f>
        <v>1.0759460259916753</v>
      </c>
      <c r="PI20" s="27">
        <f>MAX(PI19,PortfolioFrontier[[#This Row],[P106 Growth]])</f>
        <v>1.0759460259916753</v>
      </c>
      <c r="PJ20" s="27">
        <f>PortfolioFrontier[[#This Row],[P106 Growth]]/PortfolioFrontier[[#This Row],[P106 HWM]]-1</f>
        <v>0</v>
      </c>
      <c r="PK20" s="28">
        <f>SUMPRODUCT(INDEX(PortfolioRef[[SPY]:[PE]],MATCH(PK$1,PortfolioRef[Reference '#]),0),AssetMonthlyReturns[[#This Row],[SPY]:[PE]])</f>
        <v>-2.8362672013059029E-3</v>
      </c>
      <c r="PL20" s="27">
        <f>IF(ISNUMBER(PL19),PL19*(1+PortfolioFrontier[[#This Row],[P107 Return]]),1+PortfolioFrontier[[#This Row],[P107 Return]])</f>
        <v>1.0763615326551745</v>
      </c>
      <c r="PM20" s="27">
        <f>MAX(PM19,PortfolioFrontier[[#This Row],[P107 Growth]])</f>
        <v>1.0794230648904564</v>
      </c>
      <c r="PN20" s="27">
        <f>PortfolioFrontier[[#This Row],[P107 Growth]]/PortfolioFrontier[[#This Row],[P107 HWM]]-1</f>
        <v>-2.8362672013058088E-3</v>
      </c>
      <c r="PO20" s="28">
        <f>SUMPRODUCT(INDEX(PortfolioRef[[SPY]:[PE]],MATCH(PO$1,PortfolioRef[Reference '#]),0),AssetMonthlyReturns[[#This Row],[SPY]:[PE]])</f>
        <v>-5.0540318665313107E-4</v>
      </c>
      <c r="PP20" s="27">
        <f>IF(ISNUMBER(PP19),PP19*(1+PortfolioFrontier[[#This Row],[P108 Return]]),1+PortfolioFrontier[[#This Row],[P108 Return]])</f>
        <v>1.0732407652185496</v>
      </c>
      <c r="PQ20" s="27">
        <f>MAX(PQ19,PortfolioFrontier[[#This Row],[P108 Growth]])</f>
        <v>1.0737834588004027</v>
      </c>
      <c r="PR20" s="27">
        <f>PortfolioFrontier[[#This Row],[P108 Growth]]/PortfolioFrontier[[#This Row],[P108 HWM]]-1</f>
        <v>-5.0540318665304174E-4</v>
      </c>
      <c r="PS20" s="28">
        <f>SUMPRODUCT(INDEX(PortfolioRef[[SPY]:[PE]],MATCH(PS$1,PortfolioRef[Reference '#]),0),AssetMonthlyReturns[[#This Row],[SPY]:[PE]])</f>
        <v>-1.7165365235894347E-3</v>
      </c>
      <c r="PT20" s="27">
        <f>IF(ISNUMBER(PT19),PT19*(1+PortfolioFrontier[[#This Row],[P109 Return]]),1+PortfolioFrontier[[#This Row],[P109 Return]])</f>
        <v>1.0806792622409873</v>
      </c>
      <c r="PU20" s="27">
        <f>MAX(PU19,PortfolioFrontier[[#This Row],[P109 Growth]])</f>
        <v>1.0825374773590284</v>
      </c>
      <c r="PV20" s="27">
        <f>PortfolioFrontier[[#This Row],[P109 Growth]]/PortfolioFrontier[[#This Row],[P109 HWM]]-1</f>
        <v>-1.7165365235893848E-3</v>
      </c>
      <c r="PW20" s="28">
        <f>SUMPRODUCT(INDEX(PortfolioRef[[SPY]:[PE]],MATCH(PW$1,PortfolioRef[Reference '#]),0),AssetMonthlyReturns[[#This Row],[SPY]:[PE]])</f>
        <v>6.1432749106333801E-4</v>
      </c>
      <c r="PX20" s="27">
        <f>IF(ISNUMBER(PX19),PX19*(1+PortfolioFrontier[[#This Row],[P110 Return]]),1+PortfolioFrontier[[#This Row],[P110 Return]])</f>
        <v>1.0775498478335552</v>
      </c>
      <c r="PY20" s="27">
        <f>MAX(PY19,PortfolioFrontier[[#This Row],[P110 Growth]])</f>
        <v>1.0775498478335552</v>
      </c>
      <c r="PZ20" s="27">
        <f>PortfolioFrontier[[#This Row],[P110 Growth]]/PortfolioFrontier[[#This Row],[P110 HWM]]-1</f>
        <v>0</v>
      </c>
      <c r="QA20" s="28">
        <f>SUMPRODUCT(INDEX(PortfolioRef[[SPY]:[PE]],MATCH(QA$1,PortfolioRef[Reference '#]),0),AssetMonthlyReturns[[#This Row],[SPY]:[PE]])</f>
        <v>2.9451915057161111E-3</v>
      </c>
      <c r="QB20" s="27">
        <f>IF(ISNUMBER(QB19),QB19*(1+PortfolioFrontier[[#This Row],[P111 Return]]),1+PortfolioFrontier[[#This Row],[P111 Return]])</f>
        <v>1.0743700839518835</v>
      </c>
      <c r="QC20" s="27">
        <f>MAX(QC19,PortfolioFrontier[[#This Row],[P111 Growth]])</f>
        <v>1.0743700839518835</v>
      </c>
      <c r="QD20" s="27">
        <f>PortfolioFrontier[[#This Row],[P111 Growth]]/PortfolioFrontier[[#This Row],[P111 HWM]]-1</f>
        <v>0</v>
      </c>
      <c r="QE20" s="28">
        <f>SUMPRODUCT(INDEX(PortfolioRef[[SPY]:[PE]],MATCH(QE$1,PortfolioRef[Reference '#]),0),AssetMonthlyReturns[[#This Row],[SPY]:[PE]])</f>
        <v>-5.9680584587296645E-4</v>
      </c>
      <c r="QF20" s="27">
        <f>IF(ISNUMBER(QF19),QF19*(1+PortfolioFrontier[[#This Row],[P112 Return]]),1+PortfolioFrontier[[#This Row],[P112 Return]])</f>
        <v>1.0849526545294261</v>
      </c>
      <c r="QG20" s="27">
        <f>MAX(QG19,PortfolioFrontier[[#This Row],[P112 Growth]])</f>
        <v>1.0856005472823271</v>
      </c>
      <c r="QH20" s="27">
        <f>PortfolioFrontier[[#This Row],[P112 Growth]]/PortfolioFrontier[[#This Row],[P112 HWM]]-1</f>
        <v>-5.9680584587296082E-4</v>
      </c>
      <c r="QI20" s="28">
        <f>SUMPRODUCT(INDEX(PortfolioRef[[SPY]:[PE]],MATCH(QI$1,PortfolioRef[Reference '#]),0),AssetMonthlyReturns[[#This Row],[SPY]:[PE]])</f>
        <v>1.7340581687798062E-3</v>
      </c>
      <c r="QJ20" s="27">
        <f>IF(ISNUMBER(QJ19),QJ19*(1+PortfolioFrontier[[#This Row],[P113 Return]]),1+PortfolioFrontier[[#This Row],[P113 Return]])</f>
        <v>1.0818147043308168</v>
      </c>
      <c r="QK20" s="27">
        <f>MAX(QK19,PortfolioFrontier[[#This Row],[P113 Growth]])</f>
        <v>1.0818147043308168</v>
      </c>
      <c r="QL20" s="27">
        <f>PortfolioFrontier[[#This Row],[P113 Growth]]/PortfolioFrontier[[#This Row],[P113 HWM]]-1</f>
        <v>0</v>
      </c>
      <c r="QM20" s="28">
        <f>SUMPRODUCT(INDEX(PortfolioRef[[SPY]:[PE]],MATCH(QM$1,PortfolioRef[Reference '#]),0),AssetMonthlyReturns[[#This Row],[SPY]:[PE]])</f>
        <v>4.0649221834325793E-3</v>
      </c>
      <c r="QN20" s="27">
        <f>IF(ISNUMBER(QN19),QN19*(1+PortfolioFrontier[[#This Row],[P114 Return]]),1+PortfolioFrontier[[#This Row],[P114 Return]])</f>
        <v>1.0786261574775742</v>
      </c>
      <c r="QO20" s="27">
        <f>MAX(QO19,PortfolioFrontier[[#This Row],[P114 Growth]])</f>
        <v>1.0786261574775742</v>
      </c>
      <c r="QP20" s="27">
        <f>PortfolioFrontier[[#This Row],[P114 Growth]]/PortfolioFrontier[[#This Row],[P114 HWM]]-1</f>
        <v>0</v>
      </c>
      <c r="QQ20" s="28">
        <f>SUMPRODUCT(INDEX(PortfolioRef[[SPY]:[PE]],MATCH(QQ$1,PortfolioRef[Reference '#]),0),AssetMonthlyReturns[[#This Row],[SPY]:[PE]])</f>
        <v>-3.1164676937466E-3</v>
      </c>
      <c r="QR20" s="27">
        <f>IF(ISNUMBER(QR19),QR19*(1+PortfolioFrontier[[#This Row],[P115 Return]]),1+PortfolioFrontier[[#This Row],[P115 Return]])</f>
        <v>1.0789837960617625</v>
      </c>
      <c r="QS20" s="27">
        <f>MAX(QS19,PortfolioFrontier[[#This Row],[P115 Growth]])</f>
        <v>1.0823569264561661</v>
      </c>
      <c r="QT20" s="27">
        <f>PortfolioFrontier[[#This Row],[P115 Growth]]/PortfolioFrontier[[#This Row],[P115 HWM]]-1</f>
        <v>-3.1164676937466274E-3</v>
      </c>
      <c r="QU20" s="28">
        <f>SUMPRODUCT(INDEX(PortfolioRef[[SPY]:[PE]],MATCH(QU$1,PortfolioRef[Reference '#]),0),AssetMonthlyReturns[[#This Row],[SPY]:[PE]])</f>
        <v>-7.8560367909382648E-4</v>
      </c>
      <c r="QV20" s="27">
        <f>IF(ISNUMBER(QV19),QV19*(1+PortfolioFrontier[[#This Row],[P116 Return]]),1+PortfolioFrontier[[#This Row],[P116 Return]])</f>
        <v>1.0758888618925877</v>
      </c>
      <c r="QW20" s="27">
        <f>MAX(QW19,PortfolioFrontier[[#This Row],[P116 Growth]])</f>
        <v>1.0767347486725531</v>
      </c>
      <c r="QX20" s="27">
        <f>PortfolioFrontier[[#This Row],[P116 Growth]]/PortfolioFrontier[[#This Row],[P116 HWM]]-1</f>
        <v>-7.8560367909397133E-4</v>
      </c>
      <c r="QY20" s="28">
        <f>SUMPRODUCT(INDEX(PortfolioRef[[SPY]:[PE]],MATCH(QY$1,PortfolioRef[Reference '#]),0),AssetMonthlyReturns[[#This Row],[SPY]:[PE]])</f>
        <v>1.5452603355589458E-3</v>
      </c>
      <c r="QZ20" s="27">
        <f>IF(ISNUMBER(QZ19),QZ19*(1+PortfolioFrontier[[#This Row],[P117 Return]]),1+PortfolioFrontier[[#This Row],[P117 Return]])</f>
        <v>1.0727434983151962</v>
      </c>
      <c r="RA20" s="27">
        <f>MAX(RA19,PortfolioFrontier[[#This Row],[P117 Growth]])</f>
        <v>1.0727434983151962</v>
      </c>
      <c r="RB20" s="27">
        <f>PortfolioFrontier[[#This Row],[P117 Growth]]/PortfolioFrontier[[#This Row],[P117 HWM]]-1</f>
        <v>0</v>
      </c>
      <c r="RC20" s="28">
        <f>SUMPRODUCT(INDEX(PortfolioRef[[SPY]:[PE]],MATCH(RC$1,PortfolioRef[Reference '#]),0),AssetMonthlyReturns[[#This Row],[SPY]:[PE]])</f>
        <v>-1.9967370160301309E-3</v>
      </c>
      <c r="RD20" s="27">
        <f>IF(ISNUMBER(RD19),RD19*(1+PortfolioFrontier[[#This Row],[P118 Return]]),1+PortfolioFrontier[[#This Row],[P118 Return]])</f>
        <v>1.0832921898843562</v>
      </c>
      <c r="RE20" s="27">
        <f>MAX(RE19,PortfolioFrontier[[#This Row],[P118 Growth]])</f>
        <v>1.0854595671815517</v>
      </c>
      <c r="RF20" s="27">
        <f>PortfolioFrontier[[#This Row],[P118 Growth]]/PortfolioFrontier[[#This Row],[P118 HWM]]-1</f>
        <v>-1.9967370160302034E-3</v>
      </c>
      <c r="RG20" s="28">
        <f>SUMPRODUCT(INDEX(PortfolioRef[[SPY]:[PE]],MATCH(RG$1,PortfolioRef[Reference '#]),0),AssetMonthlyReturns[[#This Row],[SPY]:[PE]])</f>
        <v>3.3412699862264087E-4</v>
      </c>
      <c r="RH20" s="27">
        <f>IF(ISNUMBER(RH19),RH19*(1+PortfolioFrontier[[#This Row],[P119 Return]]),1+PortfolioFrontier[[#This Row],[P119 Return]])</f>
        <v>1.0801887938805892</v>
      </c>
      <c r="RI20" s="27">
        <f>MAX(RI19,PortfolioFrontier[[#This Row],[P119 Growth]])</f>
        <v>1.0801887938805892</v>
      </c>
      <c r="RJ20" s="27">
        <f>PortfolioFrontier[[#This Row],[P119 Growth]]/PortfolioFrontier[[#This Row],[P119 HWM]]-1</f>
        <v>0</v>
      </c>
      <c r="RK20" s="28">
        <f>SUMPRODUCT(INDEX(PortfolioRef[[SPY]:[PE]],MATCH(RK$1,PortfolioRef[Reference '#]),0),AssetMonthlyReturns[[#This Row],[SPY]:[PE]])</f>
        <v>2.6649910132754149E-3</v>
      </c>
      <c r="RL20" s="27">
        <f>IF(ISNUMBER(RL19),RL19*(1+PortfolioFrontier[[#This Row],[P120 Return]]),1+PortfolioFrontier[[#This Row],[P120 Return]])</f>
        <v>1.0770347193066339</v>
      </c>
      <c r="RM20" s="27">
        <f>MAX(RM19,PortfolioFrontier[[#This Row],[P120 Growth]])</f>
        <v>1.0770347193066339</v>
      </c>
      <c r="RN20" s="27">
        <f>PortfolioFrontier[[#This Row],[P120 Growth]]/PortfolioFrontier[[#This Row],[P120 HWM]]-1</f>
        <v>0</v>
      </c>
      <c r="RO20" s="28">
        <f>SUMPRODUCT(INDEX(PortfolioRef[[SPY]:[PE]],MATCH(RO$1,PortfolioRef[Reference '#]),0),AssetMonthlyReturns[[#This Row],[SPY]:[PE]])</f>
        <v>-8.7700633831366186E-4</v>
      </c>
      <c r="RP20" s="27">
        <f>IF(ISNUMBER(RP19),RP19*(1+PortfolioFrontier[[#This Row],[P121 Return]]),1+PortfolioFrontier[[#This Row],[P121 Return]])</f>
        <v>1.0875560525982488</v>
      </c>
      <c r="RQ20" s="27">
        <f>MAX(RQ19,PortfolioFrontier[[#This Row],[P121 Growth]])</f>
        <v>1.0885106833668838</v>
      </c>
      <c r="RR20" s="27">
        <f>PortfolioFrontier[[#This Row],[P121 Growth]]/PortfolioFrontier[[#This Row],[P121 HWM]]-1</f>
        <v>-8.7700633831377939E-4</v>
      </c>
      <c r="RS20" s="28">
        <f>SUMPRODUCT(INDEX(PortfolioRef[[SPY]:[PE]],MATCH(RS$1,PortfolioRef[Reference '#]),0),AssetMonthlyReturns[[#This Row],[SPY]:[PE]])</f>
        <v>1.45385767633911E-3</v>
      </c>
      <c r="RT20" s="27">
        <f>IF(ISNUMBER(RT19),RT19*(1+PortfolioFrontier[[#This Row],[P122 Return]]),1+PortfolioFrontier[[#This Row],[P122 Return]])</f>
        <v>1.0844443054142301</v>
      </c>
      <c r="RU20" s="27">
        <f>MAX(RU19,PortfolioFrontier[[#This Row],[P122 Growth]])</f>
        <v>1.0844443054142301</v>
      </c>
      <c r="RV20" s="27">
        <f>PortfolioFrontier[[#This Row],[P122 Growth]]/PortfolioFrontier[[#This Row],[P122 HWM]]-1</f>
        <v>0</v>
      </c>
      <c r="RW20" s="28">
        <f>SUMPRODUCT(INDEX(PortfolioRef[[SPY]:[PE]],MATCH(RW$1,PortfolioRef[Reference '#]),0),AssetMonthlyReturns[[#This Row],[SPY]:[PE]])</f>
        <v>3.7847216909918826E-3</v>
      </c>
      <c r="RX20" s="27">
        <f>IF(ISNUMBER(RX19),RX19*(1+PortfolioFrontier[[#This Row],[P123 Return]]),1+PortfolioFrontier[[#This Row],[P123 Return]])</f>
        <v>1.0812816319584895</v>
      </c>
      <c r="RY20" s="27">
        <f>MAX(RY19,PortfolioFrontier[[#This Row],[P123 Growth]])</f>
        <v>1.0812816319584895</v>
      </c>
      <c r="RZ20" s="27">
        <f>PortfolioFrontier[[#This Row],[P123 Growth]]/PortfolioFrontier[[#This Row],[P123 HWM]]-1</f>
        <v>0</v>
      </c>
      <c r="SA20" s="28">
        <f>SUMPRODUCT(INDEX(PortfolioRef[[SPY]:[PE]],MATCH(SA$1,PortfolioRef[Reference '#]),0),AssetMonthlyReturns[[#This Row],[SPY]:[PE]])</f>
        <v>-3.3966681861872954E-3</v>
      </c>
      <c r="SB20" s="27">
        <f>IF(ISNUMBER(SB19),SB19*(1+PortfolioFrontier[[#This Row],[P124 Return]]),1+PortfolioFrontier[[#This Row],[P124 Return]])</f>
        <v>1.081581117624562</v>
      </c>
      <c r="SC20" s="27">
        <f>MAX(SC19,PortfolioFrontier[[#This Row],[P124 Growth]])</f>
        <v>1.0852674109127152</v>
      </c>
      <c r="SD20" s="27">
        <f>PortfolioFrontier[[#This Row],[P124 Growth]]/PortfolioFrontier[[#This Row],[P124 HWM]]-1</f>
        <v>-3.3966681861873349E-3</v>
      </c>
      <c r="SE20" s="28">
        <f>SUMPRODUCT(INDEX(PortfolioRef[[SPY]:[PE]],MATCH(SE$1,PortfolioRef[Reference '#]),0),AssetMonthlyReturns[[#This Row],[SPY]:[PE]])</f>
        <v>-1.0658041715345236E-3</v>
      </c>
      <c r="SF20" s="27">
        <f>IF(ISNUMBER(SF19),SF19*(1+PortfolioFrontier[[#This Row],[P125 Return]]),1+PortfolioFrontier[[#This Row],[P125 Return]])</f>
        <v>1.0785122521613402</v>
      </c>
      <c r="SG20" s="27">
        <f>MAX(SG19,PortfolioFrontier[[#This Row],[P125 Growth]])</f>
        <v>1.0796629614495044</v>
      </c>
      <c r="SH20" s="27">
        <f>PortfolioFrontier[[#This Row],[P125 Growth]]/PortfolioFrontier[[#This Row],[P125 HWM]]-1</f>
        <v>-1.0658041715344568E-3</v>
      </c>
      <c r="SI20" s="28">
        <f>SUMPRODUCT(INDEX(PortfolioRef[[SPY]:[PE]],MATCH(SI$1,PortfolioRef[Reference '#]),0),AssetMonthlyReturns[[#This Row],[SPY]:[PE]])</f>
        <v>1.2650598431182504E-3</v>
      </c>
      <c r="SJ20" s="27">
        <f>IF(ISNUMBER(SJ19),SJ19*(1+PortfolioFrontier[[#This Row],[P126 Return]]),1+PortfolioFrontier[[#This Row],[P126 Return]])</f>
        <v>1.0753926299688006</v>
      </c>
      <c r="SK20" s="27">
        <f>MAX(SK19,PortfolioFrontier[[#This Row],[P126 Growth]])</f>
        <v>1.0753926299688006</v>
      </c>
      <c r="SL20" s="27">
        <f>PortfolioFrontier[[#This Row],[P126 Growth]]/PortfolioFrontier[[#This Row],[P126 HWM]]-1</f>
        <v>0</v>
      </c>
      <c r="SM20" s="28">
        <f>SUMPRODUCT(INDEX(PortfolioRef[[SPY]:[PE]],MATCH(SM$1,PortfolioRef[Reference '#]),0),AssetMonthlyReturns[[#This Row],[SPY]:[PE]])</f>
        <v>-2.2769375084708272E-3</v>
      </c>
      <c r="SN20" s="27">
        <f>IF(ISNUMBER(SN19),SN19*(1+PortfolioFrontier[[#This Row],[P127 Return]]),1+PortfolioFrontier[[#This Row],[P127 Return]])</f>
        <v>1.0858799796702727</v>
      </c>
      <c r="SO20" s="27">
        <f>MAX(SO19,PortfolioFrontier[[#This Row],[P127 Growth]])</f>
        <v>1.0883581030577731</v>
      </c>
      <c r="SP20" s="27">
        <f>PortfolioFrontier[[#This Row],[P127 Growth]]/PortfolioFrontier[[#This Row],[P127 HWM]]-1</f>
        <v>-2.2769375084707999E-3</v>
      </c>
      <c r="SQ20" s="28">
        <f>SUMPRODUCT(INDEX(PortfolioRef[[SPY]:[PE]],MATCH(SQ$1,PortfolioRef[Reference '#]),0),AssetMonthlyReturns[[#This Row],[SPY]:[PE]])</f>
        <v>5.3926506181945465E-5</v>
      </c>
      <c r="SR20" s="27">
        <f>IF(ISNUMBER(SR19),SR19*(1+PortfolioFrontier[[#This Row],[P128 Return]]),1+PortfolioFrontier[[#This Row],[P128 Return]])</f>
        <v>1.0828028376351575</v>
      </c>
      <c r="SS20" s="27">
        <f>MAX(SS19,PortfolioFrontier[[#This Row],[P128 Growth]])</f>
        <v>1.0828028376351575</v>
      </c>
      <c r="ST20" s="27">
        <f>PortfolioFrontier[[#This Row],[P128 Growth]]/PortfolioFrontier[[#This Row],[P128 HWM]]-1</f>
        <v>0</v>
      </c>
      <c r="SU20" s="28">
        <f>SUMPRODUCT(INDEX(PortfolioRef[[SPY]:[PE]],MATCH(SU$1,PortfolioRef[Reference '#]),0),AssetMonthlyReturns[[#This Row],[SPY]:[PE]])</f>
        <v>2.3847905208347177E-3</v>
      </c>
      <c r="SV20" s="27">
        <f>IF(ISNUMBER(SV19),SV19*(1+PortfolioFrontier[[#This Row],[P129 Return]]),1+PortfolioFrontier[[#This Row],[P129 Return]])</f>
        <v>1.0796746891904949</v>
      </c>
      <c r="SW20" s="27">
        <f>MAX(SW19,PortfolioFrontier[[#This Row],[P129 Growth]])</f>
        <v>1.0796746891904949</v>
      </c>
      <c r="SX20" s="27">
        <f>PortfolioFrontier[[#This Row],[P129 Growth]]/PortfolioFrontier[[#This Row],[P129 HWM]]-1</f>
        <v>0</v>
      </c>
      <c r="SY20" s="28">
        <f>SUMPRODUCT(INDEX(PortfolioRef[[SPY]:[PE]],MATCH(SY$1,PortfolioRef[Reference '#]),0),AssetMonthlyReturns[[#This Row],[SPY]:[PE]])</f>
        <v>-1.157206830754359E-3</v>
      </c>
      <c r="SZ20" s="27">
        <f>IF(ISNUMBER(SZ19),SZ19*(1+PortfolioFrontier[[#This Row],[P130 Return]]),1+PortfolioFrontier[[#This Row],[P130 Return]])</f>
        <v>1.0901341176620087</v>
      </c>
      <c r="TA20" s="27">
        <f>MAX(TA19,PortfolioFrontier[[#This Row],[P130 Growth]])</f>
        <v>1.0913970898294247</v>
      </c>
      <c r="TB20" s="27">
        <f>PortfolioFrontier[[#This Row],[P130 Growth]]/PortfolioFrontier[[#This Row],[P130 HWM]]-1</f>
        <v>-1.1572068307543759E-3</v>
      </c>
      <c r="TC20" s="28">
        <f>SUMPRODUCT(INDEX(PortfolioRef[[SPY]:[PE]],MATCH(TC$1,PortfolioRef[Reference '#]),0),AssetMonthlyReturns[[#This Row],[SPY]:[PE]])</f>
        <v>1.1736571838984137E-3</v>
      </c>
      <c r="TD20" s="27">
        <f>IF(ISNUMBER(TD19),TD19*(1+PortfolioFrontier[[#This Row],[P131 Return]]),1+PortfolioFrontier[[#This Row],[P131 Return]])</f>
        <v>1.0870488091705046</v>
      </c>
      <c r="TE20" s="27">
        <f>MAX(TE19,PortfolioFrontier[[#This Row],[P131 Growth]])</f>
        <v>1.0870488091705046</v>
      </c>
      <c r="TF20" s="27">
        <f>PortfolioFrontier[[#This Row],[P131 Growth]]/PortfolioFrontier[[#This Row],[P131 HWM]]-1</f>
        <v>0</v>
      </c>
      <c r="TG20" s="28">
        <f>SUMPRODUCT(INDEX(PortfolioRef[[SPY]:[PE]],MATCH(TG$1,PortfolioRef[Reference '#]),0),AssetMonthlyReturns[[#This Row],[SPY]:[PE]])</f>
        <v>3.5045211985511864E-3</v>
      </c>
      <c r="TH20" s="27">
        <f>IF(ISNUMBER(TH19),TH19*(1+PortfolioFrontier[[#This Row],[P132 Return]]),1+PortfolioFrontier[[#This Row],[P132 Return]])</f>
        <v>1.0839122460633044</v>
      </c>
      <c r="TI20" s="27">
        <f>MAX(TI19,PortfolioFrontier[[#This Row],[P132 Growth]])</f>
        <v>1.0839122460633044</v>
      </c>
      <c r="TJ20" s="27">
        <f>PortfolioFrontier[[#This Row],[P132 Growth]]/PortfolioFrontier[[#This Row],[P132 HWM]]-1</f>
        <v>0</v>
      </c>
      <c r="TK20" s="28">
        <f>SUMPRODUCT(INDEX(PortfolioRef[[SPY]:[PE]],MATCH(TK$1,PortfolioRef[Reference '#]),0),AssetMonthlyReturns[[#This Row],[SPY]:[PE]])</f>
        <v>-3.6768686786279926E-3</v>
      </c>
      <c r="TL20" s="27">
        <f>IF(ISNUMBER(TL19),TL19*(1+PortfolioFrontier[[#This Row],[P133 Return]]),1+PortfolioFrontier[[#This Row],[P133 Return]])</f>
        <v>1.0841532966590774</v>
      </c>
      <c r="TM20" s="27">
        <f>MAX(TM19,PortfolioFrontier[[#This Row],[P133 Growth]])</f>
        <v>1.0881542971116418</v>
      </c>
      <c r="TN20" s="27">
        <f>PortfolioFrontier[[#This Row],[P133 Growth]]/PortfolioFrontier[[#This Row],[P133 HWM]]-1</f>
        <v>-3.6768686786280425E-3</v>
      </c>
      <c r="TO20" s="28">
        <f>SUMPRODUCT(INDEX(PortfolioRef[[SPY]:[PE]],MATCH(TO$1,PortfolioRef[Reference '#]),0),AssetMonthlyReturns[[#This Row],[SPY]:[PE]])</f>
        <v>-1.3460046639752199E-3</v>
      </c>
      <c r="TP20" s="27">
        <f>IF(ISNUMBER(TP19),TP19*(1+PortfolioFrontier[[#This Row],[P134 Return]]),1+PortfolioFrontier[[#This Row],[P134 Return]])</f>
        <v>1.0811107342640136</v>
      </c>
      <c r="TQ20" s="27">
        <f>MAX(TQ19,PortfolioFrontier[[#This Row],[P134 Growth]])</f>
        <v>1.0825678756737402</v>
      </c>
      <c r="TR20" s="27">
        <f>PortfolioFrontier[[#This Row],[P134 Growth]]/PortfolioFrontier[[#This Row],[P134 HWM]]-1</f>
        <v>-1.3460046639752754E-3</v>
      </c>
      <c r="TS20" s="28">
        <f>SUMPRODUCT(INDEX(PortfolioRef[[SPY]:[PE]],MATCH(TS$1,PortfolioRef[Reference '#]),0),AssetMonthlyReturns[[#This Row],[SPY]:[PE]])</f>
        <v>9.8485935067755322E-4</v>
      </c>
      <c r="TT20" s="27">
        <f>IF(ISNUMBER(TT19),TT19*(1+PortfolioFrontier[[#This Row],[P135 Return]]),1+PortfolioFrontier[[#This Row],[P135 Return]])</f>
        <v>1.078017089084788</v>
      </c>
      <c r="TU20" s="27">
        <f>MAX(TU19,PortfolioFrontier[[#This Row],[P135 Growth]])</f>
        <v>1.078017089084788</v>
      </c>
      <c r="TV20" s="27">
        <f>PortfolioFrontier[[#This Row],[P135 Growth]]/PortfolioFrontier[[#This Row],[P135 HWM]]-1</f>
        <v>0</v>
      </c>
      <c r="TW20" s="28">
        <f>SUMPRODUCT(INDEX(PortfolioRef[[SPY]:[PE]],MATCH(TW$1,PortfolioRef[Reference '#]),0),AssetMonthlyReturns[[#This Row],[SPY]:[PE]])</f>
        <v>-2.5571380009115235E-3</v>
      </c>
      <c r="TX20" s="27">
        <f>IF(ISNUMBER(TX19),TX19*(1+PortfolioFrontier[[#This Row],[P136 Return]]),1+PortfolioFrontier[[#This Row],[P136 Return]])</f>
        <v>1.0884424312288272</v>
      </c>
      <c r="TY20" s="27">
        <f>MAX(TY19,PortfolioFrontier[[#This Row],[P136 Growth]])</f>
        <v>1.0912328642538542</v>
      </c>
      <c r="TZ20" s="27">
        <f>PortfolioFrontier[[#This Row],[P136 Growth]]/PortfolioFrontier[[#This Row],[P136 HWM]]-1</f>
        <v>-2.5571380009115074E-3</v>
      </c>
      <c r="UA20" s="28">
        <f>SUMPRODUCT(INDEX(PortfolioRef[[SPY]:[PE]],MATCH(UA$1,PortfolioRef[Reference '#]),0),AssetMonthlyReturns[[#This Row],[SPY]:[PE]])</f>
        <v>-2.2627398625875168E-4</v>
      </c>
      <c r="UB20" s="27">
        <f>IF(ISNUMBER(UB19),UB19*(1+PortfolioFrontier[[#This Row],[P137 Return]]),1+PortfolioFrontier[[#This Row],[P137 Return]])</f>
        <v>1.0853917776351933</v>
      </c>
      <c r="UC20" s="27">
        <f>MAX(UC19,PortfolioFrontier[[#This Row],[P137 Growth]])</f>
        <v>1.0856374291439175</v>
      </c>
      <c r="UD20" s="27">
        <f>PortfolioFrontier[[#This Row],[P137 Growth]]/PortfolioFrontier[[#This Row],[P137 HWM]]-1</f>
        <v>-2.262739862587404E-4</v>
      </c>
      <c r="UE20" s="28">
        <f>SUMPRODUCT(INDEX(PortfolioRef[[SPY]:[PE]],MATCH(UE$1,PortfolioRef[Reference '#]),0),AssetMonthlyReturns[[#This Row],[SPY]:[PE]])</f>
        <v>2.1045900283940214E-3</v>
      </c>
      <c r="UF20" s="27">
        <f>IF(ISNUMBER(UF19),UF19*(1+PortfolioFrontier[[#This Row],[P138 Return]]),1+PortfolioFrontier[[#This Row],[P138 Return]])</f>
        <v>1.0822897910754861</v>
      </c>
      <c r="UG20" s="27">
        <f>MAX(UG19,PortfolioFrontier[[#This Row],[P138 Growth]])</f>
        <v>1.0822897910754861</v>
      </c>
      <c r="UH20" s="27">
        <f>PortfolioFrontier[[#This Row],[P138 Growth]]/PortfolioFrontier[[#This Row],[P138 HWM]]-1</f>
        <v>0</v>
      </c>
      <c r="UI20" s="28">
        <f>SUMPRODUCT(INDEX(PortfolioRef[[SPY]:[PE]],MATCH(UI$1,PortfolioRef[Reference '#]),0),AssetMonthlyReturns[[#This Row],[SPY]:[PE]])</f>
        <v>-1.4374073231950561E-3</v>
      </c>
      <c r="UJ20" s="27">
        <f>IF(ISNUMBER(UJ19),UJ19*(1+PortfolioFrontier[[#This Row],[P139 Return]]),1+PortfolioFrontier[[#This Row],[P139 Return]])</f>
        <v>1.0926866496808982</v>
      </c>
      <c r="UK20" s="27">
        <f>MAX(UK19,PortfolioFrontier[[#This Row],[P139 Growth]])</f>
        <v>1.0942595463663214</v>
      </c>
      <c r="UL20" s="27">
        <f>PortfolioFrontier[[#This Row],[P139 Growth]]/PortfolioFrontier[[#This Row],[P139 HWM]]-1</f>
        <v>-1.4374073231951945E-3</v>
      </c>
      <c r="UM20" s="28">
        <f>SUMPRODUCT(INDEX(PortfolioRef[[SPY]:[PE]],MATCH(UM$1,PortfolioRef[Reference '#]),0),AssetMonthlyReturns[[#This Row],[SPY]:[PE]])</f>
        <v>8.9345669145771741E-4</v>
      </c>
      <c r="UN20" s="27">
        <f>IF(ISNUMBER(UN19),UN19*(1+PortfolioFrontier[[#This Row],[P140 Return]]),1+PortfolioFrontier[[#This Row],[P140 Return]])</f>
        <v>1.0896280144518071</v>
      </c>
      <c r="UO20" s="27">
        <f>MAX(UO19,PortfolioFrontier[[#This Row],[P140 Growth]])</f>
        <v>1.0896280144518071</v>
      </c>
      <c r="UP20" s="27">
        <f>PortfolioFrontier[[#This Row],[P140 Growth]]/PortfolioFrontier[[#This Row],[P140 HWM]]-1</f>
        <v>0</v>
      </c>
      <c r="UQ20" s="28">
        <f>SUMPRODUCT(INDEX(PortfolioRef[[SPY]:[PE]],MATCH(UQ$1,PortfolioRef[Reference '#]),0),AssetMonthlyReturns[[#This Row],[SPY]:[PE]])</f>
        <v>3.2243207061104901E-3</v>
      </c>
      <c r="UR20" s="27">
        <f>IF(ISNUMBER(UR19),UR19*(1+PortfolioFrontier[[#This Row],[P141 Return]]),1+PortfolioFrontier[[#This Row],[P141 Return]])</f>
        <v>1.0865177975624691</v>
      </c>
      <c r="US20" s="27">
        <f>MAX(US19,PortfolioFrontier[[#This Row],[P141 Growth]])</f>
        <v>1.0865177975624691</v>
      </c>
      <c r="UT20" s="27">
        <f>PortfolioFrontier[[#This Row],[P141 Growth]]/PortfolioFrontier[[#This Row],[P141 HWM]]-1</f>
        <v>0</v>
      </c>
    </row>
    <row r="21" spans="2:566" x14ac:dyDescent="0.2">
      <c r="B21" s="41">
        <f>AssetMonthlyReturns[[#This Row],[Date]]</f>
        <v>43009</v>
      </c>
      <c r="C21" s="28">
        <f>SUMPRODUCT(INDEX(PortfolioRef[[SPY]:[PE]],MATCH(C$1,PortfolioRef[Reference '#]),0),AssetMonthlyReturns[[#This Row],[SPY]:[PE]])</f>
        <v>1.5248157844078092E-2</v>
      </c>
      <c r="D21" s="29">
        <f>IF(ISNUMBER(D20),D20*(1+PortfolioFrontier[[#This Row],[P1 Return]]),1+PortfolioFrontier[[#This Row],[P1 Return]])</f>
        <v>1.1613220462690914</v>
      </c>
      <c r="E21" s="29">
        <f>MAX(E20,PortfolioFrontier[[#This Row],[P1 Growth]])</f>
        <v>1.1613220462690914</v>
      </c>
      <c r="F21" s="29">
        <f>PortfolioFrontier[[#This Row],[P1 Growth]]/PortfolioFrontier[[#This Row],[P1 HWM]]-1</f>
        <v>0</v>
      </c>
      <c r="G21" s="28">
        <f>SUMPRODUCT(INDEX(PortfolioRef[[SPY]:[PE]],MATCH(G$1,PortfolioRef[Reference '#]),0),AssetMonthlyReturns[[#This Row],[SPY]:[PE]])</f>
        <v>1.386545086001958E-2</v>
      </c>
      <c r="H21" s="27">
        <f>IF(ISNUMBER(H20),H20*(1+PortfolioFrontier[[#This Row],[P2 Return]]),1+PortfolioFrontier[[#This Row],[P2 Return]])</f>
        <v>1.1482140981822624</v>
      </c>
      <c r="I21" s="27">
        <f>MAX(I20,PortfolioFrontier[[#This Row],[P2 Growth]])</f>
        <v>1.1482140981822624</v>
      </c>
      <c r="J21" s="27">
        <f>PortfolioFrontier[[#This Row],[P2 Growth]]/PortfolioFrontier[[#This Row],[P2 HWM]]-1</f>
        <v>0</v>
      </c>
      <c r="K21" s="28">
        <f>SUMPRODUCT(INDEX(PortfolioRef[[SPY]:[PE]],MATCH(K$1,PortfolioRef[Reference '#]),0),AssetMonthlyReturns[[#This Row],[SPY]:[PE]])</f>
        <v>1.3441740445769101E-2</v>
      </c>
      <c r="L21" s="27">
        <f>IF(ISNUMBER(L20),L20*(1+PortfolioFrontier[[#This Row],[P3 Return]]),1+PortfolioFrontier[[#This Row],[P3 Return]])</f>
        <v>1.146080557893538</v>
      </c>
      <c r="M21" s="27">
        <f>MAX(M20,PortfolioFrontier[[#This Row],[P3 Growth]])</f>
        <v>1.146080557893538</v>
      </c>
      <c r="N21" s="27">
        <f>PortfolioFrontier[[#This Row],[P3 Growth]]/PortfolioFrontier[[#This Row],[P3 HWM]]-1</f>
        <v>0</v>
      </c>
      <c r="O21" s="28">
        <f>SUMPRODUCT(INDEX(PortfolioRef[[SPY]:[PE]],MATCH(O$1,PortfolioRef[Reference '#]),0),AssetMonthlyReturns[[#This Row],[SPY]:[PE]])</f>
        <v>1.3788900292228247E-2</v>
      </c>
      <c r="P21" s="27">
        <f>IF(ISNUMBER(P20),P20*(1+PortfolioFrontier[[#This Row],[P4 Return]]),1+PortfolioFrontier[[#This Row],[P4 Return]])</f>
        <v>1.1509264813906364</v>
      </c>
      <c r="Q21" s="27">
        <f>MAX(Q20,PortfolioFrontier[[#This Row],[P4 Growth]])</f>
        <v>1.1509264813906364</v>
      </c>
      <c r="R21" s="27">
        <f>PortfolioFrontier[[#This Row],[P4 Growth]]/PortfolioFrontier[[#This Row],[P4 HWM]]-1</f>
        <v>0</v>
      </c>
      <c r="S21" s="28">
        <f>SUMPRODUCT(INDEX(PortfolioRef[[SPY]:[PE]],MATCH(S$1,PortfolioRef[Reference '#]),0),AssetMonthlyReturns[[#This Row],[SPY]:[PE]])</f>
        <v>1.3890204799697192E-2</v>
      </c>
      <c r="T21" s="27">
        <f>IF(ISNUMBER(T20),T20*(1+PortfolioFrontier[[#This Row],[P5 Return]]),1+PortfolioFrontier[[#This Row],[P5 Return]])</f>
        <v>1.1476644522373147</v>
      </c>
      <c r="U21" s="27">
        <f>MAX(U20,PortfolioFrontier[[#This Row],[P5 Growth]])</f>
        <v>1.1476644522373147</v>
      </c>
      <c r="V21" s="27">
        <f>PortfolioFrontier[[#This Row],[P5 Growth]]/PortfolioFrontier[[#This Row],[P5 HWM]]-1</f>
        <v>0</v>
      </c>
      <c r="W21" s="28">
        <f>SUMPRODUCT(INDEX(PortfolioRef[[SPY]:[PE]],MATCH(W$1,PortfolioRef[Reference '#]),0),AssetMonthlyReturns[[#This Row],[SPY]:[PE]])</f>
        <v>1.2482743875961067E-2</v>
      </c>
      <c r="X21" s="27">
        <f>IF(ISNUMBER(X20),X20*(1+PortfolioFrontier[[#This Row],[P6 Return]]),1+PortfolioFrontier[[#This Row],[P6 Return]])</f>
        <v>1.1352276673251032</v>
      </c>
      <c r="Y21" s="27">
        <f>MAX(Y20,PortfolioFrontier[[#This Row],[P6 Growth]])</f>
        <v>1.1352276673251032</v>
      </c>
      <c r="Z21" s="27">
        <f>PortfolioFrontier[[#This Row],[P6 Growth]]/PortfolioFrontier[[#This Row],[P6 HWM]]-1</f>
        <v>0</v>
      </c>
      <c r="AA21" s="28">
        <f>SUMPRODUCT(INDEX(PortfolioRef[[SPY]:[PE]],MATCH(AA$1,PortfolioRef[Reference '#]),0),AssetMonthlyReturns[[#This Row],[SPY]:[PE]])</f>
        <v>1.2059033461710588E-2</v>
      </c>
      <c r="AB21" s="27">
        <f>IF(ISNUMBER(AB20),AB20*(1+PortfolioFrontier[[#This Row],[P7 Return]]),1+PortfolioFrontier[[#This Row],[P7 Return]])</f>
        <v>1.1331046530426596</v>
      </c>
      <c r="AC21" s="27">
        <f>MAX(AC20,PortfolioFrontier[[#This Row],[P7 Growth]])</f>
        <v>1.1331046530426596</v>
      </c>
      <c r="AD21" s="27">
        <f>PortfolioFrontier[[#This Row],[P7 Growth]]/PortfolioFrontier[[#This Row],[P7 HWM]]-1</f>
        <v>0</v>
      </c>
      <c r="AE21" s="28">
        <f>SUMPRODUCT(INDEX(PortfolioRef[[SPY]:[PE]],MATCH(AE$1,PortfolioRef[Reference '#]),0),AssetMonthlyReturns[[#This Row],[SPY]:[PE]])</f>
        <v>1.2406193308169734E-2</v>
      </c>
      <c r="AF21" s="27">
        <f>IF(ISNUMBER(AF20),AF20*(1+PortfolioFrontier[[#This Row],[P8 Return]]),1+PortfolioFrontier[[#This Row],[P8 Return]])</f>
        <v>1.1379202373986621</v>
      </c>
      <c r="AG21" s="27">
        <f>MAX(AG20,PortfolioFrontier[[#This Row],[P8 Growth]])</f>
        <v>1.1379202373986621</v>
      </c>
      <c r="AH21" s="27">
        <f>PortfolioFrontier[[#This Row],[P8 Growth]]/PortfolioFrontier[[#This Row],[P8 HWM]]-1</f>
        <v>0</v>
      </c>
      <c r="AI21" s="28">
        <f>SUMPRODUCT(INDEX(PortfolioRef[[SPY]:[PE]],MATCH(AI$1,PortfolioRef[Reference '#]),0),AssetMonthlyReturns[[#This Row],[SPY]:[PE]])</f>
        <v>1.2507497815638679E-2</v>
      </c>
      <c r="AJ21" s="27">
        <f>IF(ISNUMBER(AJ20),AJ20*(1+PortfolioFrontier[[#This Row],[P9 Return]]),1+PortfolioFrontier[[#This Row],[P9 Return]])</f>
        <v>1.1346906301153308</v>
      </c>
      <c r="AK21" s="27">
        <f>MAX(AK20,PortfolioFrontier[[#This Row],[P9 Growth]])</f>
        <v>1.1346906301153308</v>
      </c>
      <c r="AL21" s="27">
        <f>PortfolioFrontier[[#This Row],[P9 Growth]]/PortfolioFrontier[[#This Row],[P9 HWM]]-1</f>
        <v>0</v>
      </c>
      <c r="AM21" s="28">
        <f>SUMPRODUCT(INDEX(PortfolioRef[[SPY]:[PE]],MATCH(AM$1,PortfolioRef[Reference '#]),0),AssetMonthlyReturns[[#This Row],[SPY]:[PE]])</f>
        <v>1.1635323047460112E-2</v>
      </c>
      <c r="AN21" s="27">
        <f>IF(ISNUMBER(AN20),AN20*(1+PortfolioFrontier[[#This Row],[P10 Return]]),1+PortfolioFrontier[[#This Row],[P10 Return]])</f>
        <v>1.1309298897560451</v>
      </c>
      <c r="AO21" s="27">
        <f>MAX(AO20,PortfolioFrontier[[#This Row],[P10 Growth]])</f>
        <v>1.1309298897560451</v>
      </c>
      <c r="AP21" s="27">
        <f>PortfolioFrontier[[#This Row],[P10 Growth]]/PortfolioFrontier[[#This Row],[P10 HWM]]-1</f>
        <v>0</v>
      </c>
      <c r="AQ21" s="28">
        <f>SUMPRODUCT(INDEX(PortfolioRef[[SPY]:[PE]],MATCH(AQ$1,PortfolioRef[Reference '#]),0),AssetMonthlyReturns[[#This Row],[SPY]:[PE]])</f>
        <v>1.1982482893919255E-2</v>
      </c>
      <c r="AR21" s="27">
        <f>IF(ISNUMBER(AR20),AR20*(1+PortfolioFrontier[[#This Row],[P11 Return]]),1+PortfolioFrontier[[#This Row],[P11 Return]])</f>
        <v>1.1357799061103884</v>
      </c>
      <c r="AS21" s="27">
        <f>MAX(AS20,PortfolioFrontier[[#This Row],[P11 Growth]])</f>
        <v>1.1357799061103884</v>
      </c>
      <c r="AT21" s="27">
        <f>PortfolioFrontier[[#This Row],[P11 Growth]]/PortfolioFrontier[[#This Row],[P11 HWM]]-1</f>
        <v>0</v>
      </c>
      <c r="AU21" s="28">
        <f>SUMPRODUCT(INDEX(PortfolioRef[[SPY]:[PE]],MATCH(AU$1,PortfolioRef[Reference '#]),0),AssetMonthlyReturns[[#This Row],[SPY]:[PE]])</f>
        <v>1.2083787401388201E-2</v>
      </c>
      <c r="AV21" s="27">
        <f>IF(ISNUMBER(AV20),AV20*(1+PortfolioFrontier[[#This Row],[P12 Return]]),1+PortfolioFrontier[[#This Row],[P12 Return]])</f>
        <v>1.1325875886804884</v>
      </c>
      <c r="AW21" s="27">
        <f>MAX(AW20,PortfolioFrontier[[#This Row],[P12 Growth]])</f>
        <v>1.1325875886804884</v>
      </c>
      <c r="AX21" s="27">
        <f>PortfolioFrontier[[#This Row],[P12 Growth]]/PortfolioFrontier[[#This Row],[P12 HWM]]-1</f>
        <v>0</v>
      </c>
      <c r="AY21" s="28">
        <f>SUMPRODUCT(INDEX(PortfolioRef[[SPY]:[PE]],MATCH(AY$1,PortfolioRef[Reference '#]),0),AssetMonthlyReturns[[#This Row],[SPY]:[PE]])</f>
        <v>1.2329642740378399E-2</v>
      </c>
      <c r="AZ21" s="27">
        <f>IF(ISNUMBER(AZ20),AZ20*(1+PortfolioFrontier[[#This Row],[P13 Return]]),1+PortfolioFrontier[[#This Row],[P13 Return]])</f>
        <v>1.1405862203357318</v>
      </c>
      <c r="BA21" s="27">
        <f>MAX(BA20,PortfolioFrontier[[#This Row],[P13 Growth]])</f>
        <v>1.1405862203357318</v>
      </c>
      <c r="BB21" s="27">
        <f>PortfolioFrontier[[#This Row],[P13 Growth]]/PortfolioFrontier[[#This Row],[P13 HWM]]-1</f>
        <v>0</v>
      </c>
      <c r="BC21" s="28">
        <f>SUMPRODUCT(INDEX(PortfolioRef[[SPY]:[PE]],MATCH(BC$1,PortfolioRef[Reference '#]),0),AssetMonthlyReturns[[#This Row],[SPY]:[PE]])</f>
        <v>1.2430947247847346E-2</v>
      </c>
      <c r="BD21" s="27">
        <f>IF(ISNUMBER(BD20),BD20*(1+PortfolioFrontier[[#This Row],[P14 Return]]),1+PortfolioFrontier[[#This Row],[P14 Return]])</f>
        <v>1.1373843572358489</v>
      </c>
      <c r="BE21" s="27">
        <f>MAX(BE20,PortfolioFrontier[[#This Row],[P14 Growth]])</f>
        <v>1.1373843572358489</v>
      </c>
      <c r="BF21" s="27">
        <f>PortfolioFrontier[[#This Row],[P14 Growth]]/PortfolioFrontier[[#This Row],[P14 HWM]]-1</f>
        <v>0</v>
      </c>
      <c r="BG21" s="28">
        <f>SUMPRODUCT(INDEX(PortfolioRef[[SPY]:[PE]],MATCH(BG$1,PortfolioRef[Reference '#]),0),AssetMonthlyReturns[[#This Row],[SPY]:[PE]])</f>
        <v>1.2532251755316293E-2</v>
      </c>
      <c r="BH21" s="27">
        <f>IF(ISNUMBER(BH20),BH20*(1+PortfolioFrontier[[#This Row],[P15 Return]]),1+PortfolioFrontier[[#This Row],[P15 Return]])</f>
        <v>1.1341289415701883</v>
      </c>
      <c r="BI21" s="27">
        <f>MAX(BI20,PortfolioFrontier[[#This Row],[P15 Growth]])</f>
        <v>1.1341289415701883</v>
      </c>
      <c r="BJ21" s="27">
        <f>PortfolioFrontier[[#This Row],[P15 Growth]]/PortfolioFrontier[[#This Row],[P15 HWM]]-1</f>
        <v>0</v>
      </c>
      <c r="BK21" s="28">
        <f>SUMPRODUCT(INDEX(PortfolioRef[[SPY]:[PE]],MATCH(BK$1,PortfolioRef[Reference '#]),0),AssetMonthlyReturns[[#This Row],[SPY]:[PE]])</f>
        <v>1.1100036891902554E-2</v>
      </c>
      <c r="BL21" s="27">
        <f>IF(ISNUMBER(BL20),BL20*(1+PortfolioFrontier[[#This Row],[P16 Return]]),1+PortfolioFrontier[[#This Row],[P16 Return]])</f>
        <v>1.1223618767631351</v>
      </c>
      <c r="BM21" s="27">
        <f>MAX(BM20,PortfolioFrontier[[#This Row],[P16 Growth]])</f>
        <v>1.1223618767631351</v>
      </c>
      <c r="BN21" s="27">
        <f>PortfolioFrontier[[#This Row],[P16 Growth]]/PortfolioFrontier[[#This Row],[P16 HWM]]-1</f>
        <v>0</v>
      </c>
      <c r="BO21" s="28">
        <f>SUMPRODUCT(INDEX(PortfolioRef[[SPY]:[PE]],MATCH(BO$1,PortfolioRef[Reference '#]),0),AssetMonthlyReturns[[#This Row],[SPY]:[PE]])</f>
        <v>1.0676326477652076E-2</v>
      </c>
      <c r="BP21" s="27">
        <f>IF(ISNUMBER(BP20),BP20*(1+PortfolioFrontier[[#This Row],[P17 Return]]),1+PortfolioFrontier[[#This Row],[P17 Return]])</f>
        <v>1.1202494264715832</v>
      </c>
      <c r="BQ21" s="27">
        <f>MAX(BQ20,PortfolioFrontier[[#This Row],[P17 Growth]])</f>
        <v>1.1202494264715832</v>
      </c>
      <c r="BR21" s="27">
        <f>PortfolioFrontier[[#This Row],[P17 Growth]]/PortfolioFrontier[[#This Row],[P17 HWM]]-1</f>
        <v>0</v>
      </c>
      <c r="BS21" s="28">
        <f>SUMPRODUCT(INDEX(PortfolioRef[[SPY]:[PE]],MATCH(BS$1,PortfolioRef[Reference '#]),0),AssetMonthlyReturns[[#This Row],[SPY]:[PE]])</f>
        <v>1.1023486324111221E-2</v>
      </c>
      <c r="BT21" s="27">
        <f>IF(ISNUMBER(BT20),BT20*(1+PortfolioFrontier[[#This Row],[P18 Return]]),1+PortfolioFrontier[[#This Row],[P18 Return]])</f>
        <v>1.125034717296953</v>
      </c>
      <c r="BU21" s="27">
        <f>MAX(BU20,PortfolioFrontier[[#This Row],[P18 Growth]])</f>
        <v>1.125034717296953</v>
      </c>
      <c r="BV21" s="27">
        <f>PortfolioFrontier[[#This Row],[P18 Growth]]/PortfolioFrontier[[#This Row],[P18 HWM]]-1</f>
        <v>0</v>
      </c>
      <c r="BW21" s="28">
        <f>SUMPRODUCT(INDEX(PortfolioRef[[SPY]:[PE]],MATCH(BW$1,PortfolioRef[Reference '#]),0),AssetMonthlyReturns[[#This Row],[SPY]:[PE]])</f>
        <v>1.1124790831580167E-2</v>
      </c>
      <c r="BX21" s="27">
        <f>IF(ISNUMBER(BX20),BX20*(1+PortfolioFrontier[[#This Row],[P19 Return]]),1+PortfolioFrontier[[#This Row],[P19 Return]])</f>
        <v>1.1218372698377417</v>
      </c>
      <c r="BY21" s="27">
        <f>MAX(BY20,PortfolioFrontier[[#This Row],[P19 Growth]])</f>
        <v>1.1218372698377417</v>
      </c>
      <c r="BZ21" s="27">
        <f>PortfolioFrontier[[#This Row],[P19 Growth]]/PortfolioFrontier[[#This Row],[P19 HWM]]-1</f>
        <v>0</v>
      </c>
      <c r="CA21" s="28">
        <f>SUMPRODUCT(INDEX(PortfolioRef[[SPY]:[PE]],MATCH(CA$1,PortfolioRef[Reference '#]),0),AssetMonthlyReturns[[#This Row],[SPY]:[PE]])</f>
        <v>1.0252616063401599E-2</v>
      </c>
      <c r="CB21" s="27">
        <f>IF(ISNUMBER(CB20),CB20*(1+PortfolioFrontier[[#This Row],[P20 Return]]),1+PortfolioFrontier[[#This Row],[P20 Return]])</f>
        <v>1.1180857888626532</v>
      </c>
      <c r="CC21" s="27">
        <f>MAX(CC20,PortfolioFrontier[[#This Row],[P20 Growth]])</f>
        <v>1.1180857888626532</v>
      </c>
      <c r="CD21" s="27">
        <f>PortfolioFrontier[[#This Row],[P20 Growth]]/PortfolioFrontier[[#This Row],[P20 HWM]]-1</f>
        <v>0</v>
      </c>
      <c r="CE21" s="28">
        <f>SUMPRODUCT(INDEX(PortfolioRef[[SPY]:[PE]],MATCH(CE$1,PortfolioRef[Reference '#]),0),AssetMonthlyReturns[[#This Row],[SPY]:[PE]])</f>
        <v>1.0599775909860743E-2</v>
      </c>
      <c r="CF21" s="27">
        <f>IF(ISNUMBER(CF20),CF20*(1+PortfolioFrontier[[#This Row],[P21 Return]]),1+PortfolioFrontier[[#This Row],[P21 Return]])</f>
        <v>1.1229051065200888</v>
      </c>
      <c r="CG21" s="27">
        <f>MAX(CG20,PortfolioFrontier[[#This Row],[P21 Growth]])</f>
        <v>1.1229051065200888</v>
      </c>
      <c r="CH21" s="27">
        <f>PortfolioFrontier[[#This Row],[P21 Growth]]/PortfolioFrontier[[#This Row],[P21 HWM]]-1</f>
        <v>0</v>
      </c>
      <c r="CI21" s="28">
        <f>SUMPRODUCT(INDEX(PortfolioRef[[SPY]:[PE]],MATCH(CI$1,PortfolioRef[Reference '#]),0),AssetMonthlyReturns[[#This Row],[SPY]:[PE]])</f>
        <v>1.0701080417329688E-2</v>
      </c>
      <c r="CJ21" s="27">
        <f>IF(ISNUMBER(CJ20),CJ20*(1+PortfolioFrontier[[#This Row],[P22 Return]]),1+PortfolioFrontier[[#This Row],[P22 Return]])</f>
        <v>1.1197445869685689</v>
      </c>
      <c r="CK21" s="27">
        <f>MAX(CK20,PortfolioFrontier[[#This Row],[P22 Growth]])</f>
        <v>1.1197445869685689</v>
      </c>
      <c r="CL21" s="27">
        <f>PortfolioFrontier[[#This Row],[P22 Growth]]/PortfolioFrontier[[#This Row],[P22 HWM]]-1</f>
        <v>0</v>
      </c>
      <c r="CM21" s="28">
        <f>SUMPRODUCT(INDEX(PortfolioRef[[SPY]:[PE]],MATCH(CM$1,PortfolioRef[Reference '#]),0),AssetMonthlyReturns[[#This Row],[SPY]:[PE]])</f>
        <v>1.0946935756319887E-2</v>
      </c>
      <c r="CN21" s="27">
        <f>IF(ISNUMBER(CN20),CN20*(1+PortfolioFrontier[[#This Row],[P23 Return]]),1+PortfolioFrontier[[#This Row],[P23 Return]])</f>
        <v>1.1276812961862845</v>
      </c>
      <c r="CO21" s="27">
        <f>MAX(CO20,PortfolioFrontier[[#This Row],[P23 Growth]])</f>
        <v>1.1276812961862845</v>
      </c>
      <c r="CP21" s="27">
        <f>PortfolioFrontier[[#This Row],[P23 Growth]]/PortfolioFrontier[[#This Row],[P23 HWM]]-1</f>
        <v>0</v>
      </c>
      <c r="CQ21" s="28">
        <f>SUMPRODUCT(INDEX(PortfolioRef[[SPY]:[PE]],MATCH(CQ$1,PortfolioRef[Reference '#]),0),AssetMonthlyReturns[[#This Row],[SPY]:[PE]])</f>
        <v>1.1048240263788834E-2</v>
      </c>
      <c r="CR21" s="27">
        <f>IF(ISNUMBER(CR20),CR20*(1+PortfolioFrontier[[#This Row],[P24 Return]]),1+PortfolioFrontier[[#This Row],[P24 Return]])</f>
        <v>1.1245112565986044</v>
      </c>
      <c r="CS21" s="27">
        <f>MAX(CS20,PortfolioFrontier[[#This Row],[P24 Growth]])</f>
        <v>1.1245112565986044</v>
      </c>
      <c r="CT21" s="27">
        <f>PortfolioFrontier[[#This Row],[P24 Growth]]/PortfolioFrontier[[#This Row],[P24 HWM]]-1</f>
        <v>0</v>
      </c>
      <c r="CU21" s="28">
        <f>SUMPRODUCT(INDEX(PortfolioRef[[SPY]:[PE]],MATCH(CU$1,PortfolioRef[Reference '#]),0),AssetMonthlyReturns[[#This Row],[SPY]:[PE]])</f>
        <v>1.1149544771257781E-2</v>
      </c>
      <c r="CV21" s="27">
        <f>IF(ISNUMBER(CV20),CV20*(1+PortfolioFrontier[[#This Row],[P25 Return]]),1+PortfolioFrontier[[#This Row],[P25 Return]])</f>
        <v>1.1212882458283171</v>
      </c>
      <c r="CW21" s="27">
        <f>MAX(CW20,PortfolioFrontier[[#This Row],[P25 Growth]])</f>
        <v>1.1212882458283171</v>
      </c>
      <c r="CX21" s="27">
        <f>PortfolioFrontier[[#This Row],[P25 Growth]]/PortfolioFrontier[[#This Row],[P25 HWM]]-1</f>
        <v>0</v>
      </c>
      <c r="CY21" s="28">
        <f>SUMPRODUCT(INDEX(PortfolioRef[[SPY]:[PE]],MATCH(CY$1,PortfolioRef[Reference '#]),0),AssetMonthlyReturns[[#This Row],[SPY]:[PE]])</f>
        <v>1.0176065495610266E-2</v>
      </c>
      <c r="CZ21" s="27">
        <f>IF(ISNUMBER(CZ20),CZ20*(1+PortfolioFrontier[[#This Row],[P26 Return]]),1+PortfolioFrontier[[#This Row],[P26 Return]])</f>
        <v>1.1207243199148371</v>
      </c>
      <c r="DA21" s="27">
        <f>MAX(DA20,PortfolioFrontier[[#This Row],[P26 Growth]])</f>
        <v>1.1207243199148371</v>
      </c>
      <c r="DB21" s="27">
        <f>PortfolioFrontier[[#This Row],[P26 Growth]]/PortfolioFrontier[[#This Row],[P26 HWM]]-1</f>
        <v>0</v>
      </c>
      <c r="DC21" s="28">
        <f>SUMPRODUCT(INDEX(PortfolioRef[[SPY]:[PE]],MATCH(DC$1,PortfolioRef[Reference '#]),0),AssetMonthlyReturns[[#This Row],[SPY]:[PE]])</f>
        <v>1.0277370003079211E-2</v>
      </c>
      <c r="DD21" s="27">
        <f>IF(ISNUMBER(DD20),DD20*(1+PortfolioFrontier[[#This Row],[P27 Return]]),1+PortfolioFrontier[[#This Row],[P27 Return]])</f>
        <v>1.1176006728718559</v>
      </c>
      <c r="DE21" s="27">
        <f>MAX(DE20,PortfolioFrontier[[#This Row],[P27 Growth]])</f>
        <v>1.1176006728718559</v>
      </c>
      <c r="DF21" s="27">
        <f>PortfolioFrontier[[#This Row],[P27 Growth]]/PortfolioFrontier[[#This Row],[P27 HWM]]-1</f>
        <v>0</v>
      </c>
      <c r="DG21" s="28">
        <f>SUMPRODUCT(INDEX(PortfolioRef[[SPY]:[PE]],MATCH(DG$1,PortfolioRef[Reference '#]),0),AssetMonthlyReturns[[#This Row],[SPY]:[PE]])</f>
        <v>1.0523225342069408E-2</v>
      </c>
      <c r="DH21" s="27">
        <f>IF(ISNUMBER(DH20),DH20*(1+PortfolioFrontier[[#This Row],[P28 Return]]),1+PortfolioFrontier[[#This Row],[P28 Return]])</f>
        <v>1.1255345299910078</v>
      </c>
      <c r="DI21" s="27">
        <f>MAX(DI20,PortfolioFrontier[[#This Row],[P28 Growth]])</f>
        <v>1.1255345299910078</v>
      </c>
      <c r="DJ21" s="27">
        <f>PortfolioFrontier[[#This Row],[P28 Growth]]/PortfolioFrontier[[#This Row],[P28 HWM]]-1</f>
        <v>0</v>
      </c>
      <c r="DK21" s="28">
        <f>SUMPRODUCT(INDEX(PortfolioRef[[SPY]:[PE]],MATCH(DK$1,PortfolioRef[Reference '#]),0),AssetMonthlyReturns[[#This Row],[SPY]:[PE]])</f>
        <v>1.0624529849538355E-2</v>
      </c>
      <c r="DL21" s="27">
        <f>IF(ISNUMBER(DL20),DL20*(1+PortfolioFrontier[[#This Row],[P29 Return]]),1+PortfolioFrontier[[#This Row],[P29 Return]])</f>
        <v>1.1224014579354349</v>
      </c>
      <c r="DM21" s="27">
        <f>MAX(DM20,PortfolioFrontier[[#This Row],[P29 Growth]])</f>
        <v>1.1224014579354349</v>
      </c>
      <c r="DN21" s="27">
        <f>PortfolioFrontier[[#This Row],[P29 Growth]]/PortfolioFrontier[[#This Row],[P29 HWM]]-1</f>
        <v>0</v>
      </c>
      <c r="DO21" s="28">
        <f>SUMPRODUCT(INDEX(PortfolioRef[[SPY]:[PE]],MATCH(DO$1,PortfolioRef[Reference '#]),0),AssetMonthlyReturns[[#This Row],[SPY]:[PE]])</f>
        <v>1.0725834357007302E-2</v>
      </c>
      <c r="DP21" s="27">
        <f>IF(ISNUMBER(DP20),DP20*(1+PortfolioFrontier[[#This Row],[P30 Return]]),1+PortfolioFrontier[[#This Row],[P30 Return]])</f>
        <v>1.1192153560412852</v>
      </c>
      <c r="DQ21" s="27">
        <f>MAX(DQ20,PortfolioFrontier[[#This Row],[P30 Growth]])</f>
        <v>1.1192153560412852</v>
      </c>
      <c r="DR21" s="27">
        <f>PortfolioFrontier[[#This Row],[P30 Growth]]/PortfolioFrontier[[#This Row],[P30 HWM]]-1</f>
        <v>0</v>
      </c>
      <c r="DS21" s="28">
        <f>SUMPRODUCT(INDEX(PortfolioRef[[SPY]:[PE]],MATCH(DS$1,PortfolioRef[Reference '#]),0),AssetMonthlyReturns[[#This Row],[SPY]:[PE]])</f>
        <v>1.0870385188528554E-2</v>
      </c>
      <c r="DT21" s="27">
        <f>IF(ISNUMBER(DT20),DT20*(1+PortfolioFrontier[[#This Row],[P31 Return]]),1+PortfolioFrontier[[#This Row],[P31 Return]])</f>
        <v>1.1303014096159443</v>
      </c>
      <c r="DU21" s="27">
        <f>MAX(DU20,PortfolioFrontier[[#This Row],[P31 Growth]])</f>
        <v>1.1303014096159443</v>
      </c>
      <c r="DV21" s="27">
        <f>PortfolioFrontier[[#This Row],[P31 Growth]]/PortfolioFrontier[[#This Row],[P31 HWM]]-1</f>
        <v>0</v>
      </c>
      <c r="DW21" s="28">
        <f>SUMPRODUCT(INDEX(PortfolioRef[[SPY]:[PE]],MATCH(DW$1,PortfolioRef[Reference '#]),0),AssetMonthlyReturns[[#This Row],[SPY]:[PE]])</f>
        <v>1.0971689695997499E-2</v>
      </c>
      <c r="DX21" s="27">
        <f>IF(ISNUMBER(DX20),DX20*(1+PortfolioFrontier[[#This Row],[P32 Return]]),1+PortfolioFrontier[[#This Row],[P32 Return]])</f>
        <v>1.1271590168981909</v>
      </c>
      <c r="DY21" s="27">
        <f>MAX(DY20,PortfolioFrontier[[#This Row],[P32 Growth]])</f>
        <v>1.1271590168981909</v>
      </c>
      <c r="DZ21" s="27">
        <f>PortfolioFrontier[[#This Row],[P32 Growth]]/PortfolioFrontier[[#This Row],[P32 HWM]]-1</f>
        <v>0</v>
      </c>
      <c r="EA21" s="28">
        <f>SUMPRODUCT(INDEX(PortfolioRef[[SPY]:[PE]],MATCH(EA$1,PortfolioRef[Reference '#]),0),AssetMonthlyReturns[[#This Row],[SPY]:[PE]])</f>
        <v>1.1072994203466448E-2</v>
      </c>
      <c r="EB21" s="27">
        <f>IF(ISNUMBER(EB20),EB20*(1+PortfolioFrontier[[#This Row],[P33 Return]]),1+PortfolioFrontier[[#This Row],[P33 Return]])</f>
        <v>1.123963320076609</v>
      </c>
      <c r="EC21" s="27">
        <f>MAX(EC20,PortfolioFrontier[[#This Row],[P33 Growth]])</f>
        <v>1.123963320076609</v>
      </c>
      <c r="ED21" s="27">
        <f>PortfolioFrontier[[#This Row],[P33 Growth]]/PortfolioFrontier[[#This Row],[P33 HWM]]-1</f>
        <v>0</v>
      </c>
      <c r="EE21" s="28">
        <f>SUMPRODUCT(INDEX(PortfolioRef[[SPY]:[PE]],MATCH(EE$1,PortfolioRef[Reference '#]),0),AssetMonthlyReturns[[#This Row],[SPY]:[PE]])</f>
        <v>9.7173299078440415E-3</v>
      </c>
      <c r="EF21" s="27">
        <f>IF(ISNUMBER(EF20),EF20*(1+PortfolioFrontier[[#This Row],[P34 Return]]),1+PortfolioFrontier[[#This Row],[P34 Return]])</f>
        <v>1.1096158538326137</v>
      </c>
      <c r="EG21" s="27">
        <f>MAX(EG20,PortfolioFrontier[[#This Row],[P34 Growth]])</f>
        <v>1.1096158538326137</v>
      </c>
      <c r="EH21" s="27">
        <f>PortfolioFrontier[[#This Row],[P34 Growth]]/PortfolioFrontier[[#This Row],[P34 HWM]]-1</f>
        <v>0</v>
      </c>
      <c r="EI21" s="28">
        <f>SUMPRODUCT(INDEX(PortfolioRef[[SPY]:[PE]],MATCH(EI$1,PortfolioRef[Reference '#]),0),AssetMonthlyReturns[[#This Row],[SPY]:[PE]])</f>
        <v>9.2936194935935631E-3</v>
      </c>
      <c r="EJ21" s="27">
        <f>IF(ISNUMBER(EJ20),EJ20*(1+PortfolioFrontier[[#This Row],[P35 Return]]),1+PortfolioFrontier[[#This Row],[P35 Return]])</f>
        <v>1.1075140038439251</v>
      </c>
      <c r="EK21" s="27">
        <f>MAX(EK20,PortfolioFrontier[[#This Row],[P35 Growth]])</f>
        <v>1.1075140038439251</v>
      </c>
      <c r="EL21" s="27">
        <f>PortfolioFrontier[[#This Row],[P35 Growth]]/PortfolioFrontier[[#This Row],[P35 HWM]]-1</f>
        <v>0</v>
      </c>
      <c r="EM21" s="28">
        <f>SUMPRODUCT(INDEX(PortfolioRef[[SPY]:[PE]],MATCH(EM$1,PortfolioRef[Reference '#]),0),AssetMonthlyReturns[[#This Row],[SPY]:[PE]])</f>
        <v>9.6407793400527086E-3</v>
      </c>
      <c r="EN21" s="27">
        <f>IF(ISNUMBER(EN20),EN20*(1+PortfolioFrontier[[#This Row],[P36 Return]]),1+PortfolioFrontier[[#This Row],[P36 Return]])</f>
        <v>1.1122690484959286</v>
      </c>
      <c r="EO21" s="27">
        <f>MAX(EO20,PortfolioFrontier[[#This Row],[P36 Growth]])</f>
        <v>1.1122690484959286</v>
      </c>
      <c r="EP21" s="27">
        <f>PortfolioFrontier[[#This Row],[P36 Growth]]/PortfolioFrontier[[#This Row],[P36 HWM]]-1</f>
        <v>0</v>
      </c>
      <c r="EQ21" s="28">
        <f>SUMPRODUCT(INDEX(PortfolioRef[[SPY]:[PE]],MATCH(EQ$1,PortfolioRef[Reference '#]),0),AssetMonthlyReturns[[#This Row],[SPY]:[PE]])</f>
        <v>9.7420838475216539E-3</v>
      </c>
      <c r="ER21" s="27">
        <f>IF(ISNUMBER(ER20),ER20*(1+PortfolioFrontier[[#This Row],[P37 Return]]),1+PortfolioFrontier[[#This Row],[P37 Return]])</f>
        <v>1.1091035006006662</v>
      </c>
      <c r="ES21" s="27">
        <f>MAX(ES20,PortfolioFrontier[[#This Row],[P37 Growth]])</f>
        <v>1.1091035006006662</v>
      </c>
      <c r="ET21" s="27">
        <f>PortfolioFrontier[[#This Row],[P37 Growth]]/PortfolioFrontier[[#This Row],[P37 HWM]]-1</f>
        <v>0</v>
      </c>
      <c r="EU21" s="28">
        <f>SUMPRODUCT(INDEX(PortfolioRef[[SPY]:[PE]],MATCH(EU$1,PortfolioRef[Reference '#]),0),AssetMonthlyReturns[[#This Row],[SPY]:[PE]])</f>
        <v>8.8699090793430864E-3</v>
      </c>
      <c r="EV21" s="27">
        <f>IF(ISNUMBER(EV20),EV20*(1+PortfolioFrontier[[#This Row],[P38 Return]]),1+PortfolioFrontier[[#This Row],[P38 Return]])</f>
        <v>1.1053615230491893</v>
      </c>
      <c r="EW21" s="27">
        <f>MAX(EW20,PortfolioFrontier[[#This Row],[P38 Growth]])</f>
        <v>1.1053615230491893</v>
      </c>
      <c r="EX21" s="27">
        <f>PortfolioFrontier[[#This Row],[P38 Growth]]/PortfolioFrontier[[#This Row],[P38 HWM]]-1</f>
        <v>0</v>
      </c>
      <c r="EY21" s="28">
        <f>SUMPRODUCT(INDEX(PortfolioRef[[SPY]:[PE]],MATCH(EY$1,PortfolioRef[Reference '#]),0),AssetMonthlyReturns[[#This Row],[SPY]:[PE]])</f>
        <v>9.2170689258022302E-3</v>
      </c>
      <c r="EZ21" s="27">
        <f>IF(ISNUMBER(EZ20),EZ20*(1+PortfolioFrontier[[#This Row],[P39 Return]]),1+PortfolioFrontier[[#This Row],[P39 Return]])</f>
        <v>1.1101501931355242</v>
      </c>
      <c r="FA21" s="27">
        <f>MAX(FA20,PortfolioFrontier[[#This Row],[P39 Growth]])</f>
        <v>1.1101501931355242</v>
      </c>
      <c r="FB21" s="27">
        <f>PortfolioFrontier[[#This Row],[P39 Growth]]/PortfolioFrontier[[#This Row],[P39 HWM]]-1</f>
        <v>0</v>
      </c>
      <c r="FC21" s="28">
        <f>SUMPRODUCT(INDEX(PortfolioRef[[SPY]:[PE]],MATCH(FC$1,PortfolioRef[Reference '#]),0),AssetMonthlyReturns[[#This Row],[SPY]:[PE]])</f>
        <v>9.3183734332711755E-3</v>
      </c>
      <c r="FD21" s="27">
        <f>IF(ISNUMBER(FD20),FD20*(1+PortfolioFrontier[[#This Row],[P40 Return]]),1+PortfolioFrontier[[#This Row],[P40 Return]])</f>
        <v>1.1070212143515321</v>
      </c>
      <c r="FE21" s="27">
        <f>MAX(FE20,PortfolioFrontier[[#This Row],[P40 Growth]])</f>
        <v>1.1070212143515321</v>
      </c>
      <c r="FF21" s="27">
        <f>PortfolioFrontier[[#This Row],[P40 Growth]]/PortfolioFrontier[[#This Row],[P40 HWM]]-1</f>
        <v>0</v>
      </c>
      <c r="FG21" s="28">
        <f>SUMPRODUCT(INDEX(PortfolioRef[[SPY]:[PE]],MATCH(FG$1,PortfolioRef[Reference '#]),0),AssetMonthlyReturns[[#This Row],[SPY]:[PE]])</f>
        <v>9.5642287722613739E-3</v>
      </c>
      <c r="FH21" s="27">
        <f>IF(ISNUMBER(FH20),FH20*(1+PortfolioFrontier[[#This Row],[P41 Return]]),1+PortfolioFrontier[[#This Row],[P41 Return]])</f>
        <v>1.1148963038530553</v>
      </c>
      <c r="FI21" s="27">
        <f>MAX(FI20,PortfolioFrontier[[#This Row],[P41 Growth]])</f>
        <v>1.1148963038530553</v>
      </c>
      <c r="FJ21" s="27">
        <f>PortfolioFrontier[[#This Row],[P41 Growth]]/PortfolioFrontier[[#This Row],[P41 HWM]]-1</f>
        <v>0</v>
      </c>
      <c r="FK21" s="28">
        <f>SUMPRODUCT(INDEX(PortfolioRef[[SPY]:[PE]],MATCH(FK$1,PortfolioRef[Reference '#]),0),AssetMonthlyReturns[[#This Row],[SPY]:[PE]])</f>
        <v>9.665533279730321E-3</v>
      </c>
      <c r="FL21" s="27">
        <f>IF(ISNUMBER(FL20),FL20*(1+PortfolioFrontier[[#This Row],[P42 Return]]),1+PortfolioFrontier[[#This Row],[P42 Return]])</f>
        <v>1.1117578308669189</v>
      </c>
      <c r="FM21" s="27">
        <f>MAX(FM20,PortfolioFrontier[[#This Row],[P42 Growth]])</f>
        <v>1.1117578308669189</v>
      </c>
      <c r="FN21" s="27">
        <f>PortfolioFrontier[[#This Row],[P42 Growth]]/PortfolioFrontier[[#This Row],[P42 HWM]]-1</f>
        <v>0</v>
      </c>
      <c r="FO21" s="28">
        <f>SUMPRODUCT(INDEX(PortfolioRef[[SPY]:[PE]],MATCH(FO$1,PortfolioRef[Reference '#]),0),AssetMonthlyReturns[[#This Row],[SPY]:[PE]])</f>
        <v>9.766837787199268E-3</v>
      </c>
      <c r="FP21" s="27">
        <f>IF(ISNUMBER(FP20),FP20*(1+PortfolioFrontier[[#This Row],[P43 Return]]),1+PortfolioFrontier[[#This Row],[P43 Return]])</f>
        <v>1.108566962767034</v>
      </c>
      <c r="FQ21" s="27">
        <f>MAX(FQ20,PortfolioFrontier[[#This Row],[P43 Growth]])</f>
        <v>1.108566962767034</v>
      </c>
      <c r="FR21" s="27">
        <f>PortfolioFrontier[[#This Row],[P43 Growth]]/PortfolioFrontier[[#This Row],[P43 HWM]]-1</f>
        <v>0</v>
      </c>
      <c r="FS21" s="28">
        <f>SUMPRODUCT(INDEX(PortfolioRef[[SPY]:[PE]],MATCH(FS$1,PortfolioRef[Reference '#]),0),AssetMonthlyReturns[[#This Row],[SPY]:[PE]])</f>
        <v>8.7933585115517535E-3</v>
      </c>
      <c r="FT21" s="27">
        <f>IF(ISNUMBER(FT20),FT20*(1+PortfolioFrontier[[#This Row],[P44 Return]]),1+PortfolioFrontier[[#This Row],[P44 Return]])</f>
        <v>1.1079807180753134</v>
      </c>
      <c r="FU21" s="27">
        <f>MAX(FU20,PortfolioFrontier[[#This Row],[P44 Growth]])</f>
        <v>1.1079807180753134</v>
      </c>
      <c r="FV21" s="27">
        <f>PortfolioFrontier[[#This Row],[P44 Growth]]/PortfolioFrontier[[#This Row],[P44 HWM]]-1</f>
        <v>0</v>
      </c>
      <c r="FW21" s="28">
        <f>SUMPRODUCT(INDEX(PortfolioRef[[SPY]:[PE]],MATCH(FW$1,PortfolioRef[Reference '#]),0),AssetMonthlyReturns[[#This Row],[SPY]:[PE]])</f>
        <v>8.8946630190206988E-3</v>
      </c>
      <c r="FX21" s="27">
        <f>IF(ISNUMBER(FX20),FX20*(1+PortfolioFrontier[[#This Row],[P45 Return]]),1+PortfolioFrontier[[#This Row],[P45 Return]])</f>
        <v>1.1048882533397699</v>
      </c>
      <c r="FY21" s="27">
        <f>MAX(FY20,PortfolioFrontier[[#This Row],[P45 Growth]])</f>
        <v>1.1048882533397699</v>
      </c>
      <c r="FZ21" s="27">
        <f>PortfolioFrontier[[#This Row],[P45 Growth]]/PortfolioFrontier[[#This Row],[P45 HWM]]-1</f>
        <v>0</v>
      </c>
      <c r="GA21" s="28">
        <f>SUMPRODUCT(INDEX(PortfolioRef[[SPY]:[PE]],MATCH(GA$1,PortfolioRef[Reference '#]),0),AssetMonthlyReturns[[#This Row],[SPY]:[PE]])</f>
        <v>9.1405183580108955E-3</v>
      </c>
      <c r="GB21" s="27">
        <f>IF(ISNUMBER(GB20),GB20*(1+PortfolioFrontier[[#This Row],[P46 Return]]),1+PortfolioFrontier[[#This Row],[P46 Return]])</f>
        <v>1.112760448177988</v>
      </c>
      <c r="GC21" s="27">
        <f>MAX(GC20,PortfolioFrontier[[#This Row],[P46 Growth]])</f>
        <v>1.112760448177988</v>
      </c>
      <c r="GD21" s="27">
        <f>PortfolioFrontier[[#This Row],[P46 Growth]]/PortfolioFrontier[[#This Row],[P46 HWM]]-1</f>
        <v>0</v>
      </c>
      <c r="GE21" s="28">
        <f>SUMPRODUCT(INDEX(PortfolioRef[[SPY]:[PE]],MATCH(GE$1,PortfolioRef[Reference '#]),0),AssetMonthlyReturns[[#This Row],[SPY]:[PE]])</f>
        <v>9.2418228654798425E-3</v>
      </c>
      <c r="GF21" s="27">
        <f>IF(ISNUMBER(GF20),GF20*(1+PortfolioFrontier[[#This Row],[P47 Return]]),1+PortfolioFrontier[[#This Row],[P47 Return]])</f>
        <v>1.1096585835749659</v>
      </c>
      <c r="GG21" s="27">
        <f>MAX(GG20,PortfolioFrontier[[#This Row],[P47 Growth]])</f>
        <v>1.1096585835749659</v>
      </c>
      <c r="GH21" s="27">
        <f>PortfolioFrontier[[#This Row],[P47 Growth]]/PortfolioFrontier[[#This Row],[P47 HWM]]-1</f>
        <v>0</v>
      </c>
      <c r="GI21" s="28">
        <f>SUMPRODUCT(INDEX(PortfolioRef[[SPY]:[PE]],MATCH(GI$1,PortfolioRef[Reference '#]),0),AssetMonthlyReturns[[#This Row],[SPY]:[PE]])</f>
        <v>9.3431273729487896E-3</v>
      </c>
      <c r="GJ21" s="27">
        <f>IF(ISNUMBER(GJ20),GJ20*(1+PortfolioFrontier[[#This Row],[P48 Return]]),1+PortfolioFrontier[[#This Row],[P48 Return]])</f>
        <v>1.1065042661161046</v>
      </c>
      <c r="GK21" s="27">
        <f>MAX(GK20,PortfolioFrontier[[#This Row],[P48 Growth]])</f>
        <v>1.1065042661161046</v>
      </c>
      <c r="GL21" s="27">
        <f>PortfolioFrontier[[#This Row],[P48 Growth]]/PortfolioFrontier[[#This Row],[P48 HWM]]-1</f>
        <v>0</v>
      </c>
      <c r="GM21" s="28">
        <f>SUMPRODUCT(INDEX(PortfolioRef[[SPY]:[PE]],MATCH(GM$1,PortfolioRef[Reference '#]),0),AssetMonthlyReturns[[#This Row],[SPY]:[PE]])</f>
        <v>9.487678204470041E-3</v>
      </c>
      <c r="GN21" s="27">
        <f>IF(ISNUMBER(GN20),GN20*(1+PortfolioFrontier[[#This Row],[P49 Return]]),1+PortfolioFrontier[[#This Row],[P49 Return]])</f>
        <v>1.117497417626041</v>
      </c>
      <c r="GO21" s="27">
        <f>MAX(GO20,PortfolioFrontier[[#This Row],[P49 Growth]])</f>
        <v>1.117497417626041</v>
      </c>
      <c r="GP21" s="27">
        <f>PortfolioFrontier[[#This Row],[P49 Growth]]/PortfolioFrontier[[#This Row],[P49 HWM]]-1</f>
        <v>0</v>
      </c>
      <c r="GQ21" s="28">
        <f>SUMPRODUCT(INDEX(PortfolioRef[[SPY]:[PE]],MATCH(GQ$1,PortfolioRef[Reference '#]),0),AssetMonthlyReturns[[#This Row],[SPY]:[PE]])</f>
        <v>9.5889827119389863E-3</v>
      </c>
      <c r="GR21" s="27">
        <f>IF(ISNUMBER(GR20),GR20*(1+PortfolioFrontier[[#This Row],[P50 Return]]),1+PortfolioFrontier[[#This Row],[P50 Return]])</f>
        <v>1.1143862565317086</v>
      </c>
      <c r="GS21" s="27">
        <f>MAX(GS20,PortfolioFrontier[[#This Row],[P50 Growth]])</f>
        <v>1.1143862565317086</v>
      </c>
      <c r="GT21" s="27">
        <f>PortfolioFrontier[[#This Row],[P50 Growth]]/PortfolioFrontier[[#This Row],[P50 HWM]]-1</f>
        <v>0</v>
      </c>
      <c r="GU21" s="28">
        <f>SUMPRODUCT(INDEX(PortfolioRef[[SPY]:[PE]],MATCH(GU$1,PortfolioRef[Reference '#]),0),AssetMonthlyReturns[[#This Row],[SPY]:[PE]])</f>
        <v>9.6902872194079351E-3</v>
      </c>
      <c r="GV21" s="27">
        <f>IF(ISNUMBER(GV20),GV20*(1+PortfolioFrontier[[#This Row],[P51 Return]]),1+PortfolioFrontier[[#This Row],[P51 Return]])</f>
        <v>1.1112223703815542</v>
      </c>
      <c r="GW21" s="27">
        <f>MAX(GW20,PortfolioFrontier[[#This Row],[P51 Growth]])</f>
        <v>1.1112223703815542</v>
      </c>
      <c r="GX21" s="27">
        <f>PortfolioFrontier[[#This Row],[P51 Growth]]/PortfolioFrontier[[#This Row],[P51 HWM]]-1</f>
        <v>0</v>
      </c>
      <c r="GY21" s="28">
        <f>SUMPRODUCT(INDEX(PortfolioRef[[SPY]:[PE]],MATCH(GY$1,PortfolioRef[Reference '#]),0),AssetMonthlyReturns[[#This Row],[SPY]:[PE]])</f>
        <v>8.7168079437604188E-3</v>
      </c>
      <c r="GZ21" s="27">
        <f>IF(ISNUMBER(GZ20),GZ20*(1+PortfolioFrontier[[#This Row],[P52 Return]]),1+PortfolioFrontier[[#This Row],[P52 Return]])</f>
        <v>1.1105739853544914</v>
      </c>
      <c r="HA21" s="27">
        <f>MAX(HA20,PortfolioFrontier[[#This Row],[P52 Growth]])</f>
        <v>1.1105739853544914</v>
      </c>
      <c r="HB21" s="27">
        <f>PortfolioFrontier[[#This Row],[P52 Growth]]/PortfolioFrontier[[#This Row],[P52 HWM]]-1</f>
        <v>0</v>
      </c>
      <c r="HC21" s="28">
        <f>SUMPRODUCT(INDEX(PortfolioRef[[SPY]:[PE]],MATCH(HC$1,PortfolioRef[Reference '#]),0),AssetMonthlyReturns[[#This Row],[SPY]:[PE]])</f>
        <v>8.8181124512293659E-3</v>
      </c>
      <c r="HD21" s="27">
        <f>IF(ISNUMBER(HD20),HD20*(1+PortfolioFrontier[[#This Row],[P53 Return]]),1+PortfolioFrontier[[#This Row],[P53 Return]])</f>
        <v>1.1075086721340095</v>
      </c>
      <c r="HE21" s="27">
        <f>MAX(HE20,PortfolioFrontier[[#This Row],[P53 Growth]])</f>
        <v>1.1075086721340095</v>
      </c>
      <c r="HF21" s="27">
        <f>PortfolioFrontier[[#This Row],[P53 Growth]]/PortfolioFrontier[[#This Row],[P53 HWM]]-1</f>
        <v>0</v>
      </c>
      <c r="HG21" s="28">
        <f>SUMPRODUCT(INDEX(PortfolioRef[[SPY]:[PE]],MATCH(HG$1,PortfolioRef[Reference '#]),0),AssetMonthlyReturns[[#This Row],[SPY]:[PE]])</f>
        <v>8.9194169586983129E-3</v>
      </c>
      <c r="HH21" s="27">
        <f>IF(ISNUMBER(HH20),HH20*(1+PortfolioFrontier[[#This Row],[P54 Return]]),1+PortfolioFrontier[[#This Row],[P54 Return]])</f>
        <v>1.1043908522245962</v>
      </c>
      <c r="HI21" s="27">
        <f>MAX(HI20,PortfolioFrontier[[#This Row],[P54 Growth]])</f>
        <v>1.1043908522245962</v>
      </c>
      <c r="HJ21" s="27">
        <f>PortfolioFrontier[[#This Row],[P54 Growth]]/PortfolioFrontier[[#This Row],[P54 HWM]]-1</f>
        <v>0</v>
      </c>
      <c r="HK21" s="28">
        <f>SUMPRODUCT(INDEX(PortfolioRef[[SPY]:[PE]],MATCH(HK$1,PortfolioRef[Reference '#]),0),AssetMonthlyReturns[[#This Row],[SPY]:[PE]])</f>
        <v>9.0639677902195626E-3</v>
      </c>
      <c r="HL21" s="27">
        <f>IF(ISNUMBER(HL20),HL20*(1+PortfolioFrontier[[#This Row],[P55 Return]]),1+PortfolioFrontier[[#This Row],[P55 Return]])</f>
        <v>1.1153445676522653</v>
      </c>
      <c r="HM21" s="27">
        <f>MAX(HM20,PortfolioFrontier[[#This Row],[P55 Growth]])</f>
        <v>1.1153445676522653</v>
      </c>
      <c r="HN21" s="27">
        <f>PortfolioFrontier[[#This Row],[P55 Growth]]/PortfolioFrontier[[#This Row],[P55 HWM]]-1</f>
        <v>0</v>
      </c>
      <c r="HO21" s="28">
        <f>SUMPRODUCT(INDEX(PortfolioRef[[SPY]:[PE]],MATCH(HO$1,PortfolioRef[Reference '#]),0),AssetMonthlyReturns[[#This Row],[SPY]:[PE]])</f>
        <v>9.1652722976885079E-3</v>
      </c>
      <c r="HP21" s="27">
        <f>IF(ISNUMBER(HP20),HP20*(1+PortfolioFrontier[[#This Row],[P56 Return]]),1+PortfolioFrontier[[#This Row],[P56 Return]])</f>
        <v>1.1122700528781224</v>
      </c>
      <c r="HQ21" s="27">
        <f>MAX(HQ20,PortfolioFrontier[[#This Row],[P56 Growth]])</f>
        <v>1.1122700528781224</v>
      </c>
      <c r="HR21" s="27">
        <f>PortfolioFrontier[[#This Row],[P56 Growth]]/PortfolioFrontier[[#This Row],[P56 HWM]]-1</f>
        <v>0</v>
      </c>
      <c r="HS21" s="28">
        <f>SUMPRODUCT(INDEX(PortfolioRef[[SPY]:[PE]],MATCH(HS$1,PortfolioRef[Reference '#]),0),AssetMonthlyReturns[[#This Row],[SPY]:[PE]])</f>
        <v>9.2665768051574567E-3</v>
      </c>
      <c r="HT21" s="27">
        <f>IF(ISNUMBER(HT20),HT20*(1+PortfolioFrontier[[#This Row],[P57 Return]]),1+PortfolioFrontier[[#This Row],[P57 Return]])</f>
        <v>1.1091427572773378</v>
      </c>
      <c r="HU21" s="27">
        <f>MAX(HU20,PortfolioFrontier[[#This Row],[P57 Growth]])</f>
        <v>1.1091427572773378</v>
      </c>
      <c r="HV21" s="27">
        <f>PortfolioFrontier[[#This Row],[P57 Growth]]/PortfolioFrontier[[#This Row],[P57 HWM]]-1</f>
        <v>0</v>
      </c>
      <c r="HW21" s="28">
        <f>SUMPRODUCT(INDEX(PortfolioRef[[SPY]:[PE]],MATCH(HW$1,PortfolioRef[Reference '#]),0),AssetMonthlyReturns[[#This Row],[SPY]:[PE]])</f>
        <v>9.4111276366787081E-3</v>
      </c>
      <c r="HX21" s="27">
        <f>IF(ISNUMBER(HX20),HX20*(1+PortfolioFrontier[[#This Row],[P58 Return]]),1+PortfolioFrontier[[#This Row],[P58 Return]])</f>
        <v>1.1200721887877347</v>
      </c>
      <c r="HY21" s="27">
        <f>MAX(HY20,PortfolioFrontier[[#This Row],[P58 Growth]])</f>
        <v>1.1200721887877347</v>
      </c>
      <c r="HZ21" s="27">
        <f>PortfolioFrontier[[#This Row],[P58 Growth]]/PortfolioFrontier[[#This Row],[P58 HWM]]-1</f>
        <v>0</v>
      </c>
      <c r="IA21" s="28">
        <f>SUMPRODUCT(INDEX(PortfolioRef[[SPY]:[PE]],MATCH(IA$1,PortfolioRef[Reference '#]),0),AssetMonthlyReturns[[#This Row],[SPY]:[PE]])</f>
        <v>9.5124321441476534E-3</v>
      </c>
      <c r="IB21" s="27">
        <f>IF(ISNUMBER(IB20),IB20*(1+PortfolioFrontier[[#This Row],[P59 Return]]),1+PortfolioFrontier[[#This Row],[P59 Return]])</f>
        <v>1.1169885753867976</v>
      </c>
      <c r="IC21" s="27">
        <f>MAX(IC20,PortfolioFrontier[[#This Row],[P59 Growth]])</f>
        <v>1.1169885753867976</v>
      </c>
      <c r="ID21" s="27">
        <f>PortfolioFrontier[[#This Row],[P59 Growth]]/PortfolioFrontier[[#This Row],[P59 HWM]]-1</f>
        <v>0</v>
      </c>
      <c r="IE21" s="28">
        <f>SUMPRODUCT(INDEX(PortfolioRef[[SPY]:[PE]],MATCH(IE$1,PortfolioRef[Reference '#]),0),AssetMonthlyReturns[[#This Row],[SPY]:[PE]])</f>
        <v>9.6137366516166004E-3</v>
      </c>
      <c r="IF21" s="27">
        <f>IF(ISNUMBER(IF20),IF20*(1+PortfolioFrontier[[#This Row],[P60 Return]]),1+PortfolioFrontier[[#This Row],[P60 Return]])</f>
        <v>1.1138519083794505</v>
      </c>
      <c r="IG21" s="27">
        <f>MAX(IG20,PortfolioFrontier[[#This Row],[P60 Growth]])</f>
        <v>1.1138519083794505</v>
      </c>
      <c r="IH21" s="27">
        <f>PortfolioFrontier[[#This Row],[P60 Growth]]/PortfolioFrontier[[#This Row],[P60 HWM]]-1</f>
        <v>0</v>
      </c>
      <c r="II21" s="28">
        <f>SUMPRODUCT(INDEX(PortfolioRef[[SPY]:[PE]],MATCH(II$1,PortfolioRef[Reference '#]),0),AssetMonthlyReturns[[#This Row],[SPY]:[PE]])</f>
        <v>8.3346229237855288E-3</v>
      </c>
      <c r="IJ21" s="27">
        <f>IF(ISNUMBER(IJ20),IJ20*(1+PortfolioFrontier[[#This Row],[P61 Return]]),1+PortfolioFrontier[[#This Row],[P61 Return]])</f>
        <v>1.0969887301350929</v>
      </c>
      <c r="IK21" s="27">
        <f>MAX(IK20,PortfolioFrontier[[#This Row],[P61 Growth]])</f>
        <v>1.0969887301350929</v>
      </c>
      <c r="IL21" s="27">
        <f>PortfolioFrontier[[#This Row],[P61 Growth]]/PortfolioFrontier[[#This Row],[P61 HWM]]-1</f>
        <v>0</v>
      </c>
      <c r="IM21" s="28">
        <f>SUMPRODUCT(INDEX(PortfolioRef[[SPY]:[PE]],MATCH(IM$1,PortfolioRef[Reference '#]),0),AssetMonthlyReturns[[#This Row],[SPY]:[PE]])</f>
        <v>7.9109125095350504E-3</v>
      </c>
      <c r="IN21" s="27">
        <f>IF(ISNUMBER(IN20),IN20*(1+PortfolioFrontier[[#This Row],[P62 Return]]),1+PortfolioFrontier[[#This Row],[P62 Return]])</f>
        <v>1.0948975151116542</v>
      </c>
      <c r="IO21" s="27">
        <f>MAX(IO20,PortfolioFrontier[[#This Row],[P62 Growth]])</f>
        <v>1.0948975151116542</v>
      </c>
      <c r="IP21" s="27">
        <f>PortfolioFrontier[[#This Row],[P62 Growth]]/PortfolioFrontier[[#This Row],[P62 HWM]]-1</f>
        <v>0</v>
      </c>
      <c r="IQ21" s="28">
        <f>SUMPRODUCT(INDEX(PortfolioRef[[SPY]:[PE]],MATCH(IQ$1,PortfolioRef[Reference '#]),0),AssetMonthlyReturns[[#This Row],[SPY]:[PE]])</f>
        <v>8.2580723559941959E-3</v>
      </c>
      <c r="IR21" s="27">
        <f>IF(ISNUMBER(IR20),IR20*(1+PortfolioFrontier[[#This Row],[P63 Return]]),1+PortfolioFrontier[[#This Row],[P63 Return]])</f>
        <v>1.0996223626685788</v>
      </c>
      <c r="IS21" s="27">
        <f>MAX(IS20,PortfolioFrontier[[#This Row],[P63 Growth]])</f>
        <v>1.0996223626685788</v>
      </c>
      <c r="IT21" s="27">
        <f>PortfolioFrontier[[#This Row],[P63 Growth]]/PortfolioFrontier[[#This Row],[P63 HWM]]-1</f>
        <v>0</v>
      </c>
      <c r="IU21" s="28">
        <f>SUMPRODUCT(INDEX(PortfolioRef[[SPY]:[PE]],MATCH(IU$1,PortfolioRef[Reference '#]),0),AssetMonthlyReturns[[#This Row],[SPY]:[PE]])</f>
        <v>8.3593768634631412E-3</v>
      </c>
      <c r="IV21" s="27">
        <f>IF(ISNUMBER(IV20),IV20*(1+PortfolioFrontier[[#This Row],[P64 Return]]),1+PortfolioFrontier[[#This Row],[P64 Return]])</f>
        <v>1.0964884558511099</v>
      </c>
      <c r="IW21" s="27">
        <f>MAX(IW20,PortfolioFrontier[[#This Row],[P64 Growth]])</f>
        <v>1.0964884558511099</v>
      </c>
      <c r="IX21" s="27">
        <f>PortfolioFrontier[[#This Row],[P64 Growth]]/PortfolioFrontier[[#This Row],[P64 HWM]]-1</f>
        <v>0</v>
      </c>
      <c r="IY21" s="28">
        <f>SUMPRODUCT(INDEX(PortfolioRef[[SPY]:[PE]],MATCH(IY$1,PortfolioRef[Reference '#]),0),AssetMonthlyReturns[[#This Row],[SPY]:[PE]])</f>
        <v>7.4872020952845729E-3</v>
      </c>
      <c r="IZ21" s="27">
        <f>IF(ISNUMBER(IZ20),IZ20*(1+PortfolioFrontier[[#This Row],[P65 Return]]),1+PortfolioFrontier[[#This Row],[P65 Return]])</f>
        <v>1.0927562206575627</v>
      </c>
      <c r="JA21" s="27">
        <f>MAX(JA20,PortfolioFrontier[[#This Row],[P65 Growth]])</f>
        <v>1.0927562206575627</v>
      </c>
      <c r="JB21" s="27">
        <f>PortfolioFrontier[[#This Row],[P65 Growth]]/PortfolioFrontier[[#This Row],[P65 HWM]]-1</f>
        <v>0</v>
      </c>
      <c r="JC21" s="28">
        <f>SUMPRODUCT(INDEX(PortfolioRef[[SPY]:[PE]],MATCH(JC$1,PortfolioRef[Reference '#]),0),AssetMonthlyReturns[[#This Row],[SPY]:[PE]])</f>
        <v>7.8343619417437175E-3</v>
      </c>
      <c r="JD21" s="27">
        <f>IF(ISNUMBER(JD20),JD20*(1+PortfolioFrontier[[#This Row],[P66 Return]]),1+PortfolioFrontier[[#This Row],[P66 Return]])</f>
        <v>1.0975142959932613</v>
      </c>
      <c r="JE21" s="27">
        <f>MAX(JE20,PortfolioFrontier[[#This Row],[P66 Growth]])</f>
        <v>1.0975142959932613</v>
      </c>
      <c r="JF21" s="27">
        <f>PortfolioFrontier[[#This Row],[P66 Growth]]/PortfolioFrontier[[#This Row],[P66 HWM]]-1</f>
        <v>0</v>
      </c>
      <c r="JG21" s="28">
        <f>SUMPRODUCT(INDEX(PortfolioRef[[SPY]:[PE]],MATCH(JG$1,PortfolioRef[Reference '#]),0),AssetMonthlyReturns[[#This Row],[SPY]:[PE]])</f>
        <v>7.9356664492126628E-3</v>
      </c>
      <c r="JH21" s="27">
        <f>IF(ISNUMBER(JH20),JH20*(1+PortfolioFrontier[[#This Row],[P67 Return]]),1+PortfolioFrontier[[#This Row],[P67 Return]])</f>
        <v>1.0944166026153967</v>
      </c>
      <c r="JI21" s="27">
        <f>MAX(JI20,PortfolioFrontier[[#This Row],[P67 Growth]])</f>
        <v>1.0944166026153967</v>
      </c>
      <c r="JJ21" s="27">
        <f>PortfolioFrontier[[#This Row],[P67 Growth]]/PortfolioFrontier[[#This Row],[P67 HWM]]-1</f>
        <v>0</v>
      </c>
      <c r="JK21" s="28">
        <f>SUMPRODUCT(INDEX(PortfolioRef[[SPY]:[PE]],MATCH(JK$1,PortfolioRef[Reference '#]),0),AssetMonthlyReturns[[#This Row],[SPY]:[PE]])</f>
        <v>8.1815217882028612E-3</v>
      </c>
      <c r="JL21" s="27">
        <f>IF(ISNUMBER(JL20),JL20*(1+PortfolioFrontier[[#This Row],[P68 Return]]),1+PortfolioFrontier[[#This Row],[P68 Return]])</f>
        <v>1.1022303751040889</v>
      </c>
      <c r="JM21" s="27">
        <f>MAX(JM20,PortfolioFrontier[[#This Row],[P68 Growth]])</f>
        <v>1.1022303751040889</v>
      </c>
      <c r="JN21" s="27">
        <f>PortfolioFrontier[[#This Row],[P68 Growth]]/PortfolioFrontier[[#This Row],[P68 HWM]]-1</f>
        <v>0</v>
      </c>
      <c r="JO21" s="28">
        <f>SUMPRODUCT(INDEX(PortfolioRef[[SPY]:[PE]],MATCH(JO$1,PortfolioRef[Reference '#]),0),AssetMonthlyReturns[[#This Row],[SPY]:[PE]])</f>
        <v>8.2828262956718083E-3</v>
      </c>
      <c r="JP21" s="27">
        <f>IF(ISNUMBER(JP20),JP20*(1+PortfolioFrontier[[#This Row],[P69 Return]]),1+PortfolioFrontier[[#This Row],[P69 Return]])</f>
        <v>1.0991232135561235</v>
      </c>
      <c r="JQ21" s="27">
        <f>MAX(JQ20,PortfolioFrontier[[#This Row],[P69 Growth]])</f>
        <v>1.0991232135561235</v>
      </c>
      <c r="JR21" s="27">
        <f>PortfolioFrontier[[#This Row],[P69 Growth]]/PortfolioFrontier[[#This Row],[P69 HWM]]-1</f>
        <v>0</v>
      </c>
      <c r="JS21" s="28">
        <f>SUMPRODUCT(INDEX(PortfolioRef[[SPY]:[PE]],MATCH(JS$1,PortfolioRef[Reference '#]),0),AssetMonthlyReturns[[#This Row],[SPY]:[PE]])</f>
        <v>8.3841308031407553E-3</v>
      </c>
      <c r="JT21" s="27">
        <f>IF(ISNUMBER(JT20),JT20*(1+PortfolioFrontier[[#This Row],[P70 Return]]),1+PortfolioFrontier[[#This Row],[P70 Return]])</f>
        <v>1.0959642276885417</v>
      </c>
      <c r="JU21" s="27">
        <f>MAX(JU20,PortfolioFrontier[[#This Row],[P70 Growth]])</f>
        <v>1.0959642276885417</v>
      </c>
      <c r="JV21" s="27">
        <f>PortfolioFrontier[[#This Row],[P70 Growth]]/PortfolioFrontier[[#This Row],[P70 HWM]]-1</f>
        <v>0</v>
      </c>
      <c r="JW21" s="28">
        <f>SUMPRODUCT(INDEX(PortfolioRef[[SPY]:[PE]],MATCH(JW$1,PortfolioRef[Reference '#]),0),AssetMonthlyReturns[[#This Row],[SPY]:[PE]])</f>
        <v>7.4106515274932399E-3</v>
      </c>
      <c r="JX21" s="27">
        <f>IF(ISNUMBER(JX20),JX20*(1+PortfolioFrontier[[#This Row],[P71 Return]]),1+PortfolioFrontier[[#This Row],[P71 Return]])</f>
        <v>1.0953561606173376</v>
      </c>
      <c r="JY21" s="27">
        <f>MAX(JY20,PortfolioFrontier[[#This Row],[P71 Growth]])</f>
        <v>1.0953561606173376</v>
      </c>
      <c r="JZ21" s="27">
        <f>PortfolioFrontier[[#This Row],[P71 Growth]]/PortfolioFrontier[[#This Row],[P71 HWM]]-1</f>
        <v>0</v>
      </c>
      <c r="KA21" s="28">
        <f>SUMPRODUCT(INDEX(PortfolioRef[[SPY]:[PE]],MATCH(KA$1,PortfolioRef[Reference '#]),0),AssetMonthlyReturns[[#This Row],[SPY]:[PE]])</f>
        <v>7.5119560349621852E-3</v>
      </c>
      <c r="KB21" s="27">
        <f>IF(ISNUMBER(KB20),KB20*(1+PortfolioFrontier[[#This Row],[P72 Return]]),1+PortfolioFrontier[[#This Row],[P72 Return]])</f>
        <v>1.092294625950724</v>
      </c>
      <c r="KC21" s="27">
        <f>MAX(KC20,PortfolioFrontier[[#This Row],[P72 Growth]])</f>
        <v>1.092294625950724</v>
      </c>
      <c r="KD21" s="27">
        <f>PortfolioFrontier[[#This Row],[P72 Growth]]/PortfolioFrontier[[#This Row],[P72 HWM]]-1</f>
        <v>0</v>
      </c>
      <c r="KE21" s="28">
        <f>SUMPRODUCT(INDEX(PortfolioRef[[SPY]:[PE]],MATCH(KE$1,PortfolioRef[Reference '#]),0),AssetMonthlyReturns[[#This Row],[SPY]:[PE]])</f>
        <v>7.7578113739523837E-3</v>
      </c>
      <c r="KF21" s="27">
        <f>IF(ISNUMBER(KF20),KF20*(1+PortfolioFrontier[[#This Row],[P73 Return]]),1+PortfolioFrontier[[#This Row],[P73 Return]])</f>
        <v>1.1001054618237385</v>
      </c>
      <c r="KG21" s="27">
        <f>MAX(KG20,PortfolioFrontier[[#This Row],[P73 Growth]])</f>
        <v>1.1001054618237385</v>
      </c>
      <c r="KH21" s="27">
        <f>PortfolioFrontier[[#This Row],[P73 Growth]]/PortfolioFrontier[[#This Row],[P73 HWM]]-1</f>
        <v>0</v>
      </c>
      <c r="KI21" s="28">
        <f>SUMPRODUCT(INDEX(PortfolioRef[[SPY]:[PE]],MATCH(KI$1,PortfolioRef[Reference '#]),0),AssetMonthlyReturns[[#This Row],[SPY]:[PE]])</f>
        <v>7.8591158814213299E-3</v>
      </c>
      <c r="KJ21" s="27">
        <f>IF(ISNUMBER(KJ20),KJ20*(1+PortfolioFrontier[[#This Row],[P74 Return]]),1+PortfolioFrontier[[#This Row],[P74 Return]])</f>
        <v>1.0970345526373055</v>
      </c>
      <c r="KK21" s="27">
        <f>MAX(KK20,PortfolioFrontier[[#This Row],[P74 Growth]])</f>
        <v>1.0970345526373055</v>
      </c>
      <c r="KL21" s="27">
        <f>PortfolioFrontier[[#This Row],[P74 Growth]]/PortfolioFrontier[[#This Row],[P74 HWM]]-1</f>
        <v>0</v>
      </c>
      <c r="KM21" s="28">
        <f>SUMPRODUCT(INDEX(PortfolioRef[[SPY]:[PE]],MATCH(KM$1,PortfolioRef[Reference '#]),0),AssetMonthlyReturns[[#This Row],[SPY]:[PE]])</f>
        <v>7.9604203888902769E-3</v>
      </c>
      <c r="KN21" s="27">
        <f>IF(ISNUMBER(KN20),KN20*(1+PortfolioFrontier[[#This Row],[P75 Return]]),1+PortfolioFrontier[[#This Row],[P75 Return]])</f>
        <v>1.0939117622926682</v>
      </c>
      <c r="KO21" s="27">
        <f>MAX(KO20,PortfolioFrontier[[#This Row],[P75 Growth]])</f>
        <v>1.0939117622926682</v>
      </c>
      <c r="KP21" s="27">
        <f>PortfolioFrontier[[#This Row],[P75 Growth]]/PortfolioFrontier[[#This Row],[P75 HWM]]-1</f>
        <v>0</v>
      </c>
      <c r="KQ21" s="28">
        <f>SUMPRODUCT(INDEX(PortfolioRef[[SPY]:[PE]],MATCH(KQ$1,PortfolioRef[Reference '#]),0),AssetMonthlyReturns[[#This Row],[SPY]:[PE]])</f>
        <v>8.1049712204115283E-3</v>
      </c>
      <c r="KR21" s="27">
        <f>IF(ISNUMBER(KR20),KR20*(1+PortfolioFrontier[[#This Row],[P76 Return]]),1+PortfolioFrontier[[#This Row],[P76 Return]])</f>
        <v>1.1048125666938176</v>
      </c>
      <c r="KS21" s="27">
        <f>MAX(KS20,PortfolioFrontier[[#This Row],[P76 Growth]])</f>
        <v>1.1048125666938176</v>
      </c>
      <c r="KT21" s="27">
        <f>PortfolioFrontier[[#This Row],[P76 Growth]]/PortfolioFrontier[[#This Row],[P76 HWM]]-1</f>
        <v>0</v>
      </c>
      <c r="KU21" s="28">
        <f>SUMPRODUCT(INDEX(PortfolioRef[[SPY]:[PE]],MATCH(KU$1,PortfolioRef[Reference '#]),0),AssetMonthlyReturns[[#This Row],[SPY]:[PE]])</f>
        <v>8.2062757278804736E-3</v>
      </c>
      <c r="KV21" s="27">
        <f>IF(ISNUMBER(KV20),KV20*(1+PortfolioFrontier[[#This Row],[P77 Return]]),1+PortfolioFrontier[[#This Row],[P77 Return]])</f>
        <v>1.1017323853945782</v>
      </c>
      <c r="KW21" s="27">
        <f>MAX(KW20,PortfolioFrontier[[#This Row],[P77 Growth]])</f>
        <v>1.1017323853945782</v>
      </c>
      <c r="KX21" s="27">
        <f>PortfolioFrontier[[#This Row],[P77 Growth]]/PortfolioFrontier[[#This Row],[P77 HWM]]-1</f>
        <v>0</v>
      </c>
      <c r="KY21" s="28">
        <f>SUMPRODUCT(INDEX(PortfolioRef[[SPY]:[PE]],MATCH(KY$1,PortfolioRef[Reference '#]),0),AssetMonthlyReturns[[#This Row],[SPY]:[PE]])</f>
        <v>8.3075802353494224E-3</v>
      </c>
      <c r="KZ21" s="27">
        <f>IF(ISNUMBER(KZ20),KZ20*(1+PortfolioFrontier[[#This Row],[P78 Return]]),1+PortfolioFrontier[[#This Row],[P78 Return]])</f>
        <v>1.0986000527919559</v>
      </c>
      <c r="LA21" s="27">
        <f>MAX(LA20,PortfolioFrontier[[#This Row],[P78 Growth]])</f>
        <v>1.0986000527919559</v>
      </c>
      <c r="LB21" s="27">
        <f>PortfolioFrontier[[#This Row],[P78 Growth]]/PortfolioFrontier[[#This Row],[P78 HWM]]-1</f>
        <v>0</v>
      </c>
      <c r="LC21" s="28">
        <f>SUMPRODUCT(INDEX(PortfolioRef[[SPY]:[PE]],MATCH(LC$1,PortfolioRef[Reference '#]),0),AssetMonthlyReturns[[#This Row],[SPY]:[PE]])</f>
        <v>7.3341009597019061E-3</v>
      </c>
      <c r="LD21" s="27">
        <f>IF(ISNUMBER(LD20),LD20*(1+PortfolioFrontier[[#This Row],[P79 Return]]),1+PortfolioFrontier[[#This Row],[P79 Return]])</f>
        <v>1.0979304920047097</v>
      </c>
      <c r="LE21" s="27">
        <f>MAX(LE20,PortfolioFrontier[[#This Row],[P79 Growth]])</f>
        <v>1.0979304920047097</v>
      </c>
      <c r="LF21" s="27">
        <f>PortfolioFrontier[[#This Row],[P79 Growth]]/PortfolioFrontier[[#This Row],[P79 HWM]]-1</f>
        <v>0</v>
      </c>
      <c r="LG21" s="28">
        <f>SUMPRODUCT(INDEX(PortfolioRef[[SPY]:[PE]],MATCH(LG$1,PortfolioRef[Reference '#]),0),AssetMonthlyReturns[[#This Row],[SPY]:[PE]])</f>
        <v>7.4354054671708523E-3</v>
      </c>
      <c r="LH21" s="27">
        <f>IF(ISNUMBER(LH20),LH20*(1+PortfolioFrontier[[#This Row],[P80 Return]]),1+PortfolioFrontier[[#This Row],[P80 Return]])</f>
        <v>1.0948957785309672</v>
      </c>
      <c r="LI21" s="27">
        <f>MAX(LI20,PortfolioFrontier[[#This Row],[P80 Growth]])</f>
        <v>1.0948957785309672</v>
      </c>
      <c r="LJ21" s="27">
        <f>PortfolioFrontier[[#This Row],[P80 Growth]]/PortfolioFrontier[[#This Row],[P80 HWM]]-1</f>
        <v>0</v>
      </c>
      <c r="LK21" s="28">
        <f>SUMPRODUCT(INDEX(PortfolioRef[[SPY]:[PE]],MATCH(LK$1,PortfolioRef[Reference '#]),0),AssetMonthlyReturns[[#This Row],[SPY]:[PE]])</f>
        <v>7.5367099746397985E-3</v>
      </c>
      <c r="LL21" s="27">
        <f>IF(ISNUMBER(LL20),LL20*(1+PortfolioFrontier[[#This Row],[P81 Return]]),1+PortfolioFrontier[[#This Row],[P81 Return]])</f>
        <v>1.091809130934335</v>
      </c>
      <c r="LM21" s="27">
        <f>MAX(LM20,PortfolioFrontier[[#This Row],[P81 Growth]])</f>
        <v>1.091809130934335</v>
      </c>
      <c r="LN21" s="27">
        <f>PortfolioFrontier[[#This Row],[P81 Growth]]/PortfolioFrontier[[#This Row],[P81 HWM]]-1</f>
        <v>0</v>
      </c>
      <c r="LO21" s="28">
        <f>SUMPRODUCT(INDEX(PortfolioRef[[SPY]:[PE]],MATCH(LO$1,PortfolioRef[Reference '#]),0),AssetMonthlyReturns[[#This Row],[SPY]:[PE]])</f>
        <v>7.6812608061610499E-3</v>
      </c>
      <c r="LP21" s="27">
        <f>IF(ISNUMBER(LP20),LP20*(1+PortfolioFrontier[[#This Row],[P82 Return]]),1+PortfolioFrontier[[#This Row],[P82 Return]])</f>
        <v>1.1026708128058378</v>
      </c>
      <c r="LQ21" s="27">
        <f>MAX(LQ20,PortfolioFrontier[[#This Row],[P82 Growth]])</f>
        <v>1.1026708128058378</v>
      </c>
      <c r="LR21" s="27">
        <f>PortfolioFrontier[[#This Row],[P82 Growth]]/PortfolioFrontier[[#This Row],[P82 HWM]]-1</f>
        <v>0</v>
      </c>
      <c r="LS21" s="28">
        <f>SUMPRODUCT(INDEX(PortfolioRef[[SPY]:[PE]],MATCH(LS$1,PortfolioRef[Reference '#]),0),AssetMonthlyReturns[[#This Row],[SPY]:[PE]])</f>
        <v>7.7825653136299961E-3</v>
      </c>
      <c r="LT21" s="27">
        <f>IF(ISNUMBER(LT20),LT20*(1+PortfolioFrontier[[#This Row],[P83 Return]]),1+PortfolioFrontier[[#This Row],[P83 Return]])</f>
        <v>1.0996269214671328</v>
      </c>
      <c r="LU21" s="27">
        <f>MAX(LU20,PortfolioFrontier[[#This Row],[P83 Growth]])</f>
        <v>1.0996269214671328</v>
      </c>
      <c r="LV21" s="27">
        <f>PortfolioFrontier[[#This Row],[P83 Growth]]/PortfolioFrontier[[#This Row],[P83 HWM]]-1</f>
        <v>0</v>
      </c>
      <c r="LW21" s="28">
        <f>SUMPRODUCT(INDEX(PortfolioRef[[SPY]:[PE]],MATCH(LW$1,PortfolioRef[Reference '#]),0),AssetMonthlyReturns[[#This Row],[SPY]:[PE]])</f>
        <v>7.883869821098944E-3</v>
      </c>
      <c r="LX21" s="27">
        <f>IF(ISNUMBER(LX20),LX20*(1+PortfolioFrontier[[#This Row],[P84 Return]]),1+PortfolioFrontier[[#This Row],[P84 Return]])</f>
        <v>1.0965308239403129</v>
      </c>
      <c r="LY21" s="27">
        <f>MAX(LY20,PortfolioFrontier[[#This Row],[P84 Growth]])</f>
        <v>1.0965308239403129</v>
      </c>
      <c r="LZ21" s="27">
        <f>PortfolioFrontier[[#This Row],[P84 Growth]]/PortfolioFrontier[[#This Row],[P84 HWM]]-1</f>
        <v>0</v>
      </c>
      <c r="MA21" s="28">
        <f>SUMPRODUCT(INDEX(PortfolioRef[[SPY]:[PE]],MATCH(MA$1,PortfolioRef[Reference '#]),0),AssetMonthlyReturns[[#This Row],[SPY]:[PE]])</f>
        <v>8.0284206526201954E-3</v>
      </c>
      <c r="MB21" s="27">
        <f>IF(ISNUMBER(MB20),MB20*(1+PortfolioFrontier[[#This Row],[P85 Return]]),1+PortfolioFrontier[[#This Row],[P85 Return]])</f>
        <v>1.107368737923025</v>
      </c>
      <c r="MC21" s="27">
        <f>MAX(MC20,PortfolioFrontier[[#This Row],[P85 Growth]])</f>
        <v>1.107368737923025</v>
      </c>
      <c r="MD21" s="27">
        <f>PortfolioFrontier[[#This Row],[P85 Growth]]/PortfolioFrontier[[#This Row],[P85 HWM]]-1</f>
        <v>0</v>
      </c>
      <c r="ME21" s="28">
        <f>SUMPRODUCT(INDEX(PortfolioRef[[SPY]:[PE]],MATCH(ME$1,PortfolioRef[Reference '#]),0),AssetMonthlyReturns[[#This Row],[SPY]:[PE]])</f>
        <v>8.1297251600891407E-3</v>
      </c>
      <c r="MF21" s="27">
        <f>IF(ISNUMBER(MF20),MF20*(1+PortfolioFrontier[[#This Row],[P86 Return]]),1+PortfolioFrontier[[#This Row],[P86 Return]])</f>
        <v>1.1043157706875624</v>
      </c>
      <c r="MG21" s="27">
        <f>MAX(MG20,PortfolioFrontier[[#This Row],[P86 Growth]])</f>
        <v>1.1043157706875624</v>
      </c>
      <c r="MH21" s="27">
        <f>PortfolioFrontier[[#This Row],[P86 Growth]]/PortfolioFrontier[[#This Row],[P86 HWM]]-1</f>
        <v>0</v>
      </c>
      <c r="MI21" s="28">
        <f>SUMPRODUCT(INDEX(PortfolioRef[[SPY]:[PE]],MATCH(MI$1,PortfolioRef[Reference '#]),0),AssetMonthlyReturns[[#This Row],[SPY]:[PE]])</f>
        <v>8.2310296675580878E-3</v>
      </c>
      <c r="MJ21" s="27">
        <f>IF(ISNUMBER(MJ20),MJ20*(1+PortfolioFrontier[[#This Row],[P87 Return]]),1+PortfolioFrontier[[#This Row],[P87 Return]])</f>
        <v>1.101210326537569</v>
      </c>
      <c r="MK21" s="27">
        <f>MAX(MK20,PortfolioFrontier[[#This Row],[P87 Growth]])</f>
        <v>1.101210326537569</v>
      </c>
      <c r="ML21" s="27">
        <f>PortfolioFrontier[[#This Row],[P87 Growth]]/PortfolioFrontier[[#This Row],[P87 HWM]]-1</f>
        <v>0</v>
      </c>
      <c r="MM21" s="28">
        <f>SUMPRODUCT(INDEX(PortfolioRef[[SPY]:[PE]],MATCH(MM$1,PortfolioRef[Reference '#]),0),AssetMonthlyReturns[[#This Row],[SPY]:[PE]])</f>
        <v>7.2575503919105723E-3</v>
      </c>
      <c r="MN21" s="27">
        <f>IF(ISNUMBER(MN20),MN20*(1+PortfolioFrontier[[#This Row],[P88 Return]]),1+PortfolioFrontier[[#This Row],[P88 Return]])</f>
        <v>1.1004790159735025</v>
      </c>
      <c r="MO21" s="27">
        <f>MAX(MO20,PortfolioFrontier[[#This Row],[P88 Growth]])</f>
        <v>1.1004790159735025</v>
      </c>
      <c r="MP21" s="27">
        <f>PortfolioFrontier[[#This Row],[P88 Growth]]/PortfolioFrontier[[#This Row],[P88 HWM]]-1</f>
        <v>0</v>
      </c>
      <c r="MQ21" s="28">
        <f>SUMPRODUCT(INDEX(PortfolioRef[[SPY]:[PE]],MATCH(MQ$1,PortfolioRef[Reference '#]),0),AssetMonthlyReturns[[#This Row],[SPY]:[PE]])</f>
        <v>7.3588548993795185E-3</v>
      </c>
      <c r="MR21" s="27">
        <f>IF(ISNUMBER(MR20),MR20*(1+PortfolioFrontier[[#This Row],[P89 Return]]),1+PortfolioFrontier[[#This Row],[P89 Return]])</f>
        <v>1.0974713560240708</v>
      </c>
      <c r="MS21" s="27">
        <f>MAX(MS20,PortfolioFrontier[[#This Row],[P89 Growth]])</f>
        <v>1.0974713560240708</v>
      </c>
      <c r="MT21" s="27">
        <f>PortfolioFrontier[[#This Row],[P89 Growth]]/PortfolioFrontier[[#This Row],[P89 HWM]]-1</f>
        <v>0</v>
      </c>
      <c r="MU21" s="28">
        <f>SUMPRODUCT(INDEX(PortfolioRef[[SPY]:[PE]],MATCH(MU$1,PortfolioRef[Reference '#]),0),AssetMonthlyReturns[[#This Row],[SPY]:[PE]])</f>
        <v>7.4601594068484656E-3</v>
      </c>
      <c r="MV21" s="27">
        <f>IF(ISNUMBER(MV20),MV20*(1+PortfolioFrontier[[#This Row],[P90 Return]]),1+PortfolioFrontier[[#This Row],[P90 Return]])</f>
        <v>1.0944114388805219</v>
      </c>
      <c r="MW21" s="27">
        <f>MAX(MW20,PortfolioFrontier[[#This Row],[P90 Growth]])</f>
        <v>1.0944114388805219</v>
      </c>
      <c r="MX21" s="27">
        <f>PortfolioFrontier[[#This Row],[P90 Growth]]/PortfolioFrontier[[#This Row],[P90 HWM]]-1</f>
        <v>0</v>
      </c>
      <c r="MY21" s="28">
        <f>SUMPRODUCT(INDEX(PortfolioRef[[SPY]:[PE]],MATCH(MY$1,PortfolioRef[Reference '#]),0),AssetMonthlyReturns[[#This Row],[SPY]:[PE]])</f>
        <v>7.6047102383697161E-3</v>
      </c>
      <c r="MZ21" s="27">
        <f>IF(ISNUMBER(MZ20),MZ20*(1+PortfolioFrontier[[#This Row],[P91 Return]]),1+PortfolioFrontier[[#This Row],[P91 Return]])</f>
        <v>1.1052101503774023</v>
      </c>
      <c r="NA21" s="27">
        <f>MAX(NA20,PortfolioFrontier[[#This Row],[P91 Growth]])</f>
        <v>1.1052101503774023</v>
      </c>
      <c r="NB21" s="27">
        <f>PortfolioFrontier[[#This Row],[P91 Growth]]/PortfolioFrontier[[#This Row],[P91 HWM]]-1</f>
        <v>0</v>
      </c>
      <c r="NC21" s="28">
        <f>SUMPRODUCT(INDEX(PortfolioRef[[SPY]:[PE]],MATCH(NC$1,PortfolioRef[Reference '#]),0),AssetMonthlyReturns[[#This Row],[SPY]:[PE]])</f>
        <v>7.7060147458386623E-3</v>
      </c>
      <c r="ND21" s="27">
        <f>IF(ISNUMBER(ND20),ND20*(1+PortfolioFrontier[[#This Row],[P92 Return]]),1+PortfolioFrontier[[#This Row],[P92 Return]])</f>
        <v>1.1021935093736621</v>
      </c>
      <c r="NE21" s="27">
        <f>MAX(NE20,PortfolioFrontier[[#This Row],[P92 Growth]])</f>
        <v>1.1021935093736621</v>
      </c>
      <c r="NF21" s="27">
        <f>PortfolioFrontier[[#This Row],[P92 Growth]]/PortfolioFrontier[[#This Row],[P92 HWM]]-1</f>
        <v>0</v>
      </c>
      <c r="NG21" s="28">
        <f>SUMPRODUCT(INDEX(PortfolioRef[[SPY]:[PE]],MATCH(NG$1,PortfolioRef[Reference '#]),0),AssetMonthlyReturns[[#This Row],[SPY]:[PE]])</f>
        <v>7.8073192533076093E-3</v>
      </c>
      <c r="NH21" s="27">
        <f>IF(ISNUMBER(NH20),NH20*(1+PortfolioFrontier[[#This Row],[P93 Return]]),1+PortfolioFrontier[[#This Row],[P93 Return]])</f>
        <v>1.0991243385334042</v>
      </c>
      <c r="NI21" s="27">
        <f>MAX(NI20,PortfolioFrontier[[#This Row],[P93 Growth]])</f>
        <v>1.0991243385334042</v>
      </c>
      <c r="NJ21" s="27">
        <f>PortfolioFrontier[[#This Row],[P93 Growth]]/PortfolioFrontier[[#This Row],[P93 HWM]]-1</f>
        <v>0</v>
      </c>
      <c r="NK21" s="28">
        <f>SUMPRODUCT(INDEX(PortfolioRef[[SPY]:[PE]],MATCH(NK$1,PortfolioRef[Reference '#]),0),AssetMonthlyReturns[[#This Row],[SPY]:[PE]])</f>
        <v>7.9518700848288607E-3</v>
      </c>
      <c r="NL21" s="27">
        <f>IF(ISNUMBER(NL20),NL20*(1+PortfolioFrontier[[#This Row],[P94 Return]]),1+PortfolioFrontier[[#This Row],[P94 Return]])</f>
        <v>1.1098986905293304</v>
      </c>
      <c r="NM21" s="27">
        <f>MAX(NM20,PortfolioFrontier[[#This Row],[P94 Growth]])</f>
        <v>1.1098986905293304</v>
      </c>
      <c r="NN21" s="27">
        <f>PortfolioFrontier[[#This Row],[P94 Growth]]/PortfolioFrontier[[#This Row],[P94 HWM]]-1</f>
        <v>0</v>
      </c>
      <c r="NO21" s="28">
        <f>SUMPRODUCT(INDEX(PortfolioRef[[SPY]:[PE]],MATCH(NO$1,PortfolioRef[Reference '#]),0),AssetMonthlyReturns[[#This Row],[SPY]:[PE]])</f>
        <v>8.0531745922978078E-3</v>
      </c>
      <c r="NP21" s="27">
        <f>IF(ISNUMBER(NP20),NP20*(1+PortfolioFrontier[[#This Row],[P95 Return]]),1+PortfolioFrontier[[#This Row],[P95 Return]])</f>
        <v>1.1068731699871892</v>
      </c>
      <c r="NQ21" s="27">
        <f>MAX(NQ20,PortfolioFrontier[[#This Row],[P95 Growth]])</f>
        <v>1.1068731699871892</v>
      </c>
      <c r="NR21" s="27">
        <f>PortfolioFrontier[[#This Row],[P95 Growth]]/PortfolioFrontier[[#This Row],[P95 HWM]]-1</f>
        <v>0</v>
      </c>
      <c r="NS21" s="28">
        <f>SUMPRODUCT(INDEX(PortfolioRef[[SPY]:[PE]],MATCH(NS$1,PortfolioRef[Reference '#]),0),AssetMonthlyReturns[[#This Row],[SPY]:[PE]])</f>
        <v>8.1544790997667548E-3</v>
      </c>
      <c r="NT21" s="27">
        <f>IF(ISNUMBER(NT20),NT20*(1+PortfolioFrontier[[#This Row],[P96 Return]]),1+PortfolioFrontier[[#This Row],[P96 Return]])</f>
        <v>1.1037948483182063</v>
      </c>
      <c r="NU21" s="27">
        <f>MAX(NU20,PortfolioFrontier[[#This Row],[P96 Growth]])</f>
        <v>1.1037948483182063</v>
      </c>
      <c r="NV21" s="27">
        <f>PortfolioFrontier[[#This Row],[P96 Growth]]/PortfolioFrontier[[#This Row],[P96 HWM]]-1</f>
        <v>0</v>
      </c>
      <c r="NW21" s="28">
        <f>SUMPRODUCT(INDEX(PortfolioRef[[SPY]:[PE]],MATCH(NW$1,PortfolioRef[Reference '#]),0),AssetMonthlyReturns[[#This Row],[SPY]:[PE]])</f>
        <v>6.9519159397270162E-3</v>
      </c>
      <c r="NX21" s="27">
        <f>IF(ISNUMBER(NX20),NX20*(1+PortfolioFrontier[[#This Row],[P97 Return]]),1+PortfolioFrontier[[#This Row],[P97 Return]])</f>
        <v>1.0844796415318783</v>
      </c>
      <c r="NY21" s="27">
        <f>MAX(NY20,PortfolioFrontier[[#This Row],[P97 Growth]])</f>
        <v>1.0844796415318783</v>
      </c>
      <c r="NZ21" s="27">
        <f>PortfolioFrontier[[#This Row],[P97 Growth]]/PortfolioFrontier[[#This Row],[P97 HWM]]-1</f>
        <v>0</v>
      </c>
      <c r="OA21" s="28">
        <f>SUMPRODUCT(INDEX(PortfolioRef[[SPY]:[PE]],MATCH(OA$1,PortfolioRef[Reference '#]),0),AssetMonthlyReturns[[#This Row],[SPY]:[PE]])</f>
        <v>6.5282055254765377E-3</v>
      </c>
      <c r="OB21" s="27">
        <f>IF(ISNUMBER(OB20),OB20*(1+PortfolioFrontier[[#This Row],[P98 Return]]),1+PortfolioFrontier[[#This Row],[P98 Return]])</f>
        <v>1.0823990945093311</v>
      </c>
      <c r="OC21" s="27">
        <f>MAX(OC20,PortfolioFrontier[[#This Row],[P98 Growth]])</f>
        <v>1.0823990945093311</v>
      </c>
      <c r="OD21" s="27">
        <f>PortfolioFrontier[[#This Row],[P98 Growth]]/PortfolioFrontier[[#This Row],[P98 HWM]]-1</f>
        <v>0</v>
      </c>
      <c r="OE21" s="28">
        <f>SUMPRODUCT(INDEX(PortfolioRef[[SPY]:[PE]],MATCH(OE$1,PortfolioRef[Reference '#]),0),AssetMonthlyReturns[[#This Row],[SPY]:[PE]])</f>
        <v>6.8753653719356832E-3</v>
      </c>
      <c r="OF21" s="27">
        <f>IF(ISNUMBER(OF20),OF20*(1+PortfolioFrontier[[#This Row],[P99 Return]]),1+PortfolioFrontier[[#This Row],[P99 Return]])</f>
        <v>1.0870937957448887</v>
      </c>
      <c r="OG21" s="27">
        <f>MAX(OG20,PortfolioFrontier[[#This Row],[P99 Growth]])</f>
        <v>1.0870937957448887</v>
      </c>
      <c r="OH21" s="27">
        <f>PortfolioFrontier[[#This Row],[P99 Growth]]/PortfolioFrontier[[#This Row],[P99 HWM]]-1</f>
        <v>0</v>
      </c>
      <c r="OI21" s="28">
        <f>SUMPRODUCT(INDEX(PortfolioRef[[SPY]:[PE]],MATCH(OI$1,PortfolioRef[Reference '#]),0),AssetMonthlyReturns[[#This Row],[SPY]:[PE]])</f>
        <v>6.9766698794046286E-3</v>
      </c>
      <c r="OJ21" s="27">
        <f>IF(ISNUMBER(OJ20),OJ20*(1+PortfolioFrontier[[#This Row],[P100 Return]]),1+PortfolioFrontier[[#This Row],[P100 Return]])</f>
        <v>1.0839912732814954</v>
      </c>
      <c r="OK21" s="27">
        <f>MAX(OK20,PortfolioFrontier[[#This Row],[P100 Growth]])</f>
        <v>1.0839912732814954</v>
      </c>
      <c r="OL21" s="27">
        <f>PortfolioFrontier[[#This Row],[P100 Growth]]/PortfolioFrontier[[#This Row],[P100 HWM]]-1</f>
        <v>0</v>
      </c>
      <c r="OM21" s="28">
        <f>SUMPRODUCT(INDEX(PortfolioRef[[SPY]:[PE]],MATCH(OM$1,PortfolioRef[Reference '#]),0),AssetMonthlyReturns[[#This Row],[SPY]:[PE]])</f>
        <v>6.1044951112260602E-3</v>
      </c>
      <c r="ON21" s="27">
        <f>IF(ISNUMBER(ON20),ON20*(1+PortfolioFrontier[[#This Row],[P101 Return]]),1+PortfolioFrontier[[#This Row],[P101 Return]])</f>
        <v>1.080269014334879</v>
      </c>
      <c r="OO21" s="27">
        <f>MAX(OO20,PortfolioFrontier[[#This Row],[P101 Growth]])</f>
        <v>1.080269014334879</v>
      </c>
      <c r="OP21" s="27">
        <f>PortfolioFrontier[[#This Row],[P101 Growth]]/PortfolioFrontier[[#This Row],[P101 HWM]]-1</f>
        <v>0</v>
      </c>
      <c r="OQ21" s="28">
        <f>SUMPRODUCT(INDEX(PortfolioRef[[SPY]:[PE]],MATCH(OQ$1,PortfolioRef[Reference '#]),0),AssetMonthlyReturns[[#This Row],[SPY]:[PE]])</f>
        <v>6.4516549576852048E-3</v>
      </c>
      <c r="OR21" s="27">
        <f>IF(ISNUMBER(OR20),OR20*(1+PortfolioFrontier[[#This Row],[P102 Return]]),1+PortfolioFrontier[[#This Row],[P102 Return]])</f>
        <v>1.0849965494095883</v>
      </c>
      <c r="OS21" s="27">
        <f>MAX(OS20,PortfolioFrontier[[#This Row],[P102 Growth]])</f>
        <v>1.0849965494095883</v>
      </c>
      <c r="OT21" s="27">
        <f>PortfolioFrontier[[#This Row],[P102 Growth]]/PortfolioFrontier[[#This Row],[P102 HWM]]-1</f>
        <v>0</v>
      </c>
      <c r="OU21" s="28">
        <f>SUMPRODUCT(INDEX(PortfolioRef[[SPY]:[PE]],MATCH(OU$1,PortfolioRef[Reference '#]),0),AssetMonthlyReturns[[#This Row],[SPY]:[PE]])</f>
        <v>6.5529594651541501E-3</v>
      </c>
      <c r="OV21" s="27">
        <f>IF(ISNUMBER(OV20),OV20*(1+PortfolioFrontier[[#This Row],[P103 Return]]),1+PortfolioFrontier[[#This Row],[P103 Return]])</f>
        <v>1.0819298878144834</v>
      </c>
      <c r="OW21" s="27">
        <f>MAX(OW20,PortfolioFrontier[[#This Row],[P103 Growth]])</f>
        <v>1.0819298878144834</v>
      </c>
      <c r="OX21" s="27">
        <f>PortfolioFrontier[[#This Row],[P103 Growth]]/PortfolioFrontier[[#This Row],[P103 HWM]]-1</f>
        <v>0</v>
      </c>
      <c r="OY21" s="28">
        <f>SUMPRODUCT(INDEX(PortfolioRef[[SPY]:[PE]],MATCH(OY$1,PortfolioRef[Reference '#]),0),AssetMonthlyReturns[[#This Row],[SPY]:[PE]])</f>
        <v>6.7988148041443494E-3</v>
      </c>
      <c r="OZ21" s="27">
        <f>IF(ISNUMBER(OZ20),OZ20*(1+PortfolioFrontier[[#This Row],[P104 Return]]),1+PortfolioFrontier[[#This Row],[P104 Return]])</f>
        <v>1.0896826459615481</v>
      </c>
      <c r="PA21" s="27">
        <f>MAX(PA20,PortfolioFrontier[[#This Row],[P104 Growth]])</f>
        <v>1.0896826459615481</v>
      </c>
      <c r="PB21" s="27">
        <f>PortfolioFrontier[[#This Row],[P104 Growth]]/PortfolioFrontier[[#This Row],[P104 HWM]]-1</f>
        <v>0</v>
      </c>
      <c r="PC21" s="28">
        <f>SUMPRODUCT(INDEX(PortfolioRef[[SPY]:[PE]],MATCH(PC$1,PortfolioRef[Reference '#]),0),AssetMonthlyReturns[[#This Row],[SPY]:[PE]])</f>
        <v>6.9001193116132956E-3</v>
      </c>
      <c r="PD21" s="27">
        <f>IF(ISNUMBER(PD20),PD20*(1+PortfolioFrontier[[#This Row],[P105 Return]]),1+PortfolioFrontier[[#This Row],[P105 Return]])</f>
        <v>1.0866065424242506</v>
      </c>
      <c r="PE21" s="27">
        <f>MAX(PE20,PortfolioFrontier[[#This Row],[P105 Growth]])</f>
        <v>1.0866065424242506</v>
      </c>
      <c r="PF21" s="27">
        <f>PortfolioFrontier[[#This Row],[P105 Growth]]/PortfolioFrontier[[#This Row],[P105 HWM]]-1</f>
        <v>0</v>
      </c>
      <c r="PG21" s="28">
        <f>SUMPRODUCT(INDEX(PortfolioRef[[SPY]:[PE]],MATCH(PG$1,PortfolioRef[Reference '#]),0),AssetMonthlyReturns[[#This Row],[SPY]:[PE]])</f>
        <v>7.0014238190822418E-3</v>
      </c>
      <c r="PH21" s="27">
        <f>IF(ISNUMBER(PH20),PH20*(1+PortfolioFrontier[[#This Row],[P106 Return]]),1+PortfolioFrontier[[#This Row],[P106 Return]])</f>
        <v>1.0834791801261003</v>
      </c>
      <c r="PI21" s="27">
        <f>MAX(PI20,PortfolioFrontier[[#This Row],[P106 Growth]])</f>
        <v>1.0834791801261003</v>
      </c>
      <c r="PJ21" s="27">
        <f>PortfolioFrontier[[#This Row],[P106 Growth]]/PortfolioFrontier[[#This Row],[P106 HWM]]-1</f>
        <v>0</v>
      </c>
      <c r="PK21" s="28">
        <f>SUMPRODUCT(INDEX(PortfolioRef[[SPY]:[PE]],MATCH(PK$1,PortfolioRef[Reference '#]),0),AssetMonthlyReturns[[#This Row],[SPY]:[PE]])</f>
        <v>6.0279445434347273E-3</v>
      </c>
      <c r="PL21" s="27">
        <f>IF(ISNUMBER(PL20),PL20*(1+PortfolioFrontier[[#This Row],[P107 Return]]),1+PortfolioFrontier[[#This Row],[P107 Return]])</f>
        <v>1.0828497802827064</v>
      </c>
      <c r="PM21" s="27">
        <f>MAX(PM20,PortfolioFrontier[[#This Row],[P107 Growth]])</f>
        <v>1.0828497802827064</v>
      </c>
      <c r="PN21" s="27">
        <f>PortfolioFrontier[[#This Row],[P107 Growth]]/PortfolioFrontier[[#This Row],[P107 HWM]]-1</f>
        <v>0</v>
      </c>
      <c r="PO21" s="28">
        <f>SUMPRODUCT(INDEX(PortfolioRef[[SPY]:[PE]],MATCH(PO$1,PortfolioRef[Reference '#]),0),AssetMonthlyReturns[[#This Row],[SPY]:[PE]])</f>
        <v>6.1292490509036726E-3</v>
      </c>
      <c r="PP21" s="27">
        <f>IF(ISNUMBER(PP20),PP20*(1+PortfolioFrontier[[#This Row],[P108 Return]]),1+PortfolioFrontier[[#This Row],[P108 Return]])</f>
        <v>1.0798189251601567</v>
      </c>
      <c r="PQ21" s="27">
        <f>MAX(PQ20,PortfolioFrontier[[#This Row],[P108 Growth]])</f>
        <v>1.0798189251601567</v>
      </c>
      <c r="PR21" s="27">
        <f>PortfolioFrontier[[#This Row],[P108 Growth]]/PortfolioFrontier[[#This Row],[P108 HWM]]-1</f>
        <v>0</v>
      </c>
      <c r="PS21" s="28">
        <f>SUMPRODUCT(INDEX(PortfolioRef[[SPY]:[PE]],MATCH(PS$1,PortfolioRef[Reference '#]),0),AssetMonthlyReturns[[#This Row],[SPY]:[PE]])</f>
        <v>6.375104389893871E-3</v>
      </c>
      <c r="PT21" s="27">
        <f>IF(ISNUMBER(PT20),PT20*(1+PortfolioFrontier[[#This Row],[P109 Return]]),1+PortfolioFrontier[[#This Row],[P109 Return]])</f>
        <v>1.0875687053497671</v>
      </c>
      <c r="PU21" s="27">
        <f>MAX(PU20,PortfolioFrontier[[#This Row],[P109 Growth]])</f>
        <v>1.0875687053497671</v>
      </c>
      <c r="PV21" s="27">
        <f>PortfolioFrontier[[#This Row],[P109 Growth]]/PortfolioFrontier[[#This Row],[P109 HWM]]-1</f>
        <v>0</v>
      </c>
      <c r="PW21" s="28">
        <f>SUMPRODUCT(INDEX(PortfolioRef[[SPY]:[PE]],MATCH(PW$1,PortfolioRef[Reference '#]),0),AssetMonthlyReturns[[#This Row],[SPY]:[PE]])</f>
        <v>6.4764088973628172E-3</v>
      </c>
      <c r="PX21" s="27">
        <f>IF(ISNUMBER(PX20),PX20*(1+PortfolioFrontier[[#This Row],[P110 Return]]),1+PortfolioFrontier[[#This Row],[P110 Return]])</f>
        <v>1.0845285012554164</v>
      </c>
      <c r="PY21" s="27">
        <f>MAX(PY20,PortfolioFrontier[[#This Row],[P110 Growth]])</f>
        <v>1.0845285012554164</v>
      </c>
      <c r="PZ21" s="27">
        <f>PortfolioFrontier[[#This Row],[P110 Growth]]/PortfolioFrontier[[#This Row],[P110 HWM]]-1</f>
        <v>0</v>
      </c>
      <c r="QA21" s="28">
        <f>SUMPRODUCT(INDEX(PortfolioRef[[SPY]:[PE]],MATCH(QA$1,PortfolioRef[Reference '#]),0),AssetMonthlyReturns[[#This Row],[SPY]:[PE]])</f>
        <v>6.5777134048317634E-3</v>
      </c>
      <c r="QB21" s="27">
        <f>IF(ISNUMBER(QB20),QB20*(1+PortfolioFrontier[[#This Row],[P111 Return]]),1+PortfolioFrontier[[#This Row],[P111 Return]])</f>
        <v>1.081436982454844</v>
      </c>
      <c r="QC21" s="27">
        <f>MAX(QC20,PortfolioFrontier[[#This Row],[P111 Growth]])</f>
        <v>1.081436982454844</v>
      </c>
      <c r="QD21" s="27">
        <f>PortfolioFrontier[[#This Row],[P111 Growth]]/PortfolioFrontier[[#This Row],[P111 HWM]]-1</f>
        <v>0</v>
      </c>
      <c r="QE21" s="28">
        <f>SUMPRODUCT(INDEX(PortfolioRef[[SPY]:[PE]],MATCH(QE$1,PortfolioRef[Reference '#]),0),AssetMonthlyReturns[[#This Row],[SPY]:[PE]])</f>
        <v>6.7222642363530156E-3</v>
      </c>
      <c r="QF21" s="27">
        <f>IF(ISNUMBER(QF20),QF20*(1+PortfolioFrontier[[#This Row],[P112 Return]]),1+PortfolioFrontier[[#This Row],[P112 Return]])</f>
        <v>1.0922459929571056</v>
      </c>
      <c r="QG21" s="27">
        <f>MAX(QG20,PortfolioFrontier[[#This Row],[P112 Growth]])</f>
        <v>1.0922459929571056</v>
      </c>
      <c r="QH21" s="27">
        <f>PortfolioFrontier[[#This Row],[P112 Growth]]/PortfolioFrontier[[#This Row],[P112 HWM]]-1</f>
        <v>0</v>
      </c>
      <c r="QI21" s="28">
        <f>SUMPRODUCT(INDEX(PortfolioRef[[SPY]:[PE]],MATCH(QI$1,PortfolioRef[Reference '#]),0),AssetMonthlyReturns[[#This Row],[SPY]:[PE]])</f>
        <v>6.8235687438219618E-3</v>
      </c>
      <c r="QJ21" s="27">
        <f>IF(ISNUMBER(QJ20),QJ20*(1+PortfolioFrontier[[#This Row],[P113 Return]]),1+PortfolioFrontier[[#This Row],[P113 Return]])</f>
        <v>1.0891965413338958</v>
      </c>
      <c r="QK21" s="27">
        <f>MAX(QK20,PortfolioFrontier[[#This Row],[P113 Growth]])</f>
        <v>1.0891965413338958</v>
      </c>
      <c r="QL21" s="27">
        <f>PortfolioFrontier[[#This Row],[P113 Growth]]/PortfolioFrontier[[#This Row],[P113 HWM]]-1</f>
        <v>0</v>
      </c>
      <c r="QM21" s="28">
        <f>SUMPRODUCT(INDEX(PortfolioRef[[SPY]:[PE]],MATCH(QM$1,PortfolioRef[Reference '#]),0),AssetMonthlyReturns[[#This Row],[SPY]:[PE]])</f>
        <v>6.9248732512909089E-3</v>
      </c>
      <c r="QN21" s="27">
        <f>IF(ISNUMBER(QN20),QN20*(1+PortfolioFrontier[[#This Row],[P114 Return]]),1+PortfolioFrontier[[#This Row],[P114 Return]])</f>
        <v>1.0860955069036333</v>
      </c>
      <c r="QO21" s="27">
        <f>MAX(QO20,PortfolioFrontier[[#This Row],[P114 Growth]])</f>
        <v>1.0860955069036333</v>
      </c>
      <c r="QP21" s="27">
        <f>PortfolioFrontier[[#This Row],[P114 Growth]]/PortfolioFrontier[[#This Row],[P114 HWM]]-1</f>
        <v>0</v>
      </c>
      <c r="QQ21" s="28">
        <f>SUMPRODUCT(INDEX(PortfolioRef[[SPY]:[PE]],MATCH(QQ$1,PortfolioRef[Reference '#]),0),AssetMonthlyReturns[[#This Row],[SPY]:[PE]])</f>
        <v>5.9513939756433935E-3</v>
      </c>
      <c r="QR21" s="27">
        <f>IF(ISNUMBER(QR20),QR20*(1+PortfolioFrontier[[#This Row],[P115 Return]]),1+PortfolioFrontier[[#This Row],[P115 Return]])</f>
        <v>1.0854052537254615</v>
      </c>
      <c r="QS21" s="27">
        <f>MAX(QS20,PortfolioFrontier[[#This Row],[P115 Growth]])</f>
        <v>1.0854052537254615</v>
      </c>
      <c r="QT21" s="27">
        <f>PortfolioFrontier[[#This Row],[P115 Growth]]/PortfolioFrontier[[#This Row],[P115 HWM]]-1</f>
        <v>0</v>
      </c>
      <c r="QU21" s="28">
        <f>SUMPRODUCT(INDEX(PortfolioRef[[SPY]:[PE]],MATCH(QU$1,PortfolioRef[Reference '#]),0),AssetMonthlyReturns[[#This Row],[SPY]:[PE]])</f>
        <v>6.0526984831123396E-3</v>
      </c>
      <c r="QV21" s="27">
        <f>IF(ISNUMBER(QV20),QV20*(1+PortfolioFrontier[[#This Row],[P116 Return]]),1+PortfolioFrontier[[#This Row],[P116 Return]])</f>
        <v>1.0824008927749624</v>
      </c>
      <c r="QW21" s="27">
        <f>MAX(QW20,PortfolioFrontier[[#This Row],[P116 Growth]])</f>
        <v>1.0824008927749624</v>
      </c>
      <c r="QX21" s="27">
        <f>PortfolioFrontier[[#This Row],[P116 Growth]]/PortfolioFrontier[[#This Row],[P116 HWM]]-1</f>
        <v>0</v>
      </c>
      <c r="QY21" s="28">
        <f>SUMPRODUCT(INDEX(PortfolioRef[[SPY]:[PE]],MATCH(QY$1,PortfolioRef[Reference '#]),0),AssetMonthlyReturns[[#This Row],[SPY]:[PE]])</f>
        <v>6.1540029905812858E-3</v>
      </c>
      <c r="QZ21" s="27">
        <f>IF(ISNUMBER(QZ20),QZ20*(1+PortfolioFrontier[[#This Row],[P117 Return]]),1+PortfolioFrontier[[#This Row],[P117 Return]])</f>
        <v>1.0793451650119545</v>
      </c>
      <c r="RA21" s="27">
        <f>MAX(RA20,PortfolioFrontier[[#This Row],[P117 Growth]])</f>
        <v>1.0793451650119545</v>
      </c>
      <c r="RB21" s="27">
        <f>PortfolioFrontier[[#This Row],[P117 Growth]]/PortfolioFrontier[[#This Row],[P117 HWM]]-1</f>
        <v>0</v>
      </c>
      <c r="RC21" s="28">
        <f>SUMPRODUCT(INDEX(PortfolioRef[[SPY]:[PE]],MATCH(RC$1,PortfolioRef[Reference '#]),0),AssetMonthlyReturns[[#This Row],[SPY]:[PE]])</f>
        <v>6.2985538221025372E-3</v>
      </c>
      <c r="RD21" s="27">
        <f>IF(ISNUMBER(RD20),RD20*(1+PortfolioFrontier[[#This Row],[P118 Return]]),1+PortfolioFrontier[[#This Row],[P118 Return]])</f>
        <v>1.0901153640474062</v>
      </c>
      <c r="RE21" s="27">
        <f>MAX(RE20,PortfolioFrontier[[#This Row],[P118 Growth]])</f>
        <v>1.0901153640474062</v>
      </c>
      <c r="RF21" s="27">
        <f>PortfolioFrontier[[#This Row],[P118 Growth]]/PortfolioFrontier[[#This Row],[P118 HWM]]-1</f>
        <v>0</v>
      </c>
      <c r="RG21" s="28">
        <f>SUMPRODUCT(INDEX(PortfolioRef[[SPY]:[PE]],MATCH(RG$1,PortfolioRef[Reference '#]),0),AssetMonthlyReturns[[#This Row],[SPY]:[PE]])</f>
        <v>6.3998583295714834E-3</v>
      </c>
      <c r="RH21" s="27">
        <f>IF(ISNUMBER(RH20),RH20*(1+PortfolioFrontier[[#This Row],[P119 Return]]),1+PortfolioFrontier[[#This Row],[P119 Return]])</f>
        <v>1.0871018491306157</v>
      </c>
      <c r="RI21" s="27">
        <f>MAX(RI20,PortfolioFrontier[[#This Row],[P119 Growth]])</f>
        <v>1.0871018491306157</v>
      </c>
      <c r="RJ21" s="27">
        <f>PortfolioFrontier[[#This Row],[P119 Growth]]/PortfolioFrontier[[#This Row],[P119 HWM]]-1</f>
        <v>0</v>
      </c>
      <c r="RK21" s="28">
        <f>SUMPRODUCT(INDEX(PortfolioRef[[SPY]:[PE]],MATCH(RK$1,PortfolioRef[Reference '#]),0),AssetMonthlyReturns[[#This Row],[SPY]:[PE]])</f>
        <v>6.5011628370404305E-3</v>
      </c>
      <c r="RL21" s="27">
        <f>IF(ISNUMBER(RL20),RL20*(1+PortfolioFrontier[[#This Row],[P120 Return]]),1+PortfolioFrontier[[#This Row],[P120 Return]])</f>
        <v>1.0840366973979925</v>
      </c>
      <c r="RM21" s="27">
        <f>MAX(RM20,PortfolioFrontier[[#This Row],[P120 Growth]])</f>
        <v>1.0840366973979925</v>
      </c>
      <c r="RN21" s="27">
        <f>PortfolioFrontier[[#This Row],[P120 Growth]]/PortfolioFrontier[[#This Row],[P120 HWM]]-1</f>
        <v>0</v>
      </c>
      <c r="RO21" s="28">
        <f>SUMPRODUCT(INDEX(PortfolioRef[[SPY]:[PE]],MATCH(RO$1,PortfolioRef[Reference '#]),0),AssetMonthlyReturns[[#This Row],[SPY]:[PE]])</f>
        <v>6.6457136685616819E-3</v>
      </c>
      <c r="RP21" s="27">
        <f>IF(ISNUMBER(RP20),RP20*(1+PortfolioFrontier[[#This Row],[P121 Return]]),1+PortfolioFrontier[[#This Row],[P121 Return]])</f>
        <v>1.094783638722328</v>
      </c>
      <c r="RQ21" s="27">
        <f>MAX(RQ20,PortfolioFrontier[[#This Row],[P121 Growth]])</f>
        <v>1.094783638722328</v>
      </c>
      <c r="RR21" s="27">
        <f>PortfolioFrontier[[#This Row],[P121 Growth]]/PortfolioFrontier[[#This Row],[P121 HWM]]-1</f>
        <v>0</v>
      </c>
      <c r="RS21" s="28">
        <f>SUMPRODUCT(INDEX(PortfolioRef[[SPY]:[PE]],MATCH(RS$1,PortfolioRef[Reference '#]),0),AssetMonthlyReturns[[#This Row],[SPY]:[PE]])</f>
        <v>6.747018176030628E-3</v>
      </c>
      <c r="RT21" s="27">
        <f>IF(ISNUMBER(RT20),RT20*(1+PortfolioFrontier[[#This Row],[P122 Return]]),1+PortfolioFrontier[[#This Row],[P122 Return]])</f>
        <v>1.0917610708537528</v>
      </c>
      <c r="RU21" s="27">
        <f>MAX(RU20,PortfolioFrontier[[#This Row],[P122 Growth]])</f>
        <v>1.0917610708537528</v>
      </c>
      <c r="RV21" s="27">
        <f>PortfolioFrontier[[#This Row],[P122 Growth]]/PortfolioFrontier[[#This Row],[P122 HWM]]-1</f>
        <v>0</v>
      </c>
      <c r="RW21" s="28">
        <f>SUMPRODUCT(INDEX(PortfolioRef[[SPY]:[PE]],MATCH(RW$1,PortfolioRef[Reference '#]),0),AssetMonthlyReturns[[#This Row],[SPY]:[PE]])</f>
        <v>6.8483226834995751E-3</v>
      </c>
      <c r="RX21" s="27">
        <f>IF(ISNUMBER(RX20),RX20*(1+PortfolioFrontier[[#This Row],[P123 Return]]),1+PortfolioFrontier[[#This Row],[P123 Return]])</f>
        <v>1.0886865974858824</v>
      </c>
      <c r="RY21" s="27">
        <f>MAX(RY20,PortfolioFrontier[[#This Row],[P123 Growth]])</f>
        <v>1.0886865974858824</v>
      </c>
      <c r="RZ21" s="27">
        <f>PortfolioFrontier[[#This Row],[P123 Growth]]/PortfolioFrontier[[#This Row],[P123 HWM]]-1</f>
        <v>0</v>
      </c>
      <c r="SA21" s="28">
        <f>SUMPRODUCT(INDEX(PortfolioRef[[SPY]:[PE]],MATCH(SA$1,PortfolioRef[Reference '#]),0),AssetMonthlyReturns[[#This Row],[SPY]:[PE]])</f>
        <v>5.8748434078520597E-3</v>
      </c>
      <c r="SB21" s="27">
        <f>IF(ISNUMBER(SB20),SB20*(1+PortfolioFrontier[[#This Row],[P124 Return]]),1+PortfolioFrontier[[#This Row],[P124 Return]])</f>
        <v>1.0879352373234961</v>
      </c>
      <c r="SC21" s="27">
        <f>MAX(SC20,PortfolioFrontier[[#This Row],[P124 Growth]])</f>
        <v>1.0879352373234961</v>
      </c>
      <c r="SD21" s="27">
        <f>PortfolioFrontier[[#This Row],[P124 Growth]]/PortfolioFrontier[[#This Row],[P124 HWM]]-1</f>
        <v>0</v>
      </c>
      <c r="SE21" s="28">
        <f>SUMPRODUCT(INDEX(PortfolioRef[[SPY]:[PE]],MATCH(SE$1,PortfolioRef[Reference '#]),0),AssetMonthlyReturns[[#This Row],[SPY]:[PE]])</f>
        <v>5.9761479153210059E-3</v>
      </c>
      <c r="SF21" s="27">
        <f>IF(ISNUMBER(SF20),SF20*(1+PortfolioFrontier[[#This Row],[P125 Return]]),1+PortfolioFrontier[[#This Row],[P125 Return]])</f>
        <v>1.0849576009087425</v>
      </c>
      <c r="SG21" s="27">
        <f>MAX(SG20,PortfolioFrontier[[#This Row],[P125 Growth]])</f>
        <v>1.0849576009087425</v>
      </c>
      <c r="SH21" s="27">
        <f>PortfolioFrontier[[#This Row],[P125 Growth]]/PortfolioFrontier[[#This Row],[P125 HWM]]-1</f>
        <v>0</v>
      </c>
      <c r="SI21" s="28">
        <f>SUMPRODUCT(INDEX(PortfolioRef[[SPY]:[PE]],MATCH(SI$1,PortfolioRef[Reference '#]),0),AssetMonthlyReturns[[#This Row],[SPY]:[PE]])</f>
        <v>6.0774524227899529E-3</v>
      </c>
      <c r="SJ21" s="27">
        <f>IF(ISNUMBER(SJ20),SJ20*(1+PortfolioFrontier[[#This Row],[P126 Return]]),1+PortfolioFrontier[[#This Row],[P126 Return]])</f>
        <v>1.081928277513255</v>
      </c>
      <c r="SK21" s="27">
        <f>MAX(SK20,PortfolioFrontier[[#This Row],[P126 Growth]])</f>
        <v>1.081928277513255</v>
      </c>
      <c r="SL21" s="27">
        <f>PortfolioFrontier[[#This Row],[P126 Growth]]/PortfolioFrontier[[#This Row],[P126 HWM]]-1</f>
        <v>0</v>
      </c>
      <c r="SM21" s="28">
        <f>SUMPRODUCT(INDEX(PortfolioRef[[SPY]:[PE]],MATCH(SM$1,PortfolioRef[Reference '#]),0),AssetMonthlyReturns[[#This Row],[SPY]:[PE]])</f>
        <v>6.2220032543112034E-3</v>
      </c>
      <c r="SN21" s="27">
        <f>IF(ISNUMBER(SN20),SN20*(1+PortfolioFrontier[[#This Row],[P127 Return]]),1+PortfolioFrontier[[#This Row],[P127 Return]])</f>
        <v>1.0926363284375726</v>
      </c>
      <c r="SO21" s="27">
        <f>MAX(SO20,PortfolioFrontier[[#This Row],[P127 Growth]])</f>
        <v>1.0926363284375726</v>
      </c>
      <c r="SP21" s="27">
        <f>PortfolioFrontier[[#This Row],[P127 Growth]]/PortfolioFrontier[[#This Row],[P127 HWM]]-1</f>
        <v>0</v>
      </c>
      <c r="SQ21" s="28">
        <f>SUMPRODUCT(INDEX(PortfolioRef[[SPY]:[PE]],MATCH(SQ$1,PortfolioRef[Reference '#]),0),AssetMonthlyReturns[[#This Row],[SPY]:[PE]])</f>
        <v>6.3233077617801496E-3</v>
      </c>
      <c r="SR21" s="27">
        <f>IF(ISNUMBER(SR20),SR20*(1+PortfolioFrontier[[#This Row],[P128 Return]]),1+PortfolioFrontier[[#This Row],[P128 Return]])</f>
        <v>1.0896497332228534</v>
      </c>
      <c r="SS21" s="27">
        <f>MAX(SS20,PortfolioFrontier[[#This Row],[P128 Growth]])</f>
        <v>1.0896497332228534</v>
      </c>
      <c r="ST21" s="27">
        <f>PortfolioFrontier[[#This Row],[P128 Growth]]/PortfolioFrontier[[#This Row],[P128 HWM]]-1</f>
        <v>0</v>
      </c>
      <c r="SU21" s="28">
        <f>SUMPRODUCT(INDEX(PortfolioRef[[SPY]:[PE]],MATCH(SU$1,PortfolioRef[Reference '#]),0),AssetMonthlyReturns[[#This Row],[SPY]:[PE]])</f>
        <v>6.4246122692490967E-3</v>
      </c>
      <c r="SV21" s="27">
        <f>IF(ISNUMBER(SV20),SV20*(1+PortfolioFrontier[[#This Row],[P129 Return]]),1+PortfolioFrontier[[#This Row],[P129 Return]])</f>
        <v>1.0866111804454659</v>
      </c>
      <c r="SW21" s="27">
        <f>MAX(SW20,PortfolioFrontier[[#This Row],[P129 Growth]])</f>
        <v>1.0866111804454659</v>
      </c>
      <c r="SX21" s="27">
        <f>PortfolioFrontier[[#This Row],[P129 Growth]]/PortfolioFrontier[[#This Row],[P129 HWM]]-1</f>
        <v>0</v>
      </c>
      <c r="SY21" s="28">
        <f>SUMPRODUCT(INDEX(PortfolioRef[[SPY]:[PE]],MATCH(SY$1,PortfolioRef[Reference '#]),0),AssetMonthlyReturns[[#This Row],[SPY]:[PE]])</f>
        <v>6.5691631007703481E-3</v>
      </c>
      <c r="SZ21" s="27">
        <f>IF(ISNUMBER(SZ20),SZ20*(1+PortfolioFrontier[[#This Row],[P130 Return]]),1+PortfolioFrontier[[#This Row],[P130 Return]])</f>
        <v>1.0972953864826447</v>
      </c>
      <c r="TA21" s="27">
        <f>MAX(TA20,PortfolioFrontier[[#This Row],[P130 Growth]])</f>
        <v>1.0972953864826447</v>
      </c>
      <c r="TB21" s="27">
        <f>PortfolioFrontier[[#This Row],[P130 Growth]]/PortfolioFrontier[[#This Row],[P130 HWM]]-1</f>
        <v>0</v>
      </c>
      <c r="TC21" s="28">
        <f>SUMPRODUCT(INDEX(PortfolioRef[[SPY]:[PE]],MATCH(TC$1,PortfolioRef[Reference '#]),0),AssetMonthlyReturns[[#This Row],[SPY]:[PE]])</f>
        <v>6.6704676082392942E-3</v>
      </c>
      <c r="TD21" s="27">
        <f>IF(ISNUMBER(TD20),TD20*(1+PortfolioFrontier[[#This Row],[P131 Return]]),1+PortfolioFrontier[[#This Row],[P131 Return]])</f>
        <v>1.0942999330406515</v>
      </c>
      <c r="TE21" s="27">
        <f>MAX(TE20,PortfolioFrontier[[#This Row],[P131 Growth]])</f>
        <v>1.0942999330406515</v>
      </c>
      <c r="TF21" s="27">
        <f>PortfolioFrontier[[#This Row],[P131 Growth]]/PortfolioFrontier[[#This Row],[P131 HWM]]-1</f>
        <v>0</v>
      </c>
      <c r="TG21" s="28">
        <f>SUMPRODUCT(INDEX(PortfolioRef[[SPY]:[PE]],MATCH(TG$1,PortfolioRef[Reference '#]),0),AssetMonthlyReturns[[#This Row],[SPY]:[PE]])</f>
        <v>6.7717721157082413E-3</v>
      </c>
      <c r="TH21" s="27">
        <f>IF(ISNUMBER(TH20),TH20*(1+PortfolioFrontier[[#This Row],[P132 Return]]),1+PortfolioFrontier[[#This Row],[P132 Return]])</f>
        <v>1.0912522527870707</v>
      </c>
      <c r="TI21" s="27">
        <f>MAX(TI20,PortfolioFrontier[[#This Row],[P132 Growth]])</f>
        <v>1.0912522527870707</v>
      </c>
      <c r="TJ21" s="27">
        <f>PortfolioFrontier[[#This Row],[P132 Growth]]/PortfolioFrontier[[#This Row],[P132 HWM]]-1</f>
        <v>0</v>
      </c>
      <c r="TK21" s="28">
        <f>SUMPRODUCT(INDEX(PortfolioRef[[SPY]:[PE]],MATCH(TK$1,PortfolioRef[Reference '#]),0),AssetMonthlyReturns[[#This Row],[SPY]:[PE]])</f>
        <v>5.7982928400607259E-3</v>
      </c>
      <c r="TL21" s="27">
        <f>IF(ISNUMBER(TL20),TL20*(1+PortfolioFrontier[[#This Row],[P133 Return]]),1+PortfolioFrontier[[#This Row],[P133 Return]])</f>
        <v>1.0904395349566238</v>
      </c>
      <c r="TM21" s="27">
        <f>MAX(TM20,PortfolioFrontier[[#This Row],[P133 Growth]])</f>
        <v>1.0904395349566238</v>
      </c>
      <c r="TN21" s="27">
        <f>PortfolioFrontier[[#This Row],[P133 Growth]]/PortfolioFrontier[[#This Row],[P133 HWM]]-1</f>
        <v>0</v>
      </c>
      <c r="TO21" s="28">
        <f>SUMPRODUCT(INDEX(PortfolioRef[[SPY]:[PE]],MATCH(TO$1,PortfolioRef[Reference '#]),0),AssetMonthlyReturns[[#This Row],[SPY]:[PE]])</f>
        <v>5.8995973475296721E-3</v>
      </c>
      <c r="TP21" s="27">
        <f>IF(ISNUMBER(TP20),TP20*(1+PortfolioFrontier[[#This Row],[P134 Return]]),1+PortfolioFrontier[[#This Row],[P134 Return]])</f>
        <v>1.0874888522842636</v>
      </c>
      <c r="TQ21" s="27">
        <f>MAX(TQ20,PortfolioFrontier[[#This Row],[P134 Growth]])</f>
        <v>1.0874888522842636</v>
      </c>
      <c r="TR21" s="27">
        <f>PortfolioFrontier[[#This Row],[P134 Growth]]/PortfolioFrontier[[#This Row],[P134 HWM]]-1</f>
        <v>0</v>
      </c>
      <c r="TS21" s="28">
        <f>SUMPRODUCT(INDEX(PortfolioRef[[SPY]:[PE]],MATCH(TS$1,PortfolioRef[Reference '#]),0),AssetMonthlyReturns[[#This Row],[SPY]:[PE]])</f>
        <v>6.0009018549986191E-3</v>
      </c>
      <c r="TT21" s="27">
        <f>IF(ISNUMBER(TT20),TT20*(1+PortfolioFrontier[[#This Row],[P135 Return]]),1+PortfolioFrontier[[#This Row],[P135 Return]])</f>
        <v>1.0844861638343972</v>
      </c>
      <c r="TU21" s="27">
        <f>MAX(TU20,PortfolioFrontier[[#This Row],[P135 Growth]])</f>
        <v>1.0844861638343972</v>
      </c>
      <c r="TV21" s="27">
        <f>PortfolioFrontier[[#This Row],[P135 Growth]]/PortfolioFrontier[[#This Row],[P135 HWM]]-1</f>
        <v>0</v>
      </c>
      <c r="TW21" s="28">
        <f>SUMPRODUCT(INDEX(PortfolioRef[[SPY]:[PE]],MATCH(TW$1,PortfolioRef[Reference '#]),0),AssetMonthlyReturns[[#This Row],[SPY]:[PE]])</f>
        <v>6.1454526865198696E-3</v>
      </c>
      <c r="TX21" s="27">
        <f>IF(ISNUMBER(TX20),TX20*(1+PortfolioFrontier[[#This Row],[P136 Return]]),1+PortfolioFrontier[[#This Row],[P136 Return]])</f>
        <v>1.0951314026919448</v>
      </c>
      <c r="TY21" s="27">
        <f>MAX(TY20,PortfolioFrontier[[#This Row],[P136 Growth]])</f>
        <v>1.0951314026919448</v>
      </c>
      <c r="TZ21" s="27">
        <f>PortfolioFrontier[[#This Row],[P136 Growth]]/PortfolioFrontier[[#This Row],[P136 HWM]]-1</f>
        <v>0</v>
      </c>
      <c r="UA21" s="28">
        <f>SUMPRODUCT(INDEX(PortfolioRef[[SPY]:[PE]],MATCH(UA$1,PortfolioRef[Reference '#]),0),AssetMonthlyReturns[[#This Row],[SPY]:[PE]])</f>
        <v>6.2467571939888158E-3</v>
      </c>
      <c r="UB21" s="27">
        <f>IF(ISNUMBER(UB20),UB20*(1+PortfolioFrontier[[#This Row],[P137 Return]]),1+PortfolioFrontier[[#This Row],[P137 Return]])</f>
        <v>1.0921719565304322</v>
      </c>
      <c r="UC21" s="27">
        <f>MAX(UC20,PortfolioFrontier[[#This Row],[P137 Growth]])</f>
        <v>1.0921719565304322</v>
      </c>
      <c r="UD21" s="27">
        <f>PortfolioFrontier[[#This Row],[P137 Growth]]/PortfolioFrontier[[#This Row],[P137 HWM]]-1</f>
        <v>0</v>
      </c>
      <c r="UE21" s="28">
        <f>SUMPRODUCT(INDEX(PortfolioRef[[SPY]:[PE]],MATCH(UE$1,PortfolioRef[Reference '#]),0),AssetMonthlyReturns[[#This Row],[SPY]:[PE]])</f>
        <v>6.3480617014577629E-3</v>
      </c>
      <c r="UF21" s="27">
        <f>IF(ISNUMBER(UF20),UF20*(1+PortfolioFrontier[[#This Row],[P138 Return]]),1+PortfolioFrontier[[#This Row],[P138 Return]])</f>
        <v>1.089160233448091</v>
      </c>
      <c r="UG21" s="27">
        <f>MAX(UG20,PortfolioFrontier[[#This Row],[P138 Growth]])</f>
        <v>1.089160233448091</v>
      </c>
      <c r="UH21" s="27">
        <f>PortfolioFrontier[[#This Row],[P138 Growth]]/PortfolioFrontier[[#This Row],[P138 HWM]]-1</f>
        <v>0</v>
      </c>
      <c r="UI21" s="28">
        <f>SUMPRODUCT(INDEX(PortfolioRef[[SPY]:[PE]],MATCH(UI$1,PortfolioRef[Reference '#]),0),AssetMonthlyReturns[[#This Row],[SPY]:[PE]])</f>
        <v>6.4926125329790151E-3</v>
      </c>
      <c r="UJ21" s="27">
        <f>IF(ISNUMBER(UJ20),UJ20*(1+PortfolioFrontier[[#This Row],[P139 Return]]),1+PortfolioFrontier[[#This Row],[P139 Return]])</f>
        <v>1.0997810407172353</v>
      </c>
      <c r="UK21" s="27">
        <f>MAX(UK20,PortfolioFrontier[[#This Row],[P139 Growth]])</f>
        <v>1.0997810407172353</v>
      </c>
      <c r="UL21" s="27">
        <f>PortfolioFrontier[[#This Row],[P139 Growth]]/PortfolioFrontier[[#This Row],[P139 HWM]]-1</f>
        <v>0</v>
      </c>
      <c r="UM21" s="28">
        <f>SUMPRODUCT(INDEX(PortfolioRef[[SPY]:[PE]],MATCH(UM$1,PortfolioRef[Reference '#]),0),AssetMonthlyReturns[[#This Row],[SPY]:[PE]])</f>
        <v>6.5939170404479604E-3</v>
      </c>
      <c r="UN21" s="27">
        <f>IF(ISNUMBER(UN20),UN20*(1+PortfolioFrontier[[#This Row],[P140 Return]]),1+PortfolioFrontier[[#This Row],[P140 Return]])</f>
        <v>1.0968129311840502</v>
      </c>
      <c r="UO21" s="27">
        <f>MAX(UO20,PortfolioFrontier[[#This Row],[P140 Growth]])</f>
        <v>1.0968129311840502</v>
      </c>
      <c r="UP21" s="27">
        <f>PortfolioFrontier[[#This Row],[P140 Growth]]/PortfolioFrontier[[#This Row],[P140 HWM]]-1</f>
        <v>0</v>
      </c>
      <c r="UQ21" s="28">
        <f>SUMPRODUCT(INDEX(PortfolioRef[[SPY]:[PE]],MATCH(UQ$1,PortfolioRef[Reference '#]),0),AssetMonthlyReturns[[#This Row],[SPY]:[PE]])</f>
        <v>6.6952215479169075E-3</v>
      </c>
      <c r="UR21" s="27">
        <f>IF(ISNUMBER(UR20),UR20*(1+PortfolioFrontier[[#This Row],[P141 Return]]),1+PortfolioFrontier[[#This Row],[P141 Return]])</f>
        <v>1.0937922749329048</v>
      </c>
      <c r="US21" s="27">
        <f>MAX(US20,PortfolioFrontier[[#This Row],[P141 Growth]])</f>
        <v>1.0937922749329048</v>
      </c>
      <c r="UT21" s="27">
        <f>PortfolioFrontier[[#This Row],[P141 Growth]]/PortfolioFrontier[[#This Row],[P141 HWM]]-1</f>
        <v>0</v>
      </c>
    </row>
    <row r="22" spans="2:566" x14ac:dyDescent="0.2">
      <c r="B22" s="41">
        <f>AssetMonthlyReturns[[#This Row],[Date]]</f>
        <v>43040</v>
      </c>
      <c r="C22" s="28">
        <f>SUMPRODUCT(INDEX(PortfolioRef[[SPY]:[PE]],MATCH(C$1,PortfolioRef[Reference '#]),0),AssetMonthlyReturns[[#This Row],[SPY]:[PE]])</f>
        <v>2.0342659565116827E-2</v>
      </c>
      <c r="D22" s="29">
        <f>IF(ISNUMBER(D21),D21*(1+PortfolioFrontier[[#This Row],[P1 Return]]),1+PortfolioFrontier[[#This Row],[P1 Return]])</f>
        <v>1.1849464253018085</v>
      </c>
      <c r="E22" s="29">
        <f>MAX(E21,PortfolioFrontier[[#This Row],[P1 Growth]])</f>
        <v>1.1849464253018085</v>
      </c>
      <c r="F22" s="29">
        <f>PortfolioFrontier[[#This Row],[P1 Growth]]/PortfolioFrontier[[#This Row],[P1 HWM]]-1</f>
        <v>0</v>
      </c>
      <c r="G22" s="28">
        <f>SUMPRODUCT(INDEX(PortfolioRef[[SPY]:[PE]],MATCH(G$1,PortfolioRef[Reference '#]),0),AssetMonthlyReturns[[#This Row],[SPY]:[PE]])</f>
        <v>1.8739651887789588E-2</v>
      </c>
      <c r="H22" s="27">
        <f>IF(ISNUMBER(H21),H21*(1+PortfolioFrontier[[#This Row],[P2 Return]]),1+PortfolioFrontier[[#This Row],[P2 Return]])</f>
        <v>1.1697312306748502</v>
      </c>
      <c r="I22" s="27">
        <f>MAX(I21,PortfolioFrontier[[#This Row],[P2 Growth]])</f>
        <v>1.1697312306748502</v>
      </c>
      <c r="J22" s="27">
        <f>PortfolioFrontier[[#This Row],[P2 Growth]]/PortfolioFrontier[[#This Row],[P2 HWM]]-1</f>
        <v>0</v>
      </c>
      <c r="K22" s="28">
        <f>SUMPRODUCT(INDEX(PortfolioRef[[SPY]:[PE]],MATCH(K$1,PortfolioRef[Reference '#]),0),AssetMonthlyReturns[[#This Row],[SPY]:[PE]])</f>
        <v>1.8992544475301711E-2</v>
      </c>
      <c r="L22" s="27">
        <f>IF(ISNUMBER(L21),L21*(1+PortfolioFrontier[[#This Row],[P3 Return]]),1+PortfolioFrontier[[#This Row],[P3 Return]])</f>
        <v>1.1678475438616096</v>
      </c>
      <c r="M22" s="27">
        <f>MAX(M21,PortfolioFrontier[[#This Row],[P3 Growth]])</f>
        <v>1.1678475438616096</v>
      </c>
      <c r="N22" s="27">
        <f>PortfolioFrontier[[#This Row],[P3 Growth]]/PortfolioFrontier[[#This Row],[P3 HWM]]-1</f>
        <v>0</v>
      </c>
      <c r="O22" s="28">
        <f>SUMPRODUCT(INDEX(PortfolioRef[[SPY]:[PE]],MATCH(O$1,PortfolioRef[Reference '#]),0),AssetMonthlyReturns[[#This Row],[SPY]:[PE]])</f>
        <v>2.0146503938284821E-2</v>
      </c>
      <c r="P22" s="27">
        <f>IF(ISNUMBER(P21),P21*(1+PortfolioFrontier[[#This Row],[P4 Return]]),1+PortfolioFrontier[[#This Row],[P4 Return]])</f>
        <v>1.1741136262806491</v>
      </c>
      <c r="Q22" s="27">
        <f>MAX(Q21,PortfolioFrontier[[#This Row],[P4 Growth]])</f>
        <v>1.1741136262806491</v>
      </c>
      <c r="R22" s="27">
        <f>PortfolioFrontier[[#This Row],[P4 Growth]]/PortfolioFrontier[[#This Row],[P4 HWM]]-1</f>
        <v>0</v>
      </c>
      <c r="S22" s="28">
        <f>SUMPRODUCT(INDEX(PortfolioRef[[SPY]:[PE]],MATCH(S$1,PortfolioRef[Reference '#]),0),AssetMonthlyReturns[[#This Row],[SPY]:[PE]])</f>
        <v>1.918190067547363E-2</v>
      </c>
      <c r="T22" s="27">
        <f>IF(ISNUMBER(T21),T21*(1+PortfolioFrontier[[#This Row],[P5 Return]]),1+PortfolioFrontier[[#This Row],[P5 Return]])</f>
        <v>1.1696788377689027</v>
      </c>
      <c r="U22" s="27">
        <f>MAX(U21,PortfolioFrontier[[#This Row],[P5 Growth]])</f>
        <v>1.1696788377689027</v>
      </c>
      <c r="V22" s="27">
        <f>PortfolioFrontier[[#This Row],[P5 Growth]]/PortfolioFrontier[[#This Row],[P5 HWM]]-1</f>
        <v>0</v>
      </c>
      <c r="W22" s="28">
        <f>SUMPRODUCT(INDEX(PortfolioRef[[SPY]:[PE]],MATCH(W$1,PortfolioRef[Reference '#]),0),AssetMonthlyReturns[[#This Row],[SPY]:[PE]])</f>
        <v>1.7136644210462352E-2</v>
      </c>
      <c r="X22" s="27">
        <f>IF(ISNUMBER(X21),X21*(1+PortfolioFrontier[[#This Row],[P6 Return]]),1+PortfolioFrontier[[#This Row],[P6 Return]])</f>
        <v>1.1546816599579266</v>
      </c>
      <c r="Y22" s="27">
        <f>MAX(Y21,PortfolioFrontier[[#This Row],[P6 Growth]])</f>
        <v>1.1546816599579266</v>
      </c>
      <c r="Z22" s="27">
        <f>PortfolioFrontier[[#This Row],[P6 Growth]]/PortfolioFrontier[[#This Row],[P6 HWM]]-1</f>
        <v>0</v>
      </c>
      <c r="AA22" s="28">
        <f>SUMPRODUCT(INDEX(PortfolioRef[[SPY]:[PE]],MATCH(AA$1,PortfolioRef[Reference '#]),0),AssetMonthlyReturns[[#This Row],[SPY]:[PE]])</f>
        <v>1.7389536797974472E-2</v>
      </c>
      <c r="AB22" s="27">
        <f>IF(ISNUMBER(AB21),AB21*(1+PortfolioFrontier[[#This Row],[P7 Return]]),1+PortfolioFrontier[[#This Row],[P7 Return]])</f>
        <v>1.152808818102701</v>
      </c>
      <c r="AC22" s="27">
        <f>MAX(AC21,PortfolioFrontier[[#This Row],[P7 Growth]])</f>
        <v>1.152808818102701</v>
      </c>
      <c r="AD22" s="27">
        <f>PortfolioFrontier[[#This Row],[P7 Growth]]/PortfolioFrontier[[#This Row],[P7 HWM]]-1</f>
        <v>0</v>
      </c>
      <c r="AE22" s="28">
        <f>SUMPRODUCT(INDEX(PortfolioRef[[SPY]:[PE]],MATCH(AE$1,PortfolioRef[Reference '#]),0),AssetMonthlyReturns[[#This Row],[SPY]:[PE]])</f>
        <v>1.8543496260957582E-2</v>
      </c>
      <c r="AF22" s="27">
        <f>IF(ISNUMBER(AF21),AF21*(1+PortfolioFrontier[[#This Row],[P8 Return]]),1+PortfolioFrontier[[#This Row],[P8 Return]])</f>
        <v>1.1590212570661322</v>
      </c>
      <c r="AG22" s="27">
        <f>MAX(AG21,PortfolioFrontier[[#This Row],[P8 Growth]])</f>
        <v>1.1590212570661322</v>
      </c>
      <c r="AH22" s="27">
        <f>PortfolioFrontier[[#This Row],[P8 Growth]]/PortfolioFrontier[[#This Row],[P8 HWM]]-1</f>
        <v>0</v>
      </c>
      <c r="AI22" s="28">
        <f>SUMPRODUCT(INDEX(PortfolioRef[[SPY]:[PE]],MATCH(AI$1,PortfolioRef[Reference '#]),0),AssetMonthlyReturns[[#This Row],[SPY]:[PE]])</f>
        <v>1.7578892998146391E-2</v>
      </c>
      <c r="AJ22" s="27">
        <f>IF(ISNUMBER(AJ21),AJ21*(1+PortfolioFrontier[[#This Row],[P9 Return]]),1+PortfolioFrontier[[#This Row],[P9 Return]])</f>
        <v>1.1546372352881276</v>
      </c>
      <c r="AK22" s="27">
        <f>MAX(AK21,PortfolioFrontier[[#This Row],[P9 Growth]])</f>
        <v>1.1546372352881276</v>
      </c>
      <c r="AL22" s="27">
        <f>PortfolioFrontier[[#This Row],[P9 Growth]]/PortfolioFrontier[[#This Row],[P9 HWM]]-1</f>
        <v>0</v>
      </c>
      <c r="AM22" s="28">
        <f>SUMPRODUCT(INDEX(PortfolioRef[[SPY]:[PE]],MATCH(AM$1,PortfolioRef[Reference '#]),0),AssetMonthlyReturns[[#This Row],[SPY]:[PE]])</f>
        <v>1.7642429385486595E-2</v>
      </c>
      <c r="AN22" s="27">
        <f>IF(ISNUMBER(AN21),AN21*(1+PortfolioFrontier[[#This Row],[P10 Return]]),1+PortfolioFrontier[[#This Row],[P10 Return]])</f>
        <v>1.1508822404760024</v>
      </c>
      <c r="AO22" s="27">
        <f>MAX(AO21,PortfolioFrontier[[#This Row],[P10 Growth]])</f>
        <v>1.1508822404760024</v>
      </c>
      <c r="AP22" s="27">
        <f>PortfolioFrontier[[#This Row],[P10 Growth]]/PortfolioFrontier[[#This Row],[P10 HWM]]-1</f>
        <v>0</v>
      </c>
      <c r="AQ22" s="28">
        <f>SUMPRODUCT(INDEX(PortfolioRef[[SPY]:[PE]],MATCH(AQ$1,PortfolioRef[Reference '#]),0),AssetMonthlyReturns[[#This Row],[SPY]:[PE]])</f>
        <v>1.8796388848469705E-2</v>
      </c>
      <c r="AR22" s="27">
        <f>IF(ISNUMBER(AR21),AR21*(1+PortfolioFrontier[[#This Row],[P11 Return]]),1+PortfolioFrontier[[#This Row],[P11 Return]])</f>
        <v>1.1571284668719175</v>
      </c>
      <c r="AS22" s="27">
        <f>MAX(AS21,PortfolioFrontier[[#This Row],[P11 Growth]])</f>
        <v>1.1571284668719175</v>
      </c>
      <c r="AT22" s="27">
        <f>PortfolioFrontier[[#This Row],[P11 Growth]]/PortfolioFrontier[[#This Row],[P11 HWM]]-1</f>
        <v>0</v>
      </c>
      <c r="AU22" s="28">
        <f>SUMPRODUCT(INDEX(PortfolioRef[[SPY]:[PE]],MATCH(AU$1,PortfolioRef[Reference '#]),0),AssetMonthlyReturns[[#This Row],[SPY]:[PE]])</f>
        <v>1.7831785585658511E-2</v>
      </c>
      <c r="AV22" s="27">
        <f>IF(ISNUMBER(AV21),AV21*(1+PortfolioFrontier[[#This Row],[P12 Return]]),1+PortfolioFrontier[[#This Row],[P12 Return]])</f>
        <v>1.1527836477188167</v>
      </c>
      <c r="AW22" s="27">
        <f>MAX(AW21,PortfolioFrontier[[#This Row],[P12 Growth]])</f>
        <v>1.1527836477188167</v>
      </c>
      <c r="AX22" s="27">
        <f>PortfolioFrontier[[#This Row],[P12 Growth]]/PortfolioFrontier[[#This Row],[P12 HWM]]-1</f>
        <v>0</v>
      </c>
      <c r="AY22" s="28">
        <f>SUMPRODUCT(INDEX(PortfolioRef[[SPY]:[PE]],MATCH(AY$1,PortfolioRef[Reference '#]),0),AssetMonthlyReturns[[#This Row],[SPY]:[PE]])</f>
        <v>1.9950348311452818E-2</v>
      </c>
      <c r="AZ22" s="27">
        <f>IF(ISNUMBER(AZ21),AZ21*(1+PortfolioFrontier[[#This Row],[P13 Return]]),1+PortfolioFrontier[[#This Row],[P13 Return]])</f>
        <v>1.1633413127106731</v>
      </c>
      <c r="BA22" s="27">
        <f>MAX(BA21,PortfolioFrontier[[#This Row],[P13 Growth]])</f>
        <v>1.1633413127106731</v>
      </c>
      <c r="BB22" s="27">
        <f>PortfolioFrontier[[#This Row],[P13 Growth]]/PortfolioFrontier[[#This Row],[P13 HWM]]-1</f>
        <v>0</v>
      </c>
      <c r="BC22" s="28">
        <f>SUMPRODUCT(INDEX(PortfolioRef[[SPY]:[PE]],MATCH(BC$1,PortfolioRef[Reference '#]),0),AssetMonthlyReturns[[#This Row],[SPY]:[PE]])</f>
        <v>1.8985745048641624E-2</v>
      </c>
      <c r="BD22" s="27">
        <f>IF(ISNUMBER(BD21),BD21*(1+PortfolioFrontier[[#This Row],[P14 Return]]),1+PortfolioFrontier[[#This Row],[P14 Return]])</f>
        <v>1.158978446664642</v>
      </c>
      <c r="BE22" s="27">
        <f>MAX(BE21,PortfolioFrontier[[#This Row],[P14 Growth]])</f>
        <v>1.158978446664642</v>
      </c>
      <c r="BF22" s="27">
        <f>PortfolioFrontier[[#This Row],[P14 Growth]]/PortfolioFrontier[[#This Row],[P14 HWM]]-1</f>
        <v>0</v>
      </c>
      <c r="BG22" s="28">
        <f>SUMPRODUCT(INDEX(PortfolioRef[[SPY]:[PE]],MATCH(BG$1,PortfolioRef[Reference '#]),0),AssetMonthlyReturns[[#This Row],[SPY]:[PE]])</f>
        <v>1.8021141785830433E-2</v>
      </c>
      <c r="BH22" s="27">
        <f>IF(ISNUMBER(BH21),BH21*(1+PortfolioFrontier[[#This Row],[P15 Return]]),1+PortfolioFrontier[[#This Row],[P15 Return]])</f>
        <v>1.1545672400296385</v>
      </c>
      <c r="BI22" s="27">
        <f>MAX(BI21,PortfolioFrontier[[#This Row],[P15 Growth]])</f>
        <v>1.1545672400296385</v>
      </c>
      <c r="BJ22" s="27">
        <f>PortfolioFrontier[[#This Row],[P15 Growth]]/PortfolioFrontier[[#This Row],[P15 HWM]]-1</f>
        <v>0</v>
      </c>
      <c r="BK22" s="28">
        <f>SUMPRODUCT(INDEX(PortfolioRef[[SPY]:[PE]],MATCH(BK$1,PortfolioRef[Reference '#]),0),AssetMonthlyReturns[[#This Row],[SPY]:[PE]])</f>
        <v>1.5533636533135111E-2</v>
      </c>
      <c r="BL22" s="27">
        <f>IF(ISNUMBER(BL21),BL21*(1+PortfolioFrontier[[#This Row],[P16 Return]]),1+PortfolioFrontier[[#This Row],[P16 Return]])</f>
        <v>1.139796238215421</v>
      </c>
      <c r="BM22" s="27">
        <f>MAX(BM21,PortfolioFrontier[[#This Row],[P16 Growth]])</f>
        <v>1.139796238215421</v>
      </c>
      <c r="BN22" s="27">
        <f>PortfolioFrontier[[#This Row],[P16 Growth]]/PortfolioFrontier[[#This Row],[P16 HWM]]-1</f>
        <v>0</v>
      </c>
      <c r="BO22" s="28">
        <f>SUMPRODUCT(INDEX(PortfolioRef[[SPY]:[PE]],MATCH(BO$1,PortfolioRef[Reference '#]),0),AssetMonthlyReturns[[#This Row],[SPY]:[PE]])</f>
        <v>1.5786529120647229E-2</v>
      </c>
      <c r="BP22" s="27">
        <f>IF(ISNUMBER(BP21),BP21*(1+PortfolioFrontier[[#This Row],[P17 Return]]),1+PortfolioFrontier[[#This Row],[P17 Return]])</f>
        <v>1.1379342766649652</v>
      </c>
      <c r="BQ22" s="27">
        <f>MAX(BQ21,PortfolioFrontier[[#This Row],[P17 Growth]])</f>
        <v>1.1379342766649652</v>
      </c>
      <c r="BR22" s="27">
        <f>PortfolioFrontier[[#This Row],[P17 Growth]]/PortfolioFrontier[[#This Row],[P17 HWM]]-1</f>
        <v>0</v>
      </c>
      <c r="BS22" s="28">
        <f>SUMPRODUCT(INDEX(PortfolioRef[[SPY]:[PE]],MATCH(BS$1,PortfolioRef[Reference '#]),0),AssetMonthlyReturns[[#This Row],[SPY]:[PE]])</f>
        <v>1.6940488583630342E-2</v>
      </c>
      <c r="BT22" s="27">
        <f>IF(ISNUMBER(BT21),BT21*(1+PortfolioFrontier[[#This Row],[P18 Return]]),1+PortfolioFrontier[[#This Row],[P18 Return]])</f>
        <v>1.14409335508151</v>
      </c>
      <c r="BU22" s="27">
        <f>MAX(BU21,PortfolioFrontier[[#This Row],[P18 Growth]])</f>
        <v>1.14409335508151</v>
      </c>
      <c r="BV22" s="27">
        <f>PortfolioFrontier[[#This Row],[P18 Growth]]/PortfolioFrontier[[#This Row],[P18 HWM]]-1</f>
        <v>0</v>
      </c>
      <c r="BW22" s="28">
        <f>SUMPRODUCT(INDEX(PortfolioRef[[SPY]:[PE]],MATCH(BW$1,PortfolioRef[Reference '#]),0),AssetMonthlyReturns[[#This Row],[SPY]:[PE]])</f>
        <v>1.5975885320819151E-2</v>
      </c>
      <c r="BX22" s="27">
        <f>IF(ISNUMBER(BX21),BX21*(1+PortfolioFrontier[[#This Row],[P19 Return]]),1+PortfolioFrontier[[#This Row],[P19 Return]])</f>
        <v>1.1397596134092902</v>
      </c>
      <c r="BY22" s="27">
        <f>MAX(BY21,PortfolioFrontier[[#This Row],[P19 Growth]])</f>
        <v>1.1397596134092902</v>
      </c>
      <c r="BZ22" s="27">
        <f>PortfolioFrontier[[#This Row],[P19 Growth]]/PortfolioFrontier[[#This Row],[P19 HWM]]-1</f>
        <v>0</v>
      </c>
      <c r="CA22" s="28">
        <f>SUMPRODUCT(INDEX(PortfolioRef[[SPY]:[PE]],MATCH(CA$1,PortfolioRef[Reference '#]),0),AssetMonthlyReturns[[#This Row],[SPY]:[PE]])</f>
        <v>1.6039421708159352E-2</v>
      </c>
      <c r="CB22" s="27">
        <f>IF(ISNUMBER(CB21),CB21*(1+PortfolioFrontier[[#This Row],[P20 Return]]),1+PortfolioFrontier[[#This Row],[P20 Return]])</f>
        <v>1.1360192383361214</v>
      </c>
      <c r="CC22" s="27">
        <f>MAX(CC21,PortfolioFrontier[[#This Row],[P20 Growth]])</f>
        <v>1.1360192383361214</v>
      </c>
      <c r="CD22" s="27">
        <f>PortfolioFrontier[[#This Row],[P20 Growth]]/PortfolioFrontier[[#This Row],[P20 HWM]]-1</f>
        <v>0</v>
      </c>
      <c r="CE22" s="28">
        <f>SUMPRODUCT(INDEX(PortfolioRef[[SPY]:[PE]],MATCH(CE$1,PortfolioRef[Reference '#]),0),AssetMonthlyReturns[[#This Row],[SPY]:[PE]])</f>
        <v>1.7193381171142462E-2</v>
      </c>
      <c r="CF22" s="27">
        <f>IF(ISNUMBER(CF21),CF21*(1+PortfolioFrontier[[#This Row],[P21 Return]]),1+PortfolioFrontier[[#This Row],[P21 Return]])</f>
        <v>1.1422116420355111</v>
      </c>
      <c r="CG22" s="27">
        <f>MAX(CG21,PortfolioFrontier[[#This Row],[P21 Growth]])</f>
        <v>1.1422116420355111</v>
      </c>
      <c r="CH22" s="27">
        <f>PortfolioFrontier[[#This Row],[P21 Growth]]/PortfolioFrontier[[#This Row],[P21 HWM]]-1</f>
        <v>0</v>
      </c>
      <c r="CI22" s="28">
        <f>SUMPRODUCT(INDEX(PortfolioRef[[SPY]:[PE]],MATCH(CI$1,PortfolioRef[Reference '#]),0),AssetMonthlyReturns[[#This Row],[SPY]:[PE]])</f>
        <v>1.6228777908331271E-2</v>
      </c>
      <c r="CJ22" s="27">
        <f>IF(ISNUMBER(CJ21),CJ21*(1+PortfolioFrontier[[#This Row],[P22 Return]]),1+PortfolioFrontier[[#This Row],[P22 Return]])</f>
        <v>1.1379166731845378</v>
      </c>
      <c r="CK22" s="27">
        <f>MAX(CK21,PortfolioFrontier[[#This Row],[P22 Growth]])</f>
        <v>1.1379166731845378</v>
      </c>
      <c r="CL22" s="27">
        <f>PortfolioFrontier[[#This Row],[P22 Growth]]/PortfolioFrontier[[#This Row],[P22 HWM]]-1</f>
        <v>0</v>
      </c>
      <c r="CM22" s="28">
        <f>SUMPRODUCT(INDEX(PortfolioRef[[SPY]:[PE]],MATCH(CM$1,PortfolioRef[Reference '#]),0),AssetMonthlyReturns[[#This Row],[SPY]:[PE]])</f>
        <v>1.8347340634125575E-2</v>
      </c>
      <c r="CN22" s="27">
        <f>IF(ISNUMBER(CN21),CN21*(1+PortfolioFrontier[[#This Row],[P23 Return]]),1+PortfolioFrontier[[#This Row],[P23 Return]])</f>
        <v>1.1483712490541467</v>
      </c>
      <c r="CO22" s="27">
        <f>MAX(CO21,PortfolioFrontier[[#This Row],[P23 Growth]])</f>
        <v>1.1483712490541467</v>
      </c>
      <c r="CP22" s="27">
        <f>PortfolioFrontier[[#This Row],[P23 Growth]]/PortfolioFrontier[[#This Row],[P23 HWM]]-1</f>
        <v>0</v>
      </c>
      <c r="CQ22" s="28">
        <f>SUMPRODUCT(INDEX(PortfolioRef[[SPY]:[PE]],MATCH(CQ$1,PortfolioRef[Reference '#]),0),AssetMonthlyReturns[[#This Row],[SPY]:[PE]])</f>
        <v>1.7382737371314381E-2</v>
      </c>
      <c r="CR22" s="27">
        <f>IF(ISNUMBER(CR21),CR21*(1+PortfolioFrontier[[#This Row],[P24 Return]]),1+PortfolioFrontier[[#This Row],[P24 Return]])</f>
        <v>1.1440583404431448</v>
      </c>
      <c r="CS22" s="27">
        <f>MAX(CS21,PortfolioFrontier[[#This Row],[P24 Growth]])</f>
        <v>1.1440583404431448</v>
      </c>
      <c r="CT22" s="27">
        <f>PortfolioFrontier[[#This Row],[P24 Growth]]/PortfolioFrontier[[#This Row],[P24 HWM]]-1</f>
        <v>0</v>
      </c>
      <c r="CU22" s="28">
        <f>SUMPRODUCT(INDEX(PortfolioRef[[SPY]:[PE]],MATCH(CU$1,PortfolioRef[Reference '#]),0),AssetMonthlyReturns[[#This Row],[SPY]:[PE]])</f>
        <v>1.641813410850319E-2</v>
      </c>
      <c r="CV22" s="27">
        <f>IF(ISNUMBER(CV21),CV21*(1+PortfolioFrontier[[#This Row],[P25 Return]]),1+PortfolioFrontier[[#This Row],[P25 Return]])</f>
        <v>1.1396977066226148</v>
      </c>
      <c r="CW22" s="27">
        <f>MAX(CW21,PortfolioFrontier[[#This Row],[P25 Growth]])</f>
        <v>1.1396977066226148</v>
      </c>
      <c r="CX22" s="27">
        <f>PortfolioFrontier[[#This Row],[P25 Growth]]/PortfolioFrontier[[#This Row],[P25 HWM]]-1</f>
        <v>0</v>
      </c>
      <c r="CY22" s="28">
        <f>SUMPRODUCT(INDEX(PortfolioRef[[SPY]:[PE]],MATCH(CY$1,PortfolioRef[Reference '#]),0),AssetMonthlyReturns[[#This Row],[SPY]:[PE]])</f>
        <v>1.7446273758654585E-2</v>
      </c>
      <c r="CZ22" s="27">
        <f>IF(ISNUMBER(CZ21),CZ21*(1+PortfolioFrontier[[#This Row],[P26 Return]]),1+PortfolioFrontier[[#This Row],[P26 Return]])</f>
        <v>1.1402767832080531</v>
      </c>
      <c r="DA22" s="27">
        <f>MAX(DA21,PortfolioFrontier[[#This Row],[P26 Growth]])</f>
        <v>1.1402767832080531</v>
      </c>
      <c r="DB22" s="27">
        <f>PortfolioFrontier[[#This Row],[P26 Growth]]/PortfolioFrontier[[#This Row],[P26 HWM]]-1</f>
        <v>0</v>
      </c>
      <c r="DC22" s="28">
        <f>SUMPRODUCT(INDEX(PortfolioRef[[SPY]:[PE]],MATCH(DC$1,PortfolioRef[Reference '#]),0),AssetMonthlyReturns[[#This Row],[SPY]:[PE]])</f>
        <v>1.6481670495843394E-2</v>
      </c>
      <c r="DD22" s="27">
        <f>IF(ISNUMBER(DD21),DD21*(1+PortfolioFrontier[[#This Row],[P27 Return]]),1+PortfolioFrontier[[#This Row],[P27 Return]])</f>
        <v>1.1360205989080627</v>
      </c>
      <c r="DE22" s="27">
        <f>MAX(DE21,PortfolioFrontier[[#This Row],[P27 Growth]])</f>
        <v>1.1360205989080627</v>
      </c>
      <c r="DF22" s="27">
        <f>PortfolioFrontier[[#This Row],[P27 Growth]]/PortfolioFrontier[[#This Row],[P27 HWM]]-1</f>
        <v>0</v>
      </c>
      <c r="DG22" s="28">
        <f>SUMPRODUCT(INDEX(PortfolioRef[[SPY]:[PE]],MATCH(DG$1,PortfolioRef[Reference '#]),0),AssetMonthlyReturns[[#This Row],[SPY]:[PE]])</f>
        <v>1.8600233221637699E-2</v>
      </c>
      <c r="DH22" s="27">
        <f>IF(ISNUMBER(DH21),DH21*(1+PortfolioFrontier[[#This Row],[P28 Return]]),1+PortfolioFrontier[[#This Row],[P28 Return]])</f>
        <v>1.146469734747847</v>
      </c>
      <c r="DI22" s="27">
        <f>MAX(DI21,PortfolioFrontier[[#This Row],[P28 Growth]])</f>
        <v>1.146469734747847</v>
      </c>
      <c r="DJ22" s="27">
        <f>PortfolioFrontier[[#This Row],[P28 Growth]]/PortfolioFrontier[[#This Row],[P28 HWM]]-1</f>
        <v>0</v>
      </c>
      <c r="DK22" s="28">
        <f>SUMPRODUCT(INDEX(PortfolioRef[[SPY]:[PE]],MATCH(DK$1,PortfolioRef[Reference '#]),0),AssetMonthlyReturns[[#This Row],[SPY]:[PE]])</f>
        <v>1.7635629958826504E-2</v>
      </c>
      <c r="DL22" s="27">
        <f>IF(ISNUMBER(DL21),DL21*(1+PortfolioFrontier[[#This Row],[P29 Return]]),1+PortfolioFrontier[[#This Row],[P29 Return]])</f>
        <v>1.1421957147128317</v>
      </c>
      <c r="DM22" s="27">
        <f>MAX(DM21,PortfolioFrontier[[#This Row],[P29 Growth]])</f>
        <v>1.1421957147128317</v>
      </c>
      <c r="DN22" s="27">
        <f>PortfolioFrontier[[#This Row],[P29 Growth]]/PortfolioFrontier[[#This Row],[P29 HWM]]-1</f>
        <v>0</v>
      </c>
      <c r="DO22" s="28">
        <f>SUMPRODUCT(INDEX(PortfolioRef[[SPY]:[PE]],MATCH(DO$1,PortfolioRef[Reference '#]),0),AssetMonthlyReturns[[#This Row],[SPY]:[PE]])</f>
        <v>1.6671026696015313E-2</v>
      </c>
      <c r="DP22" s="27">
        <f>IF(ISNUMBER(DP21),DP21*(1+PortfolioFrontier[[#This Row],[P30 Return]]),1+PortfolioFrontier[[#This Row],[P30 Return]])</f>
        <v>1.1378738251204397</v>
      </c>
      <c r="DQ22" s="27">
        <f>MAX(DQ21,PortfolioFrontier[[#This Row],[P30 Growth]])</f>
        <v>1.1378738251204397</v>
      </c>
      <c r="DR22" s="27">
        <f>PortfolioFrontier[[#This Row],[P30 Growth]]/PortfolioFrontier[[#This Row],[P30 HWM]]-1</f>
        <v>0</v>
      </c>
      <c r="DS22" s="28">
        <f>SUMPRODUCT(INDEX(PortfolioRef[[SPY]:[PE]],MATCH(DS$1,PortfolioRef[Reference '#]),0),AssetMonthlyReturns[[#This Row],[SPY]:[PE]])</f>
        <v>1.9754192684620812E-2</v>
      </c>
      <c r="DT22" s="27">
        <f>IF(ISNUMBER(DT21),DT21*(1+PortfolioFrontier[[#This Row],[P31 Return]]),1+PortfolioFrontier[[#This Row],[P31 Return]])</f>
        <v>1.152629601453196</v>
      </c>
      <c r="DU22" s="27">
        <f>MAX(DU21,PortfolioFrontier[[#This Row],[P31 Growth]])</f>
        <v>1.152629601453196</v>
      </c>
      <c r="DV22" s="27">
        <f>PortfolioFrontier[[#This Row],[P31 Growth]]/PortfolioFrontier[[#This Row],[P31 HWM]]-1</f>
        <v>0</v>
      </c>
      <c r="DW22" s="28">
        <f>SUMPRODUCT(INDEX(PortfolioRef[[SPY]:[PE]],MATCH(DW$1,PortfolioRef[Reference '#]),0),AssetMonthlyReturns[[#This Row],[SPY]:[PE]])</f>
        <v>1.8789589421809617E-2</v>
      </c>
      <c r="DX22" s="27">
        <f>IF(ISNUMBER(DX21),DX21*(1+PortfolioFrontier[[#This Row],[P32 Return]]),1+PortfolioFrontier[[#This Row],[P32 Return]])</f>
        <v>1.1483378720387984</v>
      </c>
      <c r="DY22" s="27">
        <f>MAX(DY21,PortfolioFrontier[[#This Row],[P32 Growth]])</f>
        <v>1.1483378720387984</v>
      </c>
      <c r="DZ22" s="27">
        <f>PortfolioFrontier[[#This Row],[P32 Growth]]/PortfolioFrontier[[#This Row],[P32 HWM]]-1</f>
        <v>0</v>
      </c>
      <c r="EA22" s="28">
        <f>SUMPRODUCT(INDEX(PortfolioRef[[SPY]:[PE]],MATCH(EA$1,PortfolioRef[Reference '#]),0),AssetMonthlyReturns[[#This Row],[SPY]:[PE]])</f>
        <v>1.7824986158998427E-2</v>
      </c>
      <c r="EB22" s="27">
        <f>IF(ISNUMBER(EB21),EB21*(1+PortfolioFrontier[[#This Row],[P33 Return]]),1+PortfolioFrontier[[#This Row],[P33 Return]])</f>
        <v>1.1439979507001967</v>
      </c>
      <c r="EC22" s="27">
        <f>MAX(EC21,PortfolioFrontier[[#This Row],[P33 Growth]])</f>
        <v>1.1439979507001967</v>
      </c>
      <c r="ED22" s="27">
        <f>PortfolioFrontier[[#This Row],[P33 Growth]]/PortfolioFrontier[[#This Row],[P33 HWM]]-1</f>
        <v>0</v>
      </c>
      <c r="EE22" s="28">
        <f>SUMPRODUCT(INDEX(PortfolioRef[[SPY]:[PE]],MATCH(EE$1,PortfolioRef[Reference '#]),0),AssetMonthlyReturns[[#This Row],[SPY]:[PE]])</f>
        <v>1.3930628855807869E-2</v>
      </c>
      <c r="EF22" s="27">
        <f>IF(ISNUMBER(EF21),EF21*(1+PortfolioFrontier[[#This Row],[P34 Return]]),1+PortfolioFrontier[[#This Row],[P34 Return]])</f>
        <v>1.1250735004648762</v>
      </c>
      <c r="EG22" s="27">
        <f>MAX(EG21,PortfolioFrontier[[#This Row],[P34 Growth]])</f>
        <v>1.1250735004648762</v>
      </c>
      <c r="EH22" s="27">
        <f>PortfolioFrontier[[#This Row],[P34 Growth]]/PortfolioFrontier[[#This Row],[P34 HWM]]-1</f>
        <v>0</v>
      </c>
      <c r="EI22" s="28">
        <f>SUMPRODUCT(INDEX(PortfolioRef[[SPY]:[PE]],MATCH(EI$1,PortfolioRef[Reference '#]),0),AssetMonthlyReturns[[#This Row],[SPY]:[PE]])</f>
        <v>1.4183521443319991E-2</v>
      </c>
      <c r="EJ22" s="27">
        <f>IF(ISNUMBER(EJ21),EJ21*(1+PortfolioFrontier[[#This Row],[P35 Return]]),1+PortfolioFrontier[[#This Row],[P35 Return]])</f>
        <v>1.1232224524662224</v>
      </c>
      <c r="EK22" s="27">
        <f>MAX(EK21,PortfolioFrontier[[#This Row],[P35 Growth]])</f>
        <v>1.1232224524662224</v>
      </c>
      <c r="EL22" s="27">
        <f>PortfolioFrontier[[#This Row],[P35 Growth]]/PortfolioFrontier[[#This Row],[P35 HWM]]-1</f>
        <v>0</v>
      </c>
      <c r="EM22" s="28">
        <f>SUMPRODUCT(INDEX(PortfolioRef[[SPY]:[PE]],MATCH(EM$1,PortfolioRef[Reference '#]),0),AssetMonthlyReturns[[#This Row],[SPY]:[PE]])</f>
        <v>1.5337480906303103E-2</v>
      </c>
      <c r="EN22" s="27">
        <f>IF(ISNUMBER(EN21),EN21*(1+PortfolioFrontier[[#This Row],[P36 Return]]),1+PortfolioFrontier[[#This Row],[P36 Return]])</f>
        <v>1.1293284537899069</v>
      </c>
      <c r="EO22" s="27">
        <f>MAX(EO21,PortfolioFrontier[[#This Row],[P36 Growth]])</f>
        <v>1.1293284537899069</v>
      </c>
      <c r="EP22" s="27">
        <f>PortfolioFrontier[[#This Row],[P36 Growth]]/PortfolioFrontier[[#This Row],[P36 HWM]]-1</f>
        <v>0</v>
      </c>
      <c r="EQ22" s="28">
        <f>SUMPRODUCT(INDEX(PortfolioRef[[SPY]:[PE]],MATCH(EQ$1,PortfolioRef[Reference '#]),0),AssetMonthlyReturns[[#This Row],[SPY]:[PE]])</f>
        <v>1.437287764349191E-2</v>
      </c>
      <c r="ER22" s="27">
        <f>IF(ISNUMBER(ER21),ER21*(1+PortfolioFrontier[[#This Row],[P37 Return]]),1+PortfolioFrontier[[#This Row],[P37 Return]])</f>
        <v>1.1250445095087682</v>
      </c>
      <c r="ES22" s="27">
        <f>MAX(ES21,PortfolioFrontier[[#This Row],[P37 Growth]])</f>
        <v>1.1250445095087682</v>
      </c>
      <c r="ET22" s="27">
        <f>PortfolioFrontier[[#This Row],[P37 Growth]]/PortfolioFrontier[[#This Row],[P37 HWM]]-1</f>
        <v>0</v>
      </c>
      <c r="EU22" s="28">
        <f>SUMPRODUCT(INDEX(PortfolioRef[[SPY]:[PE]],MATCH(EU$1,PortfolioRef[Reference '#]),0),AssetMonthlyReturns[[#This Row],[SPY]:[PE]])</f>
        <v>1.4436414030832113E-2</v>
      </c>
      <c r="EV22" s="27">
        <f>IF(ISNUMBER(EV21),EV21*(1+PortfolioFrontier[[#This Row],[P38 Return]]),1+PortfolioFrontier[[#This Row],[P38 Return]])</f>
        <v>1.1213189796496787</v>
      </c>
      <c r="EW22" s="27">
        <f>MAX(EW21,PortfolioFrontier[[#This Row],[P38 Growth]])</f>
        <v>1.1213189796496787</v>
      </c>
      <c r="EX22" s="27">
        <f>PortfolioFrontier[[#This Row],[P38 Growth]]/PortfolioFrontier[[#This Row],[P38 HWM]]-1</f>
        <v>0</v>
      </c>
      <c r="EY22" s="28">
        <f>SUMPRODUCT(INDEX(PortfolioRef[[SPY]:[PE]],MATCH(EY$1,PortfolioRef[Reference '#]),0),AssetMonthlyReturns[[#This Row],[SPY]:[PE]])</f>
        <v>1.5590373493815222E-2</v>
      </c>
      <c r="EZ22" s="27">
        <f>IF(ISNUMBER(EZ21),EZ21*(1+PortfolioFrontier[[#This Row],[P39 Return]]),1+PortfolioFrontier[[#This Row],[P39 Return]])</f>
        <v>1.1274578492807381</v>
      </c>
      <c r="FA22" s="27">
        <f>MAX(FA21,PortfolioFrontier[[#This Row],[P39 Growth]])</f>
        <v>1.1274578492807381</v>
      </c>
      <c r="FB22" s="27">
        <f>PortfolioFrontier[[#This Row],[P39 Growth]]/PortfolioFrontier[[#This Row],[P39 HWM]]-1</f>
        <v>0</v>
      </c>
      <c r="FC22" s="28">
        <f>SUMPRODUCT(INDEX(PortfolioRef[[SPY]:[PE]],MATCH(FC$1,PortfolioRef[Reference '#]),0),AssetMonthlyReturns[[#This Row],[SPY]:[PE]])</f>
        <v>1.462577023100403E-2</v>
      </c>
      <c r="FD22" s="27">
        <f>IF(ISNUMBER(FD21),FD21*(1+PortfolioFrontier[[#This Row],[P40 Return]]),1+PortfolioFrontier[[#This Row],[P40 Return]])</f>
        <v>1.1232122522734846</v>
      </c>
      <c r="FE22" s="27">
        <f>MAX(FE21,PortfolioFrontier[[#This Row],[P40 Growth]])</f>
        <v>1.1232122522734846</v>
      </c>
      <c r="FF22" s="27">
        <f>PortfolioFrontier[[#This Row],[P40 Growth]]/PortfolioFrontier[[#This Row],[P40 HWM]]-1</f>
        <v>0</v>
      </c>
      <c r="FG22" s="28">
        <f>SUMPRODUCT(INDEX(PortfolioRef[[SPY]:[PE]],MATCH(FG$1,PortfolioRef[Reference '#]),0),AssetMonthlyReturns[[#This Row],[SPY]:[PE]])</f>
        <v>1.6744332956798336E-2</v>
      </c>
      <c r="FH22" s="27">
        <f>IF(ISNUMBER(FH21),FH21*(1+PortfolioFrontier[[#This Row],[P41 Return]]),1+PortfolioFrontier[[#This Row],[P41 Return]])</f>
        <v>1.1335644987770745</v>
      </c>
      <c r="FI22" s="27">
        <f>MAX(FI21,PortfolioFrontier[[#This Row],[P41 Growth]])</f>
        <v>1.1335644987770745</v>
      </c>
      <c r="FJ22" s="27">
        <f>PortfolioFrontier[[#This Row],[P41 Growth]]/PortfolioFrontier[[#This Row],[P41 HWM]]-1</f>
        <v>0</v>
      </c>
      <c r="FK22" s="28">
        <f>SUMPRODUCT(INDEX(PortfolioRef[[SPY]:[PE]],MATCH(FK$1,PortfolioRef[Reference '#]),0),AssetMonthlyReturns[[#This Row],[SPY]:[PE]])</f>
        <v>1.5779729693987141E-2</v>
      </c>
      <c r="FL22" s="27">
        <f>IF(ISNUMBER(FL21),FL21*(1+PortfolioFrontier[[#This Row],[P42 Return]]),1+PortfolioFrontier[[#This Row],[P42 Return]])</f>
        <v>1.1293010689231724</v>
      </c>
      <c r="FM22" s="27">
        <f>MAX(FM21,PortfolioFrontier[[#This Row],[P42 Growth]])</f>
        <v>1.1293010689231724</v>
      </c>
      <c r="FN22" s="27">
        <f>PortfolioFrontier[[#This Row],[P42 Growth]]/PortfolioFrontier[[#This Row],[P42 HWM]]-1</f>
        <v>0</v>
      </c>
      <c r="FO22" s="28">
        <f>SUMPRODUCT(INDEX(PortfolioRef[[SPY]:[PE]],MATCH(FO$1,PortfolioRef[Reference '#]),0),AssetMonthlyReturns[[#This Row],[SPY]:[PE]])</f>
        <v>1.481512643117595E-2</v>
      </c>
      <c r="FP22" s="27">
        <f>IF(ISNUMBER(FP21),FP21*(1+PortfolioFrontier[[#This Row],[P43 Return]]),1+PortfolioFrontier[[#This Row],[P43 Return]])</f>
        <v>1.1249905224778525</v>
      </c>
      <c r="FQ22" s="27">
        <f>MAX(FQ21,PortfolioFrontier[[#This Row],[P43 Growth]])</f>
        <v>1.1249905224778525</v>
      </c>
      <c r="FR22" s="27">
        <f>PortfolioFrontier[[#This Row],[P43 Growth]]/PortfolioFrontier[[#This Row],[P43 HWM]]-1</f>
        <v>0</v>
      </c>
      <c r="FS22" s="28">
        <f>SUMPRODUCT(INDEX(PortfolioRef[[SPY]:[PE]],MATCH(FS$1,PortfolioRef[Reference '#]),0),AssetMonthlyReturns[[#This Row],[SPY]:[PE]])</f>
        <v>1.5843266081327346E-2</v>
      </c>
      <c r="FT22" s="27">
        <f>IF(ISNUMBER(FT21),FT21*(1+PortfolioFrontier[[#This Row],[P44 Return]]),1+PortfolioFrontier[[#This Row],[P44 Return]])</f>
        <v>1.1255347514047607</v>
      </c>
      <c r="FU22" s="27">
        <f>MAX(FU21,PortfolioFrontier[[#This Row],[P44 Growth]])</f>
        <v>1.1255347514047607</v>
      </c>
      <c r="FV22" s="27">
        <f>PortfolioFrontier[[#This Row],[P44 Growth]]/PortfolioFrontier[[#This Row],[P44 HWM]]-1</f>
        <v>0</v>
      </c>
      <c r="FW22" s="28">
        <f>SUMPRODUCT(INDEX(PortfolioRef[[SPY]:[PE]],MATCH(FW$1,PortfolioRef[Reference '#]),0),AssetMonthlyReturns[[#This Row],[SPY]:[PE]])</f>
        <v>1.4878662818516152E-2</v>
      </c>
      <c r="FX22" s="27">
        <f>IF(ISNUMBER(FX21),FX21*(1+PortfolioFrontier[[#This Row],[P45 Return]]),1+PortfolioFrontier[[#This Row],[P45 Return]])</f>
        <v>1.1213275131133518</v>
      </c>
      <c r="FY22" s="27">
        <f>MAX(FY21,PortfolioFrontier[[#This Row],[P45 Growth]])</f>
        <v>1.1213275131133518</v>
      </c>
      <c r="FZ22" s="27">
        <f>PortfolioFrontier[[#This Row],[P45 Growth]]/PortfolioFrontier[[#This Row],[P45 HWM]]-1</f>
        <v>0</v>
      </c>
      <c r="GA22" s="28">
        <f>SUMPRODUCT(INDEX(PortfolioRef[[SPY]:[PE]],MATCH(GA$1,PortfolioRef[Reference '#]),0),AssetMonthlyReturns[[#This Row],[SPY]:[PE]])</f>
        <v>1.6997225544310456E-2</v>
      </c>
      <c r="GB22" s="27">
        <f>IF(ISNUMBER(GB21),GB21*(1+PortfolioFrontier[[#This Row],[P46 Return]]),1+PortfolioFrontier[[#This Row],[P46 Return]])</f>
        <v>1.1316742884924573</v>
      </c>
      <c r="GC22" s="27">
        <f>MAX(GC21,PortfolioFrontier[[#This Row],[P46 Growth]])</f>
        <v>1.1316742884924573</v>
      </c>
      <c r="GD22" s="27">
        <f>PortfolioFrontier[[#This Row],[P46 Growth]]/PortfolioFrontier[[#This Row],[P46 HWM]]-1</f>
        <v>0</v>
      </c>
      <c r="GE22" s="28">
        <f>SUMPRODUCT(INDEX(PortfolioRef[[SPY]:[PE]],MATCH(GE$1,PortfolioRef[Reference '#]),0),AssetMonthlyReturns[[#This Row],[SPY]:[PE]])</f>
        <v>1.6032622281499261E-2</v>
      </c>
      <c r="GF22" s="27">
        <f>IF(ISNUMBER(GF21),GF21*(1+PortfolioFrontier[[#This Row],[P47 Return]]),1+PortfolioFrontier[[#This Row],[P47 Return]])</f>
        <v>1.1274493205068468</v>
      </c>
      <c r="GG22" s="27">
        <f>MAX(GG21,PortfolioFrontier[[#This Row],[P47 Growth]])</f>
        <v>1.1274493205068468</v>
      </c>
      <c r="GH22" s="27">
        <f>PortfolioFrontier[[#This Row],[P47 Growth]]/PortfolioFrontier[[#This Row],[P47 HWM]]-1</f>
        <v>0</v>
      </c>
      <c r="GI22" s="28">
        <f>SUMPRODUCT(INDEX(PortfolioRef[[SPY]:[PE]],MATCH(GI$1,PortfolioRef[Reference '#]),0),AssetMonthlyReturns[[#This Row],[SPY]:[PE]])</f>
        <v>1.506801901868807E-2</v>
      </c>
      <c r="GJ22" s="27">
        <f>IF(ISNUMBER(GJ21),GJ21*(1+PortfolioFrontier[[#This Row],[P48 Return]]),1+PortfolioFrontier[[#This Row],[P48 Return]])</f>
        <v>1.1231770934422016</v>
      </c>
      <c r="GK22" s="27">
        <f>MAX(GK21,PortfolioFrontier[[#This Row],[P48 Growth]])</f>
        <v>1.1231770934422016</v>
      </c>
      <c r="GL22" s="27">
        <f>PortfolioFrontier[[#This Row],[P48 Growth]]/PortfolioFrontier[[#This Row],[P48 HWM]]-1</f>
        <v>0</v>
      </c>
      <c r="GM22" s="28">
        <f>SUMPRODUCT(INDEX(PortfolioRef[[SPY]:[PE]],MATCH(GM$1,PortfolioRef[Reference '#]),0),AssetMonthlyReturns[[#This Row],[SPY]:[PE]])</f>
        <v>1.8151185007293569E-2</v>
      </c>
      <c r="GN22" s="27">
        <f>IF(ISNUMBER(GN21),GN21*(1+PortfolioFrontier[[#This Row],[P49 Return]]),1+PortfolioFrontier[[#This Row],[P49 Return]])</f>
        <v>1.137781319998544</v>
      </c>
      <c r="GO22" s="27">
        <f>MAX(GO21,PortfolioFrontier[[#This Row],[P49 Growth]])</f>
        <v>1.137781319998544</v>
      </c>
      <c r="GP22" s="27">
        <f>PortfolioFrontier[[#This Row],[P49 Growth]]/PortfolioFrontier[[#This Row],[P49 HWM]]-1</f>
        <v>0</v>
      </c>
      <c r="GQ22" s="28">
        <f>SUMPRODUCT(INDEX(PortfolioRef[[SPY]:[PE]],MATCH(GQ$1,PortfolioRef[Reference '#]),0),AssetMonthlyReturns[[#This Row],[SPY]:[PE]])</f>
        <v>1.7186581744482374E-2</v>
      </c>
      <c r="GR22" s="27">
        <f>IF(ISNUMBER(GR21),GR21*(1+PortfolioFrontier[[#This Row],[P50 Return]]),1+PortfolioFrontier[[#This Row],[P50 Return]])</f>
        <v>1.1335387470245184</v>
      </c>
      <c r="GS22" s="27">
        <f>MAX(GS21,PortfolioFrontier[[#This Row],[P50 Growth]])</f>
        <v>1.1335387470245184</v>
      </c>
      <c r="GT22" s="27">
        <f>PortfolioFrontier[[#This Row],[P50 Growth]]/PortfolioFrontier[[#This Row],[P50 HWM]]-1</f>
        <v>0</v>
      </c>
      <c r="GU22" s="28">
        <f>SUMPRODUCT(INDEX(PortfolioRef[[SPY]:[PE]],MATCH(GU$1,PortfolioRef[Reference '#]),0),AssetMonthlyReturns[[#This Row],[SPY]:[PE]])</f>
        <v>1.6221978481671184E-2</v>
      </c>
      <c r="GV22" s="27">
        <f>IF(ISNUMBER(GV21),GV21*(1+PortfolioFrontier[[#This Row],[P51 Return]]),1+PortfolioFrontier[[#This Row],[P51 Return]])</f>
        <v>1.1292485957622356</v>
      </c>
      <c r="GW22" s="27">
        <f>MAX(GW21,PortfolioFrontier[[#This Row],[P51 Growth]])</f>
        <v>1.1292485957622356</v>
      </c>
      <c r="GX22" s="27">
        <f>PortfolioFrontier[[#This Row],[P51 Growth]]/PortfolioFrontier[[#This Row],[P51 HWM]]-1</f>
        <v>0</v>
      </c>
      <c r="GY22" s="28">
        <f>SUMPRODUCT(INDEX(PortfolioRef[[SPY]:[PE]],MATCH(GY$1,PortfolioRef[Reference '#]),0),AssetMonthlyReturns[[#This Row],[SPY]:[PE]])</f>
        <v>1.7250118131822579E-2</v>
      </c>
      <c r="GZ22" s="27">
        <f>IF(ISNUMBER(GZ21),GZ21*(1+PortfolioFrontier[[#This Row],[P52 Return]]),1+PortfolioFrontier[[#This Row],[P52 Return]])</f>
        <v>1.1297315177959852</v>
      </c>
      <c r="HA22" s="27">
        <f>MAX(HA21,PortfolioFrontier[[#This Row],[P52 Growth]])</f>
        <v>1.1297315177959852</v>
      </c>
      <c r="HB22" s="27">
        <f>PortfolioFrontier[[#This Row],[P52 Growth]]/PortfolioFrontier[[#This Row],[P52 HWM]]-1</f>
        <v>0</v>
      </c>
      <c r="HC22" s="28">
        <f>SUMPRODUCT(INDEX(PortfolioRef[[SPY]:[PE]],MATCH(HC$1,PortfolioRef[Reference '#]),0),AssetMonthlyReturns[[#This Row],[SPY]:[PE]])</f>
        <v>1.6285514869011385E-2</v>
      </c>
      <c r="HD22" s="27">
        <f>IF(ISNUMBER(HD21),HD21*(1+PortfolioFrontier[[#This Row],[P53 Return]]),1+PortfolioFrontier[[#This Row],[P53 Return]])</f>
        <v>1.1255450210816069</v>
      </c>
      <c r="HE22" s="27">
        <f>MAX(HE21,PortfolioFrontier[[#This Row],[P53 Growth]])</f>
        <v>1.1255450210816069</v>
      </c>
      <c r="HF22" s="27">
        <f>PortfolioFrontier[[#This Row],[P53 Growth]]/PortfolioFrontier[[#This Row],[P53 HWM]]-1</f>
        <v>0</v>
      </c>
      <c r="HG22" s="28">
        <f>SUMPRODUCT(INDEX(PortfolioRef[[SPY]:[PE]],MATCH(HG$1,PortfolioRef[Reference '#]),0),AssetMonthlyReturns[[#This Row],[SPY]:[PE]])</f>
        <v>1.5320911606200194E-2</v>
      </c>
      <c r="HH22" s="27">
        <f>IF(ISNUMBER(HH21),HH21*(1+PortfolioFrontier[[#This Row],[P54 Return]]),1+PortfolioFrontier[[#This Row],[P54 Return]])</f>
        <v>1.1213111268502254</v>
      </c>
      <c r="HI22" s="27">
        <f>MAX(HI21,PortfolioFrontier[[#This Row],[P54 Growth]])</f>
        <v>1.1213111268502254</v>
      </c>
      <c r="HJ22" s="27">
        <f>PortfolioFrontier[[#This Row],[P54 Growth]]/PortfolioFrontier[[#This Row],[P54 HWM]]-1</f>
        <v>0</v>
      </c>
      <c r="HK22" s="28">
        <f>SUMPRODUCT(INDEX(PortfolioRef[[SPY]:[PE]],MATCH(HK$1,PortfolioRef[Reference '#]),0),AssetMonthlyReturns[[#This Row],[SPY]:[PE]])</f>
        <v>1.8404077594805692E-2</v>
      </c>
      <c r="HL22" s="27">
        <f>IF(ISNUMBER(HL21),HL21*(1+PortfolioFrontier[[#This Row],[P55 Return]]),1+PortfolioFrontier[[#This Row],[P55 Return]])</f>
        <v>1.1358714556202827</v>
      </c>
      <c r="HM22" s="27">
        <f>MAX(HM21,PortfolioFrontier[[#This Row],[P55 Growth]])</f>
        <v>1.1358714556202827</v>
      </c>
      <c r="HN22" s="27">
        <f>PortfolioFrontier[[#This Row],[P55 Growth]]/PortfolioFrontier[[#This Row],[P55 HWM]]-1</f>
        <v>0</v>
      </c>
      <c r="HO22" s="28">
        <f>SUMPRODUCT(INDEX(PortfolioRef[[SPY]:[PE]],MATCH(HO$1,PortfolioRef[Reference '#]),0),AssetMonthlyReturns[[#This Row],[SPY]:[PE]])</f>
        <v>1.7439474331994498E-2</v>
      </c>
      <c r="HP22" s="27">
        <f>IF(ISNUMBER(HP21),HP21*(1+PortfolioFrontier[[#This Row],[P56 Return]]),1+PortfolioFrontier[[#This Row],[P56 Return]])</f>
        <v>1.1316674579155366</v>
      </c>
      <c r="HQ22" s="27">
        <f>MAX(HQ21,PortfolioFrontier[[#This Row],[P56 Growth]])</f>
        <v>1.1316674579155366</v>
      </c>
      <c r="HR22" s="27">
        <f>PortfolioFrontier[[#This Row],[P56 Growth]]/PortfolioFrontier[[#This Row],[P56 HWM]]-1</f>
        <v>0</v>
      </c>
      <c r="HS22" s="28">
        <f>SUMPRODUCT(INDEX(PortfolioRef[[SPY]:[PE]],MATCH(HS$1,PortfolioRef[Reference '#]),0),AssetMonthlyReturns[[#This Row],[SPY]:[PE]])</f>
        <v>1.6474871069183307E-2</v>
      </c>
      <c r="HT22" s="27">
        <f>IF(ISNUMBER(HT21),HT21*(1+PortfolioFrontier[[#This Row],[P57 Return]]),1+PortfolioFrontier[[#This Row],[P57 Return]])</f>
        <v>1.1274157412008003</v>
      </c>
      <c r="HU22" s="27">
        <f>MAX(HU21,PortfolioFrontier[[#This Row],[P57 Growth]])</f>
        <v>1.1274157412008003</v>
      </c>
      <c r="HV22" s="27">
        <f>PortfolioFrontier[[#This Row],[P57 Growth]]/PortfolioFrontier[[#This Row],[P57 HWM]]-1</f>
        <v>0</v>
      </c>
      <c r="HW22" s="28">
        <f>SUMPRODUCT(INDEX(PortfolioRef[[SPY]:[PE]],MATCH(HW$1,PortfolioRef[Reference '#]),0),AssetMonthlyReturns[[#This Row],[SPY]:[PE]])</f>
        <v>1.9558037057788802E-2</v>
      </c>
      <c r="HX22" s="27">
        <f>IF(ISNUMBER(HX21),HX21*(1+PortfolioFrontier[[#This Row],[P58 Return]]),1+PortfolioFrontier[[#This Row],[P58 Return]])</f>
        <v>1.1419786021634439</v>
      </c>
      <c r="HY22" s="27">
        <f>MAX(HY21,PortfolioFrontier[[#This Row],[P58 Growth]])</f>
        <v>1.1419786021634439</v>
      </c>
      <c r="HZ22" s="27">
        <f>PortfolioFrontier[[#This Row],[P58 Growth]]/PortfolioFrontier[[#This Row],[P58 HWM]]-1</f>
        <v>0</v>
      </c>
      <c r="IA22" s="28">
        <f>SUMPRODUCT(INDEX(PortfolioRef[[SPY]:[PE]],MATCH(IA$1,PortfolioRef[Reference '#]),0),AssetMonthlyReturns[[#This Row],[SPY]:[PE]])</f>
        <v>1.8593433794977608E-2</v>
      </c>
      <c r="IB22" s="27">
        <f>IF(ISNUMBER(IB21),IB21*(1+PortfolioFrontier[[#This Row],[P59 Return]]),1+PortfolioFrontier[[#This Row],[P59 Return]])</f>
        <v>1.1377572285129984</v>
      </c>
      <c r="IC22" s="27">
        <f>MAX(IC21,PortfolioFrontier[[#This Row],[P59 Growth]])</f>
        <v>1.1377572285129984</v>
      </c>
      <c r="ID22" s="27">
        <f>PortfolioFrontier[[#This Row],[P59 Growth]]/PortfolioFrontier[[#This Row],[P59 HWM]]-1</f>
        <v>0</v>
      </c>
      <c r="IE22" s="28">
        <f>SUMPRODUCT(INDEX(PortfolioRef[[SPY]:[PE]],MATCH(IE$1,PortfolioRef[Reference '#]),0),AssetMonthlyReturns[[#This Row],[SPY]:[PE]])</f>
        <v>1.762883053216642E-2</v>
      </c>
      <c r="IF22" s="27">
        <f>IF(ISNUMBER(IF21),IF21*(1+PortfolioFrontier[[#This Row],[P60 Return]]),1+PortfolioFrontier[[#This Row],[P60 Return]])</f>
        <v>1.1334878149102019</v>
      </c>
      <c r="IG22" s="27">
        <f>MAX(IG21,PortfolioFrontier[[#This Row],[P60 Growth]])</f>
        <v>1.1334878149102019</v>
      </c>
      <c r="IH22" s="27">
        <f>PortfolioFrontier[[#This Row],[P60 Growth]]/PortfolioFrontier[[#This Row],[P60 HWM]]-1</f>
        <v>0</v>
      </c>
      <c r="II22" s="28">
        <f>SUMPRODUCT(INDEX(PortfolioRef[[SPY]:[PE]],MATCH(II$1,PortfolioRef[Reference '#]),0),AssetMonthlyReturns[[#This Row],[SPY]:[PE]])</f>
        <v>1.232762117848063E-2</v>
      </c>
      <c r="IJ22" s="27">
        <f>IF(ISNUMBER(IJ21),IJ21*(1+PortfolioFrontier[[#This Row],[P61 Return]]),1+PortfolioFrontier[[#This Row],[P61 Return]])</f>
        <v>1.1105119916372608</v>
      </c>
      <c r="IK22" s="27">
        <f>MAX(IK21,PortfolioFrontier[[#This Row],[P61 Growth]])</f>
        <v>1.1105119916372608</v>
      </c>
      <c r="IL22" s="27">
        <f>PortfolioFrontier[[#This Row],[P61 Growth]]/PortfolioFrontier[[#This Row],[P61 HWM]]-1</f>
        <v>0</v>
      </c>
      <c r="IM22" s="28">
        <f>SUMPRODUCT(INDEX(PortfolioRef[[SPY]:[PE]],MATCH(IM$1,PortfolioRef[Reference '#]),0),AssetMonthlyReturns[[#This Row],[SPY]:[PE]])</f>
        <v>1.258051376599275E-2</v>
      </c>
      <c r="IN22" s="27">
        <f>IF(ISNUMBER(IN21),IN21*(1+PortfolioFrontier[[#This Row],[P62 Return]]),1+PortfolioFrontier[[#This Row],[P62 Return]])</f>
        <v>1.1086718883728677</v>
      </c>
      <c r="IO22" s="27">
        <f>MAX(IO21,PortfolioFrontier[[#This Row],[P62 Growth]])</f>
        <v>1.1086718883728677</v>
      </c>
      <c r="IP22" s="27">
        <f>PortfolioFrontier[[#This Row],[P62 Growth]]/PortfolioFrontier[[#This Row],[P62 HWM]]-1</f>
        <v>0</v>
      </c>
      <c r="IQ22" s="28">
        <f>SUMPRODUCT(INDEX(PortfolioRef[[SPY]:[PE]],MATCH(IQ$1,PortfolioRef[Reference '#]),0),AssetMonthlyReturns[[#This Row],[SPY]:[PE]])</f>
        <v>1.3734473228975863E-2</v>
      </c>
      <c r="IR22" s="27">
        <f>IF(ISNUMBER(IR21),IR21*(1+PortfolioFrontier[[#This Row],[P63 Return]]),1+PortfolioFrontier[[#This Row],[P63 Return]])</f>
        <v>1.1147250965706337</v>
      </c>
      <c r="IS22" s="27">
        <f>MAX(IS21,PortfolioFrontier[[#This Row],[P63 Growth]])</f>
        <v>1.1147250965706337</v>
      </c>
      <c r="IT22" s="27">
        <f>PortfolioFrontier[[#This Row],[P63 Growth]]/PortfolioFrontier[[#This Row],[P63 HWM]]-1</f>
        <v>0</v>
      </c>
      <c r="IU22" s="28">
        <f>SUMPRODUCT(INDEX(PortfolioRef[[SPY]:[PE]],MATCH(IU$1,PortfolioRef[Reference '#]),0),AssetMonthlyReturns[[#This Row],[SPY]:[PE]])</f>
        <v>1.2769869966164669E-2</v>
      </c>
      <c r="IV22" s="27">
        <f>IF(ISNUMBER(IV21),IV21*(1+PortfolioFrontier[[#This Row],[P64 Return]]),1+PortfolioFrontier[[#This Row],[P64 Return]])</f>
        <v>1.1104904708517294</v>
      </c>
      <c r="IW22" s="27">
        <f>MAX(IW21,PortfolioFrontier[[#This Row],[P64 Growth]])</f>
        <v>1.1104904708517294</v>
      </c>
      <c r="IX22" s="27">
        <f>PortfolioFrontier[[#This Row],[P64 Growth]]/PortfolioFrontier[[#This Row],[P64 HWM]]-1</f>
        <v>0</v>
      </c>
      <c r="IY22" s="28">
        <f>SUMPRODUCT(INDEX(PortfolioRef[[SPY]:[PE]],MATCH(IY$1,PortfolioRef[Reference '#]),0),AssetMonthlyReturns[[#This Row],[SPY]:[PE]])</f>
        <v>1.2833406353504873E-2</v>
      </c>
      <c r="IZ22" s="27">
        <f>IF(ISNUMBER(IZ21),IZ21*(1+PortfolioFrontier[[#This Row],[P65 Return]]),1+PortfolioFrontier[[#This Row],[P65 Return]])</f>
        <v>1.1067800052825816</v>
      </c>
      <c r="JA22" s="27">
        <f>MAX(JA21,PortfolioFrontier[[#This Row],[P65 Growth]])</f>
        <v>1.1067800052825816</v>
      </c>
      <c r="JB22" s="27">
        <f>PortfolioFrontier[[#This Row],[P65 Growth]]/PortfolioFrontier[[#This Row],[P65 HWM]]-1</f>
        <v>0</v>
      </c>
      <c r="JC22" s="28">
        <f>SUMPRODUCT(INDEX(PortfolioRef[[SPY]:[PE]],MATCH(JC$1,PortfolioRef[Reference '#]),0),AssetMonthlyReturns[[#This Row],[SPY]:[PE]])</f>
        <v>1.3987365816487983E-2</v>
      </c>
      <c r="JD22" s="27">
        <f>IF(ISNUMBER(JD21),JD21*(1+PortfolioFrontier[[#This Row],[P66 Return]]),1+PortfolioFrontier[[#This Row],[P66 Return]])</f>
        <v>1.1128656299401443</v>
      </c>
      <c r="JE22" s="27">
        <f>MAX(JE21,PortfolioFrontier[[#This Row],[P66 Growth]])</f>
        <v>1.1128656299401443</v>
      </c>
      <c r="JF22" s="27">
        <f>PortfolioFrontier[[#This Row],[P66 Growth]]/PortfolioFrontier[[#This Row],[P66 HWM]]-1</f>
        <v>0</v>
      </c>
      <c r="JG22" s="28">
        <f>SUMPRODUCT(INDEX(PortfolioRef[[SPY]:[PE]],MATCH(JG$1,PortfolioRef[Reference '#]),0),AssetMonthlyReturns[[#This Row],[SPY]:[PE]])</f>
        <v>1.302276255367679E-2</v>
      </c>
      <c r="JH22" s="27">
        <f>IF(ISNUMBER(JH21),JH21*(1+PortfolioFrontier[[#This Row],[P67 Return]]),1+PortfolioFrontier[[#This Row],[P67 Return]])</f>
        <v>1.1086689301660586</v>
      </c>
      <c r="JI22" s="27">
        <f>MAX(JI21,PortfolioFrontier[[#This Row],[P67 Growth]])</f>
        <v>1.1086689301660586</v>
      </c>
      <c r="JJ22" s="27">
        <f>PortfolioFrontier[[#This Row],[P67 Growth]]/PortfolioFrontier[[#This Row],[P67 HWM]]-1</f>
        <v>0</v>
      </c>
      <c r="JK22" s="28">
        <f>SUMPRODUCT(INDEX(PortfolioRef[[SPY]:[PE]],MATCH(JK$1,PortfolioRef[Reference '#]),0),AssetMonthlyReturns[[#This Row],[SPY]:[PE]])</f>
        <v>1.5141325279471096E-2</v>
      </c>
      <c r="JL22" s="27">
        <f>IF(ISNUMBER(JL21),JL21*(1+PortfolioFrontier[[#This Row],[P68 Return]]),1+PortfolioFrontier[[#This Row],[P68 Return]])</f>
        <v>1.1189196037464535</v>
      </c>
      <c r="JM22" s="27">
        <f>MAX(JM21,PortfolioFrontier[[#This Row],[P68 Growth]])</f>
        <v>1.1189196037464535</v>
      </c>
      <c r="JN22" s="27">
        <f>PortfolioFrontier[[#This Row],[P68 Growth]]/PortfolioFrontier[[#This Row],[P68 HWM]]-1</f>
        <v>0</v>
      </c>
      <c r="JO22" s="28">
        <f>SUMPRODUCT(INDEX(PortfolioRef[[SPY]:[PE]],MATCH(JO$1,PortfolioRef[Reference '#]),0),AssetMonthlyReturns[[#This Row],[SPY]:[PE]])</f>
        <v>1.4176722016659902E-2</v>
      </c>
      <c r="JP22" s="27">
        <f>IF(ISNUMBER(JP21),JP21*(1+PortfolioFrontier[[#This Row],[P69 Return]]),1+PortfolioFrontier[[#This Row],[P69 Return]])</f>
        <v>1.1147051778167667</v>
      </c>
      <c r="JQ22" s="27">
        <f>MAX(JQ21,PortfolioFrontier[[#This Row],[P69 Growth]])</f>
        <v>1.1147051778167667</v>
      </c>
      <c r="JR22" s="27">
        <f>PortfolioFrontier[[#This Row],[P69 Growth]]/PortfolioFrontier[[#This Row],[P69 HWM]]-1</f>
        <v>0</v>
      </c>
      <c r="JS22" s="28">
        <f>SUMPRODUCT(INDEX(PortfolioRef[[SPY]:[PE]],MATCH(JS$1,PortfolioRef[Reference '#]),0),AssetMonthlyReturns[[#This Row],[SPY]:[PE]])</f>
        <v>1.3212118753848711E-2</v>
      </c>
      <c r="JT22" s="27">
        <f>IF(ISNUMBER(JT21),JT21*(1+PortfolioFrontier[[#This Row],[P70 Return]]),1+PortfolioFrontier[[#This Row],[P70 Return]])</f>
        <v>1.110444237214733</v>
      </c>
      <c r="JU22" s="27">
        <f>MAX(JU21,PortfolioFrontier[[#This Row],[P70 Growth]])</f>
        <v>1.110444237214733</v>
      </c>
      <c r="JV22" s="27">
        <f>PortfolioFrontier[[#This Row],[P70 Growth]]/PortfolioFrontier[[#This Row],[P70 HWM]]-1</f>
        <v>0</v>
      </c>
      <c r="JW22" s="28">
        <f>SUMPRODUCT(INDEX(PortfolioRef[[SPY]:[PE]],MATCH(JW$1,PortfolioRef[Reference '#]),0),AssetMonthlyReturns[[#This Row],[SPY]:[PE]])</f>
        <v>1.4240258404000106E-2</v>
      </c>
      <c r="JX22" s="27">
        <f>IF(ISNUMBER(JX21),JX21*(1+PortfolioFrontier[[#This Row],[P71 Return]]),1+PortfolioFrontier[[#This Row],[P71 Return]])</f>
        <v>1.1109543153889418</v>
      </c>
      <c r="JY22" s="27">
        <f>MAX(JY21,PortfolioFrontier[[#This Row],[P71 Growth]])</f>
        <v>1.1109543153889418</v>
      </c>
      <c r="JZ22" s="27">
        <f>PortfolioFrontier[[#This Row],[P71 Growth]]/PortfolioFrontier[[#This Row],[P71 HWM]]-1</f>
        <v>0</v>
      </c>
      <c r="KA22" s="28">
        <f>SUMPRODUCT(INDEX(PortfolioRef[[SPY]:[PE]],MATCH(KA$1,PortfolioRef[Reference '#]),0),AssetMonthlyReturns[[#This Row],[SPY]:[PE]])</f>
        <v>1.3275655141188912E-2</v>
      </c>
      <c r="KB22" s="27">
        <f>IF(ISNUMBER(KB21),KB21*(1+PortfolioFrontier[[#This Row],[P72 Return]]),1+PortfolioFrontier[[#This Row],[P72 Return]])</f>
        <v>1.1067955527174198</v>
      </c>
      <c r="KC22" s="27">
        <f>MAX(KC21,PortfolioFrontier[[#This Row],[P72 Growth]])</f>
        <v>1.1067955527174198</v>
      </c>
      <c r="KD22" s="27">
        <f>PortfolioFrontier[[#This Row],[P72 Growth]]/PortfolioFrontier[[#This Row],[P72 HWM]]-1</f>
        <v>0</v>
      </c>
      <c r="KE22" s="28">
        <f>SUMPRODUCT(INDEX(PortfolioRef[[SPY]:[PE]],MATCH(KE$1,PortfolioRef[Reference '#]),0),AssetMonthlyReturns[[#This Row],[SPY]:[PE]])</f>
        <v>1.5394217866983216E-2</v>
      </c>
      <c r="KF22" s="27">
        <f>IF(ISNUMBER(KF21),KF21*(1+PortfolioFrontier[[#This Row],[P73 Return]]),1+PortfolioFrontier[[#This Row],[P73 Return]])</f>
        <v>1.1170407249797114</v>
      </c>
      <c r="KG22" s="27">
        <f>MAX(KG21,PortfolioFrontier[[#This Row],[P73 Growth]])</f>
        <v>1.1170407249797114</v>
      </c>
      <c r="KH22" s="27">
        <f>PortfolioFrontier[[#This Row],[P73 Growth]]/PortfolioFrontier[[#This Row],[P73 HWM]]-1</f>
        <v>0</v>
      </c>
      <c r="KI22" s="28">
        <f>SUMPRODUCT(INDEX(PortfolioRef[[SPY]:[PE]],MATCH(KI$1,PortfolioRef[Reference '#]),0),AssetMonthlyReturns[[#This Row],[SPY]:[PE]])</f>
        <v>1.4429614604172022E-2</v>
      </c>
      <c r="KJ22" s="27">
        <f>IF(ISNUMBER(KJ21),KJ21*(1+PortfolioFrontier[[#This Row],[P74 Return]]),1+PortfolioFrontier[[#This Row],[P74 Return]])</f>
        <v>1.1128643384393222</v>
      </c>
      <c r="KK22" s="27">
        <f>MAX(KK21,PortfolioFrontier[[#This Row],[P74 Growth]])</f>
        <v>1.1128643384393222</v>
      </c>
      <c r="KL22" s="27">
        <f>PortfolioFrontier[[#This Row],[P74 Growth]]/PortfolioFrontier[[#This Row],[P74 HWM]]-1</f>
        <v>0</v>
      </c>
      <c r="KM22" s="28">
        <f>SUMPRODUCT(INDEX(PortfolioRef[[SPY]:[PE]],MATCH(KM$1,PortfolioRef[Reference '#]),0),AssetMonthlyReturns[[#This Row],[SPY]:[PE]])</f>
        <v>1.3465011341360831E-2</v>
      </c>
      <c r="KN22" s="27">
        <f>IF(ISNUMBER(KN21),KN21*(1+PortfolioFrontier[[#This Row],[P75 Return]]),1+PortfolioFrontier[[#This Row],[P75 Return]])</f>
        <v>1.1086412965783869</v>
      </c>
      <c r="KO22" s="27">
        <f>MAX(KO21,PortfolioFrontier[[#This Row],[P75 Growth]])</f>
        <v>1.1086412965783869</v>
      </c>
      <c r="KP22" s="27">
        <f>PortfolioFrontier[[#This Row],[P75 Growth]]/PortfolioFrontier[[#This Row],[P75 HWM]]-1</f>
        <v>0</v>
      </c>
      <c r="KQ22" s="28">
        <f>SUMPRODUCT(INDEX(PortfolioRef[[SPY]:[PE]],MATCH(KQ$1,PortfolioRef[Reference '#]),0),AssetMonthlyReturns[[#This Row],[SPY]:[PE]])</f>
        <v>1.6548177329966329E-2</v>
      </c>
      <c r="KR22" s="27">
        <f>IF(ISNUMBER(KR21),KR21*(1+PortfolioFrontier[[#This Row],[P76 Return]]),1+PortfolioFrontier[[#This Row],[P76 Return]])</f>
        <v>1.123095200963842</v>
      </c>
      <c r="KS22" s="27">
        <f>MAX(KS21,PortfolioFrontier[[#This Row],[P76 Growth]])</f>
        <v>1.123095200963842</v>
      </c>
      <c r="KT22" s="27">
        <f>PortfolioFrontier[[#This Row],[P76 Growth]]/PortfolioFrontier[[#This Row],[P76 HWM]]-1</f>
        <v>0</v>
      </c>
      <c r="KU22" s="28">
        <f>SUMPRODUCT(INDEX(PortfolioRef[[SPY]:[PE]],MATCH(KU$1,PortfolioRef[Reference '#]),0),AssetMonthlyReturns[[#This Row],[SPY]:[PE]])</f>
        <v>1.5583574067155135E-2</v>
      </c>
      <c r="KV22" s="27">
        <f>IF(ISNUMBER(KV21),KV21*(1+PortfolioFrontier[[#This Row],[P77 Return]]),1+PortfolioFrontier[[#This Row],[P77 Return]])</f>
        <v>1.118901313624558</v>
      </c>
      <c r="KW22" s="27">
        <f>MAX(KW21,PortfolioFrontier[[#This Row],[P77 Growth]])</f>
        <v>1.118901313624558</v>
      </c>
      <c r="KX22" s="27">
        <f>PortfolioFrontier[[#This Row],[P77 Growth]]/PortfolioFrontier[[#This Row],[P77 HWM]]-1</f>
        <v>0</v>
      </c>
      <c r="KY22" s="28">
        <f>SUMPRODUCT(INDEX(PortfolioRef[[SPY]:[PE]],MATCH(KY$1,PortfolioRef[Reference '#]),0),AssetMonthlyReturns[[#This Row],[SPY]:[PE]])</f>
        <v>1.4618970804343942E-2</v>
      </c>
      <c r="KZ22" s="27">
        <f>IF(ISNUMBER(KZ21),KZ21*(1+PortfolioFrontier[[#This Row],[P78 Return]]),1+PortfolioFrontier[[#This Row],[P78 Return]])</f>
        <v>1.1146604548893724</v>
      </c>
      <c r="LA22" s="27">
        <f>MAX(LA21,PortfolioFrontier[[#This Row],[P78 Growth]])</f>
        <v>1.1146604548893724</v>
      </c>
      <c r="LB22" s="27">
        <f>PortfolioFrontier[[#This Row],[P78 Growth]]/PortfolioFrontier[[#This Row],[P78 HWM]]-1</f>
        <v>0</v>
      </c>
      <c r="LC22" s="28">
        <f>SUMPRODUCT(INDEX(PortfolioRef[[SPY]:[PE]],MATCH(LC$1,PortfolioRef[Reference '#]),0),AssetMonthlyReturns[[#This Row],[SPY]:[PE]])</f>
        <v>1.5647110454495339E-2</v>
      </c>
      <c r="LD22" s="27">
        <f>IF(ISNUMBER(LD21),LD21*(1+PortfolioFrontier[[#This Row],[P79 Return]]),1+PortfolioFrontier[[#This Row],[P79 Return]])</f>
        <v>1.1151099316844657</v>
      </c>
      <c r="LE22" s="27">
        <f>MAX(LE21,PortfolioFrontier[[#This Row],[P79 Growth]])</f>
        <v>1.1151099316844657</v>
      </c>
      <c r="LF22" s="27">
        <f>PortfolioFrontier[[#This Row],[P79 Growth]]/PortfolioFrontier[[#This Row],[P79 HWM]]-1</f>
        <v>0</v>
      </c>
      <c r="LG22" s="28">
        <f>SUMPRODUCT(INDEX(PortfolioRef[[SPY]:[PE]],MATCH(LG$1,PortfolioRef[Reference '#]),0),AssetMonthlyReturns[[#This Row],[SPY]:[PE]])</f>
        <v>1.4682507191684145E-2</v>
      </c>
      <c r="LH22" s="27">
        <f>IF(ISNUMBER(LH21),LH21*(1+PortfolioFrontier[[#This Row],[P80 Return]]),1+PortfolioFrontier[[#This Row],[P80 Return]])</f>
        <v>1.1109715936733926</v>
      </c>
      <c r="LI22" s="27">
        <f>MAX(LI21,PortfolioFrontier[[#This Row],[P80 Growth]])</f>
        <v>1.1109715936733926</v>
      </c>
      <c r="LJ22" s="27">
        <f>PortfolioFrontier[[#This Row],[P80 Growth]]/PortfolioFrontier[[#This Row],[P80 HWM]]-1</f>
        <v>0</v>
      </c>
      <c r="LK22" s="28">
        <f>SUMPRODUCT(INDEX(PortfolioRef[[SPY]:[PE]],MATCH(LK$1,PortfolioRef[Reference '#]),0),AssetMonthlyReturns[[#This Row],[SPY]:[PE]])</f>
        <v>1.3717903928872953E-2</v>
      </c>
      <c r="LL22" s="27">
        <f>IF(ISNUMBER(LL21),LL21*(1+PortfolioFrontier[[#This Row],[P81 Return]]),1+PortfolioFrontier[[#This Row],[P81 Return]])</f>
        <v>1.1067864637011584</v>
      </c>
      <c r="LM22" s="27">
        <f>MAX(LM21,PortfolioFrontier[[#This Row],[P81 Growth]])</f>
        <v>1.1067864637011584</v>
      </c>
      <c r="LN22" s="27">
        <f>PortfolioFrontier[[#This Row],[P81 Growth]]/PortfolioFrontier[[#This Row],[P81 HWM]]-1</f>
        <v>0</v>
      </c>
      <c r="LO22" s="28">
        <f>SUMPRODUCT(INDEX(PortfolioRef[[SPY]:[PE]],MATCH(LO$1,PortfolioRef[Reference '#]),0),AssetMonthlyReturns[[#This Row],[SPY]:[PE]])</f>
        <v>1.6801069917478449E-2</v>
      </c>
      <c r="LP22" s="27">
        <f>IF(ISNUMBER(LP21),LP21*(1+PortfolioFrontier[[#This Row],[P82 Return]]),1+PortfolioFrontier[[#This Row],[P82 Return]])</f>
        <v>1.1211968622277515</v>
      </c>
      <c r="LQ22" s="27">
        <f>MAX(LQ21,PortfolioFrontier[[#This Row],[P82 Growth]])</f>
        <v>1.1211968622277515</v>
      </c>
      <c r="LR22" s="27">
        <f>PortfolioFrontier[[#This Row],[P82 Growth]]/PortfolioFrontier[[#This Row],[P82 HWM]]-1</f>
        <v>0</v>
      </c>
      <c r="LS22" s="28">
        <f>SUMPRODUCT(INDEX(PortfolioRef[[SPY]:[PE]],MATCH(LS$1,PortfolioRef[Reference '#]),0),AssetMonthlyReturns[[#This Row],[SPY]:[PE]])</f>
        <v>1.5836466654667255E-2</v>
      </c>
      <c r="LT22" s="27">
        <f>IF(ISNUMBER(LT21),LT21*(1+PortfolioFrontier[[#This Row],[P83 Return]]),1+PortfolioFrontier[[#This Row],[P83 Return]])</f>
        <v>1.1170411265415214</v>
      </c>
      <c r="LU22" s="27">
        <f>MAX(LU21,PortfolioFrontier[[#This Row],[P83 Growth]])</f>
        <v>1.1170411265415214</v>
      </c>
      <c r="LV22" s="27">
        <f>PortfolioFrontier[[#This Row],[P83 Growth]]/PortfolioFrontier[[#This Row],[P83 HWM]]-1</f>
        <v>0</v>
      </c>
      <c r="LW22" s="28">
        <f>SUMPRODUCT(INDEX(PortfolioRef[[SPY]:[PE]],MATCH(LW$1,PortfolioRef[Reference '#]),0),AssetMonthlyReturns[[#This Row],[SPY]:[PE]])</f>
        <v>1.4871863391856062E-2</v>
      </c>
      <c r="LX22" s="27">
        <f>IF(ISNUMBER(LX21),LX21*(1+PortfolioFrontier[[#This Row],[P84 Return]]),1+PortfolioFrontier[[#This Row],[P84 Return]])</f>
        <v>1.1128382805589125</v>
      </c>
      <c r="LY22" s="27">
        <f>MAX(LY21,PortfolioFrontier[[#This Row],[P84 Growth]])</f>
        <v>1.1128382805589125</v>
      </c>
      <c r="LZ22" s="27">
        <f>PortfolioFrontier[[#This Row],[P84 Growth]]/PortfolioFrontier[[#This Row],[P84 HWM]]-1</f>
        <v>0</v>
      </c>
      <c r="MA22" s="28">
        <f>SUMPRODUCT(INDEX(PortfolioRef[[SPY]:[PE]],MATCH(MA$1,PortfolioRef[Reference '#]),0),AssetMonthlyReturns[[#This Row],[SPY]:[PE]])</f>
        <v>1.7955029380461559E-2</v>
      </c>
      <c r="MB22" s="27">
        <f>IF(ISNUMBER(MB21),MB21*(1+PortfolioFrontier[[#This Row],[P85 Return]]),1+PortfolioFrontier[[#This Row],[P85 Return]])</f>
        <v>1.1272515761474375</v>
      </c>
      <c r="MC22" s="27">
        <f>MAX(MC21,PortfolioFrontier[[#This Row],[P85 Growth]])</f>
        <v>1.1272515761474375</v>
      </c>
      <c r="MD22" s="27">
        <f>PortfolioFrontier[[#This Row],[P85 Growth]]/PortfolioFrontier[[#This Row],[P85 HWM]]-1</f>
        <v>0</v>
      </c>
      <c r="ME22" s="28">
        <f>SUMPRODUCT(INDEX(PortfolioRef[[SPY]:[PE]],MATCH(ME$1,PortfolioRef[Reference '#]),0),AssetMonthlyReturns[[#This Row],[SPY]:[PE]])</f>
        <v>1.6990426117650368E-2</v>
      </c>
      <c r="MF22" s="27">
        <f>IF(ISNUMBER(MF21),MF21*(1+PortfolioFrontier[[#This Row],[P86 Return]]),1+PortfolioFrontier[[#This Row],[P86 Return]])</f>
        <v>1.1230785661999856</v>
      </c>
      <c r="MG22" s="27">
        <f>MAX(MG21,PortfolioFrontier[[#This Row],[P86 Growth]])</f>
        <v>1.1230785661999856</v>
      </c>
      <c r="MH22" s="27">
        <f>PortfolioFrontier[[#This Row],[P86 Growth]]/PortfolioFrontier[[#This Row],[P86 HWM]]-1</f>
        <v>0</v>
      </c>
      <c r="MI22" s="28">
        <f>SUMPRODUCT(INDEX(PortfolioRef[[SPY]:[PE]],MATCH(MI$1,PortfolioRef[Reference '#]),0),AssetMonthlyReturns[[#This Row],[SPY]:[PE]])</f>
        <v>1.6025822854839177E-2</v>
      </c>
      <c r="MJ22" s="27">
        <f>IF(ISNUMBER(MJ21),MJ21*(1+PortfolioFrontier[[#This Row],[P87 Return]]),1+PortfolioFrontier[[#This Row],[P87 Return]])</f>
        <v>1.1188581281565797</v>
      </c>
      <c r="MK22" s="27">
        <f>MAX(MK21,PortfolioFrontier[[#This Row],[P87 Growth]])</f>
        <v>1.1188581281565797</v>
      </c>
      <c r="ML22" s="27">
        <f>PortfolioFrontier[[#This Row],[P87 Growth]]/PortfolioFrontier[[#This Row],[P87 HWM]]-1</f>
        <v>0</v>
      </c>
      <c r="MM22" s="28">
        <f>SUMPRODUCT(INDEX(PortfolioRef[[SPY]:[PE]],MATCH(MM$1,PortfolioRef[Reference '#]),0),AssetMonthlyReturns[[#This Row],[SPY]:[PE]])</f>
        <v>1.7053962504990573E-2</v>
      </c>
      <c r="MN22" s="27">
        <f>IF(ISNUMBER(MN21),MN21*(1+PortfolioFrontier[[#This Row],[P88 Return]]),1+PortfolioFrontier[[#This Row],[P88 Return]])</f>
        <v>1.1192465438494434</v>
      </c>
      <c r="MO22" s="27">
        <f>MAX(MO21,PortfolioFrontier[[#This Row],[P88 Growth]])</f>
        <v>1.1192465438494434</v>
      </c>
      <c r="MP22" s="27">
        <f>PortfolioFrontier[[#This Row],[P88 Growth]]/PortfolioFrontier[[#This Row],[P88 HWM]]-1</f>
        <v>0</v>
      </c>
      <c r="MQ22" s="28">
        <f>SUMPRODUCT(INDEX(PortfolioRef[[SPY]:[PE]],MATCH(MQ$1,PortfolioRef[Reference '#]),0),AssetMonthlyReturns[[#This Row],[SPY]:[PE]])</f>
        <v>1.6089359242179378E-2</v>
      </c>
      <c r="MR22" s="27">
        <f>IF(ISNUMBER(MR21),MR21*(1+PortfolioFrontier[[#This Row],[P89 Return]]),1+PortfolioFrontier[[#This Row],[P89 Return]])</f>
        <v>1.1151289669291438</v>
      </c>
      <c r="MS22" s="27">
        <f>MAX(MS21,PortfolioFrontier[[#This Row],[P89 Growth]])</f>
        <v>1.1151289669291438</v>
      </c>
      <c r="MT22" s="27">
        <f>PortfolioFrontier[[#This Row],[P89 Growth]]/PortfolioFrontier[[#This Row],[P89 HWM]]-1</f>
        <v>0</v>
      </c>
      <c r="MU22" s="28">
        <f>SUMPRODUCT(INDEX(PortfolioRef[[SPY]:[PE]],MATCH(MU$1,PortfolioRef[Reference '#]),0),AssetMonthlyReturns[[#This Row],[SPY]:[PE]])</f>
        <v>1.5124755979368186E-2</v>
      </c>
      <c r="MV22" s="27">
        <f>IF(ISNUMBER(MV21),MV21*(1+PortfolioFrontier[[#This Row],[P90 Return]]),1+PortfolioFrontier[[#This Row],[P90 Return]])</f>
        <v>1.110964144834619</v>
      </c>
      <c r="MW22" s="27">
        <f>MAX(MW21,PortfolioFrontier[[#This Row],[P90 Growth]])</f>
        <v>1.110964144834619</v>
      </c>
      <c r="MX22" s="27">
        <f>PortfolioFrontier[[#This Row],[P90 Growth]]/PortfolioFrontier[[#This Row],[P90 HWM]]-1</f>
        <v>0</v>
      </c>
      <c r="MY22" s="28">
        <f>SUMPRODUCT(INDEX(PortfolioRef[[SPY]:[PE]],MATCH(MY$1,PortfolioRef[Reference '#]),0),AssetMonthlyReturns[[#This Row],[SPY]:[PE]])</f>
        <v>1.8207921967973682E-2</v>
      </c>
      <c r="MZ22" s="27">
        <f>IF(ISNUMBER(MZ21),MZ21*(1+PortfolioFrontier[[#This Row],[P91 Return]]),1+PortfolioFrontier[[#This Row],[P91 Return]])</f>
        <v>1.1253337305536864</v>
      </c>
      <c r="NA22" s="27">
        <f>MAX(NA21,PortfolioFrontier[[#This Row],[P91 Growth]])</f>
        <v>1.1253337305536864</v>
      </c>
      <c r="NB22" s="27">
        <f>PortfolioFrontier[[#This Row],[P91 Growth]]/PortfolioFrontier[[#This Row],[P91 HWM]]-1</f>
        <v>0</v>
      </c>
      <c r="NC22" s="28">
        <f>SUMPRODUCT(INDEX(PortfolioRef[[SPY]:[PE]],MATCH(NC$1,PortfolioRef[Reference '#]),0),AssetMonthlyReturns[[#This Row],[SPY]:[PE]])</f>
        <v>1.7243318705162488E-2</v>
      </c>
      <c r="ND22" s="27">
        <f>IF(ISNUMBER(ND21),ND21*(1+PortfolioFrontier[[#This Row],[P92 Return]]),1+PortfolioFrontier[[#This Row],[P92 Return]])</f>
        <v>1.1211989833305536</v>
      </c>
      <c r="NE22" s="27">
        <f>MAX(NE21,PortfolioFrontier[[#This Row],[P92 Growth]])</f>
        <v>1.1211989833305536</v>
      </c>
      <c r="NF22" s="27">
        <f>PortfolioFrontier[[#This Row],[P92 Growth]]/PortfolioFrontier[[#This Row],[P92 HWM]]-1</f>
        <v>0</v>
      </c>
      <c r="NG22" s="28">
        <f>SUMPRODUCT(INDEX(PortfolioRef[[SPY]:[PE]],MATCH(NG$1,PortfolioRef[Reference '#]),0),AssetMonthlyReturns[[#This Row],[SPY]:[PE]])</f>
        <v>1.6278715442351301E-2</v>
      </c>
      <c r="NH22" s="27">
        <f>IF(ISNUMBER(NH21),NH21*(1+PortfolioFrontier[[#This Row],[P93 Return]]),1+PortfolioFrontier[[#This Row],[P93 Return]])</f>
        <v>1.1170166708761522</v>
      </c>
      <c r="NI22" s="27">
        <f>MAX(NI21,PortfolioFrontier[[#This Row],[P93 Growth]])</f>
        <v>1.1170166708761522</v>
      </c>
      <c r="NJ22" s="27">
        <f>PortfolioFrontier[[#This Row],[P93 Growth]]/PortfolioFrontier[[#This Row],[P93 HWM]]-1</f>
        <v>0</v>
      </c>
      <c r="NK22" s="28">
        <f>SUMPRODUCT(INDEX(PortfolioRef[[SPY]:[PE]],MATCH(NK$1,PortfolioRef[Reference '#]),0),AssetMonthlyReturns[[#This Row],[SPY]:[PE]])</f>
        <v>1.9361881430956795E-2</v>
      </c>
      <c r="NL22" s="27">
        <f>IF(ISNUMBER(NL21),NL21*(1+PortfolioFrontier[[#This Row],[P94 Return]]),1+PortfolioFrontier[[#This Row],[P94 Return]])</f>
        <v>1.1313884173757336</v>
      </c>
      <c r="NM22" s="27">
        <f>MAX(NM21,PortfolioFrontier[[#This Row],[P94 Growth]])</f>
        <v>1.1313884173757336</v>
      </c>
      <c r="NN22" s="27">
        <f>PortfolioFrontier[[#This Row],[P94 Growth]]/PortfolioFrontier[[#This Row],[P94 HWM]]-1</f>
        <v>0</v>
      </c>
      <c r="NO22" s="28">
        <f>SUMPRODUCT(INDEX(PortfolioRef[[SPY]:[PE]],MATCH(NO$1,PortfolioRef[Reference '#]),0),AssetMonthlyReturns[[#This Row],[SPY]:[PE]])</f>
        <v>1.8397278168145601E-2</v>
      </c>
      <c r="NP22" s="27">
        <f>IF(ISNUMBER(NP21),NP21*(1+PortfolioFrontier[[#This Row],[P95 Return]]),1+PortfolioFrontier[[#This Row],[P95 Return]])</f>
        <v>1.1272366235923006</v>
      </c>
      <c r="NQ22" s="27">
        <f>MAX(NQ21,PortfolioFrontier[[#This Row],[P95 Growth]])</f>
        <v>1.1272366235923006</v>
      </c>
      <c r="NR22" s="27">
        <f>PortfolioFrontier[[#This Row],[P95 Growth]]/PortfolioFrontier[[#This Row],[P95 HWM]]-1</f>
        <v>0</v>
      </c>
      <c r="NS22" s="28">
        <f>SUMPRODUCT(INDEX(PortfolioRef[[SPY]:[PE]],MATCH(NS$1,PortfolioRef[Reference '#]),0),AssetMonthlyReturns[[#This Row],[SPY]:[PE]])</f>
        <v>1.7432674905334414E-2</v>
      </c>
      <c r="NT22" s="27">
        <f>IF(ISNUMBER(NT21),NT21*(1+PortfolioFrontier[[#This Row],[P96 Return]]),1+PortfolioFrontier[[#This Row],[P96 Return]])</f>
        <v>1.1230369450711204</v>
      </c>
      <c r="NU22" s="27">
        <f>MAX(NU21,PortfolioFrontier[[#This Row],[P96 Growth]])</f>
        <v>1.1230369450711204</v>
      </c>
      <c r="NV22" s="27">
        <f>PortfolioFrontier[[#This Row],[P96 Growth]]/PortfolioFrontier[[#This Row],[P96 HWM]]-1</f>
        <v>0</v>
      </c>
      <c r="NW22" s="28">
        <f>SUMPRODUCT(INDEX(PortfolioRef[[SPY]:[PE]],MATCH(NW$1,PortfolioRef[Reference '#]),0),AssetMonthlyReturns[[#This Row],[SPY]:[PE]])</f>
        <v>1.0724613501153392E-2</v>
      </c>
      <c r="NX22" s="27">
        <f>IF(ISNUMBER(NX21),NX21*(1+PortfolioFrontier[[#This Row],[P97 Return]]),1+PortfolioFrontier[[#This Row],[P97 Return]])</f>
        <v>1.0961102665371771</v>
      </c>
      <c r="NY22" s="27">
        <f>MAX(NY21,PortfolioFrontier[[#This Row],[P97 Growth]])</f>
        <v>1.0961102665371771</v>
      </c>
      <c r="NZ22" s="27">
        <f>PortfolioFrontier[[#This Row],[P97 Growth]]/PortfolioFrontier[[#This Row],[P97 HWM]]-1</f>
        <v>0</v>
      </c>
      <c r="OA22" s="28">
        <f>SUMPRODUCT(INDEX(PortfolioRef[[SPY]:[PE]],MATCH(OA$1,PortfolioRef[Reference '#]),0),AssetMonthlyReturns[[#This Row],[SPY]:[PE]])</f>
        <v>1.0977506088665512E-2</v>
      </c>
      <c r="OB22" s="27">
        <f>IF(ISNUMBER(OB21),OB21*(1+PortfolioFrontier[[#This Row],[P98 Return]]),1+PortfolioFrontier[[#This Row],[P98 Return]])</f>
        <v>1.0942811371596732</v>
      </c>
      <c r="OC22" s="27">
        <f>MAX(OC21,PortfolioFrontier[[#This Row],[P98 Growth]])</f>
        <v>1.0942811371596732</v>
      </c>
      <c r="OD22" s="27">
        <f>PortfolioFrontier[[#This Row],[P98 Growth]]/PortfolioFrontier[[#This Row],[P98 HWM]]-1</f>
        <v>0</v>
      </c>
      <c r="OE22" s="28">
        <f>SUMPRODUCT(INDEX(PortfolioRef[[SPY]:[PE]],MATCH(OE$1,PortfolioRef[Reference '#]),0),AssetMonthlyReturns[[#This Row],[SPY]:[PE]])</f>
        <v>1.2131465551648624E-2</v>
      </c>
      <c r="OF22" s="27">
        <f>IF(ISNUMBER(OF21),OF21*(1+PortfolioFrontier[[#This Row],[P99 Return]]),1+PortfolioFrontier[[#This Row],[P99 Return]])</f>
        <v>1.100281836679379</v>
      </c>
      <c r="OG22" s="27">
        <f>MAX(OG21,PortfolioFrontier[[#This Row],[P99 Growth]])</f>
        <v>1.100281836679379</v>
      </c>
      <c r="OH22" s="27">
        <f>PortfolioFrontier[[#This Row],[P99 Growth]]/PortfolioFrontier[[#This Row],[P99 HWM]]-1</f>
        <v>0</v>
      </c>
      <c r="OI22" s="28">
        <f>SUMPRODUCT(INDEX(PortfolioRef[[SPY]:[PE]],MATCH(OI$1,PortfolioRef[Reference '#]),0),AssetMonthlyReturns[[#This Row],[SPY]:[PE]])</f>
        <v>1.1166862288837431E-2</v>
      </c>
      <c r="OJ22" s="27">
        <f>IF(ISNUMBER(OJ21),OJ21*(1+PortfolioFrontier[[#This Row],[P100 Return]]),1+PortfolioFrontier[[#This Row],[P100 Return]])</f>
        <v>1.0960960545525313</v>
      </c>
      <c r="OK22" s="27">
        <f>MAX(OK21,PortfolioFrontier[[#This Row],[P100 Growth]])</f>
        <v>1.0960960545525313</v>
      </c>
      <c r="OL22" s="27">
        <f>PortfolioFrontier[[#This Row],[P100 Growth]]/PortfolioFrontier[[#This Row],[P100 HWM]]-1</f>
        <v>0</v>
      </c>
      <c r="OM22" s="28">
        <f>SUMPRODUCT(INDEX(PortfolioRef[[SPY]:[PE]],MATCH(OM$1,PortfolioRef[Reference '#]),0),AssetMonthlyReturns[[#This Row],[SPY]:[PE]])</f>
        <v>1.1230398676177634E-2</v>
      </c>
      <c r="ON22" s="27">
        <f>IF(ISNUMBER(ON21),ON21*(1+PortfolioFrontier[[#This Row],[P101 Return]]),1+PortfolioFrontier[[#This Row],[P101 Return]])</f>
        <v>1.0924008660433813</v>
      </c>
      <c r="OO22" s="27">
        <f>MAX(OO21,PortfolioFrontier[[#This Row],[P101 Growth]])</f>
        <v>1.0924008660433813</v>
      </c>
      <c r="OP22" s="27">
        <f>PortfolioFrontier[[#This Row],[P101 Growth]]/PortfolioFrontier[[#This Row],[P101 HWM]]-1</f>
        <v>0</v>
      </c>
      <c r="OQ22" s="28">
        <f>SUMPRODUCT(INDEX(PortfolioRef[[SPY]:[PE]],MATCH(OQ$1,PortfolioRef[Reference '#]),0),AssetMonthlyReturns[[#This Row],[SPY]:[PE]])</f>
        <v>1.2384358139160744E-2</v>
      </c>
      <c r="OR22" s="27">
        <f>IF(ISNUMBER(OR21),OR21*(1+PortfolioFrontier[[#This Row],[P102 Return]]),1+PortfolioFrontier[[#This Row],[P102 Return]])</f>
        <v>1.0984335352572303</v>
      </c>
      <c r="OS22" s="27">
        <f>MAX(OS21,PortfolioFrontier[[#This Row],[P102 Growth]])</f>
        <v>1.0984335352572303</v>
      </c>
      <c r="OT22" s="27">
        <f>PortfolioFrontier[[#This Row],[P102 Growth]]/PortfolioFrontier[[#This Row],[P102 HWM]]-1</f>
        <v>0</v>
      </c>
      <c r="OU22" s="28">
        <f>SUMPRODUCT(INDEX(PortfolioRef[[SPY]:[PE]],MATCH(OU$1,PortfolioRef[Reference '#]),0),AssetMonthlyReturns[[#This Row],[SPY]:[PE]])</f>
        <v>1.1419754876349551E-2</v>
      </c>
      <c r="OV22" s="27">
        <f>IF(ISNUMBER(OV21),OV21*(1+PortfolioFrontier[[#This Row],[P103 Return]]),1+PortfolioFrontier[[#This Row],[P103 Return]])</f>
        <v>1.0942852619267212</v>
      </c>
      <c r="OW22" s="27">
        <f>MAX(OW21,PortfolioFrontier[[#This Row],[P103 Growth]])</f>
        <v>1.0942852619267212</v>
      </c>
      <c r="OX22" s="27">
        <f>PortfolioFrontier[[#This Row],[P103 Growth]]/PortfolioFrontier[[#This Row],[P103 HWM]]-1</f>
        <v>0</v>
      </c>
      <c r="OY22" s="28">
        <f>SUMPRODUCT(INDEX(PortfolioRef[[SPY]:[PE]],MATCH(OY$1,PortfolioRef[Reference '#]),0),AssetMonthlyReturns[[#This Row],[SPY]:[PE]])</f>
        <v>1.3538317602143857E-2</v>
      </c>
      <c r="OZ22" s="27">
        <f>IF(ISNUMBER(OZ21),OZ21*(1+PortfolioFrontier[[#This Row],[P104 Return]]),1+PortfolioFrontier[[#This Row],[P104 Return]])</f>
        <v>1.1044351157081198</v>
      </c>
      <c r="PA22" s="27">
        <f>MAX(PA21,PortfolioFrontier[[#This Row],[P104 Growth]])</f>
        <v>1.1044351157081198</v>
      </c>
      <c r="PB22" s="27">
        <f>PortfolioFrontier[[#This Row],[P104 Growth]]/PortfolioFrontier[[#This Row],[P104 HWM]]-1</f>
        <v>0</v>
      </c>
      <c r="PC22" s="28">
        <f>SUMPRODUCT(INDEX(PortfolioRef[[SPY]:[PE]],MATCH(PC$1,PortfolioRef[Reference '#]),0),AssetMonthlyReturns[[#This Row],[SPY]:[PE]])</f>
        <v>1.2573714339332662E-2</v>
      </c>
      <c r="PD22" s="27">
        <f>IF(ISNUMBER(PD21),PD21*(1+PortfolioFrontier[[#This Row],[P105 Return]]),1+PortfolioFrontier[[#This Row],[P105 Return]])</f>
        <v>1.1002692226879431</v>
      </c>
      <c r="PE22" s="27">
        <f>MAX(PE21,PortfolioFrontier[[#This Row],[P105 Growth]])</f>
        <v>1.1002692226879431</v>
      </c>
      <c r="PF22" s="27">
        <f>PortfolioFrontier[[#This Row],[P105 Growth]]/PortfolioFrontier[[#This Row],[P105 HWM]]-1</f>
        <v>0</v>
      </c>
      <c r="PG22" s="28">
        <f>SUMPRODUCT(INDEX(PortfolioRef[[SPY]:[PE]],MATCH(PG$1,PortfolioRef[Reference '#]),0),AssetMonthlyReturns[[#This Row],[SPY]:[PE]])</f>
        <v>1.1609111076521472E-2</v>
      </c>
      <c r="PH22" s="27">
        <f>IF(ISNUMBER(PH21),PH21*(1+PortfolioFrontier[[#This Row],[P106 Return]]),1+PortfolioFrontier[[#This Row],[P106 Return]])</f>
        <v>1.0960574102772827</v>
      </c>
      <c r="PI22" s="27">
        <f>MAX(PI21,PortfolioFrontier[[#This Row],[P106 Growth]])</f>
        <v>1.0960574102772827</v>
      </c>
      <c r="PJ22" s="27">
        <f>PortfolioFrontier[[#This Row],[P106 Growth]]/PortfolioFrontier[[#This Row],[P106 HWM]]-1</f>
        <v>0</v>
      </c>
      <c r="PK22" s="28">
        <f>SUMPRODUCT(INDEX(PortfolioRef[[SPY]:[PE]],MATCH(PK$1,PortfolioRef[Reference '#]),0),AssetMonthlyReturns[[#This Row],[SPY]:[PE]])</f>
        <v>1.2637250726672867E-2</v>
      </c>
      <c r="PL22" s="27">
        <f>IF(ISNUMBER(PL21),PL21*(1+PortfolioFrontier[[#This Row],[P107 Return]]),1+PortfolioFrontier[[#This Row],[P107 Return]])</f>
        <v>1.0965340244554616</v>
      </c>
      <c r="PM22" s="27">
        <f>MAX(PM21,PortfolioFrontier[[#This Row],[P107 Growth]])</f>
        <v>1.0965340244554616</v>
      </c>
      <c r="PN22" s="27">
        <f>PortfolioFrontier[[#This Row],[P107 Growth]]/PortfolioFrontier[[#This Row],[P107 HWM]]-1</f>
        <v>0</v>
      </c>
      <c r="PO22" s="28">
        <f>SUMPRODUCT(INDEX(PortfolioRef[[SPY]:[PE]],MATCH(PO$1,PortfolioRef[Reference '#]),0),AssetMonthlyReturns[[#This Row],[SPY]:[PE]])</f>
        <v>1.1672647463861673E-2</v>
      </c>
      <c r="PP22" s="27">
        <f>IF(ISNUMBER(PP21),PP21*(1+PortfolioFrontier[[#This Row],[P108 Return]]),1+PortfolioFrontier[[#This Row],[P108 Return]])</f>
        <v>1.0924232707983572</v>
      </c>
      <c r="PQ22" s="27">
        <f>MAX(PQ21,PortfolioFrontier[[#This Row],[P108 Growth]])</f>
        <v>1.0924232707983572</v>
      </c>
      <c r="PR22" s="27">
        <f>PortfolioFrontier[[#This Row],[P108 Growth]]/PortfolioFrontier[[#This Row],[P108 HWM]]-1</f>
        <v>0</v>
      </c>
      <c r="PS22" s="28">
        <f>SUMPRODUCT(INDEX(PortfolioRef[[SPY]:[PE]],MATCH(PS$1,PortfolioRef[Reference '#]),0),AssetMonthlyReturns[[#This Row],[SPY]:[PE]])</f>
        <v>1.3791210189655978E-2</v>
      </c>
      <c r="PT22" s="27">
        <f>IF(ISNUMBER(PT21),PT21*(1+PortfolioFrontier[[#This Row],[P109 Return]]),1+PortfolioFrontier[[#This Row],[P109 Return]])</f>
        <v>1.1025675939609378</v>
      </c>
      <c r="PU22" s="27">
        <f>MAX(PU21,PortfolioFrontier[[#This Row],[P109 Growth]])</f>
        <v>1.1025675939609378</v>
      </c>
      <c r="PV22" s="27">
        <f>PortfolioFrontier[[#This Row],[P109 Growth]]/PortfolioFrontier[[#This Row],[P109 HWM]]-1</f>
        <v>0</v>
      </c>
      <c r="PW22" s="28">
        <f>SUMPRODUCT(INDEX(PortfolioRef[[SPY]:[PE]],MATCH(PW$1,PortfolioRef[Reference '#]),0),AssetMonthlyReturns[[#This Row],[SPY]:[PE]])</f>
        <v>1.2826606926844784E-2</v>
      </c>
      <c r="PX22" s="27">
        <f>IF(ISNUMBER(PX21),PX21*(1+PortfolioFrontier[[#This Row],[P110 Return]]),1+PortfolioFrontier[[#This Row],[P110 Return]])</f>
        <v>1.0984393220419797</v>
      </c>
      <c r="PY22" s="27">
        <f>MAX(PY21,PortfolioFrontier[[#This Row],[P110 Growth]])</f>
        <v>1.0984393220419797</v>
      </c>
      <c r="PZ22" s="27">
        <f>PortfolioFrontier[[#This Row],[P110 Growth]]/PortfolioFrontier[[#This Row],[P110 HWM]]-1</f>
        <v>0</v>
      </c>
      <c r="QA22" s="28">
        <f>SUMPRODUCT(INDEX(PortfolioRef[[SPY]:[PE]],MATCH(QA$1,PortfolioRef[Reference '#]),0),AssetMonthlyReturns[[#This Row],[SPY]:[PE]])</f>
        <v>1.1862003664033593E-2</v>
      </c>
      <c r="QB22" s="27">
        <f>IF(ISNUMBER(QB21),QB21*(1+PortfolioFrontier[[#This Row],[P111 Return]]),1+PortfolioFrontier[[#This Row],[P111 Return]])</f>
        <v>1.0942649919031446</v>
      </c>
      <c r="QC22" s="27">
        <f>MAX(QC21,PortfolioFrontier[[#This Row],[P111 Growth]])</f>
        <v>1.0942649919031446</v>
      </c>
      <c r="QD22" s="27">
        <f>PortfolioFrontier[[#This Row],[P111 Growth]]/PortfolioFrontier[[#This Row],[P111 HWM]]-1</f>
        <v>0</v>
      </c>
      <c r="QE22" s="28">
        <f>SUMPRODUCT(INDEX(PortfolioRef[[SPY]:[PE]],MATCH(QE$1,PortfolioRef[Reference '#]),0),AssetMonthlyReturns[[#This Row],[SPY]:[PE]])</f>
        <v>1.494516965263909E-2</v>
      </c>
      <c r="QF22" s="27">
        <f>IF(ISNUMBER(QF21),QF21*(1+PortfolioFrontier[[#This Row],[P112 Return]]),1+PortfolioFrontier[[#This Row],[P112 Return]])</f>
        <v>1.1085697946242647</v>
      </c>
      <c r="QG22" s="27">
        <f>MAX(QG21,PortfolioFrontier[[#This Row],[P112 Growth]])</f>
        <v>1.1085697946242647</v>
      </c>
      <c r="QH22" s="27">
        <f>PortfolioFrontier[[#This Row],[P112 Growth]]/PortfolioFrontier[[#This Row],[P112 HWM]]-1</f>
        <v>0</v>
      </c>
      <c r="QI22" s="28">
        <f>SUMPRODUCT(INDEX(PortfolioRef[[SPY]:[PE]],MATCH(QI$1,PortfolioRef[Reference '#]),0),AssetMonthlyReturns[[#This Row],[SPY]:[PE]])</f>
        <v>1.3980566389827897E-2</v>
      </c>
      <c r="QJ22" s="27">
        <f>IF(ISNUMBER(QJ21),QJ21*(1+PortfolioFrontier[[#This Row],[P113 Return]]),1+PortfolioFrontier[[#This Row],[P113 Return]])</f>
        <v>1.1044241258915852</v>
      </c>
      <c r="QK22" s="27">
        <f>MAX(QK21,PortfolioFrontier[[#This Row],[P113 Growth]])</f>
        <v>1.1044241258915852</v>
      </c>
      <c r="QL22" s="27">
        <f>PortfolioFrontier[[#This Row],[P113 Growth]]/PortfolioFrontier[[#This Row],[P113 HWM]]-1</f>
        <v>0</v>
      </c>
      <c r="QM22" s="28">
        <f>SUMPRODUCT(INDEX(PortfolioRef[[SPY]:[PE]],MATCH(QM$1,PortfolioRef[Reference '#]),0),AssetMonthlyReturns[[#This Row],[SPY]:[PE]])</f>
        <v>1.3015963127016705E-2</v>
      </c>
      <c r="QN22" s="27">
        <f>IF(ISNUMBER(QN21),QN21*(1+PortfolioFrontier[[#This Row],[P114 Return]]),1+PortfolioFrontier[[#This Row],[P114 Return]])</f>
        <v>1.1002320859739096</v>
      </c>
      <c r="QO22" s="27">
        <f>MAX(QO21,PortfolioFrontier[[#This Row],[P114 Growth]])</f>
        <v>1.1002320859739096</v>
      </c>
      <c r="QP22" s="27">
        <f>PortfolioFrontier[[#This Row],[P114 Growth]]/PortfolioFrontier[[#This Row],[P114 HWM]]-1</f>
        <v>0</v>
      </c>
      <c r="QQ22" s="28">
        <f>SUMPRODUCT(INDEX(PortfolioRef[[SPY]:[PE]],MATCH(QQ$1,PortfolioRef[Reference '#]),0),AssetMonthlyReturns[[#This Row],[SPY]:[PE]])</f>
        <v>1.40441027771681E-2</v>
      </c>
      <c r="QR22" s="27">
        <f>IF(ISNUMBER(QR21),QR21*(1+PortfolioFrontier[[#This Row],[P115 Return]]),1+PortfolioFrontier[[#This Row],[P115 Return]])</f>
        <v>1.10064879666366</v>
      </c>
      <c r="QS22" s="27">
        <f>MAX(QS21,PortfolioFrontier[[#This Row],[P115 Growth]])</f>
        <v>1.10064879666366</v>
      </c>
      <c r="QT22" s="27">
        <f>PortfolioFrontier[[#This Row],[P115 Growth]]/PortfolioFrontier[[#This Row],[P115 HWM]]-1</f>
        <v>0</v>
      </c>
      <c r="QU22" s="28">
        <f>SUMPRODUCT(INDEX(PortfolioRef[[SPY]:[PE]],MATCH(QU$1,PortfolioRef[Reference '#]),0),AssetMonthlyReturns[[#This Row],[SPY]:[PE]])</f>
        <v>1.3079499514356906E-2</v>
      </c>
      <c r="QV22" s="27">
        <f>IF(ISNUMBER(QV21),QV21*(1+PortfolioFrontier[[#This Row],[P116 Return]]),1+PortfolioFrontier[[#This Row],[P116 Return]])</f>
        <v>1.0965581547263519</v>
      </c>
      <c r="QW22" s="27">
        <f>MAX(QW21,PortfolioFrontier[[#This Row],[P116 Growth]])</f>
        <v>1.0965581547263519</v>
      </c>
      <c r="QX22" s="27">
        <f>PortfolioFrontier[[#This Row],[P116 Growth]]/PortfolioFrontier[[#This Row],[P116 HWM]]-1</f>
        <v>0</v>
      </c>
      <c r="QY22" s="28">
        <f>SUMPRODUCT(INDEX(PortfolioRef[[SPY]:[PE]],MATCH(QY$1,PortfolioRef[Reference '#]),0),AssetMonthlyReturns[[#This Row],[SPY]:[PE]])</f>
        <v>1.2114896251545715E-2</v>
      </c>
      <c r="QZ22" s="27">
        <f>IF(ISNUMBER(QZ21),QZ21*(1+PortfolioFrontier[[#This Row],[P117 Return]]),1+PortfolioFrontier[[#This Row],[P117 Return]])</f>
        <v>1.092421319705682</v>
      </c>
      <c r="RA22" s="27">
        <f>MAX(RA21,PortfolioFrontier[[#This Row],[P117 Growth]])</f>
        <v>1.092421319705682</v>
      </c>
      <c r="RB22" s="27">
        <f>PortfolioFrontier[[#This Row],[P117 Growth]]/PortfolioFrontier[[#This Row],[P117 HWM]]-1</f>
        <v>0</v>
      </c>
      <c r="RC22" s="28">
        <f>SUMPRODUCT(INDEX(PortfolioRef[[SPY]:[PE]],MATCH(RC$1,PortfolioRef[Reference '#]),0),AssetMonthlyReturns[[#This Row],[SPY]:[PE]])</f>
        <v>1.5198062240151211E-2</v>
      </c>
      <c r="RD22" s="27">
        <f>IF(ISNUMBER(RD21),RD21*(1+PortfolioFrontier[[#This Row],[P118 Return]]),1+PortfolioFrontier[[#This Row],[P118 Return]])</f>
        <v>1.1066830051991439</v>
      </c>
      <c r="RE22" s="27">
        <f>MAX(RE21,PortfolioFrontier[[#This Row],[P118 Growth]])</f>
        <v>1.1066830051991439</v>
      </c>
      <c r="RF22" s="27">
        <f>PortfolioFrontier[[#This Row],[P118 Growth]]/PortfolioFrontier[[#This Row],[P118 HWM]]-1</f>
        <v>0</v>
      </c>
      <c r="RG22" s="28">
        <f>SUMPRODUCT(INDEX(PortfolioRef[[SPY]:[PE]],MATCH(RG$1,PortfolioRef[Reference '#]),0),AssetMonthlyReturns[[#This Row],[SPY]:[PE]])</f>
        <v>1.4233458977340019E-2</v>
      </c>
      <c r="RH22" s="27">
        <f>IF(ISNUMBER(RH21),RH21*(1+PortfolioFrontier[[#This Row],[P119 Return]]),1+PortfolioFrontier[[#This Row],[P119 Return]])</f>
        <v>1.1025750687044069</v>
      </c>
      <c r="RI22" s="27">
        <f>MAX(RI21,PortfolioFrontier[[#This Row],[P119 Growth]])</f>
        <v>1.1025750687044069</v>
      </c>
      <c r="RJ22" s="27">
        <f>PortfolioFrontier[[#This Row],[P119 Growth]]/PortfolioFrontier[[#This Row],[P119 HWM]]-1</f>
        <v>0</v>
      </c>
      <c r="RK22" s="28">
        <f>SUMPRODUCT(INDEX(PortfolioRef[[SPY]:[PE]],MATCH(RK$1,PortfolioRef[Reference '#]),0),AssetMonthlyReturns[[#This Row],[SPY]:[PE]])</f>
        <v>1.3268855714528826E-2</v>
      </c>
      <c r="RL22" s="27">
        <f>IF(ISNUMBER(RL21),RL21*(1+PortfolioFrontier[[#This Row],[P120 Return]]),1+PortfolioFrontier[[#This Row],[P120 Return]])</f>
        <v>1.0984206239250207</v>
      </c>
      <c r="RM22" s="27">
        <f>MAX(RM21,PortfolioFrontier[[#This Row],[P120 Growth]])</f>
        <v>1.0984206239250207</v>
      </c>
      <c r="RN22" s="27">
        <f>PortfolioFrontier[[#This Row],[P120 Growth]]/PortfolioFrontier[[#This Row],[P120 HWM]]-1</f>
        <v>0</v>
      </c>
      <c r="RO22" s="28">
        <f>SUMPRODUCT(INDEX(PortfolioRef[[SPY]:[PE]],MATCH(RO$1,PortfolioRef[Reference '#]),0),AssetMonthlyReturns[[#This Row],[SPY]:[PE]])</f>
        <v>1.6352021703134323E-2</v>
      </c>
      <c r="RP22" s="27">
        <f>IF(ISNUMBER(RP21),RP21*(1+PortfolioFrontier[[#This Row],[P121 Return]]),1+PortfolioFrontier[[#This Row],[P121 Return]])</f>
        <v>1.1126855645429519</v>
      </c>
      <c r="RQ22" s="27">
        <f>MAX(RQ21,PortfolioFrontier[[#This Row],[P121 Growth]])</f>
        <v>1.1126855645429519</v>
      </c>
      <c r="RR22" s="27">
        <f>PortfolioFrontier[[#This Row],[P121 Growth]]/PortfolioFrontier[[#This Row],[P121 HWM]]-1</f>
        <v>0</v>
      </c>
      <c r="RS22" s="28">
        <f>SUMPRODUCT(INDEX(PortfolioRef[[SPY]:[PE]],MATCH(RS$1,PortfolioRef[Reference '#]),0),AssetMonthlyReturns[[#This Row],[SPY]:[PE]])</f>
        <v>1.538741844032313E-2</v>
      </c>
      <c r="RT22" s="27">
        <f>IF(ISNUMBER(RT21),RT21*(1+PortfolioFrontier[[#This Row],[P122 Return]]),1+PortfolioFrontier[[#This Row],[P122 Return]])</f>
        <v>1.1085604552878348</v>
      </c>
      <c r="RU22" s="27">
        <f>MAX(RU21,PortfolioFrontier[[#This Row],[P122 Growth]])</f>
        <v>1.1085604552878348</v>
      </c>
      <c r="RV22" s="27">
        <f>PortfolioFrontier[[#This Row],[P122 Growth]]/PortfolioFrontier[[#This Row],[P122 HWM]]-1</f>
        <v>0</v>
      </c>
      <c r="RW22" s="28">
        <f>SUMPRODUCT(INDEX(PortfolioRef[[SPY]:[PE]],MATCH(RW$1,PortfolioRef[Reference '#]),0),AssetMonthlyReturns[[#This Row],[SPY]:[PE]])</f>
        <v>1.4422815177511939E-2</v>
      </c>
      <c r="RX22" s="27">
        <f>IF(ISNUMBER(RX21),RX21*(1+PortfolioFrontier[[#This Row],[P123 Return]]),1+PortfolioFrontier[[#This Row],[P123 Return]])</f>
        <v>1.1043885230676556</v>
      </c>
      <c r="RY22" s="27">
        <f>MAX(RY21,PortfolioFrontier[[#This Row],[P123 Growth]])</f>
        <v>1.1043885230676556</v>
      </c>
      <c r="RZ22" s="27">
        <f>PortfolioFrontier[[#This Row],[P123 Growth]]/PortfolioFrontier[[#This Row],[P123 HWM]]-1</f>
        <v>0</v>
      </c>
      <c r="SA22" s="28">
        <f>SUMPRODUCT(INDEX(PortfolioRef[[SPY]:[PE]],MATCH(SA$1,PortfolioRef[Reference '#]),0),AssetMonthlyReturns[[#This Row],[SPY]:[PE]])</f>
        <v>1.5450954827663333E-2</v>
      </c>
      <c r="SB22" s="27">
        <f>IF(ISNUMBER(SB21),SB21*(1+PortfolioFrontier[[#This Row],[P124 Return]]),1+PortfolioFrontier[[#This Row],[P124 Return]])</f>
        <v>1.1047448755308047</v>
      </c>
      <c r="SC22" s="27">
        <f>MAX(SC21,PortfolioFrontier[[#This Row],[P124 Growth]])</f>
        <v>1.1047448755308047</v>
      </c>
      <c r="SD22" s="27">
        <f>PortfolioFrontier[[#This Row],[P124 Growth]]/PortfolioFrontier[[#This Row],[P124 HWM]]-1</f>
        <v>0</v>
      </c>
      <c r="SE22" s="28">
        <f>SUMPRODUCT(INDEX(PortfolioRef[[SPY]:[PE]],MATCH(SE$1,PortfolioRef[Reference '#]),0),AssetMonthlyReturns[[#This Row],[SPY]:[PE]])</f>
        <v>1.4486351564852139E-2</v>
      </c>
      <c r="SF22" s="27">
        <f>IF(ISNUMBER(SF21),SF21*(1+PortfolioFrontier[[#This Row],[P125 Return]]),1+PortfolioFrontier[[#This Row],[P125 Return]])</f>
        <v>1.1006746781484651</v>
      </c>
      <c r="SG22" s="27">
        <f>MAX(SG21,PortfolioFrontier[[#This Row],[P125 Growth]])</f>
        <v>1.1006746781484651</v>
      </c>
      <c r="SH22" s="27">
        <f>PortfolioFrontier[[#This Row],[P125 Growth]]/PortfolioFrontier[[#This Row],[P125 HWM]]-1</f>
        <v>0</v>
      </c>
      <c r="SI22" s="28">
        <f>SUMPRODUCT(INDEX(PortfolioRef[[SPY]:[PE]],MATCH(SI$1,PortfolioRef[Reference '#]),0),AssetMonthlyReturns[[#This Row],[SPY]:[PE]])</f>
        <v>1.3521748302040946E-2</v>
      </c>
      <c r="SJ22" s="27">
        <f>IF(ISNUMBER(SJ21),SJ21*(1+PortfolioFrontier[[#This Row],[P126 Return]]),1+PortfolioFrontier[[#This Row],[P126 Return]])</f>
        <v>1.0965578393626498</v>
      </c>
      <c r="SK22" s="27">
        <f>MAX(SK21,PortfolioFrontier[[#This Row],[P126 Growth]])</f>
        <v>1.0965578393626498</v>
      </c>
      <c r="SL22" s="27">
        <f>PortfolioFrontier[[#This Row],[P126 Growth]]/PortfolioFrontier[[#This Row],[P126 HWM]]-1</f>
        <v>0</v>
      </c>
      <c r="SM22" s="28">
        <f>SUMPRODUCT(INDEX(PortfolioRef[[SPY]:[PE]],MATCH(SM$1,PortfolioRef[Reference '#]),0),AssetMonthlyReturns[[#This Row],[SPY]:[PE]])</f>
        <v>1.6604914290646446E-2</v>
      </c>
      <c r="SN22" s="27">
        <f>IF(ISNUMBER(SN21),SN21*(1+PortfolioFrontier[[#This Row],[P127 Return]]),1+PortfolioFrontier[[#This Row],[P127 Return]])</f>
        <v>1.1107794610221251</v>
      </c>
      <c r="SO22" s="27">
        <f>MAX(SO21,PortfolioFrontier[[#This Row],[P127 Growth]])</f>
        <v>1.1107794610221251</v>
      </c>
      <c r="SP22" s="27">
        <f>PortfolioFrontier[[#This Row],[P127 Growth]]/PortfolioFrontier[[#This Row],[P127 HWM]]-1</f>
        <v>0</v>
      </c>
      <c r="SQ22" s="28">
        <f>SUMPRODUCT(INDEX(PortfolioRef[[SPY]:[PE]],MATCH(SQ$1,PortfolioRef[Reference '#]),0),AssetMonthlyReturns[[#This Row],[SPY]:[PE]])</f>
        <v>1.5640311027835252E-2</v>
      </c>
      <c r="SR22" s="27">
        <f>IF(ISNUMBER(SR21),SR21*(1+PortfolioFrontier[[#This Row],[P128 Return]]),1+PortfolioFrontier[[#This Row],[P128 Return]])</f>
        <v>1.1066921939618566</v>
      </c>
      <c r="SS22" s="27">
        <f>MAX(SS21,PortfolioFrontier[[#This Row],[P128 Growth]])</f>
        <v>1.1066921939618566</v>
      </c>
      <c r="ST22" s="27">
        <f>PortfolioFrontier[[#This Row],[P128 Growth]]/PortfolioFrontier[[#This Row],[P128 HWM]]-1</f>
        <v>0</v>
      </c>
      <c r="SU22" s="28">
        <f>SUMPRODUCT(INDEX(PortfolioRef[[SPY]:[PE]],MATCH(SU$1,PortfolioRef[Reference '#]),0),AssetMonthlyReturns[[#This Row],[SPY]:[PE]])</f>
        <v>1.4675707765024059E-2</v>
      </c>
      <c r="SV22" s="27">
        <f>IF(ISNUMBER(SV21),SV21*(1+PortfolioFrontier[[#This Row],[P129 Return]]),1+PortfolioFrontier[[#This Row],[P129 Return]])</f>
        <v>1.1025579685838915</v>
      </c>
      <c r="SW22" s="27">
        <f>MAX(SW21,PortfolioFrontier[[#This Row],[P129 Growth]])</f>
        <v>1.1025579685838915</v>
      </c>
      <c r="SX22" s="27">
        <f>PortfolioFrontier[[#This Row],[P129 Growth]]/PortfolioFrontier[[#This Row],[P129 HWM]]-1</f>
        <v>0</v>
      </c>
      <c r="SY22" s="28">
        <f>SUMPRODUCT(INDEX(PortfolioRef[[SPY]:[PE]],MATCH(SY$1,PortfolioRef[Reference '#]),0),AssetMonthlyReturns[[#This Row],[SPY]:[PE]])</f>
        <v>1.7758873753629556E-2</v>
      </c>
      <c r="SZ22" s="27">
        <f>IF(ISNUMBER(SZ21),SZ21*(1+PortfolioFrontier[[#This Row],[P130 Return]]),1+PortfolioFrontier[[#This Row],[P130 Return]])</f>
        <v>1.1167821167216301</v>
      </c>
      <c r="TA22" s="27">
        <f>MAX(TA21,PortfolioFrontier[[#This Row],[P130 Growth]])</f>
        <v>1.1167821167216301</v>
      </c>
      <c r="TB22" s="27">
        <f>PortfolioFrontier[[#This Row],[P130 Growth]]/PortfolioFrontier[[#This Row],[P130 HWM]]-1</f>
        <v>0</v>
      </c>
      <c r="TC22" s="28">
        <f>SUMPRODUCT(INDEX(PortfolioRef[[SPY]:[PE]],MATCH(TC$1,PortfolioRef[Reference '#]),0),AssetMonthlyReturns[[#This Row],[SPY]:[PE]])</f>
        <v>1.6794270490818362E-2</v>
      </c>
      <c r="TD22" s="27">
        <f>IF(ISNUMBER(TD21),TD21*(1+PortfolioFrontier[[#This Row],[P131 Return]]),1+PortfolioFrontier[[#This Row],[P131 Return]])</f>
        <v>1.1126779021142208</v>
      </c>
      <c r="TE22" s="27">
        <f>MAX(TE21,PortfolioFrontier[[#This Row],[P131 Growth]])</f>
        <v>1.1126779021142208</v>
      </c>
      <c r="TF22" s="27">
        <f>PortfolioFrontier[[#This Row],[P131 Growth]]/PortfolioFrontier[[#This Row],[P131 HWM]]-1</f>
        <v>0</v>
      </c>
      <c r="TG22" s="28">
        <f>SUMPRODUCT(INDEX(PortfolioRef[[SPY]:[PE]],MATCH(TG$1,PortfolioRef[Reference '#]),0),AssetMonthlyReturns[[#This Row],[SPY]:[PE]])</f>
        <v>1.5829667228007174E-2</v>
      </c>
      <c r="TH22" s="27">
        <f>IF(ISNUMBER(TH21),TH21*(1+PortfolioFrontier[[#This Row],[P132 Return]]),1+PortfolioFrontier[[#This Row],[P132 Return]])</f>
        <v>1.1085264128105032</v>
      </c>
      <c r="TI22" s="27">
        <f>MAX(TI21,PortfolioFrontier[[#This Row],[P132 Growth]])</f>
        <v>1.1085264128105032</v>
      </c>
      <c r="TJ22" s="27">
        <f>PortfolioFrontier[[#This Row],[P132 Growth]]/PortfolioFrontier[[#This Row],[P132 HWM]]-1</f>
        <v>0</v>
      </c>
      <c r="TK22" s="28">
        <f>SUMPRODUCT(INDEX(PortfolioRef[[SPY]:[PE]],MATCH(TK$1,PortfolioRef[Reference '#]),0),AssetMonthlyReturns[[#This Row],[SPY]:[PE]])</f>
        <v>1.6857806878158566E-2</v>
      </c>
      <c r="TL22" s="27">
        <f>IF(ISNUMBER(TL21),TL21*(1+PortfolioFrontier[[#This Row],[P133 Return]]),1+PortfolioFrontier[[#This Row],[P133 Return]])</f>
        <v>1.1088219540492317</v>
      </c>
      <c r="TM22" s="27">
        <f>MAX(TM21,PortfolioFrontier[[#This Row],[P133 Growth]])</f>
        <v>1.1088219540492317</v>
      </c>
      <c r="TN22" s="27">
        <f>PortfolioFrontier[[#This Row],[P133 Growth]]/PortfolioFrontier[[#This Row],[P133 HWM]]-1</f>
        <v>0</v>
      </c>
      <c r="TO22" s="28">
        <f>SUMPRODUCT(INDEX(PortfolioRef[[SPY]:[PE]],MATCH(TO$1,PortfolioRef[Reference '#]),0),AssetMonthlyReturns[[#This Row],[SPY]:[PE]])</f>
        <v>1.5893203615347375E-2</v>
      </c>
      <c r="TP22" s="27">
        <f>IF(ISNUMBER(TP21),TP21*(1+PortfolioFrontier[[#This Row],[P134 Return]]),1+PortfolioFrontier[[#This Row],[P134 Return]])</f>
        <v>1.1047725340430379</v>
      </c>
      <c r="TQ22" s="27">
        <f>MAX(TQ21,PortfolioFrontier[[#This Row],[P134 Growth]])</f>
        <v>1.1047725340430379</v>
      </c>
      <c r="TR22" s="27">
        <f>PortfolioFrontier[[#This Row],[P134 Growth]]/PortfolioFrontier[[#This Row],[P134 HWM]]-1</f>
        <v>0</v>
      </c>
      <c r="TS22" s="28">
        <f>SUMPRODUCT(INDEX(PortfolioRef[[SPY]:[PE]],MATCH(TS$1,PortfolioRef[Reference '#]),0),AssetMonthlyReturns[[#This Row],[SPY]:[PE]])</f>
        <v>1.4928600352536183E-2</v>
      </c>
      <c r="TT22" s="27">
        <f>IF(ISNUMBER(TT21),TT21*(1+PortfolioFrontier[[#This Row],[P135 Return]]),1+PortfolioFrontier[[#This Row],[P135 Return]])</f>
        <v>1.1006760243621361</v>
      </c>
      <c r="TU22" s="27">
        <f>MAX(TU21,PortfolioFrontier[[#This Row],[P135 Growth]])</f>
        <v>1.1006760243621361</v>
      </c>
      <c r="TV22" s="27">
        <f>PortfolioFrontier[[#This Row],[P135 Growth]]/PortfolioFrontier[[#This Row],[P135 HWM]]-1</f>
        <v>0</v>
      </c>
      <c r="TW22" s="28">
        <f>SUMPRODUCT(INDEX(PortfolioRef[[SPY]:[PE]],MATCH(TW$1,PortfolioRef[Reference '#]),0),AssetMonthlyReturns[[#This Row],[SPY]:[PE]])</f>
        <v>1.8011766341141679E-2</v>
      </c>
      <c r="TX22" s="27">
        <f>IF(ISNUMBER(TX21),TX21*(1+PortfolioFrontier[[#This Row],[P136 Return]]),1+PortfolioFrontier[[#This Row],[P136 Return]])</f>
        <v>1.1148566536300788</v>
      </c>
      <c r="TY22" s="27">
        <f>MAX(TY21,PortfolioFrontier[[#This Row],[P136 Growth]])</f>
        <v>1.1148566536300788</v>
      </c>
      <c r="TZ22" s="27">
        <f>PortfolioFrontier[[#This Row],[P136 Growth]]/PortfolioFrontier[[#This Row],[P136 HWM]]-1</f>
        <v>0</v>
      </c>
      <c r="UA22" s="28">
        <f>SUMPRODUCT(INDEX(PortfolioRef[[SPY]:[PE]],MATCH(UA$1,PortfolioRef[Reference '#]),0),AssetMonthlyReturns[[#This Row],[SPY]:[PE]])</f>
        <v>1.7047163078330482E-2</v>
      </c>
      <c r="UB22" s="27">
        <f>IF(ISNUMBER(UB21),UB21*(1+PortfolioFrontier[[#This Row],[P137 Return]]),1+PortfolioFrontier[[#This Row],[P137 Return]])</f>
        <v>1.1107903899829856</v>
      </c>
      <c r="UC22" s="27">
        <f>MAX(UC21,PortfolioFrontier[[#This Row],[P137 Growth]])</f>
        <v>1.1107903899829856</v>
      </c>
      <c r="UD22" s="27">
        <f>PortfolioFrontier[[#This Row],[P137 Growth]]/PortfolioFrontier[[#This Row],[P137 HWM]]-1</f>
        <v>0</v>
      </c>
      <c r="UE22" s="28">
        <f>SUMPRODUCT(INDEX(PortfolioRef[[SPY]:[PE]],MATCH(UE$1,PortfolioRef[Reference '#]),0),AssetMonthlyReturns[[#This Row],[SPY]:[PE]])</f>
        <v>1.6082559815519294E-2</v>
      </c>
      <c r="UF22" s="27">
        <f>IF(ISNUMBER(UF21),UF21*(1+PortfolioFrontier[[#This Row],[P138 Return]]),1+PortfolioFrontier[[#This Row],[P138 Return]])</f>
        <v>1.1066767180512047</v>
      </c>
      <c r="UG22" s="27">
        <f>MAX(UG21,PortfolioFrontier[[#This Row],[P138 Growth]])</f>
        <v>1.1066767180512047</v>
      </c>
      <c r="UH22" s="27">
        <f>PortfolioFrontier[[#This Row],[P138 Growth]]/PortfolioFrontier[[#This Row],[P138 HWM]]-1</f>
        <v>0</v>
      </c>
      <c r="UI22" s="28">
        <f>SUMPRODUCT(INDEX(PortfolioRef[[SPY]:[PE]],MATCH(UI$1,PortfolioRef[Reference '#]),0),AssetMonthlyReturns[[#This Row],[SPY]:[PE]])</f>
        <v>1.9165725804124793E-2</v>
      </c>
      <c r="UJ22" s="27">
        <f>IF(ISNUMBER(UJ21),UJ21*(1+PortfolioFrontier[[#This Row],[P139 Return]]),1+PortfolioFrontier[[#This Row],[P139 Return]])</f>
        <v>1.1208591425881969</v>
      </c>
      <c r="UK22" s="27">
        <f>MAX(UK21,PortfolioFrontier[[#This Row],[P139 Growth]])</f>
        <v>1.1208591425881969</v>
      </c>
      <c r="UL22" s="27">
        <f>PortfolioFrontier[[#This Row],[P139 Growth]]/PortfolioFrontier[[#This Row],[P139 HWM]]-1</f>
        <v>0</v>
      </c>
      <c r="UM22" s="28">
        <f>SUMPRODUCT(INDEX(PortfolioRef[[SPY]:[PE]],MATCH(UM$1,PortfolioRef[Reference '#]),0),AssetMonthlyReturns[[#This Row],[SPY]:[PE]])</f>
        <v>1.8201122541313595E-2</v>
      </c>
      <c r="UN22" s="27">
        <f>IF(ISNUMBER(UN21),UN21*(1+PortfolioFrontier[[#This Row],[P140 Return]]),1+PortfolioFrontier[[#This Row],[P140 Return]])</f>
        <v>1.1167761577494286</v>
      </c>
      <c r="UO22" s="27">
        <f>MAX(UO21,PortfolioFrontier[[#This Row],[P140 Growth]])</f>
        <v>1.1167761577494286</v>
      </c>
      <c r="UP22" s="27">
        <f>PortfolioFrontier[[#This Row],[P140 Growth]]/PortfolioFrontier[[#This Row],[P140 HWM]]-1</f>
        <v>0</v>
      </c>
      <c r="UQ22" s="28">
        <f>SUMPRODUCT(INDEX(PortfolioRef[[SPY]:[PE]],MATCH(UQ$1,PortfolioRef[Reference '#]),0),AssetMonthlyReturns[[#This Row],[SPY]:[PE]])</f>
        <v>1.7236519278502407E-2</v>
      </c>
      <c r="UR22" s="27">
        <f>IF(ISNUMBER(UR21),UR21*(1+PortfolioFrontier[[#This Row],[P141 Return]]),1+PortfolioFrontier[[#This Row],[P141 Return]])</f>
        <v>1.1126454465664628</v>
      </c>
      <c r="US22" s="27">
        <f>MAX(US21,PortfolioFrontier[[#This Row],[P141 Growth]])</f>
        <v>1.1126454465664628</v>
      </c>
      <c r="UT22" s="27">
        <f>PortfolioFrontier[[#This Row],[P141 Growth]]/PortfolioFrontier[[#This Row],[P141 HWM]]-1</f>
        <v>0</v>
      </c>
    </row>
    <row r="23" spans="2:566" x14ac:dyDescent="0.2">
      <c r="B23" s="41">
        <f>AssetMonthlyReturns[[#This Row],[Date]]</f>
        <v>43070</v>
      </c>
      <c r="C23" s="28">
        <f>SUMPRODUCT(INDEX(PortfolioRef[[SPY]:[PE]],MATCH(C$1,PortfolioRef[Reference '#]),0),AssetMonthlyReturns[[#This Row],[SPY]:[PE]])</f>
        <v>2.6825200846003474E-3</v>
      </c>
      <c r="D23" s="29">
        <f>IF(ISNUMBER(D22),D22*(1+PortfolioFrontier[[#This Row],[P1 Return]]),1+PortfolioFrontier[[#This Row],[P1 Return]])</f>
        <v>1.188125067886856</v>
      </c>
      <c r="E23" s="29">
        <f>MAX(E22,PortfolioFrontier[[#This Row],[P1 Growth]])</f>
        <v>1.188125067886856</v>
      </c>
      <c r="F23" s="29">
        <f>PortfolioFrontier[[#This Row],[P1 Growth]]/PortfolioFrontier[[#This Row],[P1 HWM]]-1</f>
        <v>0</v>
      </c>
      <c r="G23" s="28">
        <f>SUMPRODUCT(INDEX(PortfolioRef[[SPY]:[PE]],MATCH(G$1,PortfolioRef[Reference '#]),0),AssetMonthlyReturns[[#This Row],[SPY]:[PE]])</f>
        <v>2.5526480768100933E-3</v>
      </c>
      <c r="H23" s="27">
        <f>IF(ISNUMBER(H22),H22*(1+PortfolioFrontier[[#This Row],[P2 Return]]),1+PortfolioFrontier[[#This Row],[P2 Return]])</f>
        <v>1.1727171428512171</v>
      </c>
      <c r="I23" s="27">
        <f>MAX(I22,PortfolioFrontier[[#This Row],[P2 Growth]])</f>
        <v>1.1727171428512171</v>
      </c>
      <c r="J23" s="27">
        <f>PortfolioFrontier[[#This Row],[P2 Growth]]/PortfolioFrontier[[#This Row],[P2 HWM]]-1</f>
        <v>0</v>
      </c>
      <c r="K23" s="28">
        <f>SUMPRODUCT(INDEX(PortfolioRef[[SPY]:[PE]],MATCH(K$1,PortfolioRef[Reference '#]),0),AssetMonthlyReturns[[#This Row],[SPY]:[PE]])</f>
        <v>3.3863169716941135E-3</v>
      </c>
      <c r="L23" s="27">
        <f>IF(ISNUMBER(L22),L22*(1+PortfolioFrontier[[#This Row],[P3 Return]]),1+PortfolioFrontier[[#This Row],[P3 Return]])</f>
        <v>1.1718022458197395</v>
      </c>
      <c r="M23" s="27">
        <f>MAX(M22,PortfolioFrontier[[#This Row],[P3 Growth]])</f>
        <v>1.1718022458197395</v>
      </c>
      <c r="N23" s="27">
        <f>PortfolioFrontier[[#This Row],[P3 Growth]]/PortfolioFrontier[[#This Row],[P3 HWM]]-1</f>
        <v>0</v>
      </c>
      <c r="O23" s="28">
        <f>SUMPRODUCT(INDEX(PortfolioRef[[SPY]:[PE]],MATCH(O$1,PortfolioRef[Reference '#]),0),AssetMonthlyReturns[[#This Row],[SPY]:[PE]])</f>
        <v>1.4980601906685654E-3</v>
      </c>
      <c r="P23" s="27">
        <f>IF(ISNUMBER(P22),P22*(1+PortfolioFrontier[[#This Row],[P4 Return]]),1+PortfolioFrontier[[#This Row],[P4 Return]])</f>
        <v>1.1758725191635018</v>
      </c>
      <c r="Q23" s="27">
        <f>MAX(Q22,PortfolioFrontier[[#This Row],[P4 Growth]])</f>
        <v>1.1758725191635018</v>
      </c>
      <c r="R23" s="27">
        <f>PortfolioFrontier[[#This Row],[P4 Growth]]/PortfolioFrontier[[#This Row],[P4 HWM]]-1</f>
        <v>0</v>
      </c>
      <c r="S23" s="28">
        <f>SUMPRODUCT(INDEX(PortfolioRef[[SPY]:[PE]],MATCH(S$1,PortfolioRef[Reference '#]),0),AssetMonthlyReturns[[#This Row],[SPY]:[PE]])</f>
        <v>1.2087186473049962E-3</v>
      </c>
      <c r="T23" s="27">
        <f>IF(ISNUMBER(T22),T22*(1+PortfolioFrontier[[#This Row],[P5 Return]]),1+PortfolioFrontier[[#This Row],[P5 Return]])</f>
        <v>1.171092650391472</v>
      </c>
      <c r="U23" s="27">
        <f>MAX(U22,PortfolioFrontier[[#This Row],[P5 Growth]])</f>
        <v>1.171092650391472</v>
      </c>
      <c r="V23" s="27">
        <f>PortfolioFrontier[[#This Row],[P5 Growth]]/PortfolioFrontier[[#This Row],[P5 HWM]]-1</f>
        <v>0</v>
      </c>
      <c r="W23" s="28">
        <f>SUMPRODUCT(INDEX(PortfolioRef[[SPY]:[PE]],MATCH(W$1,PortfolioRef[Reference '#]),0),AssetMonthlyReturns[[#This Row],[SPY]:[PE]])</f>
        <v>2.4227760690198391E-3</v>
      </c>
      <c r="X23" s="27">
        <f>IF(ISNUMBER(X22),X22*(1+PortfolioFrontier[[#This Row],[P6 Return]]),1+PortfolioFrontier[[#This Row],[P6 Return]])</f>
        <v>1.1574791950510088</v>
      </c>
      <c r="Y23" s="27">
        <f>MAX(Y22,PortfolioFrontier[[#This Row],[P6 Growth]])</f>
        <v>1.1574791950510088</v>
      </c>
      <c r="Z23" s="27">
        <f>PortfolioFrontier[[#This Row],[P6 Growth]]/PortfolioFrontier[[#This Row],[P6 HWM]]-1</f>
        <v>0</v>
      </c>
      <c r="AA23" s="28">
        <f>SUMPRODUCT(INDEX(PortfolioRef[[SPY]:[PE]],MATCH(AA$1,PortfolioRef[Reference '#]),0),AssetMonthlyReturns[[#This Row],[SPY]:[PE]])</f>
        <v>3.2564449639038593E-3</v>
      </c>
      <c r="AB23" s="27">
        <f>IF(ISNUMBER(AB22),AB22*(1+PortfolioFrontier[[#This Row],[P7 Return]]),1+PortfolioFrontier[[#This Row],[P7 Return]])</f>
        <v>1.1565628765727556</v>
      </c>
      <c r="AC23" s="27">
        <f>MAX(AC22,PortfolioFrontier[[#This Row],[P7 Growth]])</f>
        <v>1.1565628765727556</v>
      </c>
      <c r="AD23" s="27">
        <f>PortfolioFrontier[[#This Row],[P7 Growth]]/PortfolioFrontier[[#This Row],[P7 HWM]]-1</f>
        <v>0</v>
      </c>
      <c r="AE23" s="28">
        <f>SUMPRODUCT(INDEX(PortfolioRef[[SPY]:[PE]],MATCH(AE$1,PortfolioRef[Reference '#]),0),AssetMonthlyReturns[[#This Row],[SPY]:[PE]])</f>
        <v>1.3681881828783112E-3</v>
      </c>
      <c r="AF23" s="27">
        <f>IF(ISNUMBER(AF22),AF22*(1+PortfolioFrontier[[#This Row],[P8 Return]]),1+PortfolioFrontier[[#This Row],[P8 Return]])</f>
        <v>1.1606070162537547</v>
      </c>
      <c r="AG23" s="27">
        <f>MAX(AG22,PortfolioFrontier[[#This Row],[P8 Growth]])</f>
        <v>1.1606070162537547</v>
      </c>
      <c r="AH23" s="27">
        <f>PortfolioFrontier[[#This Row],[P8 Growth]]/PortfolioFrontier[[#This Row],[P8 HWM]]-1</f>
        <v>0</v>
      </c>
      <c r="AI23" s="28">
        <f>SUMPRODUCT(INDEX(PortfolioRef[[SPY]:[PE]],MATCH(AI$1,PortfolioRef[Reference '#]),0),AssetMonthlyReturns[[#This Row],[SPY]:[PE]])</f>
        <v>1.078846639514742E-3</v>
      </c>
      <c r="AJ23" s="27">
        <f>IF(ISNUMBER(AJ22),AJ22*(1+PortfolioFrontier[[#This Row],[P9 Return]]),1+PortfolioFrontier[[#This Row],[P9 Return]])</f>
        <v>1.1558829117892768</v>
      </c>
      <c r="AK23" s="27">
        <f>MAX(AK22,PortfolioFrontier[[#This Row],[P9 Growth]])</f>
        <v>1.1558829117892768</v>
      </c>
      <c r="AL23" s="27">
        <f>PortfolioFrontier[[#This Row],[P9 Growth]]/PortfolioFrontier[[#This Row],[P9 HWM]]-1</f>
        <v>0</v>
      </c>
      <c r="AM23" s="28">
        <f>SUMPRODUCT(INDEX(PortfolioRef[[SPY]:[PE]],MATCH(AM$1,PortfolioRef[Reference '#]),0),AssetMonthlyReturns[[#This Row],[SPY]:[PE]])</f>
        <v>4.0901138587878796E-3</v>
      </c>
      <c r="AN23" s="27">
        <f>IF(ISNUMBER(AN22),AN22*(1+PortfolioFrontier[[#This Row],[P10 Return]]),1+PortfolioFrontier[[#This Row],[P10 Return]])</f>
        <v>1.1555894798776061</v>
      </c>
      <c r="AO23" s="27">
        <f>MAX(AO22,PortfolioFrontier[[#This Row],[P10 Growth]])</f>
        <v>1.1555894798776061</v>
      </c>
      <c r="AP23" s="27">
        <f>PortfolioFrontier[[#This Row],[P10 Growth]]/PortfolioFrontier[[#This Row],[P10 HWM]]-1</f>
        <v>0</v>
      </c>
      <c r="AQ23" s="28">
        <f>SUMPRODUCT(INDEX(PortfolioRef[[SPY]:[PE]],MATCH(AQ$1,PortfolioRef[Reference '#]),0),AssetMonthlyReturns[[#This Row],[SPY]:[PE]])</f>
        <v>2.2018570777623319E-3</v>
      </c>
      <c r="AR23" s="27">
        <f>IF(ISNUMBER(AR22),AR22*(1+PortfolioFrontier[[#This Row],[P11 Return]]),1+PortfolioFrontier[[#This Row],[P11 Return]])</f>
        <v>1.1596762983765798</v>
      </c>
      <c r="AS23" s="27">
        <f>MAX(AS22,PortfolioFrontier[[#This Row],[P11 Growth]])</f>
        <v>1.1596762983765798</v>
      </c>
      <c r="AT23" s="27">
        <f>PortfolioFrontier[[#This Row],[P11 Growth]]/PortfolioFrontier[[#This Row],[P11 HWM]]-1</f>
        <v>0</v>
      </c>
      <c r="AU23" s="28">
        <f>SUMPRODUCT(INDEX(PortfolioRef[[SPY]:[PE]],MATCH(AU$1,PortfolioRef[Reference '#]),0),AssetMonthlyReturns[[#This Row],[SPY]:[PE]])</f>
        <v>1.9125155343987623E-3</v>
      </c>
      <c r="AV23" s="27">
        <f>IF(ISNUMBER(AV22),AV22*(1+PortfolioFrontier[[#This Row],[P12 Return]]),1+PortfolioFrontier[[#This Row],[P12 Return]])</f>
        <v>1.15498836435288</v>
      </c>
      <c r="AW23" s="27">
        <f>MAX(AW22,PortfolioFrontier[[#This Row],[P12 Growth]])</f>
        <v>1.15498836435288</v>
      </c>
      <c r="AX23" s="27">
        <f>PortfolioFrontier[[#This Row],[P12 Growth]]/PortfolioFrontier[[#This Row],[P12 HWM]]-1</f>
        <v>0</v>
      </c>
      <c r="AY23" s="28">
        <f>SUMPRODUCT(INDEX(PortfolioRef[[SPY]:[PE]],MATCH(AY$1,PortfolioRef[Reference '#]),0),AssetMonthlyReturns[[#This Row],[SPY]:[PE]])</f>
        <v>3.136002967367821E-4</v>
      </c>
      <c r="AZ23" s="27">
        <f>IF(ISNUMBER(AZ22),AZ22*(1+PortfolioFrontier[[#This Row],[P13 Return]]),1+PortfolioFrontier[[#This Row],[P13 Return]])</f>
        <v>1.1637061368915453</v>
      </c>
      <c r="BA23" s="27">
        <f>MAX(BA22,PortfolioFrontier[[#This Row],[P13 Growth]])</f>
        <v>1.1637061368915453</v>
      </c>
      <c r="BB23" s="27">
        <f>PortfolioFrontier[[#This Row],[P13 Growth]]/PortfolioFrontier[[#This Row],[P13 HWM]]-1</f>
        <v>0</v>
      </c>
      <c r="BC23" s="28">
        <f>SUMPRODUCT(INDEX(PortfolioRef[[SPY]:[PE]],MATCH(BC$1,PortfolioRef[Reference '#]),0),AssetMonthlyReturns[[#This Row],[SPY]:[PE]])</f>
        <v>2.4258753373213298E-5</v>
      </c>
      <c r="BD23" s="27">
        <f>IF(ISNUMBER(BD22),BD22*(1+PortfolioFrontier[[#This Row],[P14 Return]]),1+PortfolioFrontier[[#This Row],[P14 Return]])</f>
        <v>1.1590065620369445</v>
      </c>
      <c r="BE23" s="27">
        <f>MAX(BE22,PortfolioFrontier[[#This Row],[P14 Growth]])</f>
        <v>1.1590065620369445</v>
      </c>
      <c r="BF23" s="27">
        <f>PortfolioFrontier[[#This Row],[P14 Growth]]/PortfolioFrontier[[#This Row],[P14 HWM]]-1</f>
        <v>0</v>
      </c>
      <c r="BG23" s="28">
        <f>SUMPRODUCT(INDEX(PortfolioRef[[SPY]:[PE]],MATCH(BG$1,PortfolioRef[Reference '#]),0),AssetMonthlyReturns[[#This Row],[SPY]:[PE]])</f>
        <v>-2.650827899903568E-4</v>
      </c>
      <c r="BH23" s="27">
        <f>IF(ISNUMBER(BH22),BH22*(1+PortfolioFrontier[[#This Row],[P15 Return]]),1+PortfolioFrontier[[#This Row],[P15 Return]])</f>
        <v>1.1542611841244199</v>
      </c>
      <c r="BI23" s="27">
        <f>MAX(BI22,PortfolioFrontier[[#This Row],[P15 Growth]])</f>
        <v>1.1545672400296385</v>
      </c>
      <c r="BJ23" s="27">
        <f>PortfolioFrontier[[#This Row],[P15 Growth]]/PortfolioFrontier[[#This Row],[P15 HWM]]-1</f>
        <v>-2.6508278999037849E-4</v>
      </c>
      <c r="BK23" s="28">
        <f>SUMPRODUCT(INDEX(PortfolioRef[[SPY]:[PE]],MATCH(BK$1,PortfolioRef[Reference '#]),0),AssetMonthlyReturns[[#This Row],[SPY]:[PE]])</f>
        <v>2.2929040612295832E-3</v>
      </c>
      <c r="BL23" s="27">
        <f>IF(ISNUMBER(BL22),BL22*(1+PortfolioFrontier[[#This Row],[P16 Return]]),1+PortfolioFrontier[[#This Row],[P16 Return]])</f>
        <v>1.1424096816389993</v>
      </c>
      <c r="BM23" s="27">
        <f>MAX(BM22,PortfolioFrontier[[#This Row],[P16 Growth]])</f>
        <v>1.1424096816389993</v>
      </c>
      <c r="BN23" s="27">
        <f>PortfolioFrontier[[#This Row],[P16 Growth]]/PortfolioFrontier[[#This Row],[P16 HWM]]-1</f>
        <v>0</v>
      </c>
      <c r="BO23" s="28">
        <f>SUMPRODUCT(INDEX(PortfolioRef[[SPY]:[PE]],MATCH(BO$1,PortfolioRef[Reference '#]),0),AssetMonthlyReturns[[#This Row],[SPY]:[PE]])</f>
        <v>3.1265729561136043E-3</v>
      </c>
      <c r="BP23" s="27">
        <f>IF(ISNUMBER(BP22),BP22*(1+PortfolioFrontier[[#This Row],[P17 Return]]),1+PortfolioFrontier[[#This Row],[P17 Return]])</f>
        <v>1.1414921112002205</v>
      </c>
      <c r="BQ23" s="27">
        <f>MAX(BQ22,PortfolioFrontier[[#This Row],[P17 Growth]])</f>
        <v>1.1414921112002205</v>
      </c>
      <c r="BR23" s="27">
        <f>PortfolioFrontier[[#This Row],[P17 Growth]]/PortfolioFrontier[[#This Row],[P17 HWM]]-1</f>
        <v>0</v>
      </c>
      <c r="BS23" s="28">
        <f>SUMPRODUCT(INDEX(PortfolioRef[[SPY]:[PE]],MATCH(BS$1,PortfolioRef[Reference '#]),0),AssetMonthlyReturns[[#This Row],[SPY]:[PE]])</f>
        <v>1.2383161750880553E-3</v>
      </c>
      <c r="BT23" s="27">
        <f>IF(ISNUMBER(BT22),BT22*(1+PortfolioFrontier[[#This Row],[P18 Return]]),1+PortfolioFrontier[[#This Row],[P18 Return]])</f>
        <v>1.145510104388918</v>
      </c>
      <c r="BU23" s="27">
        <f>MAX(BU22,PortfolioFrontier[[#This Row],[P18 Growth]])</f>
        <v>1.145510104388918</v>
      </c>
      <c r="BV23" s="27">
        <f>PortfolioFrontier[[#This Row],[P18 Growth]]/PortfolioFrontier[[#This Row],[P18 HWM]]-1</f>
        <v>0</v>
      </c>
      <c r="BW23" s="28">
        <f>SUMPRODUCT(INDEX(PortfolioRef[[SPY]:[PE]],MATCH(BW$1,PortfolioRef[Reference '#]),0),AssetMonthlyReturns[[#This Row],[SPY]:[PE]])</f>
        <v>9.4897463172448609E-4</v>
      </c>
      <c r="BX23" s="27">
        <f>IF(ISNUMBER(BX22),BX22*(1+PortfolioFrontier[[#This Row],[P19 Return]]),1+PortfolioFrontier[[#This Row],[P19 Return]])</f>
        <v>1.1408412163686796</v>
      </c>
      <c r="BY23" s="27">
        <f>MAX(BY22,PortfolioFrontier[[#This Row],[P19 Growth]])</f>
        <v>1.1408412163686796</v>
      </c>
      <c r="BZ23" s="27">
        <f>PortfolioFrontier[[#This Row],[P19 Growth]]/PortfolioFrontier[[#This Row],[P19 HWM]]-1</f>
        <v>0</v>
      </c>
      <c r="CA23" s="28">
        <f>SUMPRODUCT(INDEX(PortfolioRef[[SPY]:[PE]],MATCH(CA$1,PortfolioRef[Reference '#]),0),AssetMonthlyReturns[[#This Row],[SPY]:[PE]])</f>
        <v>3.9602418509976254E-3</v>
      </c>
      <c r="CB23" s="27">
        <f>IF(ISNUMBER(CB22),CB22*(1+PortfolioFrontier[[#This Row],[P20 Return]]),1+PortfolioFrontier[[#This Row],[P20 Return]])</f>
        <v>1.1405181492673186</v>
      </c>
      <c r="CC23" s="27">
        <f>MAX(CC22,PortfolioFrontier[[#This Row],[P20 Growth]])</f>
        <v>1.1405181492673186</v>
      </c>
      <c r="CD23" s="27">
        <f>PortfolioFrontier[[#This Row],[P20 Growth]]/PortfolioFrontier[[#This Row],[P20 HWM]]-1</f>
        <v>0</v>
      </c>
      <c r="CE23" s="28">
        <f>SUMPRODUCT(INDEX(PortfolioRef[[SPY]:[PE]],MATCH(CE$1,PortfolioRef[Reference '#]),0),AssetMonthlyReturns[[#This Row],[SPY]:[PE]])</f>
        <v>2.071985069972076E-3</v>
      </c>
      <c r="CF23" s="27">
        <f>IF(ISNUMBER(CF22),CF22*(1+PortfolioFrontier[[#This Row],[P21 Return]]),1+PortfolioFrontier[[#This Row],[P21 Return]])</f>
        <v>1.1445782875045569</v>
      </c>
      <c r="CG23" s="27">
        <f>MAX(CG22,PortfolioFrontier[[#This Row],[P21 Growth]])</f>
        <v>1.1445782875045569</v>
      </c>
      <c r="CH23" s="27">
        <f>PortfolioFrontier[[#This Row],[P21 Growth]]/PortfolioFrontier[[#This Row],[P21 HWM]]-1</f>
        <v>0</v>
      </c>
      <c r="CI23" s="28">
        <f>SUMPRODUCT(INDEX(PortfolioRef[[SPY]:[PE]],MATCH(CI$1,PortfolioRef[Reference '#]),0),AssetMonthlyReturns[[#This Row],[SPY]:[PE]])</f>
        <v>1.7826435266085072E-3</v>
      </c>
      <c r="CJ23" s="27">
        <f>IF(ISNUMBER(CJ22),CJ22*(1+PortfolioFrontier[[#This Row],[P22 Return]]),1+PortfolioFrontier[[#This Row],[P22 Return]])</f>
        <v>1.1399451729758101</v>
      </c>
      <c r="CK23" s="27">
        <f>MAX(CK22,PortfolioFrontier[[#This Row],[P22 Growth]])</f>
        <v>1.1399451729758101</v>
      </c>
      <c r="CL23" s="27">
        <f>PortfolioFrontier[[#This Row],[P22 Growth]]/PortfolioFrontier[[#This Row],[P22 HWM]]-1</f>
        <v>0</v>
      </c>
      <c r="CM23" s="28">
        <f>SUMPRODUCT(INDEX(PortfolioRef[[SPY]:[PE]],MATCH(CM$1,PortfolioRef[Reference '#]),0),AssetMonthlyReturns[[#This Row],[SPY]:[PE]])</f>
        <v>1.8372828894652705E-4</v>
      </c>
      <c r="CN23" s="27">
        <f>IF(ISNUMBER(CN22),CN22*(1+PortfolioFrontier[[#This Row],[P23 Return]]),1+PortfolioFrontier[[#This Row],[P23 Return]])</f>
        <v>1.1485822373388108</v>
      </c>
      <c r="CO23" s="27">
        <f>MAX(CO22,PortfolioFrontier[[#This Row],[P23 Growth]])</f>
        <v>1.1485822373388108</v>
      </c>
      <c r="CP23" s="27">
        <f>PortfolioFrontier[[#This Row],[P23 Growth]]/PortfolioFrontier[[#This Row],[P23 HWM]]-1</f>
        <v>0</v>
      </c>
      <c r="CQ23" s="28">
        <f>SUMPRODUCT(INDEX(PortfolioRef[[SPY]:[PE]],MATCH(CQ$1,PortfolioRef[Reference '#]),0),AssetMonthlyReturns[[#This Row],[SPY]:[PE]])</f>
        <v>-1.0561325441704175E-4</v>
      </c>
      <c r="CR23" s="27">
        <f>IF(ISNUMBER(CR22),CR22*(1+PortfolioFrontier[[#This Row],[P24 Return]]),1+PortfolioFrontier[[#This Row],[P24 Return]])</f>
        <v>1.1439375127185676</v>
      </c>
      <c r="CS23" s="27">
        <f>MAX(CS22,PortfolioFrontier[[#This Row],[P24 Growth]])</f>
        <v>1.1440583404431448</v>
      </c>
      <c r="CT23" s="27">
        <f>PortfolioFrontier[[#This Row],[P24 Growth]]/PortfolioFrontier[[#This Row],[P24 HWM]]-1</f>
        <v>-1.0561325441704739E-4</v>
      </c>
      <c r="CU23" s="28">
        <f>SUMPRODUCT(INDEX(PortfolioRef[[SPY]:[PE]],MATCH(CU$1,PortfolioRef[Reference '#]),0),AssetMonthlyReturns[[#This Row],[SPY]:[PE]])</f>
        <v>-3.9495479778061185E-4</v>
      </c>
      <c r="CV23" s="27">
        <f>IF(ISNUMBER(CV22),CV22*(1+PortfolioFrontier[[#This Row],[P25 Return]]),1+PortfolioFrontier[[#This Row],[P25 Return]])</f>
        <v>1.1392475775453645</v>
      </c>
      <c r="CW23" s="27">
        <f>MAX(CW22,PortfolioFrontier[[#This Row],[P25 Growth]])</f>
        <v>1.1396977066226148</v>
      </c>
      <c r="CX23" s="27">
        <f>PortfolioFrontier[[#This Row],[P25 Growth]]/PortfolioFrontier[[#This Row],[P25 HWM]]-1</f>
        <v>-3.9495479778073328E-4</v>
      </c>
      <c r="CY23" s="28">
        <f>SUMPRODUCT(INDEX(PortfolioRef[[SPY]:[PE]],MATCH(CY$1,PortfolioRef[Reference '#]),0),AssetMonthlyReturns[[#This Row],[SPY]:[PE]])</f>
        <v>2.905653964856098E-3</v>
      </c>
      <c r="CZ23" s="27">
        <f>IF(ISNUMBER(CZ22),CZ22*(1+PortfolioFrontier[[#This Row],[P26 Return]]),1+PortfolioFrontier[[#This Row],[P26 Return]])</f>
        <v>1.143590032964215</v>
      </c>
      <c r="DA23" s="27">
        <f>MAX(DA22,PortfolioFrontier[[#This Row],[P26 Growth]])</f>
        <v>1.143590032964215</v>
      </c>
      <c r="DB23" s="27">
        <f>PortfolioFrontier[[#This Row],[P26 Growth]]/PortfolioFrontier[[#This Row],[P26 HWM]]-1</f>
        <v>0</v>
      </c>
      <c r="DC23" s="28">
        <f>SUMPRODUCT(INDEX(PortfolioRef[[SPY]:[PE]],MATCH(DC$1,PortfolioRef[Reference '#]),0),AssetMonthlyReturns[[#This Row],[SPY]:[PE]])</f>
        <v>2.6163124214925284E-3</v>
      </c>
      <c r="DD23" s="27">
        <f>IF(ISNUMBER(DD22),DD22*(1+PortfolioFrontier[[#This Row],[P27 Return]]),1+PortfolioFrontier[[#This Row],[P27 Return]])</f>
        <v>1.1389927837120575</v>
      </c>
      <c r="DE23" s="27">
        <f>MAX(DE22,PortfolioFrontier[[#This Row],[P27 Growth]])</f>
        <v>1.1389927837120575</v>
      </c>
      <c r="DF23" s="27">
        <f>PortfolioFrontier[[#This Row],[P27 Growth]]/PortfolioFrontier[[#This Row],[P27 HWM]]-1</f>
        <v>0</v>
      </c>
      <c r="DG23" s="28">
        <f>SUMPRODUCT(INDEX(PortfolioRef[[SPY]:[PE]],MATCH(DG$1,PortfolioRef[Reference '#]),0),AssetMonthlyReturns[[#This Row],[SPY]:[PE]])</f>
        <v>1.0173971838305482E-3</v>
      </c>
      <c r="DH23" s="27">
        <f>IF(ISNUMBER(DH22),DH22*(1+PortfolioFrontier[[#This Row],[P28 Return]]),1+PortfolioFrontier[[#This Row],[P28 Return]])</f>
        <v>1.1476361498273264</v>
      </c>
      <c r="DI23" s="27">
        <f>MAX(DI22,PortfolioFrontier[[#This Row],[P28 Growth]])</f>
        <v>1.1476361498273264</v>
      </c>
      <c r="DJ23" s="27">
        <f>PortfolioFrontier[[#This Row],[P28 Growth]]/PortfolioFrontier[[#This Row],[P28 HWM]]-1</f>
        <v>0</v>
      </c>
      <c r="DK23" s="28">
        <f>SUMPRODUCT(INDEX(PortfolioRef[[SPY]:[PE]],MATCH(DK$1,PortfolioRef[Reference '#]),0),AssetMonthlyReturns[[#This Row],[SPY]:[PE]])</f>
        <v>7.2805564046697895E-4</v>
      </c>
      <c r="DL23" s="27">
        <f>IF(ISNUMBER(DL22),DL22*(1+PortfolioFrontier[[#This Row],[P29 Return]]),1+PortfolioFrontier[[#This Row],[P29 Return]])</f>
        <v>1.1430272967454456</v>
      </c>
      <c r="DM23" s="27">
        <f>MAX(DM22,PortfolioFrontier[[#This Row],[P29 Growth]])</f>
        <v>1.1430272967454456</v>
      </c>
      <c r="DN23" s="27">
        <f>PortfolioFrontier[[#This Row],[P29 Growth]]/PortfolioFrontier[[#This Row],[P29 HWM]]-1</f>
        <v>0</v>
      </c>
      <c r="DO23" s="28">
        <f>SUMPRODUCT(INDEX(PortfolioRef[[SPY]:[PE]],MATCH(DO$1,PortfolioRef[Reference '#]),0),AssetMonthlyReturns[[#This Row],[SPY]:[PE]])</f>
        <v>4.3871409710340929E-4</v>
      </c>
      <c r="DP23" s="27">
        <f>IF(ISNUMBER(DP22),DP22*(1+PortfolioFrontier[[#This Row],[P30 Return]]),1+PortfolioFrontier[[#This Row],[P30 Return]])</f>
        <v>1.138373026408245</v>
      </c>
      <c r="DQ23" s="27">
        <f>MAX(DQ22,PortfolioFrontier[[#This Row],[P30 Growth]])</f>
        <v>1.138373026408245</v>
      </c>
      <c r="DR23" s="27">
        <f>PortfolioFrontier[[#This Row],[P30 Growth]]/PortfolioFrontier[[#This Row],[P30 HWM]]-1</f>
        <v>0</v>
      </c>
      <c r="DS23" s="28">
        <f>SUMPRODUCT(INDEX(PortfolioRef[[SPY]:[PE]],MATCH(DS$1,PortfolioRef[Reference '#]),0),AssetMonthlyReturns[[#This Row],[SPY]:[PE]])</f>
        <v>-8.7085959719500079E-4</v>
      </c>
      <c r="DT23" s="27">
        <f>IF(ISNUMBER(DT22),DT22*(1+PortfolioFrontier[[#This Row],[P31 Return]]),1+PortfolioFrontier[[#This Row],[P31 Return]])</f>
        <v>1.1516258229027594</v>
      </c>
      <c r="DU23" s="27">
        <f>MAX(DU22,PortfolioFrontier[[#This Row],[P31 Growth]])</f>
        <v>1.152629601453196</v>
      </c>
      <c r="DV23" s="27">
        <f>PortfolioFrontier[[#This Row],[P31 Growth]]/PortfolioFrontier[[#This Row],[P31 HWM]]-1</f>
        <v>-8.7085959719512829E-4</v>
      </c>
      <c r="DW23" s="28">
        <f>SUMPRODUCT(INDEX(PortfolioRef[[SPY]:[PE]],MATCH(DW$1,PortfolioRef[Reference '#]),0),AssetMonthlyReturns[[#This Row],[SPY]:[PE]])</f>
        <v>-1.16020114055857E-3</v>
      </c>
      <c r="DX23" s="27">
        <f>IF(ISNUMBER(DX22),DX22*(1+PortfolioFrontier[[#This Row],[P32 Return]]),1+PortfolioFrontier[[#This Row],[P32 Return]])</f>
        <v>1.1470055691299124</v>
      </c>
      <c r="DY23" s="27">
        <f>MAX(DY22,PortfolioFrontier[[#This Row],[P32 Growth]])</f>
        <v>1.1483378720387984</v>
      </c>
      <c r="DZ23" s="27">
        <f>PortfolioFrontier[[#This Row],[P32 Growth]]/PortfolioFrontier[[#This Row],[P32 HWM]]-1</f>
        <v>-1.1602011405585921E-3</v>
      </c>
      <c r="EA23" s="28">
        <f>SUMPRODUCT(INDEX(PortfolioRef[[SPY]:[PE]],MATCH(EA$1,PortfolioRef[Reference '#]),0),AssetMonthlyReturns[[#This Row],[SPY]:[PE]])</f>
        <v>-1.4495426839221397E-3</v>
      </c>
      <c r="EB23" s="27">
        <f>IF(ISNUMBER(EB22),EB22*(1+PortfolioFrontier[[#This Row],[P33 Return]]),1+PortfolioFrontier[[#This Row],[P33 Return]])</f>
        <v>1.1423396768403373</v>
      </c>
      <c r="EC23" s="27">
        <f>MAX(EC22,PortfolioFrontier[[#This Row],[P33 Growth]])</f>
        <v>1.1439979507001967</v>
      </c>
      <c r="ED23" s="27">
        <f>PortfolioFrontier[[#This Row],[P33 Growth]]/PortfolioFrontier[[#This Row],[P33 HWM]]-1</f>
        <v>-1.449542683922167E-3</v>
      </c>
      <c r="EE23" s="28">
        <f>SUMPRODUCT(INDEX(PortfolioRef[[SPY]:[PE]],MATCH(EE$1,PortfolioRef[Reference '#]),0),AssetMonthlyReturns[[#This Row],[SPY]:[PE]])</f>
        <v>2.163032053439329E-3</v>
      </c>
      <c r="EF23" s="27">
        <f>IF(ISNUMBER(EF22),EF22*(1+PortfolioFrontier[[#This Row],[P34 Return]]),1+PortfolioFrontier[[#This Row],[P34 Return]])</f>
        <v>1.127507070508857</v>
      </c>
      <c r="EG23" s="27">
        <f>MAX(EG22,PortfolioFrontier[[#This Row],[P34 Growth]])</f>
        <v>1.127507070508857</v>
      </c>
      <c r="EH23" s="27">
        <f>PortfolioFrontier[[#This Row],[P34 Growth]]/PortfolioFrontier[[#This Row],[P34 HWM]]-1</f>
        <v>0</v>
      </c>
      <c r="EI23" s="28">
        <f>SUMPRODUCT(INDEX(PortfolioRef[[SPY]:[PE]],MATCH(EI$1,PortfolioRef[Reference '#]),0),AssetMonthlyReturns[[#This Row],[SPY]:[PE]])</f>
        <v>2.9967009483233492E-3</v>
      </c>
      <c r="EJ23" s="27">
        <f>IF(ISNUMBER(EJ22),EJ22*(1+PortfolioFrontier[[#This Row],[P35 Return]]),1+PortfolioFrontier[[#This Row],[P35 Return]])</f>
        <v>1.126588414254706</v>
      </c>
      <c r="EK23" s="27">
        <f>MAX(EK22,PortfolioFrontier[[#This Row],[P35 Growth]])</f>
        <v>1.126588414254706</v>
      </c>
      <c r="EL23" s="27">
        <f>PortfolioFrontier[[#This Row],[P35 Growth]]/PortfolioFrontier[[#This Row],[P35 HWM]]-1</f>
        <v>0</v>
      </c>
      <c r="EM23" s="28">
        <f>SUMPRODUCT(INDEX(PortfolioRef[[SPY]:[PE]],MATCH(EM$1,PortfolioRef[Reference '#]),0),AssetMonthlyReturns[[#This Row],[SPY]:[PE]])</f>
        <v>1.1084441672978003E-3</v>
      </c>
      <c r="EN23" s="27">
        <f>IF(ISNUMBER(EN22),EN22*(1+PortfolioFrontier[[#This Row],[P36 Return]]),1+PortfolioFrontier[[#This Row],[P36 Return]])</f>
        <v>1.1305802513274736</v>
      </c>
      <c r="EO23" s="27">
        <f>MAX(EO22,PortfolioFrontier[[#This Row],[P36 Growth]])</f>
        <v>1.1305802513274736</v>
      </c>
      <c r="EP23" s="27">
        <f>PortfolioFrontier[[#This Row],[P36 Growth]]/PortfolioFrontier[[#This Row],[P36 HWM]]-1</f>
        <v>0</v>
      </c>
      <c r="EQ23" s="28">
        <f>SUMPRODUCT(INDEX(PortfolioRef[[SPY]:[PE]],MATCH(EQ$1,PortfolioRef[Reference '#]),0),AssetMonthlyReturns[[#This Row],[SPY]:[PE]])</f>
        <v>8.1910262393423104E-4</v>
      </c>
      <c r="ER23" s="27">
        <f>IF(ISNUMBER(ER22),ER22*(1+PortfolioFrontier[[#This Row],[P37 Return]]),1+PortfolioFrontier[[#This Row],[P37 Return]])</f>
        <v>1.1259660364185495</v>
      </c>
      <c r="ES23" s="27">
        <f>MAX(ES22,PortfolioFrontier[[#This Row],[P37 Growth]])</f>
        <v>1.1259660364185495</v>
      </c>
      <c r="ET23" s="27">
        <f>PortfolioFrontier[[#This Row],[P37 Growth]]/PortfolioFrontier[[#This Row],[P37 HWM]]-1</f>
        <v>0</v>
      </c>
      <c r="EU23" s="28">
        <f>SUMPRODUCT(INDEX(PortfolioRef[[SPY]:[PE]],MATCH(EU$1,PortfolioRef[Reference '#]),0),AssetMonthlyReturns[[#This Row],[SPY]:[PE]])</f>
        <v>3.8303698432073695E-3</v>
      </c>
      <c r="EV23" s="27">
        <f>IF(ISNUMBER(EV22),EV22*(1+PortfolioFrontier[[#This Row],[P38 Return]]),1+PortfolioFrontier[[#This Row],[P38 Return]])</f>
        <v>1.125614046053945</v>
      </c>
      <c r="EW23" s="27">
        <f>MAX(EW22,PortfolioFrontier[[#This Row],[P38 Growth]])</f>
        <v>1.125614046053945</v>
      </c>
      <c r="EX23" s="27">
        <f>PortfolioFrontier[[#This Row],[P38 Growth]]/PortfolioFrontier[[#This Row],[P38 HWM]]-1</f>
        <v>0</v>
      </c>
      <c r="EY23" s="28">
        <f>SUMPRODUCT(INDEX(PortfolioRef[[SPY]:[PE]],MATCH(EY$1,PortfolioRef[Reference '#]),0),AssetMonthlyReturns[[#This Row],[SPY]:[PE]])</f>
        <v>1.9421130621818218E-3</v>
      </c>
      <c r="EZ23" s="27">
        <f>IF(ISNUMBER(EZ22),EZ22*(1+PortfolioFrontier[[#This Row],[P39 Return]]),1+PortfolioFrontier[[#This Row],[P39 Return]])</f>
        <v>1.1296474998968855</v>
      </c>
      <c r="FA23" s="27">
        <f>MAX(FA22,PortfolioFrontier[[#This Row],[P39 Growth]])</f>
        <v>1.1296474998968855</v>
      </c>
      <c r="FB23" s="27">
        <f>PortfolioFrontier[[#This Row],[P39 Growth]]/PortfolioFrontier[[#This Row],[P39 HWM]]-1</f>
        <v>0</v>
      </c>
      <c r="FC23" s="28">
        <f>SUMPRODUCT(INDEX(PortfolioRef[[SPY]:[PE]],MATCH(FC$1,PortfolioRef[Reference '#]),0),AssetMonthlyReturns[[#This Row],[SPY]:[PE]])</f>
        <v>1.6527715188182522E-3</v>
      </c>
      <c r="FD23" s="27">
        <f>IF(ISNUMBER(FD22),FD22*(1+PortfolioFrontier[[#This Row],[P40 Return]]),1+PortfolioFrontier[[#This Row],[P40 Return]])</f>
        <v>1.1250686654936299</v>
      </c>
      <c r="FE23" s="27">
        <f>MAX(FE22,PortfolioFrontier[[#This Row],[P40 Growth]])</f>
        <v>1.1250686654936299</v>
      </c>
      <c r="FF23" s="27">
        <f>PortfolioFrontier[[#This Row],[P40 Growth]]/PortfolioFrontier[[#This Row],[P40 HWM]]-1</f>
        <v>0</v>
      </c>
      <c r="FG23" s="28">
        <f>SUMPRODUCT(INDEX(PortfolioRef[[SPY]:[PE]],MATCH(FG$1,PortfolioRef[Reference '#]),0),AssetMonthlyReturns[[#This Row],[SPY]:[PE]])</f>
        <v>5.3856281156272005E-5</v>
      </c>
      <c r="FH23" s="27">
        <f>IF(ISNUMBER(FH22),FH22*(1+PortfolioFrontier[[#This Row],[P41 Return]]),1+PortfolioFrontier[[#This Row],[P41 Return]])</f>
        <v>1.1336255483454294</v>
      </c>
      <c r="FI23" s="27">
        <f>MAX(FI22,PortfolioFrontier[[#This Row],[P41 Growth]])</f>
        <v>1.1336255483454294</v>
      </c>
      <c r="FJ23" s="27">
        <f>PortfolioFrontier[[#This Row],[P41 Growth]]/PortfolioFrontier[[#This Row],[P41 HWM]]-1</f>
        <v>0</v>
      </c>
      <c r="FK23" s="28">
        <f>SUMPRODUCT(INDEX(PortfolioRef[[SPY]:[PE]],MATCH(FK$1,PortfolioRef[Reference '#]),0),AssetMonthlyReturns[[#This Row],[SPY]:[PE]])</f>
        <v>-2.354852622072968E-4</v>
      </c>
      <c r="FL23" s="27">
        <f>IF(ISNUMBER(FL22),FL22*(1+PortfolioFrontier[[#This Row],[P42 Return]]),1+PortfolioFrontier[[#This Row],[P42 Return]])</f>
        <v>1.129035135164846</v>
      </c>
      <c r="FM23" s="27">
        <f>MAX(FM22,PortfolioFrontier[[#This Row],[P42 Growth]])</f>
        <v>1.1293010689231724</v>
      </c>
      <c r="FN23" s="27">
        <f>PortfolioFrontier[[#This Row],[P42 Growth]]/PortfolioFrontier[[#This Row],[P42 HWM]]-1</f>
        <v>-2.3548526220729116E-4</v>
      </c>
      <c r="FO23" s="28">
        <f>SUMPRODUCT(INDEX(PortfolioRef[[SPY]:[PE]],MATCH(FO$1,PortfolioRef[Reference '#]),0),AssetMonthlyReturns[[#This Row],[SPY]:[PE]])</f>
        <v>-5.248268055708669E-4</v>
      </c>
      <c r="FP23" s="27">
        <f>IF(ISNUMBER(FP22),FP22*(1+PortfolioFrontier[[#This Row],[P43 Return]]),1+PortfolioFrontier[[#This Row],[P43 Return]])</f>
        <v>1.1244000972956429</v>
      </c>
      <c r="FQ23" s="27">
        <f>MAX(FQ22,PortfolioFrontier[[#This Row],[P43 Growth]])</f>
        <v>1.1249905224778525</v>
      </c>
      <c r="FR23" s="27">
        <f>PortfolioFrontier[[#This Row],[P43 Growth]]/PortfolioFrontier[[#This Row],[P43 HWM]]-1</f>
        <v>-5.2482680557086603E-4</v>
      </c>
      <c r="FS23" s="28">
        <f>SUMPRODUCT(INDEX(PortfolioRef[[SPY]:[PE]],MATCH(FS$1,PortfolioRef[Reference '#]),0),AssetMonthlyReturns[[#This Row],[SPY]:[PE]])</f>
        <v>2.7757819570658421E-3</v>
      </c>
      <c r="FT23" s="27">
        <f>IF(ISNUMBER(FT22),FT22*(1+PortfolioFrontier[[#This Row],[P44 Return]]),1+PortfolioFrontier[[#This Row],[P44 Return]])</f>
        <v>1.1286589904597604</v>
      </c>
      <c r="FU23" s="27">
        <f>MAX(FU22,PortfolioFrontier[[#This Row],[P44 Growth]])</f>
        <v>1.1286589904597604</v>
      </c>
      <c r="FV23" s="27">
        <f>PortfolioFrontier[[#This Row],[P44 Growth]]/PortfolioFrontier[[#This Row],[P44 HWM]]-1</f>
        <v>0</v>
      </c>
      <c r="FW23" s="28">
        <f>SUMPRODUCT(INDEX(PortfolioRef[[SPY]:[PE]],MATCH(FW$1,PortfolioRef[Reference '#]),0),AssetMonthlyReturns[[#This Row],[SPY]:[PE]])</f>
        <v>2.4864404137022724E-3</v>
      </c>
      <c r="FX23" s="27">
        <f>IF(ISNUMBER(FX22),FX22*(1+PortfolioFrontier[[#This Row],[P45 Return]]),1+PortfolioFrontier[[#This Row],[P45 Return]])</f>
        <v>1.124115627158953</v>
      </c>
      <c r="FY23" s="27">
        <f>MAX(FY22,PortfolioFrontier[[#This Row],[P45 Growth]])</f>
        <v>1.124115627158953</v>
      </c>
      <c r="FZ23" s="27">
        <f>PortfolioFrontier[[#This Row],[P45 Growth]]/PortfolioFrontier[[#This Row],[P45 HWM]]-1</f>
        <v>0</v>
      </c>
      <c r="GA23" s="28">
        <f>SUMPRODUCT(INDEX(PortfolioRef[[SPY]:[PE]],MATCH(GA$1,PortfolioRef[Reference '#]),0),AssetMonthlyReturns[[#This Row],[SPY]:[PE]])</f>
        <v>8.8752517604029314E-4</v>
      </c>
      <c r="GB23" s="27">
        <f>IF(ISNUMBER(GB22),GB22*(1+PortfolioFrontier[[#This Row],[P46 Return]]),1+PortfolioFrontier[[#This Row],[P46 Return]])</f>
        <v>1.1326786779145719</v>
      </c>
      <c r="GC23" s="27">
        <f>MAX(GC22,PortfolioFrontier[[#This Row],[P46 Growth]])</f>
        <v>1.1326786779145719</v>
      </c>
      <c r="GD23" s="27">
        <f>PortfolioFrontier[[#This Row],[P46 Growth]]/PortfolioFrontier[[#This Row],[P46 HWM]]-1</f>
        <v>0</v>
      </c>
      <c r="GE23" s="28">
        <f>SUMPRODUCT(INDEX(PortfolioRef[[SPY]:[PE]],MATCH(GE$1,PortfolioRef[Reference '#]),0),AssetMonthlyReturns[[#This Row],[SPY]:[PE]])</f>
        <v>5.9818363267672477E-4</v>
      </c>
      <c r="GF23" s="27">
        <f>IF(ISNUMBER(GF22),GF22*(1+PortfolioFrontier[[#This Row],[P47 Return]]),1+PortfolioFrontier[[#This Row],[P47 Return]])</f>
        <v>1.1281237422370465</v>
      </c>
      <c r="GG23" s="27">
        <f>MAX(GG22,PortfolioFrontier[[#This Row],[P47 Growth]])</f>
        <v>1.1281237422370465</v>
      </c>
      <c r="GH23" s="27">
        <f>PortfolioFrontier[[#This Row],[P47 Growth]]/PortfolioFrontier[[#This Row],[P47 HWM]]-1</f>
        <v>0</v>
      </c>
      <c r="GI23" s="28">
        <f>SUMPRODUCT(INDEX(PortfolioRef[[SPY]:[PE]],MATCH(GI$1,PortfolioRef[Reference '#]),0),AssetMonthlyReturns[[#This Row],[SPY]:[PE]])</f>
        <v>3.0884208931315424E-4</v>
      </c>
      <c r="GJ23" s="27">
        <f>IF(ISNUMBER(GJ22),GJ22*(1+PortfolioFrontier[[#This Row],[P48 Return]]),1+PortfolioFrontier[[#This Row],[P48 Return]])</f>
        <v>1.1235239778024089</v>
      </c>
      <c r="GK23" s="27">
        <f>MAX(GK22,PortfolioFrontier[[#This Row],[P48 Growth]])</f>
        <v>1.1235239778024089</v>
      </c>
      <c r="GL23" s="27">
        <f>PortfolioFrontier[[#This Row],[P48 Growth]]/PortfolioFrontier[[#This Row],[P48 HWM]]-1</f>
        <v>0</v>
      </c>
      <c r="GM23" s="28">
        <f>SUMPRODUCT(INDEX(PortfolioRef[[SPY]:[PE]],MATCH(GM$1,PortfolioRef[Reference '#]),0),AssetMonthlyReturns[[#This Row],[SPY]:[PE]])</f>
        <v>-1.0007316049852558E-3</v>
      </c>
      <c r="GN23" s="27">
        <f>IF(ISNUMBER(GN22),GN22*(1+PortfolioFrontier[[#This Row],[P49 Return]]),1+PortfolioFrontier[[#This Row],[P49 Return]])</f>
        <v>1.1366427062720597</v>
      </c>
      <c r="GO23" s="27">
        <f>MAX(GO22,PortfolioFrontier[[#This Row],[P49 Growth]])</f>
        <v>1.137781319998544</v>
      </c>
      <c r="GP23" s="27">
        <f>PortfolioFrontier[[#This Row],[P49 Growth]]/PortfolioFrontier[[#This Row],[P49 HWM]]-1</f>
        <v>-1.000731604985261E-3</v>
      </c>
      <c r="GQ23" s="28">
        <f>SUMPRODUCT(INDEX(PortfolioRef[[SPY]:[PE]],MATCH(GQ$1,PortfolioRef[Reference '#]),0),AssetMonthlyReturns[[#This Row],[SPY]:[PE]])</f>
        <v>-1.2900731483488251E-3</v>
      </c>
      <c r="GR23" s="27">
        <f>IF(ISNUMBER(GR22),GR22*(1+PortfolioFrontier[[#This Row],[P50 Return]]),1+PortfolioFrontier[[#This Row],[P50 Return]])</f>
        <v>1.1320763991243692</v>
      </c>
      <c r="GS23" s="27">
        <f>MAX(GS22,PortfolioFrontier[[#This Row],[P50 Growth]])</f>
        <v>1.1335387470245184</v>
      </c>
      <c r="GT23" s="27">
        <f>PortfolioFrontier[[#This Row],[P50 Growth]]/PortfolioFrontier[[#This Row],[P50 HWM]]-1</f>
        <v>-1.2900731483487249E-3</v>
      </c>
      <c r="GU23" s="28">
        <f>SUMPRODUCT(INDEX(PortfolioRef[[SPY]:[PE]],MATCH(GU$1,PortfolioRef[Reference '#]),0),AssetMonthlyReturns[[#This Row],[SPY]:[PE]])</f>
        <v>-1.5794146917123947E-3</v>
      </c>
      <c r="GV23" s="27">
        <f>IF(ISNUMBER(GV22),GV22*(1+PortfolioFrontier[[#This Row],[P51 Return]]),1+PortfolioFrontier[[#This Row],[P51 Return]])</f>
        <v>1.1274650439394931</v>
      </c>
      <c r="GW23" s="27">
        <f>MAX(GW22,PortfolioFrontier[[#This Row],[P51 Growth]])</f>
        <v>1.1292485957622356</v>
      </c>
      <c r="GX23" s="27">
        <f>PortfolioFrontier[[#This Row],[P51 Growth]]/PortfolioFrontier[[#This Row],[P51 HWM]]-1</f>
        <v>-1.5794146917124108E-3</v>
      </c>
      <c r="GY23" s="28">
        <f>SUMPRODUCT(INDEX(PortfolioRef[[SPY]:[PE]],MATCH(GY$1,PortfolioRef[Reference '#]),0),AssetMonthlyReturns[[#This Row],[SPY]:[PE]])</f>
        <v>1.721194070924313E-3</v>
      </c>
      <c r="GZ23" s="27">
        <f>IF(ISNUMBER(GZ22),GZ22*(1+PortfolioFrontier[[#This Row],[P52 Return]]),1+PortfolioFrontier[[#This Row],[P52 Return]])</f>
        <v>1.1316760049861521</v>
      </c>
      <c r="HA23" s="27">
        <f>MAX(HA22,PortfolioFrontier[[#This Row],[P52 Growth]])</f>
        <v>1.1316760049861521</v>
      </c>
      <c r="HB23" s="27">
        <f>PortfolioFrontier[[#This Row],[P52 Growth]]/PortfolioFrontier[[#This Row],[P52 HWM]]-1</f>
        <v>0</v>
      </c>
      <c r="HC23" s="28">
        <f>SUMPRODUCT(INDEX(PortfolioRef[[SPY]:[PE]],MATCH(HC$1,PortfolioRef[Reference '#]),0),AssetMonthlyReturns[[#This Row],[SPY]:[PE]])</f>
        <v>1.431852527560745E-3</v>
      </c>
      <c r="HD23" s="27">
        <f>IF(ISNUMBER(HD22),HD22*(1+PortfolioFrontier[[#This Row],[P53 Return]]),1+PortfolioFrontier[[#This Row],[P53 Return]])</f>
        <v>1.1271566355649261</v>
      </c>
      <c r="HE23" s="27">
        <f>MAX(HE22,PortfolioFrontier[[#This Row],[P53 Growth]])</f>
        <v>1.1271566355649261</v>
      </c>
      <c r="HF23" s="27">
        <f>PortfolioFrontier[[#This Row],[P53 Growth]]/PortfolioFrontier[[#This Row],[P53 HWM]]-1</f>
        <v>0</v>
      </c>
      <c r="HG23" s="28">
        <f>SUMPRODUCT(INDEX(PortfolioRef[[SPY]:[PE]],MATCH(HG$1,PortfolioRef[Reference '#]),0),AssetMonthlyReturns[[#This Row],[SPY]:[PE]])</f>
        <v>1.1425109841971745E-3</v>
      </c>
      <c r="HH23" s="27">
        <f>IF(ISNUMBER(HH22),HH22*(1+PortfolioFrontier[[#This Row],[P54 Return]]),1+PortfolioFrontier[[#This Row],[P54 Return]])</f>
        <v>1.1225922371293542</v>
      </c>
      <c r="HI23" s="27">
        <f>MAX(HI22,PortfolioFrontier[[#This Row],[P54 Growth]])</f>
        <v>1.1225922371293542</v>
      </c>
      <c r="HJ23" s="27">
        <f>PortfolioFrontier[[#This Row],[P54 Growth]]/PortfolioFrontier[[#This Row],[P54 HWM]]-1</f>
        <v>0</v>
      </c>
      <c r="HK23" s="28">
        <f>SUMPRODUCT(INDEX(PortfolioRef[[SPY]:[PE]],MATCH(HK$1,PortfolioRef[Reference '#]),0),AssetMonthlyReturns[[#This Row],[SPY]:[PE]])</f>
        <v>-1.670627101012347E-4</v>
      </c>
      <c r="HL23" s="27">
        <f>IF(ISNUMBER(HL22),HL22*(1+PortfolioFrontier[[#This Row],[P55 Return]]),1+PortfolioFrontier[[#This Row],[P55 Return]])</f>
        <v>1.1356816938565801</v>
      </c>
      <c r="HM23" s="27">
        <f>MAX(HM22,PortfolioFrontier[[#This Row],[P55 Growth]])</f>
        <v>1.1358714556202827</v>
      </c>
      <c r="HN23" s="27">
        <f>PortfolioFrontier[[#This Row],[P55 Growth]]/PortfolioFrontier[[#This Row],[P55 HWM]]-1</f>
        <v>-1.6706271010125118E-4</v>
      </c>
      <c r="HO23" s="28">
        <f>SUMPRODUCT(INDEX(PortfolioRef[[SPY]:[PE]],MATCH(HO$1,PortfolioRef[Reference '#]),0),AssetMonthlyReturns[[#This Row],[SPY]:[PE]])</f>
        <v>-4.5640425346480393E-4</v>
      </c>
      <c r="HP23" s="27">
        <f>IF(ISNUMBER(HP22),HP22*(1+PortfolioFrontier[[#This Row],[P56 Return]]),1+PortfolioFrontier[[#This Row],[P56 Return]])</f>
        <v>1.1311509600742362</v>
      </c>
      <c r="HQ23" s="27">
        <f>MAX(HQ22,PortfolioFrontier[[#This Row],[P56 Growth]])</f>
        <v>1.1316674579155366</v>
      </c>
      <c r="HR23" s="27">
        <f>PortfolioFrontier[[#This Row],[P56 Growth]]/PortfolioFrontier[[#This Row],[P56 HWM]]-1</f>
        <v>-4.5640425346482605E-4</v>
      </c>
      <c r="HS23" s="28">
        <f>SUMPRODUCT(INDEX(PortfolioRef[[SPY]:[PE]],MATCH(HS$1,PortfolioRef[Reference '#]),0),AssetMonthlyReturns[[#This Row],[SPY]:[PE]])</f>
        <v>-7.457457968283736E-4</v>
      </c>
      <c r="HT23" s="27">
        <f>IF(ISNUMBER(HT22),HT22*(1+PortfolioFrontier[[#This Row],[P57 Return]]),1+PortfolioFrontier[[#This Row],[P57 Return]])</f>
        <v>1.1265749756505217</v>
      </c>
      <c r="HU23" s="27">
        <f>MAX(HU22,PortfolioFrontier[[#This Row],[P57 Growth]])</f>
        <v>1.1274157412008003</v>
      </c>
      <c r="HV23" s="27">
        <f>PortfolioFrontier[[#This Row],[P57 Growth]]/PortfolioFrontier[[#This Row],[P57 HWM]]-1</f>
        <v>-7.4574579682840092E-4</v>
      </c>
      <c r="HW23" s="28">
        <f>SUMPRODUCT(INDEX(PortfolioRef[[SPY]:[PE]],MATCH(HW$1,PortfolioRef[Reference '#]),0),AssetMonthlyReturns[[#This Row],[SPY]:[PE]])</f>
        <v>-2.0553194911267841E-3</v>
      </c>
      <c r="HX23" s="27">
        <f>IF(ISNUMBER(HX22),HX22*(1+PortfolioFrontier[[#This Row],[P58 Return]]),1+PortfolioFrontier[[#This Row],[P58 Return]])</f>
        <v>1.1396314712839677</v>
      </c>
      <c r="HY23" s="27">
        <f>MAX(HY22,PortfolioFrontier[[#This Row],[P58 Growth]])</f>
        <v>1.1419786021634439</v>
      </c>
      <c r="HZ23" s="27">
        <f>PortfolioFrontier[[#This Row],[P58 Growth]]/PortfolioFrontier[[#This Row],[P58 HWM]]-1</f>
        <v>-2.0553194911268058E-3</v>
      </c>
      <c r="IA23" s="28">
        <f>SUMPRODUCT(INDEX(PortfolioRef[[SPY]:[PE]],MATCH(IA$1,PortfolioRef[Reference '#]),0),AssetMonthlyReturns[[#This Row],[SPY]:[PE]])</f>
        <v>-2.3446610344903529E-3</v>
      </c>
      <c r="IB23" s="27">
        <f>IF(ISNUMBER(IB22),IB22*(1+PortfolioFrontier[[#This Row],[P59 Return]]),1+PortfolioFrontier[[#This Row],[P59 Return]])</f>
        <v>1.1350895734725943</v>
      </c>
      <c r="IC23" s="27">
        <f>MAX(IC22,PortfolioFrontier[[#This Row],[P59 Growth]])</f>
        <v>1.1377572285129984</v>
      </c>
      <c r="ID23" s="27">
        <f>PortfolioFrontier[[#This Row],[P59 Growth]]/PortfolioFrontier[[#This Row],[P59 HWM]]-1</f>
        <v>-2.3446610344902696E-3</v>
      </c>
      <c r="IE23" s="28">
        <f>SUMPRODUCT(INDEX(PortfolioRef[[SPY]:[PE]],MATCH(IE$1,PortfolioRef[Reference '#]),0),AssetMonthlyReturns[[#This Row],[SPY]:[PE]])</f>
        <v>-2.634002577853923E-3</v>
      </c>
      <c r="IF23" s="27">
        <f>IF(ISNUMBER(IF22),IF22*(1+PortfolioFrontier[[#This Row],[P60 Return]]),1+PortfolioFrontier[[#This Row],[P60 Return]])</f>
        <v>1.1305022050837623</v>
      </c>
      <c r="IG23" s="27">
        <f>MAX(IG22,PortfolioFrontier[[#This Row],[P60 Growth]])</f>
        <v>1.1334878149102019</v>
      </c>
      <c r="IH23" s="27">
        <f>PortfolioFrontier[[#This Row],[P60 Growth]]/PortfolioFrontier[[#This Row],[P60 HWM]]-1</f>
        <v>-2.6340025778540666E-3</v>
      </c>
      <c r="II23" s="28">
        <f>SUMPRODUCT(INDEX(PortfolioRef[[SPY]:[PE]],MATCH(II$1,PortfolioRef[Reference '#]),0),AssetMonthlyReturns[[#This Row],[SPY]:[PE]])</f>
        <v>2.0331600456490731E-3</v>
      </c>
      <c r="IJ23" s="27">
        <f>IF(ISNUMBER(IJ22),IJ22*(1+PortfolioFrontier[[#This Row],[P61 Return]]),1+PortfolioFrontier[[#This Row],[P61 Return]])</f>
        <v>1.1127698402488719</v>
      </c>
      <c r="IK23" s="27">
        <f>MAX(IK22,PortfolioFrontier[[#This Row],[P61 Growth]])</f>
        <v>1.1127698402488719</v>
      </c>
      <c r="IL23" s="27">
        <f>PortfolioFrontier[[#This Row],[P61 Growth]]/PortfolioFrontier[[#This Row],[P61 HWM]]-1</f>
        <v>0</v>
      </c>
      <c r="IM23" s="28">
        <f>SUMPRODUCT(INDEX(PortfolioRef[[SPY]:[PE]],MATCH(IM$1,PortfolioRef[Reference '#]),0),AssetMonthlyReturns[[#This Row],[SPY]:[PE]])</f>
        <v>2.8668289405330942E-3</v>
      </c>
      <c r="IN23" s="27">
        <f>IF(ISNUMBER(IN22),IN22*(1+PortfolioFrontier[[#This Row],[P62 Return]]),1+PortfolioFrontier[[#This Row],[P62 Return]])</f>
        <v>1.1118502610280105</v>
      </c>
      <c r="IO23" s="27">
        <f>MAX(IO22,PortfolioFrontier[[#This Row],[P62 Growth]])</f>
        <v>1.1118502610280105</v>
      </c>
      <c r="IP23" s="27">
        <f>PortfolioFrontier[[#This Row],[P62 Growth]]/PortfolioFrontier[[#This Row],[P62 HWM]]-1</f>
        <v>0</v>
      </c>
      <c r="IQ23" s="28">
        <f>SUMPRODUCT(INDEX(PortfolioRef[[SPY]:[PE]],MATCH(IQ$1,PortfolioRef[Reference '#]),0),AssetMonthlyReturns[[#This Row],[SPY]:[PE]])</f>
        <v>9.7857215950754523E-4</v>
      </c>
      <c r="IR23" s="27">
        <f>IF(ISNUMBER(IR22),IR22*(1+PortfolioFrontier[[#This Row],[P63 Return]]),1+PortfolioFrontier[[#This Row],[P63 Return]])</f>
        <v>1.1158159355156421</v>
      </c>
      <c r="IS23" s="27">
        <f>MAX(IS22,PortfolioFrontier[[#This Row],[P63 Growth]])</f>
        <v>1.1158159355156421</v>
      </c>
      <c r="IT23" s="27">
        <f>PortfolioFrontier[[#This Row],[P63 Growth]]/PortfolioFrontier[[#This Row],[P63 HWM]]-1</f>
        <v>0</v>
      </c>
      <c r="IU23" s="28">
        <f>SUMPRODUCT(INDEX(PortfolioRef[[SPY]:[PE]],MATCH(IU$1,PortfolioRef[Reference '#]),0),AssetMonthlyReturns[[#This Row],[SPY]:[PE]])</f>
        <v>6.89230616143976E-4</v>
      </c>
      <c r="IV23" s="27">
        <f>IF(ISNUMBER(IV22),IV22*(1+PortfolioFrontier[[#This Row],[P64 Return]]),1+PortfolioFrontier[[#This Row],[P64 Return]])</f>
        <v>1.1112558548831764</v>
      </c>
      <c r="IW23" s="27">
        <f>MAX(IW22,PortfolioFrontier[[#This Row],[P64 Growth]])</f>
        <v>1.1112558548831764</v>
      </c>
      <c r="IX23" s="27">
        <f>PortfolioFrontier[[#This Row],[P64 Growth]]/PortfolioFrontier[[#This Row],[P64 HWM]]-1</f>
        <v>0</v>
      </c>
      <c r="IY23" s="28">
        <f>SUMPRODUCT(INDEX(PortfolioRef[[SPY]:[PE]],MATCH(IY$1,PortfolioRef[Reference '#]),0),AssetMonthlyReturns[[#This Row],[SPY]:[PE]])</f>
        <v>3.7004978354171153E-3</v>
      </c>
      <c r="IZ23" s="27">
        <f>IF(ISNUMBER(IZ22),IZ22*(1+PortfolioFrontier[[#This Row],[P65 Return]]),1+PortfolioFrontier[[#This Row],[P65 Return]])</f>
        <v>1.1108756422964128</v>
      </c>
      <c r="JA23" s="27">
        <f>MAX(JA22,PortfolioFrontier[[#This Row],[P65 Growth]])</f>
        <v>1.1108756422964128</v>
      </c>
      <c r="JB23" s="27">
        <f>PortfolioFrontier[[#This Row],[P65 Growth]]/PortfolioFrontier[[#This Row],[P65 HWM]]-1</f>
        <v>0</v>
      </c>
      <c r="JC23" s="28">
        <f>SUMPRODUCT(INDEX(PortfolioRef[[SPY]:[PE]],MATCH(JC$1,PortfolioRef[Reference '#]),0),AssetMonthlyReturns[[#This Row],[SPY]:[PE]])</f>
        <v>1.8122410543915659E-3</v>
      </c>
      <c r="JD23" s="27">
        <f>IF(ISNUMBER(JD22),JD22*(1+PortfolioFrontier[[#This Row],[P66 Return]]),1+PortfolioFrontier[[#This Row],[P66 Return]])</f>
        <v>1.1148824107227431</v>
      </c>
      <c r="JE23" s="27">
        <f>MAX(JE22,PortfolioFrontier[[#This Row],[P66 Growth]])</f>
        <v>1.1148824107227431</v>
      </c>
      <c r="JF23" s="27">
        <f>PortfolioFrontier[[#This Row],[P66 Growth]]/PortfolioFrontier[[#This Row],[P66 HWM]]-1</f>
        <v>0</v>
      </c>
      <c r="JG23" s="28">
        <f>SUMPRODUCT(INDEX(PortfolioRef[[SPY]:[PE]],MATCH(JG$1,PortfolioRef[Reference '#]),0),AssetMonthlyReturns[[#This Row],[SPY]:[PE]])</f>
        <v>1.5228995110279971E-3</v>
      </c>
      <c r="JH23" s="27">
        <f>IF(ISNUMBER(JH22),JH22*(1+PortfolioFrontier[[#This Row],[P67 Return]]),1+PortfolioFrontier[[#This Row],[P67 Return]])</f>
        <v>1.1103573215377003</v>
      </c>
      <c r="JI23" s="27">
        <f>MAX(JI22,PortfolioFrontier[[#This Row],[P67 Growth]])</f>
        <v>1.1103573215377003</v>
      </c>
      <c r="JJ23" s="27">
        <f>PortfolioFrontier[[#This Row],[P67 Growth]]/PortfolioFrontier[[#This Row],[P67 HWM]]-1</f>
        <v>0</v>
      </c>
      <c r="JK23" s="28">
        <f>SUMPRODUCT(INDEX(PortfolioRef[[SPY]:[PE]],MATCH(JK$1,PortfolioRef[Reference '#]),0),AssetMonthlyReturns[[#This Row],[SPY]:[PE]])</f>
        <v>-7.6015726633983042E-5</v>
      </c>
      <c r="JL23" s="27">
        <f>IF(ISNUMBER(JL22),JL22*(1+PortfolioFrontier[[#This Row],[P68 Return]]),1+PortfolioFrontier[[#This Row],[P68 Return]])</f>
        <v>1.1188345482597297</v>
      </c>
      <c r="JM23" s="27">
        <f>MAX(JM22,PortfolioFrontier[[#This Row],[P68 Growth]])</f>
        <v>1.1189196037464535</v>
      </c>
      <c r="JN23" s="27">
        <f>PortfolioFrontier[[#This Row],[P68 Growth]]/PortfolioFrontier[[#This Row],[P68 HWM]]-1</f>
        <v>-7.6015726633960057E-5</v>
      </c>
      <c r="JO23" s="28">
        <f>SUMPRODUCT(INDEX(PortfolioRef[[SPY]:[PE]],MATCH(JO$1,PortfolioRef[Reference '#]),0),AssetMonthlyReturns[[#This Row],[SPY]:[PE]])</f>
        <v>-3.6535726999755184E-4</v>
      </c>
      <c r="JP23" s="27">
        <f>IF(ISNUMBER(JP22),JP22*(1+PortfolioFrontier[[#This Row],[P69 Return]]),1+PortfolioFrontier[[#This Row],[P69 Return]])</f>
        <v>1.1142979121761474</v>
      </c>
      <c r="JQ23" s="27">
        <f>MAX(JQ22,PortfolioFrontier[[#This Row],[P69 Growth]])</f>
        <v>1.1147051778167667</v>
      </c>
      <c r="JR23" s="27">
        <f>PortfolioFrontier[[#This Row],[P69 Growth]]/PortfolioFrontier[[#This Row],[P69 HWM]]-1</f>
        <v>-3.6535726999764595E-4</v>
      </c>
      <c r="JS23" s="28">
        <f>SUMPRODUCT(INDEX(PortfolioRef[[SPY]:[PE]],MATCH(JS$1,PortfolioRef[Reference '#]),0),AssetMonthlyReturns[[#This Row],[SPY]:[PE]])</f>
        <v>-6.5469881336112194E-4</v>
      </c>
      <c r="JT23" s="27">
        <f>IF(ISNUMBER(JT22),JT22*(1+PortfolioFrontier[[#This Row],[P70 Return]]),1+PortfolioFrontier[[#This Row],[P70 Return]])</f>
        <v>1.1097172306903247</v>
      </c>
      <c r="JU23" s="27">
        <f>MAX(JU22,PortfolioFrontier[[#This Row],[P70 Growth]])</f>
        <v>1.110444237214733</v>
      </c>
      <c r="JV23" s="27">
        <f>PortfolioFrontier[[#This Row],[P70 Growth]]/PortfolioFrontier[[#This Row],[P70 HWM]]-1</f>
        <v>-6.5469881336122082E-4</v>
      </c>
      <c r="JW23" s="28">
        <f>SUMPRODUCT(INDEX(PortfolioRef[[SPY]:[PE]],MATCH(JW$1,PortfolioRef[Reference '#]),0),AssetMonthlyReturns[[#This Row],[SPY]:[PE]])</f>
        <v>2.6459099492755879E-3</v>
      </c>
      <c r="JX23" s="27">
        <f>IF(ISNUMBER(JX22),JX22*(1+PortfolioFrontier[[#This Row],[P71 Return]]),1+PortfolioFrontier[[#This Row],[P71 Return]])</f>
        <v>1.1138938004652199</v>
      </c>
      <c r="JY23" s="27">
        <f>MAX(JY22,PortfolioFrontier[[#This Row],[P71 Growth]])</f>
        <v>1.1138938004652199</v>
      </c>
      <c r="JZ23" s="27">
        <f>PortfolioFrontier[[#This Row],[P71 Growth]]/PortfolioFrontier[[#This Row],[P71 HWM]]-1</f>
        <v>0</v>
      </c>
      <c r="KA23" s="28">
        <f>SUMPRODUCT(INDEX(PortfolioRef[[SPY]:[PE]],MATCH(KA$1,PortfolioRef[Reference '#]),0),AssetMonthlyReturns[[#This Row],[SPY]:[PE]])</f>
        <v>2.3565684059120183E-3</v>
      </c>
      <c r="KB23" s="27">
        <f>IF(ISNUMBER(KB22),KB22*(1+PortfolioFrontier[[#This Row],[P72 Return]]),1+PortfolioFrontier[[#This Row],[P72 Return]])</f>
        <v>1.1094037921487574</v>
      </c>
      <c r="KC23" s="27">
        <f>MAX(KC22,PortfolioFrontier[[#This Row],[P72 Growth]])</f>
        <v>1.1094037921487574</v>
      </c>
      <c r="KD23" s="27">
        <f>PortfolioFrontier[[#This Row],[P72 Growth]]/PortfolioFrontier[[#This Row],[P72 HWM]]-1</f>
        <v>0</v>
      </c>
      <c r="KE23" s="28">
        <f>SUMPRODUCT(INDEX(PortfolioRef[[SPY]:[PE]],MATCH(KE$1,PortfolioRef[Reference '#]),0),AssetMonthlyReturns[[#This Row],[SPY]:[PE]])</f>
        <v>7.5765316825003809E-4</v>
      </c>
      <c r="KF23" s="27">
        <f>IF(ISNUMBER(KF22),KF22*(1+PortfolioFrontier[[#This Row],[P73 Return]]),1+PortfolioFrontier[[#This Row],[P73 Return]])</f>
        <v>1.1178870544240567</v>
      </c>
      <c r="KG23" s="27">
        <f>MAX(KG22,PortfolioFrontier[[#This Row],[P73 Growth]])</f>
        <v>1.1178870544240567</v>
      </c>
      <c r="KH23" s="27">
        <f>PortfolioFrontier[[#This Row],[P73 Growth]]/PortfolioFrontier[[#This Row],[P73 HWM]]-1</f>
        <v>0</v>
      </c>
      <c r="KI23" s="28">
        <f>SUMPRODUCT(INDEX(PortfolioRef[[SPY]:[PE]],MATCH(KI$1,PortfolioRef[Reference '#]),0),AssetMonthlyReturns[[#This Row],[SPY]:[PE]])</f>
        <v>4.6831162488646929E-4</v>
      </c>
      <c r="KJ23" s="27">
        <f>IF(ISNUMBER(KJ22),KJ22*(1+PortfolioFrontier[[#This Row],[P74 Return]]),1+PortfolioFrontier[[#This Row],[P74 Return]])</f>
        <v>1.113385505745935</v>
      </c>
      <c r="KK23" s="27">
        <f>MAX(KK22,PortfolioFrontier[[#This Row],[P74 Growth]])</f>
        <v>1.113385505745935</v>
      </c>
      <c r="KL23" s="27">
        <f>PortfolioFrontier[[#This Row],[P74 Growth]]/PortfolioFrontier[[#This Row],[P74 HWM]]-1</f>
        <v>0</v>
      </c>
      <c r="KM23" s="28">
        <f>SUMPRODUCT(INDEX(PortfolioRef[[SPY]:[PE]],MATCH(KM$1,PortfolioRef[Reference '#]),0),AssetMonthlyReturns[[#This Row],[SPY]:[PE]])</f>
        <v>1.7897008152289919E-4</v>
      </c>
      <c r="KN23" s="27">
        <f>IF(ISNUMBER(KN22),KN22*(1+PortfolioFrontier[[#This Row],[P75 Return]]),1+PortfolioFrontier[[#This Row],[P75 Return]])</f>
        <v>1.1088397102016152</v>
      </c>
      <c r="KO23" s="27">
        <f>MAX(KO22,PortfolioFrontier[[#This Row],[P75 Growth]])</f>
        <v>1.1088397102016152</v>
      </c>
      <c r="KP23" s="27">
        <f>PortfolioFrontier[[#This Row],[P75 Growth]]/PortfolioFrontier[[#This Row],[P75 HWM]]-1</f>
        <v>0</v>
      </c>
      <c r="KQ23" s="28">
        <f>SUMPRODUCT(INDEX(PortfolioRef[[SPY]:[PE]],MATCH(KQ$1,PortfolioRef[Reference '#]),0),AssetMonthlyReturns[[#This Row],[SPY]:[PE]])</f>
        <v>-1.1306036127755109E-3</v>
      </c>
      <c r="KR23" s="27">
        <f>IF(ISNUMBER(KR22),KR22*(1+PortfolioFrontier[[#This Row],[P76 Return]]),1+PortfolioFrontier[[#This Row],[P76 Return]])</f>
        <v>1.1218254254721414</v>
      </c>
      <c r="KS23" s="27">
        <f>MAX(KS22,PortfolioFrontier[[#This Row],[P76 Growth]])</f>
        <v>1.123095200963842</v>
      </c>
      <c r="KT23" s="27">
        <f>PortfolioFrontier[[#This Row],[P76 Growth]]/PortfolioFrontier[[#This Row],[P76 HWM]]-1</f>
        <v>-1.1306036127755048E-3</v>
      </c>
      <c r="KU23" s="28">
        <f>SUMPRODUCT(INDEX(PortfolioRef[[SPY]:[PE]],MATCH(KU$1,PortfolioRef[Reference '#]),0),AssetMonthlyReturns[[#This Row],[SPY]:[PE]])</f>
        <v>-1.4199451561390801E-3</v>
      </c>
      <c r="KV23" s="27">
        <f>IF(ISNUMBER(KV22),KV22*(1+PortfolioFrontier[[#This Row],[P77 Return]]),1+PortfolioFrontier[[#This Row],[P77 Return]])</f>
        <v>1.1173125351240791</v>
      </c>
      <c r="KW23" s="27">
        <f>MAX(KW22,PortfolioFrontier[[#This Row],[P77 Growth]])</f>
        <v>1.118901313624558</v>
      </c>
      <c r="KX23" s="27">
        <f>PortfolioFrontier[[#This Row],[P77 Growth]]/PortfolioFrontier[[#This Row],[P77 HWM]]-1</f>
        <v>-1.4199451561390797E-3</v>
      </c>
      <c r="KY23" s="28">
        <f>SUMPRODUCT(INDEX(PortfolioRef[[SPY]:[PE]],MATCH(KY$1,PortfolioRef[Reference '#]),0),AssetMonthlyReturns[[#This Row],[SPY]:[PE]])</f>
        <v>-1.7092866995026498E-3</v>
      </c>
      <c r="KZ23" s="27">
        <f>IF(ISNUMBER(KZ22),KZ22*(1+PortfolioFrontier[[#This Row],[P78 Return]]),1+PortfolioFrontier[[#This Row],[P78 Return]])</f>
        <v>1.1127551805993683</v>
      </c>
      <c r="LA23" s="27">
        <f>MAX(LA22,PortfolioFrontier[[#This Row],[P78 Growth]])</f>
        <v>1.1146604548893724</v>
      </c>
      <c r="LB23" s="27">
        <f>PortfolioFrontier[[#This Row],[P78 Growth]]/PortfolioFrontier[[#This Row],[P78 HWM]]-1</f>
        <v>-1.7092866995027656E-3</v>
      </c>
      <c r="LC23" s="28">
        <f>SUMPRODUCT(INDEX(PortfolioRef[[SPY]:[PE]],MATCH(LC$1,PortfolioRef[Reference '#]),0),AssetMonthlyReturns[[#This Row],[SPY]:[PE]])</f>
        <v>1.5913220631340592E-3</v>
      </c>
      <c r="LD23" s="27">
        <f>IF(ISNUMBER(LD22),LD22*(1+PortfolioFrontier[[#This Row],[P79 Return]]),1+PortfolioFrontier[[#This Row],[P79 Return]])</f>
        <v>1.1168844307215751</v>
      </c>
      <c r="LE23" s="27">
        <f>MAX(LE22,PortfolioFrontier[[#This Row],[P79 Growth]])</f>
        <v>1.1168844307215751</v>
      </c>
      <c r="LF23" s="27">
        <f>PortfolioFrontier[[#This Row],[P79 Growth]]/PortfolioFrontier[[#This Row],[P79 HWM]]-1</f>
        <v>0</v>
      </c>
      <c r="LG23" s="28">
        <f>SUMPRODUCT(INDEX(PortfolioRef[[SPY]:[PE]],MATCH(LG$1,PortfolioRef[Reference '#]),0),AssetMonthlyReturns[[#This Row],[SPY]:[PE]])</f>
        <v>1.3019805197704909E-3</v>
      </c>
      <c r="LH23" s="27">
        <f>IF(ISNUMBER(LH22),LH22*(1+PortfolioFrontier[[#This Row],[P80 Return]]),1+PortfolioFrontier[[#This Row],[P80 Return]])</f>
        <v>1.1124180570463738</v>
      </c>
      <c r="LI23" s="27">
        <f>MAX(LI22,PortfolioFrontier[[#This Row],[P80 Growth]])</f>
        <v>1.1124180570463738</v>
      </c>
      <c r="LJ23" s="27">
        <f>PortfolioFrontier[[#This Row],[P80 Growth]]/PortfolioFrontier[[#This Row],[P80 HWM]]-1</f>
        <v>0</v>
      </c>
      <c r="LK23" s="28">
        <f>SUMPRODUCT(INDEX(PortfolioRef[[SPY]:[PE]],MATCH(LK$1,PortfolioRef[Reference '#]),0),AssetMonthlyReturns[[#This Row],[SPY]:[PE]])</f>
        <v>1.0126389764069203E-3</v>
      </c>
      <c r="LL23" s="27">
        <f>IF(ISNUMBER(LL22),LL22*(1+PortfolioFrontier[[#This Row],[P81 Return]]),1+PortfolioFrontier[[#This Row],[P81 Return]])</f>
        <v>1.1079072388128617</v>
      </c>
      <c r="LM23" s="27">
        <f>MAX(LM22,PortfolioFrontier[[#This Row],[P81 Growth]])</f>
        <v>1.1079072388128617</v>
      </c>
      <c r="LN23" s="27">
        <f>PortfolioFrontier[[#This Row],[P81 Growth]]/PortfolioFrontier[[#This Row],[P81 HWM]]-1</f>
        <v>0</v>
      </c>
      <c r="LO23" s="28">
        <f>SUMPRODUCT(INDEX(PortfolioRef[[SPY]:[PE]],MATCH(LO$1,PortfolioRef[Reference '#]),0),AssetMonthlyReturns[[#This Row],[SPY]:[PE]])</f>
        <v>-2.9693471789148974E-4</v>
      </c>
      <c r="LP23" s="27">
        <f>IF(ISNUMBER(LP22),LP22*(1+PortfolioFrontier[[#This Row],[P82 Return]]),1+PortfolioFrontier[[#This Row],[P82 Return]])</f>
        <v>1.120863939953765</v>
      </c>
      <c r="LQ23" s="27">
        <f>MAX(LQ22,PortfolioFrontier[[#This Row],[P82 Growth]])</f>
        <v>1.1211968622277515</v>
      </c>
      <c r="LR23" s="27">
        <f>PortfolioFrontier[[#This Row],[P82 Growth]]/PortfolioFrontier[[#This Row],[P82 HWM]]-1</f>
        <v>-2.9693471789160597E-4</v>
      </c>
      <c r="LS23" s="28">
        <f>SUMPRODUCT(INDEX(PortfolioRef[[SPY]:[PE]],MATCH(LS$1,PortfolioRef[Reference '#]),0),AssetMonthlyReturns[[#This Row],[SPY]:[PE]])</f>
        <v>-5.8627626125505898E-4</v>
      </c>
      <c r="LT23" s="27">
        <f>IF(ISNUMBER(LT22),LT22*(1+PortfolioFrontier[[#This Row],[P83 Return]]),1+PortfolioFrontier[[#This Row],[P83 Return]])</f>
        <v>1.1163862318461846</v>
      </c>
      <c r="LU23" s="27">
        <f>MAX(LU22,PortfolioFrontier[[#This Row],[P83 Growth]])</f>
        <v>1.1170411265415214</v>
      </c>
      <c r="LV23" s="27">
        <f>PortfolioFrontier[[#This Row],[P83 Growth]]/PortfolioFrontier[[#This Row],[P83 HWM]]-1</f>
        <v>-5.8627626125506982E-4</v>
      </c>
      <c r="LW23" s="28">
        <f>SUMPRODUCT(INDEX(PortfolioRef[[SPY]:[PE]],MATCH(LW$1,PortfolioRef[Reference '#]),0),AssetMonthlyReturns[[#This Row],[SPY]:[PE]])</f>
        <v>-8.7561780461862864E-4</v>
      </c>
      <c r="LX23" s="27">
        <f>IF(ISNUMBER(LX22),LX22*(1+PortfolioFrontier[[#This Row],[P84 Return]]),1+PortfolioFrontier[[#This Row],[P84 Return]])</f>
        <v>1.111863859546794</v>
      </c>
      <c r="LY23" s="27">
        <f>MAX(LY22,PortfolioFrontier[[#This Row],[P84 Growth]])</f>
        <v>1.1128382805589125</v>
      </c>
      <c r="LZ23" s="27">
        <f>PortfolioFrontier[[#This Row],[P84 Growth]]/PortfolioFrontier[[#This Row],[P84 HWM]]-1</f>
        <v>-8.7561780461864469E-4</v>
      </c>
      <c r="MA23" s="28">
        <f>SUMPRODUCT(INDEX(PortfolioRef[[SPY]:[PE]],MATCH(MA$1,PortfolioRef[Reference '#]),0),AssetMonthlyReturns[[#This Row],[SPY]:[PE]])</f>
        <v>-2.1851914989170391E-3</v>
      </c>
      <c r="MB23" s="27">
        <f>IF(ISNUMBER(MB22),MB22*(1+PortfolioFrontier[[#This Row],[P85 Return]]),1+PortfolioFrontier[[#This Row],[P85 Return]])</f>
        <v>1.1247883155860994</v>
      </c>
      <c r="MC23" s="27">
        <f>MAX(MC22,PortfolioFrontier[[#This Row],[P85 Growth]])</f>
        <v>1.1272515761474375</v>
      </c>
      <c r="MD23" s="27">
        <f>PortfolioFrontier[[#This Row],[P85 Growth]]/PortfolioFrontier[[#This Row],[P85 HWM]]-1</f>
        <v>-2.1851914989170496E-3</v>
      </c>
      <c r="ME23" s="28">
        <f>SUMPRODUCT(INDEX(PortfolioRef[[SPY]:[PE]],MATCH(ME$1,PortfolioRef[Reference '#]),0),AssetMonthlyReturns[[#This Row],[SPY]:[PE]])</f>
        <v>-2.4745330422806079E-3</v>
      </c>
      <c r="MF23" s="27">
        <f>IF(ISNUMBER(MF22),MF22*(1+PortfolioFrontier[[#This Row],[P86 Return]]),1+PortfolioFrontier[[#This Row],[P86 Return]])</f>
        <v>1.1202994711788465</v>
      </c>
      <c r="MG23" s="27">
        <f>MAX(MG22,PortfolioFrontier[[#This Row],[P86 Growth]])</f>
        <v>1.1230785661999856</v>
      </c>
      <c r="MH23" s="27">
        <f>PortfolioFrontier[[#This Row],[P86 Growth]]/PortfolioFrontier[[#This Row],[P86 HWM]]-1</f>
        <v>-2.4745330422806244E-3</v>
      </c>
      <c r="MI23" s="28">
        <f>SUMPRODUCT(INDEX(PortfolioRef[[SPY]:[PE]],MATCH(MI$1,PortfolioRef[Reference '#]),0),AssetMonthlyReturns[[#This Row],[SPY]:[PE]])</f>
        <v>-2.763874585644178E-3</v>
      </c>
      <c r="MJ23" s="27">
        <f>IF(ISNUMBER(MJ22),MJ22*(1+PortfolioFrontier[[#This Row],[P87 Return]]),1+PortfolioFrontier[[#This Row],[P87 Return]])</f>
        <v>1.1157657446112264</v>
      </c>
      <c r="MK23" s="27">
        <f>MAX(MK22,PortfolioFrontier[[#This Row],[P87 Growth]])</f>
        <v>1.1188581281565797</v>
      </c>
      <c r="ML23" s="27">
        <f>PortfolioFrontier[[#This Row],[P87 Growth]]/PortfolioFrontier[[#This Row],[P87 HWM]]-1</f>
        <v>-2.7638745856441993E-3</v>
      </c>
      <c r="MM23" s="28">
        <f>SUMPRODUCT(INDEX(PortfolioRef[[SPY]:[PE]],MATCH(MM$1,PortfolioRef[Reference '#]),0),AssetMonthlyReturns[[#This Row],[SPY]:[PE]])</f>
        <v>5.3673417699253139E-4</v>
      </c>
      <c r="MN23" s="27">
        <f>IF(ISNUMBER(MN22),MN22*(1+PortfolioFrontier[[#This Row],[P88 Return]]),1+PortfolioFrontier[[#This Row],[P88 Return]])</f>
        <v>1.1198472817220084</v>
      </c>
      <c r="MO23" s="27">
        <f>MAX(MO22,PortfolioFrontier[[#This Row],[P88 Growth]])</f>
        <v>1.1198472817220084</v>
      </c>
      <c r="MP23" s="27">
        <f>PortfolioFrontier[[#This Row],[P88 Growth]]/PortfolioFrontier[[#This Row],[P88 HWM]]-1</f>
        <v>0</v>
      </c>
      <c r="MQ23" s="28">
        <f>SUMPRODUCT(INDEX(PortfolioRef[[SPY]:[PE]],MATCH(MQ$1,PortfolioRef[Reference '#]),0),AssetMonthlyReturns[[#This Row],[SPY]:[PE]])</f>
        <v>2.4739263362896216E-4</v>
      </c>
      <c r="MR23" s="27">
        <f>IF(ISNUMBER(MR22),MR22*(1+PortfolioFrontier[[#This Row],[P89 Return]]),1+PortfolioFrontier[[#This Row],[P89 Return]])</f>
        <v>1.1154048416211084</v>
      </c>
      <c r="MS23" s="27">
        <f>MAX(MS22,PortfolioFrontier[[#This Row],[P89 Growth]])</f>
        <v>1.1154048416211084</v>
      </c>
      <c r="MT23" s="27">
        <f>PortfolioFrontier[[#This Row],[P89 Growth]]/PortfolioFrontier[[#This Row],[P89 HWM]]-1</f>
        <v>0</v>
      </c>
      <c r="MU23" s="28">
        <f>SUMPRODUCT(INDEX(PortfolioRef[[SPY]:[PE]],MATCH(MU$1,PortfolioRef[Reference '#]),0),AssetMonthlyReturns[[#This Row],[SPY]:[PE]])</f>
        <v>-4.1948909734607076E-5</v>
      </c>
      <c r="MV23" s="27">
        <f>IF(ISNUMBER(MV22),MV22*(1+PortfolioFrontier[[#This Row],[P90 Return]]),1+PortfolioFrontier[[#This Row],[P90 Return]])</f>
        <v>1.110917541099989</v>
      </c>
      <c r="MW23" s="27">
        <f>MAX(MW22,PortfolioFrontier[[#This Row],[P90 Growth]])</f>
        <v>1.110964144834619</v>
      </c>
      <c r="MX23" s="27">
        <f>PortfolioFrontier[[#This Row],[P90 Growth]]/PortfolioFrontier[[#This Row],[P90 HWM]]-1</f>
        <v>-4.1948909734634832E-5</v>
      </c>
      <c r="MY23" s="28">
        <f>SUMPRODUCT(INDEX(PortfolioRef[[SPY]:[PE]],MATCH(MY$1,PortfolioRef[Reference '#]),0),AssetMonthlyReturns[[#This Row],[SPY]:[PE]])</f>
        <v>-1.351522604033018E-3</v>
      </c>
      <c r="MZ23" s="27">
        <f>IF(ISNUMBER(MZ22),MZ22*(1+PortfolioFrontier[[#This Row],[P91 Return]]),1+PortfolioFrontier[[#This Row],[P91 Return]])</f>
        <v>1.1238128165797623</v>
      </c>
      <c r="NA23" s="27">
        <f>MAX(NA22,PortfolioFrontier[[#This Row],[P91 Growth]])</f>
        <v>1.1253337305536864</v>
      </c>
      <c r="NB23" s="27">
        <f>PortfolioFrontier[[#This Row],[P91 Growth]]/PortfolioFrontier[[#This Row],[P91 HWM]]-1</f>
        <v>-1.3515226040329287E-3</v>
      </c>
      <c r="NC23" s="28">
        <f>SUMPRODUCT(INDEX(PortfolioRef[[SPY]:[PE]],MATCH(NC$1,PortfolioRef[Reference '#]),0),AssetMonthlyReturns[[#This Row],[SPY]:[PE]])</f>
        <v>-1.6408641473965868E-3</v>
      </c>
      <c r="ND23" s="27">
        <f>IF(ISNUMBER(ND22),ND22*(1+PortfolioFrontier[[#This Row],[P92 Return]]),1+PortfolioFrontier[[#This Row],[P92 Return]])</f>
        <v>1.1193592481167089</v>
      </c>
      <c r="NE23" s="27">
        <f>MAX(NE22,PortfolioFrontier[[#This Row],[P92 Growth]])</f>
        <v>1.1211989833305536</v>
      </c>
      <c r="NF23" s="27">
        <f>PortfolioFrontier[[#This Row],[P92 Growth]]/PortfolioFrontier[[#This Row],[P92 HWM]]-1</f>
        <v>-1.6408641473966146E-3</v>
      </c>
      <c r="NG23" s="28">
        <f>SUMPRODUCT(INDEX(PortfolioRef[[SPY]:[PE]],MATCH(NG$1,PortfolioRef[Reference '#]),0),AssetMonthlyReturns[[#This Row],[SPY]:[PE]])</f>
        <v>-1.9302056907601569E-3</v>
      </c>
      <c r="NH23" s="27">
        <f>IF(ISNUMBER(NH22),NH22*(1+PortfolioFrontier[[#This Row],[P93 Return]]),1+PortfolioFrontier[[#This Row],[P93 Return]])</f>
        <v>1.1148605989413531</v>
      </c>
      <c r="NI23" s="27">
        <f>MAX(NI22,PortfolioFrontier[[#This Row],[P93 Growth]])</f>
        <v>1.1170166708761522</v>
      </c>
      <c r="NJ23" s="27">
        <f>PortfolioFrontier[[#This Row],[P93 Growth]]/PortfolioFrontier[[#This Row],[P93 HWM]]-1</f>
        <v>-1.9302056907600784E-3</v>
      </c>
      <c r="NK23" s="28">
        <f>SUMPRODUCT(INDEX(PortfolioRef[[SPY]:[PE]],MATCH(NK$1,PortfolioRef[Reference '#]),0),AssetMonthlyReturns[[#This Row],[SPY]:[PE]])</f>
        <v>-3.2397793850585666E-3</v>
      </c>
      <c r="NL23" s="27">
        <f>IF(ISNUMBER(NL22),NL22*(1+PortfolioFrontier[[#This Row],[P94 Return]]),1+PortfolioFrontier[[#This Row],[P94 Return]])</f>
        <v>1.1277229685046257</v>
      </c>
      <c r="NM23" s="27">
        <f>MAX(NM22,PortfolioFrontier[[#This Row],[P94 Growth]])</f>
        <v>1.1313884173757336</v>
      </c>
      <c r="NN23" s="27">
        <f>PortfolioFrontier[[#This Row],[P94 Growth]]/PortfolioFrontier[[#This Row],[P94 HWM]]-1</f>
        <v>-3.2397793850584833E-3</v>
      </c>
      <c r="NO23" s="28">
        <f>SUMPRODUCT(INDEX(PortfolioRef[[SPY]:[PE]],MATCH(NO$1,PortfolioRef[Reference '#]),0),AssetMonthlyReturns[[#This Row],[SPY]:[PE]])</f>
        <v>-3.5291209284221362E-3</v>
      </c>
      <c r="NP23" s="27">
        <f>IF(ISNUMBER(NP22),NP22*(1+PortfolioFrontier[[#This Row],[P95 Return]]),1+PortfolioFrontier[[#This Row],[P95 Return]])</f>
        <v>1.123258469232697</v>
      </c>
      <c r="NQ23" s="27">
        <f>MAX(NQ22,PortfolioFrontier[[#This Row],[P95 Growth]])</f>
        <v>1.1272366235923006</v>
      </c>
      <c r="NR23" s="27">
        <f>PortfolioFrontier[[#This Row],[P95 Growth]]/PortfolioFrontier[[#This Row],[P95 HWM]]-1</f>
        <v>-3.5291209284221692E-3</v>
      </c>
      <c r="NS23" s="28">
        <f>SUMPRODUCT(INDEX(PortfolioRef[[SPY]:[PE]],MATCH(NS$1,PortfolioRef[Reference '#]),0),AssetMonthlyReturns[[#This Row],[SPY]:[PE]])</f>
        <v>-3.8184624717857059E-3</v>
      </c>
      <c r="NT23" s="27">
        <f>IF(ISNUMBER(NT22),NT22*(1+PortfolioFrontier[[#This Row],[P96 Return]]),1+PortfolioFrontier[[#This Row],[P96 Return]])</f>
        <v>1.1187486706419374</v>
      </c>
      <c r="NU23" s="27">
        <f>MAX(NU22,PortfolioFrontier[[#This Row],[P96 Growth]])</f>
        <v>1.1230369450711204</v>
      </c>
      <c r="NV23" s="27">
        <f>PortfolioFrontier[[#This Row],[P96 Growth]]/PortfolioFrontier[[#This Row],[P96 HWM]]-1</f>
        <v>-3.8184624717857441E-3</v>
      </c>
      <c r="NW23" s="28">
        <f>SUMPRODUCT(INDEX(PortfolioRef[[SPY]:[PE]],MATCH(NW$1,PortfolioRef[Reference '#]),0),AssetMonthlyReturns[[#This Row],[SPY]:[PE]])</f>
        <v>1.9032880378588189E-3</v>
      </c>
      <c r="NX23" s="27">
        <f>IF(ISNUMBER(NX22),NX22*(1+PortfolioFrontier[[#This Row],[P97 Return]]),1+PortfolioFrontier[[#This Row],[P97 Return]])</f>
        <v>1.0981964800956516</v>
      </c>
      <c r="NY23" s="27">
        <f>MAX(NY22,PortfolioFrontier[[#This Row],[P97 Growth]])</f>
        <v>1.0981964800956516</v>
      </c>
      <c r="NZ23" s="27">
        <f>PortfolioFrontier[[#This Row],[P97 Growth]]/PortfolioFrontier[[#This Row],[P97 HWM]]-1</f>
        <v>0</v>
      </c>
      <c r="OA23" s="28">
        <f>SUMPRODUCT(INDEX(PortfolioRef[[SPY]:[PE]],MATCH(OA$1,PortfolioRef[Reference '#]),0),AssetMonthlyReturns[[#This Row],[SPY]:[PE]])</f>
        <v>2.7369569327428392E-3</v>
      </c>
      <c r="OB23" s="27">
        <f>IF(ISNUMBER(OB22),OB22*(1+PortfolioFrontier[[#This Row],[P98 Return]]),1+PortfolioFrontier[[#This Row],[P98 Return]])</f>
        <v>1.0972761375043922</v>
      </c>
      <c r="OC23" s="27">
        <f>MAX(OC22,PortfolioFrontier[[#This Row],[P98 Growth]])</f>
        <v>1.0972761375043922</v>
      </c>
      <c r="OD23" s="27">
        <f>PortfolioFrontier[[#This Row],[P98 Growth]]/PortfolioFrontier[[#This Row],[P98 HWM]]-1</f>
        <v>0</v>
      </c>
      <c r="OE23" s="28">
        <f>SUMPRODUCT(INDEX(PortfolioRef[[SPY]:[PE]],MATCH(OE$1,PortfolioRef[Reference '#]),0),AssetMonthlyReturns[[#This Row],[SPY]:[PE]])</f>
        <v>8.4870015171729105E-4</v>
      </c>
      <c r="OF23" s="27">
        <f>IF(ISNUMBER(OF22),OF22*(1+PortfolioFrontier[[#This Row],[P99 Return]]),1+PortfolioFrontier[[#This Row],[P99 Return]])</f>
        <v>1.1012156460411004</v>
      </c>
      <c r="OG23" s="27">
        <f>MAX(OG22,PortfolioFrontier[[#This Row],[P99 Growth]])</f>
        <v>1.1012156460411004</v>
      </c>
      <c r="OH23" s="27">
        <f>PortfolioFrontier[[#This Row],[P99 Growth]]/PortfolioFrontier[[#This Row],[P99 HWM]]-1</f>
        <v>0</v>
      </c>
      <c r="OI23" s="28">
        <f>SUMPRODUCT(INDEX(PortfolioRef[[SPY]:[PE]],MATCH(OI$1,PortfolioRef[Reference '#]),0),AssetMonthlyReturns[[#This Row],[SPY]:[PE]])</f>
        <v>5.5935860835372182E-4</v>
      </c>
      <c r="OJ23" s="27">
        <f>IF(ISNUMBER(OJ22),OJ22*(1+PortfolioFrontier[[#This Row],[P100 Return]]),1+PortfolioFrontier[[#This Row],[P100 Return]])</f>
        <v>1.0967091653162278</v>
      </c>
      <c r="OK23" s="27">
        <f>MAX(OK22,PortfolioFrontier[[#This Row],[P100 Growth]])</f>
        <v>1.0967091653162278</v>
      </c>
      <c r="OL23" s="27">
        <f>PortfolioFrontier[[#This Row],[P100 Growth]]/PortfolioFrontier[[#This Row],[P100 HWM]]-1</f>
        <v>0</v>
      </c>
      <c r="OM23" s="28">
        <f>SUMPRODUCT(INDEX(PortfolioRef[[SPY]:[PE]],MATCH(OM$1,PortfolioRef[Reference '#]),0),AssetMonthlyReturns[[#This Row],[SPY]:[PE]])</f>
        <v>3.5706258276268603E-3</v>
      </c>
      <c r="ON23" s="27">
        <f>IF(ISNUMBER(ON22),ON22*(1+PortfolioFrontier[[#This Row],[P101 Return]]),1+PortfolioFrontier[[#This Row],[P101 Return]])</f>
        <v>1.0963014207897979</v>
      </c>
      <c r="OO23" s="27">
        <f>MAX(OO22,PortfolioFrontier[[#This Row],[P101 Growth]])</f>
        <v>1.0963014207897979</v>
      </c>
      <c r="OP23" s="27">
        <f>PortfolioFrontier[[#This Row],[P101 Growth]]/PortfolioFrontier[[#This Row],[P101 HWM]]-1</f>
        <v>0</v>
      </c>
      <c r="OQ23" s="28">
        <f>SUMPRODUCT(INDEX(PortfolioRef[[SPY]:[PE]],MATCH(OQ$1,PortfolioRef[Reference '#]),0),AssetMonthlyReturns[[#This Row],[SPY]:[PE]])</f>
        <v>1.6823690466013118E-3</v>
      </c>
      <c r="OR23" s="27">
        <f>IF(ISNUMBER(OR22),OR22*(1+PortfolioFrontier[[#This Row],[P102 Return]]),1+PortfolioFrontier[[#This Row],[P102 Return]])</f>
        <v>1.1002815058366959</v>
      </c>
      <c r="OS23" s="27">
        <f>MAX(OS22,PortfolioFrontier[[#This Row],[P102 Growth]])</f>
        <v>1.1002815058366959</v>
      </c>
      <c r="OT23" s="27">
        <f>PortfolioFrontier[[#This Row],[P102 Growth]]/PortfolioFrontier[[#This Row],[P102 HWM]]-1</f>
        <v>0</v>
      </c>
      <c r="OU23" s="28">
        <f>SUMPRODUCT(INDEX(PortfolioRef[[SPY]:[PE]],MATCH(OU$1,PortfolioRef[Reference '#]),0),AssetMonthlyReturns[[#This Row],[SPY]:[PE]])</f>
        <v>1.3930275032377421E-3</v>
      </c>
      <c r="OV23" s="27">
        <f>IF(ISNUMBER(OV22),OV22*(1+PortfolioFrontier[[#This Row],[P103 Return]]),1+PortfolioFrontier[[#This Row],[P103 Return]])</f>
        <v>1.0958096313929726</v>
      </c>
      <c r="OW23" s="27">
        <f>MAX(OW22,PortfolioFrontier[[#This Row],[P103 Growth]])</f>
        <v>1.0958096313929726</v>
      </c>
      <c r="OX23" s="27">
        <f>PortfolioFrontier[[#This Row],[P103 Growth]]/PortfolioFrontier[[#This Row],[P103 HWM]]-1</f>
        <v>0</v>
      </c>
      <c r="OY23" s="28">
        <f>SUMPRODUCT(INDEX(PortfolioRef[[SPY]:[PE]],MATCH(OY$1,PortfolioRef[Reference '#]),0),AssetMonthlyReturns[[#This Row],[SPY]:[PE]])</f>
        <v>-2.0588773442423722E-4</v>
      </c>
      <c r="OZ23" s="27">
        <f>IF(ISNUMBER(OZ22),OZ22*(1+PortfolioFrontier[[#This Row],[P104 Return]]),1+PortfolioFrontier[[#This Row],[P104 Return]])</f>
        <v>1.1042077260643282</v>
      </c>
      <c r="PA23" s="27">
        <f>MAX(PA22,PortfolioFrontier[[#This Row],[P104 Growth]])</f>
        <v>1.1044351157081198</v>
      </c>
      <c r="PB23" s="27">
        <f>PortfolioFrontier[[#This Row],[P104 Growth]]/PortfolioFrontier[[#This Row],[P104 HWM]]-1</f>
        <v>-2.0588773442420383E-4</v>
      </c>
      <c r="PC23" s="28">
        <f>SUMPRODUCT(INDEX(PortfolioRef[[SPY]:[PE]],MATCH(PC$1,PortfolioRef[Reference '#]),0),AssetMonthlyReturns[[#This Row],[SPY]:[PE]])</f>
        <v>-4.9522927778780602E-4</v>
      </c>
      <c r="PD23" s="27">
        <f>IF(ISNUMBER(PD22),PD22*(1+PortfolioFrontier[[#This Row],[P105 Return]]),1+PortfolioFrontier[[#This Row],[P105 Return]])</f>
        <v>1.0997243371554193</v>
      </c>
      <c r="PE23" s="27">
        <f>MAX(PE22,PortfolioFrontier[[#This Row],[P105 Growth]])</f>
        <v>1.1002692226879431</v>
      </c>
      <c r="PF23" s="27">
        <f>PortfolioFrontier[[#This Row],[P105 Growth]]/PortfolioFrontier[[#This Row],[P105 HWM]]-1</f>
        <v>-4.952292777877787E-4</v>
      </c>
      <c r="PG23" s="28">
        <f>SUMPRODUCT(INDEX(PortfolioRef[[SPY]:[PE]],MATCH(PG$1,PortfolioRef[Reference '#]),0),AssetMonthlyReturns[[#This Row],[SPY]:[PE]])</f>
        <v>-7.8457082115137612E-4</v>
      </c>
      <c r="PH23" s="27">
        <f>IF(ISNUMBER(PH22),PH22*(1+PortfolioFrontier[[#This Row],[P106 Return]]),1+PortfolioFrontier[[#This Row],[P106 Return]])</f>
        <v>1.0951974756148724</v>
      </c>
      <c r="PI23" s="27">
        <f>MAX(PI22,PortfolioFrontier[[#This Row],[P106 Growth]])</f>
        <v>1.0960574102772827</v>
      </c>
      <c r="PJ23" s="27">
        <f>PortfolioFrontier[[#This Row],[P106 Growth]]/PortfolioFrontier[[#This Row],[P106 HWM]]-1</f>
        <v>-7.8457082115135357E-4</v>
      </c>
      <c r="PK23" s="28">
        <f>SUMPRODUCT(INDEX(PortfolioRef[[SPY]:[PE]],MATCH(PK$1,PortfolioRef[Reference '#]),0),AssetMonthlyReturns[[#This Row],[SPY]:[PE]])</f>
        <v>2.516037941485332E-3</v>
      </c>
      <c r="PL23" s="27">
        <f>IF(ISNUMBER(PL22),PL22*(1+PortfolioFrontier[[#This Row],[P107 Return]]),1+PortfolioFrontier[[#This Row],[P107 Return]])</f>
        <v>1.099292945665121</v>
      </c>
      <c r="PM23" s="27">
        <f>MAX(PM22,PortfolioFrontier[[#This Row],[P107 Growth]])</f>
        <v>1.099292945665121</v>
      </c>
      <c r="PN23" s="27">
        <f>PortfolioFrontier[[#This Row],[P107 Growth]]/PortfolioFrontier[[#This Row],[P107 HWM]]-1</f>
        <v>0</v>
      </c>
      <c r="PO23" s="28">
        <f>SUMPRODUCT(INDEX(PortfolioRef[[SPY]:[PE]],MATCH(PO$1,PortfolioRef[Reference '#]),0),AssetMonthlyReturns[[#This Row],[SPY]:[PE]])</f>
        <v>2.2266963981217632E-3</v>
      </c>
      <c r="PP23" s="27">
        <f>IF(ISNUMBER(PP22),PP22*(1+PortfolioFrontier[[#This Row],[P108 Return]]),1+PortfolioFrontier[[#This Row],[P108 Return]])</f>
        <v>1.0948557657606681</v>
      </c>
      <c r="PQ23" s="27">
        <f>MAX(PQ22,PortfolioFrontier[[#This Row],[P108 Growth]])</f>
        <v>1.0948557657606681</v>
      </c>
      <c r="PR23" s="27">
        <f>PortfolioFrontier[[#This Row],[P108 Growth]]/PortfolioFrontier[[#This Row],[P108 HWM]]-1</f>
        <v>0</v>
      </c>
      <c r="PS23" s="28">
        <f>SUMPRODUCT(INDEX(PortfolioRef[[SPY]:[PE]],MATCH(PS$1,PortfolioRef[Reference '#]),0),AssetMonthlyReturns[[#This Row],[SPY]:[PE]])</f>
        <v>6.2778116045978305E-4</v>
      </c>
      <c r="PT23" s="27">
        <f>IF(ISNUMBER(PT22),PT22*(1+PortfolioFrontier[[#This Row],[P109 Return]]),1+PortfolioFrontier[[#This Row],[P109 Return]])</f>
        <v>1.1032597651245599</v>
      </c>
      <c r="PU23" s="27">
        <f>MAX(PU22,PortfolioFrontier[[#This Row],[P109 Growth]])</f>
        <v>1.1032597651245599</v>
      </c>
      <c r="PV23" s="27">
        <f>PortfolioFrontier[[#This Row],[P109 Growth]]/PortfolioFrontier[[#This Row],[P109 HWM]]-1</f>
        <v>0</v>
      </c>
      <c r="PW23" s="28">
        <f>SUMPRODUCT(INDEX(PortfolioRef[[SPY]:[PE]],MATCH(PW$1,PortfolioRef[Reference '#]),0),AssetMonthlyReturns[[#This Row],[SPY]:[PE]])</f>
        <v>3.3843961709621425E-4</v>
      </c>
      <c r="PX23" s="27">
        <f>IF(ISNUMBER(PX22),PX22*(1+PortfolioFrontier[[#This Row],[P110 Return]]),1+PortfolioFrontier[[#This Row],[P110 Return]])</f>
        <v>1.0988110774255351</v>
      </c>
      <c r="PY23" s="27">
        <f>MAX(PY22,PortfolioFrontier[[#This Row],[P110 Growth]])</f>
        <v>1.0988110774255351</v>
      </c>
      <c r="PZ23" s="27">
        <f>PortfolioFrontier[[#This Row],[P110 Growth]]/PortfolioFrontier[[#This Row],[P110 HWM]]-1</f>
        <v>0</v>
      </c>
      <c r="QA23" s="28">
        <f>SUMPRODUCT(INDEX(PortfolioRef[[SPY]:[PE]],MATCH(QA$1,PortfolioRef[Reference '#]),0),AssetMonthlyReturns[[#This Row],[SPY]:[PE]])</f>
        <v>4.9098073732644146E-5</v>
      </c>
      <c r="QB23" s="27">
        <f>IF(ISNUMBER(QB22),QB22*(1+PortfolioFrontier[[#This Row],[P111 Return]]),1+PortfolioFrontier[[#This Row],[P111 Return]])</f>
        <v>1.0943187182064003</v>
      </c>
      <c r="QC23" s="27">
        <f>MAX(QC22,PortfolioFrontier[[#This Row],[P111 Growth]])</f>
        <v>1.0943187182064003</v>
      </c>
      <c r="QD23" s="27">
        <f>PortfolioFrontier[[#This Row],[P111 Growth]]/PortfolioFrontier[[#This Row],[P111 HWM]]-1</f>
        <v>0</v>
      </c>
      <c r="QE23" s="28">
        <f>SUMPRODUCT(INDEX(PortfolioRef[[SPY]:[PE]],MATCH(QE$1,PortfolioRef[Reference '#]),0),AssetMonthlyReturns[[#This Row],[SPY]:[PE]])</f>
        <v>-1.2604756205657651E-3</v>
      </c>
      <c r="QF23" s="27">
        <f>IF(ISNUMBER(QF22),QF22*(1+PortfolioFrontier[[#This Row],[P112 Return]]),1+PortfolioFrontier[[#This Row],[P112 Return]])</f>
        <v>1.1071724694244454</v>
      </c>
      <c r="QG23" s="27">
        <f>MAX(QG22,PortfolioFrontier[[#This Row],[P112 Growth]])</f>
        <v>1.1085697946242647</v>
      </c>
      <c r="QH23" s="27">
        <f>PortfolioFrontier[[#This Row],[P112 Growth]]/PortfolioFrontier[[#This Row],[P112 HWM]]-1</f>
        <v>-1.2604756205656376E-3</v>
      </c>
      <c r="QI23" s="28">
        <f>SUMPRODUCT(INDEX(PortfolioRef[[SPY]:[PE]],MATCH(QI$1,PortfolioRef[Reference '#]),0),AssetMonthlyReturns[[#This Row],[SPY]:[PE]])</f>
        <v>-1.5498171639293343E-3</v>
      </c>
      <c r="QJ23" s="27">
        <f>IF(ISNUMBER(QJ22),QJ22*(1+PortfolioFrontier[[#This Row],[P113 Return]]),1+PortfolioFrontier[[#This Row],[P113 Return]])</f>
        <v>1.1027124704250209</v>
      </c>
      <c r="QK23" s="27">
        <f>MAX(QK22,PortfolioFrontier[[#This Row],[P113 Growth]])</f>
        <v>1.1044241258915852</v>
      </c>
      <c r="QL23" s="27">
        <f>PortfolioFrontier[[#This Row],[P113 Growth]]/PortfolioFrontier[[#This Row],[P113 HWM]]-1</f>
        <v>-1.5498171639293234E-3</v>
      </c>
      <c r="QM23" s="28">
        <f>SUMPRODUCT(INDEX(PortfolioRef[[SPY]:[PE]],MATCH(QM$1,PortfolioRef[Reference '#]),0),AssetMonthlyReturns[[#This Row],[SPY]:[PE]])</f>
        <v>-1.839158707292904E-3</v>
      </c>
      <c r="QN23" s="27">
        <f>IF(ISNUMBER(QN22),QN22*(1+PortfolioFrontier[[#This Row],[P114 Return]]),1+PortfolioFrontier[[#This Row],[P114 Return]])</f>
        <v>1.0982085845529477</v>
      </c>
      <c r="QO23" s="27">
        <f>MAX(QO22,PortfolioFrontier[[#This Row],[P114 Growth]])</f>
        <v>1.1002320859739096</v>
      </c>
      <c r="QP23" s="27">
        <f>PortfolioFrontier[[#This Row],[P114 Growth]]/PortfolioFrontier[[#This Row],[P114 HWM]]-1</f>
        <v>-1.8391587072928983E-3</v>
      </c>
      <c r="QQ23" s="28">
        <f>SUMPRODUCT(INDEX(PortfolioRef[[SPY]:[PE]],MATCH(QQ$1,PortfolioRef[Reference '#]),0),AssetMonthlyReturns[[#This Row],[SPY]:[PE]])</f>
        <v>1.4614500553438042E-3</v>
      </c>
      <c r="QR23" s="27">
        <f>IF(ISNUMBER(QR22),QR22*(1+PortfolioFrontier[[#This Row],[P115 Return]]),1+PortfolioFrontier[[#This Row],[P115 Return]])</f>
        <v>1.1022573399084583</v>
      </c>
      <c r="QS23" s="27">
        <f>MAX(QS22,PortfolioFrontier[[#This Row],[P115 Growth]])</f>
        <v>1.1022573399084583</v>
      </c>
      <c r="QT23" s="27">
        <f>PortfolioFrontier[[#This Row],[P115 Growth]]/PortfolioFrontier[[#This Row],[P115 HWM]]-1</f>
        <v>0</v>
      </c>
      <c r="QU23" s="28">
        <f>SUMPRODUCT(INDEX(PortfolioRef[[SPY]:[PE]],MATCH(QU$1,PortfolioRef[Reference '#]),0),AssetMonthlyReturns[[#This Row],[SPY]:[PE]])</f>
        <v>1.1721085119802349E-3</v>
      </c>
      <c r="QV23" s="27">
        <f>IF(ISNUMBER(QV22),QV22*(1+PortfolioFrontier[[#This Row],[P116 Return]]),1+PortfolioFrontier[[#This Row],[P116 Return]])</f>
        <v>1.0978434398733881</v>
      </c>
      <c r="QW23" s="27">
        <f>MAX(QW22,PortfolioFrontier[[#This Row],[P116 Growth]])</f>
        <v>1.0978434398733881</v>
      </c>
      <c r="QX23" s="27">
        <f>PortfolioFrontier[[#This Row],[P116 Growth]]/PortfolioFrontier[[#This Row],[P116 HWM]]-1</f>
        <v>0</v>
      </c>
      <c r="QY23" s="28">
        <f>SUMPRODUCT(INDEX(PortfolioRef[[SPY]:[PE]],MATCH(QY$1,PortfolioRef[Reference '#]),0),AssetMonthlyReturns[[#This Row],[SPY]:[PE]])</f>
        <v>8.8276696861666528E-4</v>
      </c>
      <c r="QZ23" s="27">
        <f>IF(ISNUMBER(QZ22),QZ22*(1+PortfolioFrontier[[#This Row],[P117 Return]]),1+PortfolioFrontier[[#This Row],[P117 Return]])</f>
        <v>1.0933856731625309</v>
      </c>
      <c r="RA23" s="27">
        <f>MAX(RA22,PortfolioFrontier[[#This Row],[P117 Growth]])</f>
        <v>1.0933856731625309</v>
      </c>
      <c r="RB23" s="27">
        <f>PortfolioFrontier[[#This Row],[P117 Growth]]/PortfolioFrontier[[#This Row],[P117 HWM]]-1</f>
        <v>0</v>
      </c>
      <c r="RC23" s="28">
        <f>SUMPRODUCT(INDEX(PortfolioRef[[SPY]:[PE]],MATCH(RC$1,PortfolioRef[Reference '#]),0),AssetMonthlyReturns[[#This Row],[SPY]:[PE]])</f>
        <v>-4.2680672568174479E-4</v>
      </c>
      <c r="RD23" s="27">
        <f>IF(ISNUMBER(RD22),RD22*(1+PortfolioFrontier[[#This Row],[P118 Return]]),1+PortfolioFrontier[[#This Row],[P118 Return]])</f>
        <v>1.1062106654493271</v>
      </c>
      <c r="RE23" s="27">
        <f>MAX(RE22,PortfolioFrontier[[#This Row],[P118 Growth]])</f>
        <v>1.1066830051991439</v>
      </c>
      <c r="RF23" s="27">
        <f>PortfolioFrontier[[#This Row],[P118 Growth]]/PortfolioFrontier[[#This Row],[P118 HWM]]-1</f>
        <v>-4.2680672568184974E-4</v>
      </c>
      <c r="RG23" s="28">
        <f>SUMPRODUCT(INDEX(PortfolioRef[[SPY]:[PE]],MATCH(RG$1,PortfolioRef[Reference '#]),0),AssetMonthlyReturns[[#This Row],[SPY]:[PE]])</f>
        <v>-7.1614826904531402E-4</v>
      </c>
      <c r="RH23" s="27">
        <f>IF(ISNUMBER(RH22),RH22*(1+PortfolioFrontier[[#This Row],[P119 Return]]),1+PortfolioFrontier[[#This Row],[P119 Return]])</f>
        <v>1.1017854614774618</v>
      </c>
      <c r="RI23" s="27">
        <f>MAX(RI22,PortfolioFrontier[[#This Row],[P119 Growth]])</f>
        <v>1.1025750687044069</v>
      </c>
      <c r="RJ23" s="27">
        <f>PortfolioFrontier[[#This Row],[P119 Growth]]/PortfolioFrontier[[#This Row],[P119 HWM]]-1</f>
        <v>-7.1614826904520257E-4</v>
      </c>
      <c r="RK23" s="28">
        <f>SUMPRODUCT(INDEX(PortfolioRef[[SPY]:[PE]],MATCH(RK$1,PortfolioRef[Reference '#]),0),AssetMonthlyReturns[[#This Row],[SPY]:[PE]])</f>
        <v>-1.0054898124088837E-3</v>
      </c>
      <c r="RL23" s="27">
        <f>IF(ISNUMBER(RL22),RL22*(1+PortfolioFrontier[[#This Row],[P120 Return]]),1+PortfolioFrontier[[#This Row],[P120 Return]])</f>
        <v>1.0973161731779242</v>
      </c>
      <c r="RM23" s="27">
        <f>MAX(RM22,PortfolioFrontier[[#This Row],[P120 Growth]])</f>
        <v>1.0984206239250207</v>
      </c>
      <c r="RN23" s="27">
        <f>PortfolioFrontier[[#This Row],[P120 Growth]]/PortfolioFrontier[[#This Row],[P120 HWM]]-1</f>
        <v>-1.0054898124089995E-3</v>
      </c>
      <c r="RO23" s="28">
        <f>SUMPRODUCT(INDEX(PortfolioRef[[SPY]:[PE]],MATCH(RO$1,PortfolioRef[Reference '#]),0),AssetMonthlyReturns[[#This Row],[SPY]:[PE]])</f>
        <v>-2.3150635067072933E-3</v>
      </c>
      <c r="RP23" s="27">
        <f>IF(ISNUMBER(RP22),RP22*(1+PortfolioFrontier[[#This Row],[P121 Return]]),1+PortfolioFrontier[[#This Row],[P121 Return]])</f>
        <v>1.1101096267980384</v>
      </c>
      <c r="RQ23" s="27">
        <f>MAX(RQ22,PortfolioFrontier[[#This Row],[P121 Growth]])</f>
        <v>1.1126855645429519</v>
      </c>
      <c r="RR23" s="27">
        <f>PortfolioFrontier[[#This Row],[P121 Growth]]/PortfolioFrontier[[#This Row],[P121 HWM]]-1</f>
        <v>-2.3150635067074044E-3</v>
      </c>
      <c r="RS23" s="28">
        <f>SUMPRODUCT(INDEX(PortfolioRef[[SPY]:[PE]],MATCH(RS$1,PortfolioRef[Reference '#]),0),AssetMonthlyReturns[[#This Row],[SPY]:[PE]])</f>
        <v>-2.6044050500708621E-3</v>
      </c>
      <c r="RT23" s="27">
        <f>IF(ISNUMBER(RT22),RT22*(1+PortfolioFrontier[[#This Row],[P122 Return]]),1+PortfolioFrontier[[#This Row],[P122 Return]])</f>
        <v>1.1056733148397742</v>
      </c>
      <c r="RU23" s="27">
        <f>MAX(RU22,PortfolioFrontier[[#This Row],[P122 Growth]])</f>
        <v>1.1085604552878348</v>
      </c>
      <c r="RV23" s="27">
        <f>PortfolioFrontier[[#This Row],[P122 Growth]]/PortfolioFrontier[[#This Row],[P122 HWM]]-1</f>
        <v>-2.6044050500709792E-3</v>
      </c>
      <c r="RW23" s="28">
        <f>SUMPRODUCT(INDEX(PortfolioRef[[SPY]:[PE]],MATCH(RW$1,PortfolioRef[Reference '#]),0),AssetMonthlyReturns[[#This Row],[SPY]:[PE]])</f>
        <v>-2.8937465934344322E-3</v>
      </c>
      <c r="RX23" s="27">
        <f>IF(ISNUMBER(RX22),RX22*(1+PortfolioFrontier[[#This Row],[P123 Return]]),1+PortfolioFrontier[[#This Row],[P123 Return]])</f>
        <v>1.1011927025412005</v>
      </c>
      <c r="RY23" s="27">
        <f>MAX(RY22,PortfolioFrontier[[#This Row],[P123 Growth]])</f>
        <v>1.1043885230676556</v>
      </c>
      <c r="RZ23" s="27">
        <f>PortfolioFrontier[[#This Row],[P123 Growth]]/PortfolioFrontier[[#This Row],[P123 HWM]]-1</f>
        <v>-2.893746593434332E-3</v>
      </c>
      <c r="SA23" s="28">
        <f>SUMPRODUCT(INDEX(PortfolioRef[[SPY]:[PE]],MATCH(SA$1,PortfolioRef[Reference '#]),0),AssetMonthlyReturns[[#This Row],[SPY]:[PE]])</f>
        <v>4.0686216920227634E-4</v>
      </c>
      <c r="SB23" s="27">
        <f>IF(ISNUMBER(SB22),SB22*(1+PortfolioFrontier[[#This Row],[P124 Return]]),1+PortfolioFrontier[[#This Row],[P124 Return]])</f>
        <v>1.1051943544272784</v>
      </c>
      <c r="SC23" s="27">
        <f>MAX(SC22,PortfolioFrontier[[#This Row],[P124 Growth]])</f>
        <v>1.1051943544272784</v>
      </c>
      <c r="SD23" s="27">
        <f>PortfolioFrontier[[#This Row],[P124 Growth]]/PortfolioFrontier[[#This Row],[P124 HWM]]-1</f>
        <v>0</v>
      </c>
      <c r="SE23" s="28">
        <f>SUMPRODUCT(INDEX(PortfolioRef[[SPY]:[PE]],MATCH(SE$1,PortfolioRef[Reference '#]),0),AssetMonthlyReturns[[#This Row],[SPY]:[PE]])</f>
        <v>1.1752062583870711E-4</v>
      </c>
      <c r="SF23" s="27">
        <f>IF(ISNUMBER(SF22),SF22*(1+PortfolioFrontier[[#This Row],[P125 Return]]),1+PortfolioFrontier[[#This Row],[P125 Return]])</f>
        <v>1.100804030125486</v>
      </c>
      <c r="SG23" s="27">
        <f>MAX(SG22,PortfolioFrontier[[#This Row],[P125 Growth]])</f>
        <v>1.100804030125486</v>
      </c>
      <c r="SH23" s="27">
        <f>PortfolioFrontier[[#This Row],[P125 Growth]]/PortfolioFrontier[[#This Row],[P125 HWM]]-1</f>
        <v>0</v>
      </c>
      <c r="SI23" s="28">
        <f>SUMPRODUCT(INDEX(PortfolioRef[[SPY]:[PE]],MATCH(SI$1,PortfolioRef[Reference '#]),0),AssetMonthlyReturns[[#This Row],[SPY]:[PE]])</f>
        <v>-1.7182091752486299E-4</v>
      </c>
      <c r="SJ23" s="27">
        <f>IF(ISNUMBER(SJ22),SJ22*(1+PortfolioFrontier[[#This Row],[P126 Return]]),1+PortfolioFrontier[[#This Row],[P126 Return]])</f>
        <v>1.0963694277885714</v>
      </c>
      <c r="SK23" s="27">
        <f>MAX(SK22,PortfolioFrontier[[#This Row],[P126 Growth]])</f>
        <v>1.0965578393626498</v>
      </c>
      <c r="SL23" s="27">
        <f>PortfolioFrontier[[#This Row],[P126 Growth]]/PortfolioFrontier[[#This Row],[P126 HWM]]-1</f>
        <v>-1.7182091752498962E-4</v>
      </c>
      <c r="SM23" s="28">
        <f>SUMPRODUCT(INDEX(PortfolioRef[[SPY]:[PE]],MATCH(SM$1,PortfolioRef[Reference '#]),0),AssetMonthlyReturns[[#This Row],[SPY]:[PE]])</f>
        <v>-1.4813946118232731E-3</v>
      </c>
      <c r="SN23" s="27">
        <f>IF(ISNUMBER(SN22),SN22*(1+PortfolioFrontier[[#This Row],[P127 Return]]),1+PortfolioFrontier[[#This Row],[P127 Return]])</f>
        <v>1.109133958313643</v>
      </c>
      <c r="SO23" s="27">
        <f>MAX(SO22,PortfolioFrontier[[#This Row],[P127 Growth]])</f>
        <v>1.1107794610221251</v>
      </c>
      <c r="SP23" s="27">
        <f>PortfolioFrontier[[#This Row],[P127 Growth]]/PortfolioFrontier[[#This Row],[P127 HWM]]-1</f>
        <v>-1.4813946118231724E-3</v>
      </c>
      <c r="SQ23" s="28">
        <f>SUMPRODUCT(INDEX(PortfolioRef[[SPY]:[PE]],MATCH(SQ$1,PortfolioRef[Reference '#]),0),AssetMonthlyReturns[[#This Row],[SPY]:[PE]])</f>
        <v>-1.7707361551868419E-3</v>
      </c>
      <c r="SR23" s="27">
        <f>IF(ISNUMBER(SR22),SR22*(1+PortfolioFrontier[[#This Row],[P128 Return]]),1+PortfolioFrontier[[#This Row],[P128 Return]])</f>
        <v>1.1047325340813452</v>
      </c>
      <c r="SS23" s="27">
        <f>MAX(SS22,PortfolioFrontier[[#This Row],[P128 Growth]])</f>
        <v>1.1066921939618566</v>
      </c>
      <c r="ST23" s="27">
        <f>PortfolioFrontier[[#This Row],[P128 Growth]]/PortfolioFrontier[[#This Row],[P128 HWM]]-1</f>
        <v>-1.7707361551869694E-3</v>
      </c>
      <c r="SU23" s="28">
        <f>SUMPRODUCT(INDEX(PortfolioRef[[SPY]:[PE]],MATCH(SU$1,PortfolioRef[Reference '#]),0),AssetMonthlyReturns[[#This Row],[SPY]:[PE]])</f>
        <v>-2.060077698550412E-3</v>
      </c>
      <c r="SV23" s="27">
        <f>IF(ISNUMBER(SV22),SV22*(1+PortfolioFrontier[[#This Row],[P129 Return]]),1+PortfolioFrontier[[#This Row],[P129 Return]])</f>
        <v>1.1002866135014528</v>
      </c>
      <c r="SW23" s="27">
        <f>MAX(SW22,PortfolioFrontier[[#This Row],[P129 Growth]])</f>
        <v>1.1025579685838915</v>
      </c>
      <c r="SX23" s="27">
        <f>PortfolioFrontier[[#This Row],[P129 Growth]]/PortfolioFrontier[[#This Row],[P129 HWM]]-1</f>
        <v>-2.0600776985504332E-3</v>
      </c>
      <c r="SY23" s="28">
        <f>SUMPRODUCT(INDEX(PortfolioRef[[SPY]:[PE]],MATCH(SY$1,PortfolioRef[Reference '#]),0),AssetMonthlyReturns[[#This Row],[SPY]:[PE]])</f>
        <v>-3.3696513928488207E-3</v>
      </c>
      <c r="SZ23" s="27">
        <f>IF(ISNUMBER(SZ22),SZ22*(1+PortfolioFrontier[[#This Row],[P130 Return]]),1+PortfolioFrontier[[#This Row],[P130 Return]])</f>
        <v>1.1130189503065104</v>
      </c>
      <c r="TA23" s="27">
        <f>MAX(TA22,PortfolioFrontier[[#This Row],[P130 Growth]])</f>
        <v>1.1167821167216301</v>
      </c>
      <c r="TB23" s="27">
        <f>PortfolioFrontier[[#This Row],[P130 Growth]]/PortfolioFrontier[[#This Row],[P130 HWM]]-1</f>
        <v>-3.3696513928487271E-3</v>
      </c>
      <c r="TC23" s="28">
        <f>SUMPRODUCT(INDEX(PortfolioRef[[SPY]:[PE]],MATCH(TC$1,PortfolioRef[Reference '#]),0),AssetMonthlyReturns[[#This Row],[SPY]:[PE]])</f>
        <v>-3.6589929362123904E-3</v>
      </c>
      <c r="TD23" s="27">
        <f>IF(ISNUMBER(TD22),TD22*(1+PortfolioFrontier[[#This Row],[P131 Return]]),1+PortfolioFrontier[[#This Row],[P131 Return]])</f>
        <v>1.1086066215301051</v>
      </c>
      <c r="TE23" s="27">
        <f>MAX(TE22,PortfolioFrontier[[#This Row],[P131 Growth]])</f>
        <v>1.1126779021142208</v>
      </c>
      <c r="TF23" s="27">
        <f>PortfolioFrontier[[#This Row],[P131 Growth]]/PortfolioFrontier[[#This Row],[P131 HWM]]-1</f>
        <v>-3.658992936212524E-3</v>
      </c>
      <c r="TG23" s="28">
        <f>SUMPRODUCT(INDEX(PortfolioRef[[SPY]:[PE]],MATCH(TG$1,PortfolioRef[Reference '#]),0),AssetMonthlyReturns[[#This Row],[SPY]:[PE]])</f>
        <v>-3.9483344795759601E-3</v>
      </c>
      <c r="TH23" s="27">
        <f>IF(ISNUMBER(TH22),TH22*(1+PortfolioFrontier[[#This Row],[P132 Return]]),1+PortfolioFrontier[[#This Row],[P132 Return]])</f>
        <v>1.1041495797532828</v>
      </c>
      <c r="TI23" s="27">
        <f>MAX(TI22,PortfolioFrontier[[#This Row],[P132 Growth]])</f>
        <v>1.1085264128105032</v>
      </c>
      <c r="TJ23" s="27">
        <f>PortfolioFrontier[[#This Row],[P132 Growth]]/PortfolioFrontier[[#This Row],[P132 HWM]]-1</f>
        <v>-3.9483344795760988E-3</v>
      </c>
      <c r="TK23" s="28">
        <f>SUMPRODUCT(INDEX(PortfolioRef[[SPY]:[PE]],MATCH(TK$1,PortfolioRef[Reference '#]),0),AssetMonthlyReturns[[#This Row],[SPY]:[PE]])</f>
        <v>-6.4772571693925193E-4</v>
      </c>
      <c r="TL23" s="27">
        <f>IF(ISNUMBER(TL22),TL22*(1+PortfolioFrontier[[#This Row],[P133 Return]]),1+PortfolioFrontier[[#This Row],[P133 Return]])</f>
        <v>1.1081037415540871</v>
      </c>
      <c r="TM23" s="27">
        <f>MAX(TM22,PortfolioFrontier[[#This Row],[P133 Growth]])</f>
        <v>1.1088219540492317</v>
      </c>
      <c r="TN23" s="27">
        <f>PortfolioFrontier[[#This Row],[P133 Growth]]/PortfolioFrontier[[#This Row],[P133 HWM]]-1</f>
        <v>-6.4772571693927361E-4</v>
      </c>
      <c r="TO23" s="28">
        <f>SUMPRODUCT(INDEX(PortfolioRef[[SPY]:[PE]],MATCH(TO$1,PortfolioRef[Reference '#]),0),AssetMonthlyReturns[[#This Row],[SPY]:[PE]])</f>
        <v>-9.3706726030282073E-4</v>
      </c>
      <c r="TP23" s="27">
        <f>IF(ISNUMBER(TP22),TP22*(1+PortfolioFrontier[[#This Row],[P134 Return]]),1+PortfolioFrontier[[#This Row],[P134 Return]])</f>
        <v>1.1037372878713043</v>
      </c>
      <c r="TQ23" s="27">
        <f>MAX(TQ22,PortfolioFrontier[[#This Row],[P134 Growth]])</f>
        <v>1.1047725340430379</v>
      </c>
      <c r="TR23" s="27">
        <f>PortfolioFrontier[[#This Row],[P134 Growth]]/PortfolioFrontier[[#This Row],[P134 HWM]]-1</f>
        <v>-9.3706726030284848E-4</v>
      </c>
      <c r="TS23" s="28">
        <f>SUMPRODUCT(INDEX(PortfolioRef[[SPY]:[PE]],MATCH(TS$1,PortfolioRef[Reference '#]),0),AssetMonthlyReturns[[#This Row],[SPY]:[PE]])</f>
        <v>-1.2264088036663908E-3</v>
      </c>
      <c r="TT23" s="27">
        <f>IF(ISNUMBER(TT22),TT22*(1+PortfolioFrontier[[#This Row],[P135 Return]]),1+PortfolioFrontier[[#This Row],[P135 Return]])</f>
        <v>1.0993261455958738</v>
      </c>
      <c r="TU23" s="27">
        <f>MAX(TU22,PortfolioFrontier[[#This Row],[P135 Growth]])</f>
        <v>1.1006760243621361</v>
      </c>
      <c r="TV23" s="27">
        <f>PortfolioFrontier[[#This Row],[P135 Growth]]/PortfolioFrontier[[#This Row],[P135 HWM]]-1</f>
        <v>-1.2264088036664234E-3</v>
      </c>
      <c r="TW23" s="28">
        <f>SUMPRODUCT(INDEX(PortfolioRef[[SPY]:[PE]],MATCH(TW$1,PortfolioRef[Reference '#]),0),AssetMonthlyReturns[[#This Row],[SPY]:[PE]])</f>
        <v>-2.5359824979648005E-3</v>
      </c>
      <c r="TX23" s="27">
        <f>IF(ISNUMBER(TX22),TX22*(1+PortfolioFrontier[[#This Row],[P136 Return]]),1+PortfolioFrontier[[#This Row],[P136 Return]])</f>
        <v>1.1120293966687333</v>
      </c>
      <c r="TY23" s="27">
        <f>MAX(TY22,PortfolioFrontier[[#This Row],[P136 Growth]])</f>
        <v>1.1148566536300788</v>
      </c>
      <c r="TZ23" s="27">
        <f>PortfolioFrontier[[#This Row],[P136 Growth]]/PortfolioFrontier[[#This Row],[P136 HWM]]-1</f>
        <v>-2.5359824979647172E-3</v>
      </c>
      <c r="UA23" s="28">
        <f>SUMPRODUCT(INDEX(PortfolioRef[[SPY]:[PE]],MATCH(UA$1,PortfolioRef[Reference '#]),0),AssetMonthlyReturns[[#This Row],[SPY]:[PE]])</f>
        <v>-2.8253240413283701E-3</v>
      </c>
      <c r="UB23" s="27">
        <f>IF(ISNUMBER(UB22),UB22*(1+PortfolioFrontier[[#This Row],[P137 Return]]),1+PortfolioFrontier[[#This Row],[P137 Return]])</f>
        <v>1.1076520471892901</v>
      </c>
      <c r="UC23" s="27">
        <f>MAX(UC22,PortfolioFrontier[[#This Row],[P137 Growth]])</f>
        <v>1.1107903899829856</v>
      </c>
      <c r="UD23" s="27">
        <f>PortfolioFrontier[[#This Row],[P137 Growth]]/PortfolioFrontier[[#This Row],[P137 HWM]]-1</f>
        <v>-2.8253240413284031E-3</v>
      </c>
      <c r="UE23" s="28">
        <f>SUMPRODUCT(INDEX(PortfolioRef[[SPY]:[PE]],MATCH(UE$1,PortfolioRef[Reference '#]),0),AssetMonthlyReturns[[#This Row],[SPY]:[PE]])</f>
        <v>-3.1146655846919398E-3</v>
      </c>
      <c r="UF23" s="27">
        <f>IF(ISNUMBER(UF22),UF22*(1+PortfolioFrontier[[#This Row],[P138 Return]]),1+PortfolioFrontier[[#This Row],[P138 Return]])</f>
        <v>1.1032297901641108</v>
      </c>
      <c r="UG23" s="27">
        <f>MAX(UG22,PortfolioFrontier[[#This Row],[P138 Growth]])</f>
        <v>1.1066767180512047</v>
      </c>
      <c r="UH23" s="27">
        <f>PortfolioFrontier[[#This Row],[P138 Growth]]/PortfolioFrontier[[#This Row],[P138 HWM]]-1</f>
        <v>-3.1146655846918669E-3</v>
      </c>
      <c r="UI23" s="28">
        <f>SUMPRODUCT(INDEX(PortfolioRef[[SPY]:[PE]],MATCH(UI$1,PortfolioRef[Reference '#]),0),AssetMonthlyReturns[[#This Row],[SPY]:[PE]])</f>
        <v>-4.4242392789903499E-3</v>
      </c>
      <c r="UJ23" s="27">
        <f>IF(ISNUMBER(UJ22),UJ22*(1+PortfolioFrontier[[#This Row],[P139 Return]]),1+PortfolioFrontier[[#This Row],[P139 Return]])</f>
        <v>1.1159001935433426</v>
      </c>
      <c r="UK23" s="27">
        <f>MAX(UK22,PortfolioFrontier[[#This Row],[P139 Growth]])</f>
        <v>1.1208591425881969</v>
      </c>
      <c r="UL23" s="27">
        <f>PortfolioFrontier[[#This Row],[P139 Growth]]/PortfolioFrontier[[#This Row],[P139 HWM]]-1</f>
        <v>-4.4242392789904939E-3</v>
      </c>
      <c r="UM23" s="28">
        <f>SUMPRODUCT(INDEX(PortfolioRef[[SPY]:[PE]],MATCH(UM$1,PortfolioRef[Reference '#]),0),AssetMonthlyReturns[[#This Row],[SPY]:[PE]])</f>
        <v>-4.7135808223539178E-3</v>
      </c>
      <c r="UN23" s="27">
        <f>IF(ISNUMBER(UN22),UN22*(1+PortfolioFrontier[[#This Row],[P140 Return]]),1+PortfolioFrontier[[#This Row],[P140 Return]])</f>
        <v>1.1115121430693988</v>
      </c>
      <c r="UO23" s="27">
        <f>MAX(UO22,PortfolioFrontier[[#This Row],[P140 Growth]])</f>
        <v>1.1167761577494286</v>
      </c>
      <c r="UP23" s="27">
        <f>PortfolioFrontier[[#This Row],[P140 Growth]]/PortfolioFrontier[[#This Row],[P140 HWM]]-1</f>
        <v>-4.7135808223539577E-3</v>
      </c>
      <c r="UQ23" s="28">
        <f>SUMPRODUCT(INDEX(PortfolioRef[[SPY]:[PE]],MATCH(UQ$1,PortfolioRef[Reference '#]),0),AssetMonthlyReturns[[#This Row],[SPY]:[PE]])</f>
        <v>-5.0029223657174883E-3</v>
      </c>
      <c r="UR23" s="27">
        <f>IF(ISNUMBER(UR22),UR22*(1+PortfolioFrontier[[#This Row],[P141 Return]]),1+PortfolioFrontier[[#This Row],[P141 Return]])</f>
        <v>1.1070789677767217</v>
      </c>
      <c r="US23" s="27">
        <f>MAX(US22,PortfolioFrontier[[#This Row],[P141 Growth]])</f>
        <v>1.1126454465664628</v>
      </c>
      <c r="UT23" s="27">
        <f>PortfolioFrontier[[#This Row],[P141 Growth]]/PortfolioFrontier[[#This Row],[P141 HWM]]-1</f>
        <v>-5.0029223657175326E-3</v>
      </c>
    </row>
    <row r="24" spans="2:566" x14ac:dyDescent="0.2">
      <c r="B24" s="41">
        <f>AssetMonthlyReturns[[#This Row],[Date]]</f>
        <v>43101</v>
      </c>
      <c r="C24" s="28">
        <f>SUMPRODUCT(INDEX(PortfolioRef[[SPY]:[PE]],MATCH(C$1,PortfolioRef[Reference '#]),0),AssetMonthlyReturns[[#This Row],[SPY]:[PE]])</f>
        <v>3.261918582481018E-2</v>
      </c>
      <c r="D24" s="29">
        <f>IF(ISNUMBER(D23),D23*(1+PortfolioFrontier[[#This Row],[P1 Return]]),1+PortfolioFrontier[[#This Row],[P1 Return]])</f>
        <v>1.2268807402593727</v>
      </c>
      <c r="E24" s="29">
        <f>MAX(E23,PortfolioFrontier[[#This Row],[P1 Growth]])</f>
        <v>1.2268807402593727</v>
      </c>
      <c r="F24" s="29">
        <f>PortfolioFrontier[[#This Row],[P1 Growth]]/PortfolioFrontier[[#This Row],[P1 HWM]]-1</f>
        <v>0</v>
      </c>
      <c r="G24" s="28">
        <f>SUMPRODUCT(INDEX(PortfolioRef[[SPY]:[PE]],MATCH(G$1,PortfolioRef[Reference '#]),0),AssetMonthlyReturns[[#This Row],[SPY]:[PE]])</f>
        <v>2.9090066504903457E-2</v>
      </c>
      <c r="H24" s="27">
        <f>IF(ISNUMBER(H23),H23*(1+PortfolioFrontier[[#This Row],[P2 Return]]),1+PortfolioFrontier[[#This Row],[P2 Return]])</f>
        <v>1.2068315625281993</v>
      </c>
      <c r="I24" s="27">
        <f>MAX(I23,PortfolioFrontier[[#This Row],[P2 Growth]])</f>
        <v>1.2068315625281993</v>
      </c>
      <c r="J24" s="27">
        <f>PortfolioFrontier[[#This Row],[P2 Growth]]/PortfolioFrontier[[#This Row],[P2 HWM]]-1</f>
        <v>0</v>
      </c>
      <c r="K24" s="28">
        <f>SUMPRODUCT(INDEX(PortfolioRef[[SPY]:[PE]],MATCH(K$1,PortfolioRef[Reference '#]),0),AssetMonthlyReturns[[#This Row],[SPY]:[PE]])</f>
        <v>3.1148720532659775E-2</v>
      </c>
      <c r="L24" s="27">
        <f>IF(ISNUMBER(L23),L23*(1+PortfolioFrontier[[#This Row],[P3 Return]]),1+PortfolioFrontier[[#This Row],[P3 Return]])</f>
        <v>1.2083023864943216</v>
      </c>
      <c r="M24" s="27">
        <f>MAX(M23,PortfolioFrontier[[#This Row],[P3 Growth]])</f>
        <v>1.2083023864943216</v>
      </c>
      <c r="N24" s="27">
        <f>PortfolioFrontier[[#This Row],[P3 Growth]]/PortfolioFrontier[[#This Row],[P3 HWM]]-1</f>
        <v>0</v>
      </c>
      <c r="O24" s="28">
        <f>SUMPRODUCT(INDEX(PortfolioRef[[SPY]:[PE]],MATCH(O$1,PortfolioRef[Reference '#]),0),AssetMonthlyReturns[[#This Row],[SPY]:[PE]])</f>
        <v>2.8145900327203606E-2</v>
      </c>
      <c r="P24" s="27">
        <f>IF(ISNUMBER(P23),P23*(1+PortfolioFrontier[[#This Row],[P4 Return]]),1+PortfolioFrontier[[#This Row],[P4 Return]])</f>
        <v>1.2089685098853755</v>
      </c>
      <c r="Q24" s="27">
        <f>MAX(Q23,PortfolioFrontier[[#This Row],[P4 Growth]])</f>
        <v>1.2089685098853755</v>
      </c>
      <c r="R24" s="27">
        <f>PortfolioFrontier[[#This Row],[P4 Growth]]/PortfolioFrontier[[#This Row],[P4 HWM]]-1</f>
        <v>0</v>
      </c>
      <c r="S24" s="28">
        <f>SUMPRODUCT(INDEX(PortfolioRef[[SPY]:[PE]],MATCH(S$1,PortfolioRef[Reference '#]),0),AssetMonthlyReturns[[#This Row],[SPY]:[PE]])</f>
        <v>2.9286869166096817E-2</v>
      </c>
      <c r="T24" s="27">
        <f>IF(ISNUMBER(T23),T23*(1+PortfolioFrontier[[#This Row],[P5 Return]]),1+PortfolioFrontier[[#This Row],[P5 Return]])</f>
        <v>1.2053902876248646</v>
      </c>
      <c r="U24" s="27">
        <f>MAX(U23,PortfolioFrontier[[#This Row],[P5 Growth]])</f>
        <v>1.2053902876248646</v>
      </c>
      <c r="V24" s="27">
        <f>PortfolioFrontier[[#This Row],[P5 Growth]]/PortfolioFrontier[[#This Row],[P5 HWM]]-1</f>
        <v>0</v>
      </c>
      <c r="W24" s="28">
        <f>SUMPRODUCT(INDEX(PortfolioRef[[SPY]:[PE]],MATCH(W$1,PortfolioRef[Reference '#]),0),AssetMonthlyReturns[[#This Row],[SPY]:[PE]])</f>
        <v>2.5560947184996734E-2</v>
      </c>
      <c r="X24" s="27">
        <f>IF(ISNUMBER(X23),X23*(1+PortfolioFrontier[[#This Row],[P6 Return]]),1+PortfolioFrontier[[#This Row],[P6 Return]])</f>
        <v>1.1870654596234402</v>
      </c>
      <c r="Y24" s="27">
        <f>MAX(Y23,PortfolioFrontier[[#This Row],[P6 Growth]])</f>
        <v>1.1870654596234402</v>
      </c>
      <c r="Z24" s="27">
        <f>PortfolioFrontier[[#This Row],[P6 Growth]]/PortfolioFrontier[[#This Row],[P6 HWM]]-1</f>
        <v>0</v>
      </c>
      <c r="AA24" s="28">
        <f>SUMPRODUCT(INDEX(PortfolioRef[[SPY]:[PE]],MATCH(AA$1,PortfolioRef[Reference '#]),0),AssetMonthlyReturns[[#This Row],[SPY]:[PE]])</f>
        <v>2.7619601212753052E-2</v>
      </c>
      <c r="AB24" s="27">
        <f>IF(ISNUMBER(AB23),AB23*(1+PortfolioFrontier[[#This Row],[P7 Return]]),1+PortfolioFrontier[[#This Row],[P7 Return]])</f>
        <v>1.1885066820011696</v>
      </c>
      <c r="AC24" s="27">
        <f>MAX(AC23,PortfolioFrontier[[#This Row],[P7 Growth]])</f>
        <v>1.1885066820011696</v>
      </c>
      <c r="AD24" s="27">
        <f>PortfolioFrontier[[#This Row],[P7 Growth]]/PortfolioFrontier[[#This Row],[P7 HWM]]-1</f>
        <v>0</v>
      </c>
      <c r="AE24" s="28">
        <f>SUMPRODUCT(INDEX(PortfolioRef[[SPY]:[PE]],MATCH(AE$1,PortfolioRef[Reference '#]),0),AssetMonthlyReturns[[#This Row],[SPY]:[PE]])</f>
        <v>2.461678100729689E-2</v>
      </c>
      <c r="AF24" s="27">
        <f>IF(ISNUMBER(AF23),AF23*(1+PortfolioFrontier[[#This Row],[P8 Return]]),1+PortfolioFrontier[[#This Row],[P8 Return]])</f>
        <v>1.1891774250084055</v>
      </c>
      <c r="AG24" s="27">
        <f>MAX(AG23,PortfolioFrontier[[#This Row],[P8 Growth]])</f>
        <v>1.1891774250084055</v>
      </c>
      <c r="AH24" s="27">
        <f>PortfolioFrontier[[#This Row],[P8 Growth]]/PortfolioFrontier[[#This Row],[P8 HWM]]-1</f>
        <v>0</v>
      </c>
      <c r="AI24" s="28">
        <f>SUMPRODUCT(INDEX(PortfolioRef[[SPY]:[PE]],MATCH(AI$1,PortfolioRef[Reference '#]),0),AssetMonthlyReturns[[#This Row],[SPY]:[PE]])</f>
        <v>2.5757749846190101E-2</v>
      </c>
      <c r="AJ24" s="27">
        <f>IF(ISNUMBER(AJ23),AJ23*(1+PortfolioFrontier[[#This Row],[P9 Return]]),1+PortfolioFrontier[[#This Row],[P9 Return]])</f>
        <v>1.1856558546826308</v>
      </c>
      <c r="AK24" s="27">
        <f>MAX(AK23,PortfolioFrontier[[#This Row],[P9 Growth]])</f>
        <v>1.1856558546826308</v>
      </c>
      <c r="AL24" s="27">
        <f>PortfolioFrontier[[#This Row],[P9 Growth]]/PortfolioFrontier[[#This Row],[P9 HWM]]-1</f>
        <v>0</v>
      </c>
      <c r="AM24" s="28">
        <f>SUMPRODUCT(INDEX(PortfolioRef[[SPY]:[PE]],MATCH(AM$1,PortfolioRef[Reference '#]),0),AssetMonthlyReturns[[#This Row],[SPY]:[PE]])</f>
        <v>2.967825524050937E-2</v>
      </c>
      <c r="AN24" s="27">
        <f>IF(ISNUMBER(AN23),AN23*(1+PortfolioFrontier[[#This Row],[P10 Return]]),1+PortfolioFrontier[[#This Row],[P10 Return]])</f>
        <v>1.189885359414661</v>
      </c>
      <c r="AO24" s="27">
        <f>MAX(AO23,PortfolioFrontier[[#This Row],[P10 Growth]])</f>
        <v>1.189885359414661</v>
      </c>
      <c r="AP24" s="27">
        <f>PortfolioFrontier[[#This Row],[P10 Growth]]/PortfolioFrontier[[#This Row],[P10 HWM]]-1</f>
        <v>0</v>
      </c>
      <c r="AQ24" s="28">
        <f>SUMPRODUCT(INDEX(PortfolioRef[[SPY]:[PE]],MATCH(AQ$1,PortfolioRef[Reference '#]),0),AssetMonthlyReturns[[#This Row],[SPY]:[PE]])</f>
        <v>2.6675435035053208E-2</v>
      </c>
      <c r="AR24" s="27">
        <f>IF(ISNUMBER(AR23),AR23*(1+PortfolioFrontier[[#This Row],[P11 Return]]),1+PortfolioFrontier[[#This Row],[P11 Return]])</f>
        <v>1.1906111681356153</v>
      </c>
      <c r="AS24" s="27">
        <f>MAX(AS23,PortfolioFrontier[[#This Row],[P11 Growth]])</f>
        <v>1.1906111681356153</v>
      </c>
      <c r="AT24" s="27">
        <f>PortfolioFrontier[[#This Row],[P11 Growth]]/PortfolioFrontier[[#This Row],[P11 HWM]]-1</f>
        <v>0</v>
      </c>
      <c r="AU24" s="28">
        <f>SUMPRODUCT(INDEX(PortfolioRef[[SPY]:[PE]],MATCH(AU$1,PortfolioRef[Reference '#]),0),AssetMonthlyReturns[[#This Row],[SPY]:[PE]])</f>
        <v>2.7816403873946419E-2</v>
      </c>
      <c r="AV24" s="27">
        <f>IF(ISNUMBER(AV23),AV23*(1+PortfolioFrontier[[#This Row],[P12 Return]]),1+PortfolioFrontier[[#This Row],[P12 Return]])</f>
        <v>1.1871159871654284</v>
      </c>
      <c r="AW24" s="27">
        <f>MAX(AW23,PortfolioFrontier[[#This Row],[P12 Growth]])</f>
        <v>1.1871159871654284</v>
      </c>
      <c r="AX24" s="27">
        <f>PortfolioFrontier[[#This Row],[P12 Growth]]/PortfolioFrontier[[#This Row],[P12 HWM]]-1</f>
        <v>0</v>
      </c>
      <c r="AY24" s="28">
        <f>SUMPRODUCT(INDEX(PortfolioRef[[SPY]:[PE]],MATCH(AY$1,PortfolioRef[Reference '#]),0),AssetMonthlyReturns[[#This Row],[SPY]:[PE]])</f>
        <v>2.3672614829597035E-2</v>
      </c>
      <c r="AZ24" s="27">
        <f>IF(ISNUMBER(AZ23),AZ23*(1+PortfolioFrontier[[#This Row],[P13 Return]]),1+PortfolioFrontier[[#This Row],[P13 Return]])</f>
        <v>1.1912541040450171</v>
      </c>
      <c r="BA24" s="27">
        <f>MAX(BA23,PortfolioFrontier[[#This Row],[P13 Growth]])</f>
        <v>1.1912541040450171</v>
      </c>
      <c r="BB24" s="27">
        <f>PortfolioFrontier[[#This Row],[P13 Growth]]/PortfolioFrontier[[#This Row],[P13 HWM]]-1</f>
        <v>0</v>
      </c>
      <c r="BC24" s="28">
        <f>SUMPRODUCT(INDEX(PortfolioRef[[SPY]:[PE]],MATCH(BC$1,PortfolioRef[Reference '#]),0),AssetMonthlyReturns[[#This Row],[SPY]:[PE]])</f>
        <v>2.4813583668490249E-2</v>
      </c>
      <c r="BD24" s="27">
        <f>IF(ISNUMBER(BD23),BD23*(1+PortfolioFrontier[[#This Row],[P14 Return]]),1+PortfolioFrontier[[#This Row],[P14 Return]])</f>
        <v>1.1877656683363773</v>
      </c>
      <c r="BE24" s="27">
        <f>MAX(BE23,PortfolioFrontier[[#This Row],[P14 Growth]])</f>
        <v>1.1877656683363773</v>
      </c>
      <c r="BF24" s="27">
        <f>PortfolioFrontier[[#This Row],[P14 Growth]]/PortfolioFrontier[[#This Row],[P14 HWM]]-1</f>
        <v>0</v>
      </c>
      <c r="BG24" s="28">
        <f>SUMPRODUCT(INDEX(PortfolioRef[[SPY]:[PE]],MATCH(BG$1,PortfolioRef[Reference '#]),0),AssetMonthlyReturns[[#This Row],[SPY]:[PE]])</f>
        <v>2.595455250738346E-2</v>
      </c>
      <c r="BH24" s="27">
        <f>IF(ISNUMBER(BH23),BH23*(1+PortfolioFrontier[[#This Row],[P15 Return]]),1+PortfolioFrontier[[#This Row],[P15 Return]])</f>
        <v>1.1842195166350118</v>
      </c>
      <c r="BI24" s="27">
        <f>MAX(BI23,PortfolioFrontier[[#This Row],[P15 Growth]])</f>
        <v>1.1842195166350118</v>
      </c>
      <c r="BJ24" s="27">
        <f>PortfolioFrontier[[#This Row],[P15 Growth]]/PortfolioFrontier[[#This Row],[P15 HWM]]-1</f>
        <v>0</v>
      </c>
      <c r="BK24" s="28">
        <f>SUMPRODUCT(INDEX(PortfolioRef[[SPY]:[PE]],MATCH(BK$1,PortfolioRef[Reference '#]),0),AssetMonthlyReturns[[#This Row],[SPY]:[PE]])</f>
        <v>2.2031827865090017E-2</v>
      </c>
      <c r="BL24" s="27">
        <f>IF(ISNUMBER(BL23),BL23*(1+PortfolioFrontier[[#This Row],[P16 Return]]),1+PortfolioFrontier[[#This Row],[P16 Return]])</f>
        <v>1.1675790550962819</v>
      </c>
      <c r="BM24" s="27">
        <f>MAX(BM23,PortfolioFrontier[[#This Row],[P16 Growth]])</f>
        <v>1.1675790550962819</v>
      </c>
      <c r="BN24" s="27">
        <f>PortfolioFrontier[[#This Row],[P16 Growth]]/PortfolioFrontier[[#This Row],[P16 HWM]]-1</f>
        <v>0</v>
      </c>
      <c r="BO24" s="28">
        <f>SUMPRODUCT(INDEX(PortfolioRef[[SPY]:[PE]],MATCH(BO$1,PortfolioRef[Reference '#]),0),AssetMonthlyReturns[[#This Row],[SPY]:[PE]])</f>
        <v>2.4090481892846335E-2</v>
      </c>
      <c r="BP24" s="27">
        <f>IF(ISNUMBER(BP23),BP23*(1+PortfolioFrontier[[#This Row],[P17 Return]]),1+PortfolioFrontier[[#This Row],[P17 Return]])</f>
        <v>1.1689912062359162</v>
      </c>
      <c r="BQ24" s="27">
        <f>MAX(BQ23,PortfolioFrontier[[#This Row],[P17 Growth]])</f>
        <v>1.1689912062359162</v>
      </c>
      <c r="BR24" s="27">
        <f>PortfolioFrontier[[#This Row],[P17 Growth]]/PortfolioFrontier[[#This Row],[P17 HWM]]-1</f>
        <v>0</v>
      </c>
      <c r="BS24" s="28">
        <f>SUMPRODUCT(INDEX(PortfolioRef[[SPY]:[PE]],MATCH(BS$1,PortfolioRef[Reference '#]),0),AssetMonthlyReturns[[#This Row],[SPY]:[PE]])</f>
        <v>2.1087661687390166E-2</v>
      </c>
      <c r="BT24" s="27">
        <f>IF(ISNUMBER(BT23),BT23*(1+PortfolioFrontier[[#This Row],[P18 Return]]),1+PortfolioFrontier[[#This Row],[P18 Return]])</f>
        <v>1.1696662339297583</v>
      </c>
      <c r="BU24" s="27">
        <f>MAX(BU23,PortfolioFrontier[[#This Row],[P18 Growth]])</f>
        <v>1.1696662339297583</v>
      </c>
      <c r="BV24" s="27">
        <f>PortfolioFrontier[[#This Row],[P18 Growth]]/PortfolioFrontier[[#This Row],[P18 HWM]]-1</f>
        <v>0</v>
      </c>
      <c r="BW24" s="28">
        <f>SUMPRODUCT(INDEX(PortfolioRef[[SPY]:[PE]],MATCH(BW$1,PortfolioRef[Reference '#]),0),AssetMonthlyReturns[[#This Row],[SPY]:[PE]])</f>
        <v>2.2228630526283377E-2</v>
      </c>
      <c r="BX24" s="27">
        <f>IF(ISNUMBER(BX23),BX23*(1+PortfolioFrontier[[#This Row],[P19 Return]]),1+PortfolioFrontier[[#This Row],[P19 Return]])</f>
        <v>1.1662005542564946</v>
      </c>
      <c r="BY24" s="27">
        <f>MAX(BY23,PortfolioFrontier[[#This Row],[P19 Growth]])</f>
        <v>1.1662005542564946</v>
      </c>
      <c r="BZ24" s="27">
        <f>PortfolioFrontier[[#This Row],[P19 Growth]]/PortfolioFrontier[[#This Row],[P19 HWM]]-1</f>
        <v>0</v>
      </c>
      <c r="CA24" s="28">
        <f>SUMPRODUCT(INDEX(PortfolioRef[[SPY]:[PE]],MATCH(CA$1,PortfolioRef[Reference '#]),0),AssetMonthlyReturns[[#This Row],[SPY]:[PE]])</f>
        <v>2.6149135920602654E-2</v>
      </c>
      <c r="CB24" s="27">
        <f>IF(ISNUMBER(CB23),CB23*(1+PortfolioFrontier[[#This Row],[P20 Return]]),1+PortfolioFrontier[[#This Row],[P20 Return]])</f>
        <v>1.1703417133724241</v>
      </c>
      <c r="CC24" s="27">
        <f>MAX(CC23,PortfolioFrontier[[#This Row],[P20 Growth]])</f>
        <v>1.1703417133724241</v>
      </c>
      <c r="CD24" s="27">
        <f>PortfolioFrontier[[#This Row],[P20 Growth]]/PortfolioFrontier[[#This Row],[P20 HWM]]-1</f>
        <v>0</v>
      </c>
      <c r="CE24" s="28">
        <f>SUMPRODUCT(INDEX(PortfolioRef[[SPY]:[PE]],MATCH(CE$1,PortfolioRef[Reference '#]),0),AssetMonthlyReturns[[#This Row],[SPY]:[PE]])</f>
        <v>2.3146315715146484E-2</v>
      </c>
      <c r="CF24" s="27">
        <f>IF(ISNUMBER(CF23),CF23*(1+PortfolioFrontier[[#This Row],[P21 Return]]),1+PortfolioFrontier[[#This Row],[P21 Return]])</f>
        <v>1.1710710579078392</v>
      </c>
      <c r="CG24" s="27">
        <f>MAX(CG23,PortfolioFrontier[[#This Row],[P21 Growth]])</f>
        <v>1.1710710579078392</v>
      </c>
      <c r="CH24" s="27">
        <f>PortfolioFrontier[[#This Row],[P21 Growth]]/PortfolioFrontier[[#This Row],[P21 HWM]]-1</f>
        <v>0</v>
      </c>
      <c r="CI24" s="28">
        <f>SUMPRODUCT(INDEX(PortfolioRef[[SPY]:[PE]],MATCH(CI$1,PortfolioRef[Reference '#]),0),AssetMonthlyReturns[[#This Row],[SPY]:[PE]])</f>
        <v>2.4287284554039695E-2</v>
      </c>
      <c r="CJ24" s="27">
        <f>IF(ISNUMBER(CJ23),CJ23*(1+PortfolioFrontier[[#This Row],[P22 Return]]),1+PortfolioFrontier[[#This Row],[P22 Return]])</f>
        <v>1.1676313457678775</v>
      </c>
      <c r="CK24" s="27">
        <f>MAX(CK23,PortfolioFrontier[[#This Row],[P22 Growth]])</f>
        <v>1.1676313457678775</v>
      </c>
      <c r="CL24" s="27">
        <f>PortfolioFrontier[[#This Row],[P22 Growth]]/PortfolioFrontier[[#This Row],[P22 HWM]]-1</f>
        <v>0</v>
      </c>
      <c r="CM24" s="28">
        <f>SUMPRODUCT(INDEX(PortfolioRef[[SPY]:[PE]],MATCH(CM$1,PortfolioRef[Reference '#]),0),AssetMonthlyReturns[[#This Row],[SPY]:[PE]])</f>
        <v>2.0143495509690319E-2</v>
      </c>
      <c r="CN24" s="27">
        <f>IF(ISNUMBER(CN23),CN23*(1+PortfolioFrontier[[#This Row],[P23 Return]]),1+PortfolioFrontier[[#This Row],[P23 Return]])</f>
        <v>1.1717186984791552</v>
      </c>
      <c r="CO24" s="27">
        <f>MAX(CO23,PortfolioFrontier[[#This Row],[P23 Growth]])</f>
        <v>1.1717186984791552</v>
      </c>
      <c r="CP24" s="27">
        <f>PortfolioFrontier[[#This Row],[P23 Growth]]/PortfolioFrontier[[#This Row],[P23 HWM]]-1</f>
        <v>0</v>
      </c>
      <c r="CQ24" s="28">
        <f>SUMPRODUCT(INDEX(PortfolioRef[[SPY]:[PE]],MATCH(CQ$1,PortfolioRef[Reference '#]),0),AssetMonthlyReturns[[#This Row],[SPY]:[PE]])</f>
        <v>2.1284464348583533E-2</v>
      </c>
      <c r="CR24" s="27">
        <f>IF(ISNUMBER(CR23),CR23*(1+PortfolioFrontier[[#This Row],[P24 Return]]),1+PortfolioFrontier[[#This Row],[P24 Return]])</f>
        <v>1.1682856099250332</v>
      </c>
      <c r="CS24" s="27">
        <f>MAX(CS23,PortfolioFrontier[[#This Row],[P24 Growth]])</f>
        <v>1.1682856099250332</v>
      </c>
      <c r="CT24" s="27">
        <f>PortfolioFrontier[[#This Row],[P24 Growth]]/PortfolioFrontier[[#This Row],[P24 HWM]]-1</f>
        <v>0</v>
      </c>
      <c r="CU24" s="28">
        <f>SUMPRODUCT(INDEX(PortfolioRef[[SPY]:[PE]],MATCH(CU$1,PortfolioRef[Reference '#]),0),AssetMonthlyReturns[[#This Row],[SPY]:[PE]])</f>
        <v>2.2425433187476744E-2</v>
      </c>
      <c r="CV24" s="27">
        <f>IF(ISNUMBER(CV23),CV23*(1+PortfolioFrontier[[#This Row],[P25 Return]]),1+PortfolioFrontier[[#This Row],[P25 Return]])</f>
        <v>1.1647956979796028</v>
      </c>
      <c r="CW24" s="27">
        <f>MAX(CW23,PortfolioFrontier[[#This Row],[P25 Growth]])</f>
        <v>1.1647956979796028</v>
      </c>
      <c r="CX24" s="27">
        <f>PortfolioFrontier[[#This Row],[P25 Growth]]/PortfolioFrontier[[#This Row],[P25 HWM]]-1</f>
        <v>0</v>
      </c>
      <c r="CY24" s="28">
        <f>SUMPRODUCT(INDEX(PortfolioRef[[SPY]:[PE]],MATCH(CY$1,PortfolioRef[Reference '#]),0),AssetMonthlyReturns[[#This Row],[SPY]:[PE]])</f>
        <v>2.5204969742902806E-2</v>
      </c>
      <c r="CZ24" s="27">
        <f>IF(ISNUMBER(CZ23),CZ23*(1+PortfolioFrontier[[#This Row],[P26 Return]]),1+PortfolioFrontier[[#This Row],[P26 Return]])</f>
        <v>1.1724141851433634</v>
      </c>
      <c r="DA24" s="27">
        <f>MAX(DA23,PortfolioFrontier[[#This Row],[P26 Growth]])</f>
        <v>1.1724141851433634</v>
      </c>
      <c r="DB24" s="27">
        <f>PortfolioFrontier[[#This Row],[P26 Growth]]/PortfolioFrontier[[#This Row],[P26 HWM]]-1</f>
        <v>0</v>
      </c>
      <c r="DC24" s="28">
        <f>SUMPRODUCT(INDEX(PortfolioRef[[SPY]:[PE]],MATCH(DC$1,PortfolioRef[Reference '#]),0),AssetMonthlyReturns[[#This Row],[SPY]:[PE]])</f>
        <v>2.6345938581796017E-2</v>
      </c>
      <c r="DD24" s="27">
        <f>IF(ISNUMBER(DD23),DD23*(1+PortfolioFrontier[[#This Row],[P27 Return]]),1+PortfolioFrontier[[#This Row],[P27 Return]])</f>
        <v>1.1690006176368444</v>
      </c>
      <c r="DE24" s="27">
        <f>MAX(DE23,PortfolioFrontier[[#This Row],[P27 Growth]])</f>
        <v>1.1690006176368444</v>
      </c>
      <c r="DF24" s="27">
        <f>PortfolioFrontier[[#This Row],[P27 Growth]]/PortfolioFrontier[[#This Row],[P27 HWM]]-1</f>
        <v>0</v>
      </c>
      <c r="DG24" s="28">
        <f>SUMPRODUCT(INDEX(PortfolioRef[[SPY]:[PE]],MATCH(DG$1,PortfolioRef[Reference '#]),0),AssetMonthlyReturns[[#This Row],[SPY]:[PE]])</f>
        <v>2.2202149537446637E-2</v>
      </c>
      <c r="DH24" s="27">
        <f>IF(ISNUMBER(DH23),DH23*(1+PortfolioFrontier[[#This Row],[P28 Return]]),1+PortfolioFrontier[[#This Row],[P28 Return]])</f>
        <v>1.1731161392403724</v>
      </c>
      <c r="DI24" s="27">
        <f>MAX(DI23,PortfolioFrontier[[#This Row],[P28 Growth]])</f>
        <v>1.1731161392403724</v>
      </c>
      <c r="DJ24" s="27">
        <f>PortfolioFrontier[[#This Row],[P28 Growth]]/PortfolioFrontier[[#This Row],[P28 HWM]]-1</f>
        <v>0</v>
      </c>
      <c r="DK24" s="28">
        <f>SUMPRODUCT(INDEX(PortfolioRef[[SPY]:[PE]],MATCH(DK$1,PortfolioRef[Reference '#]),0),AssetMonthlyReturns[[#This Row],[SPY]:[PE]])</f>
        <v>2.3343118376339851E-2</v>
      </c>
      <c r="DL24" s="27">
        <f>IF(ISNUMBER(DL23),DL23*(1+PortfolioFrontier[[#This Row],[P29 Return]]),1+PortfolioFrontier[[#This Row],[P29 Return]])</f>
        <v>1.1697091182407624</v>
      </c>
      <c r="DM24" s="27">
        <f>MAX(DM23,PortfolioFrontier[[#This Row],[P29 Growth]])</f>
        <v>1.1697091182407624</v>
      </c>
      <c r="DN24" s="27">
        <f>PortfolioFrontier[[#This Row],[P29 Growth]]/PortfolioFrontier[[#This Row],[P29 HWM]]-1</f>
        <v>0</v>
      </c>
      <c r="DO24" s="28">
        <f>SUMPRODUCT(INDEX(PortfolioRef[[SPY]:[PE]],MATCH(DO$1,PortfolioRef[Reference '#]),0),AssetMonthlyReturns[[#This Row],[SPY]:[PE]])</f>
        <v>2.4484087215233062E-2</v>
      </c>
      <c r="DP24" s="27">
        <f>IF(ISNUMBER(DP23),DP23*(1+PortfolioFrontier[[#This Row],[P30 Return]]),1+PortfolioFrontier[[#This Row],[P30 Return]])</f>
        <v>1.1662450508702933</v>
      </c>
      <c r="DQ24" s="27">
        <f>MAX(DQ23,PortfolioFrontier[[#This Row],[P30 Growth]])</f>
        <v>1.1662450508702933</v>
      </c>
      <c r="DR24" s="27">
        <f>PortfolioFrontier[[#This Row],[P30 Growth]]/PortfolioFrontier[[#This Row],[P30 HWM]]-1</f>
        <v>0</v>
      </c>
      <c r="DS24" s="28">
        <f>SUMPRODUCT(INDEX(PortfolioRef[[SPY]:[PE]],MATCH(DS$1,PortfolioRef[Reference '#]),0),AssetMonthlyReturns[[#This Row],[SPY]:[PE]])</f>
        <v>1.9199329331990464E-2</v>
      </c>
      <c r="DT24" s="27">
        <f>IF(ISNUMBER(DT23),DT23*(1+PortfolioFrontier[[#This Row],[P31 Return]]),1+PortfolioFrontier[[#This Row],[P31 Return]])</f>
        <v>1.1737362663438942</v>
      </c>
      <c r="DU24" s="27">
        <f>MAX(DU23,PortfolioFrontier[[#This Row],[P31 Growth]])</f>
        <v>1.1737362663438942</v>
      </c>
      <c r="DV24" s="27">
        <f>PortfolioFrontier[[#This Row],[P31 Growth]]/PortfolioFrontier[[#This Row],[P31 HWM]]-1</f>
        <v>0</v>
      </c>
      <c r="DW24" s="28">
        <f>SUMPRODUCT(INDEX(PortfolioRef[[SPY]:[PE]],MATCH(DW$1,PortfolioRef[Reference '#]),0),AssetMonthlyReturns[[#This Row],[SPY]:[PE]])</f>
        <v>2.0340298170883678E-2</v>
      </c>
      <c r="DX24" s="27">
        <f>IF(ISNUMBER(DX23),DX23*(1+PortfolioFrontier[[#This Row],[P32 Return]]),1+PortfolioFrontier[[#This Row],[P32 Return]])</f>
        <v>1.1703360044096791</v>
      </c>
      <c r="DY24" s="27">
        <f>MAX(DY23,PortfolioFrontier[[#This Row],[P32 Growth]])</f>
        <v>1.1703360044096791</v>
      </c>
      <c r="DZ24" s="27">
        <f>PortfolioFrontier[[#This Row],[P32 Growth]]/PortfolioFrontier[[#This Row],[P32 HWM]]-1</f>
        <v>0</v>
      </c>
      <c r="EA24" s="28">
        <f>SUMPRODUCT(INDEX(PortfolioRef[[SPY]:[PE]],MATCH(EA$1,PortfolioRef[Reference '#]),0),AssetMonthlyReturns[[#This Row],[SPY]:[PE]])</f>
        <v>2.1481267009776893E-2</v>
      </c>
      <c r="EB24" s="27">
        <f>IF(ISNUMBER(EB23),EB23*(1+PortfolioFrontier[[#This Row],[P33 Return]]),1+PortfolioFrontier[[#This Row],[P33 Return]])</f>
        <v>1.1668785804544068</v>
      </c>
      <c r="EC24" s="27">
        <f>MAX(EC23,PortfolioFrontier[[#This Row],[P33 Growth]])</f>
        <v>1.1668785804544068</v>
      </c>
      <c r="ED24" s="27">
        <f>PortfolioFrontier[[#This Row],[P33 Growth]]/PortfolioFrontier[[#This Row],[P33 HWM]]-1</f>
        <v>0</v>
      </c>
      <c r="EE24" s="28">
        <f>SUMPRODUCT(INDEX(PortfolioRef[[SPY]:[PE]],MATCH(EE$1,PortfolioRef[Reference '#]),0),AssetMonthlyReturns[[#This Row],[SPY]:[PE]])</f>
        <v>1.8502708545183287E-2</v>
      </c>
      <c r="EF24" s="27">
        <f>IF(ISNUMBER(EF23),EF23*(1+PortfolioFrontier[[#This Row],[P34 Return]]),1+PortfolioFrontier[[#This Row],[P34 Return]])</f>
        <v>1.1483690052171158</v>
      </c>
      <c r="EG24" s="27">
        <f>MAX(EG23,PortfolioFrontier[[#This Row],[P34 Growth]])</f>
        <v>1.1483690052171158</v>
      </c>
      <c r="EH24" s="27">
        <f>PortfolioFrontier[[#This Row],[P34 Growth]]/PortfolioFrontier[[#This Row],[P34 HWM]]-1</f>
        <v>0</v>
      </c>
      <c r="EI24" s="28">
        <f>SUMPRODUCT(INDEX(PortfolioRef[[SPY]:[PE]],MATCH(EI$1,PortfolioRef[Reference '#]),0),AssetMonthlyReturns[[#This Row],[SPY]:[PE]])</f>
        <v>2.0561362572939605E-2</v>
      </c>
      <c r="EJ24" s="27">
        <f>IF(ISNUMBER(EJ23),EJ23*(1+PortfolioFrontier[[#This Row],[P35 Return]]),1+PortfolioFrontier[[#This Row],[P35 Return]])</f>
        <v>1.1497526071106701</v>
      </c>
      <c r="EK24" s="27">
        <f>MAX(EK23,PortfolioFrontier[[#This Row],[P35 Growth]])</f>
        <v>1.1497526071106701</v>
      </c>
      <c r="EL24" s="27">
        <f>PortfolioFrontier[[#This Row],[P35 Growth]]/PortfolioFrontier[[#This Row],[P35 HWM]]-1</f>
        <v>0</v>
      </c>
      <c r="EM24" s="28">
        <f>SUMPRODUCT(INDEX(PortfolioRef[[SPY]:[PE]],MATCH(EM$1,PortfolioRef[Reference '#]),0),AssetMonthlyReturns[[#This Row],[SPY]:[PE]])</f>
        <v>1.7558542367483443E-2</v>
      </c>
      <c r="EN24" s="27">
        <f>IF(ISNUMBER(EN23),EN23*(1+PortfolioFrontier[[#This Row],[P36 Return]]),1+PortfolioFrontier[[#This Row],[P36 Return]])</f>
        <v>1.1504315925702473</v>
      </c>
      <c r="EO24" s="27">
        <f>MAX(EO23,PortfolioFrontier[[#This Row],[P36 Growth]])</f>
        <v>1.1504315925702473</v>
      </c>
      <c r="EP24" s="27">
        <f>PortfolioFrontier[[#This Row],[P36 Growth]]/PortfolioFrontier[[#This Row],[P36 HWM]]-1</f>
        <v>0</v>
      </c>
      <c r="EQ24" s="28">
        <f>SUMPRODUCT(INDEX(PortfolioRef[[SPY]:[PE]],MATCH(EQ$1,PortfolioRef[Reference '#]),0),AssetMonthlyReturns[[#This Row],[SPY]:[PE]])</f>
        <v>1.8699511206376654E-2</v>
      </c>
      <c r="ER24" s="27">
        <f>IF(ISNUMBER(ER23),ER23*(1+PortfolioFrontier[[#This Row],[P37 Return]]),1+PortfolioFrontier[[#This Row],[P37 Return]])</f>
        <v>1.1470210509345575</v>
      </c>
      <c r="ES24" s="27">
        <f>MAX(ES23,PortfolioFrontier[[#This Row],[P37 Growth]])</f>
        <v>1.1470210509345575</v>
      </c>
      <c r="ET24" s="27">
        <f>PortfolioFrontier[[#This Row],[P37 Growth]]/PortfolioFrontier[[#This Row],[P37 HWM]]-1</f>
        <v>0</v>
      </c>
      <c r="EU24" s="28">
        <f>SUMPRODUCT(INDEX(PortfolioRef[[SPY]:[PE]],MATCH(EU$1,PortfolioRef[Reference '#]),0),AssetMonthlyReturns[[#This Row],[SPY]:[PE]])</f>
        <v>2.2620016600695927E-2</v>
      </c>
      <c r="EV24" s="27">
        <f>IF(ISNUMBER(EV23),EV23*(1+PortfolioFrontier[[#This Row],[P38 Return]]),1+PortfolioFrontier[[#This Row],[P38 Return]])</f>
        <v>1.1510754544616619</v>
      </c>
      <c r="EW24" s="27">
        <f>MAX(EW23,PortfolioFrontier[[#This Row],[P38 Growth]])</f>
        <v>1.1510754544616619</v>
      </c>
      <c r="EX24" s="27">
        <f>PortfolioFrontier[[#This Row],[P38 Growth]]/PortfolioFrontier[[#This Row],[P38 HWM]]-1</f>
        <v>0</v>
      </c>
      <c r="EY24" s="28">
        <f>SUMPRODUCT(INDEX(PortfolioRef[[SPY]:[PE]],MATCH(EY$1,PortfolioRef[Reference '#]),0),AssetMonthlyReturns[[#This Row],[SPY]:[PE]])</f>
        <v>1.9617196395239761E-2</v>
      </c>
      <c r="EZ24" s="27">
        <f>IF(ISNUMBER(EZ23),EZ23*(1+PortfolioFrontier[[#This Row],[P39 Return]]),1+PortfolioFrontier[[#This Row],[P39 Return]])</f>
        <v>1.1518080167597544</v>
      </c>
      <c r="FA24" s="27">
        <f>MAX(FA23,PortfolioFrontier[[#This Row],[P39 Growth]])</f>
        <v>1.1518080167597544</v>
      </c>
      <c r="FB24" s="27">
        <f>PortfolioFrontier[[#This Row],[P39 Growth]]/PortfolioFrontier[[#This Row],[P39 HWM]]-1</f>
        <v>0</v>
      </c>
      <c r="FC24" s="28">
        <f>SUMPRODUCT(INDEX(PortfolioRef[[SPY]:[PE]],MATCH(FC$1,PortfolioRef[Reference '#]),0),AssetMonthlyReturns[[#This Row],[SPY]:[PE]])</f>
        <v>2.0758165234132972E-2</v>
      </c>
      <c r="FD24" s="27">
        <f>IF(ISNUMBER(FD23),FD23*(1+PortfolioFrontier[[#This Row],[P40 Return]]),1+PortfolioFrontier[[#This Row],[P40 Return]])</f>
        <v>1.1484230267516922</v>
      </c>
      <c r="FE24" s="27">
        <f>MAX(FE23,PortfolioFrontier[[#This Row],[P40 Growth]])</f>
        <v>1.1484230267516922</v>
      </c>
      <c r="FF24" s="27">
        <f>PortfolioFrontier[[#This Row],[P40 Growth]]/PortfolioFrontier[[#This Row],[P40 HWM]]-1</f>
        <v>0</v>
      </c>
      <c r="FG24" s="28">
        <f>SUMPRODUCT(INDEX(PortfolioRef[[SPY]:[PE]],MATCH(FG$1,PortfolioRef[Reference '#]),0),AssetMonthlyReturns[[#This Row],[SPY]:[PE]])</f>
        <v>1.6614376189783588E-2</v>
      </c>
      <c r="FH24" s="27">
        <f>IF(ISNUMBER(FH23),FH23*(1+PortfolioFrontier[[#This Row],[P41 Return]]),1+PortfolioFrontier[[#This Row],[P41 Return]])</f>
        <v>1.1524600296639902</v>
      </c>
      <c r="FI24" s="27">
        <f>MAX(FI23,PortfolioFrontier[[#This Row],[P41 Growth]])</f>
        <v>1.1524600296639902</v>
      </c>
      <c r="FJ24" s="27">
        <f>PortfolioFrontier[[#This Row],[P41 Growth]]/PortfolioFrontier[[#This Row],[P41 HWM]]-1</f>
        <v>0</v>
      </c>
      <c r="FK24" s="28">
        <f>SUMPRODUCT(INDEX(PortfolioRef[[SPY]:[PE]],MATCH(FK$1,PortfolioRef[Reference '#]),0),AssetMonthlyReturns[[#This Row],[SPY]:[PE]])</f>
        <v>1.7755345028676803E-2</v>
      </c>
      <c r="FL24" s="27">
        <f>IF(ISNUMBER(FL23),FL23*(1+PortfolioFrontier[[#This Row],[P42 Return]]),1+PortfolioFrontier[[#This Row],[P42 Return]])</f>
        <v>1.1490815435391966</v>
      </c>
      <c r="FM24" s="27">
        <f>MAX(FM23,PortfolioFrontier[[#This Row],[P42 Growth]])</f>
        <v>1.1490815435391966</v>
      </c>
      <c r="FN24" s="27">
        <f>PortfolioFrontier[[#This Row],[P42 Growth]]/PortfolioFrontier[[#This Row],[P42 HWM]]-1</f>
        <v>0</v>
      </c>
      <c r="FO24" s="28">
        <f>SUMPRODUCT(INDEX(PortfolioRef[[SPY]:[PE]],MATCH(FO$1,PortfolioRef[Reference '#]),0),AssetMonthlyReturns[[#This Row],[SPY]:[PE]])</f>
        <v>1.8896313867570014E-2</v>
      </c>
      <c r="FP24" s="27">
        <f>IF(ISNUMBER(FP23),FP23*(1+PortfolioFrontier[[#This Row],[P43 Return]]),1+PortfolioFrontier[[#This Row],[P43 Return]])</f>
        <v>1.1456471144468676</v>
      </c>
      <c r="FQ24" s="27">
        <f>MAX(FQ23,PortfolioFrontier[[#This Row],[P43 Growth]])</f>
        <v>1.1456471144468676</v>
      </c>
      <c r="FR24" s="27">
        <f>PortfolioFrontier[[#This Row],[P43 Growth]]/PortfolioFrontier[[#This Row],[P43 HWM]]-1</f>
        <v>0</v>
      </c>
      <c r="FS24" s="28">
        <f>SUMPRODUCT(INDEX(PortfolioRef[[SPY]:[PE]],MATCH(FS$1,PortfolioRef[Reference '#]),0),AssetMonthlyReturns[[#This Row],[SPY]:[PE]])</f>
        <v>2.1675850422996079E-2</v>
      </c>
      <c r="FT24" s="27">
        <f>IF(ISNUMBER(FT23),FT23*(1+PortfolioFrontier[[#This Row],[P44 Return]]),1+PortfolioFrontier[[#This Row],[P44 Return]])</f>
        <v>1.153123633915536</v>
      </c>
      <c r="FU24" s="27">
        <f>MAX(FU23,PortfolioFrontier[[#This Row],[P44 Growth]])</f>
        <v>1.153123633915536</v>
      </c>
      <c r="FV24" s="27">
        <f>PortfolioFrontier[[#This Row],[P44 Growth]]/PortfolioFrontier[[#This Row],[P44 HWM]]-1</f>
        <v>0</v>
      </c>
      <c r="FW24" s="28">
        <f>SUMPRODUCT(INDEX(PortfolioRef[[SPY]:[PE]],MATCH(FW$1,PortfolioRef[Reference '#]),0),AssetMonthlyReturns[[#This Row],[SPY]:[PE]])</f>
        <v>2.281681926188929E-2</v>
      </c>
      <c r="FX24" s="27">
        <f>IF(ISNUMBER(FX23),FX23*(1+PortfolioFrontier[[#This Row],[P45 Return]]),1+PortfolioFrontier[[#This Row],[P45 Return]])</f>
        <v>1.1497643702533042</v>
      </c>
      <c r="FY24" s="27">
        <f>MAX(FY23,PortfolioFrontier[[#This Row],[P45 Growth]])</f>
        <v>1.1497643702533042</v>
      </c>
      <c r="FZ24" s="27">
        <f>PortfolioFrontier[[#This Row],[P45 Growth]]/PortfolioFrontier[[#This Row],[P45 HWM]]-1</f>
        <v>0</v>
      </c>
      <c r="GA24" s="28">
        <f>SUMPRODUCT(INDEX(PortfolioRef[[SPY]:[PE]],MATCH(GA$1,PortfolioRef[Reference '#]),0),AssetMonthlyReturns[[#This Row],[SPY]:[PE]])</f>
        <v>1.8673030217539906E-2</v>
      </c>
      <c r="GB24" s="27">
        <f>IF(ISNUMBER(GB23),GB23*(1+PortfolioFrontier[[#This Row],[P46 Return]]),1+PortfolioFrontier[[#This Row],[P46 Return]])</f>
        <v>1.153829221094034</v>
      </c>
      <c r="GC24" s="27">
        <f>MAX(GC23,PortfolioFrontier[[#This Row],[P46 Growth]])</f>
        <v>1.153829221094034</v>
      </c>
      <c r="GD24" s="27">
        <f>PortfolioFrontier[[#This Row],[P46 Growth]]/PortfolioFrontier[[#This Row],[P46 HWM]]-1</f>
        <v>0</v>
      </c>
      <c r="GE24" s="28">
        <f>SUMPRODUCT(INDEX(PortfolioRef[[SPY]:[PE]],MATCH(GE$1,PortfolioRef[Reference '#]),0),AssetMonthlyReturns[[#This Row],[SPY]:[PE]])</f>
        <v>1.9813999056433121E-2</v>
      </c>
      <c r="GF24" s="27">
        <f>IF(ISNUMBER(GF23),GF23*(1+PortfolioFrontier[[#This Row],[P47 Return]]),1+PortfolioFrontier[[#This Row],[P47 Return]])</f>
        <v>1.1504763850012711</v>
      </c>
      <c r="GG24" s="27">
        <f>MAX(GG23,PortfolioFrontier[[#This Row],[P47 Growth]])</f>
        <v>1.1504763850012711</v>
      </c>
      <c r="GH24" s="27">
        <f>PortfolioFrontier[[#This Row],[P47 Growth]]/PortfolioFrontier[[#This Row],[P47 HWM]]-1</f>
        <v>0</v>
      </c>
      <c r="GI24" s="28">
        <f>SUMPRODUCT(INDEX(PortfolioRef[[SPY]:[PE]],MATCH(GI$1,PortfolioRef[Reference '#]),0),AssetMonthlyReturns[[#This Row],[SPY]:[PE]])</f>
        <v>2.0954967895326332E-2</v>
      </c>
      <c r="GJ24" s="27">
        <f>IF(ISNUMBER(GJ23),GJ23*(1+PortfolioFrontier[[#This Row],[P48 Return]]),1+PortfolioFrontier[[#This Row],[P48 Return]])</f>
        <v>1.1470673866868877</v>
      </c>
      <c r="GK24" s="27">
        <f>MAX(GK23,PortfolioFrontier[[#This Row],[P48 Growth]])</f>
        <v>1.1470673866868877</v>
      </c>
      <c r="GL24" s="27">
        <f>PortfolioFrontier[[#This Row],[P48 Growth]]/PortfolioFrontier[[#This Row],[P48 HWM]]-1</f>
        <v>0</v>
      </c>
      <c r="GM24" s="28">
        <f>SUMPRODUCT(INDEX(PortfolioRef[[SPY]:[PE]],MATCH(GM$1,PortfolioRef[Reference '#]),0),AssetMonthlyReturns[[#This Row],[SPY]:[PE]])</f>
        <v>1.5670210012083741E-2</v>
      </c>
      <c r="GN24" s="27">
        <f>IF(ISNUMBER(GN23),GN23*(1+PortfolioFrontier[[#This Row],[P49 Return]]),1+PortfolioFrontier[[#This Row],[P49 Return]])</f>
        <v>1.154454136188046</v>
      </c>
      <c r="GO24" s="27">
        <f>MAX(GO23,PortfolioFrontier[[#This Row],[P49 Growth]])</f>
        <v>1.154454136188046</v>
      </c>
      <c r="GP24" s="27">
        <f>PortfolioFrontier[[#This Row],[P49 Growth]]/PortfolioFrontier[[#This Row],[P49 HWM]]-1</f>
        <v>0</v>
      </c>
      <c r="GQ24" s="28">
        <f>SUMPRODUCT(INDEX(PortfolioRef[[SPY]:[PE]],MATCH(GQ$1,PortfolioRef[Reference '#]),0),AssetMonthlyReturns[[#This Row],[SPY]:[PE]])</f>
        <v>1.6811178850976955E-2</v>
      </c>
      <c r="GR24" s="27">
        <f>IF(ISNUMBER(GR23),GR23*(1+PortfolioFrontier[[#This Row],[P50 Return]]),1+PortfolioFrontier[[#This Row],[P50 Return]])</f>
        <v>1.1511079379430191</v>
      </c>
      <c r="GS24" s="27">
        <f>MAX(GS23,PortfolioFrontier[[#This Row],[P50 Growth]])</f>
        <v>1.1511079379430191</v>
      </c>
      <c r="GT24" s="27">
        <f>PortfolioFrontier[[#This Row],[P50 Growth]]/PortfolioFrontier[[#This Row],[P50 HWM]]-1</f>
        <v>0</v>
      </c>
      <c r="GU24" s="28">
        <f>SUMPRODUCT(INDEX(PortfolioRef[[SPY]:[PE]],MATCH(GU$1,PortfolioRef[Reference '#]),0),AssetMonthlyReturns[[#This Row],[SPY]:[PE]])</f>
        <v>1.795214768987017E-2</v>
      </c>
      <c r="GV24" s="27">
        <f>IF(ISNUMBER(GV23),GV23*(1+PortfolioFrontier[[#This Row],[P51 Return]]),1+PortfolioFrontier[[#This Row],[P51 Return]])</f>
        <v>1.1477054629234607</v>
      </c>
      <c r="GW24" s="27">
        <f>MAX(GW23,PortfolioFrontier[[#This Row],[P51 Growth]])</f>
        <v>1.1477054629234607</v>
      </c>
      <c r="GX24" s="27">
        <f>PortfolioFrontier[[#This Row],[P51 Growth]]/PortfolioFrontier[[#This Row],[P51 HWM]]-1</f>
        <v>0</v>
      </c>
      <c r="GY24" s="28">
        <f>SUMPRODUCT(INDEX(PortfolioRef[[SPY]:[PE]],MATCH(GY$1,PortfolioRef[Reference '#]),0),AssetMonthlyReturns[[#This Row],[SPY]:[PE]])</f>
        <v>2.0731684245296228E-2</v>
      </c>
      <c r="GZ24" s="27">
        <f>IF(ISNUMBER(GZ23),GZ23*(1+PortfolioFrontier[[#This Row],[P52 Return]]),1+PortfolioFrontier[[#This Row],[P52 Return]])</f>
        <v>1.1551375545895033</v>
      </c>
      <c r="HA24" s="27">
        <f>MAX(HA23,PortfolioFrontier[[#This Row],[P52 Growth]])</f>
        <v>1.1551375545895033</v>
      </c>
      <c r="HB24" s="27">
        <f>PortfolioFrontier[[#This Row],[P52 Growth]]/PortfolioFrontier[[#This Row],[P52 HWM]]-1</f>
        <v>0</v>
      </c>
      <c r="HC24" s="28">
        <f>SUMPRODUCT(INDEX(PortfolioRef[[SPY]:[PE]],MATCH(HC$1,PortfolioRef[Reference '#]),0),AssetMonthlyReturns[[#This Row],[SPY]:[PE]])</f>
        <v>2.1872653084189442E-2</v>
      </c>
      <c r="HD24" s="27">
        <f>IF(ISNUMBER(HD23),HD23*(1+PortfolioFrontier[[#This Row],[P53 Return]]),1+PortfolioFrontier[[#This Row],[P53 Return]])</f>
        <v>1.1518105416261799</v>
      </c>
      <c r="HE24" s="27">
        <f>MAX(HE23,PortfolioFrontier[[#This Row],[P53 Growth]])</f>
        <v>1.1518105416261799</v>
      </c>
      <c r="HF24" s="27">
        <f>PortfolioFrontier[[#This Row],[P53 Growth]]/PortfolioFrontier[[#This Row],[P53 HWM]]-1</f>
        <v>0</v>
      </c>
      <c r="HG24" s="28">
        <f>SUMPRODUCT(INDEX(PortfolioRef[[SPY]:[PE]],MATCH(HG$1,PortfolioRef[Reference '#]),0),AssetMonthlyReturns[[#This Row],[SPY]:[PE]])</f>
        <v>2.3013621923082653E-2</v>
      </c>
      <c r="HH24" s="27">
        <f>IF(ISNUMBER(HH23),HH23*(1+PortfolioFrontier[[#This Row],[P54 Return]]),1+PortfolioFrontier[[#This Row],[P54 Return]])</f>
        <v>1.1484271504484369</v>
      </c>
      <c r="HI24" s="27">
        <f>MAX(HI23,PortfolioFrontier[[#This Row],[P54 Growth]])</f>
        <v>1.1484271504484369</v>
      </c>
      <c r="HJ24" s="27">
        <f>PortfolioFrontier[[#This Row],[P54 Growth]]/PortfolioFrontier[[#This Row],[P54 HWM]]-1</f>
        <v>0</v>
      </c>
      <c r="HK24" s="28">
        <f>SUMPRODUCT(INDEX(PortfolioRef[[SPY]:[PE]],MATCH(HK$1,PortfolioRef[Reference '#]),0),AssetMonthlyReturns[[#This Row],[SPY]:[PE]])</f>
        <v>1.7728864039840059E-2</v>
      </c>
      <c r="HL24" s="27">
        <f>IF(ISNUMBER(HL23),HL23*(1+PortfolioFrontier[[#This Row],[P55 Return]]),1+PortfolioFrontier[[#This Row],[P55 Return]])</f>
        <v>1.1558160401994988</v>
      </c>
      <c r="HM24" s="27">
        <f>MAX(HM23,PortfolioFrontier[[#This Row],[P55 Growth]])</f>
        <v>1.1558160401994988</v>
      </c>
      <c r="HN24" s="27">
        <f>PortfolioFrontier[[#This Row],[P55 Growth]]/PortfolioFrontier[[#This Row],[P55 HWM]]-1</f>
        <v>0</v>
      </c>
      <c r="HO24" s="28">
        <f>SUMPRODUCT(INDEX(PortfolioRef[[SPY]:[PE]],MATCH(HO$1,PortfolioRef[Reference '#]),0),AssetMonthlyReturns[[#This Row],[SPY]:[PE]])</f>
        <v>1.8869832878733273E-2</v>
      </c>
      <c r="HP24" s="27">
        <f>IF(ISNUMBER(HP23),HP23*(1+PortfolioFrontier[[#This Row],[P56 Return]]),1+PortfolioFrontier[[#This Row],[P56 Return]])</f>
        <v>1.1524955896514557</v>
      </c>
      <c r="HQ24" s="27">
        <f>MAX(HQ23,PortfolioFrontier[[#This Row],[P56 Growth]])</f>
        <v>1.1524955896514557</v>
      </c>
      <c r="HR24" s="27">
        <f>PortfolioFrontier[[#This Row],[P56 Growth]]/PortfolioFrontier[[#This Row],[P56 HWM]]-1</f>
        <v>0</v>
      </c>
      <c r="HS24" s="28">
        <f>SUMPRODUCT(INDEX(PortfolioRef[[SPY]:[PE]],MATCH(HS$1,PortfolioRef[Reference '#]),0),AssetMonthlyReturns[[#This Row],[SPY]:[PE]])</f>
        <v>2.0010801717626488E-2</v>
      </c>
      <c r="HT24" s="27">
        <f>IF(ISNUMBER(HT23),HT23*(1+PortfolioFrontier[[#This Row],[P57 Return]]),1+PortfolioFrontier[[#This Row],[P57 Return]])</f>
        <v>1.1491186441083043</v>
      </c>
      <c r="HU24" s="27">
        <f>MAX(HU23,PortfolioFrontier[[#This Row],[P57 Growth]])</f>
        <v>1.1491186441083043</v>
      </c>
      <c r="HV24" s="27">
        <f>PortfolioFrontier[[#This Row],[P57 Growth]]/PortfolioFrontier[[#This Row],[P57 HWM]]-1</f>
        <v>0</v>
      </c>
      <c r="HW24" s="28">
        <f>SUMPRODUCT(INDEX(PortfolioRef[[SPY]:[PE]],MATCH(HW$1,PortfolioRef[Reference '#]),0),AssetMonthlyReturns[[#This Row],[SPY]:[PE]])</f>
        <v>1.4726043834383888E-2</v>
      </c>
      <c r="HX24" s="27">
        <f>IF(ISNUMBER(HX23),HX23*(1+PortfolioFrontier[[#This Row],[P58 Return]]),1+PortfolioFrontier[[#This Row],[P58 Return]])</f>
        <v>1.1564137342851388</v>
      </c>
      <c r="HY24" s="27">
        <f>MAX(HY23,PortfolioFrontier[[#This Row],[P58 Growth]])</f>
        <v>1.1564137342851388</v>
      </c>
      <c r="HZ24" s="27">
        <f>PortfolioFrontier[[#This Row],[P58 Growth]]/PortfolioFrontier[[#This Row],[P58 HWM]]-1</f>
        <v>0</v>
      </c>
      <c r="IA24" s="28">
        <f>SUMPRODUCT(INDEX(PortfolioRef[[SPY]:[PE]],MATCH(IA$1,PortfolioRef[Reference '#]),0),AssetMonthlyReturns[[#This Row],[SPY]:[PE]])</f>
        <v>1.5867012673277101E-2</v>
      </c>
      <c r="IB24" s="27">
        <f>IF(ISNUMBER(IB23),IB23*(1+PortfolioFrontier[[#This Row],[P59 Return]]),1+PortfolioFrontier[[#This Row],[P59 Return]])</f>
        <v>1.1531000541201888</v>
      </c>
      <c r="IC24" s="27">
        <f>MAX(IC23,PortfolioFrontier[[#This Row],[P59 Growth]])</f>
        <v>1.1531000541201888</v>
      </c>
      <c r="ID24" s="27">
        <f>PortfolioFrontier[[#This Row],[P59 Growth]]/PortfolioFrontier[[#This Row],[P59 HWM]]-1</f>
        <v>0</v>
      </c>
      <c r="IE24" s="28">
        <f>SUMPRODUCT(INDEX(PortfolioRef[[SPY]:[PE]],MATCH(IE$1,PortfolioRef[Reference '#]),0),AssetMonthlyReturns[[#This Row],[SPY]:[PE]])</f>
        <v>1.7007981512170315E-2</v>
      </c>
      <c r="IF24" s="27">
        <f>IF(ISNUMBER(IF23),IF23*(1+PortfolioFrontier[[#This Row],[P60 Return]]),1+PortfolioFrontier[[#This Row],[P60 Return]])</f>
        <v>1.1497297656872949</v>
      </c>
      <c r="IG24" s="27">
        <f>MAX(IG23,PortfolioFrontier[[#This Row],[P60 Growth]])</f>
        <v>1.1497297656872949</v>
      </c>
      <c r="IH24" s="27">
        <f>PortfolioFrontier[[#This Row],[P60 Growth]]/PortfolioFrontier[[#This Row],[P60 HWM]]-1</f>
        <v>0</v>
      </c>
      <c r="II24" s="28">
        <f>SUMPRODUCT(INDEX(PortfolioRef[[SPY]:[PE]],MATCH(II$1,PortfolioRef[Reference '#]),0),AssetMonthlyReturns[[#This Row],[SPY]:[PE]])</f>
        <v>1.4973589225276572E-2</v>
      </c>
      <c r="IJ24" s="27">
        <f>IF(ISNUMBER(IJ23),IJ23*(1+PortfolioFrontier[[#This Row],[P61 Return]]),1+PortfolioFrontier[[#This Row],[P61 Return]])</f>
        <v>1.1294319987390351</v>
      </c>
      <c r="IK24" s="27">
        <f>MAX(IK23,PortfolioFrontier[[#This Row],[P61 Growth]])</f>
        <v>1.1294319987390351</v>
      </c>
      <c r="IL24" s="27">
        <f>PortfolioFrontier[[#This Row],[P61 Growth]]/PortfolioFrontier[[#This Row],[P61 HWM]]-1</f>
        <v>0</v>
      </c>
      <c r="IM24" s="28">
        <f>SUMPRODUCT(INDEX(PortfolioRef[[SPY]:[PE]],MATCH(IM$1,PortfolioRef[Reference '#]),0),AssetMonthlyReturns[[#This Row],[SPY]:[PE]])</f>
        <v>1.7032243253032889E-2</v>
      </c>
      <c r="IN24" s="27">
        <f>IF(ISNUMBER(IN23),IN23*(1+PortfolioFrontier[[#This Row],[P62 Return]]),1+PortfolioFrontier[[#This Row],[P62 Return]])</f>
        <v>1.1307875651347878</v>
      </c>
      <c r="IO24" s="27">
        <f>MAX(IO23,PortfolioFrontier[[#This Row],[P62 Growth]])</f>
        <v>1.1307875651347878</v>
      </c>
      <c r="IP24" s="27">
        <f>PortfolioFrontier[[#This Row],[P62 Growth]]/PortfolioFrontier[[#This Row],[P62 HWM]]-1</f>
        <v>0</v>
      </c>
      <c r="IQ24" s="28">
        <f>SUMPRODUCT(INDEX(PortfolioRef[[SPY]:[PE]],MATCH(IQ$1,PortfolioRef[Reference '#]),0),AssetMonthlyReturns[[#This Row],[SPY]:[PE]])</f>
        <v>1.4029423047576723E-2</v>
      </c>
      <c r="IR24" s="27">
        <f>IF(ISNUMBER(IR23),IR23*(1+PortfolioFrontier[[#This Row],[P63 Return]]),1+PortfolioFrontier[[#This Row],[P63 Return]])</f>
        <v>1.1314701893182186</v>
      </c>
      <c r="IS24" s="27">
        <f>MAX(IS23,PortfolioFrontier[[#This Row],[P63 Growth]])</f>
        <v>1.1314701893182186</v>
      </c>
      <c r="IT24" s="27">
        <f>PortfolioFrontier[[#This Row],[P63 Growth]]/PortfolioFrontier[[#This Row],[P63 HWM]]-1</f>
        <v>0</v>
      </c>
      <c r="IU24" s="28">
        <f>SUMPRODUCT(INDEX(PortfolioRef[[SPY]:[PE]],MATCH(IU$1,PortfolioRef[Reference '#]),0),AssetMonthlyReturns[[#This Row],[SPY]:[PE]])</f>
        <v>1.5170391886469934E-2</v>
      </c>
      <c r="IV24" s="27">
        <f>IF(ISNUMBER(IV23),IV23*(1+PortfolioFrontier[[#This Row],[P64 Return]]),1+PortfolioFrontier[[#This Row],[P64 Return]])</f>
        <v>1.1281140416878883</v>
      </c>
      <c r="IW24" s="27">
        <f>MAX(IW23,PortfolioFrontier[[#This Row],[P64 Growth]])</f>
        <v>1.1281140416878883</v>
      </c>
      <c r="IX24" s="27">
        <f>PortfolioFrontier[[#This Row],[P64 Growth]]/PortfolioFrontier[[#This Row],[P64 HWM]]-1</f>
        <v>0</v>
      </c>
      <c r="IY24" s="28">
        <f>SUMPRODUCT(INDEX(PortfolioRef[[SPY]:[PE]],MATCH(IY$1,PortfolioRef[Reference '#]),0),AssetMonthlyReturns[[#This Row],[SPY]:[PE]])</f>
        <v>1.9090897280789207E-2</v>
      </c>
      <c r="IZ24" s="27">
        <f>IF(ISNUMBER(IZ23),IZ23*(1+PortfolioFrontier[[#This Row],[P65 Return]]),1+PortfolioFrontier[[#This Row],[P65 Return]])</f>
        <v>1.1320832550752244</v>
      </c>
      <c r="JA24" s="27">
        <f>MAX(JA23,PortfolioFrontier[[#This Row],[P65 Growth]])</f>
        <v>1.1320832550752244</v>
      </c>
      <c r="JB24" s="27">
        <f>PortfolioFrontier[[#This Row],[P65 Growth]]/PortfolioFrontier[[#This Row],[P65 HWM]]-1</f>
        <v>0</v>
      </c>
      <c r="JC24" s="28">
        <f>SUMPRODUCT(INDEX(PortfolioRef[[SPY]:[PE]],MATCH(JC$1,PortfolioRef[Reference '#]),0),AssetMonthlyReturns[[#This Row],[SPY]:[PE]])</f>
        <v>1.6088077075333038E-2</v>
      </c>
      <c r="JD24" s="27">
        <f>IF(ISNUMBER(JD23),JD23*(1+PortfolioFrontier[[#This Row],[P66 Return]]),1+PortfolioFrontier[[#This Row],[P66 Return]])</f>
        <v>1.1328187248763837</v>
      </c>
      <c r="JE24" s="27">
        <f>MAX(JE23,PortfolioFrontier[[#This Row],[P66 Growth]])</f>
        <v>1.1328187248763837</v>
      </c>
      <c r="JF24" s="27">
        <f>PortfolioFrontier[[#This Row],[P66 Growth]]/PortfolioFrontier[[#This Row],[P66 HWM]]-1</f>
        <v>0</v>
      </c>
      <c r="JG24" s="28">
        <f>SUMPRODUCT(INDEX(PortfolioRef[[SPY]:[PE]],MATCH(JG$1,PortfolioRef[Reference '#]),0),AssetMonthlyReturns[[#This Row],[SPY]:[PE]])</f>
        <v>1.7229045914226249E-2</v>
      </c>
      <c r="JH24" s="27">
        <f>IF(ISNUMBER(JH23),JH23*(1+PortfolioFrontier[[#This Row],[P67 Return]]),1+PortfolioFrontier[[#This Row],[P67 Return]])</f>
        <v>1.1294877188116705</v>
      </c>
      <c r="JI24" s="27">
        <f>MAX(JI23,PortfolioFrontier[[#This Row],[P67 Growth]])</f>
        <v>1.1294877188116705</v>
      </c>
      <c r="JJ24" s="27">
        <f>PortfolioFrontier[[#This Row],[P67 Growth]]/PortfolioFrontier[[#This Row],[P67 HWM]]-1</f>
        <v>0</v>
      </c>
      <c r="JK24" s="28">
        <f>SUMPRODUCT(INDEX(PortfolioRef[[SPY]:[PE]],MATCH(JK$1,PortfolioRef[Reference '#]),0),AssetMonthlyReturns[[#This Row],[SPY]:[PE]])</f>
        <v>1.3085256869876872E-2</v>
      </c>
      <c r="JL24" s="27">
        <f>IF(ISNUMBER(JL23),JL23*(1+PortfolioFrontier[[#This Row],[P68 Return]]),1+PortfolioFrontier[[#This Row],[P68 Return]])</f>
        <v>1.1334747857186009</v>
      </c>
      <c r="JM24" s="27">
        <f>MAX(JM23,PortfolioFrontier[[#This Row],[P68 Growth]])</f>
        <v>1.1334747857186009</v>
      </c>
      <c r="JN24" s="27">
        <f>PortfolioFrontier[[#This Row],[P68 Growth]]/PortfolioFrontier[[#This Row],[P68 HWM]]-1</f>
        <v>0</v>
      </c>
      <c r="JO24" s="28">
        <f>SUMPRODUCT(INDEX(PortfolioRef[[SPY]:[PE]],MATCH(JO$1,PortfolioRef[Reference '#]),0),AssetMonthlyReturns[[#This Row],[SPY]:[PE]])</f>
        <v>1.4226225708770086E-2</v>
      </c>
      <c r="JP24" s="27">
        <f>IF(ISNUMBER(JP23),JP23*(1+PortfolioFrontier[[#This Row],[P69 Return]]),1+PortfolioFrontier[[#This Row],[P69 Return]])</f>
        <v>1.1301501657815767</v>
      </c>
      <c r="JQ24" s="27">
        <f>MAX(JQ23,PortfolioFrontier[[#This Row],[P69 Growth]])</f>
        <v>1.1301501657815767</v>
      </c>
      <c r="JR24" s="27">
        <f>PortfolioFrontier[[#This Row],[P69 Growth]]/PortfolioFrontier[[#This Row],[P69 HWM]]-1</f>
        <v>0</v>
      </c>
      <c r="JS24" s="28">
        <f>SUMPRODUCT(INDEX(PortfolioRef[[SPY]:[PE]],MATCH(JS$1,PortfolioRef[Reference '#]),0),AssetMonthlyReturns[[#This Row],[SPY]:[PE]])</f>
        <v>1.5367194547663297E-2</v>
      </c>
      <c r="JT24" s="27">
        <f>IF(ISNUMBER(JT23),JT23*(1+PortfolioFrontier[[#This Row],[P70 Return]]),1+PortfolioFrontier[[#This Row],[P70 Return]])</f>
        <v>1.1267704712672371</v>
      </c>
      <c r="JU24" s="27">
        <f>MAX(JU23,PortfolioFrontier[[#This Row],[P70 Growth]])</f>
        <v>1.1267704712672371</v>
      </c>
      <c r="JV24" s="27">
        <f>PortfolioFrontier[[#This Row],[P70 Growth]]/PortfolioFrontier[[#This Row],[P70 HWM]]-1</f>
        <v>0</v>
      </c>
      <c r="JW24" s="28">
        <f>SUMPRODUCT(INDEX(PortfolioRef[[SPY]:[PE]],MATCH(JW$1,PortfolioRef[Reference '#]),0),AssetMonthlyReturns[[#This Row],[SPY]:[PE]])</f>
        <v>1.8146731103089359E-2</v>
      </c>
      <c r="JX24" s="27">
        <f>IF(ISNUMBER(JX23),JX23*(1+PortfolioFrontier[[#This Row],[P71 Return]]),1+PortfolioFrontier[[#This Row],[P71 Return]])</f>
        <v>1.1341073317396606</v>
      </c>
      <c r="JY24" s="27">
        <f>MAX(JY23,PortfolioFrontier[[#This Row],[P71 Growth]])</f>
        <v>1.1341073317396606</v>
      </c>
      <c r="JZ24" s="27">
        <f>PortfolioFrontier[[#This Row],[P71 Growth]]/PortfolioFrontier[[#This Row],[P71 HWM]]-1</f>
        <v>0</v>
      </c>
      <c r="KA24" s="28">
        <f>SUMPRODUCT(INDEX(PortfolioRef[[SPY]:[PE]],MATCH(KA$1,PortfolioRef[Reference '#]),0),AssetMonthlyReturns[[#This Row],[SPY]:[PE]])</f>
        <v>1.928769994198257E-2</v>
      </c>
      <c r="KB24" s="27">
        <f>IF(ISNUMBER(KB23),KB23*(1+PortfolioFrontier[[#This Row],[P72 Return]]),1+PortfolioFrontier[[#This Row],[P72 Return]])</f>
        <v>1.1308016396062204</v>
      </c>
      <c r="KC24" s="27">
        <f>MAX(KC23,PortfolioFrontier[[#This Row],[P72 Growth]])</f>
        <v>1.1308016396062204</v>
      </c>
      <c r="KD24" s="27">
        <f>PortfolioFrontier[[#This Row],[P72 Growth]]/PortfolioFrontier[[#This Row],[P72 HWM]]-1</f>
        <v>0</v>
      </c>
      <c r="KE24" s="28">
        <f>SUMPRODUCT(INDEX(PortfolioRef[[SPY]:[PE]],MATCH(KE$1,PortfolioRef[Reference '#]),0),AssetMonthlyReturns[[#This Row],[SPY]:[PE]])</f>
        <v>1.514391089763319E-2</v>
      </c>
      <c r="KF24" s="27">
        <f>IF(ISNUMBER(KF23),KF23*(1+PortfolioFrontier[[#This Row],[P73 Return]]),1+PortfolioFrontier[[#This Row],[P73 Return]])</f>
        <v>1.1348162363698722</v>
      </c>
      <c r="KG24" s="27">
        <f>MAX(KG23,PortfolioFrontier[[#This Row],[P73 Growth]])</f>
        <v>1.1348162363698722</v>
      </c>
      <c r="KH24" s="27">
        <f>PortfolioFrontier[[#This Row],[P73 Growth]]/PortfolioFrontier[[#This Row],[P73 HWM]]-1</f>
        <v>0</v>
      </c>
      <c r="KI24" s="28">
        <f>SUMPRODUCT(INDEX(PortfolioRef[[SPY]:[PE]],MATCH(KI$1,PortfolioRef[Reference '#]),0),AssetMonthlyReturns[[#This Row],[SPY]:[PE]])</f>
        <v>1.6284879736526404E-2</v>
      </c>
      <c r="KJ24" s="27">
        <f>IF(ISNUMBER(KJ23),KJ23*(1+PortfolioFrontier[[#This Row],[P74 Return]]),1+PortfolioFrontier[[#This Row],[P74 Return]])</f>
        <v>1.1315168548073993</v>
      </c>
      <c r="KK24" s="27">
        <f>MAX(KK23,PortfolioFrontier[[#This Row],[P74 Growth]])</f>
        <v>1.1315168548073993</v>
      </c>
      <c r="KL24" s="27">
        <f>PortfolioFrontier[[#This Row],[P74 Growth]]/PortfolioFrontier[[#This Row],[P74 HWM]]-1</f>
        <v>0</v>
      </c>
      <c r="KM24" s="28">
        <f>SUMPRODUCT(INDEX(PortfolioRef[[SPY]:[PE]],MATCH(KM$1,PortfolioRef[Reference '#]),0),AssetMonthlyReturns[[#This Row],[SPY]:[PE]])</f>
        <v>1.7425848575419615E-2</v>
      </c>
      <c r="KN24" s="27">
        <f>IF(ISNUMBER(KN23),KN23*(1+PortfolioFrontier[[#This Row],[P75 Return]]),1+PortfolioFrontier[[#This Row],[P75 Return]])</f>
        <v>1.1281621830860007</v>
      </c>
      <c r="KO24" s="27">
        <f>MAX(KO23,PortfolioFrontier[[#This Row],[P75 Growth]])</f>
        <v>1.1281621830860007</v>
      </c>
      <c r="KP24" s="27">
        <f>PortfolioFrontier[[#This Row],[P75 Growth]]/PortfolioFrontier[[#This Row],[P75 HWM]]-1</f>
        <v>0</v>
      </c>
      <c r="KQ24" s="28">
        <f>SUMPRODUCT(INDEX(PortfolioRef[[SPY]:[PE]],MATCH(KQ$1,PortfolioRef[Reference '#]),0),AssetMonthlyReturns[[#This Row],[SPY]:[PE]])</f>
        <v>1.2141090692177017E-2</v>
      </c>
      <c r="KR24" s="27">
        <f>IF(ISNUMBER(KR23),KR23*(1+PortfolioFrontier[[#This Row],[P76 Return]]),1+PortfolioFrontier[[#This Row],[P76 Return]])</f>
        <v>1.1354456097035888</v>
      </c>
      <c r="KS24" s="27">
        <f>MAX(KS23,PortfolioFrontier[[#This Row],[P76 Growth]])</f>
        <v>1.1354456097035888</v>
      </c>
      <c r="KT24" s="27">
        <f>PortfolioFrontier[[#This Row],[P76 Growth]]/PortfolioFrontier[[#This Row],[P76 HWM]]-1</f>
        <v>0</v>
      </c>
      <c r="KU24" s="28">
        <f>SUMPRODUCT(INDEX(PortfolioRef[[SPY]:[PE]],MATCH(KU$1,PortfolioRef[Reference '#]),0),AssetMonthlyReturns[[#This Row],[SPY]:[PE]])</f>
        <v>1.3282059531070232E-2</v>
      </c>
      <c r="KV24" s="27">
        <f>IF(ISNUMBER(KV23),KV23*(1+PortfolioFrontier[[#This Row],[P77 Return]]),1+PortfolioFrontier[[#This Row],[P77 Return]])</f>
        <v>1.1321527467304082</v>
      </c>
      <c r="KW24" s="27">
        <f>MAX(KW23,PortfolioFrontier[[#This Row],[P77 Growth]])</f>
        <v>1.1321527467304082</v>
      </c>
      <c r="KX24" s="27">
        <f>PortfolioFrontier[[#This Row],[P77 Growth]]/PortfolioFrontier[[#This Row],[P77 HWM]]-1</f>
        <v>0</v>
      </c>
      <c r="KY24" s="28">
        <f>SUMPRODUCT(INDEX(PortfolioRef[[SPY]:[PE]],MATCH(KY$1,PortfolioRef[Reference '#]),0),AssetMonthlyReturns[[#This Row],[SPY]:[PE]])</f>
        <v>1.4423028369963446E-2</v>
      </c>
      <c r="KZ24" s="27">
        <f>IF(ISNUMBER(KZ23),KZ23*(1+PortfolioFrontier[[#This Row],[P78 Return]]),1+PortfolioFrontier[[#This Row],[P78 Return]])</f>
        <v>1.1288044801379766</v>
      </c>
      <c r="LA24" s="27">
        <f>MAX(LA23,PortfolioFrontier[[#This Row],[P78 Growth]])</f>
        <v>1.1288044801379766</v>
      </c>
      <c r="LB24" s="27">
        <f>PortfolioFrontier[[#This Row],[P78 Growth]]/PortfolioFrontier[[#This Row],[P78 HWM]]-1</f>
        <v>0</v>
      </c>
      <c r="LC24" s="28">
        <f>SUMPRODUCT(INDEX(PortfolioRef[[SPY]:[PE]],MATCH(LC$1,PortfolioRef[Reference '#]),0),AssetMonthlyReturns[[#This Row],[SPY]:[PE]])</f>
        <v>1.7202564925389508E-2</v>
      </c>
      <c r="LD24" s="27">
        <f>IF(ISNUMBER(LD23),LD23*(1+PortfolioFrontier[[#This Row],[P79 Return]]),1+PortfolioFrontier[[#This Row],[P79 Return]])</f>
        <v>1.1360977076552197</v>
      </c>
      <c r="LE24" s="27">
        <f>MAX(LE23,PortfolioFrontier[[#This Row],[P79 Growth]])</f>
        <v>1.1360977076552197</v>
      </c>
      <c r="LF24" s="27">
        <f>PortfolioFrontier[[#This Row],[P79 Growth]]/PortfolioFrontier[[#This Row],[P79 HWM]]-1</f>
        <v>0</v>
      </c>
      <c r="LG24" s="28">
        <f>SUMPRODUCT(INDEX(PortfolioRef[[SPY]:[PE]],MATCH(LG$1,PortfolioRef[Reference '#]),0),AssetMonthlyReturns[[#This Row],[SPY]:[PE]])</f>
        <v>1.8343533764282723E-2</v>
      </c>
      <c r="LH24" s="27">
        <f>IF(ISNUMBER(LH23),LH23*(1+PortfolioFrontier[[#This Row],[P80 Return]]),1+PortfolioFrontier[[#This Row],[P80 Return]])</f>
        <v>1.1328237352358017</v>
      </c>
      <c r="LI24" s="27">
        <f>MAX(LI23,PortfolioFrontier[[#This Row],[P80 Growth]])</f>
        <v>1.1328237352358017</v>
      </c>
      <c r="LJ24" s="27">
        <f>PortfolioFrontier[[#This Row],[P80 Growth]]/PortfolioFrontier[[#This Row],[P80 HWM]]-1</f>
        <v>0</v>
      </c>
      <c r="LK24" s="28">
        <f>SUMPRODUCT(INDEX(PortfolioRef[[SPY]:[PE]],MATCH(LK$1,PortfolioRef[Reference '#]),0),AssetMonthlyReturns[[#This Row],[SPY]:[PE]])</f>
        <v>1.9484502603175934E-2</v>
      </c>
      <c r="LL24" s="27">
        <f>IF(ISNUMBER(LL23),LL23*(1+PortfolioFrontier[[#This Row],[P81 Return]]),1+PortfolioFrontier[[#This Row],[P81 Return]])</f>
        <v>1.1294942602915885</v>
      </c>
      <c r="LM24" s="27">
        <f>MAX(LM23,PortfolioFrontier[[#This Row],[P81 Growth]])</f>
        <v>1.1294942602915885</v>
      </c>
      <c r="LN24" s="27">
        <f>PortfolioFrontier[[#This Row],[P81 Growth]]/PortfolioFrontier[[#This Row],[P81 HWM]]-1</f>
        <v>0</v>
      </c>
      <c r="LO24" s="28">
        <f>SUMPRODUCT(INDEX(PortfolioRef[[SPY]:[PE]],MATCH(LO$1,PortfolioRef[Reference '#]),0),AssetMonthlyReturns[[#This Row],[SPY]:[PE]])</f>
        <v>1.4199744719933335E-2</v>
      </c>
      <c r="LP24" s="27">
        <f>IF(ISNUMBER(LP23),LP23*(1+PortfolioFrontier[[#This Row],[P82 Return]]),1+PortfolioFrontier[[#This Row],[P82 Return]])</f>
        <v>1.1367799217668872</v>
      </c>
      <c r="LQ24" s="27">
        <f>MAX(LQ23,PortfolioFrontier[[#This Row],[P82 Growth]])</f>
        <v>1.1367799217668872</v>
      </c>
      <c r="LR24" s="27">
        <f>PortfolioFrontier[[#This Row],[P82 Growth]]/PortfolioFrontier[[#This Row],[P82 HWM]]-1</f>
        <v>0</v>
      </c>
      <c r="LS24" s="28">
        <f>SUMPRODUCT(INDEX(PortfolioRef[[SPY]:[PE]],MATCH(LS$1,PortfolioRef[Reference '#]),0),AssetMonthlyReturns[[#This Row],[SPY]:[PE]])</f>
        <v>1.534071355882655E-2</v>
      </c>
      <c r="LT24" s="27">
        <f>IF(ISNUMBER(LT23),LT23*(1+PortfolioFrontier[[#This Row],[P83 Return]]),1+PortfolioFrontier[[#This Row],[P83 Return]])</f>
        <v>1.1335123932499547</v>
      </c>
      <c r="LU24" s="27">
        <f>MAX(LU23,PortfolioFrontier[[#This Row],[P83 Growth]])</f>
        <v>1.1335123932499547</v>
      </c>
      <c r="LV24" s="27">
        <f>PortfolioFrontier[[#This Row],[P83 Growth]]/PortfolioFrontier[[#This Row],[P83 HWM]]-1</f>
        <v>0</v>
      </c>
      <c r="LW24" s="28">
        <f>SUMPRODUCT(INDEX(PortfolioRef[[SPY]:[PE]],MATCH(LW$1,PortfolioRef[Reference '#]),0),AssetMonthlyReturns[[#This Row],[SPY]:[PE]])</f>
        <v>1.6481682397719764E-2</v>
      </c>
      <c r="LX24" s="27">
        <f>IF(ISNUMBER(LX23),LX23*(1+PortfolioFrontier[[#This Row],[P84 Return]]),1+PortfolioFrontier[[#This Row],[P84 Return]])</f>
        <v>1.1301892465493473</v>
      </c>
      <c r="LY24" s="27">
        <f>MAX(LY23,PortfolioFrontier[[#This Row],[P84 Growth]])</f>
        <v>1.1301892465493473</v>
      </c>
      <c r="LZ24" s="27">
        <f>PortfolioFrontier[[#This Row],[P84 Growth]]/PortfolioFrontier[[#This Row],[P84 HWM]]-1</f>
        <v>0</v>
      </c>
      <c r="MA24" s="28">
        <f>SUMPRODUCT(INDEX(PortfolioRef[[SPY]:[PE]],MATCH(MA$1,PortfolioRef[Reference '#]),0),AssetMonthlyReturns[[#This Row],[SPY]:[PE]])</f>
        <v>1.1196924514477171E-2</v>
      </c>
      <c r="MB24" s="27">
        <f>IF(ISNUMBER(MB23),MB23*(1+PortfolioFrontier[[#This Row],[P85 Return]]),1+PortfolioFrontier[[#This Row],[P85 Return]])</f>
        <v>1.1373824854504828</v>
      </c>
      <c r="MC24" s="27">
        <f>MAX(MC23,PortfolioFrontier[[#This Row],[P85 Growth]])</f>
        <v>1.1373824854504828</v>
      </c>
      <c r="MD24" s="27">
        <f>PortfolioFrontier[[#This Row],[P85 Growth]]/PortfolioFrontier[[#This Row],[P85 HWM]]-1</f>
        <v>0</v>
      </c>
      <c r="ME24" s="28">
        <f>SUMPRODUCT(INDEX(PortfolioRef[[SPY]:[PE]],MATCH(ME$1,PortfolioRef[Reference '#]),0),AssetMonthlyReturns[[#This Row],[SPY]:[PE]])</f>
        <v>1.2337893353370384E-2</v>
      </c>
      <c r="MF24" s="27">
        <f>IF(ISNUMBER(MF23),MF23*(1+PortfolioFrontier[[#This Row],[P86 Return]]),1+PortfolioFrontier[[#This Row],[P86 Return]])</f>
        <v>1.1341216065780884</v>
      </c>
      <c r="MG24" s="27">
        <f>MAX(MG23,PortfolioFrontier[[#This Row],[P86 Growth]])</f>
        <v>1.1341216065780884</v>
      </c>
      <c r="MH24" s="27">
        <f>PortfolioFrontier[[#This Row],[P86 Growth]]/PortfolioFrontier[[#This Row],[P86 HWM]]-1</f>
        <v>0</v>
      </c>
      <c r="MI24" s="28">
        <f>SUMPRODUCT(INDEX(PortfolioRef[[SPY]:[PE]],MATCH(MI$1,PortfolioRef[Reference '#]),0),AssetMonthlyReturns[[#This Row],[SPY]:[PE]])</f>
        <v>1.3478862192263599E-2</v>
      </c>
      <c r="MJ24" s="27">
        <f>IF(ISNUMBER(MJ23),MJ23*(1+PortfolioFrontier[[#This Row],[P87 Return]]),1+PortfolioFrontier[[#This Row],[P87 Return]])</f>
        <v>1.1308049973216896</v>
      </c>
      <c r="MK24" s="27">
        <f>MAX(MK23,PortfolioFrontier[[#This Row],[P87 Growth]])</f>
        <v>1.1308049973216896</v>
      </c>
      <c r="ML24" s="27">
        <f>PortfolioFrontier[[#This Row],[P87 Growth]]/PortfolioFrontier[[#This Row],[P87 HWM]]-1</f>
        <v>0</v>
      </c>
      <c r="MM24" s="28">
        <f>SUMPRODUCT(INDEX(PortfolioRef[[SPY]:[PE]],MATCH(MM$1,PortfolioRef[Reference '#]),0),AssetMonthlyReturns[[#This Row],[SPY]:[PE]])</f>
        <v>1.6258398747689657E-2</v>
      </c>
      <c r="MN24" s="27">
        <f>IF(ISNUMBER(MN23),MN23*(1+PortfolioFrontier[[#This Row],[P88 Return]]),1+PortfolioFrontier[[#This Row],[P88 Return]])</f>
        <v>1.1380542053647611</v>
      </c>
      <c r="MO24" s="27">
        <f>MAX(MO23,PortfolioFrontier[[#This Row],[P88 Growth]])</f>
        <v>1.1380542053647611</v>
      </c>
      <c r="MP24" s="27">
        <f>PortfolioFrontier[[#This Row],[P88 Growth]]/PortfolioFrontier[[#This Row],[P88 HWM]]-1</f>
        <v>0</v>
      </c>
      <c r="MQ24" s="28">
        <f>SUMPRODUCT(INDEX(PortfolioRef[[SPY]:[PE]],MATCH(MQ$1,PortfolioRef[Reference '#]),0),AssetMonthlyReturns[[#This Row],[SPY]:[PE]])</f>
        <v>1.7399367586582871E-2</v>
      </c>
      <c r="MR24" s="27">
        <f>IF(ISNUMBER(MR23),MR23*(1+PortfolioFrontier[[#This Row],[P89 Return]]),1+PortfolioFrontier[[#This Row],[P89 Return]])</f>
        <v>1.1348121804683284</v>
      </c>
      <c r="MS24" s="27">
        <f>MAX(MS23,PortfolioFrontier[[#This Row],[P89 Growth]])</f>
        <v>1.1348121804683284</v>
      </c>
      <c r="MT24" s="27">
        <f>PortfolioFrontier[[#This Row],[P89 Growth]]/PortfolioFrontier[[#This Row],[P89 HWM]]-1</f>
        <v>0</v>
      </c>
      <c r="MU24" s="28">
        <f>SUMPRODUCT(INDEX(PortfolioRef[[SPY]:[PE]],MATCH(MU$1,PortfolioRef[Reference '#]),0),AssetMonthlyReturns[[#This Row],[SPY]:[PE]])</f>
        <v>1.8540336425476086E-2</v>
      </c>
      <c r="MV24" s="27">
        <f>IF(ISNUMBER(MV23),MV23*(1+PortfolioFrontier[[#This Row],[P90 Return]]),1+PortfolioFrontier[[#This Row],[P90 Return]])</f>
        <v>1.1315143260529454</v>
      </c>
      <c r="MW24" s="27">
        <f>MAX(MW23,PortfolioFrontier[[#This Row],[P90 Growth]])</f>
        <v>1.1315143260529454</v>
      </c>
      <c r="MX24" s="27">
        <f>PortfolioFrontier[[#This Row],[P90 Growth]]/PortfolioFrontier[[#This Row],[P90 HWM]]-1</f>
        <v>0</v>
      </c>
      <c r="MY24" s="28">
        <f>SUMPRODUCT(INDEX(PortfolioRef[[SPY]:[PE]],MATCH(MY$1,PortfolioRef[Reference '#]),0),AssetMonthlyReturns[[#This Row],[SPY]:[PE]])</f>
        <v>1.325557854223349E-2</v>
      </c>
      <c r="MZ24" s="27">
        <f>IF(ISNUMBER(MZ23),MZ23*(1+PortfolioFrontier[[#This Row],[P91 Return]]),1+PortfolioFrontier[[#This Row],[P91 Return]])</f>
        <v>1.1387096056367039</v>
      </c>
      <c r="NA24" s="27">
        <f>MAX(NA23,PortfolioFrontier[[#This Row],[P91 Growth]])</f>
        <v>1.1387096056367039</v>
      </c>
      <c r="NB24" s="27">
        <f>PortfolioFrontier[[#This Row],[P91 Growth]]/PortfolioFrontier[[#This Row],[P91 HWM]]-1</f>
        <v>0</v>
      </c>
      <c r="NC24" s="28">
        <f>SUMPRODUCT(INDEX(PortfolioRef[[SPY]:[PE]],MATCH(NC$1,PortfolioRef[Reference '#]),0),AssetMonthlyReturns[[#This Row],[SPY]:[PE]])</f>
        <v>1.4396547381126702E-2</v>
      </c>
      <c r="ND24" s="27">
        <f>IF(ISNUMBER(ND23),ND23*(1+PortfolioFrontier[[#This Row],[P92 Return]]),1+PortfolioFrontier[[#This Row],[P92 Return]])</f>
        <v>1.1354741565687236</v>
      </c>
      <c r="NE24" s="27">
        <f>MAX(NE23,PortfolioFrontier[[#This Row],[P92 Growth]])</f>
        <v>1.1354741565687236</v>
      </c>
      <c r="NF24" s="27">
        <f>PortfolioFrontier[[#This Row],[P92 Growth]]/PortfolioFrontier[[#This Row],[P92 HWM]]-1</f>
        <v>0</v>
      </c>
      <c r="NG24" s="28">
        <f>SUMPRODUCT(INDEX(PortfolioRef[[SPY]:[PE]],MATCH(NG$1,PortfolioRef[Reference '#]),0),AssetMonthlyReturns[[#This Row],[SPY]:[PE]])</f>
        <v>1.5537516220019917E-2</v>
      </c>
      <c r="NH24" s="27">
        <f>IF(ISNUMBER(NH23),NH23*(1+PortfolioFrontier[[#This Row],[P93 Return]]),1+PortfolioFrontier[[#This Row],[P93 Return]])</f>
        <v>1.1321827635804655</v>
      </c>
      <c r="NI24" s="27">
        <f>MAX(NI23,PortfolioFrontier[[#This Row],[P93 Growth]])</f>
        <v>1.1321827635804655</v>
      </c>
      <c r="NJ24" s="27">
        <f>PortfolioFrontier[[#This Row],[P93 Growth]]/PortfolioFrontier[[#This Row],[P93 HWM]]-1</f>
        <v>0</v>
      </c>
      <c r="NK24" s="28">
        <f>SUMPRODUCT(INDEX(PortfolioRef[[SPY]:[PE]],MATCH(NK$1,PortfolioRef[Reference '#]),0),AssetMonthlyReturns[[#This Row],[SPY]:[PE]])</f>
        <v>1.0252758336777317E-2</v>
      </c>
      <c r="NL24" s="27">
        <f>IF(ISNUMBER(NL23),NL23*(1+PortfolioFrontier[[#This Row],[P94 Return]]),1+PortfolioFrontier[[#This Row],[P94 Return]])</f>
        <v>1.1392852395715367</v>
      </c>
      <c r="NM24" s="27">
        <f>MAX(NM23,PortfolioFrontier[[#This Row],[P94 Growth]])</f>
        <v>1.1392852395715367</v>
      </c>
      <c r="NN24" s="27">
        <f>PortfolioFrontier[[#This Row],[P94 Growth]]/PortfolioFrontier[[#This Row],[P94 HWM]]-1</f>
        <v>0</v>
      </c>
      <c r="NO24" s="28">
        <f>SUMPRODUCT(INDEX(PortfolioRef[[SPY]:[PE]],MATCH(NO$1,PortfolioRef[Reference '#]),0),AssetMonthlyReturns[[#This Row],[SPY]:[PE]])</f>
        <v>1.1393727175670531E-2</v>
      </c>
      <c r="NP24" s="27">
        <f>IF(ISNUMBER(NP23),NP23*(1+PortfolioFrontier[[#This Row],[P95 Return]]),1+PortfolioFrontier[[#This Row],[P95 Return]])</f>
        <v>1.1360565697788958</v>
      </c>
      <c r="NQ24" s="27">
        <f>MAX(NQ23,PortfolioFrontier[[#This Row],[P95 Growth]])</f>
        <v>1.1360565697788958</v>
      </c>
      <c r="NR24" s="27">
        <f>PortfolioFrontier[[#This Row],[P95 Growth]]/PortfolioFrontier[[#This Row],[P95 HWM]]-1</f>
        <v>0</v>
      </c>
      <c r="NS24" s="28">
        <f>SUMPRODUCT(INDEX(PortfolioRef[[SPY]:[PE]],MATCH(NS$1,PortfolioRef[Reference '#]),0),AssetMonthlyReturns[[#This Row],[SPY]:[PE]])</f>
        <v>1.2534696014563744E-2</v>
      </c>
      <c r="NT24" s="27">
        <f>IF(ISNUMBER(NT23),NT23*(1+PortfolioFrontier[[#This Row],[P96 Return]]),1+PortfolioFrontier[[#This Row],[P96 Return]])</f>
        <v>1.1327718451451314</v>
      </c>
      <c r="NU24" s="27">
        <f>MAX(NU23,PortfolioFrontier[[#This Row],[P96 Growth]])</f>
        <v>1.1327718451451314</v>
      </c>
      <c r="NV24" s="27">
        <f>PortfolioFrontier[[#This Row],[P96 Growth]]/PortfolioFrontier[[#This Row],[P96 HWM]]-1</f>
        <v>0</v>
      </c>
      <c r="NW24" s="28">
        <f>SUMPRODUCT(INDEX(PortfolioRef[[SPY]:[PE]],MATCH(NW$1,PortfolioRef[Reference '#]),0),AssetMonthlyReturns[[#This Row],[SPY]:[PE]])</f>
        <v>1.1444469905369854E-2</v>
      </c>
      <c r="NX24" s="27">
        <f>IF(ISNUMBER(NX23),NX23*(1+PortfolioFrontier[[#This Row],[P97 Return]]),1+PortfolioFrontier[[#This Row],[P97 Return]])</f>
        <v>1.1107647566622896</v>
      </c>
      <c r="NY24" s="27">
        <f>MAX(NY23,PortfolioFrontier[[#This Row],[P97 Growth]])</f>
        <v>1.1107647566622896</v>
      </c>
      <c r="NZ24" s="27">
        <f>PortfolioFrontier[[#This Row],[P97 Growth]]/PortfolioFrontier[[#This Row],[P97 HWM]]-1</f>
        <v>0</v>
      </c>
      <c r="OA24" s="28">
        <f>SUMPRODUCT(INDEX(PortfolioRef[[SPY]:[PE]],MATCH(OA$1,PortfolioRef[Reference '#]),0),AssetMonthlyReturns[[#This Row],[SPY]:[PE]])</f>
        <v>1.3503123933126171E-2</v>
      </c>
      <c r="OB24" s="27">
        <f>IF(ISNUMBER(OB23),OB23*(1+PortfolioFrontier[[#This Row],[P98 Return]]),1+PortfolioFrontier[[#This Row],[P98 Return]])</f>
        <v>1.112092793177976</v>
      </c>
      <c r="OC24" s="27">
        <f>MAX(OC23,PortfolioFrontier[[#This Row],[P98 Growth]])</f>
        <v>1.112092793177976</v>
      </c>
      <c r="OD24" s="27">
        <f>PortfolioFrontier[[#This Row],[P98 Growth]]/PortfolioFrontier[[#This Row],[P98 HWM]]-1</f>
        <v>0</v>
      </c>
      <c r="OE24" s="28">
        <f>SUMPRODUCT(INDEX(PortfolioRef[[SPY]:[PE]],MATCH(OE$1,PortfolioRef[Reference '#]),0),AssetMonthlyReturns[[#This Row],[SPY]:[PE]])</f>
        <v>1.0500303727670003E-2</v>
      </c>
      <c r="OF24" s="27">
        <f>IF(ISNUMBER(OF23),OF23*(1+PortfolioFrontier[[#This Row],[P99 Return]]),1+PortfolioFrontier[[#This Row],[P99 Return]])</f>
        <v>1.1127787447941944</v>
      </c>
      <c r="OG24" s="27">
        <f>MAX(OG23,PortfolioFrontier[[#This Row],[P99 Growth]])</f>
        <v>1.1127787447941944</v>
      </c>
      <c r="OH24" s="27">
        <f>PortfolioFrontier[[#This Row],[P99 Growth]]/PortfolioFrontier[[#This Row],[P99 HWM]]-1</f>
        <v>0</v>
      </c>
      <c r="OI24" s="28">
        <f>SUMPRODUCT(INDEX(PortfolioRef[[SPY]:[PE]],MATCH(OI$1,PortfolioRef[Reference '#]),0),AssetMonthlyReturns[[#This Row],[SPY]:[PE]])</f>
        <v>1.1641272566563216E-2</v>
      </c>
      <c r="OJ24" s="27">
        <f>IF(ISNUMBER(OJ23),OJ23*(1+PortfolioFrontier[[#This Row],[P100 Return]]),1+PortfolioFrontier[[#This Row],[P100 Return]])</f>
        <v>1.1094762556359219</v>
      </c>
      <c r="OK24" s="27">
        <f>MAX(OK23,PortfolioFrontier[[#This Row],[P100 Growth]])</f>
        <v>1.1094762556359219</v>
      </c>
      <c r="OL24" s="27">
        <f>PortfolioFrontier[[#This Row],[P100 Growth]]/PortfolioFrontier[[#This Row],[P100 HWM]]-1</f>
        <v>0</v>
      </c>
      <c r="OM24" s="28">
        <f>SUMPRODUCT(INDEX(PortfolioRef[[SPY]:[PE]],MATCH(OM$1,PortfolioRef[Reference '#]),0),AssetMonthlyReturns[[#This Row],[SPY]:[PE]])</f>
        <v>1.556177796088249E-2</v>
      </c>
      <c r="ON24" s="27">
        <f>IF(ISNUMBER(ON23),ON23*(1+PortfolioFrontier[[#This Row],[P101 Return]]),1+PortfolioFrontier[[#This Row],[P101 Return]])</f>
        <v>1.1133618200783288</v>
      </c>
      <c r="OO24" s="27">
        <f>MAX(OO23,PortfolioFrontier[[#This Row],[P101 Growth]])</f>
        <v>1.1133618200783288</v>
      </c>
      <c r="OP24" s="27">
        <f>PortfolioFrontier[[#This Row],[P101 Growth]]/PortfolioFrontier[[#This Row],[P101 HWM]]-1</f>
        <v>0</v>
      </c>
      <c r="OQ24" s="28">
        <f>SUMPRODUCT(INDEX(PortfolioRef[[SPY]:[PE]],MATCH(OQ$1,PortfolioRef[Reference '#]),0),AssetMonthlyReturns[[#This Row],[SPY]:[PE]])</f>
        <v>1.2558957755426321E-2</v>
      </c>
      <c r="OR24" s="27">
        <f>IF(ISNUMBER(OR23),OR23*(1+PortfolioFrontier[[#This Row],[P102 Return]]),1+PortfolioFrontier[[#This Row],[P102 Return]])</f>
        <v>1.114099894787576</v>
      </c>
      <c r="OS24" s="27">
        <f>MAX(OS23,PortfolioFrontier[[#This Row],[P102 Growth]])</f>
        <v>1.114099894787576</v>
      </c>
      <c r="OT24" s="27">
        <f>PortfolioFrontier[[#This Row],[P102 Growth]]/PortfolioFrontier[[#This Row],[P102 HWM]]-1</f>
        <v>0</v>
      </c>
      <c r="OU24" s="28">
        <f>SUMPRODUCT(INDEX(PortfolioRef[[SPY]:[PE]],MATCH(OU$1,PortfolioRef[Reference '#]),0),AssetMonthlyReturns[[#This Row],[SPY]:[PE]])</f>
        <v>1.3699926594319534E-2</v>
      </c>
      <c r="OV24" s="27">
        <f>IF(ISNUMBER(OV23),OV23*(1+PortfolioFrontier[[#This Row],[P103 Return]]),1+PortfolioFrontier[[#This Row],[P103 Return]])</f>
        <v>1.1108221429044047</v>
      </c>
      <c r="OW24" s="27">
        <f>MAX(OW23,PortfolioFrontier[[#This Row],[P103 Growth]])</f>
        <v>1.1108221429044047</v>
      </c>
      <c r="OX24" s="27">
        <f>PortfolioFrontier[[#This Row],[P103 Growth]]/PortfolioFrontier[[#This Row],[P103 HWM]]-1</f>
        <v>0</v>
      </c>
      <c r="OY24" s="28">
        <f>SUMPRODUCT(INDEX(PortfolioRef[[SPY]:[PE]],MATCH(OY$1,PortfolioRef[Reference '#]),0),AssetMonthlyReturns[[#This Row],[SPY]:[PE]])</f>
        <v>9.556137549970152E-3</v>
      </c>
      <c r="OZ24" s="27">
        <f>IF(ISNUMBER(OZ23),OZ23*(1+PortfolioFrontier[[#This Row],[P104 Return]]),1+PortfolioFrontier[[#This Row],[P104 Return]])</f>
        <v>1.1147596869783387</v>
      </c>
      <c r="PA24" s="27">
        <f>MAX(PA23,PortfolioFrontier[[#This Row],[P104 Growth]])</f>
        <v>1.1147596869783387</v>
      </c>
      <c r="PB24" s="27">
        <f>PortfolioFrontier[[#This Row],[P104 Growth]]/PortfolioFrontier[[#This Row],[P104 HWM]]-1</f>
        <v>0</v>
      </c>
      <c r="PC24" s="28">
        <f>SUMPRODUCT(INDEX(PortfolioRef[[SPY]:[PE]],MATCH(PC$1,PortfolioRef[Reference '#]),0),AssetMonthlyReturns[[#This Row],[SPY]:[PE]])</f>
        <v>1.0697106388863366E-2</v>
      </c>
      <c r="PD24" s="27">
        <f>IF(ISNUMBER(PD23),PD23*(1+PortfolioFrontier[[#This Row],[P105 Return]]),1+PortfolioFrontier[[#This Row],[P105 Return]])</f>
        <v>1.1114882053883932</v>
      </c>
      <c r="PE24" s="27">
        <f>MAX(PE23,PortfolioFrontier[[#This Row],[P105 Growth]])</f>
        <v>1.1114882053883932</v>
      </c>
      <c r="PF24" s="27">
        <f>PortfolioFrontier[[#This Row],[P105 Growth]]/PortfolioFrontier[[#This Row],[P105 HWM]]-1</f>
        <v>0</v>
      </c>
      <c r="PG24" s="28">
        <f>SUMPRODUCT(INDEX(PortfolioRef[[SPY]:[PE]],MATCH(PG$1,PortfolioRef[Reference '#]),0),AssetMonthlyReturns[[#This Row],[SPY]:[PE]])</f>
        <v>1.1838075227756579E-2</v>
      </c>
      <c r="PH24" s="27">
        <f>IF(ISNUMBER(PH23),PH23*(1+PortfolioFrontier[[#This Row],[P106 Return]]),1+PortfolioFrontier[[#This Row],[P106 Return]])</f>
        <v>1.1081625057204503</v>
      </c>
      <c r="PI24" s="27">
        <f>MAX(PI23,PortfolioFrontier[[#This Row],[P106 Growth]])</f>
        <v>1.1081625057204503</v>
      </c>
      <c r="PJ24" s="27">
        <f>PortfolioFrontier[[#This Row],[P106 Growth]]/PortfolioFrontier[[#This Row],[P106 HWM]]-1</f>
        <v>0</v>
      </c>
      <c r="PK24" s="28">
        <f>SUMPRODUCT(INDEX(PortfolioRef[[SPY]:[PE]],MATCH(PK$1,PortfolioRef[Reference '#]),0),AssetMonthlyReturns[[#This Row],[SPY]:[PE]])</f>
        <v>1.4617611783182639E-2</v>
      </c>
      <c r="PL24" s="27">
        <f>IF(ISNUMBER(PL23),PL23*(1+PortfolioFrontier[[#This Row],[P107 Return]]),1+PortfolioFrontier[[#This Row],[P107 Return]])</f>
        <v>1.115361983180845</v>
      </c>
      <c r="PM24" s="27">
        <f>MAX(PM23,PortfolioFrontier[[#This Row],[P107 Growth]])</f>
        <v>1.115361983180845</v>
      </c>
      <c r="PN24" s="27">
        <f>PortfolioFrontier[[#This Row],[P107 Growth]]/PortfolioFrontier[[#This Row],[P107 HWM]]-1</f>
        <v>0</v>
      </c>
      <c r="PO24" s="28">
        <f>SUMPRODUCT(INDEX(PortfolioRef[[SPY]:[PE]],MATCH(PO$1,PortfolioRef[Reference '#]),0),AssetMonthlyReturns[[#This Row],[SPY]:[PE]])</f>
        <v>1.575858062207585E-2</v>
      </c>
      <c r="PP24" s="27">
        <f>IF(ISNUMBER(PP23),PP23*(1+PortfolioFrontier[[#This Row],[P108 Return]]),1+PortfolioFrontier[[#This Row],[P108 Return]])</f>
        <v>1.1121091386149522</v>
      </c>
      <c r="PQ24" s="27">
        <f>MAX(PQ23,PortfolioFrontier[[#This Row],[P108 Growth]])</f>
        <v>1.1121091386149522</v>
      </c>
      <c r="PR24" s="27">
        <f>PortfolioFrontier[[#This Row],[P108 Growth]]/PortfolioFrontier[[#This Row],[P108 HWM]]-1</f>
        <v>0</v>
      </c>
      <c r="PS24" s="28">
        <f>SUMPRODUCT(INDEX(PortfolioRef[[SPY]:[PE]],MATCH(PS$1,PortfolioRef[Reference '#]),0),AssetMonthlyReturns[[#This Row],[SPY]:[PE]])</f>
        <v>1.1614791577726467E-2</v>
      </c>
      <c r="PT24" s="27">
        <f>IF(ISNUMBER(PT23),PT23*(1+PortfolioFrontier[[#This Row],[P109 Return]]),1+PortfolioFrontier[[#This Row],[P109 Return]])</f>
        <v>1.1160738973525732</v>
      </c>
      <c r="PU24" s="27">
        <f>MAX(PU23,PortfolioFrontier[[#This Row],[P109 Growth]])</f>
        <v>1.1160738973525732</v>
      </c>
      <c r="PV24" s="27">
        <f>PortfolioFrontier[[#This Row],[P109 Growth]]/PortfolioFrontier[[#This Row],[P109 HWM]]-1</f>
        <v>0</v>
      </c>
      <c r="PW24" s="28">
        <f>SUMPRODUCT(INDEX(PortfolioRef[[SPY]:[PE]],MATCH(PW$1,PortfolioRef[Reference '#]),0),AssetMonthlyReturns[[#This Row],[SPY]:[PE]])</f>
        <v>1.2755760416619681E-2</v>
      </c>
      <c r="PX24" s="27">
        <f>IF(ISNUMBER(PX23),PX23*(1+PortfolioFrontier[[#This Row],[P110 Return]]),1+PortfolioFrontier[[#This Row],[P110 Return]])</f>
        <v>1.1128272482723029</v>
      </c>
      <c r="PY24" s="27">
        <f>MAX(PY23,PortfolioFrontier[[#This Row],[P110 Growth]])</f>
        <v>1.1128272482723029</v>
      </c>
      <c r="PZ24" s="27">
        <f>PortfolioFrontier[[#This Row],[P110 Growth]]/PortfolioFrontier[[#This Row],[P110 HWM]]-1</f>
        <v>0</v>
      </c>
      <c r="QA24" s="28">
        <f>SUMPRODUCT(INDEX(PortfolioRef[[SPY]:[PE]],MATCH(QA$1,PortfolioRef[Reference '#]),0),AssetMonthlyReturns[[#This Row],[SPY]:[PE]])</f>
        <v>1.3896729255512894E-2</v>
      </c>
      <c r="QB24" s="27">
        <f>IF(ISNUMBER(QB23),QB23*(1+PortfolioFrontier[[#This Row],[P111 Return]]),1+PortfolioFrontier[[#This Row],[P111 Return]])</f>
        <v>1.1095261691525546</v>
      </c>
      <c r="QC24" s="27">
        <f>MAX(QC23,PortfolioFrontier[[#This Row],[P111 Growth]])</f>
        <v>1.1095261691525546</v>
      </c>
      <c r="QD24" s="27">
        <f>PortfolioFrontier[[#This Row],[P111 Growth]]/PortfolioFrontier[[#This Row],[P111 HWM]]-1</f>
        <v>0</v>
      </c>
      <c r="QE24" s="28">
        <f>SUMPRODUCT(INDEX(PortfolioRef[[SPY]:[PE]],MATCH(QE$1,PortfolioRef[Reference '#]),0),AssetMonthlyReturns[[#This Row],[SPY]:[PE]])</f>
        <v>8.6119713722703009E-3</v>
      </c>
      <c r="QF24" s="27">
        <f>IF(ISNUMBER(QF23),QF23*(1+PortfolioFrontier[[#This Row],[P112 Return]]),1+PortfolioFrontier[[#This Row],[P112 Return]])</f>
        <v>1.1167074070352945</v>
      </c>
      <c r="QG24" s="27">
        <f>MAX(QG23,PortfolioFrontier[[#This Row],[P112 Growth]])</f>
        <v>1.1167074070352945</v>
      </c>
      <c r="QH24" s="27">
        <f>PortfolioFrontier[[#This Row],[P112 Growth]]/PortfolioFrontier[[#This Row],[P112 HWM]]-1</f>
        <v>0</v>
      </c>
      <c r="QI24" s="28">
        <f>SUMPRODUCT(INDEX(PortfolioRef[[SPY]:[PE]],MATCH(QI$1,PortfolioRef[Reference '#]),0),AssetMonthlyReturns[[#This Row],[SPY]:[PE]])</f>
        <v>9.7529402111635154E-3</v>
      </c>
      <c r="QJ24" s="27">
        <f>IF(ISNUMBER(QJ23),QJ23*(1+PortfolioFrontier[[#This Row],[P113 Return]]),1+PortfolioFrontier[[#This Row],[P113 Return]])</f>
        <v>1.1134671592191805</v>
      </c>
      <c r="QK24" s="27">
        <f>MAX(QK23,PortfolioFrontier[[#This Row],[P113 Growth]])</f>
        <v>1.1134671592191805</v>
      </c>
      <c r="QL24" s="27">
        <f>PortfolioFrontier[[#This Row],[P113 Growth]]/PortfolioFrontier[[#This Row],[P113 HWM]]-1</f>
        <v>0</v>
      </c>
      <c r="QM24" s="28">
        <f>SUMPRODUCT(INDEX(PortfolioRef[[SPY]:[PE]],MATCH(QM$1,PortfolioRef[Reference '#]),0),AssetMonthlyReturns[[#This Row],[SPY]:[PE]])</f>
        <v>1.089390905005673E-2</v>
      </c>
      <c r="QN24" s="27">
        <f>IF(ISNUMBER(QN23),QN23*(1+PortfolioFrontier[[#This Row],[P114 Return]]),1+PortfolioFrontier[[#This Row],[P114 Return]])</f>
        <v>1.1101723689910592</v>
      </c>
      <c r="QO24" s="27">
        <f>MAX(QO23,PortfolioFrontier[[#This Row],[P114 Growth]])</f>
        <v>1.1101723689910592</v>
      </c>
      <c r="QP24" s="27">
        <f>PortfolioFrontier[[#This Row],[P114 Growth]]/PortfolioFrontier[[#This Row],[P114 HWM]]-1</f>
        <v>0</v>
      </c>
      <c r="QQ24" s="28">
        <f>SUMPRODUCT(INDEX(PortfolioRef[[SPY]:[PE]],MATCH(QQ$1,PortfolioRef[Reference '#]),0),AssetMonthlyReturns[[#This Row],[SPY]:[PE]])</f>
        <v>1.3673445605482788E-2</v>
      </c>
      <c r="QR24" s="27">
        <f>IF(ISNUMBER(QR23),QR23*(1+PortfolioFrontier[[#This Row],[P115 Return]]),1+PortfolioFrontier[[#This Row],[P115 Return]])</f>
        <v>1.1173289956889407</v>
      </c>
      <c r="QS24" s="27">
        <f>MAX(QS23,PortfolioFrontier[[#This Row],[P115 Growth]])</f>
        <v>1.1173289956889407</v>
      </c>
      <c r="QT24" s="27">
        <f>PortfolioFrontier[[#This Row],[P115 Growth]]/PortfolioFrontier[[#This Row],[P115 HWM]]-1</f>
        <v>0</v>
      </c>
      <c r="QU24" s="28">
        <f>SUMPRODUCT(INDEX(PortfolioRef[[SPY]:[PE]],MATCH(QU$1,PortfolioRef[Reference '#]),0),AssetMonthlyReturns[[#This Row],[SPY]:[PE]])</f>
        <v>1.4814414444376003E-2</v>
      </c>
      <c r="QV24" s="27">
        <f>IF(ISNUMBER(QV23),QV23*(1+PortfolioFrontier[[#This Row],[P116 Return]]),1+PortfolioFrontier[[#This Row],[P116 Return]])</f>
        <v>1.1141073475867118</v>
      </c>
      <c r="QW24" s="27">
        <f>MAX(QW23,PortfolioFrontier[[#This Row],[P116 Growth]])</f>
        <v>1.1141073475867118</v>
      </c>
      <c r="QX24" s="27">
        <f>PortfolioFrontier[[#This Row],[P116 Growth]]/PortfolioFrontier[[#This Row],[P116 HWM]]-1</f>
        <v>0</v>
      </c>
      <c r="QY24" s="28">
        <f>SUMPRODUCT(INDEX(PortfolioRef[[SPY]:[PE]],MATCH(QY$1,PortfolioRef[Reference '#]),0),AssetMonthlyReturns[[#This Row],[SPY]:[PE]])</f>
        <v>1.5955383283269214E-2</v>
      </c>
      <c r="QZ24" s="27">
        <f>IF(ISNUMBER(QZ23),QZ23*(1+PortfolioFrontier[[#This Row],[P117 Return]]),1+PortfolioFrontier[[#This Row],[P117 Return]])</f>
        <v>1.1108310606542744</v>
      </c>
      <c r="RA24" s="27">
        <f>MAX(RA23,PortfolioFrontier[[#This Row],[P117 Growth]])</f>
        <v>1.1108310606542744</v>
      </c>
      <c r="RB24" s="27">
        <f>PortfolioFrontier[[#This Row],[P117 Growth]]/PortfolioFrontier[[#This Row],[P117 HWM]]-1</f>
        <v>0</v>
      </c>
      <c r="RC24" s="28">
        <f>SUMPRODUCT(INDEX(PortfolioRef[[SPY]:[PE]],MATCH(RC$1,PortfolioRef[Reference '#]),0),AssetMonthlyReturns[[#This Row],[SPY]:[PE]])</f>
        <v>1.0670625400026619E-2</v>
      </c>
      <c r="RD24" s="27">
        <f>IF(ISNUMBER(RD23),RD23*(1+PortfolioFrontier[[#This Row],[P118 Return]]),1+PortfolioFrontier[[#This Row],[P118 Return]])</f>
        <v>1.118014625073851</v>
      </c>
      <c r="RE24" s="27">
        <f>MAX(RE23,PortfolioFrontier[[#This Row],[P118 Growth]])</f>
        <v>1.118014625073851</v>
      </c>
      <c r="RF24" s="27">
        <f>PortfolioFrontier[[#This Row],[P118 Growth]]/PortfolioFrontier[[#This Row],[P118 HWM]]-1</f>
        <v>0</v>
      </c>
      <c r="RG24" s="28">
        <f>SUMPRODUCT(INDEX(PortfolioRef[[SPY]:[PE]],MATCH(RG$1,PortfolioRef[Reference '#]),0),AssetMonthlyReturns[[#This Row],[SPY]:[PE]])</f>
        <v>1.1811594238919833E-2</v>
      </c>
      <c r="RH24" s="27">
        <f>IF(ISNUMBER(RH23),RH23*(1+PortfolioFrontier[[#This Row],[P119 Return]]),1+PortfolioFrontier[[#This Row],[P119 Return]])</f>
        <v>1.1147993042867748</v>
      </c>
      <c r="RI24" s="27">
        <f>MAX(RI23,PortfolioFrontier[[#This Row],[P119 Growth]])</f>
        <v>1.1147993042867748</v>
      </c>
      <c r="RJ24" s="27">
        <f>PortfolioFrontier[[#This Row],[P119 Growth]]/PortfolioFrontier[[#This Row],[P119 HWM]]-1</f>
        <v>0</v>
      </c>
      <c r="RK24" s="28">
        <f>SUMPRODUCT(INDEX(PortfolioRef[[SPY]:[PE]],MATCH(RK$1,PortfolioRef[Reference '#]),0),AssetMonthlyReturns[[#This Row],[SPY]:[PE]])</f>
        <v>1.2952563077813048E-2</v>
      </c>
      <c r="RL24" s="27">
        <f>IF(ISNUMBER(RL23),RL23*(1+PortfolioFrontier[[#This Row],[P120 Return]]),1+PortfolioFrontier[[#This Row],[P120 Return]])</f>
        <v>1.1115292301273156</v>
      </c>
      <c r="RM24" s="27">
        <f>MAX(RM23,PortfolioFrontier[[#This Row],[P120 Growth]])</f>
        <v>1.1115292301273156</v>
      </c>
      <c r="RN24" s="27">
        <f>PortfolioFrontier[[#This Row],[P120 Growth]]/PortfolioFrontier[[#This Row],[P120 HWM]]-1</f>
        <v>0</v>
      </c>
      <c r="RO24" s="28">
        <f>SUMPRODUCT(INDEX(PortfolioRef[[SPY]:[PE]],MATCH(RO$1,PortfolioRef[Reference '#]),0),AssetMonthlyReturns[[#This Row],[SPY]:[PE]])</f>
        <v>7.6678051945704481E-3</v>
      </c>
      <c r="RP24" s="27">
        <f>IF(ISNUMBER(RP23),RP23*(1+PortfolioFrontier[[#This Row],[P121 Return]]),1+PortfolioFrontier[[#This Row],[P121 Return]])</f>
        <v>1.118621731160943</v>
      </c>
      <c r="RQ24" s="27">
        <f>MAX(RQ23,PortfolioFrontier[[#This Row],[P121 Growth]])</f>
        <v>1.118621731160943</v>
      </c>
      <c r="RR24" s="27">
        <f>PortfolioFrontier[[#This Row],[P121 Growth]]/PortfolioFrontier[[#This Row],[P121 HWM]]-1</f>
        <v>0</v>
      </c>
      <c r="RS24" s="28">
        <f>SUMPRODUCT(INDEX(PortfolioRef[[SPY]:[PE]],MATCH(RS$1,PortfolioRef[Reference '#]),0),AssetMonthlyReturns[[#This Row],[SPY]:[PE]])</f>
        <v>8.8087740334636608E-3</v>
      </c>
      <c r="RT24" s="27">
        <f>IF(ISNUMBER(RT23),RT23*(1+PortfolioFrontier[[#This Row],[P122 Return]]),1+PortfolioFrontier[[#This Row],[P122 Return]])</f>
        <v>1.1154129412250284</v>
      </c>
      <c r="RU24" s="27">
        <f>MAX(RU23,PortfolioFrontier[[#This Row],[P122 Growth]])</f>
        <v>1.1154129412250284</v>
      </c>
      <c r="RV24" s="27">
        <f>PortfolioFrontier[[#This Row],[P122 Growth]]/PortfolioFrontier[[#This Row],[P122 HWM]]-1</f>
        <v>0</v>
      </c>
      <c r="RW24" s="28">
        <f>SUMPRODUCT(INDEX(PortfolioRef[[SPY]:[PE]],MATCH(RW$1,PortfolioRef[Reference '#]),0),AssetMonthlyReturns[[#This Row],[SPY]:[PE]])</f>
        <v>9.9497428723568752E-3</v>
      </c>
      <c r="RX24" s="27">
        <f>IF(ISNUMBER(RX23),RX23*(1+PortfolioFrontier[[#This Row],[P123 Return]]),1+PortfolioFrontier[[#This Row],[P123 Return]])</f>
        <v>1.1121492867844014</v>
      </c>
      <c r="RY24" s="27">
        <f>MAX(RY23,PortfolioFrontier[[#This Row],[P123 Growth]])</f>
        <v>1.1121492867844014</v>
      </c>
      <c r="RZ24" s="27">
        <f>PortfolioFrontier[[#This Row],[P123 Growth]]/PortfolioFrontier[[#This Row],[P123 HWM]]-1</f>
        <v>0</v>
      </c>
      <c r="SA24" s="28">
        <f>SUMPRODUCT(INDEX(PortfolioRef[[SPY]:[PE]],MATCH(SA$1,PortfolioRef[Reference '#]),0),AssetMonthlyReturns[[#This Row],[SPY]:[PE]])</f>
        <v>1.2729279427782937E-2</v>
      </c>
      <c r="SB24" s="27">
        <f>IF(ISNUMBER(SB23),SB23*(1+PortfolioFrontier[[#This Row],[P124 Return]]),1+PortfolioFrontier[[#This Row],[P124 Return]])</f>
        <v>1.1192626821867915</v>
      </c>
      <c r="SC24" s="27">
        <f>MAX(SC23,PortfolioFrontier[[#This Row],[P124 Growth]])</f>
        <v>1.1192626821867915</v>
      </c>
      <c r="SD24" s="27">
        <f>PortfolioFrontier[[#This Row],[P124 Growth]]/PortfolioFrontier[[#This Row],[P124 HWM]]-1</f>
        <v>0</v>
      </c>
      <c r="SE24" s="28">
        <f>SUMPRODUCT(INDEX(PortfolioRef[[SPY]:[PE]],MATCH(SE$1,PortfolioRef[Reference '#]),0),AssetMonthlyReturns[[#This Row],[SPY]:[PE]])</f>
        <v>1.3870248266676152E-2</v>
      </c>
      <c r="SF24" s="27">
        <f>IF(ISNUMBER(SF23),SF23*(1+PortfolioFrontier[[#This Row],[P125 Return]]),1+PortfolioFrontier[[#This Row],[P125 Return]])</f>
        <v>1.1160724553162842</v>
      </c>
      <c r="SG24" s="27">
        <f>MAX(SG23,PortfolioFrontier[[#This Row],[P125 Growth]])</f>
        <v>1.1160724553162842</v>
      </c>
      <c r="SH24" s="27">
        <f>PortfolioFrontier[[#This Row],[P125 Growth]]/PortfolioFrontier[[#This Row],[P125 HWM]]-1</f>
        <v>0</v>
      </c>
      <c r="SI24" s="28">
        <f>SUMPRODUCT(INDEX(PortfolioRef[[SPY]:[PE]],MATCH(SI$1,PortfolioRef[Reference '#]),0),AssetMonthlyReturns[[#This Row],[SPY]:[PE]])</f>
        <v>1.5011217105569366E-2</v>
      </c>
      <c r="SJ24" s="27">
        <f>IF(ISNUMBER(SJ23),SJ23*(1+PortfolioFrontier[[#This Row],[P126 Return]]),1+PortfolioFrontier[[#This Row],[P126 Return]])</f>
        <v>1.1128272672970145</v>
      </c>
      <c r="SK24" s="27">
        <f>MAX(SK23,PortfolioFrontier[[#This Row],[P126 Growth]])</f>
        <v>1.1128272672970145</v>
      </c>
      <c r="SL24" s="27">
        <f>PortfolioFrontier[[#This Row],[P126 Growth]]/PortfolioFrontier[[#This Row],[P126 HWM]]-1</f>
        <v>0</v>
      </c>
      <c r="SM24" s="28">
        <f>SUMPRODUCT(INDEX(PortfolioRef[[SPY]:[PE]],MATCH(SM$1,PortfolioRef[Reference '#]),0),AssetMonthlyReturns[[#This Row],[SPY]:[PE]])</f>
        <v>9.7264592223267662E-3</v>
      </c>
      <c r="SN24" s="27">
        <f>IF(ISNUMBER(SN23),SN23*(1+PortfolioFrontier[[#This Row],[P127 Return]]),1+PortfolioFrontier[[#This Row],[P127 Return]])</f>
        <v>1.1199219045312785</v>
      </c>
      <c r="SO24" s="27">
        <f>MAX(SO23,PortfolioFrontier[[#This Row],[P127 Growth]])</f>
        <v>1.1199219045312785</v>
      </c>
      <c r="SP24" s="27">
        <f>PortfolioFrontier[[#This Row],[P127 Growth]]/PortfolioFrontier[[#This Row],[P127 HWM]]-1</f>
        <v>0</v>
      </c>
      <c r="SQ24" s="28">
        <f>SUMPRODUCT(INDEX(PortfolioRef[[SPY]:[PE]],MATCH(SQ$1,PortfolioRef[Reference '#]),0),AssetMonthlyReturns[[#This Row],[SPY]:[PE]])</f>
        <v>1.0867428061219979E-2</v>
      </c>
      <c r="SR24" s="27">
        <f>IF(ISNUMBER(SR23),SR23*(1+PortfolioFrontier[[#This Row],[P128 Return]]),1+PortfolioFrontier[[#This Row],[P128 Return]])</f>
        <v>1.1167381354223636</v>
      </c>
      <c r="SS24" s="27">
        <f>MAX(SS23,PortfolioFrontier[[#This Row],[P128 Growth]])</f>
        <v>1.1167381354223636</v>
      </c>
      <c r="ST24" s="27">
        <f>PortfolioFrontier[[#This Row],[P128 Growth]]/PortfolioFrontier[[#This Row],[P128 HWM]]-1</f>
        <v>0</v>
      </c>
      <c r="SU24" s="28">
        <f>SUMPRODUCT(INDEX(PortfolioRef[[SPY]:[PE]],MATCH(SU$1,PortfolioRef[Reference '#]),0),AssetMonthlyReturns[[#This Row],[SPY]:[PE]])</f>
        <v>1.2008396900113193E-2</v>
      </c>
      <c r="SV24" s="27">
        <f>IF(ISNUMBER(SV23),SV23*(1+PortfolioFrontier[[#This Row],[P129 Return]]),1+PortfolioFrontier[[#This Row],[P129 Return]])</f>
        <v>1.1134992918602598</v>
      </c>
      <c r="SW24" s="27">
        <f>MAX(SW23,PortfolioFrontier[[#This Row],[P129 Growth]])</f>
        <v>1.1134992918602598</v>
      </c>
      <c r="SX24" s="27">
        <f>PortfolioFrontier[[#This Row],[P129 Growth]]/PortfolioFrontier[[#This Row],[P129 HWM]]-1</f>
        <v>0</v>
      </c>
      <c r="SY24" s="28">
        <f>SUMPRODUCT(INDEX(PortfolioRef[[SPY]:[PE]],MATCH(SY$1,PortfolioRef[Reference '#]),0),AssetMonthlyReturns[[#This Row],[SPY]:[PE]])</f>
        <v>6.7236390168706004E-3</v>
      </c>
      <c r="SZ24" s="27">
        <f>IF(ISNUMBER(SZ23),SZ23*(1+PortfolioFrontier[[#This Row],[P130 Return]]),1+PortfolioFrontier[[#This Row],[P130 Return]])</f>
        <v>1.1205024879473076</v>
      </c>
      <c r="TA24" s="27">
        <f>MAX(TA23,PortfolioFrontier[[#This Row],[P130 Growth]])</f>
        <v>1.1205024879473076</v>
      </c>
      <c r="TB24" s="27">
        <f>PortfolioFrontier[[#This Row],[P130 Growth]]/PortfolioFrontier[[#This Row],[P130 HWM]]-1</f>
        <v>0</v>
      </c>
      <c r="TC24" s="28">
        <f>SUMPRODUCT(INDEX(PortfolioRef[[SPY]:[PE]],MATCH(TC$1,PortfolioRef[Reference '#]),0),AssetMonthlyReturns[[#This Row],[SPY]:[PE]])</f>
        <v>7.8646078557638149E-3</v>
      </c>
      <c r="TD24" s="27">
        <f>IF(ISNUMBER(TD23),TD23*(1+PortfolioFrontier[[#This Row],[P131 Return]]),1+PortfolioFrontier[[#This Row],[P131 Return]])</f>
        <v>1.1173253778747425</v>
      </c>
      <c r="TE24" s="27">
        <f>MAX(TE23,PortfolioFrontier[[#This Row],[P131 Growth]])</f>
        <v>1.1173253778747425</v>
      </c>
      <c r="TF24" s="27">
        <f>PortfolioFrontier[[#This Row],[P131 Growth]]/PortfolioFrontier[[#This Row],[P131 HWM]]-1</f>
        <v>0</v>
      </c>
      <c r="TG24" s="28">
        <f>SUMPRODUCT(INDEX(PortfolioRef[[SPY]:[PE]],MATCH(TG$1,PortfolioRef[Reference '#]),0),AssetMonthlyReturns[[#This Row],[SPY]:[PE]])</f>
        <v>9.0055766946570276E-3</v>
      </c>
      <c r="TH24" s="27">
        <f>IF(ISNUMBER(TH23),TH23*(1+PortfolioFrontier[[#This Row],[P132 Return]]),1+PortfolioFrontier[[#This Row],[P132 Return]])</f>
        <v>1.1140930834761242</v>
      </c>
      <c r="TI24" s="27">
        <f>MAX(TI23,PortfolioFrontier[[#This Row],[P132 Growth]])</f>
        <v>1.1140930834761242</v>
      </c>
      <c r="TJ24" s="27">
        <f>PortfolioFrontier[[#This Row],[P132 Growth]]/PortfolioFrontier[[#This Row],[P132 HWM]]-1</f>
        <v>0</v>
      </c>
      <c r="TK24" s="28">
        <f>SUMPRODUCT(INDEX(PortfolioRef[[SPY]:[PE]],MATCH(TK$1,PortfolioRef[Reference '#]),0),AssetMonthlyReturns[[#This Row],[SPY]:[PE]])</f>
        <v>1.1785113250083084E-2</v>
      </c>
      <c r="TL24" s="27">
        <f>IF(ISNUMBER(TL23),TL23*(1+PortfolioFrontier[[#This Row],[P133 Return]]),1+PortfolioFrontier[[#This Row],[P133 Return]])</f>
        <v>1.1211628696411426</v>
      </c>
      <c r="TM24" s="27">
        <f>MAX(TM23,PortfolioFrontier[[#This Row],[P133 Growth]])</f>
        <v>1.1211628696411426</v>
      </c>
      <c r="TN24" s="27">
        <f>PortfolioFrontier[[#This Row],[P133 Growth]]/PortfolioFrontier[[#This Row],[P133 HWM]]-1</f>
        <v>0</v>
      </c>
      <c r="TO24" s="28">
        <f>SUMPRODUCT(INDEX(PortfolioRef[[SPY]:[PE]],MATCH(TO$1,PortfolioRef[Reference '#]),0),AssetMonthlyReturns[[#This Row],[SPY]:[PE]])</f>
        <v>1.2926082088976297E-2</v>
      </c>
      <c r="TP24" s="27">
        <f>IF(ISNUMBER(TP23),TP23*(1+PortfolioFrontier[[#This Row],[P134 Return]]),1+PortfolioFrontier[[#This Row],[P134 Return]])</f>
        <v>1.1180042866589928</v>
      </c>
      <c r="TQ24" s="27">
        <f>MAX(TQ23,PortfolioFrontier[[#This Row],[P134 Growth]])</f>
        <v>1.1180042866589928</v>
      </c>
      <c r="TR24" s="27">
        <f>PortfolioFrontier[[#This Row],[P134 Growth]]/PortfolioFrontier[[#This Row],[P134 HWM]]-1</f>
        <v>0</v>
      </c>
      <c r="TS24" s="28">
        <f>SUMPRODUCT(INDEX(PortfolioRef[[SPY]:[PE]],MATCH(TS$1,PortfolioRef[Reference '#]),0),AssetMonthlyReturns[[#This Row],[SPY]:[PE]])</f>
        <v>1.4067050927869511E-2</v>
      </c>
      <c r="TT24" s="27">
        <f>IF(ISNUMBER(TT23),TT23*(1+PortfolioFrontier[[#This Row],[P135 Return]]),1+PortfolioFrontier[[#This Row],[P135 Return]])</f>
        <v>1.1147904224723095</v>
      </c>
      <c r="TU24" s="27">
        <f>MAX(TU23,PortfolioFrontier[[#This Row],[P135 Growth]])</f>
        <v>1.1147904224723095</v>
      </c>
      <c r="TV24" s="27">
        <f>PortfolioFrontier[[#This Row],[P135 Growth]]/PortfolioFrontier[[#This Row],[P135 HWM]]-1</f>
        <v>0</v>
      </c>
      <c r="TW24" s="28">
        <f>SUMPRODUCT(INDEX(PortfolioRef[[SPY]:[PE]],MATCH(TW$1,PortfolioRef[Reference '#]),0),AssetMonthlyReturns[[#This Row],[SPY]:[PE]])</f>
        <v>8.7822930446269151E-3</v>
      </c>
      <c r="TX24" s="27">
        <f>IF(ISNUMBER(TX23),TX23*(1+PortfolioFrontier[[#This Row],[P136 Return]]),1+PortfolioFrontier[[#This Row],[P136 Return]])</f>
        <v>1.1217955647045177</v>
      </c>
      <c r="TY24" s="27">
        <f>MAX(TY23,PortfolioFrontier[[#This Row],[P136 Growth]])</f>
        <v>1.1217955647045177</v>
      </c>
      <c r="TZ24" s="27">
        <f>PortfolioFrontier[[#This Row],[P136 Growth]]/PortfolioFrontier[[#This Row],[P136 HWM]]-1</f>
        <v>0</v>
      </c>
      <c r="UA24" s="28">
        <f>SUMPRODUCT(INDEX(PortfolioRef[[SPY]:[PE]],MATCH(UA$1,PortfolioRef[Reference '#]),0),AssetMonthlyReturns[[#This Row],[SPY]:[PE]])</f>
        <v>9.9232618835201295E-3</v>
      </c>
      <c r="UB24" s="27">
        <f>IF(ISNUMBER(UB23),UB23*(1+PortfolioFrontier[[#This Row],[P137 Return]]),1+PortfolioFrontier[[#This Row],[P137 Return]])</f>
        <v>1.1186435685293665</v>
      </c>
      <c r="UC24" s="27">
        <f>MAX(UC23,PortfolioFrontier[[#This Row],[P137 Growth]])</f>
        <v>1.1186435685293665</v>
      </c>
      <c r="UD24" s="27">
        <f>PortfolioFrontier[[#This Row],[P137 Growth]]/PortfolioFrontier[[#This Row],[P137 HWM]]-1</f>
        <v>0</v>
      </c>
      <c r="UE24" s="28">
        <f>SUMPRODUCT(INDEX(PortfolioRef[[SPY]:[PE]],MATCH(UE$1,PortfolioRef[Reference '#]),0),AssetMonthlyReturns[[#This Row],[SPY]:[PE]])</f>
        <v>1.1064230722413342E-2</v>
      </c>
      <c r="UF24" s="27">
        <f>IF(ISNUMBER(UF23),UF23*(1+PortfolioFrontier[[#This Row],[P138 Return]]),1+PortfolioFrontier[[#This Row],[P138 Return]])</f>
        <v>1.1154361791023262</v>
      </c>
      <c r="UG24" s="27">
        <f>MAX(UG23,PortfolioFrontier[[#This Row],[P138 Growth]])</f>
        <v>1.1154361791023262</v>
      </c>
      <c r="UH24" s="27">
        <f>PortfolioFrontier[[#This Row],[P138 Growth]]/PortfolioFrontier[[#This Row],[P138 HWM]]-1</f>
        <v>0</v>
      </c>
      <c r="UI24" s="28">
        <f>SUMPRODUCT(INDEX(PortfolioRef[[SPY]:[PE]],MATCH(UI$1,PortfolioRef[Reference '#]),0),AssetMonthlyReturns[[#This Row],[SPY]:[PE]])</f>
        <v>5.7794728391707458E-3</v>
      </c>
      <c r="UJ24" s="27">
        <f>IF(ISNUMBER(UJ23),UJ23*(1+PortfolioFrontier[[#This Row],[P139 Return]]),1+PortfolioFrontier[[#This Row],[P139 Return]])</f>
        <v>1.1223495084031516</v>
      </c>
      <c r="UK24" s="27">
        <f>MAX(UK23,PortfolioFrontier[[#This Row],[P139 Growth]])</f>
        <v>1.1223495084031516</v>
      </c>
      <c r="UL24" s="27">
        <f>PortfolioFrontier[[#This Row],[P139 Growth]]/PortfolioFrontier[[#This Row],[P139 HWM]]-1</f>
        <v>0</v>
      </c>
      <c r="UM24" s="28">
        <f>SUMPRODUCT(INDEX(PortfolioRef[[SPY]:[PE]],MATCH(UM$1,PortfolioRef[Reference '#]),0),AssetMonthlyReturns[[#This Row],[SPY]:[PE]])</f>
        <v>6.9204416780639603E-3</v>
      </c>
      <c r="UN24" s="27">
        <f>IF(ISNUMBER(UN23),UN23*(1+PortfolioFrontier[[#This Row],[P140 Return]]),1+PortfolioFrontier[[#This Row],[P140 Return]])</f>
        <v>1.1192042980299706</v>
      </c>
      <c r="UO24" s="27">
        <f>MAX(UO23,PortfolioFrontier[[#This Row],[P140 Growth]])</f>
        <v>1.1192042980299706</v>
      </c>
      <c r="UP24" s="27">
        <f>PortfolioFrontier[[#This Row],[P140 Growth]]/PortfolioFrontier[[#This Row],[P140 HWM]]-1</f>
        <v>0</v>
      </c>
      <c r="UQ24" s="28">
        <f>SUMPRODUCT(INDEX(PortfolioRef[[SPY]:[PE]],MATCH(UQ$1,PortfolioRef[Reference '#]),0),AssetMonthlyReturns[[#This Row],[SPY]:[PE]])</f>
        <v>8.0614105169571747E-3</v>
      </c>
      <c r="UR24" s="27">
        <f>IF(ISNUMBER(UR23),UR23*(1+PortfolioFrontier[[#This Row],[P141 Return]]),1+PortfolioFrontier[[#This Row],[P141 Return]])</f>
        <v>1.1160035858106589</v>
      </c>
      <c r="US24" s="27">
        <f>MAX(US23,PortfolioFrontier[[#This Row],[P141 Growth]])</f>
        <v>1.1160035858106589</v>
      </c>
      <c r="UT24" s="27">
        <f>PortfolioFrontier[[#This Row],[P141 Growth]]/PortfolioFrontier[[#This Row],[P141 HWM]]-1</f>
        <v>0</v>
      </c>
    </row>
    <row r="25" spans="2:566" x14ac:dyDescent="0.2">
      <c r="B25" s="41">
        <f>AssetMonthlyReturns[[#This Row],[Date]]</f>
        <v>43132</v>
      </c>
      <c r="C25" s="28">
        <f>SUMPRODUCT(INDEX(PortfolioRef[[SPY]:[PE]],MATCH(C$1,PortfolioRef[Reference '#]),0),AssetMonthlyReturns[[#This Row],[SPY]:[PE]])</f>
        <v>-3.0775747282040158E-2</v>
      </c>
      <c r="D25" s="29">
        <f>IF(ISNUMBER(D24),D24*(1+PortfolioFrontier[[#This Row],[P1 Return]]),1+PortfolioFrontier[[#This Row],[P1 Return]])</f>
        <v>1.189122568651948</v>
      </c>
      <c r="E25" s="29">
        <f>MAX(E24,PortfolioFrontier[[#This Row],[P1 Growth]])</f>
        <v>1.2268807402593727</v>
      </c>
      <c r="F25" s="29">
        <f>PortfolioFrontier[[#This Row],[P1 Growth]]/PortfolioFrontier[[#This Row],[P1 HWM]]-1</f>
        <v>-3.0775747282040022E-2</v>
      </c>
      <c r="G25" s="28">
        <f>SUMPRODUCT(INDEX(PortfolioRef[[SPY]:[PE]],MATCH(G$1,PortfolioRef[Reference '#]),0),AssetMonthlyReturns[[#This Row],[SPY]:[PE]])</f>
        <v>-2.9572909326787668E-2</v>
      </c>
      <c r="H25" s="27">
        <f>IF(ISNUMBER(H24),H24*(1+PortfolioFrontier[[#This Row],[P2 Return]]),1+PortfolioFrontier[[#This Row],[P2 Return]])</f>
        <v>1.1711420421568475</v>
      </c>
      <c r="I25" s="27">
        <f>MAX(I24,PortfolioFrontier[[#This Row],[P2 Growth]])</f>
        <v>1.2068315625281993</v>
      </c>
      <c r="J25" s="27">
        <f>PortfolioFrontier[[#This Row],[P2 Growth]]/PortfolioFrontier[[#This Row],[P2 HWM]]-1</f>
        <v>-2.9572909326787578E-2</v>
      </c>
      <c r="K25" s="28">
        <f>SUMPRODUCT(INDEX(PortfolioRef[[SPY]:[PE]],MATCH(K$1,PortfolioRef[Reference '#]),0),AssetMonthlyReturns[[#This Row],[SPY]:[PE]])</f>
        <v>-2.9995716089305725E-2</v>
      </c>
      <c r="L25" s="27">
        <f>IF(ISNUMBER(L24),L24*(1+PortfolioFrontier[[#This Row],[P3 Return]]),1+PortfolioFrontier[[#This Row],[P3 Return]])</f>
        <v>1.1720584911590075</v>
      </c>
      <c r="M25" s="27">
        <f>MAX(M24,PortfolioFrontier[[#This Row],[P3 Growth]])</f>
        <v>1.2083023864943216</v>
      </c>
      <c r="N25" s="27">
        <f>PortfolioFrontier[[#This Row],[P3 Growth]]/PortfolioFrontier[[#This Row],[P3 HWM]]-1</f>
        <v>-2.9995716089305624E-2</v>
      </c>
      <c r="O25" s="28">
        <f>SUMPRODUCT(INDEX(PortfolioRef[[SPY]:[PE]],MATCH(O$1,PortfolioRef[Reference '#]),0),AssetMonthlyReturns[[#This Row],[SPY]:[PE]])</f>
        <v>-3.2796595056574972E-2</v>
      </c>
      <c r="P25" s="27">
        <f>IF(ISNUMBER(P24),P24*(1+PortfolioFrontier[[#This Row],[P4 Return]]),1+PortfolioFrontier[[#This Row],[P4 Return]])</f>
        <v>1.1693184592305139</v>
      </c>
      <c r="Q25" s="27">
        <f>MAX(Q24,PortfolioFrontier[[#This Row],[P4 Growth]])</f>
        <v>1.2089685098853755</v>
      </c>
      <c r="R25" s="27">
        <f>PortfolioFrontier[[#This Row],[P4 Growth]]/PortfolioFrontier[[#This Row],[P4 HWM]]-1</f>
        <v>-3.2796595056575062E-2</v>
      </c>
      <c r="S25" s="28">
        <f>SUMPRODUCT(INDEX(PortfolioRef[[SPY]:[PE]],MATCH(S$1,PortfolioRef[Reference '#]),0),AssetMonthlyReturns[[#This Row],[SPY]:[PE]])</f>
        <v>-2.8546798430773349E-2</v>
      </c>
      <c r="T25" s="27">
        <f>IF(ISNUMBER(T24),T24*(1+PortfolioFrontier[[#This Row],[P5 Return]]),1+PortfolioFrontier[[#This Row],[P5 Return]])</f>
        <v>1.1709802540536256</v>
      </c>
      <c r="U25" s="27">
        <f>MAX(U24,PortfolioFrontier[[#This Row],[P5 Growth]])</f>
        <v>1.2053902876248646</v>
      </c>
      <c r="V25" s="27">
        <f>PortfolioFrontier[[#This Row],[P5 Growth]]/PortfolioFrontier[[#This Row],[P5 HWM]]-1</f>
        <v>-2.8546798430773346E-2</v>
      </c>
      <c r="W25" s="28">
        <f>SUMPRODUCT(INDEX(PortfolioRef[[SPY]:[PE]],MATCH(W$1,PortfolioRef[Reference '#]),0),AssetMonthlyReturns[[#This Row],[SPY]:[PE]])</f>
        <v>-2.8370071371535185E-2</v>
      </c>
      <c r="X25" s="27">
        <f>IF(ISNUMBER(X24),X24*(1+PortfolioFrontier[[#This Row],[P6 Return]]),1+PortfolioFrontier[[#This Row],[P6 Return]])</f>
        <v>1.1533883278112391</v>
      </c>
      <c r="Y25" s="27">
        <f>MAX(Y24,PortfolioFrontier[[#This Row],[P6 Growth]])</f>
        <v>1.1870654596234402</v>
      </c>
      <c r="Z25" s="27">
        <f>PortfolioFrontier[[#This Row],[P6 Growth]]/PortfolioFrontier[[#This Row],[P6 HWM]]-1</f>
        <v>-2.8370071371535133E-2</v>
      </c>
      <c r="AA25" s="28">
        <f>SUMPRODUCT(INDEX(PortfolioRef[[SPY]:[PE]],MATCH(AA$1,PortfolioRef[Reference '#]),0),AssetMonthlyReturns[[#This Row],[SPY]:[PE]])</f>
        <v>-2.8792878134053242E-2</v>
      </c>
      <c r="AB25" s="27">
        <f>IF(ISNUMBER(AB24),AB24*(1+PortfolioFrontier[[#This Row],[P7 Return]]),1+PortfolioFrontier[[#This Row],[P7 Return]])</f>
        <v>1.1542861539448019</v>
      </c>
      <c r="AC25" s="27">
        <f>MAX(AC24,PortfolioFrontier[[#This Row],[P7 Growth]])</f>
        <v>1.1885066820011696</v>
      </c>
      <c r="AD25" s="27">
        <f>PortfolioFrontier[[#This Row],[P7 Growth]]/PortfolioFrontier[[#This Row],[P7 HWM]]-1</f>
        <v>-2.879287813405329E-2</v>
      </c>
      <c r="AE25" s="28">
        <f>SUMPRODUCT(INDEX(PortfolioRef[[SPY]:[PE]],MATCH(AE$1,PortfolioRef[Reference '#]),0),AssetMonthlyReturns[[#This Row],[SPY]:[PE]])</f>
        <v>-3.1593757101322492E-2</v>
      </c>
      <c r="AF25" s="27">
        <f>IF(ISNUMBER(AF24),AF24*(1+PortfolioFrontier[[#This Row],[P8 Return]]),1+PortfolioFrontier[[#This Row],[P8 Return]])</f>
        <v>1.1516068422923138</v>
      </c>
      <c r="AG25" s="27">
        <f>MAX(AG24,PortfolioFrontier[[#This Row],[P8 Growth]])</f>
        <v>1.1891774250084055</v>
      </c>
      <c r="AH25" s="27">
        <f>PortfolioFrontier[[#This Row],[P8 Growth]]/PortfolioFrontier[[#This Row],[P8 HWM]]-1</f>
        <v>-3.1593757101322506E-2</v>
      </c>
      <c r="AI25" s="28">
        <f>SUMPRODUCT(INDEX(PortfolioRef[[SPY]:[PE]],MATCH(AI$1,PortfolioRef[Reference '#]),0),AssetMonthlyReturns[[#This Row],[SPY]:[PE]])</f>
        <v>-2.7343960475520866E-2</v>
      </c>
      <c r="AJ25" s="27">
        <f>IF(ISNUMBER(AJ24),AJ24*(1+PortfolioFrontier[[#This Row],[P9 Return]]),1+PortfolioFrontier[[#This Row],[P9 Return]])</f>
        <v>1.153235327854619</v>
      </c>
      <c r="AK25" s="27">
        <f>MAX(AK24,PortfolioFrontier[[#This Row],[P9 Growth]])</f>
        <v>1.1856558546826308</v>
      </c>
      <c r="AL25" s="27">
        <f>PortfolioFrontier[[#This Row],[P9 Growth]]/PortfolioFrontier[[#This Row],[P9 HWM]]-1</f>
        <v>-2.7343960475520901E-2</v>
      </c>
      <c r="AM25" s="28">
        <f>SUMPRODUCT(INDEX(PortfolioRef[[SPY]:[PE]],MATCH(AM$1,PortfolioRef[Reference '#]),0),AssetMonthlyReturns[[#This Row],[SPY]:[PE]])</f>
        <v>-2.9215684896571302E-2</v>
      </c>
      <c r="AN25" s="27">
        <f>IF(ISNUMBER(AN24),AN24*(1+PortfolioFrontier[[#This Row],[P10 Return]]),1+PortfolioFrontier[[#This Row],[P10 Return]])</f>
        <v>1.1551220436909588</v>
      </c>
      <c r="AO25" s="27">
        <f>MAX(AO24,PortfolioFrontier[[#This Row],[P10 Growth]])</f>
        <v>1.189885359414661</v>
      </c>
      <c r="AP25" s="27">
        <f>PortfolioFrontier[[#This Row],[P10 Growth]]/PortfolioFrontier[[#This Row],[P10 HWM]]-1</f>
        <v>-2.9215684896571226E-2</v>
      </c>
      <c r="AQ25" s="28">
        <f>SUMPRODUCT(INDEX(PortfolioRef[[SPY]:[PE]],MATCH(AQ$1,PortfolioRef[Reference '#]),0),AssetMonthlyReturns[[#This Row],[SPY]:[PE]])</f>
        <v>-3.2016563863840546E-2</v>
      </c>
      <c r="AR25" s="27">
        <f>IF(ISNUMBER(AR24),AR24*(1+PortfolioFrontier[[#This Row],[P11 Return]]),1+PortfolioFrontier[[#This Row],[P11 Return]])</f>
        <v>1.1524918896339995</v>
      </c>
      <c r="AS25" s="27">
        <f>MAX(AS24,PortfolioFrontier[[#This Row],[P11 Growth]])</f>
        <v>1.1906111681356153</v>
      </c>
      <c r="AT25" s="27">
        <f>PortfolioFrontier[[#This Row],[P11 Growth]]/PortfolioFrontier[[#This Row],[P11 HWM]]-1</f>
        <v>-3.2016563863840553E-2</v>
      </c>
      <c r="AU25" s="28">
        <f>SUMPRODUCT(INDEX(PortfolioRef[[SPY]:[PE]],MATCH(AU$1,PortfolioRef[Reference '#]),0),AssetMonthlyReturns[[#This Row],[SPY]:[PE]])</f>
        <v>-2.7766767238038923E-2</v>
      </c>
      <c r="AV25" s="27">
        <f>IF(ISNUMBER(AV24),AV24*(1+PortfolioFrontier[[#This Row],[P12 Return]]),1+PortfolioFrontier[[#This Row],[P12 Return]])</f>
        <v>1.1541536138652511</v>
      </c>
      <c r="AW25" s="27">
        <f>MAX(AW24,PortfolioFrontier[[#This Row],[P12 Growth]])</f>
        <v>1.1871159871654284</v>
      </c>
      <c r="AX25" s="27">
        <f>PortfolioFrontier[[#This Row],[P12 Growth]]/PortfolioFrontier[[#This Row],[P12 HWM]]-1</f>
        <v>-2.7766767238039058E-2</v>
      </c>
      <c r="AY25" s="28">
        <f>SUMPRODUCT(INDEX(PortfolioRef[[SPY]:[PE]],MATCH(AY$1,PortfolioRef[Reference '#]),0),AssetMonthlyReturns[[#This Row],[SPY]:[PE]])</f>
        <v>-3.4817442831109796E-2</v>
      </c>
      <c r="AZ25" s="27">
        <f>IF(ISNUMBER(AZ24),AZ24*(1+PortfolioFrontier[[#This Row],[P13 Return]]),1+PortfolioFrontier[[#This Row],[P13 Return]])</f>
        <v>1.1497776823801049</v>
      </c>
      <c r="BA25" s="27">
        <f>MAX(BA24,PortfolioFrontier[[#This Row],[P13 Growth]])</f>
        <v>1.1912541040450171</v>
      </c>
      <c r="BB25" s="27">
        <f>PortfolioFrontier[[#This Row],[P13 Growth]]/PortfolioFrontier[[#This Row],[P13 HWM]]-1</f>
        <v>-3.4817442831109657E-2</v>
      </c>
      <c r="BC25" s="28">
        <f>SUMPRODUCT(INDEX(PortfolioRef[[SPY]:[PE]],MATCH(BC$1,PortfolioRef[Reference '#]),0),AssetMonthlyReturns[[#This Row],[SPY]:[PE]])</f>
        <v>-3.0567646205308167E-2</v>
      </c>
      <c r="BD25" s="27">
        <f>IF(ISNUMBER(BD24),BD24*(1+PortfolioFrontier[[#This Row],[P14 Return]]),1+PortfolioFrontier[[#This Row],[P14 Return]])</f>
        <v>1.1514584676118595</v>
      </c>
      <c r="BE25" s="27">
        <f>MAX(BE24,PortfolioFrontier[[#This Row],[P14 Growth]])</f>
        <v>1.1877656683363773</v>
      </c>
      <c r="BF25" s="27">
        <f>PortfolioFrontier[[#This Row],[P14 Growth]]/PortfolioFrontier[[#This Row],[P14 HWM]]-1</f>
        <v>-3.0567646205308163E-2</v>
      </c>
      <c r="BG25" s="28">
        <f>SUMPRODUCT(INDEX(PortfolioRef[[SPY]:[PE]],MATCH(BG$1,PortfolioRef[Reference '#]),0),AssetMonthlyReturns[[#This Row],[SPY]:[PE]])</f>
        <v>-2.6317849579506544E-2</v>
      </c>
      <c r="BH25" s="27">
        <f>IF(ISNUMBER(BH24),BH24*(1+PortfolioFrontier[[#This Row],[P15 Return]]),1+PortfolioFrontier[[#This Row],[P15 Return]])</f>
        <v>1.1530534055270956</v>
      </c>
      <c r="BI25" s="27">
        <f>MAX(BI24,PortfolioFrontier[[#This Row],[P15 Growth]])</f>
        <v>1.1842195166350118</v>
      </c>
      <c r="BJ25" s="27">
        <f>PortfolioFrontier[[#This Row],[P15 Growth]]/PortfolioFrontier[[#This Row],[P15 HWM]]-1</f>
        <v>-2.6317849579506558E-2</v>
      </c>
      <c r="BK25" s="28">
        <f>SUMPRODUCT(INDEX(PortfolioRef[[SPY]:[PE]],MATCH(BK$1,PortfolioRef[Reference '#]),0),AssetMonthlyReturns[[#This Row],[SPY]:[PE]])</f>
        <v>-2.7167233416282702E-2</v>
      </c>
      <c r="BL25" s="27">
        <f>IF(ISNUMBER(BL24),BL24*(1+PortfolioFrontier[[#This Row],[P16 Return]]),1+PortfolioFrontier[[#This Row],[P16 Return]])</f>
        <v>1.1358591623745184</v>
      </c>
      <c r="BM25" s="27">
        <f>MAX(BM24,PortfolioFrontier[[#This Row],[P16 Growth]])</f>
        <v>1.1675790550962819</v>
      </c>
      <c r="BN25" s="27">
        <f>PortfolioFrontier[[#This Row],[P16 Growth]]/PortfolioFrontier[[#This Row],[P16 HWM]]-1</f>
        <v>-2.7167233416282688E-2</v>
      </c>
      <c r="BO25" s="28">
        <f>SUMPRODUCT(INDEX(PortfolioRef[[SPY]:[PE]],MATCH(BO$1,PortfolioRef[Reference '#]),0),AssetMonthlyReturns[[#This Row],[SPY]:[PE]])</f>
        <v>-2.7590040178800759E-2</v>
      </c>
      <c r="BP25" s="27">
        <f>IF(ISNUMBER(BP24),BP24*(1+PortfolioFrontier[[#This Row],[P17 Return]]),1+PortfolioFrontier[[#This Row],[P17 Return]])</f>
        <v>1.1367386918872027</v>
      </c>
      <c r="BQ25" s="27">
        <f>MAX(BQ24,PortfolioFrontier[[#This Row],[P17 Growth]])</f>
        <v>1.1689912062359162</v>
      </c>
      <c r="BR25" s="27">
        <f>PortfolioFrontier[[#This Row],[P17 Growth]]/PortfolioFrontier[[#This Row],[P17 HWM]]-1</f>
        <v>-2.7590040178800623E-2</v>
      </c>
      <c r="BS25" s="28">
        <f>SUMPRODUCT(INDEX(PortfolioRef[[SPY]:[PE]],MATCH(BS$1,PortfolioRef[Reference '#]),0),AssetMonthlyReturns[[#This Row],[SPY]:[PE]])</f>
        <v>-3.0390919146070002E-2</v>
      </c>
      <c r="BT25" s="27">
        <f>IF(ISNUMBER(BT24),BT24*(1+PortfolioFrontier[[#This Row],[P18 Return]]),1+PortfolioFrontier[[#This Row],[P18 Return]])</f>
        <v>1.1341190019865108</v>
      </c>
      <c r="BU25" s="27">
        <f>MAX(BU24,PortfolioFrontier[[#This Row],[P18 Growth]])</f>
        <v>1.1696662339297583</v>
      </c>
      <c r="BV25" s="27">
        <f>PortfolioFrontier[[#This Row],[P18 Growth]]/PortfolioFrontier[[#This Row],[P18 HWM]]-1</f>
        <v>-3.0390919146070061E-2</v>
      </c>
      <c r="BW25" s="28">
        <f>SUMPRODUCT(INDEX(PortfolioRef[[SPY]:[PE]],MATCH(BW$1,PortfolioRef[Reference '#]),0),AssetMonthlyReturns[[#This Row],[SPY]:[PE]])</f>
        <v>-2.6141122520268383E-2</v>
      </c>
      <c r="BX25" s="27">
        <f>IF(ISNUMBER(BX24),BX24*(1+PortfolioFrontier[[#This Row],[P19 Return]]),1+PortfolioFrontier[[#This Row],[P19 Return]])</f>
        <v>1.1357147626844708</v>
      </c>
      <c r="BY25" s="27">
        <f>MAX(BY24,PortfolioFrontier[[#This Row],[P19 Growth]])</f>
        <v>1.1662005542564946</v>
      </c>
      <c r="BZ25" s="27">
        <f>PortfolioFrontier[[#This Row],[P19 Growth]]/PortfolioFrontier[[#This Row],[P19 HWM]]-1</f>
        <v>-2.6141122520268234E-2</v>
      </c>
      <c r="CA25" s="28">
        <f>SUMPRODUCT(INDEX(PortfolioRef[[SPY]:[PE]],MATCH(CA$1,PortfolioRef[Reference '#]),0),AssetMonthlyReturns[[#This Row],[SPY]:[PE]])</f>
        <v>-2.8012846941318816E-2</v>
      </c>
      <c r="CB25" s="27">
        <f>IF(ISNUMBER(CB24),CB24*(1+PortfolioFrontier[[#This Row],[P20 Return]]),1+PortfolioFrontier[[#This Row],[P20 Return]])</f>
        <v>1.1375571100866817</v>
      </c>
      <c r="CC25" s="27">
        <f>MAX(CC24,PortfolioFrontier[[#This Row],[P20 Growth]])</f>
        <v>1.1703417133724241</v>
      </c>
      <c r="CD25" s="27">
        <f>PortfolioFrontier[[#This Row],[P20 Growth]]/PortfolioFrontier[[#This Row],[P20 HWM]]-1</f>
        <v>-2.801284694131867E-2</v>
      </c>
      <c r="CE25" s="28">
        <f>SUMPRODUCT(INDEX(PortfolioRef[[SPY]:[PE]],MATCH(CE$1,PortfolioRef[Reference '#]),0),AssetMonthlyReturns[[#This Row],[SPY]:[PE]])</f>
        <v>-3.0813725908588056E-2</v>
      </c>
      <c r="CF25" s="27">
        <f>IF(ISNUMBER(CF24),CF24*(1+PortfolioFrontier[[#This Row],[P21 Return]]),1+PortfolioFrontier[[#This Row],[P21 Return]])</f>
        <v>1.1349859953099868</v>
      </c>
      <c r="CG25" s="27">
        <f>MAX(CG24,PortfolioFrontier[[#This Row],[P21 Growth]])</f>
        <v>1.1710710579078392</v>
      </c>
      <c r="CH25" s="27">
        <f>PortfolioFrontier[[#This Row],[P21 Growth]]/PortfolioFrontier[[#This Row],[P21 HWM]]-1</f>
        <v>-3.0813725908587997E-2</v>
      </c>
      <c r="CI25" s="28">
        <f>SUMPRODUCT(INDEX(PortfolioRef[[SPY]:[PE]],MATCH(CI$1,PortfolioRef[Reference '#]),0),AssetMonthlyReturns[[#This Row],[SPY]:[PE]])</f>
        <v>-2.6563929282786437E-2</v>
      </c>
      <c r="CJ25" s="27">
        <f>IF(ISNUMBER(CJ24),CJ24*(1+PortfolioFrontier[[#This Row],[P22 Return]]),1+PortfolioFrontier[[#This Row],[P22 Return]])</f>
        <v>1.1366144692705349</v>
      </c>
      <c r="CK25" s="27">
        <f>MAX(CK24,PortfolioFrontier[[#This Row],[P22 Growth]])</f>
        <v>1.1676313457678775</v>
      </c>
      <c r="CL25" s="27">
        <f>PortfolioFrontier[[#This Row],[P22 Growth]]/PortfolioFrontier[[#This Row],[P22 HWM]]-1</f>
        <v>-2.6563929282786392E-2</v>
      </c>
      <c r="CM25" s="28">
        <f>SUMPRODUCT(INDEX(PortfolioRef[[SPY]:[PE]],MATCH(CM$1,PortfolioRef[Reference '#]),0),AssetMonthlyReturns[[#This Row],[SPY]:[PE]])</f>
        <v>-3.361460487585731E-2</v>
      </c>
      <c r="CN25" s="27">
        <f>IF(ISNUMBER(CN24),CN24*(1+PortfolioFrontier[[#This Row],[P23 Return]]),1+PortfolioFrontier[[#This Row],[P23 Return]])</f>
        <v>1.1323318374041247</v>
      </c>
      <c r="CO25" s="27">
        <f>MAX(CO24,PortfolioFrontier[[#This Row],[P23 Growth]])</f>
        <v>1.1717186984791552</v>
      </c>
      <c r="CP25" s="27">
        <f>PortfolioFrontier[[#This Row],[P23 Growth]]/PortfolioFrontier[[#This Row],[P23 HWM]]-1</f>
        <v>-3.3614604875857212E-2</v>
      </c>
      <c r="CQ25" s="28">
        <f>SUMPRODUCT(INDEX(PortfolioRef[[SPY]:[PE]],MATCH(CQ$1,PortfolioRef[Reference '#]),0),AssetMonthlyReturns[[#This Row],[SPY]:[PE]])</f>
        <v>-2.936480825005568E-2</v>
      </c>
      <c r="CR25" s="27">
        <f>IF(ISNUMBER(CR24),CR24*(1+PortfolioFrontier[[#This Row],[P24 Return]]),1+PortfolioFrontier[[#This Row],[P24 Return]])</f>
        <v>1.1339791270082851</v>
      </c>
      <c r="CS25" s="27">
        <f>MAX(CS24,PortfolioFrontier[[#This Row],[P24 Growth]])</f>
        <v>1.1682856099250332</v>
      </c>
      <c r="CT25" s="27">
        <f>PortfolioFrontier[[#This Row],[P24 Growth]]/PortfolioFrontier[[#This Row],[P24 HWM]]-1</f>
        <v>-2.9364808250055829E-2</v>
      </c>
      <c r="CU25" s="28">
        <f>SUMPRODUCT(INDEX(PortfolioRef[[SPY]:[PE]],MATCH(CU$1,PortfolioRef[Reference '#]),0),AssetMonthlyReturns[[#This Row],[SPY]:[PE]])</f>
        <v>-2.5115011624254058E-2</v>
      </c>
      <c r="CV25" s="27">
        <f>IF(ISNUMBER(CV24),CV24*(1+PortfolioFrontier[[#This Row],[P25 Return]]),1+PortfolioFrontier[[#This Row],[P25 Return]])</f>
        <v>1.135541840484964</v>
      </c>
      <c r="CW25" s="27">
        <f>MAX(CW24,PortfolioFrontier[[#This Row],[P25 Growth]])</f>
        <v>1.1647956979796028</v>
      </c>
      <c r="CX25" s="27">
        <f>PortfolioFrontier[[#This Row],[P25 Growth]]/PortfolioFrontier[[#This Row],[P25 HWM]]-1</f>
        <v>-2.5115011624254002E-2</v>
      </c>
      <c r="CY25" s="28">
        <f>SUMPRODUCT(INDEX(PortfolioRef[[SPY]:[PE]],MATCH(CY$1,PortfolioRef[Reference '#]),0),AssetMonthlyReturns[[#This Row],[SPY]:[PE]])</f>
        <v>-3.1236532671106116E-2</v>
      </c>
      <c r="CZ25" s="27">
        <f>IF(ISNUMBER(CZ24),CZ24*(1+PortfolioFrontier[[#This Row],[P26 Return]]),1+PortfolioFrontier[[#This Row],[P26 Return]])</f>
        <v>1.1357920311450644</v>
      </c>
      <c r="DA25" s="27">
        <f>MAX(DA24,PortfolioFrontier[[#This Row],[P26 Growth]])</f>
        <v>1.1724141851433634</v>
      </c>
      <c r="DB25" s="27">
        <f>PortfolioFrontier[[#This Row],[P26 Growth]]/PortfolioFrontier[[#This Row],[P26 HWM]]-1</f>
        <v>-3.1236532671106154E-2</v>
      </c>
      <c r="DC25" s="28">
        <f>SUMPRODUCT(INDEX(PortfolioRef[[SPY]:[PE]],MATCH(DC$1,PortfolioRef[Reference '#]),0),AssetMonthlyReturns[[#This Row],[SPY]:[PE]])</f>
        <v>-2.6986736045304497E-2</v>
      </c>
      <c r="DD25" s="27">
        <f>IF(ISNUMBER(DD24),DD24*(1+PortfolioFrontier[[#This Row],[P27 Return]]),1+PortfolioFrontier[[#This Row],[P27 Return]])</f>
        <v>1.1374531065318809</v>
      </c>
      <c r="DE25" s="27">
        <f>MAX(DE24,PortfolioFrontier[[#This Row],[P27 Growth]])</f>
        <v>1.1690006176368444</v>
      </c>
      <c r="DF25" s="27">
        <f>PortfolioFrontier[[#This Row],[P27 Growth]]/PortfolioFrontier[[#This Row],[P27 HWM]]-1</f>
        <v>-2.6986736045304549E-2</v>
      </c>
      <c r="DG25" s="28">
        <f>SUMPRODUCT(INDEX(PortfolioRef[[SPY]:[PE]],MATCH(DG$1,PortfolioRef[Reference '#]),0),AssetMonthlyReturns[[#This Row],[SPY]:[PE]])</f>
        <v>-3.4037411638375363E-2</v>
      </c>
      <c r="DH25" s="27">
        <f>IF(ISNUMBER(DH24),DH24*(1+PortfolioFrontier[[#This Row],[P28 Return]]),1+PortfolioFrontier[[#This Row],[P28 Return]])</f>
        <v>1.1331863023094262</v>
      </c>
      <c r="DI25" s="27">
        <f>MAX(DI24,PortfolioFrontier[[#This Row],[P28 Growth]])</f>
        <v>1.1731161392403724</v>
      </c>
      <c r="DJ25" s="27">
        <f>PortfolioFrontier[[#This Row],[P28 Growth]]/PortfolioFrontier[[#This Row],[P28 HWM]]-1</f>
        <v>-3.403741163837537E-2</v>
      </c>
      <c r="DK25" s="28">
        <f>SUMPRODUCT(INDEX(PortfolioRef[[SPY]:[PE]],MATCH(DK$1,PortfolioRef[Reference '#]),0),AssetMonthlyReturns[[#This Row],[SPY]:[PE]])</f>
        <v>-2.9787615012573737E-2</v>
      </c>
      <c r="DL25" s="27">
        <f>IF(ISNUMBER(DL24),DL24*(1+PortfolioFrontier[[#This Row],[P29 Return]]),1+PortfolioFrontier[[#This Row],[P29 Return]])</f>
        <v>1.1348662733499095</v>
      </c>
      <c r="DM25" s="27">
        <f>MAX(DM24,PortfolioFrontier[[#This Row],[P29 Growth]])</f>
        <v>1.1697091182407624</v>
      </c>
      <c r="DN25" s="27">
        <f>PortfolioFrontier[[#This Row],[P29 Growth]]/PortfolioFrontier[[#This Row],[P29 HWM]]-1</f>
        <v>-2.9787615012573654E-2</v>
      </c>
      <c r="DO25" s="28">
        <f>SUMPRODUCT(INDEX(PortfolioRef[[SPY]:[PE]],MATCH(DO$1,PortfolioRef[Reference '#]),0),AssetMonthlyReturns[[#This Row],[SPY]:[PE]])</f>
        <v>-2.5537818386772115E-2</v>
      </c>
      <c r="DP25" s="27">
        <f>IF(ISNUMBER(DP24),DP24*(1+PortfolioFrontier[[#This Row],[P30 Return]]),1+PortfolioFrontier[[#This Row],[P30 Return]])</f>
        <v>1.1364616965666958</v>
      </c>
      <c r="DQ25" s="27">
        <f>MAX(DQ24,PortfolioFrontier[[#This Row],[P30 Growth]])</f>
        <v>1.1662450508702933</v>
      </c>
      <c r="DR25" s="27">
        <f>PortfolioFrontier[[#This Row],[P30 Growth]]/PortfolioFrontier[[#This Row],[P30 HWM]]-1</f>
        <v>-2.553781838677216E-2</v>
      </c>
      <c r="DS25" s="28">
        <f>SUMPRODUCT(INDEX(PortfolioRef[[SPY]:[PE]],MATCH(DS$1,PortfolioRef[Reference '#]),0),AssetMonthlyReturns[[#This Row],[SPY]:[PE]])</f>
        <v>-3.6838290605644607E-2</v>
      </c>
      <c r="DT25" s="27">
        <f>IF(ISNUMBER(DT24),DT24*(1+PortfolioFrontier[[#This Row],[P31 Return]]),1+PortfolioFrontier[[#This Row],[P31 Return]])</f>
        <v>1.1304978286699336</v>
      </c>
      <c r="DU25" s="27">
        <f>MAX(DU24,PortfolioFrontier[[#This Row],[P31 Growth]])</f>
        <v>1.1737362663438942</v>
      </c>
      <c r="DV25" s="27">
        <f>PortfolioFrontier[[#This Row],[P31 Growth]]/PortfolioFrontier[[#This Row],[P31 HWM]]-1</f>
        <v>-3.6838290605644475E-2</v>
      </c>
      <c r="DW25" s="28">
        <f>SUMPRODUCT(INDEX(PortfolioRef[[SPY]:[PE]],MATCH(DW$1,PortfolioRef[Reference '#]),0),AssetMonthlyReturns[[#This Row],[SPY]:[PE]])</f>
        <v>-3.2588493979842981E-2</v>
      </c>
      <c r="DX25" s="27">
        <f>IF(ISNUMBER(DX24),DX24*(1+PortfolioFrontier[[#This Row],[P32 Return]]),1+PortfolioFrontier[[#This Row],[P32 Return]])</f>
        <v>1.1321965165755807</v>
      </c>
      <c r="DY25" s="27">
        <f>MAX(DY24,PortfolioFrontier[[#This Row],[P32 Growth]])</f>
        <v>1.1703360044096791</v>
      </c>
      <c r="DZ25" s="27">
        <f>PortfolioFrontier[[#This Row],[P32 Growth]]/PortfolioFrontier[[#This Row],[P32 HWM]]-1</f>
        <v>-3.2588493979842981E-2</v>
      </c>
      <c r="EA25" s="28">
        <f>SUMPRODUCT(INDEX(PortfolioRef[[SPY]:[PE]],MATCH(EA$1,PortfolioRef[Reference '#]),0),AssetMonthlyReturns[[#This Row],[SPY]:[PE]])</f>
        <v>-2.8338697354041358E-2</v>
      </c>
      <c r="EB25" s="27">
        <f>IF(ISNUMBER(EB24),EB24*(1+PortfolioFrontier[[#This Row],[P33 Return]]),1+PortfolioFrontier[[#This Row],[P33 Return]])</f>
        <v>1.1338107615139961</v>
      </c>
      <c r="EC25" s="27">
        <f>MAX(EC24,PortfolioFrontier[[#This Row],[P33 Growth]])</f>
        <v>1.1668785804544068</v>
      </c>
      <c r="ED25" s="27">
        <f>PortfolioFrontier[[#This Row],[P33 Growth]]/PortfolioFrontier[[#This Row],[P33 HWM]]-1</f>
        <v>-2.8338697354041265E-2</v>
      </c>
      <c r="EE25" s="28">
        <f>SUMPRODUCT(INDEX(PortfolioRef[[SPY]:[PE]],MATCH(EE$1,PortfolioRef[Reference '#]),0),AssetMonthlyReturns[[#This Row],[SPY]:[PE]])</f>
        <v>-2.5964395461030215E-2</v>
      </c>
      <c r="EF25" s="27">
        <f>IF(ISNUMBER(EF24),EF24*(1+PortfolioFrontier[[#This Row],[P34 Return]]),1+PortfolioFrontier[[#This Row],[P34 Return]])</f>
        <v>1.1185522982304688</v>
      </c>
      <c r="EG25" s="27">
        <f>MAX(EG24,PortfolioFrontier[[#This Row],[P34 Growth]])</f>
        <v>1.1483690052171158</v>
      </c>
      <c r="EH25" s="27">
        <f>PortfolioFrontier[[#This Row],[P34 Growth]]/PortfolioFrontier[[#This Row],[P34 HWM]]-1</f>
        <v>-2.5964395461030243E-2</v>
      </c>
      <c r="EI25" s="28">
        <f>SUMPRODUCT(INDEX(PortfolioRef[[SPY]:[PE]],MATCH(EI$1,PortfolioRef[Reference '#]),0),AssetMonthlyReturns[[#This Row],[SPY]:[PE]])</f>
        <v>-2.6387202223548272E-2</v>
      </c>
      <c r="EJ25" s="27">
        <f>IF(ISNUMBER(EJ24),EJ24*(1+PortfolioFrontier[[#This Row],[P35 Return]]),1+PortfolioFrontier[[#This Row],[P35 Return]])</f>
        <v>1.119413852559789</v>
      </c>
      <c r="EK25" s="27">
        <f>MAX(EK24,PortfolioFrontier[[#This Row],[P35 Growth]])</f>
        <v>1.1497526071106701</v>
      </c>
      <c r="EL25" s="27">
        <f>PortfolioFrontier[[#This Row],[P35 Growth]]/PortfolioFrontier[[#This Row],[P35 HWM]]-1</f>
        <v>-2.6387202223548289E-2</v>
      </c>
      <c r="EM25" s="28">
        <f>SUMPRODUCT(INDEX(PortfolioRef[[SPY]:[PE]],MATCH(EM$1,PortfolioRef[Reference '#]),0),AssetMonthlyReturns[[#This Row],[SPY]:[PE]])</f>
        <v>-2.9188081190817516E-2</v>
      </c>
      <c r="EN25" s="27">
        <f>IF(ISNUMBER(EN24),EN24*(1+PortfolioFrontier[[#This Row],[P36 Return]]),1+PortfolioFrontier[[#This Row],[P36 Return]])</f>
        <v>1.1168527018418255</v>
      </c>
      <c r="EO25" s="27">
        <f>MAX(EO24,PortfolioFrontier[[#This Row],[P36 Growth]])</f>
        <v>1.1504315925702473</v>
      </c>
      <c r="EP25" s="27">
        <f>PortfolioFrontier[[#This Row],[P36 Growth]]/PortfolioFrontier[[#This Row],[P36 HWM]]-1</f>
        <v>-2.9188081190817394E-2</v>
      </c>
      <c r="EQ25" s="28">
        <f>SUMPRODUCT(INDEX(PortfolioRef[[SPY]:[PE]],MATCH(EQ$1,PortfolioRef[Reference '#]),0),AssetMonthlyReturns[[#This Row],[SPY]:[PE]])</f>
        <v>-2.4938284565015897E-2</v>
      </c>
      <c r="ER25" s="27">
        <f>IF(ISNUMBER(ER24),ER24*(1+PortfolioFrontier[[#This Row],[P37 Return]]),1+PortfolioFrontier[[#This Row],[P37 Return]])</f>
        <v>1.1184163135642879</v>
      </c>
      <c r="ES25" s="27">
        <f>MAX(ES24,PortfolioFrontier[[#This Row],[P37 Growth]])</f>
        <v>1.1470210509345575</v>
      </c>
      <c r="ET25" s="27">
        <f>PortfolioFrontier[[#This Row],[P37 Growth]]/PortfolioFrontier[[#This Row],[P37 HWM]]-1</f>
        <v>-2.49382845650159E-2</v>
      </c>
      <c r="EU25" s="28">
        <f>SUMPRODUCT(INDEX(PortfolioRef[[SPY]:[PE]],MATCH(EU$1,PortfolioRef[Reference '#]),0),AssetMonthlyReturns[[#This Row],[SPY]:[PE]])</f>
        <v>-2.6810008986066329E-2</v>
      </c>
      <c r="EV25" s="27">
        <f>IF(ISNUMBER(EV24),EV24*(1+PortfolioFrontier[[#This Row],[P38 Return]]),1+PortfolioFrontier[[#This Row],[P38 Return]])</f>
        <v>1.1202151111839045</v>
      </c>
      <c r="EW25" s="27">
        <f>MAX(EW24,PortfolioFrontier[[#This Row],[P38 Growth]])</f>
        <v>1.1510754544616619</v>
      </c>
      <c r="EX25" s="27">
        <f>PortfolioFrontier[[#This Row],[P38 Growth]]/PortfolioFrontier[[#This Row],[P38 HWM]]-1</f>
        <v>-2.6810008986066225E-2</v>
      </c>
      <c r="EY25" s="28">
        <f>SUMPRODUCT(INDEX(PortfolioRef[[SPY]:[PE]],MATCH(EY$1,PortfolioRef[Reference '#]),0),AssetMonthlyReturns[[#This Row],[SPY]:[PE]])</f>
        <v>-2.9610887953335569E-2</v>
      </c>
      <c r="EZ25" s="27">
        <f>IF(ISNUMBER(EZ24),EZ24*(1+PortfolioFrontier[[#This Row],[P39 Return]]),1+PortfolioFrontier[[#This Row],[P39 Return]])</f>
        <v>1.1177019586317276</v>
      </c>
      <c r="FA25" s="27">
        <f>MAX(FA24,PortfolioFrontier[[#This Row],[P39 Growth]])</f>
        <v>1.1518080167597544</v>
      </c>
      <c r="FB25" s="27">
        <f>PortfolioFrontier[[#This Row],[P39 Growth]]/PortfolioFrontier[[#This Row],[P39 HWM]]-1</f>
        <v>-2.9610887953335663E-2</v>
      </c>
      <c r="FC25" s="28">
        <f>SUMPRODUCT(INDEX(PortfolioRef[[SPY]:[PE]],MATCH(FC$1,PortfolioRef[Reference '#]),0),AssetMonthlyReturns[[#This Row],[SPY]:[PE]])</f>
        <v>-2.536109132753395E-2</v>
      </c>
      <c r="FD25" s="27">
        <f>IF(ISNUMBER(FD24),FD24*(1+PortfolioFrontier[[#This Row],[P40 Return]]),1+PortfolioFrontier[[#This Row],[P40 Return]])</f>
        <v>1.1192977654875995</v>
      </c>
      <c r="FE25" s="27">
        <f>MAX(FE24,PortfolioFrontier[[#This Row],[P40 Growth]])</f>
        <v>1.1484230267516922</v>
      </c>
      <c r="FF25" s="27">
        <f>PortfolioFrontier[[#This Row],[P40 Growth]]/PortfolioFrontier[[#This Row],[P40 HWM]]-1</f>
        <v>-2.5361091327533947E-2</v>
      </c>
      <c r="FG25" s="28">
        <f>SUMPRODUCT(INDEX(PortfolioRef[[SPY]:[PE]],MATCH(FG$1,PortfolioRef[Reference '#]),0),AssetMonthlyReturns[[#This Row],[SPY]:[PE]])</f>
        <v>-3.2411766920604823E-2</v>
      </c>
      <c r="FH25" s="27">
        <f>IF(ISNUMBER(FH24),FH24*(1+PortfolioFrontier[[#This Row],[P41 Return]]),1+PortfolioFrontier[[#This Row],[P41 Return]])</f>
        <v>1.1151067637972076</v>
      </c>
      <c r="FI25" s="27">
        <f>MAX(FI24,PortfolioFrontier[[#This Row],[P41 Growth]])</f>
        <v>1.1524600296639902</v>
      </c>
      <c r="FJ25" s="27">
        <f>PortfolioFrontier[[#This Row],[P41 Growth]]/PortfolioFrontier[[#This Row],[P41 HWM]]-1</f>
        <v>-3.2411766920604768E-2</v>
      </c>
      <c r="FK25" s="28">
        <f>SUMPRODUCT(INDEX(PortfolioRef[[SPY]:[PE]],MATCH(FK$1,PortfolioRef[Reference '#]),0),AssetMonthlyReturns[[#This Row],[SPY]:[PE]])</f>
        <v>-2.8161970294803194E-2</v>
      </c>
      <c r="FL25" s="27">
        <f>IF(ISNUMBER(FL24),FL24*(1+PortfolioFrontier[[#This Row],[P42 Return]]),1+PortfolioFrontier[[#This Row],[P42 Return]])</f>
        <v>1.1167211432437392</v>
      </c>
      <c r="FM25" s="27">
        <f>MAX(FM24,PortfolioFrontier[[#This Row],[P42 Growth]])</f>
        <v>1.1490815435391966</v>
      </c>
      <c r="FN25" s="27">
        <f>PortfolioFrontier[[#This Row],[P42 Growth]]/PortfolioFrontier[[#This Row],[P42 HWM]]-1</f>
        <v>-2.8161970294803162E-2</v>
      </c>
      <c r="FO25" s="28">
        <f>SUMPRODUCT(INDEX(PortfolioRef[[SPY]:[PE]],MATCH(FO$1,PortfolioRef[Reference '#]),0),AssetMonthlyReturns[[#This Row],[SPY]:[PE]])</f>
        <v>-2.3912173669001571E-2</v>
      </c>
      <c r="FP25" s="27">
        <f>IF(ISNUMBER(FP24),FP24*(1+PortfolioFrontier[[#This Row],[P43 Return]]),1+PortfolioFrontier[[#This Row],[P43 Return]])</f>
        <v>1.1182522016828236</v>
      </c>
      <c r="FQ25" s="27">
        <f>MAX(FQ24,PortfolioFrontier[[#This Row],[P43 Growth]])</f>
        <v>1.1456471144468676</v>
      </c>
      <c r="FR25" s="27">
        <f>PortfolioFrontier[[#This Row],[P43 Growth]]/PortfolioFrontier[[#This Row],[P43 HWM]]-1</f>
        <v>-2.3912173669001557E-2</v>
      </c>
      <c r="FS25" s="28">
        <f>SUMPRODUCT(INDEX(PortfolioRef[[SPY]:[PE]],MATCH(FS$1,PortfolioRef[Reference '#]),0),AssetMonthlyReturns[[#This Row],[SPY]:[PE]])</f>
        <v>-3.003369471585363E-2</v>
      </c>
      <c r="FT25" s="27">
        <f>IF(ISNUMBER(FT24),FT24*(1+PortfolioFrontier[[#This Row],[P44 Return]]),1+PortfolioFrontier[[#This Row],[P44 Return]])</f>
        <v>1.118491070724881</v>
      </c>
      <c r="FU25" s="27">
        <f>MAX(FU24,PortfolioFrontier[[#This Row],[P44 Growth]])</f>
        <v>1.153123633915536</v>
      </c>
      <c r="FV25" s="27">
        <f>PortfolioFrontier[[#This Row],[P44 Growth]]/PortfolioFrontier[[#This Row],[P44 HWM]]-1</f>
        <v>-3.0033694715853709E-2</v>
      </c>
      <c r="FW25" s="28">
        <f>SUMPRODUCT(INDEX(PortfolioRef[[SPY]:[PE]],MATCH(FW$1,PortfolioRef[Reference '#]),0),AssetMonthlyReturns[[#This Row],[SPY]:[PE]])</f>
        <v>-2.5783898090052011E-2</v>
      </c>
      <c r="FX25" s="27">
        <f>IF(ISNUMBER(FX24),FX24*(1+PortfolioFrontier[[#This Row],[P45 Return]]),1+PortfolioFrontier[[#This Row],[P45 Return]])</f>
        <v>1.1201189629031203</v>
      </c>
      <c r="FY25" s="27">
        <f>MAX(FY24,PortfolioFrontier[[#This Row],[P45 Growth]])</f>
        <v>1.1497643702533042</v>
      </c>
      <c r="FZ25" s="27">
        <f>PortfolioFrontier[[#This Row],[P45 Growth]]/PortfolioFrontier[[#This Row],[P45 HWM]]-1</f>
        <v>-2.5783898090051993E-2</v>
      </c>
      <c r="GA25" s="28">
        <f>SUMPRODUCT(INDEX(PortfolioRef[[SPY]:[PE]],MATCH(GA$1,PortfolioRef[Reference '#]),0),AssetMonthlyReturns[[#This Row],[SPY]:[PE]])</f>
        <v>-3.2834573683122883E-2</v>
      </c>
      <c r="GB25" s="27">
        <f>IF(ISNUMBER(GB24),GB24*(1+PortfolioFrontier[[#This Row],[P46 Return]]),1+PortfolioFrontier[[#This Row],[P46 Return]])</f>
        <v>1.1159437305162816</v>
      </c>
      <c r="GC25" s="27">
        <f>MAX(GC24,PortfolioFrontier[[#This Row],[P46 Growth]])</f>
        <v>1.153829221094034</v>
      </c>
      <c r="GD25" s="27">
        <f>PortfolioFrontier[[#This Row],[P46 Growth]]/PortfolioFrontier[[#This Row],[P46 HWM]]-1</f>
        <v>-3.2834573683122925E-2</v>
      </c>
      <c r="GE25" s="28">
        <f>SUMPRODUCT(INDEX(PortfolioRef[[SPY]:[PE]],MATCH(GE$1,PortfolioRef[Reference '#]),0),AssetMonthlyReturns[[#This Row],[SPY]:[PE]])</f>
        <v>-2.8584777057321254E-2</v>
      </c>
      <c r="GF25" s="27">
        <f>IF(ISNUMBER(GF24),GF24*(1+PortfolioFrontier[[#This Row],[P47 Return]]),1+PortfolioFrontier[[#This Row],[P47 Return]])</f>
        <v>1.1175902740262971</v>
      </c>
      <c r="GG25" s="27">
        <f>MAX(GG24,PortfolioFrontier[[#This Row],[P47 Growth]])</f>
        <v>1.1504763850012711</v>
      </c>
      <c r="GH25" s="27">
        <f>PortfolioFrontier[[#This Row],[P47 Growth]]/PortfolioFrontier[[#This Row],[P47 HWM]]-1</f>
        <v>-2.8584777057321098E-2</v>
      </c>
      <c r="GI25" s="28">
        <f>SUMPRODUCT(INDEX(PortfolioRef[[SPY]:[PE]],MATCH(GI$1,PortfolioRef[Reference '#]),0),AssetMonthlyReturns[[#This Row],[SPY]:[PE]])</f>
        <v>-2.4334980431519632E-2</v>
      </c>
      <c r="GJ25" s="27">
        <f>IF(ISNUMBER(GJ24),GJ24*(1+PortfolioFrontier[[#This Row],[P48 Return]]),1+PortfolioFrontier[[#This Row],[P48 Return]])</f>
        <v>1.119153524278228</v>
      </c>
      <c r="GK25" s="27">
        <f>MAX(GK24,PortfolioFrontier[[#This Row],[P48 Growth]])</f>
        <v>1.1470673866868877</v>
      </c>
      <c r="GL25" s="27">
        <f>PortfolioFrontier[[#This Row],[P48 Growth]]/PortfolioFrontier[[#This Row],[P48 HWM]]-1</f>
        <v>-2.4334980431519493E-2</v>
      </c>
      <c r="GM25" s="28">
        <f>SUMPRODUCT(INDEX(PortfolioRef[[SPY]:[PE]],MATCH(GM$1,PortfolioRef[Reference '#]),0),AssetMonthlyReturns[[#This Row],[SPY]:[PE]])</f>
        <v>-3.563545265039212E-2</v>
      </c>
      <c r="GN25" s="27">
        <f>IF(ISNUMBER(GN24),GN24*(1+PortfolioFrontier[[#This Row],[P49 Return]]),1+PortfolioFrontier[[#This Row],[P49 Return]])</f>
        <v>1.1133146404808676</v>
      </c>
      <c r="GO25" s="27">
        <f>MAX(GO24,PortfolioFrontier[[#This Row],[P49 Growth]])</f>
        <v>1.154454136188046</v>
      </c>
      <c r="GP25" s="27">
        <f>PortfolioFrontier[[#This Row],[P49 Growth]]/PortfolioFrontier[[#This Row],[P49 HWM]]-1</f>
        <v>-3.5635452650392141E-2</v>
      </c>
      <c r="GQ25" s="28">
        <f>SUMPRODUCT(INDEX(PortfolioRef[[SPY]:[PE]],MATCH(GQ$1,PortfolioRef[Reference '#]),0),AssetMonthlyReturns[[#This Row],[SPY]:[PE]])</f>
        <v>-3.1385656024590494E-2</v>
      </c>
      <c r="GR25" s="27">
        <f>IF(ISNUMBER(GR24),GR24*(1+PortfolioFrontier[[#This Row],[P50 Return]]),1+PortfolioFrontier[[#This Row],[P50 Return]])</f>
        <v>1.1149796601555639</v>
      </c>
      <c r="GS25" s="27">
        <f>MAX(GS24,PortfolioFrontier[[#This Row],[P50 Growth]])</f>
        <v>1.1511079379430191</v>
      </c>
      <c r="GT25" s="27">
        <f>PortfolioFrontier[[#This Row],[P50 Growth]]/PortfolioFrontier[[#This Row],[P50 HWM]]-1</f>
        <v>-3.1385656024590425E-2</v>
      </c>
      <c r="GU25" s="28">
        <f>SUMPRODUCT(INDEX(PortfolioRef[[SPY]:[PE]],MATCH(GU$1,PortfolioRef[Reference '#]),0),AssetMonthlyReturns[[#This Row],[SPY]:[PE]])</f>
        <v>-2.7135859398788872E-2</v>
      </c>
      <c r="GV25" s="27">
        <f>IF(ISNUMBER(GV24),GV24*(1+PortfolioFrontier[[#This Row],[P51 Return]]),1+PortfolioFrontier[[#This Row],[P51 Return]])</f>
        <v>1.1165614888503479</v>
      </c>
      <c r="GW25" s="27">
        <f>MAX(GW24,PortfolioFrontier[[#This Row],[P51 Growth]])</f>
        <v>1.1477054629234607</v>
      </c>
      <c r="GX25" s="27">
        <f>PortfolioFrontier[[#This Row],[P51 Growth]]/PortfolioFrontier[[#This Row],[P51 HWM]]-1</f>
        <v>-2.7135859398788709E-2</v>
      </c>
      <c r="GY25" s="28">
        <f>SUMPRODUCT(INDEX(PortfolioRef[[SPY]:[PE]],MATCH(GY$1,PortfolioRef[Reference '#]),0),AssetMonthlyReturns[[#This Row],[SPY]:[PE]])</f>
        <v>-3.3257380445640937E-2</v>
      </c>
      <c r="GZ25" s="27">
        <f>IF(ISNUMBER(GZ24),GZ24*(1+PortfolioFrontier[[#This Row],[P52 Return]]),1+PortfolioFrontier[[#This Row],[P52 Return]])</f>
        <v>1.1167207054694728</v>
      </c>
      <c r="HA25" s="27">
        <f>MAX(HA24,PortfolioFrontier[[#This Row],[P52 Growth]])</f>
        <v>1.1551375545895033</v>
      </c>
      <c r="HB25" s="27">
        <f>PortfolioFrontier[[#This Row],[P52 Growth]]/PortfolioFrontier[[#This Row],[P52 HWM]]-1</f>
        <v>-3.3257380445640972E-2</v>
      </c>
      <c r="HC25" s="28">
        <f>SUMPRODUCT(INDEX(PortfolioRef[[SPY]:[PE]],MATCH(HC$1,PortfolioRef[Reference '#]),0),AssetMonthlyReturns[[#This Row],[SPY]:[PE]])</f>
        <v>-2.9007583819839311E-2</v>
      </c>
      <c r="HD25" s="27">
        <f>IF(ISNUMBER(HD24),HD24*(1+PortfolioFrontier[[#This Row],[P53 Return]]),1+PortfolioFrontier[[#This Row],[P53 Return]])</f>
        <v>1.1183993007953839</v>
      </c>
      <c r="HE25" s="27">
        <f>MAX(HE24,PortfolioFrontier[[#This Row],[P53 Growth]])</f>
        <v>1.1518105416261799</v>
      </c>
      <c r="HF25" s="27">
        <f>PortfolioFrontier[[#This Row],[P53 Growth]]/PortfolioFrontier[[#This Row],[P53 HWM]]-1</f>
        <v>-2.9007583819839367E-2</v>
      </c>
      <c r="HG25" s="28">
        <f>SUMPRODUCT(INDEX(PortfolioRef[[SPY]:[PE]],MATCH(HG$1,PortfolioRef[Reference '#]),0),AssetMonthlyReturns[[#This Row],[SPY]:[PE]])</f>
        <v>-2.4757787194037689E-2</v>
      </c>
      <c r="HH25" s="27">
        <f>IF(ISNUMBER(HH24),HH24*(1+PortfolioFrontier[[#This Row],[P54 Return]]),1+PortfolioFrontier[[#This Row],[P54 Return]])</f>
        <v>1.1199946354497794</v>
      </c>
      <c r="HI25" s="27">
        <f>MAX(HI24,PortfolioFrontier[[#This Row],[P54 Growth]])</f>
        <v>1.1484271504484369</v>
      </c>
      <c r="HJ25" s="27">
        <f>PortfolioFrontier[[#This Row],[P54 Growth]]/PortfolioFrontier[[#This Row],[P54 HWM]]-1</f>
        <v>-2.475778719403765E-2</v>
      </c>
      <c r="HK25" s="28">
        <f>SUMPRODUCT(INDEX(PortfolioRef[[SPY]:[PE]],MATCH(HK$1,PortfolioRef[Reference '#]),0),AssetMonthlyReturns[[#This Row],[SPY]:[PE]])</f>
        <v>-3.6058259412910174E-2</v>
      </c>
      <c r="HL25" s="27">
        <f>IF(ISNUMBER(HL24),HL24*(1+PortfolioFrontier[[#This Row],[P55 Return]]),1+PortfolioFrontier[[#This Row],[P55 Return]])</f>
        <v>1.1141393255883827</v>
      </c>
      <c r="HM25" s="27">
        <f>MAX(HM24,PortfolioFrontier[[#This Row],[P55 Growth]])</f>
        <v>1.1558160401994988</v>
      </c>
      <c r="HN25" s="27">
        <f>PortfolioFrontier[[#This Row],[P55 Growth]]/PortfolioFrontier[[#This Row],[P55 HWM]]-1</f>
        <v>-3.6058259412910187E-2</v>
      </c>
      <c r="HO25" s="28">
        <f>SUMPRODUCT(INDEX(PortfolioRef[[SPY]:[PE]],MATCH(HO$1,PortfolioRef[Reference '#]),0),AssetMonthlyReturns[[#This Row],[SPY]:[PE]])</f>
        <v>-3.1808462787108555E-2</v>
      </c>
      <c r="HP25" s="27">
        <f>IF(ISNUMBER(HP24),HP24*(1+PortfolioFrontier[[#This Row],[P56 Return]]),1+PortfolioFrontier[[#This Row],[P56 Return]])</f>
        <v>1.1158364765757207</v>
      </c>
      <c r="HQ25" s="27">
        <f>MAX(HQ24,PortfolioFrontier[[#This Row],[P56 Growth]])</f>
        <v>1.1524955896514557</v>
      </c>
      <c r="HR25" s="27">
        <f>PortfolioFrontier[[#This Row],[P56 Growth]]/PortfolioFrontier[[#This Row],[P56 HWM]]-1</f>
        <v>-3.1808462787108471E-2</v>
      </c>
      <c r="HS25" s="28">
        <f>SUMPRODUCT(INDEX(PortfolioRef[[SPY]:[PE]],MATCH(HS$1,PortfolioRef[Reference '#]),0),AssetMonthlyReturns[[#This Row],[SPY]:[PE]])</f>
        <v>-2.7558666161306929E-2</v>
      </c>
      <c r="HT25" s="27">
        <f>IF(ISNUMBER(HT24),HT24*(1+PortfolioFrontier[[#This Row],[P57 Return]]),1+PortfolioFrontier[[#This Row],[P57 Return]])</f>
        <v>1.1174504670155898</v>
      </c>
      <c r="HU25" s="27">
        <f>MAX(HU24,PortfolioFrontier[[#This Row],[P57 Growth]])</f>
        <v>1.1491186441083043</v>
      </c>
      <c r="HV25" s="27">
        <f>PortfolioFrontier[[#This Row],[P57 Growth]]/PortfolioFrontier[[#This Row],[P57 HWM]]-1</f>
        <v>-2.7558666161306977E-2</v>
      </c>
      <c r="HW25" s="28">
        <f>SUMPRODUCT(INDEX(PortfolioRef[[SPY]:[PE]],MATCH(HW$1,PortfolioRef[Reference '#]),0),AssetMonthlyReturns[[#This Row],[SPY]:[PE]])</f>
        <v>-3.8859138380179417E-2</v>
      </c>
      <c r="HX25" s="27">
        <f>IF(ISNUMBER(HX24),HX24*(1+PortfolioFrontier[[#This Row],[P58 Return]]),1+PortfolioFrontier[[#This Row],[P58 Return]])</f>
        <v>1.1114764929598127</v>
      </c>
      <c r="HY25" s="27">
        <f>MAX(HY24,PortfolioFrontier[[#This Row],[P58 Growth]])</f>
        <v>1.1564137342851388</v>
      </c>
      <c r="HZ25" s="27">
        <f>PortfolioFrontier[[#This Row],[P58 Growth]]/PortfolioFrontier[[#This Row],[P58 HWM]]-1</f>
        <v>-3.8859138380179403E-2</v>
      </c>
      <c r="IA25" s="28">
        <f>SUMPRODUCT(INDEX(PortfolioRef[[SPY]:[PE]],MATCH(IA$1,PortfolioRef[Reference '#]),0),AssetMonthlyReturns[[#This Row],[SPY]:[PE]])</f>
        <v>-3.4609341754377798E-2</v>
      </c>
      <c r="IB25" s="27">
        <f>IF(ISNUMBER(IB24),IB24*(1+PortfolioFrontier[[#This Row],[P59 Return]]),1+PortfolioFrontier[[#This Row],[P59 Return]])</f>
        <v>1.1131920202701517</v>
      </c>
      <c r="IC25" s="27">
        <f>MAX(IC24,PortfolioFrontier[[#This Row],[P59 Growth]])</f>
        <v>1.1531000541201888</v>
      </c>
      <c r="ID25" s="27">
        <f>PortfolioFrontier[[#This Row],[P59 Growth]]/PortfolioFrontier[[#This Row],[P59 HWM]]-1</f>
        <v>-3.4609341754377687E-2</v>
      </c>
      <c r="IE25" s="28">
        <f>SUMPRODUCT(INDEX(PortfolioRef[[SPY]:[PE]],MATCH(IE$1,PortfolioRef[Reference '#]),0),AssetMonthlyReturns[[#This Row],[SPY]:[PE]])</f>
        <v>-3.0359545128576172E-2</v>
      </c>
      <c r="IF25" s="27">
        <f>IF(ISNUMBER(IF24),IF24*(1+PortfolioFrontier[[#This Row],[P60 Return]]),1+PortfolioFrontier[[#This Row],[P60 Return]])</f>
        <v>1.1148244929802442</v>
      </c>
      <c r="IG25" s="27">
        <f>MAX(IG24,PortfolioFrontier[[#This Row],[P60 Growth]])</f>
        <v>1.1497297656872949</v>
      </c>
      <c r="IH25" s="27">
        <f>PortfolioFrontier[[#This Row],[P60 Growth]]/PortfolioFrontier[[#This Row],[P60 HWM]]-1</f>
        <v>-3.0359545128576082E-2</v>
      </c>
      <c r="II25" s="28">
        <f>SUMPRODUCT(INDEX(PortfolioRef[[SPY]:[PE]],MATCH(II$1,PortfolioRef[Reference '#]),0),AssetMonthlyReturns[[#This Row],[SPY]:[PE]])</f>
        <v>-2.4761557505777732E-2</v>
      </c>
      <c r="IJ25" s="27">
        <f>IF(ISNUMBER(IJ24),IJ24*(1+PortfolioFrontier[[#This Row],[P61 Return]]),1+PortfolioFrontier[[#This Row],[P61 Return]])</f>
        <v>1.1014655033533931</v>
      </c>
      <c r="IK25" s="27">
        <f>MAX(IK24,PortfolioFrontier[[#This Row],[P61 Growth]])</f>
        <v>1.1294319987390351</v>
      </c>
      <c r="IL25" s="27">
        <f>PortfolioFrontier[[#This Row],[P61 Growth]]/PortfolioFrontier[[#This Row],[P61 HWM]]-1</f>
        <v>-2.4761557505777687E-2</v>
      </c>
      <c r="IM25" s="28">
        <f>SUMPRODUCT(INDEX(PortfolioRef[[SPY]:[PE]],MATCH(IM$1,PortfolioRef[Reference '#]),0),AssetMonthlyReturns[[#This Row],[SPY]:[PE]])</f>
        <v>-2.5184364268295789E-2</v>
      </c>
      <c r="IN25" s="27">
        <f>IF(ISNUMBER(IN24),IN24*(1+PortfolioFrontier[[#This Row],[P62 Return]]),1+PortfolioFrontier[[#This Row],[P62 Return]])</f>
        <v>1.102309399184374</v>
      </c>
      <c r="IO25" s="27">
        <f>MAX(IO24,PortfolioFrontier[[#This Row],[P62 Growth]])</f>
        <v>1.1307875651347878</v>
      </c>
      <c r="IP25" s="27">
        <f>PortfolioFrontier[[#This Row],[P62 Growth]]/PortfolioFrontier[[#This Row],[P62 HWM]]-1</f>
        <v>-2.5184364268295845E-2</v>
      </c>
      <c r="IQ25" s="28">
        <f>SUMPRODUCT(INDEX(PortfolioRef[[SPY]:[PE]],MATCH(IQ$1,PortfolioRef[Reference '#]),0),AssetMonthlyReturns[[#This Row],[SPY]:[PE]])</f>
        <v>-2.7985243235565033E-2</v>
      </c>
      <c r="IR25" s="27">
        <f>IF(ISNUMBER(IR24),IR24*(1+PortfolioFrontier[[#This Row],[P63 Return]]),1+PortfolioFrontier[[#This Row],[P63 Return]])</f>
        <v>1.0998057208563574</v>
      </c>
      <c r="IS25" s="27">
        <f>MAX(IS24,PortfolioFrontier[[#This Row],[P63 Growth]])</f>
        <v>1.1314701893182186</v>
      </c>
      <c r="IT25" s="27">
        <f>PortfolioFrontier[[#This Row],[P63 Growth]]/PortfolioFrontier[[#This Row],[P63 HWM]]-1</f>
        <v>-2.798524323556506E-2</v>
      </c>
      <c r="IU25" s="28">
        <f>SUMPRODUCT(INDEX(PortfolioRef[[SPY]:[PE]],MATCH(IU$1,PortfolioRef[Reference '#]),0),AssetMonthlyReturns[[#This Row],[SPY]:[PE]])</f>
        <v>-2.3735446609763414E-2</v>
      </c>
      <c r="IV25" s="27">
        <f>IF(ISNUMBER(IV24),IV24*(1+PortfolioFrontier[[#This Row],[P64 Return]]),1+PortfolioFrontier[[#This Row],[P64 Return]])</f>
        <v>1.1013377510816811</v>
      </c>
      <c r="IW25" s="27">
        <f>MAX(IW24,PortfolioFrontier[[#This Row],[P64 Growth]])</f>
        <v>1.1281140416878883</v>
      </c>
      <c r="IX25" s="27">
        <f>PortfolioFrontier[[#This Row],[P64 Growth]]/PortfolioFrontier[[#This Row],[P64 HWM]]-1</f>
        <v>-2.3735446609763344E-2</v>
      </c>
      <c r="IY25" s="28">
        <f>SUMPRODUCT(INDEX(PortfolioRef[[SPY]:[PE]],MATCH(IY$1,PortfolioRef[Reference '#]),0),AssetMonthlyReturns[[#This Row],[SPY]:[PE]])</f>
        <v>-2.5607171030813846E-2</v>
      </c>
      <c r="IZ25" s="27">
        <f>IF(ISNUMBER(IZ24),IZ24*(1+PortfolioFrontier[[#This Row],[P65 Return]]),1+PortfolioFrontier[[#This Row],[P65 Return]])</f>
        <v>1.1030938055413926</v>
      </c>
      <c r="JA25" s="27">
        <f>MAX(JA24,PortfolioFrontier[[#This Row],[P65 Growth]])</f>
        <v>1.1320832550752244</v>
      </c>
      <c r="JB25" s="27">
        <f>PortfolioFrontier[[#This Row],[P65 Growth]]/PortfolioFrontier[[#This Row],[P65 HWM]]-1</f>
        <v>-2.5607171030814002E-2</v>
      </c>
      <c r="JC25" s="28">
        <f>SUMPRODUCT(INDEX(PortfolioRef[[SPY]:[PE]],MATCH(JC$1,PortfolioRef[Reference '#]),0),AssetMonthlyReturns[[#This Row],[SPY]:[PE]])</f>
        <v>-2.840804999808309E-2</v>
      </c>
      <c r="JD25" s="27">
        <f>IF(ISNUMBER(JD24),JD24*(1+PortfolioFrontier[[#This Row],[P66 Return]]),1+PortfolioFrontier[[#This Row],[P66 Return]])</f>
        <v>1.1006375539013307</v>
      </c>
      <c r="JE25" s="27">
        <f>MAX(JE24,PortfolioFrontier[[#This Row],[P66 Growth]])</f>
        <v>1.1328187248763837</v>
      </c>
      <c r="JF25" s="27">
        <f>PortfolioFrontier[[#This Row],[P66 Growth]]/PortfolioFrontier[[#This Row],[P66 HWM]]-1</f>
        <v>-2.8408049998083107E-2</v>
      </c>
      <c r="JG25" s="28">
        <f>SUMPRODUCT(INDEX(PortfolioRef[[SPY]:[PE]],MATCH(JG$1,PortfolioRef[Reference '#]),0),AssetMonthlyReturns[[#This Row],[SPY]:[PE]])</f>
        <v>-2.4158253372281471E-2</v>
      </c>
      <c r="JH25" s="27">
        <f>IF(ISNUMBER(JH24),JH24*(1+PortfolioFrontier[[#This Row],[P67 Return]]),1+PortfolioFrontier[[#This Row],[P67 Return]])</f>
        <v>1.102201268319738</v>
      </c>
      <c r="JI25" s="27">
        <f>MAX(JI24,PortfolioFrontier[[#This Row],[P67 Growth]])</f>
        <v>1.1294877188116705</v>
      </c>
      <c r="JJ25" s="27">
        <f>PortfolioFrontier[[#This Row],[P67 Growth]]/PortfolioFrontier[[#This Row],[P67 HWM]]-1</f>
        <v>-2.4158253372281502E-2</v>
      </c>
      <c r="JK25" s="28">
        <f>SUMPRODUCT(INDEX(PortfolioRef[[SPY]:[PE]],MATCH(JK$1,PortfolioRef[Reference '#]),0),AssetMonthlyReturns[[#This Row],[SPY]:[PE]])</f>
        <v>-3.1208928965352333E-2</v>
      </c>
      <c r="JL25" s="27">
        <f>IF(ISNUMBER(JL24),JL24*(1+PortfolioFrontier[[#This Row],[P68 Return]]),1+PortfolioFrontier[[#This Row],[P68 Return]])</f>
        <v>1.0981002516470912</v>
      </c>
      <c r="JM25" s="27">
        <f>MAX(JM24,PortfolioFrontier[[#This Row],[P68 Growth]])</f>
        <v>1.1334747857186009</v>
      </c>
      <c r="JN25" s="27">
        <f>PortfolioFrontier[[#This Row],[P68 Growth]]/PortfolioFrontier[[#This Row],[P68 HWM]]-1</f>
        <v>-3.1208928965352323E-2</v>
      </c>
      <c r="JO25" s="28">
        <f>SUMPRODUCT(INDEX(PortfolioRef[[SPY]:[PE]],MATCH(JO$1,PortfolioRef[Reference '#]),0),AssetMonthlyReturns[[#This Row],[SPY]:[PE]])</f>
        <v>-2.6959132339550711E-2</v>
      </c>
      <c r="JP25" s="27">
        <f>IF(ISNUMBER(JP24),JP24*(1+PortfolioFrontier[[#This Row],[P69 Return]]),1+PortfolioFrontier[[#This Row],[P69 Return]])</f>
        <v>1.099682297898706</v>
      </c>
      <c r="JQ25" s="27">
        <f>MAX(JQ24,PortfolioFrontier[[#This Row],[P69 Growth]])</f>
        <v>1.1301501657815767</v>
      </c>
      <c r="JR25" s="27">
        <f>PortfolioFrontier[[#This Row],[P69 Growth]]/PortfolioFrontier[[#This Row],[P69 HWM]]-1</f>
        <v>-2.6959132339550718E-2</v>
      </c>
      <c r="JS25" s="28">
        <f>SUMPRODUCT(INDEX(PortfolioRef[[SPY]:[PE]],MATCH(JS$1,PortfolioRef[Reference '#]),0),AssetMonthlyReturns[[#This Row],[SPY]:[PE]])</f>
        <v>-2.2709335713749088E-2</v>
      </c>
      <c r="JT25" s="27">
        <f>IF(ISNUMBER(JT24),JT24*(1+PortfolioFrontier[[#This Row],[P70 Return]]),1+PortfolioFrontier[[#This Row],[P70 Return]])</f>
        <v>1.1011822623628902</v>
      </c>
      <c r="JU25" s="27">
        <f>MAX(JU24,PortfolioFrontier[[#This Row],[P70 Growth]])</f>
        <v>1.1267704712672371</v>
      </c>
      <c r="JV25" s="27">
        <f>PortfolioFrontier[[#This Row],[P70 Growth]]/PortfolioFrontier[[#This Row],[P70 HWM]]-1</f>
        <v>-2.2709335713749002E-2</v>
      </c>
      <c r="JW25" s="28">
        <f>SUMPRODUCT(INDEX(PortfolioRef[[SPY]:[PE]],MATCH(JW$1,PortfolioRef[Reference '#]),0),AssetMonthlyReturns[[#This Row],[SPY]:[PE]])</f>
        <v>-2.8830856760601146E-2</v>
      </c>
      <c r="JX25" s="27">
        <f>IF(ISNUMBER(JX24),JX24*(1+PortfolioFrontier[[#This Row],[P71 Return]]),1+PortfolioFrontier[[#This Row],[P71 Return]])</f>
        <v>1.101410045707127</v>
      </c>
      <c r="JY25" s="27">
        <f>MAX(JY24,PortfolioFrontier[[#This Row],[P71 Growth]])</f>
        <v>1.1341073317396606</v>
      </c>
      <c r="JZ25" s="27">
        <f>PortfolioFrontier[[#This Row],[P71 Growth]]/PortfolioFrontier[[#This Row],[P71 HWM]]-1</f>
        <v>-2.8830856760601042E-2</v>
      </c>
      <c r="KA25" s="28">
        <f>SUMPRODUCT(INDEX(PortfolioRef[[SPY]:[PE]],MATCH(KA$1,PortfolioRef[Reference '#]),0),AssetMonthlyReturns[[#This Row],[SPY]:[PE]])</f>
        <v>-2.4581060134799528E-2</v>
      </c>
      <c r="KB25" s="27">
        <f>IF(ISNUMBER(KB24),KB24*(1+PortfolioFrontier[[#This Row],[P72 Return]]),1+PortfolioFrontier[[#This Row],[P72 Return]])</f>
        <v>1.1030053365025299</v>
      </c>
      <c r="KC25" s="27">
        <f>MAX(KC24,PortfolioFrontier[[#This Row],[P72 Growth]])</f>
        <v>1.1308016396062204</v>
      </c>
      <c r="KD25" s="27">
        <f>PortfolioFrontier[[#This Row],[P72 Growth]]/PortfolioFrontier[[#This Row],[P72 HWM]]-1</f>
        <v>-2.4581060134799659E-2</v>
      </c>
      <c r="KE25" s="28">
        <f>SUMPRODUCT(INDEX(PortfolioRef[[SPY]:[PE]],MATCH(KE$1,PortfolioRef[Reference '#]),0),AssetMonthlyReturns[[#This Row],[SPY]:[PE]])</f>
        <v>-3.1631735727870397E-2</v>
      </c>
      <c r="KF25" s="27">
        <f>IF(ISNUMBER(KF24),KF24*(1+PortfolioFrontier[[#This Row],[P73 Return]]),1+PortfolioFrontier[[#This Row],[P73 Return]])</f>
        <v>1.0989200290813239</v>
      </c>
      <c r="KG25" s="27">
        <f>MAX(KG24,PortfolioFrontier[[#This Row],[P73 Growth]])</f>
        <v>1.1348162363698722</v>
      </c>
      <c r="KH25" s="27">
        <f>PortfolioFrontier[[#This Row],[P73 Growth]]/PortfolioFrontier[[#This Row],[P73 HWM]]-1</f>
        <v>-3.1631735727870369E-2</v>
      </c>
      <c r="KI25" s="28">
        <f>SUMPRODUCT(INDEX(PortfolioRef[[SPY]:[PE]],MATCH(KI$1,PortfolioRef[Reference '#]),0),AssetMonthlyReturns[[#This Row],[SPY]:[PE]])</f>
        <v>-2.7381939102068771E-2</v>
      </c>
      <c r="KJ25" s="27">
        <f>IF(ISNUMBER(KJ24),KJ24*(1+PortfolioFrontier[[#This Row],[P74 Return]]),1+PortfolioFrontier[[#This Row],[P74 Return]])</f>
        <v>1.1005337291960986</v>
      </c>
      <c r="KK25" s="27">
        <f>MAX(KK24,PortfolioFrontier[[#This Row],[P74 Growth]])</f>
        <v>1.1315168548073993</v>
      </c>
      <c r="KL25" s="27">
        <f>PortfolioFrontier[[#This Row],[P74 Growth]]/PortfolioFrontier[[#This Row],[P74 HWM]]-1</f>
        <v>-2.7381939102068875E-2</v>
      </c>
      <c r="KM25" s="28">
        <f>SUMPRODUCT(INDEX(PortfolioRef[[SPY]:[PE]],MATCH(KM$1,PortfolioRef[Reference '#]),0),AssetMonthlyReturns[[#This Row],[SPY]:[PE]])</f>
        <v>-2.3132142476267149E-2</v>
      </c>
      <c r="KN25" s="27">
        <f>IF(ISNUMBER(KN24),KN24*(1+PortfolioFrontier[[#This Row],[P75 Return]]),1+PortfolioFrontier[[#This Row],[P75 Return]])</f>
        <v>1.1020653747305187</v>
      </c>
      <c r="KO25" s="27">
        <f>MAX(KO24,PortfolioFrontier[[#This Row],[P75 Growth]])</f>
        <v>1.1281621830860007</v>
      </c>
      <c r="KP25" s="27">
        <f>PortfolioFrontier[[#This Row],[P75 Growth]]/PortfolioFrontier[[#This Row],[P75 HWM]]-1</f>
        <v>-2.3132142476267159E-2</v>
      </c>
      <c r="KQ25" s="28">
        <f>SUMPRODUCT(INDEX(PortfolioRef[[SPY]:[PE]],MATCH(KQ$1,PortfolioRef[Reference '#]),0),AssetMonthlyReturns[[#This Row],[SPY]:[PE]])</f>
        <v>-3.4432614695139641E-2</v>
      </c>
      <c r="KR25" s="27">
        <f>IF(ISNUMBER(KR24),KR24*(1+PortfolioFrontier[[#This Row],[P76 Return]]),1+PortfolioFrontier[[#This Row],[P76 Return]])</f>
        <v>1.0963492485173771</v>
      </c>
      <c r="KS25" s="27">
        <f>MAX(KS24,PortfolioFrontier[[#This Row],[P76 Growth]])</f>
        <v>1.1354456097035888</v>
      </c>
      <c r="KT25" s="27">
        <f>PortfolioFrontier[[#This Row],[P76 Growth]]/PortfolioFrontier[[#This Row],[P76 HWM]]-1</f>
        <v>-3.4432614695139696E-2</v>
      </c>
      <c r="KU25" s="28">
        <f>SUMPRODUCT(INDEX(PortfolioRef[[SPY]:[PE]],MATCH(KU$1,PortfolioRef[Reference '#]),0),AssetMonthlyReturns[[#This Row],[SPY]:[PE]])</f>
        <v>-3.0182818069338011E-2</v>
      </c>
      <c r="KV25" s="27">
        <f>IF(ISNUMBER(KV24),KV24*(1+PortfolioFrontier[[#This Row],[P77 Return]]),1+PortfolioFrontier[[#This Row],[P77 Return]])</f>
        <v>1.0979811863491431</v>
      </c>
      <c r="KW25" s="27">
        <f>MAX(KW24,PortfolioFrontier[[#This Row],[P77 Growth]])</f>
        <v>1.1321527467304082</v>
      </c>
      <c r="KX25" s="27">
        <f>PortfolioFrontier[[#This Row],[P77 Growth]]/PortfolioFrontier[[#This Row],[P77 HWM]]-1</f>
        <v>-3.0182818069337869E-2</v>
      </c>
      <c r="KY25" s="28">
        <f>SUMPRODUCT(INDEX(PortfolioRef[[SPY]:[PE]],MATCH(KY$1,PortfolioRef[Reference '#]),0),AssetMonthlyReturns[[#This Row],[SPY]:[PE]])</f>
        <v>-2.5933021443536389E-2</v>
      </c>
      <c r="KZ25" s="27">
        <f>IF(ISNUMBER(KZ24),KZ24*(1+PortfolioFrontier[[#This Row],[P78 Return]]),1+PortfolioFrontier[[#This Row],[P78 Return]])</f>
        <v>1.0995311693489986</v>
      </c>
      <c r="LA25" s="27">
        <f>MAX(LA24,PortfolioFrontier[[#This Row],[P78 Growth]])</f>
        <v>1.1288044801379766</v>
      </c>
      <c r="LB25" s="27">
        <f>PortfolioFrontier[[#This Row],[P78 Growth]]/PortfolioFrontier[[#This Row],[P78 HWM]]-1</f>
        <v>-2.5933021443536264E-2</v>
      </c>
      <c r="LC25" s="28">
        <f>SUMPRODUCT(INDEX(PortfolioRef[[SPY]:[PE]],MATCH(LC$1,PortfolioRef[Reference '#]),0),AssetMonthlyReturns[[#This Row],[SPY]:[PE]])</f>
        <v>-3.2054542490388457E-2</v>
      </c>
      <c r="LD25" s="27">
        <f>IF(ISNUMBER(LD24),LD24*(1+PortfolioFrontier[[#This Row],[P79 Return]]),1+PortfolioFrontier[[#This Row],[P79 Return]])</f>
        <v>1.0996806154119525</v>
      </c>
      <c r="LE25" s="27">
        <f>MAX(LE24,PortfolioFrontier[[#This Row],[P79 Growth]])</f>
        <v>1.1360977076552197</v>
      </c>
      <c r="LF25" s="27">
        <f>PortfolioFrontier[[#This Row],[P79 Growth]]/PortfolioFrontier[[#This Row],[P79 HWM]]-1</f>
        <v>-3.2054542490388416E-2</v>
      </c>
      <c r="LG25" s="28">
        <f>SUMPRODUCT(INDEX(PortfolioRef[[SPY]:[PE]],MATCH(LG$1,PortfolioRef[Reference '#]),0),AssetMonthlyReturns[[#This Row],[SPY]:[PE]])</f>
        <v>-2.7804745864586828E-2</v>
      </c>
      <c r="LH25" s="27">
        <f>IF(ISNUMBER(LH24),LH24*(1+PortfolioFrontier[[#This Row],[P80 Return]]),1+PortfolioFrontier[[#This Row],[P80 Return]])</f>
        <v>1.1013258591681983</v>
      </c>
      <c r="LI25" s="27">
        <f>MAX(LI24,PortfolioFrontier[[#This Row],[P80 Growth]])</f>
        <v>1.1328237352358017</v>
      </c>
      <c r="LJ25" s="27">
        <f>PortfolioFrontier[[#This Row],[P80 Growth]]/PortfolioFrontier[[#This Row],[P80 HWM]]-1</f>
        <v>-2.7804745864586811E-2</v>
      </c>
      <c r="LK25" s="28">
        <f>SUMPRODUCT(INDEX(PortfolioRef[[SPY]:[PE]],MATCH(LK$1,PortfolioRef[Reference '#]),0),AssetMonthlyReturns[[#This Row],[SPY]:[PE]])</f>
        <v>-2.3554949238785206E-2</v>
      </c>
      <c r="LL25" s="27">
        <f>IF(ISNUMBER(LL24),LL24*(1+PortfolioFrontier[[#This Row],[P81 Return]]),1+PortfolioFrontier[[#This Row],[P81 Return]])</f>
        <v>1.1028890803249209</v>
      </c>
      <c r="LM25" s="27">
        <f>MAX(LM24,PortfolioFrontier[[#This Row],[P81 Growth]])</f>
        <v>1.1294942602915885</v>
      </c>
      <c r="LN25" s="27">
        <f>PortfolioFrontier[[#This Row],[P81 Growth]]/PortfolioFrontier[[#This Row],[P81 HWM]]-1</f>
        <v>-2.3554949238785206E-2</v>
      </c>
      <c r="LO25" s="28">
        <f>SUMPRODUCT(INDEX(PortfolioRef[[SPY]:[PE]],MATCH(LO$1,PortfolioRef[Reference '#]),0),AssetMonthlyReturns[[#This Row],[SPY]:[PE]])</f>
        <v>-3.4855421457657701E-2</v>
      </c>
      <c r="LP25" s="27">
        <f>IF(ISNUMBER(LP24),LP24*(1+PortfolioFrontier[[#This Row],[P82 Return]]),1+PortfolioFrontier[[#This Row],[P82 Return]])</f>
        <v>1.0971569784890991</v>
      </c>
      <c r="LQ25" s="27">
        <f>MAX(LQ24,PortfolioFrontier[[#This Row],[P82 Growth]])</f>
        <v>1.1367799217668872</v>
      </c>
      <c r="LR25" s="27">
        <f>PortfolioFrontier[[#This Row],[P82 Growth]]/PortfolioFrontier[[#This Row],[P82 HWM]]-1</f>
        <v>-3.4855421457657854E-2</v>
      </c>
      <c r="LS25" s="28">
        <f>SUMPRODUCT(INDEX(PortfolioRef[[SPY]:[PE]],MATCH(LS$1,PortfolioRef[Reference '#]),0),AssetMonthlyReturns[[#This Row],[SPY]:[PE]])</f>
        <v>-3.0605624831856072E-2</v>
      </c>
      <c r="LT25" s="27">
        <f>IF(ISNUMBER(LT24),LT24*(1+PortfolioFrontier[[#This Row],[P83 Return]]),1+PortfolioFrontier[[#This Row],[P83 Return]])</f>
        <v>1.0988205381998872</v>
      </c>
      <c r="LU25" s="27">
        <f>MAX(LU24,PortfolioFrontier[[#This Row],[P83 Growth]])</f>
        <v>1.1335123932499547</v>
      </c>
      <c r="LV25" s="27">
        <f>PortfolioFrontier[[#This Row],[P83 Growth]]/PortfolioFrontier[[#This Row],[P83 HWM]]-1</f>
        <v>-3.0605624831856137E-2</v>
      </c>
      <c r="LW25" s="28">
        <f>SUMPRODUCT(INDEX(PortfolioRef[[SPY]:[PE]],MATCH(LW$1,PortfolioRef[Reference '#]),0),AssetMonthlyReturns[[#This Row],[SPY]:[PE]])</f>
        <v>-2.6355828206054449E-2</v>
      </c>
      <c r="LX25" s="27">
        <f>IF(ISNUMBER(LX24),LX24*(1+PortfolioFrontier[[#This Row],[P84 Return]]),1+PortfolioFrontier[[#This Row],[P84 Return]])</f>
        <v>1.1004021729269626</v>
      </c>
      <c r="LY25" s="27">
        <f>MAX(LY24,PortfolioFrontier[[#This Row],[P84 Growth]])</f>
        <v>1.1301892465493473</v>
      </c>
      <c r="LZ25" s="27">
        <f>PortfolioFrontier[[#This Row],[P84 Growth]]/PortfolioFrontier[[#This Row],[P84 HWM]]-1</f>
        <v>-2.6355828206054421E-2</v>
      </c>
      <c r="MA25" s="28">
        <f>SUMPRODUCT(INDEX(PortfolioRef[[SPY]:[PE]],MATCH(MA$1,PortfolioRef[Reference '#]),0),AssetMonthlyReturns[[#This Row],[SPY]:[PE]])</f>
        <v>-3.7656300424926938E-2</v>
      </c>
      <c r="MB25" s="27">
        <f>IF(ISNUMBER(MB24),MB24*(1+PortfolioFrontier[[#This Row],[P85 Return]]),1+PortfolioFrontier[[#This Row],[P85 Return]])</f>
        <v>1.0945528688803092</v>
      </c>
      <c r="MC25" s="27">
        <f>MAX(MC24,PortfolioFrontier[[#This Row],[P85 Growth]])</f>
        <v>1.1373824854504828</v>
      </c>
      <c r="MD25" s="27">
        <f>PortfolioFrontier[[#This Row],[P85 Growth]]/PortfolioFrontier[[#This Row],[P85 HWM]]-1</f>
        <v>-3.7656300424927069E-2</v>
      </c>
      <c r="ME25" s="28">
        <f>SUMPRODUCT(INDEX(PortfolioRef[[SPY]:[PE]],MATCH(ME$1,PortfolioRef[Reference '#]),0),AssetMonthlyReturns[[#This Row],[SPY]:[PE]])</f>
        <v>-3.3406503799125312E-2</v>
      </c>
      <c r="MF25" s="27">
        <f>IF(ISNUMBER(MF24),MF24*(1+PortfolioFrontier[[#This Row],[P86 Return]]),1+PortfolioFrontier[[#This Row],[P86 Return]])</f>
        <v>1.0962345688192674</v>
      </c>
      <c r="MG25" s="27">
        <f>MAX(MG24,PortfolioFrontier[[#This Row],[P86 Growth]])</f>
        <v>1.1341216065780884</v>
      </c>
      <c r="MH25" s="27">
        <f>PortfolioFrontier[[#This Row],[P86 Growth]]/PortfolioFrontier[[#This Row],[P86 HWM]]-1</f>
        <v>-3.3406503799125242E-2</v>
      </c>
      <c r="MI25" s="28">
        <f>SUMPRODUCT(INDEX(PortfolioRef[[SPY]:[PE]],MATCH(MI$1,PortfolioRef[Reference '#]),0),AssetMonthlyReturns[[#This Row],[SPY]:[PE]])</f>
        <v>-2.9156707173323693E-2</v>
      </c>
      <c r="MJ25" s="27">
        <f>IF(ISNUMBER(MJ24),MJ24*(1+PortfolioFrontier[[#This Row],[P87 Return]]),1+PortfolioFrontier[[#This Row],[P87 Return]])</f>
        <v>1.0978344471446502</v>
      </c>
      <c r="MK25" s="27">
        <f>MAX(MK24,PortfolioFrontier[[#This Row],[P87 Growth]])</f>
        <v>1.1308049973216896</v>
      </c>
      <c r="ML25" s="27">
        <f>PortfolioFrontier[[#This Row],[P87 Growth]]/PortfolioFrontier[[#This Row],[P87 HWM]]-1</f>
        <v>-2.9156707173323526E-2</v>
      </c>
      <c r="MM25" s="28">
        <f>SUMPRODUCT(INDEX(PortfolioRef[[SPY]:[PE]],MATCH(MM$1,PortfolioRef[Reference '#]),0),AssetMonthlyReturns[[#This Row],[SPY]:[PE]])</f>
        <v>-3.5278228220175754E-2</v>
      </c>
      <c r="MN25" s="27">
        <f>IF(ISNUMBER(MN24),MN24*(1+PortfolioFrontier[[#This Row],[P88 Return]]),1+PortfolioFrontier[[#This Row],[P88 Return]])</f>
        <v>1.0979056693809723</v>
      </c>
      <c r="MO25" s="27">
        <f>MAX(MO24,PortfolioFrontier[[#This Row],[P88 Growth]])</f>
        <v>1.1380542053647611</v>
      </c>
      <c r="MP25" s="27">
        <f>PortfolioFrontier[[#This Row],[P88 Growth]]/PortfolioFrontier[[#This Row],[P88 HWM]]-1</f>
        <v>-3.5278228220175678E-2</v>
      </c>
      <c r="MQ25" s="28">
        <f>SUMPRODUCT(INDEX(PortfolioRef[[SPY]:[PE]],MATCH(MQ$1,PortfolioRef[Reference '#]),0),AssetMonthlyReturns[[#This Row],[SPY]:[PE]])</f>
        <v>-3.1028431594374132E-2</v>
      </c>
      <c r="MR25" s="27">
        <f>IF(ISNUMBER(MR24),MR24*(1+PortfolioFrontier[[#This Row],[P89 Return]]),1+PortfolioFrontier[[#This Row],[P89 Return]])</f>
        <v>1.0996007383542044</v>
      </c>
      <c r="MS25" s="27">
        <f>MAX(MS24,PortfolioFrontier[[#This Row],[P89 Growth]])</f>
        <v>1.1348121804683284</v>
      </c>
      <c r="MT25" s="27">
        <f>PortfolioFrontier[[#This Row],[P89 Growth]]/PortfolioFrontier[[#This Row],[P89 HWM]]-1</f>
        <v>-3.1028431594374184E-2</v>
      </c>
      <c r="MU25" s="28">
        <f>SUMPRODUCT(INDEX(PortfolioRef[[SPY]:[PE]],MATCH(MU$1,PortfolioRef[Reference '#]),0),AssetMonthlyReturns[[#This Row],[SPY]:[PE]])</f>
        <v>-2.6778634968572506E-2</v>
      </c>
      <c r="MV25" s="27">
        <f>IF(ISNUMBER(MV24),MV24*(1+PortfolioFrontier[[#This Row],[P90 Return]]),1+PortfolioFrontier[[#This Row],[P90 Return]])</f>
        <v>1.1012139169538633</v>
      </c>
      <c r="MW25" s="27">
        <f>MAX(MW24,PortfolioFrontier[[#This Row],[P90 Growth]])</f>
        <v>1.1315143260529454</v>
      </c>
      <c r="MX25" s="27">
        <f>PortfolioFrontier[[#This Row],[P90 Growth]]/PortfolioFrontier[[#This Row],[P90 HWM]]-1</f>
        <v>-2.6778634968572468E-2</v>
      </c>
      <c r="MY25" s="28">
        <f>SUMPRODUCT(INDEX(PortfolioRef[[SPY]:[PE]],MATCH(MY$1,PortfolioRef[Reference '#]),0),AssetMonthlyReturns[[#This Row],[SPY]:[PE]])</f>
        <v>-3.8079107187444991E-2</v>
      </c>
      <c r="MZ25" s="27">
        <f>IF(ISNUMBER(MZ24),MZ24*(1+PortfolioFrontier[[#This Row],[P91 Return]]),1+PortfolioFrontier[[#This Row],[P91 Return]])</f>
        <v>1.0953485605082907</v>
      </c>
      <c r="NA25" s="27">
        <f>MAX(NA24,PortfolioFrontier[[#This Row],[P91 Growth]])</f>
        <v>1.1387096056367039</v>
      </c>
      <c r="NB25" s="27">
        <f>PortfolioFrontier[[#This Row],[P91 Growth]]/PortfolioFrontier[[#This Row],[P91 HWM]]-1</f>
        <v>-3.8079107187444894E-2</v>
      </c>
      <c r="NC25" s="28">
        <f>SUMPRODUCT(INDEX(PortfolioRef[[SPY]:[PE]],MATCH(NC$1,PortfolioRef[Reference '#]),0),AssetMonthlyReturns[[#This Row],[SPY]:[PE]])</f>
        <v>-3.3829310561643372E-2</v>
      </c>
      <c r="ND25" s="27">
        <f>IF(ISNUMBER(ND24),ND24*(1+PortfolioFrontier[[#This Row],[P92 Return]]),1+PortfolioFrontier[[#This Row],[P92 Return]])</f>
        <v>1.0970618486914401</v>
      </c>
      <c r="NE25" s="27">
        <f>MAX(NE24,PortfolioFrontier[[#This Row],[P92 Growth]])</f>
        <v>1.1354741565687236</v>
      </c>
      <c r="NF25" s="27">
        <f>PortfolioFrontier[[#This Row],[P92 Growth]]/PortfolioFrontier[[#This Row],[P92 HWM]]-1</f>
        <v>-3.3829310561643511E-2</v>
      </c>
      <c r="NG25" s="28">
        <f>SUMPRODUCT(INDEX(PortfolioRef[[SPY]:[PE]],MATCH(NG$1,PortfolioRef[Reference '#]),0),AssetMonthlyReturns[[#This Row],[SPY]:[PE]])</f>
        <v>-2.957951393584175E-2</v>
      </c>
      <c r="NH25" s="27">
        <f>IF(ISNUMBER(NH24),NH24*(1+PortfolioFrontier[[#This Row],[P93 Return]]),1+PortfolioFrontier[[#This Row],[P93 Return]])</f>
        <v>1.0986933477472174</v>
      </c>
      <c r="NI25" s="27">
        <f>MAX(NI24,PortfolioFrontier[[#This Row],[P93 Growth]])</f>
        <v>1.1321827635804655</v>
      </c>
      <c r="NJ25" s="27">
        <f>PortfolioFrontier[[#This Row],[P93 Growth]]/PortfolioFrontier[[#This Row],[P93 HWM]]-1</f>
        <v>-2.9579513935841684E-2</v>
      </c>
      <c r="NK25" s="28">
        <f>SUMPRODUCT(INDEX(PortfolioRef[[SPY]:[PE]],MATCH(NK$1,PortfolioRef[Reference '#]),0),AssetMonthlyReturns[[#This Row],[SPY]:[PE]])</f>
        <v>-4.0879986154714235E-2</v>
      </c>
      <c r="NL25" s="27">
        <f>IF(ISNUMBER(NL24),NL24*(1+PortfolioFrontier[[#This Row],[P94 Return]]),1+PortfolioFrontier[[#This Row],[P94 Return]])</f>
        <v>1.0927112747515819</v>
      </c>
      <c r="NM25" s="27">
        <f>MAX(NM24,PortfolioFrontier[[#This Row],[P94 Growth]])</f>
        <v>1.1392852395715367</v>
      </c>
      <c r="NN25" s="27">
        <f>PortfolioFrontier[[#This Row],[P94 Growth]]/PortfolioFrontier[[#This Row],[P94 HWM]]-1</f>
        <v>-4.0879986154714332E-2</v>
      </c>
      <c r="NO25" s="28">
        <f>SUMPRODUCT(INDEX(PortfolioRef[[SPY]:[PE]],MATCH(NO$1,PortfolioRef[Reference '#]),0),AssetMonthlyReturns[[#This Row],[SPY]:[PE]])</f>
        <v>-3.6630189528912616E-2</v>
      </c>
      <c r="NP25" s="27">
        <f>IF(ISNUMBER(NP24),NP24*(1+PortfolioFrontier[[#This Row],[P95 Return]]),1+PortfolioFrontier[[#This Row],[P95 Return]])</f>
        <v>1.0944426023123286</v>
      </c>
      <c r="NQ25" s="27">
        <f>MAX(NQ24,PortfolioFrontier[[#This Row],[P95 Growth]])</f>
        <v>1.1360565697788958</v>
      </c>
      <c r="NR25" s="27">
        <f>PortfolioFrontier[[#This Row],[P95 Growth]]/PortfolioFrontier[[#This Row],[P95 HWM]]-1</f>
        <v>-3.6630189528912505E-2</v>
      </c>
      <c r="NS25" s="28">
        <f>SUMPRODUCT(INDEX(PortfolioRef[[SPY]:[PE]],MATCH(NS$1,PortfolioRef[Reference '#]),0),AssetMonthlyReturns[[#This Row],[SPY]:[PE]])</f>
        <v>-3.238039290311099E-2</v>
      </c>
      <c r="NT25" s="27">
        <f>IF(ISNUMBER(NT24),NT24*(1+PortfolioFrontier[[#This Row],[P96 Return]]),1+PortfolioFrontier[[#This Row],[P96 Return]])</f>
        <v>1.0960922477297501</v>
      </c>
      <c r="NU25" s="27">
        <f>MAX(NU24,PortfolioFrontier[[#This Row],[P96 Growth]])</f>
        <v>1.1327718451451314</v>
      </c>
      <c r="NV25" s="27">
        <f>PortfolioFrontier[[#This Row],[P96 Growth]]/PortfolioFrontier[[#This Row],[P96 HWM]]-1</f>
        <v>-3.2380392903110899E-2</v>
      </c>
      <c r="NW25" s="28">
        <f>SUMPRODUCT(INDEX(PortfolioRef[[SPY]:[PE]],MATCH(NW$1,PortfolioRef[Reference '#]),0),AssetMonthlyReturns[[#This Row],[SPY]:[PE]])</f>
        <v>-2.3558719550525249E-2</v>
      </c>
      <c r="NX25" s="27">
        <f>IF(ISNUMBER(NX24),NX24*(1+PortfolioFrontier[[#This Row],[P97 Return]]),1+PortfolioFrontier[[#This Row],[P97 Return]])</f>
        <v>1.0845965612734754</v>
      </c>
      <c r="NY25" s="27">
        <f>MAX(NY24,PortfolioFrontier[[#This Row],[P97 Growth]])</f>
        <v>1.1107647566622896</v>
      </c>
      <c r="NZ25" s="27">
        <f>PortfolioFrontier[[#This Row],[P97 Growth]]/PortfolioFrontier[[#This Row],[P97 HWM]]-1</f>
        <v>-2.3558719550525131E-2</v>
      </c>
      <c r="OA25" s="28">
        <f>SUMPRODUCT(INDEX(PortfolioRef[[SPY]:[PE]],MATCH(OA$1,PortfolioRef[Reference '#]),0),AssetMonthlyReturns[[#This Row],[SPY]:[PE]])</f>
        <v>-2.3981526313043306E-2</v>
      </c>
      <c r="OB25" s="27">
        <f>IF(ISNUMBER(OB24),OB24*(1+PortfolioFrontier[[#This Row],[P98 Return]]),1+PortfolioFrontier[[#This Row],[P98 Return]])</f>
        <v>1.0854231105958325</v>
      </c>
      <c r="OC25" s="27">
        <f>MAX(OC24,PortfolioFrontier[[#This Row],[P98 Growth]])</f>
        <v>1.112092793177976</v>
      </c>
      <c r="OD25" s="27">
        <f>PortfolioFrontier[[#This Row],[P98 Growth]]/PortfolioFrontier[[#This Row],[P98 HWM]]-1</f>
        <v>-2.39815263130434E-2</v>
      </c>
      <c r="OE25" s="28">
        <f>SUMPRODUCT(INDEX(PortfolioRef[[SPY]:[PE]],MATCH(OE$1,PortfolioRef[Reference '#]),0),AssetMonthlyReturns[[#This Row],[SPY]:[PE]])</f>
        <v>-2.678240528031255E-2</v>
      </c>
      <c r="OF25" s="27">
        <f>IF(ISNUMBER(OF24),OF24*(1+PortfolioFrontier[[#This Row],[P99 Return]]),1+PortfolioFrontier[[#This Row],[P99 Return]])</f>
        <v>1.0829758534637988</v>
      </c>
      <c r="OG25" s="27">
        <f>MAX(OG24,PortfolioFrontier[[#This Row],[P99 Growth]])</f>
        <v>1.1127787447941944</v>
      </c>
      <c r="OH25" s="27">
        <f>PortfolioFrontier[[#This Row],[P99 Growth]]/PortfolioFrontier[[#This Row],[P99 HWM]]-1</f>
        <v>-2.6782405280312505E-2</v>
      </c>
      <c r="OI25" s="28">
        <f>SUMPRODUCT(INDEX(PortfolioRef[[SPY]:[PE]],MATCH(OI$1,PortfolioRef[Reference '#]),0),AssetMonthlyReturns[[#This Row],[SPY]:[PE]])</f>
        <v>-2.2532608654510931E-2</v>
      </c>
      <c r="OJ25" s="27">
        <f>IF(ISNUMBER(OJ24),OJ24*(1+PortfolioFrontier[[#This Row],[P100 Return]]),1+PortfolioFrontier[[#This Row],[P100 Return]])</f>
        <v>1.0844768613562055</v>
      </c>
      <c r="OK25" s="27">
        <f>MAX(OK24,PortfolioFrontier[[#This Row],[P100 Growth]])</f>
        <v>1.1094762556359219</v>
      </c>
      <c r="OL25" s="27">
        <f>PortfolioFrontier[[#This Row],[P100 Growth]]/PortfolioFrontier[[#This Row],[P100 HWM]]-1</f>
        <v>-2.253260865451101E-2</v>
      </c>
      <c r="OM25" s="28">
        <f>SUMPRODUCT(INDEX(PortfolioRef[[SPY]:[PE]],MATCH(OM$1,PortfolioRef[Reference '#]),0),AssetMonthlyReturns[[#This Row],[SPY]:[PE]])</f>
        <v>-2.4404333075561363E-2</v>
      </c>
      <c r="ON25" s="27">
        <f>IF(ISNUMBER(ON24),ON24*(1+PortfolioFrontier[[#This Row],[P101 Return]]),1+PortfolioFrontier[[#This Row],[P101 Return]])</f>
        <v>1.0861909673875241</v>
      </c>
      <c r="OO25" s="27">
        <f>MAX(OO24,PortfolioFrontier[[#This Row],[P101 Growth]])</f>
        <v>1.1133618200783288</v>
      </c>
      <c r="OP25" s="27">
        <f>PortfolioFrontier[[#This Row],[P101 Growth]]/PortfolioFrontier[[#This Row],[P101 HWM]]-1</f>
        <v>-2.4404333075561335E-2</v>
      </c>
      <c r="OQ25" s="28">
        <f>SUMPRODUCT(INDEX(PortfolioRef[[SPY]:[PE]],MATCH(OQ$1,PortfolioRef[Reference '#]),0),AssetMonthlyReturns[[#This Row],[SPY]:[PE]])</f>
        <v>-2.7205212042830603E-2</v>
      </c>
      <c r="OR25" s="27">
        <f>IF(ISNUMBER(OR24),OR24*(1+PortfolioFrontier[[#This Row],[P102 Return]]),1+PortfolioFrontier[[#This Row],[P102 Return]])</f>
        <v>1.0837905709129847</v>
      </c>
      <c r="OS25" s="27">
        <f>MAX(OS24,PortfolioFrontier[[#This Row],[P102 Growth]])</f>
        <v>1.114099894787576</v>
      </c>
      <c r="OT25" s="27">
        <f>PortfolioFrontier[[#This Row],[P102 Growth]]/PortfolioFrontier[[#This Row],[P102 HWM]]-1</f>
        <v>-2.7205212042830662E-2</v>
      </c>
      <c r="OU25" s="28">
        <f>SUMPRODUCT(INDEX(PortfolioRef[[SPY]:[PE]],MATCH(OU$1,PortfolioRef[Reference '#]),0),AssetMonthlyReturns[[#This Row],[SPY]:[PE]])</f>
        <v>-2.2955415417028984E-2</v>
      </c>
      <c r="OV25" s="27">
        <f>IF(ISNUMBER(OV24),OV24*(1+PortfolioFrontier[[#This Row],[P103 Return]]),1+PortfolioFrontier[[#This Row],[P103 Return]])</f>
        <v>1.0853227591595997</v>
      </c>
      <c r="OW25" s="27">
        <f>MAX(OW24,PortfolioFrontier[[#This Row],[P103 Growth]])</f>
        <v>1.1108221429044047</v>
      </c>
      <c r="OX25" s="27">
        <f>PortfolioFrontier[[#This Row],[P103 Growth]]/PortfolioFrontier[[#This Row],[P103 HWM]]-1</f>
        <v>-2.2955415417029057E-2</v>
      </c>
      <c r="OY25" s="28">
        <f>SUMPRODUCT(INDEX(PortfolioRef[[SPY]:[PE]],MATCH(OY$1,PortfolioRef[Reference '#]),0),AssetMonthlyReturns[[#This Row],[SPY]:[PE]])</f>
        <v>-3.000609101009985E-2</v>
      </c>
      <c r="OZ25" s="27">
        <f>IF(ISNUMBER(OZ24),OZ24*(1+PortfolioFrontier[[#This Row],[P104 Return]]),1+PortfolioFrontier[[#This Row],[P104 Return]])</f>
        <v>1.0813101063564763</v>
      </c>
      <c r="PA25" s="27">
        <f>MAX(PA24,PortfolioFrontier[[#This Row],[P104 Growth]])</f>
        <v>1.1147596869783387</v>
      </c>
      <c r="PB25" s="27">
        <f>PortfolioFrontier[[#This Row],[P104 Growth]]/PortfolioFrontier[[#This Row],[P104 HWM]]-1</f>
        <v>-3.0006091010099878E-2</v>
      </c>
      <c r="PC25" s="28">
        <f>SUMPRODUCT(INDEX(PortfolioRef[[SPY]:[PE]],MATCH(PC$1,PortfolioRef[Reference '#]),0),AssetMonthlyReturns[[#This Row],[SPY]:[PE]])</f>
        <v>-2.5756294384298228E-2</v>
      </c>
      <c r="PD25" s="27">
        <f>IF(ISNUMBER(PD24),PD24*(1+PortfolioFrontier[[#This Row],[P105 Return]]),1+PortfolioFrontier[[#This Row],[P105 Return]])</f>
        <v>1.0828603879657344</v>
      </c>
      <c r="PE25" s="27">
        <f>MAX(PE24,PortfolioFrontier[[#This Row],[P105 Growth]])</f>
        <v>1.1114882053883932</v>
      </c>
      <c r="PF25" s="27">
        <f>PortfolioFrontier[[#This Row],[P105 Growth]]/PortfolioFrontier[[#This Row],[P105 HWM]]-1</f>
        <v>-2.5756294384298273E-2</v>
      </c>
      <c r="PG25" s="28">
        <f>SUMPRODUCT(INDEX(PortfolioRef[[SPY]:[PE]],MATCH(PG$1,PortfolioRef[Reference '#]),0),AssetMonthlyReturns[[#This Row],[SPY]:[PE]])</f>
        <v>-2.1506497758496605E-2</v>
      </c>
      <c r="PH25" s="27">
        <f>IF(ISNUMBER(PH24),PH24*(1+PortfolioFrontier[[#This Row],[P106 Return]]),1+PortfolioFrontier[[#This Row],[P106 Return]])</f>
        <v>1.0843298112751234</v>
      </c>
      <c r="PI25" s="27">
        <f>MAX(PI24,PortfolioFrontier[[#This Row],[P106 Growth]])</f>
        <v>1.1081625057204503</v>
      </c>
      <c r="PJ25" s="27">
        <f>PortfolioFrontier[[#This Row],[P106 Growth]]/PortfolioFrontier[[#This Row],[P106 HWM]]-1</f>
        <v>-2.1506497758496668E-2</v>
      </c>
      <c r="PK25" s="28">
        <f>SUMPRODUCT(INDEX(PortfolioRef[[SPY]:[PE]],MATCH(PK$1,PortfolioRef[Reference '#]),0),AssetMonthlyReturns[[#This Row],[SPY]:[PE]])</f>
        <v>-2.7628018805348663E-2</v>
      </c>
      <c r="PL25" s="27">
        <f>IF(ISNUMBER(PL24),PL24*(1+PortfolioFrontier[[#This Row],[P107 Return]]),1+PortfolioFrontier[[#This Row],[P107 Return]])</f>
        <v>1.0845467413347536</v>
      </c>
      <c r="PM25" s="27">
        <f>MAX(PM24,PortfolioFrontier[[#This Row],[P107 Growth]])</f>
        <v>1.115361983180845</v>
      </c>
      <c r="PN25" s="27">
        <f>PortfolioFrontier[[#This Row],[P107 Growth]]/PortfolioFrontier[[#This Row],[P107 HWM]]-1</f>
        <v>-2.7628018805348709E-2</v>
      </c>
      <c r="PO25" s="28">
        <f>SUMPRODUCT(INDEX(PortfolioRef[[SPY]:[PE]],MATCH(PO$1,PortfolioRef[Reference '#]),0),AssetMonthlyReturns[[#This Row],[SPY]:[PE]])</f>
        <v>-2.3378222179547044E-2</v>
      </c>
      <c r="PP25" s="27">
        <f>IF(ISNUMBER(PP24),PP24*(1+PortfolioFrontier[[#This Row],[P108 Return]]),1+PortfolioFrontier[[#This Row],[P108 Return]])</f>
        <v>1.0861100040845073</v>
      </c>
      <c r="PQ25" s="27">
        <f>MAX(PQ24,PortfolioFrontier[[#This Row],[P108 Growth]])</f>
        <v>1.1121091386149522</v>
      </c>
      <c r="PR25" s="27">
        <f>PortfolioFrontier[[#This Row],[P108 Growth]]/PortfolioFrontier[[#This Row],[P108 HWM]]-1</f>
        <v>-2.3378222179546881E-2</v>
      </c>
      <c r="PS25" s="28">
        <f>SUMPRODUCT(INDEX(PortfolioRef[[SPY]:[PE]],MATCH(PS$1,PortfolioRef[Reference '#]),0),AssetMonthlyReturns[[#This Row],[SPY]:[PE]])</f>
        <v>-3.0428897772617907E-2</v>
      </c>
      <c r="PT25" s="27">
        <f>IF(ISNUMBER(PT24),PT24*(1+PortfolioFrontier[[#This Row],[P109 Return]]),1+PortfolioFrontier[[#This Row],[P109 Return]])</f>
        <v>1.0821129988233444</v>
      </c>
      <c r="PU25" s="27">
        <f>MAX(PU24,PortfolioFrontier[[#This Row],[P109 Growth]])</f>
        <v>1.1160738973525732</v>
      </c>
      <c r="PV25" s="27">
        <f>PortfolioFrontier[[#This Row],[P109 Growth]]/PortfolioFrontier[[#This Row],[P109 HWM]]-1</f>
        <v>-3.0428897772618035E-2</v>
      </c>
      <c r="PW25" s="28">
        <f>SUMPRODUCT(INDEX(PortfolioRef[[SPY]:[PE]],MATCH(PW$1,PortfolioRef[Reference '#]),0),AssetMonthlyReturns[[#This Row],[SPY]:[PE]])</f>
        <v>-2.6179101146816285E-2</v>
      </c>
      <c r="PX25" s="27">
        <f>IF(ISNUMBER(PX24),PX24*(1+PortfolioFrontier[[#This Row],[P110 Return]]),1+PortfolioFrontier[[#This Row],[P110 Return]])</f>
        <v>1.083694431180849</v>
      </c>
      <c r="PY25" s="27">
        <f>MAX(PY24,PortfolioFrontier[[#This Row],[P110 Growth]])</f>
        <v>1.1128272482723029</v>
      </c>
      <c r="PZ25" s="27">
        <f>PortfolioFrontier[[#This Row],[P110 Growth]]/PortfolioFrontier[[#This Row],[P110 HWM]]-1</f>
        <v>-2.617910114681643E-2</v>
      </c>
      <c r="QA25" s="28">
        <f>SUMPRODUCT(INDEX(PortfolioRef[[SPY]:[PE]],MATCH(QA$1,PortfolioRef[Reference '#]),0),AssetMonthlyReturns[[#This Row],[SPY]:[PE]])</f>
        <v>-2.1929304521014662E-2</v>
      </c>
      <c r="QB25" s="27">
        <f>IF(ISNUMBER(QB24),QB24*(1+PortfolioFrontier[[#This Row],[P111 Return]]),1+PortfolioFrontier[[#This Row],[P111 Return]])</f>
        <v>1.0851950319151733</v>
      </c>
      <c r="QC25" s="27">
        <f>MAX(QC24,PortfolioFrontier[[#This Row],[P111 Growth]])</f>
        <v>1.1095261691525546</v>
      </c>
      <c r="QD25" s="27">
        <f>PortfolioFrontier[[#This Row],[P111 Growth]]/PortfolioFrontier[[#This Row],[P111 HWM]]-1</f>
        <v>-2.1929304521014825E-2</v>
      </c>
      <c r="QE25" s="28">
        <f>SUMPRODUCT(INDEX(PortfolioRef[[SPY]:[PE]],MATCH(QE$1,PortfolioRef[Reference '#]),0),AssetMonthlyReturns[[#This Row],[SPY]:[PE]])</f>
        <v>-3.3229776739887154E-2</v>
      </c>
      <c r="QF25" s="27">
        <f>IF(ISNUMBER(QF24),QF24*(1+PortfolioFrontier[[#This Row],[P112 Return]]),1+PortfolioFrontier[[#This Row],[P112 Return]])</f>
        <v>1.0795994692157334</v>
      </c>
      <c r="QG25" s="27">
        <f>MAX(QG24,PortfolioFrontier[[#This Row],[P112 Growth]])</f>
        <v>1.1167074070352945</v>
      </c>
      <c r="QH25" s="27">
        <f>PortfolioFrontier[[#This Row],[P112 Growth]]/PortfolioFrontier[[#This Row],[P112 HWM]]-1</f>
        <v>-3.322977673988714E-2</v>
      </c>
      <c r="QI25" s="28">
        <f>SUMPRODUCT(INDEX(PortfolioRef[[SPY]:[PE]],MATCH(QI$1,PortfolioRef[Reference '#]),0),AssetMonthlyReturns[[#This Row],[SPY]:[PE]])</f>
        <v>-2.8979980114085532E-2</v>
      </c>
      <c r="QJ25" s="27">
        <f>IF(ISNUMBER(QJ24),QJ24*(1+PortfolioFrontier[[#This Row],[P113 Return]]),1+PortfolioFrontier[[#This Row],[P113 Return]])</f>
        <v>1.0811989030873213</v>
      </c>
      <c r="QK25" s="27">
        <f>MAX(QK24,PortfolioFrontier[[#This Row],[P113 Growth]])</f>
        <v>1.1134671592191805</v>
      </c>
      <c r="QL25" s="27">
        <f>PortfolioFrontier[[#This Row],[P113 Growth]]/PortfolioFrontier[[#This Row],[P113 HWM]]-1</f>
        <v>-2.8979980114085646E-2</v>
      </c>
      <c r="QM25" s="28">
        <f>SUMPRODUCT(INDEX(PortfolioRef[[SPY]:[PE]],MATCH(QM$1,PortfolioRef[Reference '#]),0),AssetMonthlyReturns[[#This Row],[SPY]:[PE]])</f>
        <v>-2.4730183488283906E-2</v>
      </c>
      <c r="QN25" s="27">
        <f>IF(ISNUMBER(QN24),QN24*(1+PortfolioFrontier[[#This Row],[P114 Return]]),1+PortfolioFrontier[[#This Row],[P114 Return]])</f>
        <v>1.0827176026022876</v>
      </c>
      <c r="QO25" s="27">
        <f>MAX(QO24,PortfolioFrontier[[#This Row],[P114 Growth]])</f>
        <v>1.1101723689910592</v>
      </c>
      <c r="QP25" s="27">
        <f>PortfolioFrontier[[#This Row],[P114 Growth]]/PortfolioFrontier[[#This Row],[P114 HWM]]-1</f>
        <v>-2.4730183488283819E-2</v>
      </c>
      <c r="QQ25" s="28">
        <f>SUMPRODUCT(INDEX(PortfolioRef[[SPY]:[PE]],MATCH(QQ$1,PortfolioRef[Reference '#]),0),AssetMonthlyReturns[[#This Row],[SPY]:[PE]])</f>
        <v>-3.0851704535135967E-2</v>
      </c>
      <c r="QR25" s="27">
        <f>IF(ISNUMBER(QR24),QR24*(1+PortfolioFrontier[[#This Row],[P115 Return]]),1+PortfolioFrontier[[#This Row],[P115 Return]])</f>
        <v>1.0828574916454052</v>
      </c>
      <c r="QS25" s="27">
        <f>MAX(QS24,PortfolioFrontier[[#This Row],[P115 Growth]])</f>
        <v>1.1173289956889407</v>
      </c>
      <c r="QT25" s="27">
        <f>PortfolioFrontier[[#This Row],[P115 Growth]]/PortfolioFrontier[[#This Row],[P115 HWM]]-1</f>
        <v>-3.0851704535136082E-2</v>
      </c>
      <c r="QU25" s="28">
        <f>SUMPRODUCT(INDEX(PortfolioRef[[SPY]:[PE]],MATCH(QU$1,PortfolioRef[Reference '#]),0),AssetMonthlyReturns[[#This Row],[SPY]:[PE]])</f>
        <v>-2.6601907909334345E-2</v>
      </c>
      <c r="QV25" s="27">
        <f>IF(ISNUMBER(QV24),QV24*(1+PortfolioFrontier[[#This Row],[P116 Return]]),1+PortfolioFrontier[[#This Row],[P116 Return]])</f>
        <v>1.0844699665250974</v>
      </c>
      <c r="QW25" s="27">
        <f>MAX(QW24,PortfolioFrontier[[#This Row],[P116 Growth]])</f>
        <v>1.1141073475867118</v>
      </c>
      <c r="QX25" s="27">
        <f>PortfolioFrontier[[#This Row],[P116 Growth]]/PortfolioFrontier[[#This Row],[P116 HWM]]-1</f>
        <v>-2.6601907909334255E-2</v>
      </c>
      <c r="QY25" s="28">
        <f>SUMPRODUCT(INDEX(PortfolioRef[[SPY]:[PE]],MATCH(QY$1,PortfolioRef[Reference '#]),0),AssetMonthlyReturns[[#This Row],[SPY]:[PE]])</f>
        <v>-2.2352111283532723E-2</v>
      </c>
      <c r="QZ25" s="27">
        <f>IF(ISNUMBER(QZ24),QZ24*(1+PortfolioFrontier[[#This Row],[P117 Return]]),1+PortfolioFrontier[[#This Row],[P117 Return]])</f>
        <v>1.0860016411693254</v>
      </c>
      <c r="RA25" s="27">
        <f>MAX(RA24,PortfolioFrontier[[#This Row],[P117 Growth]])</f>
        <v>1.1108310606542744</v>
      </c>
      <c r="RB25" s="27">
        <f>PortfolioFrontier[[#This Row],[P117 Growth]]/PortfolioFrontier[[#This Row],[P117 HWM]]-1</f>
        <v>-2.235211128353265E-2</v>
      </c>
      <c r="RC25" s="28">
        <f>SUMPRODUCT(INDEX(PortfolioRef[[SPY]:[PE]],MATCH(RC$1,PortfolioRef[Reference '#]),0),AssetMonthlyReturns[[#This Row],[SPY]:[PE]])</f>
        <v>-3.3652583502405214E-2</v>
      </c>
      <c r="RD25" s="27">
        <f>IF(ISNUMBER(RD24),RD24*(1+PortfolioFrontier[[#This Row],[P118 Return]]),1+PortfolioFrontier[[#This Row],[P118 Return]])</f>
        <v>1.0803905445466431</v>
      </c>
      <c r="RE25" s="27">
        <f>MAX(RE24,PortfolioFrontier[[#This Row],[P118 Growth]])</f>
        <v>1.118014625073851</v>
      </c>
      <c r="RF25" s="27">
        <f>PortfolioFrontier[[#This Row],[P118 Growth]]/PortfolioFrontier[[#This Row],[P118 HWM]]-1</f>
        <v>-3.3652583502405076E-2</v>
      </c>
      <c r="RG25" s="28">
        <f>SUMPRODUCT(INDEX(PortfolioRef[[SPY]:[PE]],MATCH(RG$1,PortfolioRef[Reference '#]),0),AssetMonthlyReturns[[#This Row],[SPY]:[PE]])</f>
        <v>-2.9402786876603589E-2</v>
      </c>
      <c r="RH25" s="27">
        <f>IF(ISNUMBER(RH24),RH24*(1+PortfolioFrontier[[#This Row],[P119 Return]]),1+PortfolioFrontier[[#This Row],[P119 Return]])</f>
        <v>1.0820210979326448</v>
      </c>
      <c r="RI25" s="27">
        <f>MAX(RI24,PortfolioFrontier[[#This Row],[P119 Growth]])</f>
        <v>1.1147993042867748</v>
      </c>
      <c r="RJ25" s="27">
        <f>PortfolioFrontier[[#This Row],[P119 Growth]]/PortfolioFrontier[[#This Row],[P119 HWM]]-1</f>
        <v>-2.9402786876603582E-2</v>
      </c>
      <c r="RK25" s="28">
        <f>SUMPRODUCT(INDEX(PortfolioRef[[SPY]:[PE]],MATCH(RK$1,PortfolioRef[Reference '#]),0),AssetMonthlyReturns[[#This Row],[SPY]:[PE]])</f>
        <v>-2.5152990250801963E-2</v>
      </c>
      <c r="RL25" s="27">
        <f>IF(ISNUMBER(RL24),RL24*(1+PortfolioFrontier[[#This Row],[P120 Return]]),1+PortfolioFrontier[[#This Row],[P120 Return]])</f>
        <v>1.0835709462384417</v>
      </c>
      <c r="RM25" s="27">
        <f>MAX(RM24,PortfolioFrontier[[#This Row],[P120 Growth]])</f>
        <v>1.1115292301273156</v>
      </c>
      <c r="RN25" s="27">
        <f>PortfolioFrontier[[#This Row],[P120 Growth]]/PortfolioFrontier[[#This Row],[P120 HWM]]-1</f>
        <v>-2.5152990250802088E-2</v>
      </c>
      <c r="RO25" s="28">
        <f>SUMPRODUCT(INDEX(PortfolioRef[[SPY]:[PE]],MATCH(RO$1,PortfolioRef[Reference '#]),0),AssetMonthlyReturns[[#This Row],[SPY]:[PE]])</f>
        <v>-3.6453462469674458E-2</v>
      </c>
      <c r="RP25" s="27">
        <f>IF(ISNUMBER(RP24),RP24*(1+PortfolioFrontier[[#This Row],[P121 Return]]),1+PortfolioFrontier[[#This Row],[P121 Return]])</f>
        <v>1.0778440958663054</v>
      </c>
      <c r="RQ25" s="27">
        <f>MAX(RQ24,PortfolioFrontier[[#This Row],[P121 Growth]])</f>
        <v>1.118621731160943</v>
      </c>
      <c r="RR25" s="27">
        <f>PortfolioFrontier[[#This Row],[P121 Growth]]/PortfolioFrontier[[#This Row],[P121 HWM]]-1</f>
        <v>-3.6453462469674403E-2</v>
      </c>
      <c r="RS25" s="28">
        <f>SUMPRODUCT(INDEX(PortfolioRef[[SPY]:[PE]],MATCH(RS$1,PortfolioRef[Reference '#]),0),AssetMonthlyReturns[[#This Row],[SPY]:[PE]])</f>
        <v>-3.2203665843872825E-2</v>
      </c>
      <c r="RT25" s="27">
        <f>IF(ISNUMBER(RT24),RT24*(1+PortfolioFrontier[[#This Row],[P122 Return]]),1+PortfolioFrontier[[#This Row],[P122 Return]])</f>
        <v>1.0794925555878863</v>
      </c>
      <c r="RU25" s="27">
        <f>MAX(RU24,PortfolioFrontier[[#This Row],[P122 Growth]])</f>
        <v>1.1154129412250284</v>
      </c>
      <c r="RV25" s="27">
        <f>PortfolioFrontier[[#This Row],[P122 Growth]]/PortfolioFrontier[[#This Row],[P122 HWM]]-1</f>
        <v>-3.2203665843872797E-2</v>
      </c>
      <c r="RW25" s="28">
        <f>SUMPRODUCT(INDEX(PortfolioRef[[SPY]:[PE]],MATCH(RW$1,PortfolioRef[Reference '#]),0),AssetMonthlyReturns[[#This Row],[SPY]:[PE]])</f>
        <v>-2.795386921807121E-2</v>
      </c>
      <c r="RX25" s="27">
        <f>IF(ISNUMBER(RX24),RX24*(1+PortfolioFrontier[[#This Row],[P123 Return]]),1+PortfolioFrontier[[#This Row],[P123 Return]])</f>
        <v>1.081060411070659</v>
      </c>
      <c r="RY25" s="27">
        <f>MAX(RY24,PortfolioFrontier[[#This Row],[P123 Growth]])</f>
        <v>1.1121492867844014</v>
      </c>
      <c r="RZ25" s="27">
        <f>PortfolioFrontier[[#This Row],[P123 Growth]]/PortfolioFrontier[[#This Row],[P123 HWM]]-1</f>
        <v>-2.7953869218071303E-2</v>
      </c>
      <c r="SA25" s="28">
        <f>SUMPRODUCT(INDEX(PortfolioRef[[SPY]:[PE]],MATCH(SA$1,PortfolioRef[Reference '#]),0),AssetMonthlyReturns[[#This Row],[SPY]:[PE]])</f>
        <v>-3.4075390264923275E-2</v>
      </c>
      <c r="SB25" s="27">
        <f>IF(ISNUMBER(SB24),SB24*(1+PortfolioFrontier[[#This Row],[P124 Return]]),1+PortfolioFrontier[[#This Row],[P124 Return]])</f>
        <v>1.0811233694823119</v>
      </c>
      <c r="SC25" s="27">
        <f>MAX(SC24,PortfolioFrontier[[#This Row],[P124 Growth]])</f>
        <v>1.1192626821867915</v>
      </c>
      <c r="SD25" s="27">
        <f>PortfolioFrontier[[#This Row],[P124 Growth]]/PortfolioFrontier[[#This Row],[P124 HWM]]-1</f>
        <v>-3.4075390264923122E-2</v>
      </c>
      <c r="SE25" s="28">
        <f>SUMPRODUCT(INDEX(PortfolioRef[[SPY]:[PE]],MATCH(SE$1,PortfolioRef[Reference '#]),0),AssetMonthlyReturns[[#This Row],[SPY]:[PE]])</f>
        <v>-2.9825593639121649E-2</v>
      </c>
      <c r="SF25" s="27">
        <f>IF(ISNUMBER(SF24),SF24*(1+PortfolioFrontier[[#This Row],[P125 Return]]),1+PortfolioFrontier[[#This Row],[P125 Return]])</f>
        <v>1.082784931792204</v>
      </c>
      <c r="SG25" s="27">
        <f>MAX(SG24,PortfolioFrontier[[#This Row],[P125 Growth]])</f>
        <v>1.1160724553162842</v>
      </c>
      <c r="SH25" s="27">
        <f>PortfolioFrontier[[#This Row],[P125 Growth]]/PortfolioFrontier[[#This Row],[P125 HWM]]-1</f>
        <v>-2.9825593639121517E-2</v>
      </c>
      <c r="SI25" s="28">
        <f>SUMPRODUCT(INDEX(PortfolioRef[[SPY]:[PE]],MATCH(SI$1,PortfolioRef[Reference '#]),0),AssetMonthlyReturns[[#This Row],[SPY]:[PE]])</f>
        <v>-2.5575797013320023E-2</v>
      </c>
      <c r="SJ25" s="27">
        <f>IF(ISNUMBER(SJ24),SJ24*(1+PortfolioFrontier[[#This Row],[P126 Return]]),1+PortfolioFrontier[[#This Row],[P126 Return]])</f>
        <v>1.0843658229977384</v>
      </c>
      <c r="SK25" s="27">
        <f>MAX(SK24,PortfolioFrontier[[#This Row],[P126 Growth]])</f>
        <v>1.1128272672970145</v>
      </c>
      <c r="SL25" s="27">
        <f>PortfolioFrontier[[#This Row],[P126 Growth]]/PortfolioFrontier[[#This Row],[P126 HWM]]-1</f>
        <v>-2.5575797013320023E-2</v>
      </c>
      <c r="SM25" s="28">
        <f>SUMPRODUCT(INDEX(PortfolioRef[[SPY]:[PE]],MATCH(SM$1,PortfolioRef[Reference '#]),0),AssetMonthlyReturns[[#This Row],[SPY]:[PE]])</f>
        <v>-3.6876269232192511E-2</v>
      </c>
      <c r="SN25" s="27">
        <f>IF(ISNUMBER(SN24),SN24*(1+PortfolioFrontier[[#This Row],[P127 Return]]),1+PortfolioFrontier[[#This Row],[P127 Return]])</f>
        <v>1.0786233628607531</v>
      </c>
      <c r="SO25" s="27">
        <f>MAX(SO24,PortfolioFrontier[[#This Row],[P127 Growth]])</f>
        <v>1.1199219045312785</v>
      </c>
      <c r="SP25" s="27">
        <f>PortfolioFrontier[[#This Row],[P127 Growth]]/PortfolioFrontier[[#This Row],[P127 HWM]]-1</f>
        <v>-3.6876269232192671E-2</v>
      </c>
      <c r="SQ25" s="28">
        <f>SUMPRODUCT(INDEX(PortfolioRef[[SPY]:[PE]],MATCH(SQ$1,PortfolioRef[Reference '#]),0),AssetMonthlyReturns[[#This Row],[SPY]:[PE]])</f>
        <v>-3.2626472606390886E-2</v>
      </c>
      <c r="SR25" s="27">
        <f>IF(ISNUMBER(SR24),SR24*(1+PortfolioFrontier[[#This Row],[P128 Return]]),1+PortfolioFrontier[[#This Row],[P128 Return]])</f>
        <v>1.0803029092384939</v>
      </c>
      <c r="SS25" s="27">
        <f>MAX(SS24,PortfolioFrontier[[#This Row],[P128 Growth]])</f>
        <v>1.1167381354223636</v>
      </c>
      <c r="ST25" s="27">
        <f>PortfolioFrontier[[#This Row],[P128 Growth]]/PortfolioFrontier[[#This Row],[P128 HWM]]-1</f>
        <v>-3.2626472606390733E-2</v>
      </c>
      <c r="SU25" s="28">
        <f>SUMPRODUCT(INDEX(PortfolioRef[[SPY]:[PE]],MATCH(SU$1,PortfolioRef[Reference '#]),0),AssetMonthlyReturns[[#This Row],[SPY]:[PE]])</f>
        <v>-2.8376675980589267E-2</v>
      </c>
      <c r="SV25" s="27">
        <f>IF(ISNUMBER(SV24),SV24*(1+PortfolioFrontier[[#This Row],[P129 Return]]),1+PortfolioFrontier[[#This Row],[P129 Return]])</f>
        <v>1.0819018832505256</v>
      </c>
      <c r="SW25" s="27">
        <f>MAX(SW24,PortfolioFrontier[[#This Row],[P129 Growth]])</f>
        <v>1.1134992918602598</v>
      </c>
      <c r="SX25" s="27">
        <f>PortfolioFrontier[[#This Row],[P129 Growth]]/PortfolioFrontier[[#This Row],[P129 HWM]]-1</f>
        <v>-2.8376675980589239E-2</v>
      </c>
      <c r="SY25" s="28">
        <f>SUMPRODUCT(INDEX(PortfolioRef[[SPY]:[PE]],MATCH(SY$1,PortfolioRef[Reference '#]),0),AssetMonthlyReturns[[#This Row],[SPY]:[PE]])</f>
        <v>-3.9677148199461755E-2</v>
      </c>
      <c r="SZ25" s="27">
        <f>IF(ISNUMBER(SZ24),SZ24*(1+PortfolioFrontier[[#This Row],[P130 Return]]),1+PortfolioFrontier[[#This Row],[P130 Return]])</f>
        <v>1.0760441446751565</v>
      </c>
      <c r="TA25" s="27">
        <f>MAX(TA24,PortfolioFrontier[[#This Row],[P130 Growth]])</f>
        <v>1.1205024879473076</v>
      </c>
      <c r="TB25" s="27">
        <f>PortfolioFrontier[[#This Row],[P130 Growth]]/PortfolioFrontier[[#This Row],[P130 HWM]]-1</f>
        <v>-3.9677148199461887E-2</v>
      </c>
      <c r="TC25" s="28">
        <f>SUMPRODUCT(INDEX(PortfolioRef[[SPY]:[PE]],MATCH(TC$1,PortfolioRef[Reference '#]),0),AssetMonthlyReturns[[#This Row],[SPY]:[PE]])</f>
        <v>-3.5427351573660129E-2</v>
      </c>
      <c r="TD25" s="27">
        <f>IF(ISNUMBER(TD24),TD24*(1+PortfolioFrontier[[#This Row],[P131 Return]]),1+PortfolioFrontier[[#This Row],[P131 Return]])</f>
        <v>1.0777414988906013</v>
      </c>
      <c r="TE25" s="27">
        <f>MAX(TE24,PortfolioFrontier[[#This Row],[P131 Growth]])</f>
        <v>1.1173253778747425</v>
      </c>
      <c r="TF25" s="27">
        <f>PortfolioFrontier[[#This Row],[P131 Growth]]/PortfolioFrontier[[#This Row],[P131 HWM]]-1</f>
        <v>-3.5427351573660171E-2</v>
      </c>
      <c r="TG25" s="28">
        <f>SUMPRODUCT(INDEX(PortfolioRef[[SPY]:[PE]],MATCH(TG$1,PortfolioRef[Reference '#]),0),AssetMonthlyReturns[[#This Row],[SPY]:[PE]])</f>
        <v>-3.117755494785851E-2</v>
      </c>
      <c r="TH25" s="27">
        <f>IF(ISNUMBER(TH24),TH24*(1+PortfolioFrontier[[#This Row],[P132 Return]]),1+PortfolioFrontier[[#This Row],[P132 Return]])</f>
        <v>1.0793583851490183</v>
      </c>
      <c r="TI25" s="27">
        <f>MAX(TI24,PortfolioFrontier[[#This Row],[P132 Growth]])</f>
        <v>1.1140930834761242</v>
      </c>
      <c r="TJ25" s="27">
        <f>PortfolioFrontier[[#This Row],[P132 Growth]]/PortfolioFrontier[[#This Row],[P132 HWM]]-1</f>
        <v>-3.1177554947858455E-2</v>
      </c>
      <c r="TK25" s="28">
        <f>SUMPRODUCT(INDEX(PortfolioRef[[SPY]:[PE]],MATCH(TK$1,PortfolioRef[Reference '#]),0),AssetMonthlyReturns[[#This Row],[SPY]:[PE]])</f>
        <v>-3.7299075994710565E-2</v>
      </c>
      <c r="TL25" s="27">
        <f>IF(ISNUMBER(TL24),TL24*(1+PortfolioFrontier[[#This Row],[P133 Return]]),1+PortfolioFrontier[[#This Row],[P133 Return]])</f>
        <v>1.0793445305639497</v>
      </c>
      <c r="TM25" s="27">
        <f>MAX(TM24,PortfolioFrontier[[#This Row],[P133 Growth]])</f>
        <v>1.1211628696411426</v>
      </c>
      <c r="TN25" s="27">
        <f>PortfolioFrontier[[#This Row],[P133 Growth]]/PortfolioFrontier[[#This Row],[P133 HWM]]-1</f>
        <v>-3.7299075994710718E-2</v>
      </c>
      <c r="TO25" s="28">
        <f>SUMPRODUCT(INDEX(PortfolioRef[[SPY]:[PE]],MATCH(TO$1,PortfolioRef[Reference '#]),0),AssetMonthlyReturns[[#This Row],[SPY]:[PE]])</f>
        <v>-3.3049279368908946E-2</v>
      </c>
      <c r="TP25" s="27">
        <f>IF(ISNUMBER(TP24),TP24*(1+PortfolioFrontier[[#This Row],[P134 Return]]),1+PortfolioFrontier[[#This Row],[P134 Return]])</f>
        <v>1.0810550506535619</v>
      </c>
      <c r="TQ25" s="27">
        <f>MAX(TQ24,PortfolioFrontier[[#This Row],[P134 Growth]])</f>
        <v>1.1180042866589928</v>
      </c>
      <c r="TR25" s="27">
        <f>PortfolioFrontier[[#This Row],[P134 Growth]]/PortfolioFrontier[[#This Row],[P134 HWM]]-1</f>
        <v>-3.3049279368909001E-2</v>
      </c>
      <c r="TS25" s="28">
        <f>SUMPRODUCT(INDEX(PortfolioRef[[SPY]:[PE]],MATCH(TS$1,PortfolioRef[Reference '#]),0),AssetMonthlyReturns[[#This Row],[SPY]:[PE]])</f>
        <v>-2.8799482743107323E-2</v>
      </c>
      <c r="TT25" s="27">
        <f>IF(ISNUMBER(TT24),TT24*(1+PortfolioFrontier[[#This Row],[P135 Return]]),1+PortfolioFrontier[[#This Row],[P135 Return]])</f>
        <v>1.0826850349381369</v>
      </c>
      <c r="TU25" s="27">
        <f>MAX(TU24,PortfolioFrontier[[#This Row],[P135 Growth]])</f>
        <v>1.1147904224723095</v>
      </c>
      <c r="TV25" s="27">
        <f>PortfolioFrontier[[#This Row],[P135 Growth]]/PortfolioFrontier[[#This Row],[P135 HWM]]-1</f>
        <v>-2.8799482743107285E-2</v>
      </c>
      <c r="TW25" s="28">
        <f>SUMPRODUCT(INDEX(PortfolioRef[[SPY]:[PE]],MATCH(TW$1,PortfolioRef[Reference '#]),0),AssetMonthlyReturns[[#This Row],[SPY]:[PE]])</f>
        <v>-4.0099954961979808E-2</v>
      </c>
      <c r="TX25" s="27">
        <f>IF(ISNUMBER(TX24),TX24*(1+PortfolioFrontier[[#This Row],[P136 Return]]),1+PortfolioFrontier[[#This Row],[P136 Return]])</f>
        <v>1.0768116130833179</v>
      </c>
      <c r="TY25" s="27">
        <f>MAX(TY24,PortfolioFrontier[[#This Row],[P136 Growth]])</f>
        <v>1.1217955647045177</v>
      </c>
      <c r="TZ25" s="27">
        <f>PortfolioFrontier[[#This Row],[P136 Growth]]/PortfolioFrontier[[#This Row],[P136 HWM]]-1</f>
        <v>-4.0099954961979822E-2</v>
      </c>
      <c r="UA25" s="28">
        <f>SUMPRODUCT(INDEX(PortfolioRef[[SPY]:[PE]],MATCH(UA$1,PortfolioRef[Reference '#]),0),AssetMonthlyReturns[[#This Row],[SPY]:[PE]])</f>
        <v>-3.5850158336178183E-2</v>
      </c>
      <c r="UB25" s="27">
        <f>IF(ISNUMBER(UB24),UB24*(1+PortfolioFrontier[[#This Row],[P137 Return]]),1+PortfolioFrontier[[#This Row],[P137 Return]])</f>
        <v>1.0785400194758412</v>
      </c>
      <c r="UC25" s="27">
        <f>MAX(UC24,PortfolioFrontier[[#This Row],[P137 Growth]])</f>
        <v>1.1186435685293665</v>
      </c>
      <c r="UD25" s="27">
        <f>PortfolioFrontier[[#This Row],[P137 Growth]]/PortfolioFrontier[[#This Row],[P137 HWM]]-1</f>
        <v>-3.5850158336178328E-2</v>
      </c>
      <c r="UE25" s="28">
        <f>SUMPRODUCT(INDEX(PortfolioRef[[SPY]:[PE]],MATCH(UE$1,PortfolioRef[Reference '#]),0),AssetMonthlyReturns[[#This Row],[SPY]:[PE]])</f>
        <v>-3.1600361710376564E-2</v>
      </c>
      <c r="UF25" s="27">
        <f>IF(ISNUMBER(UF24),UF24*(1+PortfolioFrontier[[#This Row],[P138 Return]]),1+PortfolioFrontier[[#This Row],[P138 Return]])</f>
        <v>1.0801879923778523</v>
      </c>
      <c r="UG25" s="27">
        <f>MAX(UG24,PortfolioFrontier[[#This Row],[P138 Growth]])</f>
        <v>1.1154361791023262</v>
      </c>
      <c r="UH25" s="27">
        <f>PortfolioFrontier[[#This Row],[P138 Growth]]/PortfolioFrontier[[#This Row],[P138 HWM]]-1</f>
        <v>-3.1600361710376501E-2</v>
      </c>
      <c r="UI25" s="28">
        <f>SUMPRODUCT(INDEX(PortfolioRef[[SPY]:[PE]],MATCH(UI$1,PortfolioRef[Reference '#]),0),AssetMonthlyReturns[[#This Row],[SPY]:[PE]])</f>
        <v>-4.2900833929249059E-2</v>
      </c>
      <c r="UJ25" s="27">
        <f>IF(ISNUMBER(UJ24),UJ24*(1+PortfolioFrontier[[#This Row],[P139 Return]]),1+PortfolioFrontier[[#This Row],[P139 Return]])</f>
        <v>1.0741997785325736</v>
      </c>
      <c r="UK25" s="27">
        <f>MAX(UK24,PortfolioFrontier[[#This Row],[P139 Growth]])</f>
        <v>1.1223495084031516</v>
      </c>
      <c r="UL25" s="27">
        <f>PortfolioFrontier[[#This Row],[P139 Growth]]/PortfolioFrontier[[#This Row],[P139 HWM]]-1</f>
        <v>-4.2900833929249149E-2</v>
      </c>
      <c r="UM25" s="28">
        <f>SUMPRODUCT(INDEX(PortfolioRef[[SPY]:[PE]],MATCH(UM$1,PortfolioRef[Reference '#]),0),AssetMonthlyReturns[[#This Row],[SPY]:[PE]])</f>
        <v>-3.8651037303447426E-2</v>
      </c>
      <c r="UN25" s="27">
        <f>IF(ISNUMBER(UN24),UN24*(1+PortfolioFrontier[[#This Row],[P140 Return]]),1+PortfolioFrontier[[#This Row],[P140 Return]])</f>
        <v>1.0759458909566355</v>
      </c>
      <c r="UO25" s="27">
        <f>MAX(UO24,PortfolioFrontier[[#This Row],[P140 Growth]])</f>
        <v>1.1192042980299706</v>
      </c>
      <c r="UP25" s="27">
        <f>PortfolioFrontier[[#This Row],[P140 Growth]]/PortfolioFrontier[[#This Row],[P140 HWM]]-1</f>
        <v>-3.8651037303447433E-2</v>
      </c>
      <c r="UQ25" s="28">
        <f>SUMPRODUCT(INDEX(PortfolioRef[[SPY]:[PE]],MATCH(UQ$1,PortfolioRef[Reference '#]),0),AssetMonthlyReturns[[#This Row],[SPY]:[PE]])</f>
        <v>-3.4401240677645807E-2</v>
      </c>
      <c r="UR25" s="27">
        <f>IF(ISNUMBER(UR24),UR24*(1+PortfolioFrontier[[#This Row],[P141 Return]]),1+PortfolioFrontier[[#This Row],[P141 Return]])</f>
        <v>1.0776116778580707</v>
      </c>
      <c r="US25" s="27">
        <f>MAX(US24,PortfolioFrontier[[#This Row],[P141 Growth]])</f>
        <v>1.1160035858106589</v>
      </c>
      <c r="UT25" s="27">
        <f>PortfolioFrontier[[#This Row],[P141 Growth]]/PortfolioFrontier[[#This Row],[P141 HWM]]-1</f>
        <v>-3.4401240677645828E-2</v>
      </c>
    </row>
    <row r="26" spans="2:566" x14ac:dyDescent="0.2">
      <c r="B26" s="41">
        <f>AssetMonthlyReturns[[#This Row],[Date]]</f>
        <v>43160</v>
      </c>
      <c r="C26" s="28">
        <f>SUMPRODUCT(INDEX(PortfolioRef[[SPY]:[PE]],MATCH(C$1,PortfolioRef[Reference '#]),0),AssetMonthlyReturns[[#This Row],[SPY]:[PE]])</f>
        <v>-1.4376954538382412E-2</v>
      </c>
      <c r="D26" s="29">
        <f>IF(ISNUMBER(D25),D25*(1+PortfolioFrontier[[#This Row],[P1 Return]]),1+PortfolioFrontier[[#This Row],[P1 Return]])</f>
        <v>1.1720266075418744</v>
      </c>
      <c r="E26" s="29">
        <f>MAX(E25,PortfolioFrontier[[#This Row],[P1 Growth]])</f>
        <v>1.2268807402593727</v>
      </c>
      <c r="F26" s="29">
        <f>PortfolioFrontier[[#This Row],[P1 Growth]]/PortfolioFrontier[[#This Row],[P1 HWM]]-1</f>
        <v>-4.4710240300863902E-2</v>
      </c>
      <c r="G26" s="28">
        <f>SUMPRODUCT(INDEX(PortfolioRef[[SPY]:[PE]],MATCH(G$1,PortfolioRef[Reference '#]),0),AssetMonthlyReturns[[#This Row],[SPY]:[PE]])</f>
        <v>-1.2474961353239812E-2</v>
      </c>
      <c r="H26" s="27">
        <f>IF(ISNUMBER(H25),H25*(1+PortfolioFrontier[[#This Row],[P2 Return]]),1+PortfolioFrontier[[#This Row],[P2 Return]])</f>
        <v>1.1565320904417864</v>
      </c>
      <c r="I26" s="27">
        <f>MAX(I25,PortfolioFrontier[[#This Row],[P2 Growth]])</f>
        <v>1.2068315625281993</v>
      </c>
      <c r="J26" s="27">
        <f>PortfolioFrontier[[#This Row],[P2 Growth]]/PortfolioFrontier[[#This Row],[P2 HWM]]-1</f>
        <v>-4.1678949779072938E-2</v>
      </c>
      <c r="K26" s="28">
        <f>SUMPRODUCT(INDEX(PortfolioRef[[SPY]:[PE]],MATCH(K$1,PortfolioRef[Reference '#]),0),AssetMonthlyReturns[[#This Row],[SPY]:[PE]])</f>
        <v>-1.2496439810532034E-2</v>
      </c>
      <c r="L26" s="27">
        <f>IF(ISNUMBER(L25),L25*(1+PortfolioFrontier[[#This Row],[P3 Return]]),1+PortfolioFrontier[[#This Row],[P3 Return]])</f>
        <v>1.157411932769816</v>
      </c>
      <c r="M26" s="27">
        <f>MAX(M25,PortfolioFrontier[[#This Row],[P3 Growth]])</f>
        <v>1.2083023864943216</v>
      </c>
      <c r="N26" s="27">
        <f>PortfolioFrontier[[#This Row],[P3 Growth]]/PortfolioFrontier[[#This Row],[P3 HWM]]-1</f>
        <v>-4.2117316239153824E-2</v>
      </c>
      <c r="O26" s="28">
        <f>SUMPRODUCT(INDEX(PortfolioRef[[SPY]:[PE]],MATCH(O$1,PortfolioRef[Reference '#]),0),AssetMonthlyReturns[[#This Row],[SPY]:[PE]])</f>
        <v>-1.1367313458704465E-2</v>
      </c>
      <c r="P26" s="27">
        <f>IF(ISNUMBER(P25),P25*(1+PortfolioFrontier[[#This Row],[P4 Return]]),1+PortfolioFrontier[[#This Row],[P4 Return]])</f>
        <v>1.1560264497713912</v>
      </c>
      <c r="Q26" s="27">
        <f>MAX(Q25,PortfolioFrontier[[#This Row],[P4 Growth]])</f>
        <v>1.2089685098853755</v>
      </c>
      <c r="R26" s="27">
        <f>PortfolioFrontier[[#This Row],[P4 Growth]]/PortfolioFrontier[[#This Row],[P4 HWM]]-1</f>
        <v>-4.3791099338893247E-2</v>
      </c>
      <c r="S26" s="28">
        <f>SUMPRODUCT(INDEX(PortfolioRef[[SPY]:[PE]],MATCH(S$1,PortfolioRef[Reference '#]),0),AssetMonthlyReturns[[#This Row],[SPY]:[PE]])</f>
        <v>-1.36634337143121E-2</v>
      </c>
      <c r="T26" s="27">
        <f>IF(ISNUMBER(T25),T25*(1+PortfolioFrontier[[#This Row],[P5 Return]]),1+PortfolioFrontier[[#This Row],[P5 Return]])</f>
        <v>1.1549806429715956</v>
      </c>
      <c r="U26" s="27">
        <f>MAX(U25,PortfolioFrontier[[#This Row],[P5 Growth]])</f>
        <v>1.2053902876248646</v>
      </c>
      <c r="V26" s="27">
        <f>PortfolioFrontier[[#This Row],[P5 Growth]]/PortfolioFrontier[[#This Row],[P5 HWM]]-1</f>
        <v>-4.1820184856970699E-2</v>
      </c>
      <c r="W26" s="28">
        <f>SUMPRODUCT(INDEX(PortfolioRef[[SPY]:[PE]],MATCH(W$1,PortfolioRef[Reference '#]),0),AssetMonthlyReturns[[#This Row],[SPY]:[PE]])</f>
        <v>-1.0572968168097214E-2</v>
      </c>
      <c r="X26" s="27">
        <f>IF(ISNUMBER(X25),X25*(1+PortfolioFrontier[[#This Row],[P6 Return]]),1+PortfolioFrontier[[#This Row],[P6 Return]])</f>
        <v>1.1411935897358361</v>
      </c>
      <c r="Y26" s="27">
        <f>MAX(Y25,PortfolioFrontier[[#This Row],[P6 Growth]])</f>
        <v>1.1870654596234402</v>
      </c>
      <c r="Z26" s="27">
        <f>PortfolioFrontier[[#This Row],[P6 Growth]]/PortfolioFrontier[[#This Row],[P6 HWM]]-1</f>
        <v>-3.8643083678094325E-2</v>
      </c>
      <c r="AA26" s="28">
        <f>SUMPRODUCT(INDEX(PortfolioRef[[SPY]:[PE]],MATCH(AA$1,PortfolioRef[Reference '#]),0),AssetMonthlyReturns[[#This Row],[SPY]:[PE]])</f>
        <v>-1.0594446625389435E-2</v>
      </c>
      <c r="AB26" s="27">
        <f>IF(ISNUMBER(AB25),AB25*(1+PortfolioFrontier[[#This Row],[P7 Return]]),1+PortfolioFrontier[[#This Row],[P7 Return]])</f>
        <v>1.1420571308964076</v>
      </c>
      <c r="AC26" s="27">
        <f>MAX(AC25,PortfolioFrontier[[#This Row],[P7 Growth]])</f>
        <v>1.1885066820011696</v>
      </c>
      <c r="AD26" s="27">
        <f>PortfolioFrontier[[#This Row],[P7 Growth]]/PortfolioFrontier[[#This Row],[P7 HWM]]-1</f>
        <v>-3.9082280148860171E-2</v>
      </c>
      <c r="AE26" s="28">
        <f>SUMPRODUCT(INDEX(PortfolioRef[[SPY]:[PE]],MATCH(AE$1,PortfolioRef[Reference '#]),0),AssetMonthlyReturns[[#This Row],[SPY]:[PE]])</f>
        <v>-9.4653202735618669E-3</v>
      </c>
      <c r="AF26" s="27">
        <f>IF(ISNUMBER(AF25),AF25*(1+PortfolioFrontier[[#This Row],[P8 Return]]),1+PortfolioFrontier[[#This Row],[P8 Return]])</f>
        <v>1.1407065147007918</v>
      </c>
      <c r="AG26" s="27">
        <f>MAX(AG25,PortfolioFrontier[[#This Row],[P8 Growth]])</f>
        <v>1.1891774250084055</v>
      </c>
      <c r="AH26" s="27">
        <f>PortfolioFrontier[[#This Row],[P8 Growth]]/PortfolioFrontier[[#This Row],[P8 HWM]]-1</f>
        <v>-4.0760032345275254E-2</v>
      </c>
      <c r="AI26" s="28">
        <f>SUMPRODUCT(INDEX(PortfolioRef[[SPY]:[PE]],MATCH(AI$1,PortfolioRef[Reference '#]),0),AssetMonthlyReturns[[#This Row],[SPY]:[PE]])</f>
        <v>-1.1761440529169501E-2</v>
      </c>
      <c r="AJ26" s="27">
        <f>IF(ISNUMBER(AJ25),AJ25*(1+PortfolioFrontier[[#This Row],[P9 Return]]),1+PortfolioFrontier[[#This Row],[P9 Return]])</f>
        <v>1.1396716191299197</v>
      </c>
      <c r="AK26" s="27">
        <f>MAX(AK25,PortfolioFrontier[[#This Row],[P9 Growth]])</f>
        <v>1.1856558546826308</v>
      </c>
      <c r="AL26" s="27">
        <f>PortfolioFrontier[[#This Row],[P9 Growth]]/PortfolioFrontier[[#This Row],[P9 HWM]]-1</f>
        <v>-3.8783796639725532E-2</v>
      </c>
      <c r="AM26" s="28">
        <f>SUMPRODUCT(INDEX(PortfolioRef[[SPY]:[PE]],MATCH(AM$1,PortfolioRef[Reference '#]),0),AssetMonthlyReturns[[#This Row],[SPY]:[PE]])</f>
        <v>-1.061592508268166E-2</v>
      </c>
      <c r="AN26" s="27">
        <f>IF(ISNUMBER(AN25),AN25*(1+PortfolioFrontier[[#This Row],[P10 Return]]),1+PortfolioFrontier[[#This Row],[P10 Return]])</f>
        <v>1.1428593546137815</v>
      </c>
      <c r="AO26" s="27">
        <f>MAX(AO25,PortfolioFrontier[[#This Row],[P10 Growth]])</f>
        <v>1.189885359414661</v>
      </c>
      <c r="AP26" s="27">
        <f>PortfolioFrontier[[#This Row],[P10 Growth]]/PortfolioFrontier[[#This Row],[P10 HWM]]-1</f>
        <v>-3.9521458457151604E-2</v>
      </c>
      <c r="AQ26" s="28">
        <f>SUMPRODUCT(INDEX(PortfolioRef[[SPY]:[PE]],MATCH(AQ$1,PortfolioRef[Reference '#]),0),AssetMonthlyReturns[[#This Row],[SPY]:[PE]])</f>
        <v>-9.4867987308540902E-3</v>
      </c>
      <c r="AR26" s="27">
        <f>IF(ISNUMBER(AR25),AR25*(1+PortfolioFrontier[[#This Row],[P11 Return]]),1+PortfolioFrontier[[#This Row],[P11 Return]])</f>
        <v>1.1415584310381</v>
      </c>
      <c r="AS26" s="27">
        <f>MAX(AS25,PortfolioFrontier[[#This Row],[P11 Growth]])</f>
        <v>1.1906111681356153</v>
      </c>
      <c r="AT26" s="27">
        <f>PortfolioFrontier[[#This Row],[P11 Growth]]/PortfolioFrontier[[#This Row],[P11 HWM]]-1</f>
        <v>-4.1199627897264945E-2</v>
      </c>
      <c r="AU26" s="28">
        <f>SUMPRODUCT(INDEX(PortfolioRef[[SPY]:[PE]],MATCH(AU$1,PortfolioRef[Reference '#]),0),AssetMonthlyReturns[[#This Row],[SPY]:[PE]])</f>
        <v>-1.1782918986461725E-2</v>
      </c>
      <c r="AV26" s="27">
        <f>IF(ISNUMBER(AV25),AV25*(1+PortfolioFrontier[[#This Row],[P12 Return]]),1+PortfolioFrontier[[#This Row],[P12 Return]])</f>
        <v>1.1405543153351447</v>
      </c>
      <c r="AW26" s="27">
        <f>MAX(AW25,PortfolioFrontier[[#This Row],[P12 Growth]])</f>
        <v>1.1871159871654284</v>
      </c>
      <c r="AX26" s="27">
        <f>PortfolioFrontier[[#This Row],[P12 Growth]]/PortfolioFrontier[[#This Row],[P12 HWM]]-1</f>
        <v>-3.9222512655619046E-2</v>
      </c>
      <c r="AY26" s="28">
        <f>SUMPRODUCT(INDEX(PortfolioRef[[SPY]:[PE]],MATCH(AY$1,PortfolioRef[Reference '#]),0),AssetMonthlyReturns[[#This Row],[SPY]:[PE]])</f>
        <v>-8.3576723790265203E-3</v>
      </c>
      <c r="AZ26" s="27">
        <f>IF(ISNUMBER(AZ25),AZ25*(1+PortfolioFrontier[[#This Row],[P13 Return]]),1+PortfolioFrontier[[#This Row],[P13 Return]])</f>
        <v>1.1401682172020555</v>
      </c>
      <c r="BA26" s="27">
        <f>MAX(BA25,PortfolioFrontier[[#This Row],[P13 Growth]])</f>
        <v>1.1912541040450171</v>
      </c>
      <c r="BB26" s="27">
        <f>PortfolioFrontier[[#This Row],[P13 Growth]]/PortfolioFrontier[[#This Row],[P13 HWM]]-1</f>
        <v>-4.288412242987838E-2</v>
      </c>
      <c r="BC26" s="28">
        <f>SUMPRODUCT(INDEX(PortfolioRef[[SPY]:[PE]],MATCH(BC$1,PortfolioRef[Reference '#]),0),AssetMonthlyReturns[[#This Row],[SPY]:[PE]])</f>
        <v>-1.0653792634634156E-2</v>
      </c>
      <c r="BD26" s="27">
        <f>IF(ISNUMBER(BD25),BD25*(1+PortfolioFrontier[[#This Row],[P14 Return]]),1+PortfolioFrontier[[#This Row],[P14 Return]])</f>
        <v>1.1391910678705293</v>
      </c>
      <c r="BE26" s="27">
        <f>MAX(BE25,PortfolioFrontier[[#This Row],[P14 Growth]])</f>
        <v>1.1877656683363773</v>
      </c>
      <c r="BF26" s="27">
        <f>PortfolioFrontier[[#This Row],[P14 Growth]]/PortfolioFrontier[[#This Row],[P14 HWM]]-1</f>
        <v>-4.0895777475941975E-2</v>
      </c>
      <c r="BG26" s="28">
        <f>SUMPRODUCT(INDEX(PortfolioRef[[SPY]:[PE]],MATCH(BG$1,PortfolioRef[Reference '#]),0),AssetMonthlyReturns[[#This Row],[SPY]:[PE]])</f>
        <v>-1.2949912890241793E-2</v>
      </c>
      <c r="BH26" s="27">
        <f>IF(ISNUMBER(BH25),BH25*(1+PortfolioFrontier[[#This Row],[P15 Return]]),1+PortfolioFrontier[[#This Row],[P15 Return]])</f>
        <v>1.1381214643677229</v>
      </c>
      <c r="BI26" s="27">
        <f>MAX(BI25,PortfolioFrontier[[#This Row],[P15 Growth]])</f>
        <v>1.1842195166350118</v>
      </c>
      <c r="BJ26" s="27">
        <f>PortfolioFrontier[[#This Row],[P15 Growth]]/PortfolioFrontier[[#This Row],[P15 HWM]]-1</f>
        <v>-3.8926948610235379E-2</v>
      </c>
      <c r="BK26" s="28">
        <f>SUMPRODUCT(INDEX(PortfolioRef[[SPY]:[PE]],MATCH(BK$1,PortfolioRef[Reference '#]),0),AssetMonthlyReturns[[#This Row],[SPY]:[PE]])</f>
        <v>-8.6709749829546184E-3</v>
      </c>
      <c r="BL26" s="27">
        <f>IF(ISNUMBER(BL25),BL25*(1+PortfolioFrontier[[#This Row],[P16 Return]]),1+PortfolioFrontier[[#This Row],[P16 Return]])</f>
        <v>1.1260101559934093</v>
      </c>
      <c r="BM26" s="27">
        <f>MAX(BM25,PortfolioFrontier[[#This Row],[P16 Growth]])</f>
        <v>1.1675790550962819</v>
      </c>
      <c r="BN26" s="27">
        <f>PortfolioFrontier[[#This Row],[P16 Growth]]/PortfolioFrontier[[#This Row],[P16 HWM]]-1</f>
        <v>-3.5602641997928619E-2</v>
      </c>
      <c r="BO26" s="28">
        <f>SUMPRODUCT(INDEX(PortfolioRef[[SPY]:[PE]],MATCH(BO$1,PortfolioRef[Reference '#]),0),AssetMonthlyReturns[[#This Row],[SPY]:[PE]])</f>
        <v>-8.69245344024684E-3</v>
      </c>
      <c r="BP26" s="27">
        <f>IF(ISNUMBER(BP25),BP25*(1+PortfolioFrontier[[#This Row],[P17 Return]]),1+PortfolioFrontier[[#This Row],[P17 Return]])</f>
        <v>1.1268576437342461</v>
      </c>
      <c r="BQ26" s="27">
        <f>MAX(BQ25,PortfolioFrontier[[#This Row],[P17 Growth]])</f>
        <v>1.1689912062359162</v>
      </c>
      <c r="BR26" s="27">
        <f>PortfolioFrontier[[#This Row],[P17 Growth]]/PortfolioFrontier[[#This Row],[P17 HWM]]-1</f>
        <v>-3.6042668479378648E-2</v>
      </c>
      <c r="BS26" s="28">
        <f>SUMPRODUCT(INDEX(PortfolioRef[[SPY]:[PE]],MATCH(BS$1,PortfolioRef[Reference '#]),0),AssetMonthlyReturns[[#This Row],[SPY]:[PE]])</f>
        <v>-7.5633270884192709E-3</v>
      </c>
      <c r="BT26" s="27">
        <f>IF(ISNUMBER(BT25),BT25*(1+PortfolioFrontier[[#This Row],[P18 Return]]),1+PortfolioFrontier[[#This Row],[P18 Return]])</f>
        <v>1.1255412890172953</v>
      </c>
      <c r="BU26" s="27">
        <f>MAX(BU25,PortfolioFrontier[[#This Row],[P18 Growth]])</f>
        <v>1.1696662339297583</v>
      </c>
      <c r="BV26" s="27">
        <f>PortfolioFrontier[[#This Row],[P18 Growth]]/PortfolioFrontier[[#This Row],[P18 HWM]]-1</f>
        <v>-3.7724389772469724E-2</v>
      </c>
      <c r="BW26" s="28">
        <f>SUMPRODUCT(INDEX(PortfolioRef[[SPY]:[PE]],MATCH(BW$1,PortfolioRef[Reference '#]),0),AssetMonthlyReturns[[#This Row],[SPY]:[PE]])</f>
        <v>-9.8594473440269063E-3</v>
      </c>
      <c r="BX26" s="27">
        <f>IF(ISNUMBER(BX25),BX25*(1+PortfolioFrontier[[#This Row],[P19 Return]]),1+PortfolioFrontier[[#This Row],[P19 Return]])</f>
        <v>1.1245172427839494</v>
      </c>
      <c r="BY26" s="27">
        <f>MAX(BY25,PortfolioFrontier[[#This Row],[P19 Growth]])</f>
        <v>1.1662005542564946</v>
      </c>
      <c r="BZ26" s="27">
        <f>PortfolioFrontier[[#This Row],[P19 Growth]]/PortfolioFrontier[[#This Row],[P19 HWM]]-1</f>
        <v>-3.5742832843292716E-2</v>
      </c>
      <c r="CA26" s="28">
        <f>SUMPRODUCT(INDEX(PortfolioRef[[SPY]:[PE]],MATCH(CA$1,PortfolioRef[Reference '#]),0),AssetMonthlyReturns[[#This Row],[SPY]:[PE]])</f>
        <v>-8.7139318975390633E-3</v>
      </c>
      <c r="CB26" s="27">
        <f>IF(ISNUMBER(CB25),CB25*(1+PortfolioFrontier[[#This Row],[P20 Return]]),1+PortfolioFrontier[[#This Row],[P20 Return]])</f>
        <v>1.1276445148998249</v>
      </c>
      <c r="CC26" s="27">
        <f>MAX(CC25,PortfolioFrontier[[#This Row],[P20 Growth]])</f>
        <v>1.1703417133724241</v>
      </c>
      <c r="CD26" s="27">
        <f>PortfolioFrontier[[#This Row],[P20 Growth]]/PortfolioFrontier[[#This Row],[P20 HWM]]-1</f>
        <v>-3.648267679835504E-2</v>
      </c>
      <c r="CE26" s="28">
        <f>SUMPRODUCT(INDEX(PortfolioRef[[SPY]:[PE]],MATCH(CE$1,PortfolioRef[Reference '#]),0),AssetMonthlyReturns[[#This Row],[SPY]:[PE]])</f>
        <v>-7.5848055457114925E-3</v>
      </c>
      <c r="CF26" s="27">
        <f>IF(ISNUMBER(CF25),CF25*(1+PortfolioFrontier[[#This Row],[P21 Return]]),1+PortfolioFrontier[[#This Row],[P21 Return]])</f>
        <v>1.1263773472384546</v>
      </c>
      <c r="CG26" s="27">
        <f>MAX(CG25,PortfolioFrontier[[#This Row],[P21 Growth]])</f>
        <v>1.1710710579078392</v>
      </c>
      <c r="CH26" s="27">
        <f>PortfolioFrontier[[#This Row],[P21 Growth]]/PortfolioFrontier[[#This Row],[P21 HWM]]-1</f>
        <v>-3.8164815335144153E-2</v>
      </c>
      <c r="CI26" s="28">
        <f>SUMPRODUCT(INDEX(PortfolioRef[[SPY]:[PE]],MATCH(CI$1,PortfolioRef[Reference '#]),0),AssetMonthlyReturns[[#This Row],[SPY]:[PE]])</f>
        <v>-9.8809258013191278E-3</v>
      </c>
      <c r="CJ26" s="27">
        <f>IF(ISNUMBER(CJ25),CJ25*(1+PortfolioFrontier[[#This Row],[P22 Return]]),1+PortfolioFrontier[[#This Row],[P22 Return]])</f>
        <v>1.125383666034967</v>
      </c>
      <c r="CK26" s="27">
        <f>MAX(CK25,PortfolioFrontier[[#This Row],[P22 Growth]])</f>
        <v>1.1676313457678775</v>
      </c>
      <c r="CL26" s="27">
        <f>PortfolioFrontier[[#This Row],[P22 Growth]]/PortfolioFrontier[[#This Row],[P22 HWM]]-1</f>
        <v>-3.6182378869870857E-2</v>
      </c>
      <c r="CM26" s="28">
        <f>SUMPRODUCT(INDEX(PortfolioRef[[SPY]:[PE]],MATCH(CM$1,PortfolioRef[Reference '#]),0),AssetMonthlyReturns[[#This Row],[SPY]:[PE]])</f>
        <v>-6.4556791938839226E-3</v>
      </c>
      <c r="CN26" s="27">
        <f>IF(ISNUMBER(CN25),CN25*(1+PortfolioFrontier[[#This Row],[P23 Return]]),1+PortfolioFrontier[[#This Row],[P23 Return]])</f>
        <v>1.1250218663208225</v>
      </c>
      <c r="CO26" s="27">
        <f>MAX(CO25,PortfolioFrontier[[#This Row],[P23 Growth]])</f>
        <v>1.1717186984791552</v>
      </c>
      <c r="CP26" s="27">
        <f>PortfolioFrontier[[#This Row],[P23 Growth]]/PortfolioFrontier[[#This Row],[P23 HWM]]-1</f>
        <v>-3.9853278964433581E-2</v>
      </c>
      <c r="CQ26" s="28">
        <f>SUMPRODUCT(INDEX(PortfolioRef[[SPY]:[PE]],MATCH(CQ$1,PortfolioRef[Reference '#]),0),AssetMonthlyReturns[[#This Row],[SPY]:[PE]])</f>
        <v>-8.7517994494915596E-3</v>
      </c>
      <c r="CR26" s="27">
        <f>IF(ISNUMBER(CR25),CR25*(1+PortfolioFrontier[[#This Row],[P24 Return]]),1+PortfolioFrontier[[#This Row],[P24 Return]])</f>
        <v>1.124054769108799</v>
      </c>
      <c r="CS26" s="27">
        <f>MAX(CS25,PortfolioFrontier[[#This Row],[P24 Growth]])</f>
        <v>1.1682856099250332</v>
      </c>
      <c r="CT26" s="27">
        <f>PortfolioFrontier[[#This Row],[P24 Growth]]/PortfolioFrontier[[#This Row],[P24 HWM]]-1</f>
        <v>-3.7859612786870112E-2</v>
      </c>
      <c r="CU26" s="28">
        <f>SUMPRODUCT(INDEX(PortfolioRef[[SPY]:[PE]],MATCH(CU$1,PortfolioRef[Reference '#]),0),AssetMonthlyReturns[[#This Row],[SPY]:[PE]])</f>
        <v>-1.1047919705099196E-2</v>
      </c>
      <c r="CV26" s="27">
        <f>IF(ISNUMBER(CV25),CV25*(1+PortfolioFrontier[[#This Row],[P25 Return]]),1+PortfolioFrontier[[#This Row],[P25 Return]])</f>
        <v>1.1229964654095055</v>
      </c>
      <c r="CW26" s="27">
        <f>MAX(CW25,PortfolioFrontier[[#This Row],[P25 Growth]])</f>
        <v>1.1647956979796028</v>
      </c>
      <c r="CX26" s="27">
        <f>PortfolioFrontier[[#This Row],[P25 Growth]]/PortfolioFrontier[[#This Row],[P25 HWM]]-1</f>
        <v>-3.5885462697535897E-2</v>
      </c>
      <c r="CY26" s="28">
        <f>SUMPRODUCT(INDEX(PortfolioRef[[SPY]:[PE]],MATCH(CY$1,PortfolioRef[Reference '#]),0),AssetMonthlyReturns[[#This Row],[SPY]:[PE]])</f>
        <v>-7.6062840030037175E-3</v>
      </c>
      <c r="CZ26" s="27">
        <f>IF(ISNUMBER(CZ25),CZ25*(1+PortfolioFrontier[[#This Row],[P26 Return]]),1+PortfolioFrontier[[#This Row],[P26 Return]])</f>
        <v>1.1271528743878267</v>
      </c>
      <c r="DA26" s="27">
        <f>MAX(DA25,PortfolioFrontier[[#This Row],[P26 Growth]])</f>
        <v>1.1724141851433634</v>
      </c>
      <c r="DB26" s="27">
        <f>PortfolioFrontier[[#This Row],[P26 Growth]]/PortfolioFrontier[[#This Row],[P26 HWM]]-1</f>
        <v>-3.8605222735344169E-2</v>
      </c>
      <c r="DC26" s="28">
        <f>SUMPRODUCT(INDEX(PortfolioRef[[SPY]:[PE]],MATCH(DC$1,PortfolioRef[Reference '#]),0),AssetMonthlyReturns[[#This Row],[SPY]:[PE]])</f>
        <v>-9.9024042586113529E-3</v>
      </c>
      <c r="DD26" s="27">
        <f>IF(ISNUMBER(DD25),DD25*(1+PortfolioFrontier[[#This Row],[P27 Return]]),1+PortfolioFrontier[[#This Row],[P27 Return]])</f>
        <v>1.1261895860457889</v>
      </c>
      <c r="DE26" s="27">
        <f>MAX(DE25,PortfolioFrontier[[#This Row],[P27 Growth]])</f>
        <v>1.1690006176368444</v>
      </c>
      <c r="DF26" s="27">
        <f>PortfolioFrontier[[#This Row],[P27 Growth]]/PortfolioFrontier[[#This Row],[P27 HWM]]-1</f>
        <v>-3.6621906733974807E-2</v>
      </c>
      <c r="DG26" s="28">
        <f>SUMPRODUCT(INDEX(PortfolioRef[[SPY]:[PE]],MATCH(DG$1,PortfolioRef[Reference '#]),0),AssetMonthlyReturns[[#This Row],[SPY]:[PE]])</f>
        <v>-6.4771576511761459E-3</v>
      </c>
      <c r="DH26" s="27">
        <f>IF(ISNUMBER(DH25),DH25*(1+PortfolioFrontier[[#This Row],[P28 Return]]),1+PortfolioFrontier[[#This Row],[P28 Return]])</f>
        <v>1.1258464759812146</v>
      </c>
      <c r="DI26" s="27">
        <f>MAX(DI25,PortfolioFrontier[[#This Row],[P28 Growth]])</f>
        <v>1.1731161392403724</v>
      </c>
      <c r="DJ26" s="27">
        <f>PortfolioFrontier[[#This Row],[P28 Growth]]/PortfolioFrontier[[#This Row],[P28 HWM]]-1</f>
        <v>-4.0294103608331855E-2</v>
      </c>
      <c r="DK26" s="28">
        <f>SUMPRODUCT(INDEX(PortfolioRef[[SPY]:[PE]],MATCH(DK$1,PortfolioRef[Reference '#]),0),AssetMonthlyReturns[[#This Row],[SPY]:[PE]])</f>
        <v>-8.7732779067837829E-3</v>
      </c>
      <c r="DL26" s="27">
        <f>IF(ISNUMBER(DL25),DL25*(1+PortfolioFrontier[[#This Row],[P29 Return]]),1+PortfolioFrontier[[#This Row],[P29 Return]])</f>
        <v>1.1249097761467748</v>
      </c>
      <c r="DM26" s="27">
        <f>MAX(DM25,PortfolioFrontier[[#This Row],[P29 Growth]])</f>
        <v>1.1697091182407624</v>
      </c>
      <c r="DN26" s="27">
        <f>PortfolioFrontier[[#This Row],[P29 Growth]]/PortfolioFrontier[[#This Row],[P29 HWM]]-1</f>
        <v>-3.8299557894671876E-2</v>
      </c>
      <c r="DO26" s="28">
        <f>SUMPRODUCT(INDEX(PortfolioRef[[SPY]:[PE]],MATCH(DO$1,PortfolioRef[Reference '#]),0),AssetMonthlyReturns[[#This Row],[SPY]:[PE]])</f>
        <v>-1.1069398162391419E-2</v>
      </c>
      <c r="DP26" s="27">
        <f>IF(ISNUMBER(DP25),DP25*(1+PortfolioFrontier[[#This Row],[P30 Return]]),1+PortfolioFrontier[[#This Row],[P30 Return]])</f>
        <v>1.1238817495510922</v>
      </c>
      <c r="DQ26" s="27">
        <f>MAX(DQ25,PortfolioFrontier[[#This Row],[P30 Growth]])</f>
        <v>1.1662450508702933</v>
      </c>
      <c r="DR26" s="27">
        <f>PortfolioFrontier[[#This Row],[P30 Growth]]/PortfolioFrontier[[#This Row],[P30 HWM]]-1</f>
        <v>-3.6324528269241596E-2</v>
      </c>
      <c r="DS26" s="28">
        <f>SUMPRODUCT(INDEX(PortfolioRef[[SPY]:[PE]],MATCH(DS$1,PortfolioRef[Reference '#]),0),AssetMonthlyReturns[[#This Row],[SPY]:[PE]])</f>
        <v>-5.3480312993485777E-3</v>
      </c>
      <c r="DT26" s="27">
        <f>IF(ISNUMBER(DT25),DT25*(1+PortfolioFrontier[[#This Row],[P31 Return]]),1+PortfolioFrontier[[#This Row],[P31 Return]])</f>
        <v>1.1244518908983612</v>
      </c>
      <c r="DU26" s="27">
        <f>MAX(DU25,PortfolioFrontier[[#This Row],[P31 Growth]])</f>
        <v>1.1737362663438942</v>
      </c>
      <c r="DV26" s="27">
        <f>PortfolioFrontier[[#This Row],[P31 Growth]]/PortfolioFrontier[[#This Row],[P31 HWM]]-1</f>
        <v>-4.1989309573819633E-2</v>
      </c>
      <c r="DW26" s="28">
        <f>SUMPRODUCT(INDEX(PortfolioRef[[SPY]:[PE]],MATCH(DW$1,PortfolioRef[Reference '#]),0),AssetMonthlyReturns[[#This Row],[SPY]:[PE]])</f>
        <v>-7.644151554956213E-3</v>
      </c>
      <c r="DX26" s="27">
        <f>IF(ISNUMBER(DX25),DX25*(1+PortfolioFrontier[[#This Row],[P32 Return]]),1+PortfolioFrontier[[#This Row],[P32 Return]])</f>
        <v>1.1235418348128834</v>
      </c>
      <c r="DY26" s="27">
        <f>MAX(DY25,PortfolioFrontier[[#This Row],[P32 Growth]])</f>
        <v>1.1703360044096791</v>
      </c>
      <c r="DZ26" s="27">
        <f>PortfolioFrontier[[#This Row],[P32 Growth]]/PortfolioFrontier[[#This Row],[P32 HWM]]-1</f>
        <v>-3.9983534147869593E-2</v>
      </c>
      <c r="EA26" s="28">
        <f>SUMPRODUCT(INDEX(PortfolioRef[[SPY]:[PE]],MATCH(EA$1,PortfolioRef[Reference '#]),0),AssetMonthlyReturns[[#This Row],[SPY]:[PE]])</f>
        <v>-9.9402718105638509E-3</v>
      </c>
      <c r="EB26" s="27">
        <f>IF(ISNUMBER(EB25),EB25*(1+PortfolioFrontier[[#This Row],[P33 Return]]),1+PortfolioFrontier[[#This Row],[P33 Return]])</f>
        <v>1.1225403743628044</v>
      </c>
      <c r="EC26" s="27">
        <f>MAX(EC25,PortfolioFrontier[[#This Row],[P33 Growth]])</f>
        <v>1.1668785804544068</v>
      </c>
      <c r="ED26" s="27">
        <f>PortfolioFrontier[[#This Row],[P33 Growth]]/PortfolioFrontier[[#This Row],[P33 HWM]]-1</f>
        <v>-3.7997274810148807E-2</v>
      </c>
      <c r="EE26" s="28">
        <f>SUMPRODUCT(INDEX(PortfolioRef[[SPY]:[PE]],MATCH(EE$1,PortfolioRef[Reference '#]),0),AssetMonthlyReturns[[#This Row],[SPY]:[PE]])</f>
        <v>-6.7689817978120173E-3</v>
      </c>
      <c r="EF26" s="27">
        <f>IF(ISNUMBER(EF25),EF25*(1+PortfolioFrontier[[#This Row],[P34 Return]]),1+PortfolioFrontier[[#This Row],[P34 Return]])</f>
        <v>1.110980838083846</v>
      </c>
      <c r="EG26" s="27">
        <f>MAX(EG25,PortfolioFrontier[[#This Row],[P34 Growth]])</f>
        <v>1.1483690052171158</v>
      </c>
      <c r="EH26" s="27">
        <f>PortfolioFrontier[[#This Row],[P34 Growth]]/PortfolioFrontier[[#This Row],[P34 HWM]]-1</f>
        <v>-3.2557624738575264E-2</v>
      </c>
      <c r="EI26" s="28">
        <f>SUMPRODUCT(INDEX(PortfolioRef[[SPY]:[PE]],MATCH(EI$1,PortfolioRef[Reference '#]),0),AssetMonthlyReturns[[#This Row],[SPY]:[PE]])</f>
        <v>-6.7904602551042406E-3</v>
      </c>
      <c r="EJ26" s="27">
        <f>IF(ISNUMBER(EJ25),EJ25*(1+PortfolioFrontier[[#This Row],[P35 Return]]),1+PortfolioFrontier[[#This Row],[P35 Return]])</f>
        <v>1.1118125172849687</v>
      </c>
      <c r="EK26" s="27">
        <f>MAX(EK25,PortfolioFrontier[[#This Row],[P35 Growth]])</f>
        <v>1.1497526071106701</v>
      </c>
      <c r="EL26" s="27">
        <f>PortfolioFrontier[[#This Row],[P35 Growth]]/PortfolioFrontier[[#This Row],[P35 HWM]]-1</f>
        <v>-3.2998481230710031E-2</v>
      </c>
      <c r="EM26" s="28">
        <f>SUMPRODUCT(INDEX(PortfolioRef[[SPY]:[PE]],MATCH(EM$1,PortfolioRef[Reference '#]),0),AssetMonthlyReturns[[#This Row],[SPY]:[PE]])</f>
        <v>-5.6613339032766724E-3</v>
      </c>
      <c r="EN26" s="27">
        <f>IF(ISNUMBER(EN25),EN25*(1+PortfolioFrontier[[#This Row],[P36 Return]]),1+PortfolioFrontier[[#This Row],[P36 Return]])</f>
        <v>1.1105298257759222</v>
      </c>
      <c r="EO26" s="27">
        <f>MAX(EO25,PortfolioFrontier[[#This Row],[P36 Growth]])</f>
        <v>1.1504315925702473</v>
      </c>
      <c r="EP26" s="27">
        <f>PortfolioFrontier[[#This Row],[P36 Growth]]/PortfolioFrontier[[#This Row],[P36 HWM]]-1</f>
        <v>-3.4684171620476989E-2</v>
      </c>
      <c r="EQ26" s="28">
        <f>SUMPRODUCT(INDEX(PortfolioRef[[SPY]:[PE]],MATCH(EQ$1,PortfolioRef[Reference '#]),0),AssetMonthlyReturns[[#This Row],[SPY]:[PE]])</f>
        <v>-7.9574541588843077E-3</v>
      </c>
      <c r="ER26" s="27">
        <f>IF(ISNUMBER(ER25),ER25*(1+PortfolioFrontier[[#This Row],[P37 Return]]),1+PortfolioFrontier[[#This Row],[P37 Return]])</f>
        <v>1.1095165670185518</v>
      </c>
      <c r="ES26" s="27">
        <f>MAX(ES25,PortfolioFrontier[[#This Row],[P37 Growth]])</f>
        <v>1.1470210509345575</v>
      </c>
      <c r="ET26" s="27">
        <f>PortfolioFrontier[[#This Row],[P37 Growth]]/PortfolioFrontier[[#This Row],[P37 HWM]]-1</f>
        <v>-3.2697293467672806E-2</v>
      </c>
      <c r="EU26" s="28">
        <f>SUMPRODUCT(INDEX(PortfolioRef[[SPY]:[PE]],MATCH(EU$1,PortfolioRef[Reference '#]),0),AssetMonthlyReturns[[#This Row],[SPY]:[PE]])</f>
        <v>-6.8119387123964622E-3</v>
      </c>
      <c r="EV26" s="27">
        <f>IF(ISNUMBER(EV25),EV25*(1+PortfolioFrontier[[#This Row],[P38 Return]]),1+PortfolioFrontier[[#This Row],[P38 Return]])</f>
        <v>1.1125842745018193</v>
      </c>
      <c r="EW26" s="27">
        <f>MAX(EW25,PortfolioFrontier[[#This Row],[P38 Growth]])</f>
        <v>1.1510754544616619</v>
      </c>
      <c r="EX26" s="27">
        <f>PortfolioFrontier[[#This Row],[P38 Growth]]/PortfolioFrontier[[#This Row],[P38 HWM]]-1</f>
        <v>-3.3439319560370828E-2</v>
      </c>
      <c r="EY26" s="28">
        <f>SUMPRODUCT(INDEX(PortfolioRef[[SPY]:[PE]],MATCH(EY$1,PortfolioRef[Reference '#]),0),AssetMonthlyReturns[[#This Row],[SPY]:[PE]])</f>
        <v>-5.6828123605688939E-3</v>
      </c>
      <c r="EZ26" s="27">
        <f>IF(ISNUMBER(EZ25),EZ25*(1+PortfolioFrontier[[#This Row],[P39 Return]]),1+PortfolioFrontier[[#This Row],[P39 Return]])</f>
        <v>1.1113502681257832</v>
      </c>
      <c r="FA26" s="27">
        <f>MAX(FA25,PortfolioFrontier[[#This Row],[P39 Growth]])</f>
        <v>1.1518080167597544</v>
      </c>
      <c r="FB26" s="27">
        <f>PortfolioFrontier[[#This Row],[P39 Growth]]/PortfolioFrontier[[#This Row],[P39 HWM]]-1</f>
        <v>-3.5125427193835823E-2</v>
      </c>
      <c r="FC26" s="28">
        <f>SUMPRODUCT(INDEX(PortfolioRef[[SPY]:[PE]],MATCH(FC$1,PortfolioRef[Reference '#]),0),AssetMonthlyReturns[[#This Row],[SPY]:[PE]])</f>
        <v>-7.9789326161765293E-3</v>
      </c>
      <c r="FD26" s="27">
        <f>IF(ISNUMBER(FD25),FD25*(1+PortfolioFrontier[[#This Row],[P40 Return]]),1+PortfolioFrontier[[#This Row],[P40 Return]])</f>
        <v>1.110366964039337</v>
      </c>
      <c r="FE26" s="27">
        <f>MAX(FE25,PortfolioFrontier[[#This Row],[P40 Growth]])</f>
        <v>1.1484230267516922</v>
      </c>
      <c r="FF26" s="27">
        <f>PortfolioFrontier[[#This Row],[P40 Growth]]/PortfolioFrontier[[#This Row],[P40 HWM]]-1</f>
        <v>-3.3137669504935463E-2</v>
      </c>
      <c r="FG26" s="28">
        <f>SUMPRODUCT(INDEX(PortfolioRef[[SPY]:[PE]],MATCH(FG$1,PortfolioRef[Reference '#]),0),AssetMonthlyReturns[[#This Row],[SPY]:[PE]])</f>
        <v>-4.553686008741324E-3</v>
      </c>
      <c r="FH26" s="27">
        <f>IF(ISNUMBER(FH25),FH25*(1+PortfolioFrontier[[#This Row],[P41 Return]]),1+PortfolioFrontier[[#This Row],[P41 Return]])</f>
        <v>1.1100289177286515</v>
      </c>
      <c r="FI26" s="27">
        <f>MAX(FI25,PortfolioFrontier[[#This Row],[P41 Growth]])</f>
        <v>1.1524600296639902</v>
      </c>
      <c r="FJ26" s="27">
        <f>PortfolioFrontier[[#This Row],[P41 Growth]]/PortfolioFrontier[[#This Row],[P41 HWM]]-1</f>
        <v>-3.6817859919801132E-2</v>
      </c>
      <c r="FK26" s="28">
        <f>SUMPRODUCT(INDEX(PortfolioRef[[SPY]:[PE]],MATCH(FK$1,PortfolioRef[Reference '#]),0),AssetMonthlyReturns[[#This Row],[SPY]:[PE]])</f>
        <v>-6.8498062643489611E-3</v>
      </c>
      <c r="FL26" s="27">
        <f>IF(ISNUMBER(FL25),FL25*(1+PortfolioFrontier[[#This Row],[P42 Return]]),1+PortfolioFrontier[[#This Row],[P42 Return]])</f>
        <v>1.1090718197612173</v>
      </c>
      <c r="FM26" s="27">
        <f>MAX(FM25,PortfolioFrontier[[#This Row],[P42 Growth]])</f>
        <v>1.1490815435391966</v>
      </c>
      <c r="FN26" s="27">
        <f>PortfolioFrontier[[#This Row],[P42 Growth]]/PortfolioFrontier[[#This Row],[P42 HWM]]-1</f>
        <v>-3.4818872518610378E-2</v>
      </c>
      <c r="FO26" s="28">
        <f>SUMPRODUCT(INDEX(PortfolioRef[[SPY]:[PE]],MATCH(FO$1,PortfolioRef[Reference '#]),0),AssetMonthlyReturns[[#This Row],[SPY]:[PE]])</f>
        <v>-9.1459265199565973E-3</v>
      </c>
      <c r="FP26" s="27">
        <f>IF(ISNUMBER(FP25),FP25*(1+PortfolioFrontier[[#This Row],[P43 Return]]),1+PortfolioFrontier[[#This Row],[P43 Return]])</f>
        <v>1.1080247492154527</v>
      </c>
      <c r="FQ26" s="27">
        <f>MAX(FQ25,PortfolioFrontier[[#This Row],[P43 Growth]])</f>
        <v>1.1456471144468676</v>
      </c>
      <c r="FR26" s="27">
        <f>PortfolioFrontier[[#This Row],[P43 Growth]]/PortfolioFrontier[[#This Row],[P43 HWM]]-1</f>
        <v>-3.2839401205649099E-2</v>
      </c>
      <c r="FS26" s="28">
        <f>SUMPRODUCT(INDEX(PortfolioRef[[SPY]:[PE]],MATCH(FS$1,PortfolioRef[Reference '#]),0),AssetMonthlyReturns[[#This Row],[SPY]:[PE]])</f>
        <v>-5.7042908178611173E-3</v>
      </c>
      <c r="FT26" s="27">
        <f>IF(ISNUMBER(FT25),FT25*(1+PortfolioFrontier[[#This Row],[P44 Return]]),1+PortfolioFrontier[[#This Row],[P44 Return]])</f>
        <v>1.1121108723802853</v>
      </c>
      <c r="FU26" s="27">
        <f>MAX(FU25,PortfolioFrontier[[#This Row],[P44 Growth]])</f>
        <v>1.153123633915536</v>
      </c>
      <c r="FV26" s="27">
        <f>PortfolioFrontier[[#This Row],[P44 Growth]]/PortfolioFrontier[[#This Row],[P44 HWM]]-1</f>
        <v>-3.5566664604720799E-2</v>
      </c>
      <c r="FW26" s="28">
        <f>SUMPRODUCT(INDEX(PortfolioRef[[SPY]:[PE]],MATCH(FW$1,PortfolioRef[Reference '#]),0),AssetMonthlyReturns[[#This Row],[SPY]:[PE]])</f>
        <v>-8.0004110734687526E-3</v>
      </c>
      <c r="FX26" s="27">
        <f>IF(ISNUMBER(FX25),FX25*(1+PortfolioFrontier[[#This Row],[P45 Return]]),1+PortfolioFrontier[[#This Row],[P45 Return]])</f>
        <v>1.1111575507487079</v>
      </c>
      <c r="FY26" s="27">
        <f>MAX(FY25,PortfolioFrontier[[#This Row],[P45 Growth]])</f>
        <v>1.1497643702533042</v>
      </c>
      <c r="FZ26" s="27">
        <f>PortfolioFrontier[[#This Row],[P45 Growth]]/PortfolioFrontier[[#This Row],[P45 HWM]]-1</f>
        <v>-3.3578027379723818E-2</v>
      </c>
      <c r="GA26" s="28">
        <f>SUMPRODUCT(INDEX(PortfolioRef[[SPY]:[PE]],MATCH(GA$1,PortfolioRef[Reference '#]),0),AssetMonthlyReturns[[#This Row],[SPY]:[PE]])</f>
        <v>-4.5751644660335456E-3</v>
      </c>
      <c r="GB26" s="27">
        <f>IF(ISNUMBER(GB25),GB25*(1+PortfolioFrontier[[#This Row],[P46 Return]]),1+PortfolioFrontier[[#This Row],[P46 Return]])</f>
        <v>1.1108381044143305</v>
      </c>
      <c r="GC26" s="27">
        <f>MAX(GC25,PortfolioFrontier[[#This Row],[P46 Growth]])</f>
        <v>1.153829221094034</v>
      </c>
      <c r="GD26" s="27">
        <f>PortfolioFrontier[[#This Row],[P46 Growth]]/PortfolioFrontier[[#This Row],[P46 HWM]]-1</f>
        <v>-3.7259514574384145E-2</v>
      </c>
      <c r="GE26" s="28">
        <f>SUMPRODUCT(INDEX(PortfolioRef[[SPY]:[PE]],MATCH(GE$1,PortfolioRef[Reference '#]),0),AssetMonthlyReturns[[#This Row],[SPY]:[PE]])</f>
        <v>-6.8712847216411826E-3</v>
      </c>
      <c r="GF26" s="27">
        <f>IF(ISNUMBER(GF25),GF25*(1+PortfolioFrontier[[#This Row],[P47 Return]]),1+PortfolioFrontier[[#This Row],[P47 Return]])</f>
        <v>1.1099109930513253</v>
      </c>
      <c r="GG26" s="27">
        <f>MAX(GG25,PortfolioFrontier[[#This Row],[P47 Growth]])</f>
        <v>1.1504763850012711</v>
      </c>
      <c r="GH26" s="27">
        <f>PortfolioFrontier[[#This Row],[P47 Growth]]/PortfolioFrontier[[#This Row],[P47 HWM]]-1</f>
        <v>-3.525964763709688E-2</v>
      </c>
      <c r="GI26" s="28">
        <f>SUMPRODUCT(INDEX(PortfolioRef[[SPY]:[PE]],MATCH(GI$1,PortfolioRef[Reference '#]),0),AssetMonthlyReturns[[#This Row],[SPY]:[PE]])</f>
        <v>-9.1674049772488189E-3</v>
      </c>
      <c r="GJ26" s="27">
        <f>IF(ISNUMBER(GJ25),GJ25*(1+PortfolioFrontier[[#This Row],[P48 Return]]),1+PortfolioFrontier[[#This Row],[P48 Return]])</f>
        <v>1.1088937906894543</v>
      </c>
      <c r="GK26" s="27">
        <f>MAX(GK25,PortfolioFrontier[[#This Row],[P48 Growth]])</f>
        <v>1.1470673866868877</v>
      </c>
      <c r="GL26" s="27">
        <f>PortfolioFrontier[[#This Row],[P48 Growth]]/PortfolioFrontier[[#This Row],[P48 HWM]]-1</f>
        <v>-3.3279296788039203E-2</v>
      </c>
      <c r="GM26" s="28">
        <f>SUMPRODUCT(INDEX(PortfolioRef[[SPY]:[PE]],MATCH(GM$1,PortfolioRef[Reference '#]),0),AssetMonthlyReturns[[#This Row],[SPY]:[PE]])</f>
        <v>-3.4460381142059774E-3</v>
      </c>
      <c r="GN26" s="27">
        <f>IF(ISNUMBER(GN25),GN25*(1+PortfolioFrontier[[#This Row],[P49 Return]]),1+PortfolioFrontier[[#This Row],[P49 Return]])</f>
        <v>1.1094781157966671</v>
      </c>
      <c r="GO26" s="27">
        <f>MAX(GO25,PortfolioFrontier[[#This Row],[P49 Growth]])</f>
        <v>1.154454136188046</v>
      </c>
      <c r="GP26" s="27">
        <f>PortfolioFrontier[[#This Row],[P49 Growth]]/PortfolioFrontier[[#This Row],[P49 HWM]]-1</f>
        <v>-3.8958689636547805E-2</v>
      </c>
      <c r="GQ26" s="28">
        <f>SUMPRODUCT(INDEX(PortfolioRef[[SPY]:[PE]],MATCH(GQ$1,PortfolioRef[Reference '#]),0),AssetMonthlyReturns[[#This Row],[SPY]:[PE]])</f>
        <v>-5.7421583698136127E-3</v>
      </c>
      <c r="GR26" s="27">
        <f>IF(ISNUMBER(GR25),GR25*(1+PortfolioFrontier[[#This Row],[P50 Return]]),1+PortfolioFrontier[[#This Row],[P50 Return]])</f>
        <v>1.1085772703678298</v>
      </c>
      <c r="GS26" s="27">
        <f>MAX(GS25,PortfolioFrontier[[#This Row],[P50 Growth]])</f>
        <v>1.1511079379430191</v>
      </c>
      <c r="GT26" s="27">
        <f>PortfolioFrontier[[#This Row],[P50 Growth]]/PortfolioFrontier[[#This Row],[P50 HWM]]-1</f>
        <v>-3.6947592986970257E-2</v>
      </c>
      <c r="GU26" s="28">
        <f>SUMPRODUCT(INDEX(PortfolioRef[[SPY]:[PE]],MATCH(GU$1,PortfolioRef[Reference '#]),0),AssetMonthlyReturns[[#This Row],[SPY]:[PE]])</f>
        <v>-8.0382786254212506E-3</v>
      </c>
      <c r="GV26" s="27">
        <f>IF(ISNUMBER(GV25),GV25*(1+PortfolioFrontier[[#This Row],[P51 Return]]),1+PortfolioFrontier[[#This Row],[P51 Return]])</f>
        <v>1.1075862565005536</v>
      </c>
      <c r="GW26" s="27">
        <f>MAX(GW25,PortfolioFrontier[[#This Row],[P51 Growth]])</f>
        <v>1.1477054629234607</v>
      </c>
      <c r="GX26" s="27">
        <f>PortfolioFrontier[[#This Row],[P51 Growth]]/PortfolioFrontier[[#This Row],[P51 HWM]]-1</f>
        <v>-3.4956012425622185E-2</v>
      </c>
      <c r="GY26" s="28">
        <f>SUMPRODUCT(INDEX(PortfolioRef[[SPY]:[PE]],MATCH(GY$1,PortfolioRef[Reference '#]),0),AssetMonthlyReturns[[#This Row],[SPY]:[PE]])</f>
        <v>-4.5966429233257706E-3</v>
      </c>
      <c r="GZ26" s="27">
        <f>IF(ISNUMBER(GZ25),GZ25*(1+PortfolioFrontier[[#This Row],[P52 Return]]),1+PortfolioFrontier[[#This Row],[P52 Return]])</f>
        <v>1.1115875391413452</v>
      </c>
      <c r="HA26" s="27">
        <f>MAX(HA25,PortfolioFrontier[[#This Row],[P52 Growth]])</f>
        <v>1.1551375545895033</v>
      </c>
      <c r="HB26" s="27">
        <f>PortfolioFrontier[[#This Row],[P52 Growth]]/PortfolioFrontier[[#This Row],[P52 HWM]]-1</f>
        <v>-3.7701151066492855E-2</v>
      </c>
      <c r="HC26" s="28">
        <f>SUMPRODUCT(INDEX(PortfolioRef[[SPY]:[PE]],MATCH(HC$1,PortfolioRef[Reference '#]),0),AssetMonthlyReturns[[#This Row],[SPY]:[PE]])</f>
        <v>-6.8927631789334077E-3</v>
      </c>
      <c r="HD26" s="27">
        <f>IF(ISNUMBER(HD25),HD25*(1+PortfolioFrontier[[#This Row],[P53 Return]]),1+PortfolioFrontier[[#This Row],[P53 Return]])</f>
        <v>1.1106904392755166</v>
      </c>
      <c r="HE26" s="27">
        <f>MAX(HE25,PortfolioFrontier[[#This Row],[P53 Growth]])</f>
        <v>1.1518105416261799</v>
      </c>
      <c r="HF26" s="27">
        <f>PortfolioFrontier[[#This Row],[P53 Growth]]/PortfolioFrontier[[#This Row],[P53 HWM]]-1</f>
        <v>-3.5700404593109636E-2</v>
      </c>
      <c r="HG26" s="28">
        <f>SUMPRODUCT(INDEX(PortfolioRef[[SPY]:[PE]],MATCH(HG$1,PortfolioRef[Reference '#]),0),AssetMonthlyReturns[[#This Row],[SPY]:[PE]])</f>
        <v>-9.1888834345410439E-3</v>
      </c>
      <c r="HH26" s="27">
        <f>IF(ISNUMBER(HH25),HH25*(1+PortfolioFrontier[[#This Row],[P54 Return]]),1+PortfolioFrontier[[#This Row],[P54 Return]])</f>
        <v>1.1097031352973201</v>
      </c>
      <c r="HI26" s="27">
        <f>MAX(HI25,PortfolioFrontier[[#This Row],[P54 Growth]])</f>
        <v>1.1484271504484369</v>
      </c>
      <c r="HJ26" s="27">
        <f>PortfolioFrontier[[#This Row],[P54 Growth]]/PortfolioFrontier[[#This Row],[P54 HWM]]-1</f>
        <v>-3.371917420795556E-2</v>
      </c>
      <c r="HK26" s="28">
        <f>SUMPRODUCT(INDEX(PortfolioRef[[SPY]:[PE]],MATCH(HK$1,PortfolioRef[Reference '#]),0),AssetMonthlyReturns[[#This Row],[SPY]:[PE]])</f>
        <v>-3.4675165714982007E-3</v>
      </c>
      <c r="HL26" s="27">
        <f>IF(ISNUMBER(HL25),HL25*(1+PortfolioFrontier[[#This Row],[P55 Return]]),1+PortfolioFrontier[[#This Row],[P55 Return]])</f>
        <v>1.1102760290139471</v>
      </c>
      <c r="HM26" s="27">
        <f>MAX(HM25,PortfolioFrontier[[#This Row],[P55 Growth]])</f>
        <v>1.1558160401994988</v>
      </c>
      <c r="HN26" s="27">
        <f>PortfolioFrontier[[#This Row],[P55 Growth]]/PortfolioFrontier[[#This Row],[P55 HWM]]-1</f>
        <v>-3.9400743372354774E-2</v>
      </c>
      <c r="HO26" s="28">
        <f>SUMPRODUCT(INDEX(PortfolioRef[[SPY]:[PE]],MATCH(HO$1,PortfolioRef[Reference '#]),0),AssetMonthlyReturns[[#This Row],[SPY]:[PE]])</f>
        <v>-5.763636827105836E-3</v>
      </c>
      <c r="HP26" s="27">
        <f>IF(ISNUMBER(HP25),HP25*(1+PortfolioFrontier[[#This Row],[P56 Return]]),1+PortfolioFrontier[[#This Row],[P56 Return]])</f>
        <v>1.1094052003663009</v>
      </c>
      <c r="HQ26" s="27">
        <f>MAX(HQ25,PortfolioFrontier[[#This Row],[P56 Growth]])</f>
        <v>1.1524955896514557</v>
      </c>
      <c r="HR26" s="27">
        <f>PortfolioFrontier[[#This Row],[P56 Growth]]/PortfolioFrontier[[#This Row],[P56 HWM]]-1</f>
        <v>-3.7388767186680938E-2</v>
      </c>
      <c r="HS26" s="28">
        <f>SUMPRODUCT(INDEX(PortfolioRef[[SPY]:[PE]],MATCH(HS$1,PortfolioRef[Reference '#]),0),AssetMonthlyReturns[[#This Row],[SPY]:[PE]])</f>
        <v>-8.0597570827134739E-3</v>
      </c>
      <c r="HT26" s="27">
        <f>IF(ISNUMBER(HT25),HT25*(1+PortfolioFrontier[[#This Row],[P57 Return]]),1+PortfolioFrontier[[#This Row],[P57 Return]])</f>
        <v>1.1084440876994794</v>
      </c>
      <c r="HU26" s="27">
        <f>MAX(HU25,PortfolioFrontier[[#This Row],[P57 Growth]])</f>
        <v>1.1491186441083043</v>
      </c>
      <c r="HV26" s="27">
        <f>PortfolioFrontier[[#This Row],[P57 Growth]]/PortfolioFrontier[[#This Row],[P57 HWM]]-1</f>
        <v>-3.53963070892368E-2</v>
      </c>
      <c r="HW26" s="28">
        <f>SUMPRODUCT(INDEX(PortfolioRef[[SPY]:[PE]],MATCH(HW$1,PortfolioRef[Reference '#]),0),AssetMonthlyReturns[[#This Row],[SPY]:[PE]])</f>
        <v>-2.3383902196706325E-3</v>
      </c>
      <c r="HX26" s="27">
        <f>IF(ISNUMBER(HX25),HX25*(1+PortfolioFrontier[[#This Row],[P58 Return]]),1+PortfolioFrontier[[#This Row],[P58 Return]])</f>
        <v>1.1088774271992816</v>
      </c>
      <c r="HY26" s="27">
        <f>MAX(HY25,PortfolioFrontier[[#This Row],[P58 Growth]])</f>
        <v>1.1564137342851388</v>
      </c>
      <c r="HZ26" s="27">
        <f>PortfolioFrontier[[#This Row],[P58 Growth]]/PortfolioFrontier[[#This Row],[P58 HWM]]-1</f>
        <v>-4.1106660770716896E-2</v>
      </c>
      <c r="IA26" s="28">
        <f>SUMPRODUCT(INDEX(PortfolioRef[[SPY]:[PE]],MATCH(IA$1,PortfolioRef[Reference '#]),0),AssetMonthlyReturns[[#This Row],[SPY]:[PE]])</f>
        <v>-4.6345104752782678E-3</v>
      </c>
      <c r="IB26" s="27">
        <f>IF(ISNUMBER(IB25),IB25*(1+PortfolioFrontier[[#This Row],[P59 Return]]),1+PortfolioFrontier[[#This Row],[P59 Return]])</f>
        <v>1.1080329201912136</v>
      </c>
      <c r="IC26" s="27">
        <f>MAX(IC25,PortfolioFrontier[[#This Row],[P59 Growth]])</f>
        <v>1.1531000541201888</v>
      </c>
      <c r="ID26" s="27">
        <f>PortfolioFrontier[[#This Row],[P59 Growth]]/PortfolioFrontier[[#This Row],[P59 HWM]]-1</f>
        <v>-3.9083454872752776E-2</v>
      </c>
      <c r="IE26" s="28">
        <f>SUMPRODUCT(INDEX(PortfolioRef[[SPY]:[PE]],MATCH(IE$1,PortfolioRef[Reference '#]),0),AssetMonthlyReturns[[#This Row],[SPY]:[PE]])</f>
        <v>-6.930630730885904E-3</v>
      </c>
      <c r="IF26" s="27">
        <f>IF(ISNUMBER(IF25),IF25*(1+PortfolioFrontier[[#This Row],[P60 Return]]),1+PortfolioFrontier[[#This Row],[P60 Return]])</f>
        <v>1.1070980560896511</v>
      </c>
      <c r="IG26" s="27">
        <f>MAX(IG25,PortfolioFrontier[[#This Row],[P60 Growth]])</f>
        <v>1.1497297656872949</v>
      </c>
      <c r="IH26" s="27">
        <f>PortfolioFrontier[[#This Row],[P60 Growth]]/PortfolioFrontier[[#This Row],[P60 HWM]]-1</f>
        <v>-3.7079765063018133E-2</v>
      </c>
      <c r="II26" s="28">
        <f>SUMPRODUCT(INDEX(PortfolioRef[[SPY]:[PE]],MATCH(II$1,PortfolioRef[Reference '#]),0),AssetMonthlyReturns[[#This Row],[SPY]:[PE]])</f>
        <v>-4.8669886126694204E-3</v>
      </c>
      <c r="IJ26" s="27">
        <f>IF(ISNUMBER(IJ25),IJ25*(1+PortfolioFrontier[[#This Row],[P61 Return]]),1+PortfolioFrontier[[#This Row],[P61 Return]])</f>
        <v>1.0961046832913239</v>
      </c>
      <c r="IK26" s="27">
        <f>MAX(IK25,PortfolioFrontier[[#This Row],[P61 Growth]])</f>
        <v>1.1294319987390351</v>
      </c>
      <c r="IL26" s="27">
        <f>PortfolioFrontier[[#This Row],[P61 Growth]]/PortfolioFrontier[[#This Row],[P61 HWM]]-1</f>
        <v>-2.9508031900034482E-2</v>
      </c>
      <c r="IM26" s="28">
        <f>SUMPRODUCT(INDEX(PortfolioRef[[SPY]:[PE]],MATCH(IM$1,PortfolioRef[Reference '#]),0),AssetMonthlyReturns[[#This Row],[SPY]:[PE]])</f>
        <v>-4.8884670699616438E-3</v>
      </c>
      <c r="IN26" s="27">
        <f>IF(ISNUMBER(IN25),IN25*(1+PortfolioFrontier[[#This Row],[P62 Return]]),1+PortfolioFrontier[[#This Row],[P62 Return]])</f>
        <v>1.096920795985552</v>
      </c>
      <c r="IO26" s="27">
        <f>MAX(IO25,PortfolioFrontier[[#This Row],[P62 Growth]])</f>
        <v>1.1307875651347878</v>
      </c>
      <c r="IP26" s="27">
        <f>PortfolioFrontier[[#This Row],[P62 Growth]]/PortfolioFrontier[[#This Row],[P62 HWM]]-1</f>
        <v>-2.9949718402853986E-2</v>
      </c>
      <c r="IQ26" s="28">
        <f>SUMPRODUCT(INDEX(PortfolioRef[[SPY]:[PE]],MATCH(IQ$1,PortfolioRef[Reference '#]),0),AssetMonthlyReturns[[#This Row],[SPY]:[PE]])</f>
        <v>-3.7593407181340755E-3</v>
      </c>
      <c r="IR26" s="27">
        <f>IF(ISNUMBER(IR25),IR25*(1+PortfolioFrontier[[#This Row],[P63 Return]]),1+PortfolioFrontier[[#This Row],[P63 Return]])</f>
        <v>1.0956711764279052</v>
      </c>
      <c r="IS26" s="27">
        <f>MAX(IS25,PortfolioFrontier[[#This Row],[P63 Growth]])</f>
        <v>1.1314701893182186</v>
      </c>
      <c r="IT26" s="27">
        <f>PortfolioFrontier[[#This Row],[P63 Growth]]/PortfolioFrontier[[#This Row],[P63 HWM]]-1</f>
        <v>-3.1639377889296827E-2</v>
      </c>
      <c r="IU26" s="28">
        <f>SUMPRODUCT(INDEX(PortfolioRef[[SPY]:[PE]],MATCH(IU$1,PortfolioRef[Reference '#]),0),AssetMonthlyReturns[[#This Row],[SPY]:[PE]])</f>
        <v>-6.0554609737417109E-3</v>
      </c>
      <c r="IV26" s="27">
        <f>IF(ISNUMBER(IV25),IV25*(1+PortfolioFrontier[[#This Row],[P64 Return]]),1+PortfolioFrontier[[#This Row],[P64 Return]])</f>
        <v>1.0946686433110975</v>
      </c>
      <c r="IW26" s="27">
        <f>MAX(IW25,PortfolioFrontier[[#This Row],[P64 Growth]])</f>
        <v>1.1281140416878883</v>
      </c>
      <c r="IX26" s="27">
        <f>PortfolioFrontier[[#This Row],[P64 Growth]]/PortfolioFrontier[[#This Row],[P64 HWM]]-1</f>
        <v>-2.9647178512865358E-2</v>
      </c>
      <c r="IY26" s="28">
        <f>SUMPRODUCT(INDEX(PortfolioRef[[SPY]:[PE]],MATCH(IY$1,PortfolioRef[Reference '#]),0),AssetMonthlyReturns[[#This Row],[SPY]:[PE]])</f>
        <v>-4.9099455272538671E-3</v>
      </c>
      <c r="IZ26" s="27">
        <f>IF(ISNUMBER(IZ25),IZ25*(1+PortfolioFrontier[[#This Row],[P65 Return]]),1+PortfolioFrontier[[#This Row],[P65 Return]])</f>
        <v>1.0976776750447332</v>
      </c>
      <c r="JA26" s="27">
        <f>MAX(JA25,PortfolioFrontier[[#This Row],[P65 Growth]])</f>
        <v>1.1320832550752244</v>
      </c>
      <c r="JB26" s="27">
        <f>PortfolioFrontier[[#This Row],[P65 Growth]]/PortfolioFrontier[[#This Row],[P65 HWM]]-1</f>
        <v>-3.0391386743199411E-2</v>
      </c>
      <c r="JC26" s="28">
        <f>SUMPRODUCT(INDEX(PortfolioRef[[SPY]:[PE]],MATCH(JC$1,PortfolioRef[Reference '#]),0),AssetMonthlyReturns[[#This Row],[SPY]:[PE]])</f>
        <v>-3.7808191754262989E-3</v>
      </c>
      <c r="JD26" s="27">
        <f>IF(ISNUMBER(JD25),JD25*(1+PortfolioFrontier[[#This Row],[P66 Return]]),1+PortfolioFrontier[[#This Row],[P66 Return]])</f>
        <v>1.0964762423323462</v>
      </c>
      <c r="JE26" s="27">
        <f>MAX(JE25,PortfolioFrontier[[#This Row],[P66 Growth]])</f>
        <v>1.1328187248763837</v>
      </c>
      <c r="JF26" s="27">
        <f>PortfolioFrontier[[#This Row],[P66 Growth]]/PortfolioFrontier[[#This Row],[P66 HWM]]-1</f>
        <v>-3.2081463473340177E-2</v>
      </c>
      <c r="JG26" s="28">
        <f>SUMPRODUCT(INDEX(PortfolioRef[[SPY]:[PE]],MATCH(JG$1,PortfolioRef[Reference '#]),0),AssetMonthlyReturns[[#This Row],[SPY]:[PE]])</f>
        <v>-6.0769394310339342E-3</v>
      </c>
      <c r="JH26" s="27">
        <f>IF(ISNUMBER(JH25),JH25*(1+PortfolioFrontier[[#This Row],[P67 Return]]),1+PortfolioFrontier[[#This Row],[P67 Return]])</f>
        <v>1.0955032579713502</v>
      </c>
      <c r="JI26" s="27">
        <f>MAX(JI25,PortfolioFrontier[[#This Row],[P67 Growth]])</f>
        <v>1.1294877188116705</v>
      </c>
      <c r="JJ26" s="27">
        <f>PortfolioFrontier[[#This Row],[P67 Growth]]/PortfolioFrontier[[#This Row],[P67 HWM]]-1</f>
        <v>-3.008838456081242E-2</v>
      </c>
      <c r="JK26" s="28">
        <f>SUMPRODUCT(INDEX(PortfolioRef[[SPY]:[PE]],MATCH(JK$1,PortfolioRef[Reference '#]),0),AssetMonthlyReturns[[#This Row],[SPY]:[PE]])</f>
        <v>-2.6516928235987272E-3</v>
      </c>
      <c r="JL26" s="27">
        <f>IF(ISNUMBER(JL25),JL25*(1+PortfolioFrontier[[#This Row],[P68 Return]]),1+PortfolioFrontier[[#This Row],[P68 Return]])</f>
        <v>1.0951884270902068</v>
      </c>
      <c r="JM26" s="27">
        <f>MAX(JM25,PortfolioFrontier[[#This Row],[P68 Growth]])</f>
        <v>1.1334747857186009</v>
      </c>
      <c r="JN26" s="27">
        <f>PortfolioFrontier[[#This Row],[P68 Growth]]/PortfolioFrontier[[#This Row],[P68 HWM]]-1</f>
        <v>-3.3777865295981258E-2</v>
      </c>
      <c r="JO26" s="28">
        <f>SUMPRODUCT(INDEX(PortfolioRef[[SPY]:[PE]],MATCH(JO$1,PortfolioRef[Reference '#]),0),AssetMonthlyReturns[[#This Row],[SPY]:[PE]])</f>
        <v>-4.9478130792063642E-3</v>
      </c>
      <c r="JP26" s="27">
        <f>IF(ISNUMBER(JP25),JP25*(1+PortfolioFrontier[[#This Row],[P69 Return]]),1+PortfolioFrontier[[#This Row],[P69 Return]])</f>
        <v>1.0942412754421911</v>
      </c>
      <c r="JQ26" s="27">
        <f>MAX(JQ25,PortfolioFrontier[[#This Row],[P69 Growth]])</f>
        <v>1.1301501657815767</v>
      </c>
      <c r="JR26" s="27">
        <f>PortfolioFrontier[[#This Row],[P69 Growth]]/PortfolioFrontier[[#This Row],[P69 HWM]]-1</f>
        <v>-3.1773556671163328E-2</v>
      </c>
      <c r="JS26" s="28">
        <f>SUMPRODUCT(INDEX(PortfolioRef[[SPY]:[PE]],MATCH(JS$1,PortfolioRef[Reference '#]),0),AssetMonthlyReturns[[#This Row],[SPY]:[PE]])</f>
        <v>-7.2439333348140005E-3</v>
      </c>
      <c r="JT26" s="27">
        <f>IF(ISNUMBER(JT25),JT25*(1+PortfolioFrontier[[#This Row],[P70 Return]]),1+PortfolioFrontier[[#This Row],[P70 Return]])</f>
        <v>1.0932053714648537</v>
      </c>
      <c r="JU26" s="27">
        <f>MAX(JU25,PortfolioFrontier[[#This Row],[P70 Growth]])</f>
        <v>1.1267704712672371</v>
      </c>
      <c r="JV26" s="27">
        <f>PortfolioFrontier[[#This Row],[P70 Growth]]/PortfolioFrontier[[#This Row],[P70 HWM]]-1</f>
        <v>-2.9788764134574763E-2</v>
      </c>
      <c r="JW26" s="28">
        <f>SUMPRODUCT(INDEX(PortfolioRef[[SPY]:[PE]],MATCH(JW$1,PortfolioRef[Reference '#]),0),AssetMonthlyReturns[[#This Row],[SPY]:[PE]])</f>
        <v>-3.8022976327185213E-3</v>
      </c>
      <c r="JX26" s="27">
        <f>IF(ISNUMBER(JX25),JX25*(1+PortfolioFrontier[[#This Row],[P71 Return]]),1+PortfolioFrontier[[#This Row],[P71 Return]])</f>
        <v>1.0972221568976823</v>
      </c>
      <c r="JY26" s="27">
        <f>MAX(JY25,PortfolioFrontier[[#This Row],[P71 Growth]])</f>
        <v>1.1341073317396606</v>
      </c>
      <c r="JZ26" s="27">
        <f>PortfolioFrontier[[#This Row],[P71 Growth]]/PortfolioFrontier[[#This Row],[P71 HWM]]-1</f>
        <v>-3.2523530894909558E-2</v>
      </c>
      <c r="KA26" s="28">
        <f>SUMPRODUCT(INDEX(PortfolioRef[[SPY]:[PE]],MATCH(KA$1,PortfolioRef[Reference '#]),0),AssetMonthlyReturns[[#This Row],[SPY]:[PE]])</f>
        <v>-6.0984178883261575E-3</v>
      </c>
      <c r="KB26" s="27">
        <f>IF(ISNUMBER(KB25),KB25*(1+PortfolioFrontier[[#This Row],[P72 Return]]),1+PortfolioFrontier[[#This Row],[P72 Return]])</f>
        <v>1.0962787490274837</v>
      </c>
      <c r="KC26" s="27">
        <f>MAX(KC25,PortfolioFrontier[[#This Row],[P72 Growth]])</f>
        <v>1.1308016396062204</v>
      </c>
      <c r="KD26" s="27">
        <f>PortfolioFrontier[[#This Row],[P72 Growth]]/PortfolioFrontier[[#This Row],[P72 HWM]]-1</f>
        <v>-3.0529572446285624E-2</v>
      </c>
      <c r="KE26" s="28">
        <f>SUMPRODUCT(INDEX(PortfolioRef[[SPY]:[PE]],MATCH(KE$1,PortfolioRef[Reference '#]),0),AssetMonthlyReturns[[#This Row],[SPY]:[PE]])</f>
        <v>-2.6731712808909505E-3</v>
      </c>
      <c r="KF26" s="27">
        <f>IF(ISNUMBER(KF25),KF25*(1+PortfolioFrontier[[#This Row],[P73 Return]]),1+PortfolioFrontier[[#This Row],[P73 Return]])</f>
        <v>1.095982427619588</v>
      </c>
      <c r="KG26" s="27">
        <f>MAX(KG25,PortfolioFrontier[[#This Row],[P73 Growth]])</f>
        <v>1.1348162363698722</v>
      </c>
      <c r="KH26" s="27">
        <f>PortfolioFrontier[[#This Row],[P73 Growth]]/PortfolioFrontier[[#This Row],[P73 HWM]]-1</f>
        <v>-3.4220349961248786E-2</v>
      </c>
      <c r="KI26" s="28">
        <f>SUMPRODUCT(INDEX(PortfolioRef[[SPY]:[PE]],MATCH(KI$1,PortfolioRef[Reference '#]),0),AssetMonthlyReturns[[#This Row],[SPY]:[PE]])</f>
        <v>-4.9692915364985876E-3</v>
      </c>
      <c r="KJ26" s="27">
        <f>IF(ISNUMBER(KJ25),KJ25*(1+PortfolioFrontier[[#This Row],[P74 Return]]),1+PortfolioFrontier[[#This Row],[P74 Return]])</f>
        <v>1.0950648562499732</v>
      </c>
      <c r="KK26" s="27">
        <f>MAX(KK25,PortfolioFrontier[[#This Row],[P74 Growth]])</f>
        <v>1.1315168548073993</v>
      </c>
      <c r="KL26" s="27">
        <f>PortfolioFrontier[[#This Row],[P74 Growth]]/PortfolioFrontier[[#This Row],[P74 HWM]]-1</f>
        <v>-3.2215161800334569E-2</v>
      </c>
      <c r="KM26" s="28">
        <f>SUMPRODUCT(INDEX(PortfolioRef[[SPY]:[PE]],MATCH(KM$1,PortfolioRef[Reference '#]),0),AssetMonthlyReturns[[#This Row],[SPY]:[PE]])</f>
        <v>-7.2654117921062238E-3</v>
      </c>
      <c r="KN26" s="27">
        <f>IF(ISNUMBER(KN25),KN25*(1+PortfolioFrontier[[#This Row],[P75 Return]]),1+PortfolioFrontier[[#This Row],[P75 Return]])</f>
        <v>1.0940584159612796</v>
      </c>
      <c r="KO26" s="27">
        <f>MAX(KO25,PortfolioFrontier[[#This Row],[P75 Growth]])</f>
        <v>1.1281621830860007</v>
      </c>
      <c r="KP26" s="27">
        <f>PortfolioFrontier[[#This Row],[P75 Growth]]/PortfolioFrontier[[#This Row],[P75 HWM]]-1</f>
        <v>-3.0229489727649606E-2</v>
      </c>
      <c r="KQ26" s="28">
        <f>SUMPRODUCT(INDEX(PortfolioRef[[SPY]:[PE]],MATCH(KQ$1,PortfolioRef[Reference '#]),0),AssetMonthlyReturns[[#This Row],[SPY]:[PE]])</f>
        <v>-1.5440449290633825E-3</v>
      </c>
      <c r="KR26" s="27">
        <f>IF(ISNUMBER(KR25),KR25*(1+PortfolioFrontier[[#This Row],[P76 Return]]),1+PortfolioFrontier[[#This Row],[P76 Return]])</f>
        <v>1.0946564360197215</v>
      </c>
      <c r="KS26" s="27">
        <f>MAX(KS25,PortfolioFrontier[[#This Row],[P76 Growth]])</f>
        <v>1.1354456097035888</v>
      </c>
      <c r="KT26" s="27">
        <f>PortfolioFrontier[[#This Row],[P76 Growth]]/PortfolioFrontier[[#This Row],[P76 HWM]]-1</f>
        <v>-3.592349412008855E-2</v>
      </c>
      <c r="KU26" s="28">
        <f>SUMPRODUCT(INDEX(PortfolioRef[[SPY]:[PE]],MATCH(KU$1,PortfolioRef[Reference '#]),0),AssetMonthlyReturns[[#This Row],[SPY]:[PE]])</f>
        <v>-3.840165184671018E-3</v>
      </c>
      <c r="KV26" s="27">
        <f>IF(ISNUMBER(KV25),KV25*(1+PortfolioFrontier[[#This Row],[P77 Return]]),1+PortfolioFrontier[[#This Row],[P77 Return]])</f>
        <v>1.0937647572239013</v>
      </c>
      <c r="KW26" s="27">
        <f>MAX(KW25,PortfolioFrontier[[#This Row],[P77 Growth]])</f>
        <v>1.1321527467304082</v>
      </c>
      <c r="KX26" s="27">
        <f>PortfolioFrontier[[#This Row],[P77 Growth]]/PortfolioFrontier[[#This Row],[P77 HWM]]-1</f>
        <v>-3.3907076246883827E-2</v>
      </c>
      <c r="KY26" s="28">
        <f>SUMPRODUCT(INDEX(PortfolioRef[[SPY]:[PE]],MATCH(KY$1,PortfolioRef[Reference '#]),0),AssetMonthlyReturns[[#This Row],[SPY]:[PE]])</f>
        <v>-6.1362854402786556E-3</v>
      </c>
      <c r="KZ26" s="27">
        <f>IF(ISNUMBER(KZ25),KZ25*(1+PortfolioFrontier[[#This Row],[P78 Return]]),1+PortfolioFrontier[[#This Row],[P78 Return]])</f>
        <v>1.0927841322433898</v>
      </c>
      <c r="LA26" s="27">
        <f>MAX(LA25,PortfolioFrontier[[#This Row],[P78 Growth]])</f>
        <v>1.1288044801379766</v>
      </c>
      <c r="LB26" s="27">
        <f>PortfolioFrontier[[#This Row],[P78 Growth]]/PortfolioFrontier[[#This Row],[P78 HWM]]-1</f>
        <v>-3.191017446190858E-2</v>
      </c>
      <c r="LC26" s="28">
        <f>SUMPRODUCT(INDEX(PortfolioRef[[SPY]:[PE]],MATCH(LC$1,PortfolioRef[Reference '#]),0),AssetMonthlyReturns[[#This Row],[SPY]:[PE]])</f>
        <v>-2.6946497381831729E-3</v>
      </c>
      <c r="LD26" s="27">
        <f>IF(ISNUMBER(LD25),LD25*(1+PortfolioFrontier[[#This Row],[P79 Return]]),1+PortfolioFrontier[[#This Row],[P79 Return]])</f>
        <v>1.0967173613295476</v>
      </c>
      <c r="LE26" s="27">
        <f>MAX(LE25,PortfolioFrontier[[#This Row],[P79 Growth]])</f>
        <v>1.1360977076552197</v>
      </c>
      <c r="LF26" s="27">
        <f>PortfolioFrontier[[#This Row],[P79 Growth]]/PortfolioFrontier[[#This Row],[P79 HWM]]-1</f>
        <v>-3.4662816464042345E-2</v>
      </c>
      <c r="LG26" s="28">
        <f>SUMPRODUCT(INDEX(PortfolioRef[[SPY]:[PE]],MATCH(LG$1,PortfolioRef[Reference '#]),0),AssetMonthlyReturns[[#This Row],[SPY]:[PE]])</f>
        <v>-4.9907699937908109E-3</v>
      </c>
      <c r="LH26" s="27">
        <f>IF(ISNUMBER(LH25),LH25*(1+PortfolioFrontier[[#This Row],[P80 Return]]),1+PortfolioFrontier[[#This Row],[P80 Return]])</f>
        <v>1.0958293951168758</v>
      </c>
      <c r="LI26" s="27">
        <f>MAX(LI25,PortfolioFrontier[[#This Row],[P80 Growth]])</f>
        <v>1.1328237352358017</v>
      </c>
      <c r="LJ26" s="27">
        <f>PortfolioFrontier[[#This Row],[P80 Growth]]/PortfolioFrontier[[#This Row],[P80 HWM]]-1</f>
        <v>-3.2656748767031618E-2</v>
      </c>
      <c r="LK26" s="28">
        <f>SUMPRODUCT(INDEX(PortfolioRef[[SPY]:[PE]],MATCH(LK$1,PortfolioRef[Reference '#]),0),AssetMonthlyReturns[[#This Row],[SPY]:[PE]])</f>
        <v>-7.2868902493984471E-3</v>
      </c>
      <c r="LL26" s="27">
        <f>IF(ISNUMBER(LL25),LL25*(1+PortfolioFrontier[[#This Row],[P81 Return]]),1+PortfolioFrontier[[#This Row],[P81 Return]])</f>
        <v>1.0948524486393332</v>
      </c>
      <c r="LM26" s="27">
        <f>MAX(LM25,PortfolioFrontier[[#This Row],[P81 Growth]])</f>
        <v>1.1294942602915885</v>
      </c>
      <c r="LN26" s="27">
        <f>PortfolioFrontier[[#This Row],[P81 Growth]]/PortfolioFrontier[[#This Row],[P81 HWM]]-1</f>
        <v>-3.0670197158250478E-2</v>
      </c>
      <c r="LO26" s="28">
        <f>SUMPRODUCT(INDEX(PortfolioRef[[SPY]:[PE]],MATCH(LO$1,PortfolioRef[Reference '#]),0),AssetMonthlyReturns[[#This Row],[SPY]:[PE]])</f>
        <v>-1.5655233863556041E-3</v>
      </c>
      <c r="LP26" s="27">
        <f>IF(ISNUMBER(LP25),LP25*(1+PortfolioFrontier[[#This Row],[P82 Return]]),1+PortfolioFrontier[[#This Row],[P82 Return]])</f>
        <v>1.0954393535807712</v>
      </c>
      <c r="LQ26" s="27">
        <f>MAX(LQ25,PortfolioFrontier[[#This Row],[P82 Growth]])</f>
        <v>1.1367799217668872</v>
      </c>
      <c r="LR26" s="27">
        <f>PortfolioFrontier[[#This Row],[P82 Growth]]/PortfolioFrontier[[#This Row],[P82 HWM]]-1</f>
        <v>-3.6366377866580146E-2</v>
      </c>
      <c r="LS26" s="28">
        <f>SUMPRODUCT(INDEX(PortfolioRef[[SPY]:[PE]],MATCH(LS$1,PortfolioRef[Reference '#]),0),AssetMonthlyReturns[[#This Row],[SPY]:[PE]])</f>
        <v>-3.8616436419632396E-3</v>
      </c>
      <c r="LT26" s="27">
        <f>IF(ISNUMBER(LT25),LT25*(1+PortfolioFrontier[[#This Row],[P83 Return]]),1+PortfolioFrontier[[#This Row],[P83 Return]])</f>
        <v>1.0945772848548889</v>
      </c>
      <c r="LU26" s="27">
        <f>MAX(LU25,PortfolioFrontier[[#This Row],[P83 Growth]])</f>
        <v>1.1335123932499547</v>
      </c>
      <c r="LV26" s="27">
        <f>PortfolioFrontier[[#This Row],[P83 Growth]]/PortfolioFrontier[[#This Row],[P83 HWM]]-1</f>
        <v>-3.4349080457279135E-2</v>
      </c>
      <c r="LW26" s="28">
        <f>SUMPRODUCT(INDEX(PortfolioRef[[SPY]:[PE]],MATCH(LW$1,PortfolioRef[Reference '#]),0),AssetMonthlyReturns[[#This Row],[SPY]:[PE]])</f>
        <v>-6.1577638975708771E-3</v>
      </c>
      <c r="LX26" s="27">
        <f>IF(ISNUMBER(LX25),LX25*(1+PortfolioFrontier[[#This Row],[P84 Return]]),1+PortfolioFrontier[[#This Row],[P84 Return]])</f>
        <v>1.0936261561537044</v>
      </c>
      <c r="LY26" s="27">
        <f>MAX(LY25,PortfolioFrontier[[#This Row],[P84 Growth]])</f>
        <v>1.1301892465493473</v>
      </c>
      <c r="LZ26" s="27">
        <f>PortfolioFrontier[[#This Row],[P84 Growth]]/PortfolioFrontier[[#This Row],[P84 HWM]]-1</f>
        <v>-3.235129913620749E-2</v>
      </c>
      <c r="MA26" s="28">
        <f>SUMPRODUCT(INDEX(PortfolioRef[[SPY]:[PE]],MATCH(MA$1,PortfolioRef[Reference '#]),0),AssetMonthlyReturns[[#This Row],[SPY]:[PE]])</f>
        <v>-4.3639703452803586E-4</v>
      </c>
      <c r="MB26" s="27">
        <f>IF(ISNUMBER(MB25),MB25*(1+PortfolioFrontier[[#This Row],[P85 Return]]),1+PortfolioFrontier[[#This Row],[P85 Return]])</f>
        <v>1.0940752092541957</v>
      </c>
      <c r="MC26" s="27">
        <f>MAX(MC25,PortfolioFrontier[[#This Row],[P85 Growth]])</f>
        <v>1.1373824854504828</v>
      </c>
      <c r="MD26" s="27">
        <f>PortfolioFrontier[[#This Row],[P85 Growth]]/PortfolioFrontier[[#This Row],[P85 HWM]]-1</f>
        <v>-3.8076264361618373E-2</v>
      </c>
      <c r="ME26" s="28">
        <f>SUMPRODUCT(INDEX(PortfolioRef[[SPY]:[PE]],MATCH(ME$1,PortfolioRef[Reference '#]),0),AssetMonthlyReturns[[#This Row],[SPY]:[PE]])</f>
        <v>-2.7325172901356714E-3</v>
      </c>
      <c r="MF26" s="27">
        <f>IF(ISNUMBER(MF25),MF25*(1+PortfolioFrontier[[#This Row],[P86 Return]]),1+PortfolioFrontier[[#This Row],[P86 Return]])</f>
        <v>1.0932390889059243</v>
      </c>
      <c r="MG26" s="27">
        <f>MAX(MG25,PortfolioFrontier[[#This Row],[P86 Growth]])</f>
        <v>1.1341216065780884</v>
      </c>
      <c r="MH26" s="27">
        <f>PortfolioFrontier[[#This Row],[P86 Growth]]/PortfolioFrontier[[#This Row],[P86 HWM]]-1</f>
        <v>-3.6047737240026967E-2</v>
      </c>
      <c r="MI26" s="28">
        <f>SUMPRODUCT(INDEX(PortfolioRef[[SPY]:[PE]],MATCH(MI$1,PortfolioRef[Reference '#]),0),AssetMonthlyReturns[[#This Row],[SPY]:[PE]])</f>
        <v>-5.0286375457433072E-3</v>
      </c>
      <c r="MJ26" s="27">
        <f>IF(ISNUMBER(MJ25),MJ25*(1+PortfolioFrontier[[#This Row],[P87 Return]]),1+PortfolioFrontier[[#This Row],[P87 Return]])</f>
        <v>1.0923138356247282</v>
      </c>
      <c r="MK26" s="27">
        <f>MAX(MK25,PortfolioFrontier[[#This Row],[P87 Growth]])</f>
        <v>1.1308049973216896</v>
      </c>
      <c r="ML26" s="27">
        <f>PortfolioFrontier[[#This Row],[P87 Growth]]/PortfolioFrontier[[#This Row],[P87 HWM]]-1</f>
        <v>-3.4038726206664927E-2</v>
      </c>
      <c r="MM26" s="28">
        <f>SUMPRODUCT(INDEX(PortfolioRef[[SPY]:[PE]],MATCH(MM$1,PortfolioRef[Reference '#]),0),AssetMonthlyReturns[[#This Row],[SPY]:[PE]])</f>
        <v>-1.5870018436478282E-3</v>
      </c>
      <c r="MN26" s="27">
        <f>IF(ISNUMBER(MN25),MN25*(1+PortfolioFrontier[[#This Row],[P88 Return]]),1+PortfolioFrontier[[#This Row],[P88 Return]])</f>
        <v>1.0961632910595134</v>
      </c>
      <c r="MO26" s="27">
        <f>MAX(MO25,PortfolioFrontier[[#This Row],[P88 Growth]])</f>
        <v>1.1380542053647611</v>
      </c>
      <c r="MP26" s="27">
        <f>PortfolioFrontier[[#This Row],[P88 Growth]]/PortfolioFrontier[[#This Row],[P88 HWM]]-1</f>
        <v>-3.680924345059744E-2</v>
      </c>
      <c r="MQ26" s="28">
        <f>SUMPRODUCT(INDEX(PortfolioRef[[SPY]:[PE]],MATCH(MQ$1,PortfolioRef[Reference '#]),0),AssetMonthlyReturns[[#This Row],[SPY]:[PE]])</f>
        <v>-3.8831220992554638E-3</v>
      </c>
      <c r="MR26" s="27">
        <f>IF(ISNUMBER(MR25),MR25*(1+PortfolioFrontier[[#This Row],[P89 Return]]),1+PortfolioFrontier[[#This Row],[P89 Return]])</f>
        <v>1.0953308544267435</v>
      </c>
      <c r="MS26" s="27">
        <f>MAX(MS25,PortfolioFrontier[[#This Row],[P89 Growth]])</f>
        <v>1.1348121804683284</v>
      </c>
      <c r="MT26" s="27">
        <f>PortfolioFrontier[[#This Row],[P89 Growth]]/PortfolioFrontier[[#This Row],[P89 HWM]]-1</f>
        <v>-3.4791066505200252E-2</v>
      </c>
      <c r="MU26" s="28">
        <f>SUMPRODUCT(INDEX(PortfolioRef[[SPY]:[PE]],MATCH(MU$1,PortfolioRef[Reference '#]),0),AssetMonthlyReturns[[#This Row],[SPY]:[PE]])</f>
        <v>-6.1792423548631022E-3</v>
      </c>
      <c r="MV26" s="27">
        <f>IF(ISNUMBER(MV25),MV25*(1+PortfolioFrontier[[#This Row],[P90 Return]]),1+PortfolioFrontier[[#This Row],[P90 Return]])</f>
        <v>1.0944092492764572</v>
      </c>
      <c r="MW26" s="27">
        <f>MAX(MW25,PortfolioFrontier[[#This Row],[P90 Growth]])</f>
        <v>1.1315143260529454</v>
      </c>
      <c r="MX26" s="27">
        <f>PortfolioFrontier[[#This Row],[P90 Growth]]/PortfolioFrontier[[#This Row],[P90 HWM]]-1</f>
        <v>-3.279240564803243E-2</v>
      </c>
      <c r="MY26" s="28">
        <f>SUMPRODUCT(INDEX(PortfolioRef[[SPY]:[PE]],MATCH(MY$1,PortfolioRef[Reference '#]),0),AssetMonthlyReturns[[#This Row],[SPY]:[PE]])</f>
        <v>-4.5787549182025916E-4</v>
      </c>
      <c r="MZ26" s="27">
        <f>IF(ISNUMBER(MZ25),MZ25*(1+PortfolioFrontier[[#This Row],[P91 Return]]),1+PortfolioFrontier[[#This Row],[P91 Return]])</f>
        <v>1.0948470272474333</v>
      </c>
      <c r="NA26" s="27">
        <f>MAX(NA25,PortfolioFrontier[[#This Row],[P91 Growth]])</f>
        <v>1.1387096056367039</v>
      </c>
      <c r="NB26" s="27">
        <f>PortfolioFrontier[[#This Row],[P91 Growth]]/PortfolioFrontier[[#This Row],[P91 HWM]]-1</f>
        <v>-3.8519547189333703E-2</v>
      </c>
      <c r="NC26" s="28">
        <f>SUMPRODUCT(INDEX(PortfolioRef[[SPY]:[PE]],MATCH(NC$1,PortfolioRef[Reference '#]),0),AssetMonthlyReturns[[#This Row],[SPY]:[PE]])</f>
        <v>-2.7539957474278947E-3</v>
      </c>
      <c r="ND26" s="27">
        <f>IF(ISNUMBER(ND25),ND25*(1+PortfolioFrontier[[#This Row],[P92 Return]]),1+PortfolioFrontier[[#This Row],[P92 Return]])</f>
        <v>1.0940405450254784</v>
      </c>
      <c r="NE26" s="27">
        <f>MAX(NE25,PortfolioFrontier[[#This Row],[P92 Growth]])</f>
        <v>1.1354741565687236</v>
      </c>
      <c r="NF26" s="27">
        <f>PortfolioFrontier[[#This Row],[P92 Growth]]/PortfolioFrontier[[#This Row],[P92 HWM]]-1</f>
        <v>-3.6490140531646231E-2</v>
      </c>
      <c r="NG26" s="28">
        <f>SUMPRODUCT(INDEX(PortfolioRef[[SPY]:[PE]],MATCH(NG$1,PortfolioRef[Reference '#]),0),AssetMonthlyReturns[[#This Row],[SPY]:[PE]])</f>
        <v>-5.0501160030355305E-3</v>
      </c>
      <c r="NH26" s="27">
        <f>IF(ISNUMBER(NH25),NH25*(1+PortfolioFrontier[[#This Row],[P93 Return]]),1+PortfolioFrontier[[#This Row],[P93 Return]])</f>
        <v>1.0931448188893305</v>
      </c>
      <c r="NI26" s="27">
        <f>MAX(NI25,PortfolioFrontier[[#This Row],[P93 Growth]])</f>
        <v>1.1321827635804655</v>
      </c>
      <c r="NJ26" s="27">
        <f>PortfolioFrontier[[#This Row],[P93 Growth]]/PortfolioFrontier[[#This Row],[P93 HWM]]-1</f>
        <v>-3.4480249962187903E-2</v>
      </c>
      <c r="NK26" s="28">
        <f>SUMPRODUCT(INDEX(PortfolioRef[[SPY]:[PE]],MATCH(NK$1,PortfolioRef[Reference '#]),0),AssetMonthlyReturns[[#This Row],[SPY]:[PE]])</f>
        <v>6.7125086000730905E-4</v>
      </c>
      <c r="NL26" s="27">
        <f>IF(ISNUMBER(NL25),NL25*(1+PortfolioFrontier[[#This Row],[P94 Return]]),1+PortfolioFrontier[[#This Row],[P94 Return]])</f>
        <v>1.0934447581344986</v>
      </c>
      <c r="NM26" s="27">
        <f>MAX(NM25,PortfolioFrontier[[#This Row],[P94 Growth]])</f>
        <v>1.1392852395715367</v>
      </c>
      <c r="NN26" s="27">
        <f>PortfolioFrontier[[#This Row],[P94 Growth]]/PortfolioFrontier[[#This Row],[P94 HWM]]-1</f>
        <v>-4.0236176020570391E-2</v>
      </c>
      <c r="NO26" s="28">
        <f>SUMPRODUCT(INDEX(PortfolioRef[[SPY]:[PE]],MATCH(NO$1,PortfolioRef[Reference '#]),0),AssetMonthlyReturns[[#This Row],[SPY]:[PE]])</f>
        <v>-1.6248693956003265E-3</v>
      </c>
      <c r="NP26" s="27">
        <f>IF(ISNUMBER(NP25),NP25*(1+PortfolioFrontier[[#This Row],[P95 Return]]),1+PortfolioFrontier[[#This Row],[P95 Return]])</f>
        <v>1.09266427602259</v>
      </c>
      <c r="NQ26" s="27">
        <f>MAX(NQ25,PortfolioFrontier[[#This Row],[P95 Growth]])</f>
        <v>1.1360565697788958</v>
      </c>
      <c r="NR26" s="27">
        <f>PortfolioFrontier[[#This Row],[P95 Growth]]/PortfolioFrontier[[#This Row],[P95 HWM]]-1</f>
        <v>-3.8195539650592414E-2</v>
      </c>
      <c r="NS26" s="28">
        <f>SUMPRODUCT(INDEX(PortfolioRef[[SPY]:[PE]],MATCH(NS$1,PortfolioRef[Reference '#]),0),AssetMonthlyReturns[[#This Row],[SPY]:[PE]])</f>
        <v>-3.9209896512079623E-3</v>
      </c>
      <c r="NT26" s="27">
        <f>IF(ISNUMBER(NT25),NT25*(1+PortfolioFrontier[[#This Row],[P96 Return]]),1+PortfolioFrontier[[#This Row],[P96 Return]])</f>
        <v>1.0917944813696325</v>
      </c>
      <c r="NU26" s="27">
        <f>MAX(NU25,PortfolioFrontier[[#This Row],[P96 Growth]])</f>
        <v>1.1327718451451314</v>
      </c>
      <c r="NV26" s="27">
        <f>PortfolioFrontier[[#This Row],[P96 Growth]]/PortfolioFrontier[[#This Row],[P96 HWM]]-1</f>
        <v>-3.6174419368843691E-2</v>
      </c>
      <c r="NW26" s="28">
        <f>SUMPRODUCT(INDEX(PortfolioRef[[SPY]:[PE]],MATCH(NW$1,PortfolioRef[Reference '#]),0),AssetMonthlyReturns[[#This Row],[SPY]:[PE]])</f>
        <v>-2.9649954275268219E-3</v>
      </c>
      <c r="NX26" s="27">
        <f>IF(ISNUMBER(NX25),NX25*(1+PortfolioFrontier[[#This Row],[P97 Return]]),1+PortfolioFrontier[[#This Row],[P97 Return]])</f>
        <v>1.0813807374285882</v>
      </c>
      <c r="NY26" s="27">
        <f>MAX(NY25,PortfolioFrontier[[#This Row],[P97 Growth]])</f>
        <v>1.1107647566622896</v>
      </c>
      <c r="NZ26" s="27">
        <f>PortfolioFrontier[[#This Row],[P97 Growth]]/PortfolioFrontier[[#This Row],[P97 HWM]]-1</f>
        <v>-2.6453863482306272E-2</v>
      </c>
      <c r="OA26" s="28">
        <f>SUMPRODUCT(INDEX(PortfolioRef[[SPY]:[PE]],MATCH(OA$1,PortfolioRef[Reference '#]),0),AssetMonthlyReturns[[#This Row],[SPY]:[PE]])</f>
        <v>-2.9864738848190452E-3</v>
      </c>
      <c r="OB26" s="27">
        <f>IF(ISNUMBER(OB25),OB25*(1+PortfolioFrontier[[#This Row],[P98 Return]]),1+PortfolioFrontier[[#This Row],[P98 Return]])</f>
        <v>1.082181522822059</v>
      </c>
      <c r="OC26" s="27">
        <f>MAX(OC25,PortfolioFrontier[[#This Row],[P98 Growth]])</f>
        <v>1.112092793177976</v>
      </c>
      <c r="OD26" s="27">
        <f>PortfolioFrontier[[#This Row],[P98 Growth]]/PortfolioFrontier[[#This Row],[P98 HWM]]-1</f>
        <v>-2.6896379995810404E-2</v>
      </c>
      <c r="OE26" s="28">
        <f>SUMPRODUCT(INDEX(PortfolioRef[[SPY]:[PE]],MATCH(OE$1,PortfolioRef[Reference '#]),0),AssetMonthlyReturns[[#This Row],[SPY]:[PE]])</f>
        <v>-1.8573475329914772E-3</v>
      </c>
      <c r="OF26" s="27">
        <f>IF(ISNUMBER(OF25),OF25*(1+PortfolioFrontier[[#This Row],[P99 Return]]),1+PortfolioFrontier[[#This Row],[P99 Return]])</f>
        <v>1.0809643909340785</v>
      </c>
      <c r="OG26" s="27">
        <f>MAX(OG25,PortfolioFrontier[[#This Row],[P99 Growth]])</f>
        <v>1.1127787447941944</v>
      </c>
      <c r="OH26" s="27">
        <f>PortfolioFrontier[[#This Row],[P99 Growth]]/PortfolioFrontier[[#This Row],[P99 HWM]]-1</f>
        <v>-2.8590008578929016E-2</v>
      </c>
      <c r="OI26" s="28">
        <f>SUMPRODUCT(INDEX(PortfolioRef[[SPY]:[PE]],MATCH(OI$1,PortfolioRef[Reference '#]),0),AssetMonthlyReturns[[#This Row],[SPY]:[PE]])</f>
        <v>-4.1534677885991123E-3</v>
      </c>
      <c r="OJ26" s="27">
        <f>IF(ISNUMBER(OJ25),OJ25*(1+PortfolioFrontier[[#This Row],[P100 Return]]),1+PortfolioFrontier[[#This Row],[P100 Return]])</f>
        <v>1.0799725216450813</v>
      </c>
      <c r="OK26" s="27">
        <f>MAX(OK25,PortfolioFrontier[[#This Row],[P100 Growth]])</f>
        <v>1.1094762556359219</v>
      </c>
      <c r="OL26" s="27">
        <f>PortfolioFrontier[[#This Row],[P100 Growth]]/PortfolioFrontier[[#This Row],[P100 HWM]]-1</f>
        <v>-2.6592487978870594E-2</v>
      </c>
      <c r="OM26" s="28">
        <f>SUMPRODUCT(INDEX(PortfolioRef[[SPY]:[PE]],MATCH(OM$1,PortfolioRef[Reference '#]),0),AssetMonthlyReturns[[#This Row],[SPY]:[PE]])</f>
        <v>-3.0079523421112694E-3</v>
      </c>
      <c r="ON26" s="27">
        <f>IF(ISNUMBER(ON25),ON25*(1+PortfolioFrontier[[#This Row],[P101 Return]]),1+PortfolioFrontier[[#This Row],[P101 Return]])</f>
        <v>1.0829237567231906</v>
      </c>
      <c r="OO26" s="27">
        <f>MAX(OO25,PortfolioFrontier[[#This Row],[P101 Growth]])</f>
        <v>1.1133618200783288</v>
      </c>
      <c r="OP26" s="27">
        <f>PortfolioFrontier[[#This Row],[P101 Growth]]/PortfolioFrontier[[#This Row],[P101 HWM]]-1</f>
        <v>-2.7338878346840345E-2</v>
      </c>
      <c r="OQ26" s="28">
        <f>SUMPRODUCT(INDEX(PortfolioRef[[SPY]:[PE]],MATCH(OQ$1,PortfolioRef[Reference '#]),0),AssetMonthlyReturns[[#This Row],[SPY]:[PE]])</f>
        <v>-1.8788259902837005E-3</v>
      </c>
      <c r="OR26" s="27">
        <f>IF(ISNUMBER(OR25),OR25*(1+PortfolioFrontier[[#This Row],[P102 Return]]),1+PortfolioFrontier[[#This Row],[P102 Return]])</f>
        <v>1.081754317020329</v>
      </c>
      <c r="OS26" s="27">
        <f>MAX(OS25,PortfolioFrontier[[#This Row],[P102 Growth]])</f>
        <v>1.114099894787576</v>
      </c>
      <c r="OT26" s="27">
        <f>PortfolioFrontier[[#This Row],[P102 Growth]]/PortfolioFrontier[[#This Row],[P102 HWM]]-1</f>
        <v>-2.9032924173657104E-2</v>
      </c>
      <c r="OU26" s="28">
        <f>SUMPRODUCT(INDEX(PortfolioRef[[SPY]:[PE]],MATCH(OU$1,PortfolioRef[Reference '#]),0),AssetMonthlyReturns[[#This Row],[SPY]:[PE]])</f>
        <v>-4.1749462458913356E-3</v>
      </c>
      <c r="OV26" s="27">
        <f>IF(ISNUMBER(OV25),OV25*(1+PortfolioFrontier[[#This Row],[P103 Return]]),1+PortfolioFrontier[[#This Row],[P103 Return]])</f>
        <v>1.0807915949806659</v>
      </c>
      <c r="OW26" s="27">
        <f>MAX(OW25,PortfolioFrontier[[#This Row],[P103 Growth]])</f>
        <v>1.1108221429044047</v>
      </c>
      <c r="OX26" s="27">
        <f>PortfolioFrontier[[#This Row],[P103 Growth]]/PortfolioFrontier[[#This Row],[P103 HWM]]-1</f>
        <v>-2.7034524037502172E-2</v>
      </c>
      <c r="OY26" s="28">
        <f>SUMPRODUCT(INDEX(PortfolioRef[[SPY]:[PE]],MATCH(OY$1,PortfolioRef[Reference '#]),0),AssetMonthlyReturns[[#This Row],[SPY]:[PE]])</f>
        <v>-7.4969963845613057E-4</v>
      </c>
      <c r="OZ26" s="27">
        <f>IF(ISNUMBER(OZ25),OZ25*(1+PortfolioFrontier[[#This Row],[P104 Return]]),1+PortfolioFrontier[[#This Row],[P104 Return]])</f>
        <v>1.0804994485606818</v>
      </c>
      <c r="PA26" s="27">
        <f>MAX(PA25,PortfolioFrontier[[#This Row],[P104 Growth]])</f>
        <v>1.1147596869783387</v>
      </c>
      <c r="PB26" s="27">
        <f>PortfolioFrontier[[#This Row],[P104 Growth]]/PortfolioFrontier[[#This Row],[P104 HWM]]-1</f>
        <v>-3.0733295092974289E-2</v>
      </c>
      <c r="PC26" s="28">
        <f>SUMPRODUCT(INDEX(PortfolioRef[[SPY]:[PE]],MATCH(PC$1,PortfolioRef[Reference '#]),0),AssetMonthlyReturns[[#This Row],[SPY]:[PE]])</f>
        <v>-3.0458198940637679E-3</v>
      </c>
      <c r="PD26" s="27">
        <f>IF(ISNUMBER(PD25),PD25*(1+PortfolioFrontier[[#This Row],[P105 Return]]),1+PortfolioFrontier[[#This Row],[P105 Return]])</f>
        <v>1.0795621902535748</v>
      </c>
      <c r="PE26" s="27">
        <f>MAX(PE25,PortfolioFrontier[[#This Row],[P105 Growth]])</f>
        <v>1.1114882053883932</v>
      </c>
      <c r="PF26" s="27">
        <f>PortfolioFrontier[[#This Row],[P105 Growth]]/PortfolioFrontier[[#This Row],[P105 HWM]]-1</f>
        <v>-2.8723665244528962E-2</v>
      </c>
      <c r="PG26" s="28">
        <f>SUMPRODUCT(INDEX(PortfolioRef[[SPY]:[PE]],MATCH(PG$1,PortfolioRef[Reference '#]),0),AssetMonthlyReturns[[#This Row],[SPY]:[PE]])</f>
        <v>-5.3419401496714036E-3</v>
      </c>
      <c r="PH26" s="27">
        <f>IF(ISNUMBER(PH25),PH25*(1+PortfolioFrontier[[#This Row],[P106 Return]]),1+PortfolioFrontier[[#This Row],[P106 Return]])</f>
        <v>1.0785373863207872</v>
      </c>
      <c r="PI26" s="27">
        <f>MAX(PI25,PortfolioFrontier[[#This Row],[P106 Growth]])</f>
        <v>1.1081625057204503</v>
      </c>
      <c r="PJ26" s="27">
        <f>PortfolioFrontier[[#This Row],[P106 Growth]]/PortfolioFrontier[[#This Row],[P106 HWM]]-1</f>
        <v>-2.6733551484313112E-2</v>
      </c>
      <c r="PK26" s="28">
        <f>SUMPRODUCT(INDEX(PortfolioRef[[SPY]:[PE]],MATCH(PK$1,PortfolioRef[Reference '#]),0),AssetMonthlyReturns[[#This Row],[SPY]:[PE]])</f>
        <v>-1.9003044475759238E-3</v>
      </c>
      <c r="PL26" s="27">
        <f>IF(ISNUMBER(PL25),PL25*(1+PortfolioFrontier[[#This Row],[P107 Return]]),1+PortfolioFrontier[[#This Row],[P107 Return]])</f>
        <v>1.0824857723385912</v>
      </c>
      <c r="PM26" s="27">
        <f>MAX(PM25,PortfolioFrontier[[#This Row],[P107 Growth]])</f>
        <v>1.115361983180845</v>
      </c>
      <c r="PN26" s="27">
        <f>PortfolioFrontier[[#This Row],[P107 Growth]]/PortfolioFrontier[[#This Row],[P107 HWM]]-1</f>
        <v>-2.9475821605911112E-2</v>
      </c>
      <c r="PO26" s="28">
        <f>SUMPRODUCT(INDEX(PortfolioRef[[SPY]:[PE]],MATCH(PO$1,PortfolioRef[Reference '#]),0),AssetMonthlyReturns[[#This Row],[SPY]:[PE]])</f>
        <v>-4.1964247031835589E-3</v>
      </c>
      <c r="PP26" s="27">
        <f>IF(ISNUMBER(PP25),PP25*(1+PortfolioFrontier[[#This Row],[P108 Return]]),1+PortfolioFrontier[[#This Row],[P108 Return]])</f>
        <v>1.0815522252329923</v>
      </c>
      <c r="PQ26" s="27">
        <f>MAX(PQ25,PortfolioFrontier[[#This Row],[P108 Growth]])</f>
        <v>1.1121091386149522</v>
      </c>
      <c r="PR26" s="27">
        <f>PortfolioFrontier[[#This Row],[P108 Growth]]/PortfolioFrontier[[#This Row],[P108 HWM]]-1</f>
        <v>-2.7476541933659671E-2</v>
      </c>
      <c r="PS26" s="28">
        <f>SUMPRODUCT(INDEX(PortfolioRef[[SPY]:[PE]],MATCH(PS$1,PortfolioRef[Reference '#]),0),AssetMonthlyReturns[[#This Row],[SPY]:[PE]])</f>
        <v>-7.7117809574835387E-4</v>
      </c>
      <c r="PT26" s="27">
        <f>IF(ISNUMBER(PT25),PT25*(1+PortfolioFrontier[[#This Row],[P109 Return]]),1+PortfolioFrontier[[#This Row],[P109 Return]])</f>
        <v>1.0812784969815272</v>
      </c>
      <c r="PU26" s="27">
        <f>MAX(PU25,PortfolioFrontier[[#This Row],[P109 Growth]])</f>
        <v>1.1160738973525732</v>
      </c>
      <c r="PV26" s="27">
        <f>PortfolioFrontier[[#This Row],[P109 Growth]]/PortfolioFrontier[[#This Row],[P109 HWM]]-1</f>
        <v>-3.1176609768926444E-2</v>
      </c>
      <c r="PW26" s="28">
        <f>SUMPRODUCT(INDEX(PortfolioRef[[SPY]:[PE]],MATCH(PW$1,PortfolioRef[Reference '#]),0),AssetMonthlyReturns[[#This Row],[SPY]:[PE]])</f>
        <v>-3.0672983513559912E-3</v>
      </c>
      <c r="PX26" s="27">
        <f>IF(ISNUMBER(PX25),PX25*(1+PortfolioFrontier[[#This Row],[P110 Return]]),1+PortfolioFrontier[[#This Row],[P110 Return]])</f>
        <v>1.0803704170387143</v>
      </c>
      <c r="PY26" s="27">
        <f>MAX(PY25,PortfolioFrontier[[#This Row],[P110 Growth]])</f>
        <v>1.1128272482723029</v>
      </c>
      <c r="PZ26" s="27">
        <f>PortfolioFrontier[[#This Row],[P110 Growth]]/PortfolioFrontier[[#This Row],[P110 HWM]]-1</f>
        <v>-2.916610038438483E-2</v>
      </c>
      <c r="QA26" s="28">
        <f>SUMPRODUCT(INDEX(PortfolioRef[[SPY]:[PE]],MATCH(QA$1,PortfolioRef[Reference '#]),0),AssetMonthlyReturns[[#This Row],[SPY]:[PE]])</f>
        <v>-5.3634186069636269E-3</v>
      </c>
      <c r="QB26" s="27">
        <f>IF(ISNUMBER(QB25),QB25*(1+PortfolioFrontier[[#This Row],[P111 Return]]),1+PortfolioFrontier[[#This Row],[P111 Return]])</f>
        <v>1.079374676688815</v>
      </c>
      <c r="QC26" s="27">
        <f>MAX(QC25,PortfolioFrontier[[#This Row],[P111 Growth]])</f>
        <v>1.1095261691525546</v>
      </c>
      <c r="QD26" s="27">
        <f>PortfolioFrontier[[#This Row],[P111 Growth]]/PortfolioFrontier[[#This Row],[P111 HWM]]-1</f>
        <v>-2.7175107088072581E-2</v>
      </c>
      <c r="QE26" s="28">
        <f>SUMPRODUCT(INDEX(PortfolioRef[[SPY]:[PE]],MATCH(QE$1,PortfolioRef[Reference '#]),0),AssetMonthlyReturns[[#This Row],[SPY]:[PE]])</f>
        <v>3.5794825607921607E-4</v>
      </c>
      <c r="QF26" s="27">
        <f>IF(ISNUMBER(QF25),QF25*(1+PortfolioFrontier[[#This Row],[P112 Return]]),1+PortfolioFrontier[[#This Row],[P112 Return]])</f>
        <v>1.0799859099630031</v>
      </c>
      <c r="QG26" s="27">
        <f>MAX(QG25,PortfolioFrontier[[#This Row],[P112 Growth]])</f>
        <v>1.1167074070352945</v>
      </c>
      <c r="QH26" s="27">
        <f>PortfolioFrontier[[#This Row],[P112 Growth]]/PortfolioFrontier[[#This Row],[P112 HWM]]-1</f>
        <v>-3.2883723024441869E-2</v>
      </c>
      <c r="QI26" s="28">
        <f>SUMPRODUCT(INDEX(PortfolioRef[[SPY]:[PE]],MATCH(QI$1,PortfolioRef[Reference '#]),0),AssetMonthlyReturns[[#This Row],[SPY]:[PE]])</f>
        <v>-1.9381719995284195E-3</v>
      </c>
      <c r="QJ26" s="27">
        <f>IF(ISNUMBER(QJ25),QJ25*(1+PortfolioFrontier[[#This Row],[P113 Return]]),1+PortfolioFrontier[[#This Row],[P113 Return]])</f>
        <v>1.0791033536474366</v>
      </c>
      <c r="QK26" s="27">
        <f>MAX(QK25,PortfolioFrontier[[#This Row],[P113 Growth]])</f>
        <v>1.1134671592191805</v>
      </c>
      <c r="QL26" s="27">
        <f>PortfolioFrontier[[#This Row],[P113 Growth]]/PortfolioFrontier[[#This Row],[P113 HWM]]-1</f>
        <v>-3.0861983927609971E-2</v>
      </c>
      <c r="QM26" s="28">
        <f>SUMPRODUCT(INDEX(PortfolioRef[[SPY]:[PE]],MATCH(QM$1,PortfolioRef[Reference '#]),0),AssetMonthlyReturns[[#This Row],[SPY]:[PE]])</f>
        <v>-4.234292255136057E-3</v>
      </c>
      <c r="QN26" s="27">
        <f>IF(ISNUMBER(QN25),QN25*(1+PortfolioFrontier[[#This Row],[P114 Return]]),1+PortfolioFrontier[[#This Row],[P114 Return]])</f>
        <v>1.0781330598430892</v>
      </c>
      <c r="QO26" s="27">
        <f>MAX(QO25,PortfolioFrontier[[#This Row],[P114 Growth]])</f>
        <v>1.1101723689910592</v>
      </c>
      <c r="QP26" s="27">
        <f>PortfolioFrontier[[#This Row],[P114 Growth]]/PortfolioFrontier[[#This Row],[P114 HWM]]-1</f>
        <v>-2.8859760919007438E-2</v>
      </c>
      <c r="QQ26" s="28">
        <f>SUMPRODUCT(INDEX(PortfolioRef[[SPY]:[PE]],MATCH(QQ$1,PortfolioRef[Reference '#]),0),AssetMonthlyReturns[[#This Row],[SPY]:[PE]])</f>
        <v>-7.9265655304057631E-4</v>
      </c>
      <c r="QR26" s="27">
        <f>IF(ISNUMBER(QR25),QR25*(1+PortfolioFrontier[[#This Row],[P115 Return]]),1+PortfolioFrontier[[#This Row],[P115 Return]])</f>
        <v>1.0819991575586434</v>
      </c>
      <c r="QS26" s="27">
        <f>MAX(QS25,PortfolioFrontier[[#This Row],[P115 Growth]])</f>
        <v>1.1173289956889407</v>
      </c>
      <c r="QT26" s="27">
        <f>PortfolioFrontier[[#This Row],[P115 Growth]]/PortfolioFrontier[[#This Row],[P115 HWM]]-1</f>
        <v>-3.1619906282404409E-2</v>
      </c>
      <c r="QU26" s="28">
        <f>SUMPRODUCT(INDEX(PortfolioRef[[SPY]:[PE]],MATCH(QU$1,PortfolioRef[Reference '#]),0),AssetMonthlyReturns[[#This Row],[SPY]:[PE]])</f>
        <v>-3.0887768086482136E-3</v>
      </c>
      <c r="QV26" s="27">
        <f>IF(ISNUMBER(QV25),QV25*(1+PortfolioFrontier[[#This Row],[P116 Return]]),1+PortfolioFrontier[[#This Row],[P116 Return]])</f>
        <v>1.0811202808428193</v>
      </c>
      <c r="QW26" s="27">
        <f>MAX(QW25,PortfolioFrontier[[#This Row],[P116 Growth]])</f>
        <v>1.1141073475867118</v>
      </c>
      <c r="QX26" s="27">
        <f>PortfolioFrontier[[#This Row],[P116 Growth]]/PortfolioFrontier[[#This Row],[P116 HWM]]-1</f>
        <v>-2.9608517361766284E-2</v>
      </c>
      <c r="QY26" s="28">
        <f>SUMPRODUCT(INDEX(PortfolioRef[[SPY]:[PE]],MATCH(QY$1,PortfolioRef[Reference '#]),0),AssetMonthlyReturns[[#This Row],[SPY]:[PE]])</f>
        <v>-5.3848970642558502E-3</v>
      </c>
      <c r="QZ26" s="27">
        <f>IF(ISNUMBER(QZ25),QZ25*(1+PortfolioFrontier[[#This Row],[P117 Return]]),1+PortfolioFrontier[[#This Row],[P117 Return]])</f>
        <v>1.0801536341200157</v>
      </c>
      <c r="RA26" s="27">
        <f>MAX(RA25,PortfolioFrontier[[#This Row],[P117 Growth]])</f>
        <v>1.1108310606542744</v>
      </c>
      <c r="RB26" s="27">
        <f>PortfolioFrontier[[#This Row],[P117 Growth]]/PortfolioFrontier[[#This Row],[P117 HWM]]-1</f>
        <v>-2.7616644529357859E-2</v>
      </c>
      <c r="RC26" s="28">
        <f>SUMPRODUCT(INDEX(PortfolioRef[[SPY]:[PE]],MATCH(RC$1,PortfolioRef[Reference '#]),0),AssetMonthlyReturns[[#This Row],[SPY]:[PE]])</f>
        <v>3.3646979878699276E-4</v>
      </c>
      <c r="RD26" s="27">
        <f>IF(ISNUMBER(RD25),RD25*(1+PortfolioFrontier[[#This Row],[P118 Return]]),1+PortfolioFrontier[[#This Row],[P118 Return]])</f>
        <v>1.0807540633357782</v>
      </c>
      <c r="RE26" s="27">
        <f>MAX(RE25,PortfolioFrontier[[#This Row],[P118 Growth]])</f>
        <v>1.118014625073851</v>
      </c>
      <c r="RF26" s="27">
        <f>PortfolioFrontier[[#This Row],[P118 Growth]]/PortfolioFrontier[[#This Row],[P118 HWM]]-1</f>
        <v>-3.3327436781617759E-2</v>
      </c>
      <c r="RG26" s="28">
        <f>SUMPRODUCT(INDEX(PortfolioRef[[SPY]:[PE]],MATCH(RG$1,PortfolioRef[Reference '#]),0),AssetMonthlyReturns[[#This Row],[SPY]:[PE]])</f>
        <v>-1.9596504568206428E-3</v>
      </c>
      <c r="RH26" s="27">
        <f>IF(ISNUMBER(RH25),RH25*(1+PortfolioFrontier[[#This Row],[P119 Return]]),1+PortfolioFrontier[[#This Row],[P119 Return]])</f>
        <v>1.0799007147937916</v>
      </c>
      <c r="RI26" s="27">
        <f>MAX(RI25,PortfolioFrontier[[#This Row],[P119 Growth]])</f>
        <v>1.1147993042867748</v>
      </c>
      <c r="RJ26" s="27">
        <f>PortfolioFrontier[[#This Row],[P119 Growth]]/PortfolioFrontier[[#This Row],[P119 HWM]]-1</f>
        <v>-3.1304818148689573E-2</v>
      </c>
      <c r="RK26" s="28">
        <f>SUMPRODUCT(INDEX(PortfolioRef[[SPY]:[PE]],MATCH(RK$1,PortfolioRef[Reference '#]),0),AssetMonthlyReturns[[#This Row],[SPY]:[PE]])</f>
        <v>-4.2557707124282803E-3</v>
      </c>
      <c r="RL26" s="27">
        <f>IF(ISNUMBER(RL25),RL25*(1+PortfolioFrontier[[#This Row],[P120 Return]]),1+PortfolioFrontier[[#This Row],[P120 Return]])</f>
        <v>1.0789595167406019</v>
      </c>
      <c r="RM26" s="27">
        <f>MAX(RM25,PortfolioFrontier[[#This Row],[P120 Growth]])</f>
        <v>1.1115292301273156</v>
      </c>
      <c r="RN26" s="27">
        <f>PortfolioFrontier[[#This Row],[P120 Growth]]/PortfolioFrontier[[#This Row],[P120 HWM]]-1</f>
        <v>-2.9301715603991085E-2</v>
      </c>
      <c r="RO26" s="28">
        <f>SUMPRODUCT(INDEX(PortfolioRef[[SPY]:[PE]],MATCH(RO$1,PortfolioRef[Reference '#]),0),AssetMonthlyReturns[[#This Row],[SPY]:[PE]])</f>
        <v>1.465596150614561E-3</v>
      </c>
      <c r="RP26" s="27">
        <f>IF(ISNUMBER(RP25),RP25*(1+PortfolioFrontier[[#This Row],[P121 Return]]),1+PortfolioFrontier[[#This Row],[P121 Return]])</f>
        <v>1.0794237800241695</v>
      </c>
      <c r="RQ26" s="27">
        <f>MAX(RQ25,PortfolioFrontier[[#This Row],[P121 Growth]])</f>
        <v>1.118621731160943</v>
      </c>
      <c r="RR26" s="27">
        <f>PortfolioFrontier[[#This Row],[P121 Growth]]/PortfolioFrontier[[#This Row],[P121 HWM]]-1</f>
        <v>-3.5041292373332089E-2</v>
      </c>
      <c r="RS26" s="28">
        <f>SUMPRODUCT(INDEX(PortfolioRef[[SPY]:[PE]],MATCH(RS$1,PortfolioRef[Reference '#]),0),AssetMonthlyReturns[[#This Row],[SPY]:[PE]])</f>
        <v>-8.3052410499307458E-4</v>
      </c>
      <c r="RT26" s="27">
        <f>IF(ISNUMBER(RT25),RT25*(1+PortfolioFrontier[[#This Row],[P122 Return]]),1+PortfolioFrontier[[#This Row],[P122 Return]])</f>
        <v>1.07859601099931</v>
      </c>
      <c r="RU26" s="27">
        <f>MAX(RU25,PortfolioFrontier[[#This Row],[P122 Growth]])</f>
        <v>1.1154129412250284</v>
      </c>
      <c r="RV26" s="27">
        <f>PortfolioFrontier[[#This Row],[P122 Growth]]/PortfolioFrontier[[#This Row],[P122 HWM]]-1</f>
        <v>-3.3007444028113397E-2</v>
      </c>
      <c r="RW26" s="28">
        <f>SUMPRODUCT(INDEX(PortfolioRef[[SPY]:[PE]],MATCH(RW$1,PortfolioRef[Reference '#]),0),AssetMonthlyReturns[[#This Row],[SPY]:[PE]])</f>
        <v>-3.1266443606007108E-3</v>
      </c>
      <c r="RX26" s="27">
        <f>IF(ISNUMBER(RX25),RX25*(1+PortfolioFrontier[[#This Row],[P123 Return]]),1+PortfolioFrontier[[#This Row],[P123 Return]])</f>
        <v>1.0776803196329161</v>
      </c>
      <c r="RY26" s="27">
        <f>MAX(RY25,PortfolioFrontier[[#This Row],[P123 Growth]])</f>
        <v>1.1121492867844014</v>
      </c>
      <c r="RZ26" s="27">
        <f>PortfolioFrontier[[#This Row],[P123 Growth]]/PortfolioFrontier[[#This Row],[P123 HWM]]-1</f>
        <v>-3.0993111771124404E-2</v>
      </c>
      <c r="SA26" s="28">
        <f>SUMPRODUCT(INDEX(PortfolioRef[[SPY]:[PE]],MATCH(SA$1,PortfolioRef[Reference '#]),0),AssetMonthlyReturns[[#This Row],[SPY]:[PE]])</f>
        <v>3.1499134149476945E-4</v>
      </c>
      <c r="SB26" s="27">
        <f>IF(ISNUMBER(SB25),SB25*(1+PortfolioFrontier[[#This Row],[P124 Return]]),1+PortfolioFrontier[[#This Row],[P124 Return]])</f>
        <v>1.0814639139827866</v>
      </c>
      <c r="SC26" s="27">
        <f>MAX(SC25,PortfolioFrontier[[#This Row],[P124 Growth]])</f>
        <v>1.1192626821867915</v>
      </c>
      <c r="SD26" s="27">
        <f>PortfolioFrontier[[#This Row],[P124 Growth]]/PortfolioFrontier[[#This Row],[P124 HWM]]-1</f>
        <v>-3.377113237631979E-2</v>
      </c>
      <c r="SE26" s="28">
        <f>SUMPRODUCT(INDEX(PortfolioRef[[SPY]:[PE]],MATCH(SE$1,PortfolioRef[Reference '#]),0),AssetMonthlyReturns[[#This Row],[SPY]:[PE]])</f>
        <v>-1.9811289141128661E-3</v>
      </c>
      <c r="SF26" s="27">
        <f>IF(ISNUMBER(SF25),SF25*(1+PortfolioFrontier[[#This Row],[P125 Return]]),1+PortfolioFrontier[[#This Row],[P125 Return]])</f>
        <v>1.0806397952560649</v>
      </c>
      <c r="SG26" s="27">
        <f>MAX(SG25,PortfolioFrontier[[#This Row],[P125 Growth]])</f>
        <v>1.1160724553162842</v>
      </c>
      <c r="SH26" s="27">
        <f>PortfolioFrontier[[#This Row],[P125 Growth]]/PortfolioFrontier[[#This Row],[P125 HWM]]-1</f>
        <v>-3.1747634207295317E-2</v>
      </c>
      <c r="SI26" s="28">
        <f>SUMPRODUCT(INDEX(PortfolioRef[[SPY]:[PE]],MATCH(SI$1,PortfolioRef[Reference '#]),0),AssetMonthlyReturns[[#This Row],[SPY]:[PE]])</f>
        <v>-4.2772491697205036E-3</v>
      </c>
      <c r="SJ26" s="27">
        <f>IF(ISNUMBER(SJ25),SJ25*(1+PortfolioFrontier[[#This Row],[P126 Return]]),1+PortfolioFrontier[[#This Row],[P126 Return]])</f>
        <v>1.079727720181648</v>
      </c>
      <c r="SK26" s="27">
        <f>MAX(SK25,PortfolioFrontier[[#This Row],[P126 Growth]])</f>
        <v>1.1128272672970145</v>
      </c>
      <c r="SL26" s="27">
        <f>PortfolioFrontier[[#This Row],[P126 Growth]]/PortfolioFrontier[[#This Row],[P126 HWM]]-1</f>
        <v>-2.9743652126500431E-2</v>
      </c>
      <c r="SM26" s="28">
        <f>SUMPRODUCT(INDEX(PortfolioRef[[SPY]:[PE]],MATCH(SM$1,PortfolioRef[Reference '#]),0),AssetMonthlyReturns[[#This Row],[SPY]:[PE]])</f>
        <v>1.4441176933223377E-3</v>
      </c>
      <c r="SN26" s="27">
        <f>IF(ISNUMBER(SN25),SN25*(1+PortfolioFrontier[[#This Row],[P127 Return]]),1+PortfolioFrontier[[#This Row],[P127 Return]])</f>
        <v>1.0801810219434913</v>
      </c>
      <c r="SO26" s="27">
        <f>MAX(SO25,PortfolioFrontier[[#This Row],[P127 Growth]])</f>
        <v>1.1199219045312785</v>
      </c>
      <c r="SP26" s="27">
        <f>PortfolioFrontier[[#This Row],[P127 Growth]]/PortfolioFrontier[[#This Row],[P127 HWM]]-1</f>
        <v>-3.5485405211732157E-2</v>
      </c>
      <c r="SQ26" s="28">
        <f>SUMPRODUCT(INDEX(PortfolioRef[[SPY]:[PE]],MATCH(SQ$1,PortfolioRef[Reference '#]),0),AssetMonthlyReturns[[#This Row],[SPY]:[PE]])</f>
        <v>-8.5200256228529789E-4</v>
      </c>
      <c r="SR26" s="27">
        <f>IF(ISNUMBER(SR25),SR25*(1+PortfolioFrontier[[#This Row],[P128 Return]]),1+PortfolioFrontier[[#This Row],[P128 Return]])</f>
        <v>1.0793824883917784</v>
      </c>
      <c r="SS26" s="27">
        <f>MAX(SS25,PortfolioFrontier[[#This Row],[P128 Growth]])</f>
        <v>1.1167381354223636</v>
      </c>
      <c r="ST26" s="27">
        <f>PortfolioFrontier[[#This Row],[P128 Growth]]/PortfolioFrontier[[#This Row],[P128 HWM]]-1</f>
        <v>-3.3450677330417067E-2</v>
      </c>
      <c r="SU26" s="28">
        <f>SUMPRODUCT(INDEX(PortfolioRef[[SPY]:[PE]],MATCH(SU$1,PortfolioRef[Reference '#]),0),AssetMonthlyReturns[[#This Row],[SPY]:[PE]])</f>
        <v>-3.1481228178929341E-3</v>
      </c>
      <c r="SV26" s="27">
        <f>IF(ISNUMBER(SV25),SV25*(1+PortfolioFrontier[[#This Row],[P129 Return]]),1+PortfolioFrontier[[#This Row],[P129 Return]])</f>
        <v>1.0784959232451434</v>
      </c>
      <c r="SW26" s="27">
        <f>MAX(SW25,PortfolioFrontier[[#This Row],[P129 Growth]])</f>
        <v>1.1134992918602598</v>
      </c>
      <c r="SX26" s="27">
        <f>PortfolioFrontier[[#This Row],[P129 Growth]]/PortfolioFrontier[[#This Row],[P129 HWM]]-1</f>
        <v>-3.1435465537331564E-2</v>
      </c>
      <c r="SY26" s="28">
        <f>SUMPRODUCT(INDEX(PortfolioRef[[SPY]:[PE]],MATCH(SY$1,PortfolioRef[Reference '#]),0),AssetMonthlyReturns[[#This Row],[SPY]:[PE]])</f>
        <v>2.5732440451499078E-3</v>
      </c>
      <c r="SZ26" s="27">
        <f>IF(ISNUMBER(SZ25),SZ25*(1+PortfolioFrontier[[#This Row],[P130 Return]]),1+PortfolioFrontier[[#This Row],[P130 Return]])</f>
        <v>1.0788130688627602</v>
      </c>
      <c r="TA26" s="27">
        <f>MAX(TA25,PortfolioFrontier[[#This Row],[P130 Growth]])</f>
        <v>1.1205024879473076</v>
      </c>
      <c r="TB26" s="27">
        <f>PortfolioFrontier[[#This Row],[P130 Growth]]/PortfolioFrontier[[#This Row],[P130 HWM]]-1</f>
        <v>-3.7206003139644839E-2</v>
      </c>
      <c r="TC26" s="28">
        <f>SUMPRODUCT(INDEX(PortfolioRef[[SPY]:[PE]],MATCH(TC$1,PortfolioRef[Reference '#]),0),AssetMonthlyReturns[[#This Row],[SPY]:[PE]])</f>
        <v>2.7712378954227205E-4</v>
      </c>
      <c r="TD26" s="27">
        <f>IF(ISNUMBER(TD25),TD25*(1+PortfolioFrontier[[#This Row],[P131 Return]]),1+PortfolioFrontier[[#This Row],[P131 Return]])</f>
        <v>1.0780401666989208</v>
      </c>
      <c r="TE26" s="27">
        <f>MAX(TE25,PortfolioFrontier[[#This Row],[P131 Growth]])</f>
        <v>1.1173253778747425</v>
      </c>
      <c r="TF26" s="27">
        <f>PortfolioFrontier[[#This Row],[P131 Growth]]/PortfolioFrontier[[#This Row],[P131 HWM]]-1</f>
        <v>-3.5160045546039465E-2</v>
      </c>
      <c r="TG26" s="28">
        <f>SUMPRODUCT(INDEX(PortfolioRef[[SPY]:[PE]],MATCH(TG$1,PortfolioRef[Reference '#]),0),AssetMonthlyReturns[[#This Row],[SPY]:[PE]])</f>
        <v>-2.0189964660653642E-3</v>
      </c>
      <c r="TH26" s="27">
        <f>IF(ISNUMBER(TH25),TH25*(1+PortfolioFrontier[[#This Row],[P132 Return]]),1+PortfolioFrontier[[#This Row],[P132 Return]])</f>
        <v>1.0771791643837842</v>
      </c>
      <c r="TI26" s="27">
        <f>MAX(TI25,PortfolioFrontier[[#This Row],[P132 Growth]])</f>
        <v>1.1140930834761242</v>
      </c>
      <c r="TJ26" s="27">
        <f>PortfolioFrontier[[#This Row],[P132 Growth]]/PortfolioFrontier[[#This Row],[P132 HWM]]-1</f>
        <v>-3.3133604040663678E-2</v>
      </c>
      <c r="TK26" s="28">
        <f>SUMPRODUCT(INDEX(PortfolioRef[[SPY]:[PE]],MATCH(TK$1,PortfolioRef[Reference '#]),0),AssetMonthlyReturns[[#This Row],[SPY]:[PE]])</f>
        <v>1.4226392360301152E-3</v>
      </c>
      <c r="TL26" s="27">
        <f>IF(ISNUMBER(TL25),TL25*(1+PortfolioFrontier[[#This Row],[P133 Return]]),1+PortfolioFrontier[[#This Row],[P133 Return]])</f>
        <v>1.0808800484423247</v>
      </c>
      <c r="TM26" s="27">
        <f>MAX(TM25,PortfolioFrontier[[#This Row],[P133 Growth]])</f>
        <v>1.1211628696411426</v>
      </c>
      <c r="TN26" s="27">
        <f>PortfolioFrontier[[#This Row],[P133 Growth]]/PortfolioFrontier[[#This Row],[P133 HWM]]-1</f>
        <v>-3.5929499887658256E-2</v>
      </c>
      <c r="TO26" s="28">
        <f>SUMPRODUCT(INDEX(PortfolioRef[[SPY]:[PE]],MATCH(TO$1,PortfolioRef[Reference '#]),0),AssetMonthlyReturns[[#This Row],[SPY]:[PE]])</f>
        <v>-8.7348101957752033E-4</v>
      </c>
      <c r="TP26" s="27">
        <f>IF(ISNUMBER(TP25),TP25*(1+PortfolioFrontier[[#This Row],[P134 Return]]),1+PortfolioFrontier[[#This Row],[P134 Return]])</f>
        <v>1.0801107695856975</v>
      </c>
      <c r="TQ26" s="27">
        <f>MAX(TQ25,PortfolioFrontier[[#This Row],[P134 Growth]])</f>
        <v>1.1180042866589928</v>
      </c>
      <c r="TR26" s="27">
        <f>PortfolioFrontier[[#This Row],[P134 Growth]]/PortfolioFrontier[[#This Row],[P134 HWM]]-1</f>
        <v>-3.38938924702471E-2</v>
      </c>
      <c r="TS26" s="28">
        <f>SUMPRODUCT(INDEX(PortfolioRef[[SPY]:[PE]],MATCH(TS$1,PortfolioRef[Reference '#]),0),AssetMonthlyReturns[[#This Row],[SPY]:[PE]])</f>
        <v>-3.1696012751851565E-3</v>
      </c>
      <c r="TT26" s="27">
        <f>IF(ISNUMBER(TT25),TT25*(1+PortfolioFrontier[[#This Row],[P135 Return]]),1+PortfolioFrontier[[#This Row],[P135 Return]])</f>
        <v>1.079253355070773</v>
      </c>
      <c r="TU26" s="27">
        <f>MAX(TU25,PortfolioFrontier[[#This Row],[P135 Growth]])</f>
        <v>1.1147904224723095</v>
      </c>
      <c r="TV26" s="27">
        <f>PortfolioFrontier[[#This Row],[P135 Growth]]/PortfolioFrontier[[#This Row],[P135 HWM]]-1</f>
        <v>-3.1877801141065309E-2</v>
      </c>
      <c r="TW26" s="28">
        <f>SUMPRODUCT(INDEX(PortfolioRef[[SPY]:[PE]],MATCH(TW$1,PortfolioRef[Reference '#]),0),AssetMonthlyReturns[[#This Row],[SPY]:[PE]])</f>
        <v>2.5517655878576845E-3</v>
      </c>
      <c r="TX26" s="27">
        <f>IF(ISNUMBER(TX25),TX25*(1+PortfolioFrontier[[#This Row],[P136 Return]]),1+PortfolioFrontier[[#This Row],[P136 Return]])</f>
        <v>1.0795593839021895</v>
      </c>
      <c r="TY26" s="27">
        <f>MAX(TY25,PortfolioFrontier[[#This Row],[P136 Growth]])</f>
        <v>1.1217955647045177</v>
      </c>
      <c r="TZ26" s="27">
        <f>PortfolioFrontier[[#This Row],[P136 Growth]]/PortfolioFrontier[[#This Row],[P136 HWM]]-1</f>
        <v>-3.7650515059268641E-2</v>
      </c>
      <c r="UA26" s="28">
        <f>SUMPRODUCT(INDEX(PortfolioRef[[SPY]:[PE]],MATCH(UA$1,PortfolioRef[Reference '#]),0),AssetMonthlyReturns[[#This Row],[SPY]:[PE]])</f>
        <v>2.5564533225004875E-4</v>
      </c>
      <c r="UB26" s="27">
        <f>IF(ISNUMBER(UB25),UB25*(1+PortfolioFrontier[[#This Row],[P137 Return]]),1+PortfolioFrontier[[#This Row],[P137 Return]])</f>
        <v>1.078815743197465</v>
      </c>
      <c r="UC26" s="27">
        <f>MAX(UC25,PortfolioFrontier[[#This Row],[P137 Growth]])</f>
        <v>1.1186435685293665</v>
      </c>
      <c r="UD26" s="27">
        <f>PortfolioFrontier[[#This Row],[P137 Growth]]/PortfolioFrontier[[#This Row],[P137 HWM]]-1</f>
        <v>-3.5603677929567423E-2</v>
      </c>
      <c r="UE26" s="28">
        <f>SUMPRODUCT(INDEX(PortfolioRef[[SPY]:[PE]],MATCH(UE$1,PortfolioRef[Reference '#]),0),AssetMonthlyReturns[[#This Row],[SPY]:[PE]])</f>
        <v>-2.0404749233575875E-3</v>
      </c>
      <c r="UF26" s="27">
        <f>IF(ISNUMBER(UF25),UF25*(1+PortfolioFrontier[[#This Row],[P138 Return]]),1+PortfolioFrontier[[#This Row],[P138 Return]])</f>
        <v>1.0779838958668935</v>
      </c>
      <c r="UG26" s="27">
        <f>MAX(UG25,PortfolioFrontier[[#This Row],[P138 Growth]])</f>
        <v>1.1154361791023262</v>
      </c>
      <c r="UH26" s="27">
        <f>PortfolioFrontier[[#This Row],[P138 Growth]]/PortfolioFrontier[[#This Row],[P138 HWM]]-1</f>
        <v>-3.3576356888094905E-2</v>
      </c>
      <c r="UI26" s="28">
        <f>SUMPRODUCT(INDEX(PortfolioRef[[SPY]:[PE]],MATCH(UI$1,PortfolioRef[Reference '#]),0),AssetMonthlyReturns[[#This Row],[SPY]:[PE]])</f>
        <v>3.6808919396852562E-3</v>
      </c>
      <c r="UJ26" s="27">
        <f>IF(ISNUMBER(UJ25),UJ25*(1+PortfolioFrontier[[#This Row],[P139 Return]]),1+PortfolioFrontier[[#This Row],[P139 Return]])</f>
        <v>1.0781537918389861</v>
      </c>
      <c r="UK26" s="27">
        <f>MAX(UK25,PortfolioFrontier[[#This Row],[P139 Growth]])</f>
        <v>1.1223495084031516</v>
      </c>
      <c r="UL26" s="27">
        <f>PortfolioFrontier[[#This Row],[P139 Growth]]/PortfolioFrontier[[#This Row],[P139 HWM]]-1</f>
        <v>-3.9377855323379674E-2</v>
      </c>
      <c r="UM26" s="28">
        <f>SUMPRODUCT(INDEX(PortfolioRef[[SPY]:[PE]],MATCH(UM$1,PortfolioRef[Reference '#]),0),AssetMonthlyReturns[[#This Row],[SPY]:[PE]])</f>
        <v>1.384771684077617E-3</v>
      </c>
      <c r="UN26" s="27">
        <f>IF(ISNUMBER(UN25),UN25*(1+PortfolioFrontier[[#This Row],[P140 Return]]),1+PortfolioFrontier[[#This Row],[P140 Return]])</f>
        <v>1.077435830360032</v>
      </c>
      <c r="UO26" s="27">
        <f>MAX(UO25,PortfolioFrontier[[#This Row],[P140 Growth]])</f>
        <v>1.1192042980299706</v>
      </c>
      <c r="UP26" s="27">
        <f>PortfolioFrontier[[#This Row],[P140 Growth]]/PortfolioFrontier[[#This Row],[P140 HWM]]-1</f>
        <v>-3.7319788481387728E-2</v>
      </c>
      <c r="UQ26" s="28">
        <f>SUMPRODUCT(INDEX(PortfolioRef[[SPY]:[PE]],MATCH(UQ$1,PortfolioRef[Reference '#]),0),AssetMonthlyReturns[[#This Row],[SPY]:[PE]])</f>
        <v>-9.1134857153001925E-4</v>
      </c>
      <c r="UR26" s="27">
        <f>IF(ISNUMBER(UR25),UR25*(1+PortfolioFrontier[[#This Row],[P141 Return]]),1+PortfolioFrontier[[#This Row],[P141 Return]])</f>
        <v>1.0766295979947906</v>
      </c>
      <c r="US26" s="27">
        <f>MAX(US25,PortfolioFrontier[[#This Row],[P141 Growth]])</f>
        <v>1.1160035858106589</v>
      </c>
      <c r="UT26" s="27">
        <f>PortfolioFrontier[[#This Row],[P141 Growth]]/PortfolioFrontier[[#This Row],[P141 HWM]]-1</f>
        <v>-3.5281237727625481E-2</v>
      </c>
    </row>
    <row r="27" spans="2:566" x14ac:dyDescent="0.2">
      <c r="B27" s="41">
        <f>AssetMonthlyReturns[[#This Row],[Date]]</f>
        <v>43191</v>
      </c>
      <c r="C27" s="28">
        <f>SUMPRODUCT(INDEX(PortfolioRef[[SPY]:[PE]],MATCH(C$1,PortfolioRef[Reference '#]),0),AssetMonthlyReturns[[#This Row],[SPY]:[PE]])</f>
        <v>5.8463974290736236E-3</v>
      </c>
      <c r="D27" s="29">
        <f>IF(ISNUMBER(D26),D26*(1+PortfolioFrontier[[#This Row],[P1 Return]]),1+PortfolioFrontier[[#This Row],[P1 Return]])</f>
        <v>1.1788787408870132</v>
      </c>
      <c r="E27" s="29">
        <f>MAX(E26,PortfolioFrontier[[#This Row],[P1 Growth]])</f>
        <v>1.2268807402593727</v>
      </c>
      <c r="F27" s="29">
        <f>PortfolioFrontier[[#This Row],[P1 Growth]]/PortfolioFrontier[[#This Row],[P1 HWM]]-1</f>
        <v>-3.912523670573842E-2</v>
      </c>
      <c r="G27" s="28">
        <f>SUMPRODUCT(INDEX(PortfolioRef[[SPY]:[PE]],MATCH(G$1,PortfolioRef[Reference '#]),0),AssetMonthlyReturns[[#This Row],[SPY]:[PE]])</f>
        <v>4.9118852247047266E-3</v>
      </c>
      <c r="H27" s="27">
        <f>IF(ISNUMBER(H26),H26*(1+PortfolioFrontier[[#This Row],[P2 Return]]),1+PortfolioFrontier[[#This Row],[P2 Return]])</f>
        <v>1.1622128433287242</v>
      </c>
      <c r="I27" s="27">
        <f>MAX(I26,PortfolioFrontier[[#This Row],[P2 Growth]])</f>
        <v>1.2068315625281993</v>
      </c>
      <c r="J27" s="27">
        <f>PortfolioFrontier[[#This Row],[P2 Growth]]/PortfolioFrontier[[#This Row],[P2 HWM]]-1</f>
        <v>-3.6971786771969328E-2</v>
      </c>
      <c r="K27" s="28">
        <f>SUMPRODUCT(INDEX(PortfolioRef[[SPY]:[PE]],MATCH(K$1,PortfolioRef[Reference '#]),0),AssetMonthlyReturns[[#This Row],[SPY]:[PE]])</f>
        <v>4.9086501667474462E-3</v>
      </c>
      <c r="L27" s="27">
        <f>IF(ISNUMBER(L26),L26*(1+PortfolioFrontier[[#This Row],[P3 Return]]),1+PortfolioFrontier[[#This Row],[P3 Return]])</f>
        <v>1.163093263046602</v>
      </c>
      <c r="M27" s="27">
        <f>MAX(M26,PortfolioFrontier[[#This Row],[P3 Growth]])</f>
        <v>1.2083023864943216</v>
      </c>
      <c r="N27" s="27">
        <f>PortfolioFrontier[[#This Row],[P3 Growth]]/PortfolioFrontier[[#This Row],[P3 HWM]]-1</f>
        <v>-3.7415405243786726E-2</v>
      </c>
      <c r="O27" s="28">
        <f>SUMPRODUCT(INDEX(PortfolioRef[[SPY]:[PE]],MATCH(O$1,PortfolioRef[Reference '#]),0),AssetMonthlyReturns[[#This Row],[SPY]:[PE]])</f>
        <v>6.2865738222205644E-3</v>
      </c>
      <c r="P27" s="27">
        <f>IF(ISNUMBER(P26),P26*(1+PortfolioFrontier[[#This Row],[P4 Return]]),1+PortfolioFrontier[[#This Row],[P4 Return]])</f>
        <v>1.1632938953883187</v>
      </c>
      <c r="Q27" s="27">
        <f>MAX(Q26,PortfolioFrontier[[#This Row],[P4 Growth]])</f>
        <v>1.2089685098853755</v>
      </c>
      <c r="R27" s="27">
        <f>PortfolioFrontier[[#This Row],[P4 Growth]]/PortfolioFrontier[[#This Row],[P4 HWM]]-1</f>
        <v>-3.7779821495422805E-2</v>
      </c>
      <c r="S27" s="28">
        <f>SUMPRODUCT(INDEX(PortfolioRef[[SPY]:[PE]],MATCH(S$1,PortfolioRef[Reference '#]),0),AssetMonthlyReturns[[#This Row],[SPY]:[PE]])</f>
        <v>6.0613354658333504E-3</v>
      </c>
      <c r="T27" s="27">
        <f>IF(ISNUMBER(T26),T26*(1+PortfolioFrontier[[#This Row],[P5 Return]]),1+PortfolioFrontier[[#This Row],[P5 Return]])</f>
        <v>1.1619813681051905</v>
      </c>
      <c r="U27" s="27">
        <f>MAX(U26,PortfolioFrontier[[#This Row],[P5 Growth]])</f>
        <v>1.2053902876248646</v>
      </c>
      <c r="V27" s="27">
        <f>PortfolioFrontier[[#This Row],[P5 Growth]]/PortfolioFrontier[[#This Row],[P5 HWM]]-1</f>
        <v>-3.6012335560798525E-2</v>
      </c>
      <c r="W27" s="28">
        <f>SUMPRODUCT(INDEX(PortfolioRef[[SPY]:[PE]],MATCH(W$1,PortfolioRef[Reference '#]),0),AssetMonthlyReturns[[#This Row],[SPY]:[PE]])</f>
        <v>3.9773730203358287E-3</v>
      </c>
      <c r="X27" s="27">
        <f>IF(ISNUMBER(X26),X26*(1+PortfolioFrontier[[#This Row],[P6 Return]]),1+PortfolioFrontier[[#This Row],[P6 Return]])</f>
        <v>1.1457325423306317</v>
      </c>
      <c r="Y27" s="27">
        <f>MAX(Y26,PortfolioFrontier[[#This Row],[P6 Growth]])</f>
        <v>1.1870654596234402</v>
      </c>
      <c r="Z27" s="27">
        <f>PortfolioFrontier[[#This Row],[P6 Growth]]/PortfolioFrontier[[#This Row],[P6 HWM]]-1</f>
        <v>-3.4819408616202252E-2</v>
      </c>
      <c r="AA27" s="28">
        <f>SUMPRODUCT(INDEX(PortfolioRef[[SPY]:[PE]],MATCH(AA$1,PortfolioRef[Reference '#]),0),AssetMonthlyReturns[[#This Row],[SPY]:[PE]])</f>
        <v>3.9741379623785492E-3</v>
      </c>
      <c r="AB27" s="27">
        <f>IF(ISNUMBER(AB26),AB26*(1+PortfolioFrontier[[#This Row],[P7 Return]]),1+PortfolioFrontier[[#This Row],[P7 Return]])</f>
        <v>1.146595823495508</v>
      </c>
      <c r="AC27" s="27">
        <f>MAX(AC26,PortfolioFrontier[[#This Row],[P7 Growth]])</f>
        <v>1.1885066820011696</v>
      </c>
      <c r="AD27" s="27">
        <f>PortfolioFrontier[[#This Row],[P7 Growth]]/PortfolioFrontier[[#This Row],[P7 HWM]]-1</f>
        <v>-3.5263460559677662E-2</v>
      </c>
      <c r="AE27" s="28">
        <f>SUMPRODUCT(INDEX(PortfolioRef[[SPY]:[PE]],MATCH(AE$1,PortfolioRef[Reference '#]),0),AssetMonthlyReturns[[#This Row],[SPY]:[PE]])</f>
        <v>5.3520616178516674E-3</v>
      </c>
      <c r="AF27" s="27">
        <f>IF(ISNUMBER(AF26),AF26*(1+PortfolioFrontier[[#This Row],[P8 Return]]),1+PortfolioFrontier[[#This Row],[P8 Return]])</f>
        <v>1.1468116462553553</v>
      </c>
      <c r="AG27" s="27">
        <f>MAX(AG26,PortfolioFrontier[[#This Row],[P8 Growth]])</f>
        <v>1.1891774250084055</v>
      </c>
      <c r="AH27" s="27">
        <f>PortfolioFrontier[[#This Row],[P8 Growth]]/PortfolioFrontier[[#This Row],[P8 HWM]]-1</f>
        <v>-3.5626120932081062E-2</v>
      </c>
      <c r="AI27" s="28">
        <f>SUMPRODUCT(INDEX(PortfolioRef[[SPY]:[PE]],MATCH(AI$1,PortfolioRef[Reference '#]),0),AssetMonthlyReturns[[#This Row],[SPY]:[PE]])</f>
        <v>5.1268232614644534E-3</v>
      </c>
      <c r="AJ27" s="27">
        <f>IF(ISNUMBER(AJ26),AJ26*(1+PortfolioFrontier[[#This Row],[P9 Return]]),1+PortfolioFrontier[[#This Row],[P9 Return]])</f>
        <v>1.1455145140973058</v>
      </c>
      <c r="AK27" s="27">
        <f>MAX(AK26,PortfolioFrontier[[#This Row],[P9 Growth]])</f>
        <v>1.1856558546826308</v>
      </c>
      <c r="AL27" s="27">
        <f>PortfolioFrontier[[#This Row],[P9 Growth]]/PortfolioFrontier[[#This Row],[P9 HWM]]-1</f>
        <v>-3.3855811049041562E-2</v>
      </c>
      <c r="AM27" s="28">
        <f>SUMPRODUCT(INDEX(PortfolioRef[[SPY]:[PE]],MATCH(AM$1,PortfolioRef[Reference '#]),0),AssetMonthlyReturns[[#This Row],[SPY]:[PE]])</f>
        <v>3.9709029044212706E-3</v>
      </c>
      <c r="AN27" s="27">
        <f>IF(ISNUMBER(AN26),AN26*(1+PortfolioFrontier[[#This Row],[P10 Return]]),1+PortfolioFrontier[[#This Row],[P10 Return]])</f>
        <v>1.1473975381443624</v>
      </c>
      <c r="AO27" s="27">
        <f>MAX(AO26,PortfolioFrontier[[#This Row],[P10 Growth]])</f>
        <v>1.189885359414661</v>
      </c>
      <c r="AP27" s="27">
        <f>PortfolioFrontier[[#This Row],[P10 Growth]]/PortfolioFrontier[[#This Row],[P10 HWM]]-1</f>
        <v>-3.570749142690488E-2</v>
      </c>
      <c r="AQ27" s="28">
        <f>SUMPRODUCT(INDEX(PortfolioRef[[SPY]:[PE]],MATCH(AQ$1,PortfolioRef[Reference '#]),0),AssetMonthlyReturns[[#This Row],[SPY]:[PE]])</f>
        <v>5.348826559894387E-3</v>
      </c>
      <c r="AR27" s="27">
        <f>IF(ISNUMBER(AR26),AR26*(1+PortfolioFrontier[[#This Row],[P11 Return]]),1+PortfolioFrontier[[#This Row],[P11 Return]])</f>
        <v>1.1476644290937079</v>
      </c>
      <c r="AS27" s="27">
        <f>MAX(AS26,PortfolioFrontier[[#This Row],[P11 Growth]])</f>
        <v>1.1906111681356153</v>
      </c>
      <c r="AT27" s="27">
        <f>PortfolioFrontier[[#This Row],[P11 Growth]]/PortfolioFrontier[[#This Row],[P11 HWM]]-1</f>
        <v>-3.6071171001325286E-2</v>
      </c>
      <c r="AU27" s="28">
        <f>SUMPRODUCT(INDEX(PortfolioRef[[SPY]:[PE]],MATCH(AU$1,PortfolioRef[Reference '#]),0),AssetMonthlyReturns[[#This Row],[SPY]:[PE]])</f>
        <v>5.123588203507173E-3</v>
      </c>
      <c r="AV27" s="27">
        <f>IF(ISNUMBER(AV26),AV26*(1+PortfolioFrontier[[#This Row],[P12 Return]]),1+PortfolioFrontier[[#This Row],[P12 Return]])</f>
        <v>1.1463980459706551</v>
      </c>
      <c r="AW27" s="27">
        <f>MAX(AW26,PortfolioFrontier[[#This Row],[P12 Growth]])</f>
        <v>1.1871159871654284</v>
      </c>
      <c r="AX27" s="27">
        <f>PortfolioFrontier[[#This Row],[P12 Growth]]/PortfolioFrontier[[#This Row],[P12 HWM]]-1</f>
        <v>-3.4299884455266105E-2</v>
      </c>
      <c r="AY27" s="28">
        <f>SUMPRODUCT(INDEX(PortfolioRef[[SPY]:[PE]],MATCH(AY$1,PortfolioRef[Reference '#]),0),AssetMonthlyReturns[[#This Row],[SPY]:[PE]])</f>
        <v>6.7267502153675052E-3</v>
      </c>
      <c r="AZ27" s="27">
        <f>IF(ISNUMBER(AZ26),AZ26*(1+PortfolioFrontier[[#This Row],[P13 Return]]),1+PortfolioFrontier[[#This Row],[P13 Return]])</f>
        <v>1.1478378440026749</v>
      </c>
      <c r="BA27" s="27">
        <f>MAX(BA26,PortfolioFrontier[[#This Row],[P13 Growth]])</f>
        <v>1.1912541040450171</v>
      </c>
      <c r="BB27" s="27">
        <f>PortfolioFrontier[[#This Row],[P13 Growth]]/PortfolioFrontier[[#This Row],[P13 HWM]]-1</f>
        <v>-3.6445842994301647E-2</v>
      </c>
      <c r="BC27" s="28">
        <f>SUMPRODUCT(INDEX(PortfolioRef[[SPY]:[PE]],MATCH(BC$1,PortfolioRef[Reference '#]),0),AssetMonthlyReturns[[#This Row],[SPY]:[PE]])</f>
        <v>6.5015118589802912E-3</v>
      </c>
      <c r="BD27" s="27">
        <f>IF(ISNUMBER(BD26),BD26*(1+PortfolioFrontier[[#This Row],[P14 Return]]),1+PortfolioFrontier[[#This Row],[P14 Return]])</f>
        <v>1.1465975321079338</v>
      </c>
      <c r="BE27" s="27">
        <f>MAX(BE26,PortfolioFrontier[[#This Row],[P14 Growth]])</f>
        <v>1.1877656683363773</v>
      </c>
      <c r="BF27" s="27">
        <f>PortfolioFrontier[[#This Row],[P14 Growth]]/PortfolioFrontier[[#This Row],[P14 HWM]]-1</f>
        <v>-3.466014999920386E-2</v>
      </c>
      <c r="BG27" s="28">
        <f>SUMPRODUCT(INDEX(PortfolioRef[[SPY]:[PE]],MATCH(BG$1,PortfolioRef[Reference '#]),0),AssetMonthlyReturns[[#This Row],[SPY]:[PE]])</f>
        <v>6.2762735025930771E-3</v>
      </c>
      <c r="BH27" s="27">
        <f>IF(ISNUMBER(BH26),BH26*(1+PortfolioFrontier[[#This Row],[P15 Return]]),1+PortfolioFrontier[[#This Row],[P15 Return]])</f>
        <v>1.1452646259572665</v>
      </c>
      <c r="BI27" s="27">
        <f>MAX(BI26,PortfolioFrontier[[#This Row],[P15 Growth]])</f>
        <v>1.1842195166350118</v>
      </c>
      <c r="BJ27" s="27">
        <f>PortfolioFrontier[[#This Row],[P15 Growth]]/PortfolioFrontier[[#This Row],[P15 HWM]]-1</f>
        <v>-3.2894991283741515E-2</v>
      </c>
      <c r="BK27" s="28">
        <f>SUMPRODUCT(INDEX(PortfolioRef[[SPY]:[PE]],MATCH(BK$1,PortfolioRef[Reference '#]),0),AssetMonthlyReturns[[#This Row],[SPY]:[PE]])</f>
        <v>3.0428608159669304E-3</v>
      </c>
      <c r="BL27" s="27">
        <f>IF(ISNUMBER(BL26),BL26*(1+PortfolioFrontier[[#This Row],[P16 Return]]),1+PortfolioFrontier[[#This Row],[P16 Return]])</f>
        <v>1.1294364481754624</v>
      </c>
      <c r="BM27" s="27">
        <f>MAX(BM26,PortfolioFrontier[[#This Row],[P16 Growth]])</f>
        <v>1.1675790550962819</v>
      </c>
      <c r="BN27" s="27">
        <f>PortfolioFrontier[[#This Row],[P16 Growth]]/PortfolioFrontier[[#This Row],[P16 HWM]]-1</f>
        <v>-3.2668115066242009E-2</v>
      </c>
      <c r="BO27" s="28">
        <f>SUMPRODUCT(INDEX(PortfolioRef[[SPY]:[PE]],MATCH(BO$1,PortfolioRef[Reference '#]),0),AssetMonthlyReturns[[#This Row],[SPY]:[PE]])</f>
        <v>3.0396257580096514E-3</v>
      </c>
      <c r="BP27" s="27">
        <f>IF(ISNUMBER(BP26),BP26*(1+PortfolioFrontier[[#This Row],[P17 Return]]),1+PortfolioFrontier[[#This Row],[P17 Return]])</f>
        <v>1.1302828692537508</v>
      </c>
      <c r="BQ27" s="27">
        <f>MAX(BQ26,PortfolioFrontier[[#This Row],[P17 Growth]])</f>
        <v>1.1689912062359162</v>
      </c>
      <c r="BR27" s="27">
        <f>PortfolioFrontier[[#This Row],[P17 Growth]]/PortfolioFrontier[[#This Row],[P17 HWM]]-1</f>
        <v>-3.31125989448664E-2</v>
      </c>
      <c r="BS27" s="28">
        <f>SUMPRODUCT(INDEX(PortfolioRef[[SPY]:[PE]],MATCH(BS$1,PortfolioRef[Reference '#]),0),AssetMonthlyReturns[[#This Row],[SPY]:[PE]])</f>
        <v>4.4175494134827686E-3</v>
      </c>
      <c r="BT27" s="27">
        <f>IF(ISNUMBER(BT26),BT26*(1+PortfolioFrontier[[#This Row],[P18 Return]]),1+PortfolioFrontier[[#This Row],[P18 Return]])</f>
        <v>1.1305134232784444</v>
      </c>
      <c r="BU27" s="27">
        <f>MAX(BU26,PortfolioFrontier[[#This Row],[P18 Growth]])</f>
        <v>1.1696662339297583</v>
      </c>
      <c r="BV27" s="27">
        <f>PortfolioFrontier[[#This Row],[P18 Growth]]/PortfolioFrontier[[#This Row],[P18 HWM]]-1</f>
        <v>-3.3473489714900273E-2</v>
      </c>
      <c r="BW27" s="28">
        <f>SUMPRODUCT(INDEX(PortfolioRef[[SPY]:[PE]],MATCH(BW$1,PortfolioRef[Reference '#]),0),AssetMonthlyReturns[[#This Row],[SPY]:[PE]])</f>
        <v>4.1923110570955546E-3</v>
      </c>
      <c r="BX27" s="27">
        <f>IF(ISNUMBER(BX26),BX26*(1+PortfolioFrontier[[#This Row],[P19 Return]]),1+PortfolioFrontier[[#This Row],[P19 Return]])</f>
        <v>1.1292315688547672</v>
      </c>
      <c r="BY27" s="27">
        <f>MAX(BY26,PortfolioFrontier[[#This Row],[P19 Growth]])</f>
        <v>1.1662005542564946</v>
      </c>
      <c r="BZ27" s="27">
        <f>PortfolioFrontier[[#This Row],[P19 Growth]]/PortfolioFrontier[[#This Row],[P19 HWM]]-1</f>
        <v>-3.1700366859538032E-2</v>
      </c>
      <c r="CA27" s="28">
        <f>SUMPRODUCT(INDEX(PortfolioRef[[SPY]:[PE]],MATCH(CA$1,PortfolioRef[Reference '#]),0),AssetMonthlyReturns[[#This Row],[SPY]:[PE]])</f>
        <v>3.0363907000523719E-3</v>
      </c>
      <c r="CB27" s="27">
        <f>IF(ISNUMBER(CB26),CB26*(1+PortfolioFrontier[[#This Row],[P20 Return]]),1+PortfolioFrontier[[#This Row],[P20 Return]])</f>
        <v>1.1310684842178318</v>
      </c>
      <c r="CC27" s="27">
        <f>MAX(CC26,PortfolioFrontier[[#This Row],[P20 Growth]])</f>
        <v>1.1703417133724241</v>
      </c>
      <c r="CD27" s="27">
        <f>PortfolioFrontier[[#This Row],[P20 Growth]]/PortfolioFrontier[[#This Row],[P20 HWM]]-1</f>
        <v>-3.3557061758846207E-2</v>
      </c>
      <c r="CE27" s="28">
        <f>SUMPRODUCT(INDEX(PortfolioRef[[SPY]:[PE]],MATCH(CE$1,PortfolioRef[Reference '#]),0),AssetMonthlyReturns[[#This Row],[SPY]:[PE]])</f>
        <v>4.41431435552549E-3</v>
      </c>
      <c r="CF27" s="27">
        <f>IF(ISNUMBER(CF26),CF26*(1+PortfolioFrontier[[#This Row],[P21 Return]]),1+PortfolioFrontier[[#This Row],[P21 Return]])</f>
        <v>1.131349530932108</v>
      </c>
      <c r="CG27" s="27">
        <f>MAX(CG26,PortfolioFrontier[[#This Row],[P21 Growth]])</f>
        <v>1.1710710579078392</v>
      </c>
      <c r="CH27" s="27">
        <f>PortfolioFrontier[[#This Row],[P21 Growth]]/PortfolioFrontier[[#This Row],[P21 HWM]]-1</f>
        <v>-3.3918972471828623E-2</v>
      </c>
      <c r="CI27" s="28">
        <f>SUMPRODUCT(INDEX(PortfolioRef[[SPY]:[PE]],MATCH(CI$1,PortfolioRef[Reference '#]),0),AssetMonthlyReturns[[#This Row],[SPY]:[PE]])</f>
        <v>4.189075999138276E-3</v>
      </c>
      <c r="CJ27" s="27">
        <f>IF(ISNUMBER(CJ26),CJ26*(1+PortfolioFrontier[[#This Row],[P22 Return]]),1+PortfolioFrontier[[#This Row],[P22 Return]])</f>
        <v>1.1300979837401763</v>
      </c>
      <c r="CK27" s="27">
        <f>MAX(CK26,PortfolioFrontier[[#This Row],[P22 Growth]])</f>
        <v>1.1676313457678775</v>
      </c>
      <c r="CL27" s="27">
        <f>PortfolioFrontier[[#This Row],[P22 Growth]]/PortfolioFrontier[[#This Row],[P22 HWM]]-1</f>
        <v>-3.2144873605648105E-2</v>
      </c>
      <c r="CM27" s="28">
        <f>SUMPRODUCT(INDEX(PortfolioRef[[SPY]:[PE]],MATCH(CM$1,PortfolioRef[Reference '#]),0),AssetMonthlyReturns[[#This Row],[SPY]:[PE]])</f>
        <v>5.7922380109986082E-3</v>
      </c>
      <c r="CN27" s="27">
        <f>IF(ISNUMBER(CN26),CN26*(1+PortfolioFrontier[[#This Row],[P23 Return]]),1+PortfolioFrontier[[#This Row],[P23 Return]])</f>
        <v>1.1315382607381306</v>
      </c>
      <c r="CO27" s="27">
        <f>MAX(CO26,PortfolioFrontier[[#This Row],[P23 Growth]])</f>
        <v>1.1717186984791552</v>
      </c>
      <c r="CP27" s="27">
        <f>PortfolioFrontier[[#This Row],[P23 Growth]]/PortfolioFrontier[[#This Row],[P23 HWM]]-1</f>
        <v>-3.4291880630715643E-2</v>
      </c>
      <c r="CQ27" s="28">
        <f>SUMPRODUCT(INDEX(PortfolioRef[[SPY]:[PE]],MATCH(CQ$1,PortfolioRef[Reference '#]),0),AssetMonthlyReturns[[#This Row],[SPY]:[PE]])</f>
        <v>5.5669996546113924E-3</v>
      </c>
      <c r="CR27" s="27">
        <f>IF(ISNUMBER(CR26),CR26*(1+PortfolioFrontier[[#This Row],[P24 Return]]),1+PortfolioFrontier[[#This Row],[P24 Return]])</f>
        <v>1.1303123816201921</v>
      </c>
      <c r="CS27" s="27">
        <f>MAX(CS26,PortfolioFrontier[[#This Row],[P24 Growth]])</f>
        <v>1.1682856099250332</v>
      </c>
      <c r="CT27" s="27">
        <f>PortfolioFrontier[[#This Row],[P24 Growth]]/PortfolioFrontier[[#This Row],[P24 HWM]]-1</f>
        <v>-3.2503377583566917E-2</v>
      </c>
      <c r="CU27" s="28">
        <f>SUMPRODUCT(INDEX(PortfolioRef[[SPY]:[PE]],MATCH(CU$1,PortfolioRef[Reference '#]),0),AssetMonthlyReturns[[#This Row],[SPY]:[PE]])</f>
        <v>5.3417612982241793E-3</v>
      </c>
      <c r="CV27" s="27">
        <f>IF(ISNUMBER(CV26),CV26*(1+PortfolioFrontier[[#This Row],[P25 Return]]),1+PortfolioFrontier[[#This Row],[P25 Return]])</f>
        <v>1.1289952444664726</v>
      </c>
      <c r="CW27" s="27">
        <f>MAX(CW26,PortfolioFrontier[[#This Row],[P25 Growth]])</f>
        <v>1.1647956979796028</v>
      </c>
      <c r="CX27" s="27">
        <f>PortfolioFrontier[[#This Row],[P25 Growth]]/PortfolioFrontier[[#This Row],[P25 HWM]]-1</f>
        <v>-3.0735392975118181E-2</v>
      </c>
      <c r="CY27" s="28">
        <f>SUMPRODUCT(INDEX(PortfolioRef[[SPY]:[PE]],MATCH(CY$1,PortfolioRef[Reference '#]),0),AssetMonthlyReturns[[#This Row],[SPY]:[PE]])</f>
        <v>4.4110792975682097E-3</v>
      </c>
      <c r="CZ27" s="27">
        <f>IF(ISNUMBER(CZ26),CZ26*(1+PortfolioFrontier[[#This Row],[P26 Return]]),1+PortfolioFrontier[[#This Row],[P26 Return]])</f>
        <v>1.1321248350972335</v>
      </c>
      <c r="DA27" s="27">
        <f>MAX(DA26,PortfolioFrontier[[#This Row],[P26 Growth]])</f>
        <v>1.1724141851433634</v>
      </c>
      <c r="DB27" s="27">
        <f>PortfolioFrontier[[#This Row],[P26 Growth]]/PortfolioFrontier[[#This Row],[P26 HWM]]-1</f>
        <v>-3.4364434136561761E-2</v>
      </c>
      <c r="DC27" s="28">
        <f>SUMPRODUCT(INDEX(PortfolioRef[[SPY]:[PE]],MATCH(DC$1,PortfolioRef[Reference '#]),0),AssetMonthlyReturns[[#This Row],[SPY]:[PE]])</f>
        <v>4.1858409411809957E-3</v>
      </c>
      <c r="DD27" s="27">
        <f>IF(ISNUMBER(DD26),DD26*(1+PortfolioFrontier[[#This Row],[P27 Return]]),1+PortfolioFrontier[[#This Row],[P27 Return]])</f>
        <v>1.1309036365225911</v>
      </c>
      <c r="DE27" s="27">
        <f>MAX(DE26,PortfolioFrontier[[#This Row],[P27 Growth]])</f>
        <v>1.1690006176368444</v>
      </c>
      <c r="DF27" s="27">
        <f>PortfolioFrontier[[#This Row],[P27 Growth]]/PortfolioFrontier[[#This Row],[P27 HWM]]-1</f>
        <v>-3.2589359269345031E-2</v>
      </c>
      <c r="DG27" s="28">
        <f>SUMPRODUCT(INDEX(PortfolioRef[[SPY]:[PE]],MATCH(DG$1,PortfolioRef[Reference '#]),0),AssetMonthlyReturns[[#This Row],[SPY]:[PE]])</f>
        <v>5.7890029530413278E-3</v>
      </c>
      <c r="DH27" s="27">
        <f>IF(ISNUMBER(DH26),DH26*(1+PortfolioFrontier[[#This Row],[P28 Return]]),1+PortfolioFrontier[[#This Row],[P28 Return]])</f>
        <v>1.1323640045553411</v>
      </c>
      <c r="DI27" s="27">
        <f>MAX(DI26,PortfolioFrontier[[#This Row],[P28 Growth]])</f>
        <v>1.1731161392403724</v>
      </c>
      <c r="DJ27" s="27">
        <f>PortfolioFrontier[[#This Row],[P28 Growth]]/PortfolioFrontier[[#This Row],[P28 HWM]]-1</f>
        <v>-3.4738363340069189E-2</v>
      </c>
      <c r="DK27" s="28">
        <f>SUMPRODUCT(INDEX(PortfolioRef[[SPY]:[PE]],MATCH(DK$1,PortfolioRef[Reference '#]),0),AssetMonthlyReturns[[#This Row],[SPY]:[PE]])</f>
        <v>5.5637645966541138E-3</v>
      </c>
      <c r="DL27" s="27">
        <f>IF(ISNUMBER(DL26),DL26*(1+PortfolioFrontier[[#This Row],[P29 Return]]),1+PortfolioFrontier[[#This Row],[P29 Return]])</f>
        <v>1.1311685093337305</v>
      </c>
      <c r="DM27" s="27">
        <f>MAX(DM26,PortfolioFrontier[[#This Row],[P29 Growth]])</f>
        <v>1.1697091182407624</v>
      </c>
      <c r="DN27" s="27">
        <f>PortfolioFrontier[[#This Row],[P29 Growth]]/PortfolioFrontier[[#This Row],[P29 HWM]]-1</f>
        <v>-3.294888302229948E-2</v>
      </c>
      <c r="DO27" s="28">
        <f>SUMPRODUCT(INDEX(PortfolioRef[[SPY]:[PE]],MATCH(DO$1,PortfolioRef[Reference '#]),0),AssetMonthlyReturns[[#This Row],[SPY]:[PE]])</f>
        <v>5.3385262402668998E-3</v>
      </c>
      <c r="DP27" s="27">
        <f>IF(ISNUMBER(DP26),DP26*(1+PortfolioFrontier[[#This Row],[P30 Return]]),1+PortfolioFrontier[[#This Row],[P30 Return]])</f>
        <v>1.1298816217620278</v>
      </c>
      <c r="DQ27" s="27">
        <f>MAX(DQ26,PortfolioFrontier[[#This Row],[P30 Growth]])</f>
        <v>1.1662450508702933</v>
      </c>
      <c r="DR27" s="27">
        <f>PortfolioFrontier[[#This Row],[P30 Growth]]/PortfolioFrontier[[#This Row],[P30 HWM]]-1</f>
        <v>-3.1179921476305328E-2</v>
      </c>
      <c r="DS27" s="28">
        <f>SUMPRODUCT(INDEX(PortfolioRef[[SPY]:[PE]],MATCH(DS$1,PortfolioRef[Reference '#]),0),AssetMonthlyReturns[[#This Row],[SPY]:[PE]])</f>
        <v>7.166926608514446E-3</v>
      </c>
      <c r="DT27" s="27">
        <f>IF(ISNUMBER(DT26),DT26*(1+PortfolioFrontier[[#This Row],[P31 Return]]),1+PortfolioFrontier[[#This Row],[P31 Return]])</f>
        <v>1.1325107550752349</v>
      </c>
      <c r="DU27" s="27">
        <f>MAX(DU26,PortfolioFrontier[[#This Row],[P31 Growth]])</f>
        <v>1.1737362663438942</v>
      </c>
      <c r="DV27" s="27">
        <f>PortfolioFrontier[[#This Row],[P31 Growth]]/PortfolioFrontier[[#This Row],[P31 HWM]]-1</f>
        <v>-3.5123317265362997E-2</v>
      </c>
      <c r="DW27" s="28">
        <f>SUMPRODUCT(INDEX(PortfolioRef[[SPY]:[PE]],MATCH(DW$1,PortfolioRef[Reference '#]),0),AssetMonthlyReturns[[#This Row],[SPY]:[PE]])</f>
        <v>6.941688252127232E-3</v>
      </c>
      <c r="DX27" s="27">
        <f>IF(ISNUMBER(DX26),DX26*(1+PortfolioFrontier[[#This Row],[P32 Return]]),1+PortfolioFrontier[[#This Row],[P32 Return]])</f>
        <v>1.1313411119683774</v>
      </c>
      <c r="DY27" s="27">
        <f>MAX(DY26,PortfolioFrontier[[#This Row],[P32 Growth]])</f>
        <v>1.1703360044096791</v>
      </c>
      <c r="DZ27" s="27">
        <f>PortfolioFrontier[[#This Row],[P32 Growth]]/PortfolioFrontier[[#This Row],[P32 HWM]]-1</f>
        <v>-3.3319399125015248E-2</v>
      </c>
      <c r="EA27" s="28">
        <f>SUMPRODUCT(INDEX(PortfolioRef[[SPY]:[PE]],MATCH(EA$1,PortfolioRef[Reference '#]),0),AssetMonthlyReturns[[#This Row],[SPY]:[PE]])</f>
        <v>6.7164498957400171E-3</v>
      </c>
      <c r="EB27" s="27">
        <f>IF(ISNUMBER(EB26),EB26*(1+PortfolioFrontier[[#This Row],[P33 Return]]),1+PortfolioFrontier[[#This Row],[P33 Return]])</f>
        <v>1.1300798605431572</v>
      </c>
      <c r="EC27" s="27">
        <f>MAX(EC26,PortfolioFrontier[[#This Row],[P33 Growth]])</f>
        <v>1.1668785804544068</v>
      </c>
      <c r="ED27" s="27">
        <f>PortfolioFrontier[[#This Row],[P33 Growth]]/PortfolioFrontier[[#This Row],[P33 HWM]]-1</f>
        <v>-3.1536031706845935E-2</v>
      </c>
      <c r="EE27" s="28">
        <f>SUMPRODUCT(INDEX(PortfolioRef[[SPY]:[PE]],MATCH(EE$1,PortfolioRef[Reference '#]),0),AssetMonthlyReturns[[#This Row],[SPY]:[PE]])</f>
        <v>2.1083486115980321E-3</v>
      </c>
      <c r="EF27" s="27">
        <f>IF(ISNUMBER(EF26),EF26*(1+PortfolioFrontier[[#This Row],[P34 Return]]),1+PortfolioFrontier[[#This Row],[P34 Return]])</f>
        <v>1.113323172991332</v>
      </c>
      <c r="EG27" s="27">
        <f>MAX(EG26,PortfolioFrontier[[#This Row],[P34 Growth]])</f>
        <v>1.1483690052171158</v>
      </c>
      <c r="EH27" s="27">
        <f>PortfolioFrontier[[#This Row],[P34 Growth]]/PortfolioFrontier[[#This Row],[P34 HWM]]-1</f>
        <v>-3.0517918949891865E-2</v>
      </c>
      <c r="EI27" s="28">
        <f>SUMPRODUCT(INDEX(PortfolioRef[[SPY]:[PE]],MATCH(EI$1,PortfolioRef[Reference '#]),0),AssetMonthlyReturns[[#This Row],[SPY]:[PE]])</f>
        <v>2.1051135536407526E-3</v>
      </c>
      <c r="EJ27" s="27">
        <f>IF(ISNUMBER(EJ26),EJ26*(1+PortfolioFrontier[[#This Row],[P35 Return]]),1+PortfolioFrontier[[#This Row],[P35 Return]])</f>
        <v>1.1141530088842126</v>
      </c>
      <c r="EK27" s="27">
        <f>MAX(EK26,PortfolioFrontier[[#This Row],[P35 Growth]])</f>
        <v>1.1497526071106701</v>
      </c>
      <c r="EL27" s="27">
        <f>PortfolioFrontier[[#This Row],[P35 Growth]]/PortfolioFrontier[[#This Row],[P35 HWM]]-1</f>
        <v>-3.0962833227157649E-2</v>
      </c>
      <c r="EM27" s="28">
        <f>SUMPRODUCT(INDEX(PortfolioRef[[SPY]:[PE]],MATCH(EM$1,PortfolioRef[Reference '#]),0),AssetMonthlyReturns[[#This Row],[SPY]:[PE]])</f>
        <v>3.4830372091138703E-3</v>
      </c>
      <c r="EN27" s="27">
        <f>IF(ISNUMBER(EN26),EN26*(1+PortfolioFrontier[[#This Row],[P36 Return]]),1+PortfolioFrontier[[#This Row],[P36 Return]])</f>
        <v>1.1143978424809304</v>
      </c>
      <c r="EO27" s="27">
        <f>MAX(EO26,PortfolioFrontier[[#This Row],[P36 Growth]])</f>
        <v>1.1504315925702473</v>
      </c>
      <c r="EP27" s="27">
        <f>PortfolioFrontier[[#This Row],[P36 Growth]]/PortfolioFrontier[[#This Row],[P36 HWM]]-1</f>
        <v>-3.1321940671684589E-2</v>
      </c>
      <c r="EQ27" s="28">
        <f>SUMPRODUCT(INDEX(PortfolioRef[[SPY]:[PE]],MATCH(EQ$1,PortfolioRef[Reference '#]),0),AssetMonthlyReturns[[#This Row],[SPY]:[PE]])</f>
        <v>3.2577988527266563E-3</v>
      </c>
      <c r="ER27" s="27">
        <f>IF(ISNUMBER(ER26),ER26*(1+PortfolioFrontier[[#This Row],[P37 Return]]),1+PortfolioFrontier[[#This Row],[P37 Return]])</f>
        <v>1.1131311488176661</v>
      </c>
      <c r="ES27" s="27">
        <f>MAX(ES26,PortfolioFrontier[[#This Row],[P37 Growth]])</f>
        <v>1.1470210509345575</v>
      </c>
      <c r="ET27" s="27">
        <f>PortfolioFrontier[[#This Row],[P37 Growth]]/PortfolioFrontier[[#This Row],[P37 HWM]]-1</f>
        <v>-2.9546015820092419E-2</v>
      </c>
      <c r="EU27" s="28">
        <f>SUMPRODUCT(INDEX(PortfolioRef[[SPY]:[PE]],MATCH(EU$1,PortfolioRef[Reference '#]),0),AssetMonthlyReturns[[#This Row],[SPY]:[PE]])</f>
        <v>2.1018784956834732E-3</v>
      </c>
      <c r="EV27" s="27">
        <f>IF(ISNUMBER(EV26),EV26*(1+PortfolioFrontier[[#This Row],[P38 Return]]),1+PortfolioFrontier[[#This Row],[P38 Return]])</f>
        <v>1.1149227914630302</v>
      </c>
      <c r="EW27" s="27">
        <f>MAX(EW26,PortfolioFrontier[[#This Row],[P38 Growth]])</f>
        <v>1.1510754544616619</v>
      </c>
      <c r="EX27" s="27">
        <f>PortfolioFrontier[[#This Row],[P38 Growth]]/PortfolioFrontier[[#This Row],[P38 HWM]]-1</f>
        <v>-3.1407726451381679E-2</v>
      </c>
      <c r="EY27" s="28">
        <f>SUMPRODUCT(INDEX(PortfolioRef[[SPY]:[PE]],MATCH(EY$1,PortfolioRef[Reference '#]),0),AssetMonthlyReturns[[#This Row],[SPY]:[PE]])</f>
        <v>3.4798021511565909E-3</v>
      </c>
      <c r="EZ27" s="27">
        <f>IF(ISNUMBER(EZ26),EZ26*(1+PortfolioFrontier[[#This Row],[P39 Return]]),1+PortfolioFrontier[[#This Row],[P39 Return]])</f>
        <v>1.1152175471794958</v>
      </c>
      <c r="FA27" s="27">
        <f>MAX(FA26,PortfolioFrontier[[#This Row],[P39 Growth]])</f>
        <v>1.1518080167597544</v>
      </c>
      <c r="FB27" s="27">
        <f>PortfolioFrontier[[#This Row],[P39 Growth]]/PortfolioFrontier[[#This Row],[P39 HWM]]-1</f>
        <v>-3.176785457978859E-2</v>
      </c>
      <c r="FC27" s="28">
        <f>SUMPRODUCT(INDEX(PortfolioRef[[SPY]:[PE]],MATCH(FC$1,PortfolioRef[Reference '#]),0),AssetMonthlyReturns[[#This Row],[SPY]:[PE]])</f>
        <v>3.2545637947693773E-3</v>
      </c>
      <c r="FD27" s="27">
        <f>IF(ISNUMBER(FD26),FD26*(1+PortfolioFrontier[[#This Row],[P40 Return]]),1+PortfolioFrontier[[#This Row],[P40 Return]])</f>
        <v>1.1139807241594075</v>
      </c>
      <c r="FE27" s="27">
        <f>MAX(FE26,PortfolioFrontier[[#This Row],[P40 Growth]])</f>
        <v>1.1484230267516922</v>
      </c>
      <c r="FF27" s="27">
        <f>PortfolioFrontier[[#This Row],[P40 Growth]]/PortfolioFrontier[[#This Row],[P40 HWM]]-1</f>
        <v>-2.999095436957977E-2</v>
      </c>
      <c r="FG27" s="28">
        <f>SUMPRODUCT(INDEX(PortfolioRef[[SPY]:[PE]],MATCH(FG$1,PortfolioRef[Reference '#]),0),AssetMonthlyReturns[[#This Row],[SPY]:[PE]])</f>
        <v>4.8577258066297094E-3</v>
      </c>
      <c r="FH27" s="27">
        <f>IF(ISNUMBER(FH26),FH26*(1+PortfolioFrontier[[#This Row],[P41 Return]]),1+PortfolioFrontier[[#This Row],[P41 Return]])</f>
        <v>1.1154211338484072</v>
      </c>
      <c r="FI27" s="27">
        <f>MAX(FI26,PortfolioFrontier[[#This Row],[P41 Growth]])</f>
        <v>1.1524600296639902</v>
      </c>
      <c r="FJ27" s="27">
        <f>PortfolioFrontier[[#This Row],[P41 Growth]]/PortfolioFrontier[[#This Row],[P41 HWM]]-1</f>
        <v>-3.2138985181448754E-2</v>
      </c>
      <c r="FK27" s="28">
        <f>SUMPRODUCT(INDEX(PortfolioRef[[SPY]:[PE]],MATCH(FK$1,PortfolioRef[Reference '#]),0),AssetMonthlyReturns[[#This Row],[SPY]:[PE]])</f>
        <v>4.6324874502424946E-3</v>
      </c>
      <c r="FL27" s="27">
        <f>IF(ISNUMBER(FL26),FL26*(1+PortfolioFrontier[[#This Row],[P42 Return]]),1+PortfolioFrontier[[#This Row],[P42 Return]])</f>
        <v>1.1142095810476789</v>
      </c>
      <c r="FM27" s="27">
        <f>MAX(FM26,PortfolioFrontier[[#This Row],[P42 Growth]])</f>
        <v>1.1490815435391966</v>
      </c>
      <c r="FN27" s="27">
        <f>PortfolioFrontier[[#This Row],[P42 Growth]]/PortfolioFrontier[[#This Row],[P42 HWM]]-1</f>
        <v>-3.034768305834179E-2</v>
      </c>
      <c r="FO27" s="28">
        <f>SUMPRODUCT(INDEX(PortfolioRef[[SPY]:[PE]],MATCH(FO$1,PortfolioRef[Reference '#]),0),AssetMonthlyReturns[[#This Row],[SPY]:[PE]])</f>
        <v>4.4072490938552814E-3</v>
      </c>
      <c r="FP27" s="27">
        <f>IF(ISNUMBER(FP26),FP26*(1+PortfolioFrontier[[#This Row],[P43 Return]]),1+PortfolioFrontier[[#This Row],[P43 Return]])</f>
        <v>1.1129080902874018</v>
      </c>
      <c r="FQ27" s="27">
        <f>MAX(FQ26,PortfolioFrontier[[#This Row],[P43 Growth]])</f>
        <v>1.1456471144468676</v>
      </c>
      <c r="FR27" s="27">
        <f>PortfolioFrontier[[#This Row],[P43 Growth]]/PortfolioFrontier[[#This Row],[P43 HWM]]-1</f>
        <v>-2.8576883533000141E-2</v>
      </c>
      <c r="FS27" s="28">
        <f>SUMPRODUCT(INDEX(PortfolioRef[[SPY]:[PE]],MATCH(FS$1,PortfolioRef[Reference '#]),0),AssetMonthlyReturns[[#This Row],[SPY]:[PE]])</f>
        <v>3.4765670931993114E-3</v>
      </c>
      <c r="FT27" s="27">
        <f>IF(ISNUMBER(FT26),FT26*(1+PortfolioFrontier[[#This Row],[P44 Return]]),1+PortfolioFrontier[[#This Row],[P44 Return]])</f>
        <v>1.1159772004431918</v>
      </c>
      <c r="FU27" s="27">
        <f>MAX(FU26,PortfolioFrontier[[#This Row],[P44 Growth]])</f>
        <v>1.153123633915536</v>
      </c>
      <c r="FV27" s="27">
        <f>PortfolioFrontier[[#This Row],[P44 Growth]]/PortfolioFrontier[[#This Row],[P44 HWM]]-1</f>
        <v>-3.2213747407300986E-2</v>
      </c>
      <c r="FW27" s="28">
        <f>SUMPRODUCT(INDEX(PortfolioRef[[SPY]:[PE]],MATCH(FW$1,PortfolioRef[Reference '#]),0),AssetMonthlyReturns[[#This Row],[SPY]:[PE]])</f>
        <v>3.2513287368120978E-3</v>
      </c>
      <c r="FX27" s="27">
        <f>IF(ISNUMBER(FX26),FX26*(1+PortfolioFrontier[[#This Row],[P45 Return]]),1+PortfolioFrontier[[#This Row],[P45 Return]])</f>
        <v>1.114770289224583</v>
      </c>
      <c r="FY27" s="27">
        <f>MAX(FY26,PortfolioFrontier[[#This Row],[P45 Growth]])</f>
        <v>1.1497643702533042</v>
      </c>
      <c r="FZ27" s="27">
        <f>PortfolioFrontier[[#This Row],[P45 Growth]]/PortfolioFrontier[[#This Row],[P45 HWM]]-1</f>
        <v>-3.0435871848256801E-2</v>
      </c>
      <c r="GA27" s="28">
        <f>SUMPRODUCT(INDEX(PortfolioRef[[SPY]:[PE]],MATCH(GA$1,PortfolioRef[Reference '#]),0),AssetMonthlyReturns[[#This Row],[SPY]:[PE]])</f>
        <v>4.8544907486724291E-3</v>
      </c>
      <c r="GB27" s="27">
        <f>IF(ISNUMBER(GB26),GB26*(1+PortfolioFrontier[[#This Row],[P46 Return]]),1+PortfolioFrontier[[#This Row],[P46 Return]])</f>
        <v>1.1162306577154828</v>
      </c>
      <c r="GC27" s="27">
        <f>MAX(GC26,PortfolioFrontier[[#This Row],[P46 Growth]])</f>
        <v>1.153829221094034</v>
      </c>
      <c r="GD27" s="27">
        <f>PortfolioFrontier[[#This Row],[P46 Growth]]/PortfolioFrontier[[#This Row],[P46 HWM]]-1</f>
        <v>-3.2585899794512985E-2</v>
      </c>
      <c r="GE27" s="28">
        <f>SUMPRODUCT(INDEX(PortfolioRef[[SPY]:[PE]],MATCH(GE$1,PortfolioRef[Reference '#]),0),AssetMonthlyReturns[[#This Row],[SPY]:[PE]])</f>
        <v>4.6292523922852151E-3</v>
      </c>
      <c r="GF27" s="27">
        <f>IF(ISNUMBER(GF26),GF26*(1+PortfolioFrontier[[#This Row],[P47 Return]]),1+PortfolioFrontier[[#This Row],[P47 Return]])</f>
        <v>1.115049051171132</v>
      </c>
      <c r="GG27" s="27">
        <f>MAX(GG26,PortfolioFrontier[[#This Row],[P47 Growth]])</f>
        <v>1.1504763850012711</v>
      </c>
      <c r="GH27" s="27">
        <f>PortfolioFrontier[[#This Row],[P47 Growth]]/PortfolioFrontier[[#This Row],[P47 HWM]]-1</f>
        <v>-3.0793621052986664E-2</v>
      </c>
      <c r="GI27" s="28">
        <f>SUMPRODUCT(INDEX(PortfolioRef[[SPY]:[PE]],MATCH(GI$1,PortfolioRef[Reference '#]),0),AssetMonthlyReturns[[#This Row],[SPY]:[PE]])</f>
        <v>4.404014035898002E-3</v>
      </c>
      <c r="GJ27" s="27">
        <f>IF(ISNUMBER(GJ26),GJ26*(1+PortfolioFrontier[[#This Row],[P48 Return]]),1+PortfolioFrontier[[#This Row],[P48 Return]])</f>
        <v>1.1137773745079709</v>
      </c>
      <c r="GK27" s="27">
        <f>MAX(GK26,PortfolioFrontier[[#This Row],[P48 Growth]])</f>
        <v>1.1470673866868877</v>
      </c>
      <c r="GL27" s="27">
        <f>PortfolioFrontier[[#This Row],[P48 Growth]]/PortfolioFrontier[[#This Row],[P48 HWM]]-1</f>
        <v>-2.9021845242300448E-2</v>
      </c>
      <c r="GM27" s="28">
        <f>SUMPRODUCT(INDEX(PortfolioRef[[SPY]:[PE]],MATCH(GM$1,PortfolioRef[Reference '#]),0),AssetMonthlyReturns[[#This Row],[SPY]:[PE]])</f>
        <v>6.2324144041455472E-3</v>
      </c>
      <c r="GN27" s="27">
        <f>IF(ISNUMBER(GN26),GN26*(1+PortfolioFrontier[[#This Row],[P49 Return]]),1+PortfolioFrontier[[#This Row],[P49 Return]])</f>
        <v>1.1163928431866423</v>
      </c>
      <c r="GO27" s="27">
        <f>MAX(GO26,PortfolioFrontier[[#This Row],[P49 Growth]])</f>
        <v>1.154454136188046</v>
      </c>
      <c r="GP27" s="27">
        <f>PortfolioFrontier[[#This Row],[P49 Growth]]/PortfolioFrontier[[#This Row],[P49 HWM]]-1</f>
        <v>-3.2969081930859789E-2</v>
      </c>
      <c r="GQ27" s="28">
        <f>SUMPRODUCT(INDEX(PortfolioRef[[SPY]:[PE]],MATCH(GQ$1,PortfolioRef[Reference '#]),0),AssetMonthlyReturns[[#This Row],[SPY]:[PE]])</f>
        <v>6.0071760477583332E-3</v>
      </c>
      <c r="GR27" s="27">
        <f>IF(ISNUMBER(GR26),GR26*(1+PortfolioFrontier[[#This Row],[P50 Return]]),1+PortfolioFrontier[[#This Row],[P50 Return]])</f>
        <v>1.1152366891934726</v>
      </c>
      <c r="GS27" s="27">
        <f>MAX(GS26,PortfolioFrontier[[#This Row],[P50 Growth]])</f>
        <v>1.1511079379430191</v>
      </c>
      <c r="GT27" s="27">
        <f>PortfolioFrontier[[#This Row],[P50 Growth]]/PortfolioFrontier[[#This Row],[P50 HWM]]-1</f>
        <v>-3.1162367634825716E-2</v>
      </c>
      <c r="GU27" s="28">
        <f>SUMPRODUCT(INDEX(PortfolioRef[[SPY]:[PE]],MATCH(GU$1,PortfolioRef[Reference '#]),0),AssetMonthlyReturns[[#This Row],[SPY]:[PE]])</f>
        <v>5.7819376913711192E-3</v>
      </c>
      <c r="GV27" s="27">
        <f>IF(ISNUMBER(GV26),GV26*(1+PortfolioFrontier[[#This Row],[P51 Return]]),1+PortfolioFrontier[[#This Row],[P51 Return]])</f>
        <v>1.1139902512234587</v>
      </c>
      <c r="GW27" s="27">
        <f>MAX(GW26,PortfolioFrontier[[#This Row],[P51 Growth]])</f>
        <v>1.1477054629234607</v>
      </c>
      <c r="GX27" s="27">
        <f>PortfolioFrontier[[#This Row],[P51 Growth]]/PortfolioFrontier[[#This Row],[P51 HWM]]-1</f>
        <v>-2.937618822003496E-2</v>
      </c>
      <c r="GY27" s="28">
        <f>SUMPRODUCT(INDEX(PortfolioRef[[SPY]:[PE]],MATCH(GY$1,PortfolioRef[Reference '#]),0),AssetMonthlyReturns[[#This Row],[SPY]:[PE]])</f>
        <v>4.8512556907151505E-3</v>
      </c>
      <c r="GZ27" s="27">
        <f>IF(ISNUMBER(GZ26),GZ26*(1+PortfolioFrontier[[#This Row],[P52 Return]]),1+PortfolioFrontier[[#This Row],[P52 Return]])</f>
        <v>1.1169801345163328</v>
      </c>
      <c r="HA27" s="27">
        <f>MAX(HA26,PortfolioFrontier[[#This Row],[P52 Growth]])</f>
        <v>1.1551375545895033</v>
      </c>
      <c r="HB27" s="27">
        <f>PortfolioFrontier[[#This Row],[P52 Growth]]/PortfolioFrontier[[#This Row],[P52 HWM]]-1</f>
        <v>-3.3032793299435537E-2</v>
      </c>
      <c r="HC27" s="28">
        <f>SUMPRODUCT(INDEX(PortfolioRef[[SPY]:[PE]],MATCH(HC$1,PortfolioRef[Reference '#]),0),AssetMonthlyReturns[[#This Row],[SPY]:[PE]])</f>
        <v>4.6260173343279365E-3</v>
      </c>
      <c r="HD27" s="27">
        <f>IF(ISNUMBER(HD26),HD26*(1+PortfolioFrontier[[#This Row],[P53 Return]]),1+PortfolioFrontier[[#This Row],[P53 Return]])</f>
        <v>1.1158285125006775</v>
      </c>
      <c r="HE27" s="27">
        <f>MAX(HE26,PortfolioFrontier[[#This Row],[P53 Growth]])</f>
        <v>1.1518105416261799</v>
      </c>
      <c r="HF27" s="27">
        <f>PortfolioFrontier[[#This Row],[P53 Growth]]/PortfolioFrontier[[#This Row],[P53 HWM]]-1</f>
        <v>-3.1239537949271812E-2</v>
      </c>
      <c r="HG27" s="28">
        <f>SUMPRODUCT(INDEX(PortfolioRef[[SPY]:[PE]],MATCH(HG$1,PortfolioRef[Reference '#]),0),AssetMonthlyReturns[[#This Row],[SPY]:[PE]])</f>
        <v>4.4007789779407225E-3</v>
      </c>
      <c r="HH27" s="27">
        <f>IF(ISNUMBER(HH26),HH26*(1+PortfolioFrontier[[#This Row],[P54 Return]]),1+PortfolioFrontier[[#This Row],[P54 Return]])</f>
        <v>1.1145866935268915</v>
      </c>
      <c r="HI27" s="27">
        <f>MAX(HI26,PortfolioFrontier[[#This Row],[P54 Growth]])</f>
        <v>1.1484271504484369</v>
      </c>
      <c r="HJ27" s="27">
        <f>PortfolioFrontier[[#This Row],[P54 Growth]]/PortfolioFrontier[[#This Row],[P54 HWM]]-1</f>
        <v>-2.9466785863022649E-2</v>
      </c>
      <c r="HK27" s="28">
        <f>SUMPRODUCT(INDEX(PortfolioRef[[SPY]:[PE]],MATCH(HK$1,PortfolioRef[Reference '#]),0),AssetMonthlyReturns[[#This Row],[SPY]:[PE]])</f>
        <v>6.2291793461882686E-3</v>
      </c>
      <c r="HL27" s="27">
        <f>IF(ISNUMBER(HL26),HL26*(1+PortfolioFrontier[[#This Row],[P55 Return]]),1+PortfolioFrontier[[#This Row],[P55 Return]])</f>
        <v>1.1171921375224485</v>
      </c>
      <c r="HM27" s="27">
        <f>MAX(HM26,PortfolioFrontier[[#This Row],[P55 Growth]])</f>
        <v>1.1558160401994988</v>
      </c>
      <c r="HN27" s="27">
        <f>PortfolioFrontier[[#This Row],[P55 Growth]]/PortfolioFrontier[[#This Row],[P55 HWM]]-1</f>
        <v>-3.3416998323006153E-2</v>
      </c>
      <c r="HO27" s="28">
        <f>SUMPRODUCT(INDEX(PortfolioRef[[SPY]:[PE]],MATCH(HO$1,PortfolioRef[Reference '#]),0),AssetMonthlyReturns[[#This Row],[SPY]:[PE]])</f>
        <v>6.0039409898010546E-3</v>
      </c>
      <c r="HP27" s="27">
        <f>IF(ISNUMBER(HP26),HP26*(1+PortfolioFrontier[[#This Row],[P56 Return]]),1+PortfolioFrontier[[#This Row],[P56 Return]])</f>
        <v>1.1160660037230785</v>
      </c>
      <c r="HQ27" s="27">
        <f>MAX(HQ26,PortfolioFrontier[[#This Row],[P56 Growth]])</f>
        <v>1.1524955896514557</v>
      </c>
      <c r="HR27" s="27">
        <f>PortfolioFrontier[[#This Row],[P56 Growth]]/PortfolioFrontier[[#This Row],[P56 HWM]]-1</f>
        <v>-3.1609306148750127E-2</v>
      </c>
      <c r="HS27" s="28">
        <f>SUMPRODUCT(INDEX(PortfolioRef[[SPY]:[PE]],MATCH(HS$1,PortfolioRef[Reference '#]),0),AssetMonthlyReturns[[#This Row],[SPY]:[PE]])</f>
        <v>5.7787026334138406E-3</v>
      </c>
      <c r="HT27" s="27">
        <f>IF(ISNUMBER(HT26),HT26*(1+PortfolioFrontier[[#This Row],[P57 Return]]),1+PortfolioFrontier[[#This Row],[P57 Return]])</f>
        <v>1.1148494564680602</v>
      </c>
      <c r="HU27" s="27">
        <f>MAX(HU26,PortfolioFrontier[[#This Row],[P57 Growth]])</f>
        <v>1.1491186441083043</v>
      </c>
      <c r="HV27" s="27">
        <f>PortfolioFrontier[[#This Row],[P57 Growth]]/PortfolioFrontier[[#This Row],[P57 HWM]]-1</f>
        <v>-2.9822149188812763E-2</v>
      </c>
      <c r="HW27" s="28">
        <f>SUMPRODUCT(INDEX(PortfolioRef[[SPY]:[PE]],MATCH(HW$1,PortfolioRef[Reference '#]),0),AssetMonthlyReturns[[#This Row],[SPY]:[PE]])</f>
        <v>7.607103001661385E-3</v>
      </c>
      <c r="HX27" s="27">
        <f>IF(ISNUMBER(HX26),HX26*(1+PortfolioFrontier[[#This Row],[P58 Return]]),1+PortfolioFrontier[[#This Row],[P58 Return]])</f>
        <v>1.1173127720042038</v>
      </c>
      <c r="HY27" s="27">
        <f>MAX(HY26,PortfolioFrontier[[#This Row],[P58 Growth]])</f>
        <v>1.1564137342851388</v>
      </c>
      <c r="HZ27" s="27">
        <f>PortfolioFrontier[[#This Row],[P58 Growth]]/PortfolioFrontier[[#This Row],[P58 HWM]]-1</f>
        <v>-3.3812260371592795E-2</v>
      </c>
      <c r="IA27" s="28">
        <f>SUMPRODUCT(INDEX(PortfolioRef[[SPY]:[PE]],MATCH(IA$1,PortfolioRef[Reference '#]),0),AssetMonthlyReturns[[#This Row],[SPY]:[PE]])</f>
        <v>7.381864645274171E-3</v>
      </c>
      <c r="IB27" s="27">
        <f>IF(ISNUMBER(IB26),IB26*(1+PortfolioFrontier[[#This Row],[P59 Return]]),1+PortfolioFrontier[[#This Row],[P59 Return]])</f>
        <v>1.1162122692305729</v>
      </c>
      <c r="IC27" s="27">
        <f>MAX(IC26,PortfolioFrontier[[#This Row],[P59 Growth]])</f>
        <v>1.1531000541201888</v>
      </c>
      <c r="ID27" s="27">
        <f>PortfolioFrontier[[#This Row],[P59 Growth]]/PortfolioFrontier[[#This Row],[P59 HWM]]-1</f>
        <v>-3.1990099001219074E-2</v>
      </c>
      <c r="IE27" s="28">
        <f>SUMPRODUCT(INDEX(PortfolioRef[[SPY]:[PE]],MATCH(IE$1,PortfolioRef[Reference '#]),0),AssetMonthlyReturns[[#This Row],[SPY]:[PE]])</f>
        <v>7.1566262888869579E-3</v>
      </c>
      <c r="IF27" s="27">
        <f>IF(ISNUMBER(IF26),IF26*(1+PortfolioFrontier[[#This Row],[P60 Return]]),1+PortfolioFrontier[[#This Row],[P60 Return]])</f>
        <v>1.1150211431422379</v>
      </c>
      <c r="IG27" s="27">
        <f>MAX(IG26,PortfolioFrontier[[#This Row],[P60 Growth]])</f>
        <v>1.1497297656872949</v>
      </c>
      <c r="IH27" s="27">
        <f>PortfolioFrontier[[#This Row],[P60 Growth]]/PortfolioFrontier[[#This Row],[P60 HWM]]-1</f>
        <v>-3.0188504795567006E-2</v>
      </c>
      <c r="II27" s="28">
        <f>SUMPRODUCT(INDEX(PortfolioRef[[SPY]:[PE]],MATCH(II$1,PortfolioRef[Reference '#]),0),AssetMonthlyReturns[[#This Row],[SPY]:[PE]])</f>
        <v>1.1738364072291338E-3</v>
      </c>
      <c r="IJ27" s="27">
        <f>IF(ISNUMBER(IJ26),IJ26*(1+PortfolioFrontier[[#This Row],[P61 Return]]),1+PortfolioFrontier[[#This Row],[P61 Return]])</f>
        <v>1.0973913308747056</v>
      </c>
      <c r="IK27" s="27">
        <f>MAX(IK26,PortfolioFrontier[[#This Row],[P61 Growth]])</f>
        <v>1.1294319987390351</v>
      </c>
      <c r="IL27" s="27">
        <f>PortfolioFrontier[[#This Row],[P61 Growth]]/PortfolioFrontier[[#This Row],[P61 HWM]]-1</f>
        <v>-2.8368833094955304E-2</v>
      </c>
      <c r="IM27" s="28">
        <f>SUMPRODUCT(INDEX(PortfolioRef[[SPY]:[PE]],MATCH(IM$1,PortfolioRef[Reference '#]),0),AssetMonthlyReturns[[#This Row],[SPY]:[PE]])</f>
        <v>1.1706013492718548E-3</v>
      </c>
      <c r="IN27" s="27">
        <f>IF(ISNUMBER(IN26),IN26*(1+PortfolioFrontier[[#This Row],[P62 Return]]),1+PortfolioFrontier[[#This Row],[P62 Return]])</f>
        <v>1.0982048529493771</v>
      </c>
      <c r="IO27" s="27">
        <f>MAX(IO26,PortfolioFrontier[[#This Row],[P62 Growth]])</f>
        <v>1.1307875651347878</v>
      </c>
      <c r="IP27" s="27">
        <f>PortfolioFrontier[[#This Row],[P62 Growth]]/PortfolioFrontier[[#This Row],[P62 HWM]]-1</f>
        <v>-2.8814176234354782E-2</v>
      </c>
      <c r="IQ27" s="28">
        <f>SUMPRODUCT(INDEX(PortfolioRef[[SPY]:[PE]],MATCH(IQ$1,PortfolioRef[Reference '#]),0),AssetMonthlyReturns[[#This Row],[SPY]:[PE]])</f>
        <v>2.5485250047449725E-3</v>
      </c>
      <c r="IR27" s="27">
        <f>IF(ISNUMBER(IR26),IR26*(1+PortfolioFrontier[[#This Row],[P63 Return]]),1+PortfolioFrontier[[#This Row],[P63 Return]])</f>
        <v>1.0984635218180101</v>
      </c>
      <c r="IS27" s="27">
        <f>MAX(IS26,PortfolioFrontier[[#This Row],[P63 Growth]])</f>
        <v>1.1314701893182186</v>
      </c>
      <c r="IT27" s="27">
        <f>PortfolioFrontier[[#This Row],[P63 Growth]]/PortfolioFrontier[[#This Row],[P63 HWM]]-1</f>
        <v>-2.9171486630237387E-2</v>
      </c>
      <c r="IU27" s="28">
        <f>SUMPRODUCT(INDEX(PortfolioRef[[SPY]:[PE]],MATCH(IU$1,PortfolioRef[Reference '#]),0),AssetMonthlyReturns[[#This Row],[SPY]:[PE]])</f>
        <v>2.3232866483577585E-3</v>
      </c>
      <c r="IV27" s="27">
        <f>IF(ISNUMBER(IV26),IV26*(1+PortfolioFrontier[[#This Row],[P64 Return]]),1+PortfolioFrontier[[#This Row],[P64 Return]])</f>
        <v>1.0972118723544781</v>
      </c>
      <c r="IW27" s="27">
        <f>MAX(IW26,PortfolioFrontier[[#This Row],[P64 Growth]])</f>
        <v>1.1281140416878883</v>
      </c>
      <c r="IX27" s="27">
        <f>PortfolioFrontier[[#This Row],[P64 Growth]]/PortfolioFrontier[[#This Row],[P64 HWM]]-1</f>
        <v>-2.7392770758507878E-2</v>
      </c>
      <c r="IY27" s="28">
        <f>SUMPRODUCT(INDEX(PortfolioRef[[SPY]:[PE]],MATCH(IY$1,PortfolioRef[Reference '#]),0),AssetMonthlyReturns[[#This Row],[SPY]:[PE]])</f>
        <v>1.1673662913145753E-3</v>
      </c>
      <c r="IZ27" s="27">
        <f>IF(ISNUMBER(IZ26),IZ26*(1+PortfolioFrontier[[#This Row],[P65 Return]]),1+PortfolioFrontier[[#This Row],[P65 Return]])</f>
        <v>1.098959066961309</v>
      </c>
      <c r="JA27" s="27">
        <f>MAX(JA26,PortfolioFrontier[[#This Row],[P65 Growth]])</f>
        <v>1.1320832550752244</v>
      </c>
      <c r="JB27" s="27">
        <f>PortfolioFrontier[[#This Row],[P65 Growth]]/PortfolioFrontier[[#This Row],[P65 HWM]]-1</f>
        <v>-2.9259498332315226E-2</v>
      </c>
      <c r="JC27" s="28">
        <f>SUMPRODUCT(INDEX(PortfolioRef[[SPY]:[PE]],MATCH(JC$1,PortfolioRef[Reference '#]),0),AssetMonthlyReturns[[#This Row],[SPY]:[PE]])</f>
        <v>2.5452899467876934E-3</v>
      </c>
      <c r="JD27" s="27">
        <f>IF(ISNUMBER(JD26),JD26*(1+PortfolioFrontier[[#This Row],[P66 Return]]),1+PortfolioFrontier[[#This Row],[P66 Return]])</f>
        <v>1.0992670922888463</v>
      </c>
      <c r="JE27" s="27">
        <f>MAX(JE26,PortfolioFrontier[[#This Row],[P66 Growth]])</f>
        <v>1.1328187248763837</v>
      </c>
      <c r="JF27" s="27">
        <f>PortfolioFrontier[[#This Row],[P66 Growth]]/PortfolioFrontier[[#This Row],[P66 HWM]]-1</f>
        <v>-2.9617830153009339E-2</v>
      </c>
      <c r="JG27" s="28">
        <f>SUMPRODUCT(INDEX(PortfolioRef[[SPY]:[PE]],MATCH(JG$1,PortfolioRef[Reference '#]),0),AssetMonthlyReturns[[#This Row],[SPY]:[PE]])</f>
        <v>2.3200515904004794E-3</v>
      </c>
      <c r="JH27" s="27">
        <f>IF(ISNUMBER(JH26),JH26*(1+PortfolioFrontier[[#This Row],[P67 Return]]),1+PortfolioFrontier[[#This Row],[P67 Return]])</f>
        <v>1.0980448820472954</v>
      </c>
      <c r="JI27" s="27">
        <f>MAX(JI26,PortfolioFrontier[[#This Row],[P67 Growth]])</f>
        <v>1.1294877188116705</v>
      </c>
      <c r="JJ27" s="27">
        <f>PortfolioFrontier[[#This Row],[P67 Growth]]/PortfolioFrontier[[#This Row],[P67 HWM]]-1</f>
        <v>-2.7838139574864917E-2</v>
      </c>
      <c r="JK27" s="28">
        <f>SUMPRODUCT(INDEX(PortfolioRef[[SPY]:[PE]],MATCH(JK$1,PortfolioRef[Reference '#]),0),AssetMonthlyReturns[[#This Row],[SPY]:[PE]])</f>
        <v>3.9232136022608107E-3</v>
      </c>
      <c r="JL27" s="27">
        <f>IF(ISNUMBER(JL26),JL26*(1+PortfolioFrontier[[#This Row],[P68 Return]]),1+PortfolioFrontier[[#This Row],[P68 Return]])</f>
        <v>1.0994850852244058</v>
      </c>
      <c r="JM27" s="27">
        <f>MAX(JM26,PortfolioFrontier[[#This Row],[P68 Growth]])</f>
        <v>1.1334747857186009</v>
      </c>
      <c r="JN27" s="27">
        <f>PortfolioFrontier[[#This Row],[P68 Growth]]/PortfolioFrontier[[#This Row],[P68 HWM]]-1</f>
        <v>-2.9987169474304909E-2</v>
      </c>
      <c r="JO27" s="28">
        <f>SUMPRODUCT(INDEX(PortfolioRef[[SPY]:[PE]],MATCH(JO$1,PortfolioRef[Reference '#]),0),AssetMonthlyReturns[[#This Row],[SPY]:[PE]])</f>
        <v>3.6979752458735967E-3</v>
      </c>
      <c r="JP27" s="27">
        <f>IF(ISNUMBER(JP26),JP26*(1+PortfolioFrontier[[#This Row],[P69 Return]]),1+PortfolioFrontier[[#This Row],[P69 Return]])</f>
        <v>1.0982877525917896</v>
      </c>
      <c r="JQ27" s="27">
        <f>MAX(JQ26,PortfolioFrontier[[#This Row],[P69 Growth]])</f>
        <v>1.1301501657815767</v>
      </c>
      <c r="JR27" s="27">
        <f>PortfolioFrontier[[#This Row],[P69 Growth]]/PortfolioFrontier[[#This Row],[P69 HWM]]-1</f>
        <v>-2.8193079251332964E-2</v>
      </c>
      <c r="JS27" s="28">
        <f>SUMPRODUCT(INDEX(PortfolioRef[[SPY]:[PE]],MATCH(JS$1,PortfolioRef[Reference '#]),0),AssetMonthlyReturns[[#This Row],[SPY]:[PE]])</f>
        <v>3.4727368894863831E-3</v>
      </c>
      <c r="JT27" s="27">
        <f>IF(ISNUMBER(JT26),JT26*(1+PortfolioFrontier[[#This Row],[P70 Return]]),1+PortfolioFrontier[[#This Row],[P70 Return]])</f>
        <v>1.0970017860861245</v>
      </c>
      <c r="JU27" s="27">
        <f>MAX(JU26,PortfolioFrontier[[#This Row],[P70 Growth]])</f>
        <v>1.1267704712672371</v>
      </c>
      <c r="JV27" s="27">
        <f>PortfolioFrontier[[#This Row],[P70 Growth]]/PortfolioFrontier[[#This Row],[P70 HWM]]-1</f>
        <v>-2.6419475785190549E-2</v>
      </c>
      <c r="JW27" s="28">
        <f>SUMPRODUCT(INDEX(PortfolioRef[[SPY]:[PE]],MATCH(JW$1,PortfolioRef[Reference '#]),0),AssetMonthlyReturns[[#This Row],[SPY]:[PE]])</f>
        <v>2.542054888830414E-3</v>
      </c>
      <c r="JX27" s="27">
        <f>IF(ISNUMBER(JX26),JX26*(1+PortfolioFrontier[[#This Row],[P71 Return]]),1+PortfolioFrontier[[#This Row],[P71 Return]])</f>
        <v>1.1000113558457572</v>
      </c>
      <c r="JY27" s="27">
        <f>MAX(JY26,PortfolioFrontier[[#This Row],[P71 Growth]])</f>
        <v>1.1341073317396606</v>
      </c>
      <c r="JZ27" s="27">
        <f>PortfolioFrontier[[#This Row],[P71 Growth]]/PortfolioFrontier[[#This Row],[P71 HWM]]-1</f>
        <v>-3.0064152606792516E-2</v>
      </c>
      <c r="KA27" s="28">
        <f>SUMPRODUCT(INDEX(PortfolioRef[[SPY]:[PE]],MATCH(KA$1,PortfolioRef[Reference '#]),0),AssetMonthlyReturns[[#This Row],[SPY]:[PE]])</f>
        <v>2.3168165324432E-3</v>
      </c>
      <c r="KB27" s="27">
        <f>IF(ISNUMBER(KB26),KB26*(1+PortfolioFrontier[[#This Row],[P72 Return]]),1+PortfolioFrontier[[#This Row],[P72 Return]])</f>
        <v>1.0988186257573966</v>
      </c>
      <c r="KC27" s="27">
        <f>MAX(KC26,PortfolioFrontier[[#This Row],[P72 Growth]])</f>
        <v>1.1308016396062204</v>
      </c>
      <c r="KD27" s="27">
        <f>PortfolioFrontier[[#This Row],[P72 Growth]]/PortfolioFrontier[[#This Row],[P72 HWM]]-1</f>
        <v>-2.8283487332014468E-2</v>
      </c>
      <c r="KE27" s="28">
        <f>SUMPRODUCT(INDEX(PortfolioRef[[SPY]:[PE]],MATCH(KE$1,PortfolioRef[Reference '#]),0),AssetMonthlyReturns[[#This Row],[SPY]:[PE]])</f>
        <v>3.9199785443035321E-3</v>
      </c>
      <c r="KF27" s="27">
        <f>IF(ISNUMBER(KF26),KF26*(1+PortfolioFrontier[[#This Row],[P73 Return]]),1+PortfolioFrontier[[#This Row],[P73 Return]])</f>
        <v>1.1002786552207906</v>
      </c>
      <c r="KG27" s="27">
        <f>MAX(KG26,PortfolioFrontier[[#This Row],[P73 Growth]])</f>
        <v>1.1348162363698722</v>
      </c>
      <c r="KH27" s="27">
        <f>PortfolioFrontier[[#This Row],[P73 Growth]]/PortfolioFrontier[[#This Row],[P73 HWM]]-1</f>
        <v>-3.0434514454571682E-2</v>
      </c>
      <c r="KI27" s="28">
        <f>SUMPRODUCT(INDEX(PortfolioRef[[SPY]:[PE]],MATCH(KI$1,PortfolioRef[Reference '#]),0),AssetMonthlyReturns[[#This Row],[SPY]:[PE]])</f>
        <v>3.6947401879163172E-3</v>
      </c>
      <c r="KJ27" s="27">
        <f>IF(ISNUMBER(KJ26),KJ26*(1+PortfolioFrontier[[#This Row],[P74 Return]]),1+PortfolioFrontier[[#This Row],[P74 Return]])</f>
        <v>1.0991108363827349</v>
      </c>
      <c r="KK27" s="27">
        <f>MAX(KK26,PortfolioFrontier[[#This Row],[P74 Growth]])</f>
        <v>1.1315168548073993</v>
      </c>
      <c r="KL27" s="27">
        <f>PortfolioFrontier[[#This Row],[P74 Growth]]/PortfolioFrontier[[#This Row],[P74 HWM]]-1</f>
        <v>-2.8639448265382117E-2</v>
      </c>
      <c r="KM27" s="28">
        <f>SUMPRODUCT(INDEX(PortfolioRef[[SPY]:[PE]],MATCH(KM$1,PortfolioRef[Reference '#]),0),AssetMonthlyReturns[[#This Row],[SPY]:[PE]])</f>
        <v>3.4695018315291041E-3</v>
      </c>
      <c r="KN27" s="27">
        <f>IF(ISNUMBER(KN26),KN26*(1+PortfolioFrontier[[#This Row],[P75 Return]]),1+PortfolioFrontier[[#This Row],[P75 Return]])</f>
        <v>1.0978542536392573</v>
      </c>
      <c r="KO27" s="27">
        <f>MAX(KO26,PortfolioFrontier[[#This Row],[P75 Growth]])</f>
        <v>1.1281621830860007</v>
      </c>
      <c r="KP27" s="27">
        <f>PortfolioFrontier[[#This Row],[P75 Growth]]/PortfolioFrontier[[#This Row],[P75 HWM]]-1</f>
        <v>-2.686486916609665E-2</v>
      </c>
      <c r="KQ27" s="28">
        <f>SUMPRODUCT(INDEX(PortfolioRef[[SPY]:[PE]],MATCH(KQ$1,PortfolioRef[Reference '#]),0),AssetMonthlyReturns[[#This Row],[SPY]:[PE]])</f>
        <v>5.2979021997766503E-3</v>
      </c>
      <c r="KR27" s="27">
        <f>IF(ISNUMBER(KR26),KR26*(1+PortfolioFrontier[[#This Row],[P76 Return]]),1+PortfolioFrontier[[#This Row],[P76 Return]])</f>
        <v>1.1004558187601099</v>
      </c>
      <c r="KS27" s="27">
        <f>MAX(KS26,PortfolioFrontier[[#This Row],[P76 Growth]])</f>
        <v>1.1354456097035888</v>
      </c>
      <c r="KT27" s="27">
        <f>PortfolioFrontier[[#This Row],[P76 Growth]]/PortfolioFrontier[[#This Row],[P76 HWM]]-1</f>
        <v>-3.0815911078834524E-2</v>
      </c>
      <c r="KU27" s="28">
        <f>SUMPRODUCT(INDEX(PortfolioRef[[SPY]:[PE]],MATCH(KU$1,PortfolioRef[Reference '#]),0),AssetMonthlyReturns[[#This Row],[SPY]:[PE]])</f>
        <v>5.0726638433894354E-3</v>
      </c>
      <c r="KV27" s="27">
        <f>IF(ISNUMBER(KV26),KV26*(1+PortfolioFrontier[[#This Row],[P77 Return]]),1+PortfolioFrontier[[#This Row],[P77 Return]])</f>
        <v>1.0993130581610444</v>
      </c>
      <c r="KW27" s="27">
        <f>MAX(KW26,PortfolioFrontier[[#This Row],[P77 Growth]])</f>
        <v>1.1321527467304082</v>
      </c>
      <c r="KX27" s="27">
        <f>PortfolioFrontier[[#This Row],[P77 Growth]]/PortfolioFrontier[[#This Row],[P77 HWM]]-1</f>
        <v>-2.9006411603207161E-2</v>
      </c>
      <c r="KY27" s="28">
        <f>SUMPRODUCT(INDEX(PortfolioRef[[SPY]:[PE]],MATCH(KY$1,PortfolioRef[Reference '#]),0),AssetMonthlyReturns[[#This Row],[SPY]:[PE]])</f>
        <v>4.8474254870022214E-3</v>
      </c>
      <c r="KZ27" s="27">
        <f>IF(ISNUMBER(KZ26),KZ26*(1+PortfolioFrontier[[#This Row],[P78 Return]]),1+PortfolioFrontier[[#This Row],[P78 Return]])</f>
        <v>1.0980813218978178</v>
      </c>
      <c r="LA27" s="27">
        <f>MAX(LA26,PortfolioFrontier[[#This Row],[P78 Growth]])</f>
        <v>1.1288044801379766</v>
      </c>
      <c r="LB27" s="27">
        <f>PortfolioFrontier[[#This Row],[P78 Growth]]/PortfolioFrontier[[#This Row],[P78 HWM]]-1</f>
        <v>-2.7217431167887884E-2</v>
      </c>
      <c r="LC27" s="28">
        <f>SUMPRODUCT(INDEX(PortfolioRef[[SPY]:[PE]],MATCH(LC$1,PortfolioRef[Reference '#]),0),AssetMonthlyReturns[[#This Row],[SPY]:[PE]])</f>
        <v>3.9167434863462518E-3</v>
      </c>
      <c r="LD27" s="27">
        <f>IF(ISNUMBER(LD26),LD26*(1+PortfolioFrontier[[#This Row],[P79 Return]]),1+PortfolioFrontier[[#This Row],[P79 Return]])</f>
        <v>1.1010129219108979</v>
      </c>
      <c r="LE27" s="27">
        <f>MAX(LE26,PortfolioFrontier[[#This Row],[P79 Growth]])</f>
        <v>1.1360977076552197</v>
      </c>
      <c r="LF27" s="27">
        <f>PortfolioFrontier[[#This Row],[P79 Growth]]/PortfolioFrontier[[#This Row],[P79 HWM]]-1</f>
        <v>-3.0881838338300049E-2</v>
      </c>
      <c r="LG27" s="28">
        <f>SUMPRODUCT(INDEX(PortfolioRef[[SPY]:[PE]],MATCH(LG$1,PortfolioRef[Reference '#]),0),AssetMonthlyReturns[[#This Row],[SPY]:[PE]])</f>
        <v>3.6915051299590378E-3</v>
      </c>
      <c r="LH27" s="27">
        <f>IF(ISNUMBER(LH26),LH26*(1+PortfolioFrontier[[#This Row],[P80 Return]]),1+PortfolioFrontier[[#This Row],[P80 Return]])</f>
        <v>1.0998746549505096</v>
      </c>
      <c r="LI27" s="27">
        <f>MAX(LI26,PortfolioFrontier[[#This Row],[P80 Growth]])</f>
        <v>1.1328237352358017</v>
      </c>
      <c r="LJ27" s="27">
        <f>PortfolioFrontier[[#This Row],[P80 Growth]]/PortfolioFrontier[[#This Row],[P80 HWM]]-1</f>
        <v>-2.9085796192673929E-2</v>
      </c>
      <c r="LK27" s="28">
        <f>SUMPRODUCT(INDEX(PortfolioRef[[SPY]:[PE]],MATCH(LK$1,PortfolioRef[Reference '#]),0),AssetMonthlyReturns[[#This Row],[SPY]:[PE]])</f>
        <v>3.4662667735718246E-3</v>
      </c>
      <c r="LL27" s="27">
        <f>IF(ISNUMBER(LL26),LL26*(1+PortfolioFrontier[[#This Row],[P81 Return]]),1+PortfolioFrontier[[#This Row],[P81 Return]])</f>
        <v>1.0986474993040154</v>
      </c>
      <c r="LM27" s="27">
        <f>MAX(LM26,PortfolioFrontier[[#This Row],[P81 Growth]])</f>
        <v>1.1294942602915885</v>
      </c>
      <c r="LN27" s="27">
        <f>PortfolioFrontier[[#This Row],[P81 Growth]]/PortfolioFrontier[[#This Row],[P81 HWM]]-1</f>
        <v>-2.7310241470027252E-2</v>
      </c>
      <c r="LO27" s="28">
        <f>SUMPRODUCT(INDEX(PortfolioRef[[SPY]:[PE]],MATCH(LO$1,PortfolioRef[Reference '#]),0),AssetMonthlyReturns[[#This Row],[SPY]:[PE]])</f>
        <v>5.2946671418193699E-3</v>
      </c>
      <c r="LP27" s="27">
        <f>IF(ISNUMBER(LP26),LP26*(1+PortfolioFrontier[[#This Row],[P82 Return]]),1+PortfolioFrontier[[#This Row],[P82 Return]])</f>
        <v>1.1012393403320313</v>
      </c>
      <c r="LQ27" s="27">
        <f>MAX(LQ26,PortfolioFrontier[[#This Row],[P82 Growth]])</f>
        <v>1.1367799217668872</v>
      </c>
      <c r="LR27" s="27">
        <f>PortfolioFrontier[[#This Row],[P82 Growth]]/PortfolioFrontier[[#This Row],[P82 HWM]]-1</f>
        <v>-3.1264258590717797E-2</v>
      </c>
      <c r="LS27" s="28">
        <f>SUMPRODUCT(INDEX(PortfolioRef[[SPY]:[PE]],MATCH(LS$1,PortfolioRef[Reference '#]),0),AssetMonthlyReturns[[#This Row],[SPY]:[PE]])</f>
        <v>5.0694287854321559E-3</v>
      </c>
      <c r="LT27" s="27">
        <f>IF(ISNUMBER(LT26),LT26*(1+PortfolioFrontier[[#This Row],[P83 Return]]),1+PortfolioFrontier[[#This Row],[P83 Return]])</f>
        <v>1.1001261664506126</v>
      </c>
      <c r="LU27" s="27">
        <f>MAX(LU26,PortfolioFrontier[[#This Row],[P83 Growth]])</f>
        <v>1.1335123932499547</v>
      </c>
      <c r="LV27" s="27">
        <f>PortfolioFrontier[[#This Row],[P83 Growth]]/PortfolioFrontier[[#This Row],[P83 HWM]]-1</f>
        <v>-2.9453781889070219E-2</v>
      </c>
      <c r="LW27" s="28">
        <f>SUMPRODUCT(INDEX(PortfolioRef[[SPY]:[PE]],MATCH(LW$1,PortfolioRef[Reference '#]),0),AssetMonthlyReturns[[#This Row],[SPY]:[PE]])</f>
        <v>4.8441904290449419E-3</v>
      </c>
      <c r="LX27" s="27">
        <f>IF(ISNUMBER(LX26),LX26*(1+PortfolioFrontier[[#This Row],[P84 Return]]),1+PortfolioFrontier[[#This Row],[P84 Return]])</f>
        <v>1.0989238895122975</v>
      </c>
      <c r="LY27" s="27">
        <f>MAX(LY26,PortfolioFrontier[[#This Row],[P84 Growth]])</f>
        <v>1.1301892465493473</v>
      </c>
      <c r="LZ27" s="27">
        <f>PortfolioFrontier[[#This Row],[P84 Growth]]/PortfolioFrontier[[#This Row],[P84 HWM]]-1</f>
        <v>-2.7663824560805295E-2</v>
      </c>
      <c r="MA27" s="28">
        <f>SUMPRODUCT(INDEX(PortfolioRef[[SPY]:[PE]],MATCH(MA$1,PortfolioRef[Reference '#]),0),AssetMonthlyReturns[[#This Row],[SPY]:[PE]])</f>
        <v>6.6725907972924881E-3</v>
      </c>
      <c r="MB27" s="27">
        <f>IF(ISNUMBER(MB26),MB26*(1+PortfolioFrontier[[#This Row],[P85 Return]]),1+PortfolioFrontier[[#This Row],[P85 Return]])</f>
        <v>1.101375525427011</v>
      </c>
      <c r="MC27" s="27">
        <f>MAX(MC26,PortfolioFrontier[[#This Row],[P85 Growth]])</f>
        <v>1.1373824854504828</v>
      </c>
      <c r="MD27" s="27">
        <f>PortfolioFrontier[[#This Row],[P85 Growth]]/PortfolioFrontier[[#This Row],[P85 HWM]]-1</f>
        <v>-3.1657740895500552E-2</v>
      </c>
      <c r="ME27" s="28">
        <f>SUMPRODUCT(INDEX(PortfolioRef[[SPY]:[PE]],MATCH(ME$1,PortfolioRef[Reference '#]),0),AssetMonthlyReturns[[#This Row],[SPY]:[PE]])</f>
        <v>6.447352440905274E-3</v>
      </c>
      <c r="MF27" s="27">
        <f>IF(ISNUMBER(MF26),MF26*(1+PortfolioFrontier[[#This Row],[P86 Return]]),1+PortfolioFrontier[[#This Row],[P86 Return]])</f>
        <v>1.1002875866142749</v>
      </c>
      <c r="MG27" s="27">
        <f>MAX(MG26,PortfolioFrontier[[#This Row],[P86 Growth]])</f>
        <v>1.1341216065780884</v>
      </c>
      <c r="MH27" s="27">
        <f>PortfolioFrontier[[#This Row],[P86 Growth]]/PortfolioFrontier[[#This Row],[P86 HWM]]-1</f>
        <v>-2.9832797265805233E-2</v>
      </c>
      <c r="MI27" s="28">
        <f>SUMPRODUCT(INDEX(PortfolioRef[[SPY]:[PE]],MATCH(MI$1,PortfolioRef[Reference '#]),0),AssetMonthlyReturns[[#This Row],[SPY]:[PE]])</f>
        <v>6.22211408451806E-3</v>
      </c>
      <c r="MJ27" s="27">
        <f>IF(ISNUMBER(MJ26),MJ26*(1+PortfolioFrontier[[#This Row],[P87 Return]]),1+PortfolioFrontier[[#This Row],[P87 Return]])</f>
        <v>1.0991103369260826</v>
      </c>
      <c r="MK27" s="27">
        <f>MAX(MK26,PortfolioFrontier[[#This Row],[P87 Growth]])</f>
        <v>1.1308049973216896</v>
      </c>
      <c r="ML27" s="27">
        <f>PortfolioFrontier[[#This Row],[P87 Growth]]/PortfolioFrontier[[#This Row],[P87 HWM]]-1</f>
        <v>-2.8028404959896447E-2</v>
      </c>
      <c r="MM27" s="28">
        <f>SUMPRODUCT(INDEX(PortfolioRef[[SPY]:[PE]],MATCH(MM$1,PortfolioRef[Reference '#]),0),AssetMonthlyReturns[[#This Row],[SPY]:[PE]])</f>
        <v>5.2914320838620913E-3</v>
      </c>
      <c r="MN27" s="27">
        <f>IF(ISNUMBER(MN26),MN26*(1+PortfolioFrontier[[#This Row],[P88 Return]]),1+PortfolioFrontier[[#This Row],[P88 Return]])</f>
        <v>1.1019635646669776</v>
      </c>
      <c r="MO27" s="27">
        <f>MAX(MO26,PortfolioFrontier[[#This Row],[P88 Growth]])</f>
        <v>1.1380542053647611</v>
      </c>
      <c r="MP27" s="27">
        <f>PortfolioFrontier[[#This Row],[P88 Growth]]/PortfolioFrontier[[#This Row],[P88 HWM]]-1</f>
        <v>-3.1712584978512481E-2</v>
      </c>
      <c r="MQ27" s="28">
        <f>SUMPRODUCT(INDEX(PortfolioRef[[SPY]:[PE]],MATCH(MQ$1,PortfolioRef[Reference '#]),0),AssetMonthlyReturns[[#This Row],[SPY]:[PE]])</f>
        <v>5.0661937274748773E-3</v>
      </c>
      <c r="MR27" s="27">
        <f>IF(ISNUMBER(MR26),MR26*(1+PortfolioFrontier[[#This Row],[P89 Return]]),1+PortfolioFrontier[[#This Row],[P89 Return]])</f>
        <v>1.1008800127309502</v>
      </c>
      <c r="MS27" s="27">
        <f>MAX(MS26,PortfolioFrontier[[#This Row],[P89 Growth]])</f>
        <v>1.1348121804683284</v>
      </c>
      <c r="MT27" s="27">
        <f>PortfolioFrontier[[#This Row],[P89 Growth]]/PortfolioFrontier[[#This Row],[P89 HWM]]-1</f>
        <v>-2.9901131060625974E-2</v>
      </c>
      <c r="MU27" s="28">
        <f>SUMPRODUCT(INDEX(PortfolioRef[[SPY]:[PE]],MATCH(MU$1,PortfolioRef[Reference '#]),0),AssetMonthlyReturns[[#This Row],[SPY]:[PE]])</f>
        <v>4.8409553710876633E-3</v>
      </c>
      <c r="MV27" s="27">
        <f>IF(ISNUMBER(MV26),MV26*(1+PortfolioFrontier[[#This Row],[P90 Return]]),1+PortfolioFrontier[[#This Row],[P90 Return]])</f>
        <v>1.0997072356099102</v>
      </c>
      <c r="MW27" s="27">
        <f>MAX(MW26,PortfolioFrontier[[#This Row],[P90 Growth]])</f>
        <v>1.1315143260529454</v>
      </c>
      <c r="MX27" s="27">
        <f>PortfolioFrontier[[#This Row],[P90 Growth]]/PortfolioFrontier[[#This Row],[P90 HWM]]-1</f>
        <v>-2.8110196849197355E-2</v>
      </c>
      <c r="MY27" s="28">
        <f>SUMPRODUCT(INDEX(PortfolioRef[[SPY]:[PE]],MATCH(MY$1,PortfolioRef[Reference '#]),0),AssetMonthlyReturns[[#This Row],[SPY]:[PE]])</f>
        <v>6.6693557393352077E-3</v>
      </c>
      <c r="MZ27" s="27">
        <f>IF(ISNUMBER(MZ26),MZ26*(1+PortfolioFrontier[[#This Row],[P91 Return]]),1+PortfolioFrontier[[#This Row],[P91 Return]])</f>
        <v>1.1021489515523</v>
      </c>
      <c r="NA27" s="27">
        <f>MAX(NA26,PortfolioFrontier[[#This Row],[P91 Growth]])</f>
        <v>1.1387096056367039</v>
      </c>
      <c r="NB27" s="27">
        <f>PortfolioFrontier[[#This Row],[P91 Growth]]/PortfolioFrontier[[#This Row],[P91 HWM]]-1</f>
        <v>-3.210709201312234E-2</v>
      </c>
      <c r="NC27" s="28">
        <f>SUMPRODUCT(INDEX(PortfolioRef[[SPY]:[PE]],MATCH(NC$1,PortfolioRef[Reference '#]),0),AssetMonthlyReturns[[#This Row],[SPY]:[PE]])</f>
        <v>6.4441173829479954E-3</v>
      </c>
      <c r="ND27" s="27">
        <f>IF(ISNUMBER(ND26),ND26*(1+PortfolioFrontier[[#This Row],[P92 Return]]),1+PortfolioFrontier[[#This Row],[P92 Return]])</f>
        <v>1.1010906707193269</v>
      </c>
      <c r="NE27" s="27">
        <f>MAX(NE26,PortfolioFrontier[[#This Row],[P92 Growth]])</f>
        <v>1.1354741565687236</v>
      </c>
      <c r="NF27" s="27">
        <f>PortfolioFrontier[[#This Row],[P92 Growth]]/PortfolioFrontier[[#This Row],[P92 HWM]]-1</f>
        <v>-3.0281169897604543E-2</v>
      </c>
      <c r="NG27" s="28">
        <f>SUMPRODUCT(INDEX(PortfolioRef[[SPY]:[PE]],MATCH(NG$1,PortfolioRef[Reference '#]),0),AssetMonthlyReturns[[#This Row],[SPY]:[PE]])</f>
        <v>6.2188790265607814E-3</v>
      </c>
      <c r="NH27" s="27">
        <f>IF(ISNUMBER(NH26),NH26*(1+PortfolioFrontier[[#This Row],[P93 Return]]),1+PortfolioFrontier[[#This Row],[P93 Return]])</f>
        <v>1.0999429542765149</v>
      </c>
      <c r="NI27" s="27">
        <f>MAX(NI26,PortfolioFrontier[[#This Row],[P93 Growth]])</f>
        <v>1.1321827635804655</v>
      </c>
      <c r="NJ27" s="27">
        <f>PortfolioFrontier[[#This Row],[P93 Growth]]/PortfolioFrontier[[#This Row],[P93 HWM]]-1</f>
        <v>-2.8475799438947513E-2</v>
      </c>
      <c r="NK27" s="28">
        <f>SUMPRODUCT(INDEX(PortfolioRef[[SPY]:[PE]],MATCH(NK$1,PortfolioRef[Reference '#]),0),AssetMonthlyReturns[[#This Row],[SPY]:[PE]])</f>
        <v>8.0472793948083259E-3</v>
      </c>
      <c r="NL27" s="27">
        <f>IF(ISNUMBER(NL26),NL26*(1+PortfolioFrontier[[#This Row],[P94 Return]]),1+PortfolioFrontier[[#This Row],[P94 Return]])</f>
        <v>1.1022440136059954</v>
      </c>
      <c r="NM27" s="27">
        <f>MAX(NM26,PortfolioFrontier[[#This Row],[P94 Growth]])</f>
        <v>1.1392852395715367</v>
      </c>
      <c r="NN27" s="27">
        <f>PortfolioFrontier[[#This Row],[P94 Growth]]/PortfolioFrontier[[#This Row],[P94 HWM]]-1</f>
        <v>-3.2512688375978427E-2</v>
      </c>
      <c r="NO27" s="28">
        <f>SUMPRODUCT(INDEX(PortfolioRef[[SPY]:[PE]],MATCH(NO$1,PortfolioRef[Reference '#]),0),AssetMonthlyReturns[[#This Row],[SPY]:[PE]])</f>
        <v>7.8220410384211118E-3</v>
      </c>
      <c r="NP27" s="27">
        <f>IF(ISNUMBER(NP26),NP26*(1+PortfolioFrontier[[#This Row],[P95 Return]]),1+PortfolioFrontier[[#This Row],[P95 Return]])</f>
        <v>1.1012111408308554</v>
      </c>
      <c r="NQ27" s="27">
        <f>MAX(NQ26,PortfolioFrontier[[#This Row],[P95 Growth]])</f>
        <v>1.1360565697788958</v>
      </c>
      <c r="NR27" s="27">
        <f>PortfolioFrontier[[#This Row],[P95 Growth]]/PortfolioFrontier[[#This Row],[P95 HWM]]-1</f>
        <v>-3.0672265690802836E-2</v>
      </c>
      <c r="NS27" s="28">
        <f>SUMPRODUCT(INDEX(PortfolioRef[[SPY]:[PE]],MATCH(NS$1,PortfolioRef[Reference '#]),0),AssetMonthlyReturns[[#This Row],[SPY]:[PE]])</f>
        <v>7.5968026820338987E-3</v>
      </c>
      <c r="NT27" s="27">
        <f>IF(ISNUMBER(NT26),NT26*(1+PortfolioFrontier[[#This Row],[P96 Return]]),1+PortfolioFrontier[[#This Row],[P96 Return]])</f>
        <v>1.1000886286139311</v>
      </c>
      <c r="NU27" s="27">
        <f>MAX(NU26,PortfolioFrontier[[#This Row],[P96 Growth]])</f>
        <v>1.1327718451451314</v>
      </c>
      <c r="NV27" s="27">
        <f>PortfolioFrontier[[#This Row],[P96 Growth]]/PortfolioFrontier[[#This Row],[P96 HWM]]-1</f>
        <v>-2.8852426612892113E-2</v>
      </c>
      <c r="NW27" s="28">
        <f>SUMPRODUCT(INDEX(PortfolioRef[[SPY]:[PE]],MATCH(NW$1,PortfolioRef[Reference '#]),0),AssetMonthlyReturns[[#This Row],[SPY]:[PE]])</f>
        <v>2.3932420286023551E-4</v>
      </c>
      <c r="NX27" s="27">
        <f>IF(ISNUMBER(NX26),NX26*(1+PortfolioFrontier[[#This Row],[P97 Return]]),1+PortfolioFrontier[[#This Row],[P97 Return]])</f>
        <v>1.0816395380115618</v>
      </c>
      <c r="NY27" s="27">
        <f>MAX(NY26,PortfolioFrontier[[#This Row],[P97 Growth]])</f>
        <v>1.1107647566622896</v>
      </c>
      <c r="NZ27" s="27">
        <f>PortfolioFrontier[[#This Row],[P97 Growth]]/PortfolioFrontier[[#This Row],[P97 HWM]]-1</f>
        <v>-2.6220870329236479E-2</v>
      </c>
      <c r="OA27" s="28">
        <f>SUMPRODUCT(INDEX(PortfolioRef[[SPY]:[PE]],MATCH(OA$1,PortfolioRef[Reference '#]),0),AssetMonthlyReturns[[#This Row],[SPY]:[PE]])</f>
        <v>2.3608914490295691E-4</v>
      </c>
      <c r="OB27" s="27">
        <f>IF(ISNUMBER(OB26),OB26*(1+PortfolioFrontier[[#This Row],[P98 Return]]),1+PortfolioFrontier[[#This Row],[P98 Return]])</f>
        <v>1.0824370141324118</v>
      </c>
      <c r="OC27" s="27">
        <f>MAX(OC26,PortfolioFrontier[[#This Row],[P98 Growth]])</f>
        <v>1.112092793177976</v>
      </c>
      <c r="OD27" s="27">
        <f>PortfolioFrontier[[#This Row],[P98 Growth]]/PortfolioFrontier[[#This Row],[P98 HWM]]-1</f>
        <v>-2.6666640794261731E-2</v>
      </c>
      <c r="OE27" s="28">
        <f>SUMPRODUCT(INDEX(PortfolioRef[[SPY]:[PE]],MATCH(OE$1,PortfolioRef[Reference '#]),0),AssetMonthlyReturns[[#This Row],[SPY]:[PE]])</f>
        <v>1.6140128003760742E-3</v>
      </c>
      <c r="OF27" s="27">
        <f>IF(ISNUMBER(OF26),OF26*(1+PortfolioFrontier[[#This Row],[P99 Return]]),1+PortfolioFrontier[[#This Row],[P99 Return]])</f>
        <v>1.0827090812977969</v>
      </c>
      <c r="OG27" s="27">
        <f>MAX(OG26,PortfolioFrontier[[#This Row],[P99 Growth]])</f>
        <v>1.1127787447941944</v>
      </c>
      <c r="OH27" s="27">
        <f>PortfolioFrontier[[#This Row],[P99 Growth]]/PortfolioFrontier[[#This Row],[P99 HWM]]-1</f>
        <v>-2.7022140418362151E-2</v>
      </c>
      <c r="OI27" s="28">
        <f>SUMPRODUCT(INDEX(PortfolioRef[[SPY]:[PE]],MATCH(OI$1,PortfolioRef[Reference '#]),0),AssetMonthlyReturns[[#This Row],[SPY]:[PE]])</f>
        <v>1.3887744439888602E-3</v>
      </c>
      <c r="OJ27" s="27">
        <f>IF(ISNUMBER(OJ26),OJ26*(1+PortfolioFrontier[[#This Row],[P100 Return]]),1+PortfolioFrontier[[#This Row],[P100 Return]])</f>
        <v>1.0814723598833522</v>
      </c>
      <c r="OK27" s="27">
        <f>MAX(OK26,PortfolioFrontier[[#This Row],[P100 Growth]])</f>
        <v>1.1094762556359219</v>
      </c>
      <c r="OL27" s="27">
        <f>PortfolioFrontier[[#This Row],[P100 Growth]]/PortfolioFrontier[[#This Row],[P100 HWM]]-1</f>
        <v>-2.5240644502588783E-2</v>
      </c>
      <c r="OM27" s="28">
        <f>SUMPRODUCT(INDEX(PortfolioRef[[SPY]:[PE]],MATCH(OM$1,PortfolioRef[Reference '#]),0),AssetMonthlyReturns[[#This Row],[SPY]:[PE]])</f>
        <v>2.3285408694567744E-4</v>
      </c>
      <c r="ON27" s="27">
        <f>IF(ISNUMBER(ON26),ON26*(1+PortfolioFrontier[[#This Row],[P101 Return]]),1+PortfolioFrontier[[#This Row],[P101 Return]])</f>
        <v>1.0831759199457942</v>
      </c>
      <c r="OO27" s="27">
        <f>MAX(OO26,PortfolioFrontier[[#This Row],[P101 Growth]])</f>
        <v>1.1133618200783288</v>
      </c>
      <c r="OP27" s="27">
        <f>PortfolioFrontier[[#This Row],[P101 Growth]]/PortfolioFrontier[[#This Row],[P101 HWM]]-1</f>
        <v>-2.7112390229450223E-2</v>
      </c>
      <c r="OQ27" s="28">
        <f>SUMPRODUCT(INDEX(PortfolioRef[[SPY]:[PE]],MATCH(OQ$1,PortfolioRef[Reference '#]),0),AssetMonthlyReturns[[#This Row],[SPY]:[PE]])</f>
        <v>1.6107777424187956E-3</v>
      </c>
      <c r="OR27" s="27">
        <f>IF(ISNUMBER(OR26),OR26*(1+PortfolioFrontier[[#This Row],[P102 Return]]),1+PortfolioFrontier[[#This Row],[P102 Return]])</f>
        <v>1.0834967827969508</v>
      </c>
      <c r="OS27" s="27">
        <f>MAX(OS26,PortfolioFrontier[[#This Row],[P102 Growth]])</f>
        <v>1.114099894787576</v>
      </c>
      <c r="OT27" s="27">
        <f>PortfolioFrontier[[#This Row],[P102 Growth]]/PortfolioFrontier[[#This Row],[P102 HWM]]-1</f>
        <v>-2.7468912019294467E-2</v>
      </c>
      <c r="OU27" s="28">
        <f>SUMPRODUCT(INDEX(PortfolioRef[[SPY]:[PE]],MATCH(OU$1,PortfolioRef[Reference '#]),0),AssetMonthlyReturns[[#This Row],[SPY]:[PE]])</f>
        <v>1.3855393860315816E-3</v>
      </c>
      <c r="OV27" s="27">
        <f>IF(ISNUMBER(OV26),OV26*(1+PortfolioFrontier[[#This Row],[P103 Return]]),1+PortfolioFrontier[[#This Row],[P103 Return]])</f>
        <v>1.0822890743036035</v>
      </c>
      <c r="OW27" s="27">
        <f>MAX(OW26,PortfolioFrontier[[#This Row],[P103 Growth]])</f>
        <v>1.1108221429044047</v>
      </c>
      <c r="OX27" s="27">
        <f>PortfolioFrontier[[#This Row],[P103 Growth]]/PortfolioFrontier[[#This Row],[P103 HWM]]-1</f>
        <v>-2.5686442049307145E-2</v>
      </c>
      <c r="OY27" s="28">
        <f>SUMPRODUCT(INDEX(PortfolioRef[[SPY]:[PE]],MATCH(OY$1,PortfolioRef[Reference '#]),0),AssetMonthlyReturns[[#This Row],[SPY]:[PE]])</f>
        <v>2.9887013978919133E-3</v>
      </c>
      <c r="OZ27" s="27">
        <f>IF(ISNUMBER(OZ26),OZ26*(1+PortfolioFrontier[[#This Row],[P104 Return]]),1+PortfolioFrontier[[#This Row],[P104 Return]])</f>
        <v>1.0837287387730166</v>
      </c>
      <c r="PA27" s="27">
        <f>MAX(PA26,PortfolioFrontier[[#This Row],[P104 Growth]])</f>
        <v>1.1147596869783387</v>
      </c>
      <c r="PB27" s="27">
        <f>PortfolioFrontier[[#This Row],[P104 Growth]]/PortfolioFrontier[[#This Row],[P104 HWM]]-1</f>
        <v>-2.7836446337088594E-2</v>
      </c>
      <c r="PC27" s="28">
        <f>SUMPRODUCT(INDEX(PortfolioRef[[SPY]:[PE]],MATCH(PC$1,PortfolioRef[Reference '#]),0),AssetMonthlyReturns[[#This Row],[SPY]:[PE]])</f>
        <v>2.7634630415046988E-3</v>
      </c>
      <c r="PD27" s="27">
        <f>IF(ISNUMBER(PD26),PD26*(1+PortfolioFrontier[[#This Row],[P105 Return]]),1+PortfolioFrontier[[#This Row],[P105 Return]])</f>
        <v>1.0825455204673464</v>
      </c>
      <c r="PE27" s="27">
        <f>MAX(PE26,PortfolioFrontier[[#This Row],[P105 Growth]])</f>
        <v>1.1114882053883932</v>
      </c>
      <c r="PF27" s="27">
        <f>PortfolioFrontier[[#This Row],[P105 Growth]]/PortfolioFrontier[[#This Row],[P105 HWM]]-1</f>
        <v>-2.6039578990344037E-2</v>
      </c>
      <c r="PG27" s="28">
        <f>SUMPRODUCT(INDEX(PortfolioRef[[SPY]:[PE]],MATCH(PG$1,PortfolioRef[Reference '#]),0),AssetMonthlyReturns[[#This Row],[SPY]:[PE]])</f>
        <v>2.5382246851174853E-3</v>
      </c>
      <c r="PH27" s="27">
        <f>IF(ISNUMBER(PH26),PH26*(1+PortfolioFrontier[[#This Row],[P106 Return]]),1+PortfolioFrontier[[#This Row],[P106 Return]])</f>
        <v>1.0812749565385689</v>
      </c>
      <c r="PI27" s="27">
        <f>MAX(PI26,PortfolioFrontier[[#This Row],[P106 Growth]])</f>
        <v>1.1081625057204503</v>
      </c>
      <c r="PJ27" s="27">
        <f>PortfolioFrontier[[#This Row],[P106 Growth]]/PortfolioFrontier[[#This Row],[P106 HWM]]-1</f>
        <v>-2.4263182559493779E-2</v>
      </c>
      <c r="PK27" s="28">
        <f>SUMPRODUCT(INDEX(PortfolioRef[[SPY]:[PE]],MATCH(PK$1,PortfolioRef[Reference '#]),0),AssetMonthlyReturns[[#This Row],[SPY]:[PE]])</f>
        <v>1.6075426844615161E-3</v>
      </c>
      <c r="PL27" s="27">
        <f>IF(ISNUMBER(PL26),PL26*(1+PortfolioFrontier[[#This Row],[P107 Return]]),1+PortfolioFrontier[[#This Row],[P107 Return]])</f>
        <v>1.0842259144229478</v>
      </c>
      <c r="PM27" s="27">
        <f>MAX(PM26,PortfolioFrontier[[#This Row],[P107 Growth]])</f>
        <v>1.115361983180845</v>
      </c>
      <c r="PN27" s="27">
        <f>PortfolioFrontier[[#This Row],[P107 Growth]]/PortfolioFrontier[[#This Row],[P107 HWM]]-1</f>
        <v>-2.7915662562840615E-2</v>
      </c>
      <c r="PO27" s="28">
        <f>SUMPRODUCT(INDEX(PortfolioRef[[SPY]:[PE]],MATCH(PO$1,PortfolioRef[Reference '#]),0),AssetMonthlyReturns[[#This Row],[SPY]:[PE]])</f>
        <v>1.3823043280743021E-3</v>
      </c>
      <c r="PP27" s="27">
        <f>IF(ISNUMBER(PP26),PP26*(1+PortfolioFrontier[[#This Row],[P108 Return]]),1+PortfolioFrontier[[#This Row],[P108 Return]])</f>
        <v>1.0830472595549703</v>
      </c>
      <c r="PQ27" s="27">
        <f>MAX(PQ26,PortfolioFrontier[[#This Row],[P108 Growth]])</f>
        <v>1.1121091386149522</v>
      </c>
      <c r="PR27" s="27">
        <f>PortfolioFrontier[[#This Row],[P108 Growth]]/PortfolioFrontier[[#This Row],[P108 HWM]]-1</f>
        <v>-2.6132218548420738E-2</v>
      </c>
      <c r="PS27" s="28">
        <f>SUMPRODUCT(INDEX(PortfolioRef[[SPY]:[PE]],MATCH(PS$1,PortfolioRef[Reference '#]),0),AssetMonthlyReturns[[#This Row],[SPY]:[PE]])</f>
        <v>2.9854663399346338E-3</v>
      </c>
      <c r="PT27" s="27">
        <f>IF(ISNUMBER(PT26),PT26*(1+PortfolioFrontier[[#This Row],[P109 Return]]),1+PortfolioFrontier[[#This Row],[P109 Return]])</f>
        <v>1.0845066175383606</v>
      </c>
      <c r="PU27" s="27">
        <f>MAX(PU26,PortfolioFrontier[[#This Row],[P109 Growth]])</f>
        <v>1.1160738973525732</v>
      </c>
      <c r="PV27" s="27">
        <f>PortfolioFrontier[[#This Row],[P109 Growth]]/PortfolioFrontier[[#This Row],[P109 HWM]]-1</f>
        <v>-2.828422014805021E-2</v>
      </c>
      <c r="PW27" s="28">
        <f>SUMPRODUCT(INDEX(PortfolioRef[[SPY]:[PE]],MATCH(PW$1,PortfolioRef[Reference '#]),0),AssetMonthlyReturns[[#This Row],[SPY]:[PE]])</f>
        <v>2.7602279835474194E-3</v>
      </c>
      <c r="PX27" s="27">
        <f>IF(ISNUMBER(PX26),PX26*(1+PortfolioFrontier[[#This Row],[P110 Return]]),1+PortfolioFrontier[[#This Row],[P110 Return]])</f>
        <v>1.0833524856964214</v>
      </c>
      <c r="PY27" s="27">
        <f>MAX(PY26,PortfolioFrontier[[#This Row],[P110 Growth]])</f>
        <v>1.1128272482723029</v>
      </c>
      <c r="PZ27" s="27">
        <f>PortfolioFrontier[[#This Row],[P110 Growth]]/PortfolioFrontier[[#This Row],[P110 HWM]]-1</f>
        <v>-2.6486377487289214E-2</v>
      </c>
      <c r="QA27" s="28">
        <f>SUMPRODUCT(INDEX(PortfolioRef[[SPY]:[PE]],MATCH(QA$1,PortfolioRef[Reference '#]),0),AssetMonthlyReturns[[#This Row],[SPY]:[PE]])</f>
        <v>2.5349896271602058E-3</v>
      </c>
      <c r="QB27" s="27">
        <f>IF(ISNUMBER(QB26),QB26*(1+PortfolioFrontier[[#This Row],[P111 Return]]),1+PortfolioFrontier[[#This Row],[P111 Return]])</f>
        <v>1.0821108802980406</v>
      </c>
      <c r="QC27" s="27">
        <f>MAX(QC26,PortfolioFrontier[[#This Row],[P111 Growth]])</f>
        <v>1.1095261691525546</v>
      </c>
      <c r="QD27" s="27">
        <f>PortfolioFrontier[[#This Row],[P111 Growth]]/PortfolioFrontier[[#This Row],[P111 HWM]]-1</f>
        <v>-2.4709006075497641E-2</v>
      </c>
      <c r="QE27" s="28">
        <f>SUMPRODUCT(INDEX(PortfolioRef[[SPY]:[PE]],MATCH(QE$1,PortfolioRef[Reference '#]),0),AssetMonthlyReturns[[#This Row],[SPY]:[PE]])</f>
        <v>4.3633899954077515E-3</v>
      </c>
      <c r="QF27" s="27">
        <f>IF(ISNUMBER(QF26),QF26*(1+PortfolioFrontier[[#This Row],[P112 Return]]),1+PortfolioFrontier[[#This Row],[P112 Return]])</f>
        <v>1.084698309677717</v>
      </c>
      <c r="QG27" s="27">
        <f>MAX(QG26,PortfolioFrontier[[#This Row],[P112 Growth]])</f>
        <v>1.1167074070352945</v>
      </c>
      <c r="QH27" s="27">
        <f>PortfolioFrontier[[#This Row],[P112 Growth]]/PortfolioFrontier[[#This Row],[P112 HWM]]-1</f>
        <v>-2.8663817537090797E-2</v>
      </c>
      <c r="QI27" s="28">
        <f>SUMPRODUCT(INDEX(PortfolioRef[[SPY]:[PE]],MATCH(QI$1,PortfolioRef[Reference '#]),0),AssetMonthlyReturns[[#This Row],[SPY]:[PE]])</f>
        <v>4.1381516390205375E-3</v>
      </c>
      <c r="QJ27" s="27">
        <f>IF(ISNUMBER(QJ26),QJ26*(1+PortfolioFrontier[[#This Row],[P113 Return]]),1+PortfolioFrontier[[#This Row],[P113 Return]])</f>
        <v>1.0835688469590055</v>
      </c>
      <c r="QK27" s="27">
        <f>MAX(QK26,PortfolioFrontier[[#This Row],[P113 Growth]])</f>
        <v>1.1134671592191805</v>
      </c>
      <c r="QL27" s="27">
        <f>PortfolioFrontier[[#This Row],[P113 Growth]]/PortfolioFrontier[[#This Row],[P113 HWM]]-1</f>
        <v>-2.6851543857962734E-2</v>
      </c>
      <c r="QM27" s="28">
        <f>SUMPRODUCT(INDEX(PortfolioRef[[SPY]:[PE]],MATCH(QM$1,PortfolioRef[Reference '#]),0),AssetMonthlyReturns[[#This Row],[SPY]:[PE]])</f>
        <v>3.9129132826333235E-3</v>
      </c>
      <c r="QN27" s="27">
        <f>IF(ISNUMBER(QN26),QN26*(1+PortfolioFrontier[[#This Row],[P114 Return]]),1+PortfolioFrontier[[#This Row],[P114 Return]])</f>
        <v>1.0823517010133952</v>
      </c>
      <c r="QO27" s="27">
        <f>MAX(QO26,PortfolioFrontier[[#This Row],[P114 Growth]])</f>
        <v>1.1101723689910592</v>
      </c>
      <c r="QP27" s="27">
        <f>PortfolioFrontier[[#This Row],[P114 Growth]]/PortfolioFrontier[[#This Row],[P114 HWM]]-1</f>
        <v>-2.505977337820775E-2</v>
      </c>
      <c r="QQ27" s="28">
        <f>SUMPRODUCT(INDEX(PortfolioRef[[SPY]:[PE]],MATCH(QQ$1,PortfolioRef[Reference '#]),0),AssetMonthlyReturns[[#This Row],[SPY]:[PE]])</f>
        <v>2.9822312819773543E-3</v>
      </c>
      <c r="QR27" s="27">
        <f>IF(ISNUMBER(QR26),QR26*(1+PortfolioFrontier[[#This Row],[P115 Return]]),1+PortfolioFrontier[[#This Row],[P115 Return]])</f>
        <v>1.0852259292933879</v>
      </c>
      <c r="QS27" s="27">
        <f>MAX(QS26,PortfolioFrontier[[#This Row],[P115 Growth]])</f>
        <v>1.1173289956889407</v>
      </c>
      <c r="QT27" s="27">
        <f>PortfolioFrontier[[#This Row],[P115 Growth]]/PortfolioFrontier[[#This Row],[P115 HWM]]-1</f>
        <v>-2.8731972874075695E-2</v>
      </c>
      <c r="QU27" s="28">
        <f>SUMPRODUCT(INDEX(PortfolioRef[[SPY]:[PE]],MATCH(QU$1,PortfolioRef[Reference '#]),0),AssetMonthlyReturns[[#This Row],[SPY]:[PE]])</f>
        <v>2.7569929255901399E-3</v>
      </c>
      <c r="QV27" s="27">
        <f>IF(ISNUMBER(QV26),QV26*(1+PortfolioFrontier[[#This Row],[P116 Return]]),1+PortfolioFrontier[[#This Row],[P116 Return]])</f>
        <v>1.0841009218088151</v>
      </c>
      <c r="QW27" s="27">
        <f>MAX(QW26,PortfolioFrontier[[#This Row],[P116 Growth]])</f>
        <v>1.1141073475867118</v>
      </c>
      <c r="QX27" s="27">
        <f>PortfolioFrontier[[#This Row],[P116 Growth]]/PortfolioFrontier[[#This Row],[P116 HWM]]-1</f>
        <v>-2.6933154909079549E-2</v>
      </c>
      <c r="QY27" s="28">
        <f>SUMPRODUCT(INDEX(PortfolioRef[[SPY]:[PE]],MATCH(QY$1,PortfolioRef[Reference '#]),0),AssetMonthlyReturns[[#This Row],[SPY]:[PE]])</f>
        <v>2.5317545692029263E-3</v>
      </c>
      <c r="QZ27" s="27">
        <f>IF(ISNUMBER(QZ26),QZ26*(1+PortfolioFrontier[[#This Row],[P117 Return]]),1+PortfolioFrontier[[#This Row],[P117 Return]])</f>
        <v>1.0828883180186404</v>
      </c>
      <c r="RA27" s="27">
        <f>MAX(RA26,PortfolioFrontier[[#This Row],[P117 Growth]])</f>
        <v>1.1108310606542744</v>
      </c>
      <c r="RB27" s="27">
        <f>PortfolioFrontier[[#This Row],[P117 Growth]]/PortfolioFrontier[[#This Row],[P117 HWM]]-1</f>
        <v>-2.5154808526128059E-2</v>
      </c>
      <c r="RC27" s="28">
        <f>SUMPRODUCT(INDEX(PortfolioRef[[SPY]:[PE]],MATCH(RC$1,PortfolioRef[Reference '#]),0),AssetMonthlyReturns[[#This Row],[SPY]:[PE]])</f>
        <v>4.3601549374504729E-3</v>
      </c>
      <c r="RD27" s="27">
        <f>IF(ISNUMBER(RD26),RD26*(1+PortfolioFrontier[[#This Row],[P118 Return]]),1+PortfolioFrontier[[#This Row],[P118 Return]])</f>
        <v>1.0854663185012015</v>
      </c>
      <c r="RE27" s="27">
        <f>MAX(RE26,PortfolioFrontier[[#This Row],[P118 Growth]])</f>
        <v>1.118014625073851</v>
      </c>
      <c r="RF27" s="27">
        <f>PortfolioFrontier[[#This Row],[P118 Growth]]/PortfolioFrontier[[#This Row],[P118 HWM]]-1</f>
        <v>-2.9112594632203059E-2</v>
      </c>
      <c r="RG27" s="28">
        <f>SUMPRODUCT(INDEX(PortfolioRef[[SPY]:[PE]],MATCH(RG$1,PortfolioRef[Reference '#]),0),AssetMonthlyReturns[[#This Row],[SPY]:[PE]])</f>
        <v>4.1349165810632589E-3</v>
      </c>
      <c r="RH27" s="27">
        <f>IF(ISNUMBER(RH26),RH26*(1+PortfolioFrontier[[#This Row],[P119 Return]]),1+PortfolioFrontier[[#This Row],[P119 Return]])</f>
        <v>1.0843660141652947</v>
      </c>
      <c r="RI27" s="27">
        <f>MAX(RI26,PortfolioFrontier[[#This Row],[P119 Growth]])</f>
        <v>1.1147993042867748</v>
      </c>
      <c r="RJ27" s="27">
        <f>PortfolioFrontier[[#This Row],[P119 Growth]]/PortfolioFrontier[[#This Row],[P119 HWM]]-1</f>
        <v>-2.7299344379256407E-2</v>
      </c>
      <c r="RK27" s="28">
        <f>SUMPRODUCT(INDEX(PortfolioRef[[SPY]:[PE]],MATCH(RK$1,PortfolioRef[Reference '#]),0),AssetMonthlyReturns[[#This Row],[SPY]:[PE]])</f>
        <v>3.909678224676044E-3</v>
      </c>
      <c r="RL27" s="27">
        <f>IF(ISNUMBER(RL26),RL26*(1+PortfolioFrontier[[#This Row],[P120 Return]]),1+PortfolioFrontier[[#This Row],[P120 Return]])</f>
        <v>1.0831779012685097</v>
      </c>
      <c r="RM27" s="27">
        <f>MAX(RM26,PortfolioFrontier[[#This Row],[P120 Growth]])</f>
        <v>1.1115292301273156</v>
      </c>
      <c r="RN27" s="27">
        <f>PortfolioFrontier[[#This Row],[P120 Growth]]/PortfolioFrontier[[#This Row],[P120 HWM]]-1</f>
        <v>-2.5506597658757513E-2</v>
      </c>
      <c r="RO27" s="28">
        <f>SUMPRODUCT(INDEX(PortfolioRef[[SPY]:[PE]],MATCH(RO$1,PortfolioRef[Reference '#]),0),AssetMonthlyReturns[[#This Row],[SPY]:[PE]])</f>
        <v>5.7380785929235893E-3</v>
      </c>
      <c r="RP27" s="27">
        <f>IF(ISNUMBER(RP26),RP26*(1+PortfolioFrontier[[#This Row],[P121 Return]]),1+PortfolioFrontier[[#This Row],[P121 Return]])</f>
        <v>1.0856175985090188</v>
      </c>
      <c r="RQ27" s="27">
        <f>MAX(RQ26,PortfolioFrontier[[#This Row],[P121 Growth]])</f>
        <v>1.118621731160943</v>
      </c>
      <c r="RR27" s="27">
        <f>PortfolioFrontier[[#This Row],[P121 Growth]]/PortfolioFrontier[[#This Row],[P121 HWM]]-1</f>
        <v>-2.9504283470044301E-2</v>
      </c>
      <c r="RS27" s="28">
        <f>SUMPRODUCT(INDEX(PortfolioRef[[SPY]:[PE]],MATCH(RS$1,PortfolioRef[Reference '#]),0),AssetMonthlyReturns[[#This Row],[SPY]:[PE]])</f>
        <v>5.5128402365363753E-3</v>
      </c>
      <c r="RT27" s="27">
        <f>IF(ISNUMBER(RT26),RT26*(1+PortfolioFrontier[[#This Row],[P122 Return]]),1+PortfolioFrontier[[#This Row],[P122 Return]])</f>
        <v>1.0845421384877145</v>
      </c>
      <c r="RU27" s="27">
        <f>MAX(RU26,PortfolioFrontier[[#This Row],[P122 Growth]])</f>
        <v>1.1154129412250284</v>
      </c>
      <c r="RV27" s="27">
        <f>PortfolioFrontier[[#This Row],[P122 Growth]]/PortfolioFrontier[[#This Row],[P122 HWM]]-1</f>
        <v>-2.7676568557120529E-2</v>
      </c>
      <c r="RW27" s="28">
        <f>SUMPRODUCT(INDEX(PortfolioRef[[SPY]:[PE]],MATCH(RW$1,PortfolioRef[Reference '#]),0),AssetMonthlyReturns[[#This Row],[SPY]:[PE]])</f>
        <v>5.2876018801491622E-3</v>
      </c>
      <c r="RX27" s="27">
        <f>IF(ISNUMBER(RX26),RX26*(1+PortfolioFrontier[[#This Row],[P123 Return]]),1+PortfolioFrontier[[#This Row],[P123 Return]])</f>
        <v>1.0833786641172067</v>
      </c>
      <c r="RY27" s="27">
        <f>MAX(RY26,PortfolioFrontier[[#This Row],[P123 Growth]])</f>
        <v>1.1121492867844014</v>
      </c>
      <c r="RZ27" s="27">
        <f>PortfolioFrontier[[#This Row],[P123 Growth]]/PortfolioFrontier[[#This Row],[P123 HWM]]-1</f>
        <v>-2.5869389127048059E-2</v>
      </c>
      <c r="SA27" s="28">
        <f>SUMPRODUCT(INDEX(PortfolioRef[[SPY]:[PE]],MATCH(SA$1,PortfolioRef[Reference '#]),0),AssetMonthlyReturns[[#This Row],[SPY]:[PE]])</f>
        <v>4.3569198794931926E-3</v>
      </c>
      <c r="SB27" s="27">
        <f>IF(ISNUMBER(SB26),SB26*(1+PortfolioFrontier[[#This Row],[P124 Return]]),1+PortfolioFrontier[[#This Row],[P124 Return]])</f>
        <v>1.0861757656085729</v>
      </c>
      <c r="SC27" s="27">
        <f>MAX(SC26,PortfolioFrontier[[#This Row],[P124 Growth]])</f>
        <v>1.1192626821867915</v>
      </c>
      <c r="SD27" s="27">
        <f>PortfolioFrontier[[#This Row],[P124 Growth]]/PortfolioFrontier[[#This Row],[P124 HWM]]-1</f>
        <v>-2.9561350614829895E-2</v>
      </c>
      <c r="SE27" s="28">
        <f>SUMPRODUCT(INDEX(PortfolioRef[[SPY]:[PE]],MATCH(SE$1,PortfolioRef[Reference '#]),0),AssetMonthlyReturns[[#This Row],[SPY]:[PE]])</f>
        <v>4.1316815231059786E-3</v>
      </c>
      <c r="SF27" s="27">
        <f>IF(ISNUMBER(SF26),SF26*(1+PortfolioFrontier[[#This Row],[P125 Return]]),1+PortfolioFrontier[[#This Row],[P125 Return]])</f>
        <v>1.0851046547312575</v>
      </c>
      <c r="SG27" s="27">
        <f>MAX(SG26,PortfolioFrontier[[#This Row],[P125 Growth]])</f>
        <v>1.1160724553162842</v>
      </c>
      <c r="SH27" s="27">
        <f>PortfolioFrontier[[#This Row],[P125 Growth]]/PortfolioFrontier[[#This Row],[P125 HWM]]-1</f>
        <v>-2.774712379784583E-2</v>
      </c>
      <c r="SI27" s="28">
        <f>SUMPRODUCT(INDEX(PortfolioRef[[SPY]:[PE]],MATCH(SI$1,PortfolioRef[Reference '#]),0),AssetMonthlyReturns[[#This Row],[SPY]:[PE]])</f>
        <v>3.9064431667187646E-3</v>
      </c>
      <c r="SJ27" s="27">
        <f>IF(ISNUMBER(SJ26),SJ26*(1+PortfolioFrontier[[#This Row],[P126 Return]]),1+PortfolioFrontier[[#This Row],[P126 Return]])</f>
        <v>1.0839456151560685</v>
      </c>
      <c r="SK27" s="27">
        <f>MAX(SK26,PortfolioFrontier[[#This Row],[P126 Growth]])</f>
        <v>1.1128272672970145</v>
      </c>
      <c r="SL27" s="27">
        <f>PortfolioFrontier[[#This Row],[P126 Growth]]/PortfolioFrontier[[#This Row],[P126 HWM]]-1</f>
        <v>-2.5953400846384533E-2</v>
      </c>
      <c r="SM27" s="28">
        <f>SUMPRODUCT(INDEX(PortfolioRef[[SPY]:[PE]],MATCH(SM$1,PortfolioRef[Reference '#]),0),AssetMonthlyReturns[[#This Row],[SPY]:[PE]])</f>
        <v>5.7348435349663107E-3</v>
      </c>
      <c r="SN27" s="27">
        <f>IF(ISNUMBER(SN26),SN26*(1+PortfolioFrontier[[#This Row],[P127 Return]]),1+PortfolioFrontier[[#This Row],[P127 Return]])</f>
        <v>1.0863756910937772</v>
      </c>
      <c r="SO27" s="27">
        <f>MAX(SO26,PortfolioFrontier[[#This Row],[P127 Growth]])</f>
        <v>1.1199219045312785</v>
      </c>
      <c r="SP27" s="27">
        <f>PortfolioFrontier[[#This Row],[P127 Growth]]/PortfolioFrontier[[#This Row],[P127 HWM]]-1</f>
        <v>-2.9954064923430002E-2</v>
      </c>
      <c r="SQ27" s="28">
        <f>SUMPRODUCT(INDEX(PortfolioRef[[SPY]:[PE]],MATCH(SQ$1,PortfolioRef[Reference '#]),0),AssetMonthlyReturns[[#This Row],[SPY]:[PE]])</f>
        <v>5.5096051785790967E-3</v>
      </c>
      <c r="SR27" s="27">
        <f>IF(ISNUMBER(SR26),SR26*(1+PortfolioFrontier[[#This Row],[P128 Return]]),1+PortfolioFrontier[[#This Row],[P128 Return]])</f>
        <v>1.0853294597394894</v>
      </c>
      <c r="SS27" s="27">
        <f>MAX(SS26,PortfolioFrontier[[#This Row],[P128 Growth]])</f>
        <v>1.1167381354223636</v>
      </c>
      <c r="ST27" s="27">
        <f>PortfolioFrontier[[#This Row],[P128 Growth]]/PortfolioFrontier[[#This Row],[P128 HWM]]-1</f>
        <v>-2.8125372176884711E-2</v>
      </c>
      <c r="SU27" s="28">
        <f>SUMPRODUCT(INDEX(PortfolioRef[[SPY]:[PE]],MATCH(SU$1,PortfolioRef[Reference '#]),0),AssetMonthlyReturns[[#This Row],[SPY]:[PE]])</f>
        <v>5.2843668221918827E-3</v>
      </c>
      <c r="SV27" s="27">
        <f>IF(ISNUMBER(SV26),SV26*(1+PortfolioFrontier[[#This Row],[P129 Return]]),1+PortfolioFrontier[[#This Row],[P129 Return]])</f>
        <v>1.0841950913198091</v>
      </c>
      <c r="SW27" s="27">
        <f>MAX(SW26,PortfolioFrontier[[#This Row],[P129 Growth]])</f>
        <v>1.1134992918602598</v>
      </c>
      <c r="SX27" s="27">
        <f>PortfolioFrontier[[#This Row],[P129 Growth]]/PortfolioFrontier[[#This Row],[P129 HWM]]-1</f>
        <v>-2.6317215246265513E-2</v>
      </c>
      <c r="SY27" s="28">
        <f>SUMPRODUCT(INDEX(PortfolioRef[[SPY]:[PE]],MATCH(SY$1,PortfolioRef[Reference '#]),0),AssetMonthlyReturns[[#This Row],[SPY]:[PE]])</f>
        <v>7.1127671904394289E-3</v>
      </c>
      <c r="SZ27" s="27">
        <f>IF(ISNUMBER(SZ26),SZ26*(1+PortfolioFrontier[[#This Row],[P130 Return]]),1+PortfolioFrontier[[#This Row],[P130 Return]])</f>
        <v>1.0864864150635845</v>
      </c>
      <c r="TA27" s="27">
        <f>MAX(TA26,PortfolioFrontier[[#This Row],[P130 Growth]])</f>
        <v>1.1205024879473076</v>
      </c>
      <c r="TB27" s="27">
        <f>PortfolioFrontier[[#This Row],[P130 Growth]]/PortfolioFrontier[[#This Row],[P130 HWM]]-1</f>
        <v>-3.035787358762454E-2</v>
      </c>
      <c r="TC27" s="28">
        <f>SUMPRODUCT(INDEX(PortfolioRef[[SPY]:[PE]],MATCH(TC$1,PortfolioRef[Reference '#]),0),AssetMonthlyReturns[[#This Row],[SPY]:[PE]])</f>
        <v>6.8875288340522148E-3</v>
      </c>
      <c r="TD27" s="27">
        <f>IF(ISNUMBER(TD26),TD26*(1+PortfolioFrontier[[#This Row],[P131 Return]]),1+PortfolioFrontier[[#This Row],[P131 Return]])</f>
        <v>1.085465199431326</v>
      </c>
      <c r="TE27" s="27">
        <f>MAX(TE26,PortfolioFrontier[[#This Row],[P131 Growth]])</f>
        <v>1.1173253778747425</v>
      </c>
      <c r="TF27" s="27">
        <f>PortfolioFrontier[[#This Row],[P131 Growth]]/PortfolioFrontier[[#This Row],[P131 HWM]]-1</f>
        <v>-2.8514682539492187E-2</v>
      </c>
      <c r="TG27" s="28">
        <f>SUMPRODUCT(INDEX(PortfolioRef[[SPY]:[PE]],MATCH(TG$1,PortfolioRef[Reference '#]),0),AssetMonthlyReturns[[#This Row],[SPY]:[PE]])</f>
        <v>6.6622904776650008E-3</v>
      </c>
      <c r="TH27" s="27">
        <f>IF(ISNUMBER(TH26),TH26*(1+PortfolioFrontier[[#This Row],[P132 Return]]),1+PortfolioFrontier[[#This Row],[P132 Return]])</f>
        <v>1.0843556448733975</v>
      </c>
      <c r="TI27" s="27">
        <f>MAX(TI26,PortfolioFrontier[[#This Row],[P132 Growth]])</f>
        <v>1.1140930834761242</v>
      </c>
      <c r="TJ27" s="27">
        <f>PortfolioFrontier[[#This Row],[P132 Growth]]/PortfolioFrontier[[#This Row],[P132 HWM]]-1</f>
        <v>-2.6692059257689471E-2</v>
      </c>
      <c r="TK27" s="28">
        <f>SUMPRODUCT(INDEX(PortfolioRef[[SPY]:[PE]],MATCH(TK$1,PortfolioRef[Reference '#]),0),AssetMonthlyReturns[[#This Row],[SPY]:[PE]])</f>
        <v>5.7316084770090304E-3</v>
      </c>
      <c r="TL27" s="27">
        <f>IF(ISNUMBER(TL26),TL26*(1+PortfolioFrontier[[#This Row],[P133 Return]]),1+PortfolioFrontier[[#This Row],[P133 Return]])</f>
        <v>1.0870752296906065</v>
      </c>
      <c r="TM27" s="27">
        <f>MAX(TM26,PortfolioFrontier[[#This Row],[P133 Growth]])</f>
        <v>1.1211628696411426</v>
      </c>
      <c r="TN27" s="27">
        <f>PortfolioFrontier[[#This Row],[P133 Growth]]/PortfolioFrontier[[#This Row],[P133 HWM]]-1</f>
        <v>-3.040382523677998E-2</v>
      </c>
      <c r="TO27" s="28">
        <f>SUMPRODUCT(INDEX(PortfolioRef[[SPY]:[PE]],MATCH(TO$1,PortfolioRef[Reference '#]),0),AssetMonthlyReturns[[#This Row],[SPY]:[PE]])</f>
        <v>5.5063701206218172E-3</v>
      </c>
      <c r="TP27" s="27">
        <f>IF(ISNUMBER(TP26),TP26*(1+PortfolioFrontier[[#This Row],[P134 Return]]),1+PortfolioFrontier[[#This Row],[P134 Return]])</f>
        <v>1.086058259254306</v>
      </c>
      <c r="TQ27" s="27">
        <f>MAX(TQ26,PortfolioFrontier[[#This Row],[P134 Growth]])</f>
        <v>1.1180042866589928</v>
      </c>
      <c r="TR27" s="27">
        <f>PortfolioFrontier[[#This Row],[P134 Growth]]/PortfolioFrontier[[#This Row],[P134 HWM]]-1</f>
        <v>-2.8574154666395124E-2</v>
      </c>
      <c r="TS27" s="28">
        <f>SUMPRODUCT(INDEX(PortfolioRef[[SPY]:[PE]],MATCH(TS$1,PortfolioRef[Reference '#]),0),AssetMonthlyReturns[[#This Row],[SPY]:[PE]])</f>
        <v>5.2811317642346041E-3</v>
      </c>
      <c r="TT27" s="27">
        <f>IF(ISNUMBER(TT26),TT26*(1+PortfolioFrontier[[#This Row],[P135 Return]]),1+PortfolioFrontier[[#This Row],[P135 Return]])</f>
        <v>1.084953034245894</v>
      </c>
      <c r="TU27" s="27">
        <f>MAX(TU26,PortfolioFrontier[[#This Row],[P135 Growth]])</f>
        <v>1.1147904224723095</v>
      </c>
      <c r="TV27" s="27">
        <f>PortfolioFrontier[[#This Row],[P135 Growth]]/PortfolioFrontier[[#This Row],[P135 HWM]]-1</f>
        <v>-2.6765020245010818E-2</v>
      </c>
      <c r="TW27" s="28">
        <f>SUMPRODUCT(INDEX(PortfolioRef[[SPY]:[PE]],MATCH(TW$1,PortfolioRef[Reference '#]),0),AssetMonthlyReturns[[#This Row],[SPY]:[PE]])</f>
        <v>7.1095321324821485E-3</v>
      </c>
      <c r="TX27" s="27">
        <f>IF(ISNUMBER(TX26),TX26*(1+PortfolioFrontier[[#This Row],[P136 Return]]),1+PortfolioFrontier[[#This Row],[P136 Return]])</f>
        <v>1.0872345460309647</v>
      </c>
      <c r="TY27" s="27">
        <f>MAX(TY26,PortfolioFrontier[[#This Row],[P136 Growth]])</f>
        <v>1.1217955647045177</v>
      </c>
      <c r="TZ27" s="27">
        <f>PortfolioFrontier[[#This Row],[P136 Growth]]/PortfolioFrontier[[#This Row],[P136 HWM]]-1</f>
        <v>-3.0808660473404914E-2</v>
      </c>
      <c r="UA27" s="28">
        <f>SUMPRODUCT(INDEX(PortfolioRef[[SPY]:[PE]],MATCH(UA$1,PortfolioRef[Reference '#]),0),AssetMonthlyReturns[[#This Row],[SPY]:[PE]])</f>
        <v>6.8842937760949345E-3</v>
      </c>
      <c r="UB27" s="27">
        <f>IF(ISNUMBER(UB26),UB26*(1+PortfolioFrontier[[#This Row],[P137 Return]]),1+PortfolioFrontier[[#This Row],[P137 Return]])</f>
        <v>1.0862426277039126</v>
      </c>
      <c r="UC27" s="27">
        <f>MAX(UC26,PortfolioFrontier[[#This Row],[P137 Growth]])</f>
        <v>1.1186435685293665</v>
      </c>
      <c r="UD27" s="27">
        <f>PortfolioFrontier[[#This Row],[P137 Growth]]/PortfolioFrontier[[#This Row],[P137 HWM]]-1</f>
        <v>-2.8964490331849113E-2</v>
      </c>
      <c r="UE27" s="28">
        <f>SUMPRODUCT(INDEX(PortfolioRef[[SPY]:[PE]],MATCH(UE$1,PortfolioRef[Reference '#]),0),AssetMonthlyReturns[[#This Row],[SPY]:[PE]])</f>
        <v>6.6590554197077214E-3</v>
      </c>
      <c r="UF27" s="27">
        <f>IF(ISNUMBER(UF26),UF26*(1+PortfolioFrontier[[#This Row],[P138 Return]]),1+PortfolioFrontier[[#This Row],[P138 Return]])</f>
        <v>1.0851622503710234</v>
      </c>
      <c r="UG27" s="27">
        <f>MAX(UG26,PortfolioFrontier[[#This Row],[P138 Growth]])</f>
        <v>1.1154361791023262</v>
      </c>
      <c r="UH27" s="27">
        <f>PortfolioFrontier[[#This Row],[P138 Growth]]/PortfolioFrontier[[#This Row],[P138 HWM]]-1</f>
        <v>-2.7140888289697074E-2</v>
      </c>
      <c r="UI27" s="28">
        <f>SUMPRODUCT(INDEX(PortfolioRef[[SPY]:[PE]],MATCH(UI$1,PortfolioRef[Reference '#]),0),AssetMonthlyReturns[[#This Row],[SPY]:[PE]])</f>
        <v>8.4874557879552667E-3</v>
      </c>
      <c r="UJ27" s="27">
        <f>IF(ISNUMBER(UJ26),UJ26*(1+PortfolioFrontier[[#This Row],[P139 Return]]),1+PortfolioFrontier[[#This Row],[P139 Return]])</f>
        <v>1.0873045744798358</v>
      </c>
      <c r="UK27" s="27">
        <f>MAX(UK26,PortfolioFrontier[[#This Row],[P139 Growth]])</f>
        <v>1.1223495084031516</v>
      </c>
      <c r="UL27" s="27">
        <f>PortfolioFrontier[[#This Row],[P139 Growth]]/PortfolioFrontier[[#This Row],[P139 HWM]]-1</f>
        <v>-3.1224617341506056E-2</v>
      </c>
      <c r="UM27" s="28">
        <f>SUMPRODUCT(INDEX(PortfolioRef[[SPY]:[PE]],MATCH(UM$1,PortfolioRef[Reference '#]),0),AssetMonthlyReturns[[#This Row],[SPY]:[PE]])</f>
        <v>8.2622174315680526E-3</v>
      </c>
      <c r="UN27" s="27">
        <f>IF(ISNUMBER(UN26),UN26*(1+PortfolioFrontier[[#This Row],[P140 Return]]),1+PortfolioFrontier[[#This Row],[P140 Return]])</f>
        <v>1.0863378394590286</v>
      </c>
      <c r="UO27" s="27">
        <f>MAX(UO26,PortfolioFrontier[[#This Row],[P140 Growth]])</f>
        <v>1.1192042980299706</v>
      </c>
      <c r="UP27" s="27">
        <f>PortfolioFrontier[[#This Row],[P140 Growth]]/PortfolioFrontier[[#This Row],[P140 HWM]]-1</f>
        <v>-2.9365915256753139E-2</v>
      </c>
      <c r="UQ27" s="28">
        <f>SUMPRODUCT(INDEX(PortfolioRef[[SPY]:[PE]],MATCH(UQ$1,PortfolioRef[Reference '#]),0),AssetMonthlyReturns[[#This Row],[SPY]:[PE]])</f>
        <v>8.0369790751808386E-3</v>
      </c>
      <c r="UR27" s="27">
        <f>IF(ISNUMBER(UR26),UR26*(1+PortfolioFrontier[[#This Row],[P141 Return]]),1+PortfolioFrontier[[#This Row],[P141 Return]])</f>
        <v>1.0852824475455951</v>
      </c>
      <c r="US27" s="27">
        <f>MAX(US26,PortfolioFrontier[[#This Row],[P141 Growth]])</f>
        <v>1.1160035858106589</v>
      </c>
      <c r="UT27" s="27">
        <f>PortfolioFrontier[[#This Row],[P141 Growth]]/PortfolioFrontier[[#This Row],[P141 HWM]]-1</f>
        <v>-2.7527813221808084E-2</v>
      </c>
    </row>
    <row r="28" spans="2:566" x14ac:dyDescent="0.2">
      <c r="B28" s="41">
        <f>AssetMonthlyReturns[[#This Row],[Date]]</f>
        <v>43221</v>
      </c>
      <c r="C28" s="28">
        <f>SUMPRODUCT(INDEX(PortfolioRef[[SPY]:[PE]],MATCH(C$1,PortfolioRef[Reference '#]),0),AssetMonthlyReturns[[#This Row],[SPY]:[PE]])</f>
        <v>1.6233940202764321E-2</v>
      </c>
      <c r="D28" s="29">
        <f>IF(ISNUMBER(D27),D27*(1+PortfolioFrontier[[#This Row],[P1 Return]]),1+PortfolioFrontier[[#This Row],[P1 Return]])</f>
        <v>1.198016587872883</v>
      </c>
      <c r="E28" s="29">
        <f>MAX(E27,PortfolioFrontier[[#This Row],[P1 Growth]])</f>
        <v>1.2268807402593727</v>
      </c>
      <c r="F28" s="29">
        <f>PortfolioFrontier[[#This Row],[P1 Growth]]/PortfolioFrontier[[#This Row],[P1 HWM]]-1</f>
        <v>-2.3526453256074054E-2</v>
      </c>
      <c r="G28" s="28">
        <f>SUMPRODUCT(INDEX(PortfolioRef[[SPY]:[PE]],MATCH(G$1,PortfolioRef[Reference '#]),0),AssetMonthlyReturns[[#This Row],[SPY]:[PE]])</f>
        <v>1.5350587404955983E-2</v>
      </c>
      <c r="H28" s="27">
        <f>IF(ISNUMBER(H27),H27*(1+PortfolioFrontier[[#This Row],[P2 Return]]),1+PortfolioFrontier[[#This Row],[P2 Return]])</f>
        <v>1.1800534931634041</v>
      </c>
      <c r="I28" s="27">
        <f>MAX(I27,PortfolioFrontier[[#This Row],[P2 Growth]])</f>
        <v>1.2068315625281993</v>
      </c>
      <c r="J28" s="27">
        <f>PortfolioFrontier[[#This Row],[P2 Growth]]/PortfolioFrontier[[#This Row],[P2 HWM]]-1</f>
        <v>-2.2188738011373887E-2</v>
      </c>
      <c r="K28" s="28">
        <f>SUMPRODUCT(INDEX(PortfolioRef[[SPY]:[PE]],MATCH(K$1,PortfolioRef[Reference '#]),0),AssetMonthlyReturns[[#This Row],[SPY]:[PE]])</f>
        <v>1.4421598827530984E-2</v>
      </c>
      <c r="L28" s="27">
        <f>IF(ISNUMBER(L27),L27*(1+PortfolioFrontier[[#This Row],[P3 Return]]),1+PortfolioFrontier[[#This Row],[P3 Return]])</f>
        <v>1.179866927485264</v>
      </c>
      <c r="M28" s="27">
        <f>MAX(M27,PortfolioFrontier[[#This Row],[P3 Growth]])</f>
        <v>1.2083023864943216</v>
      </c>
      <c r="N28" s="27">
        <f>PortfolioFrontier[[#This Row],[P3 Growth]]/PortfolioFrontier[[#This Row],[P3 HWM]]-1</f>
        <v>-2.3533396380651217E-2</v>
      </c>
      <c r="O28" s="28">
        <f>SUMPRODUCT(INDEX(PortfolioRef[[SPY]:[PE]],MATCH(O$1,PortfolioRef[Reference '#]),0),AssetMonthlyReturns[[#This Row],[SPY]:[PE]])</f>
        <v>1.6859491222338808E-2</v>
      </c>
      <c r="P28" s="27">
        <f>IF(ISNUMBER(P27),P27*(1+PortfolioFrontier[[#This Row],[P4 Return]]),1+PortfolioFrontier[[#This Row],[P4 Return]])</f>
        <v>1.1829064386066184</v>
      </c>
      <c r="Q28" s="27">
        <f>MAX(Q27,PortfolioFrontier[[#This Row],[P4 Growth]])</f>
        <v>1.2089685098853755</v>
      </c>
      <c r="R28" s="27">
        <f>PortfolioFrontier[[#This Row],[P4 Growth]]/PortfolioFrontier[[#This Row],[P4 HWM]]-1</f>
        <v>-2.1557278841967675E-2</v>
      </c>
      <c r="S28" s="28">
        <f>SUMPRODUCT(INDEX(PortfolioRef[[SPY]:[PE]],MATCH(S$1,PortfolioRef[Reference '#]),0),AssetMonthlyReturns[[#This Row],[SPY]:[PE]])</f>
        <v>1.4718920583874135E-2</v>
      </c>
      <c r="T28" s="27">
        <f>IF(ISNUMBER(T27),T27*(1+PortfolioFrontier[[#This Row],[P5 Return]]),1+PortfolioFrontier[[#This Row],[P5 Return]])</f>
        <v>1.1790844795822721</v>
      </c>
      <c r="U28" s="27">
        <f>MAX(U27,PortfolioFrontier[[#This Row],[P5 Growth]])</f>
        <v>1.2053902876248646</v>
      </c>
      <c r="V28" s="27">
        <f>PortfolioFrontier[[#This Row],[P5 Growth]]/PortfolioFrontier[[#This Row],[P5 HWM]]-1</f>
        <v>-2.1823477684083659E-2</v>
      </c>
      <c r="W28" s="28">
        <f>SUMPRODUCT(INDEX(PortfolioRef[[SPY]:[PE]],MATCH(W$1,PortfolioRef[Reference '#]),0),AssetMonthlyReturns[[#This Row],[SPY]:[PE]])</f>
        <v>1.4467234607147651E-2</v>
      </c>
      <c r="X28" s="27">
        <f>IF(ISNUMBER(X27),X27*(1+PortfolioFrontier[[#This Row],[P6 Return]]),1+PortfolioFrontier[[#This Row],[P6 Return]])</f>
        <v>1.1623081238175728</v>
      </c>
      <c r="Y28" s="27">
        <f>MAX(Y27,PortfolioFrontier[[#This Row],[P6 Growth]])</f>
        <v>1.1870654596234402</v>
      </c>
      <c r="Z28" s="27">
        <f>PortfolioFrontier[[#This Row],[P6 Growth]]/PortfolioFrontier[[#This Row],[P6 HWM]]-1</f>
        <v>-2.0855914562387334E-2</v>
      </c>
      <c r="AA28" s="28">
        <f>SUMPRODUCT(INDEX(PortfolioRef[[SPY]:[PE]],MATCH(AA$1,PortfolioRef[Reference '#]),0),AssetMonthlyReturns[[#This Row],[SPY]:[PE]])</f>
        <v>1.353824602972265E-2</v>
      </c>
      <c r="AB28" s="27">
        <f>IF(ISNUMBER(AB27),AB27*(1+PortfolioFrontier[[#This Row],[P7 Return]]),1+PortfolioFrontier[[#This Row],[P7 Return]])</f>
        <v>1.1621187198506426</v>
      </c>
      <c r="AC28" s="27">
        <f>MAX(AC27,PortfolioFrontier[[#This Row],[P7 Growth]])</f>
        <v>1.1885066820011696</v>
      </c>
      <c r="AD28" s="27">
        <f>PortfolioFrontier[[#This Row],[P7 Growth]]/PortfolioFrontier[[#This Row],[P7 HWM]]-1</f>
        <v>-2.2202619934871382E-2</v>
      </c>
      <c r="AE28" s="28">
        <f>SUMPRODUCT(INDEX(PortfolioRef[[SPY]:[PE]],MATCH(AE$1,PortfolioRef[Reference '#]),0),AssetMonthlyReturns[[#This Row],[SPY]:[PE]])</f>
        <v>1.5976138424530474E-2</v>
      </c>
      <c r="AF28" s="27">
        <f>IF(ISNUMBER(AF27),AF27*(1+PortfolioFrontier[[#This Row],[P8 Return]]),1+PortfolioFrontier[[#This Row],[P8 Return]])</f>
        <v>1.1651332678627946</v>
      </c>
      <c r="AG28" s="27">
        <f>MAX(AG27,PortfolioFrontier[[#This Row],[P8 Growth]])</f>
        <v>1.1891774250084055</v>
      </c>
      <c r="AH28" s="27">
        <f>PortfolioFrontier[[#This Row],[P8 Growth]]/PortfolioFrontier[[#This Row],[P8 HWM]]-1</f>
        <v>-2.0219150347090542E-2</v>
      </c>
      <c r="AI28" s="28">
        <f>SUMPRODUCT(INDEX(PortfolioRef[[SPY]:[PE]],MATCH(AI$1,PortfolioRef[Reference '#]),0),AssetMonthlyReturns[[#This Row],[SPY]:[PE]])</f>
        <v>1.3835567786065801E-2</v>
      </c>
      <c r="AJ28" s="27">
        <f>IF(ISNUMBER(AJ27),AJ27*(1+PortfolioFrontier[[#This Row],[P9 Return]]),1+PortfolioFrontier[[#This Row],[P9 Return]])</f>
        <v>1.1613633578070213</v>
      </c>
      <c r="AK28" s="27">
        <f>MAX(AK27,PortfolioFrontier[[#This Row],[P9 Growth]])</f>
        <v>1.1856558546826308</v>
      </c>
      <c r="AL28" s="27">
        <f>PortfolioFrontier[[#This Row],[P9 Growth]]/PortfolioFrontier[[#This Row],[P9 HWM]]-1</f>
        <v>-2.0488657631697049E-2</v>
      </c>
      <c r="AM28" s="28">
        <f>SUMPRODUCT(INDEX(PortfolioRef[[SPY]:[PE]],MATCH(AM$1,PortfolioRef[Reference '#]),0),AssetMonthlyReturns[[#This Row],[SPY]:[PE]])</f>
        <v>1.2609257452297649E-2</v>
      </c>
      <c r="AN28" s="27">
        <f>IF(ISNUMBER(AN27),AN27*(1+PortfolioFrontier[[#This Row],[P10 Return]]),1+PortfolioFrontier[[#This Row],[P10 Return]])</f>
        <v>1.161865369102957</v>
      </c>
      <c r="AO28" s="27">
        <f>MAX(AO27,PortfolioFrontier[[#This Row],[P10 Growth]])</f>
        <v>1.189885359414661</v>
      </c>
      <c r="AP28" s="27">
        <f>PortfolioFrontier[[#This Row],[P10 Growth]]/PortfolioFrontier[[#This Row],[P10 HWM]]-1</f>
        <v>-2.3548478926984862E-2</v>
      </c>
      <c r="AQ28" s="28">
        <f>SUMPRODUCT(INDEX(PortfolioRef[[SPY]:[PE]],MATCH(AQ$1,PortfolioRef[Reference '#]),0),AssetMonthlyReturns[[#This Row],[SPY]:[PE]])</f>
        <v>1.504714984710547E-2</v>
      </c>
      <c r="AR28" s="27">
        <f>IF(ISNUMBER(AR27),AR27*(1+PortfolioFrontier[[#This Row],[P11 Return]]),1+PortfolioFrontier[[#This Row],[P11 Return]])</f>
        <v>1.1649335077324736</v>
      </c>
      <c r="AS28" s="27">
        <f>MAX(AS27,PortfolioFrontier[[#This Row],[P11 Growth]])</f>
        <v>1.1906111681356153</v>
      </c>
      <c r="AT28" s="27">
        <f>PortfolioFrontier[[#This Row],[P11 Growth]]/PortfolioFrontier[[#This Row],[P11 HWM]]-1</f>
        <v>-2.1566789469437353E-2</v>
      </c>
      <c r="AU28" s="28">
        <f>SUMPRODUCT(INDEX(PortfolioRef[[SPY]:[PE]],MATCH(AU$1,PortfolioRef[Reference '#]),0),AssetMonthlyReturns[[#This Row],[SPY]:[PE]])</f>
        <v>1.29065792086408E-2</v>
      </c>
      <c r="AV28" s="27">
        <f>IF(ISNUMBER(AV27),AV27*(1+PortfolioFrontier[[#This Row],[P12 Return]]),1+PortfolioFrontier[[#This Row],[P12 Return]])</f>
        <v>1.1611941231556062</v>
      </c>
      <c r="AW28" s="27">
        <f>MAX(AW27,PortfolioFrontier[[#This Row],[P12 Growth]])</f>
        <v>1.1871159871654284</v>
      </c>
      <c r="AX28" s="27">
        <f>PortfolioFrontier[[#This Row],[P12 Growth]]/PortfolioFrontier[[#This Row],[P12 HWM]]-1</f>
        <v>-2.1835999422194607E-2</v>
      </c>
      <c r="AY28" s="28">
        <f>SUMPRODUCT(INDEX(PortfolioRef[[SPY]:[PE]],MATCH(AY$1,PortfolioRef[Reference '#]),0),AssetMonthlyReturns[[#This Row],[SPY]:[PE]])</f>
        <v>1.7485042241913298E-2</v>
      </c>
      <c r="AZ28" s="27">
        <f>IF(ISNUMBER(AZ27),AZ27*(1+PortfolioFrontier[[#This Row],[P13 Return]]),1+PortfolioFrontier[[#This Row],[P13 Return]])</f>
        <v>1.1679078371919283</v>
      </c>
      <c r="BA28" s="27">
        <f>MAX(BA27,PortfolioFrontier[[#This Row],[P13 Growth]])</f>
        <v>1.1912541040450171</v>
      </c>
      <c r="BB28" s="27">
        <f>PortfolioFrontier[[#This Row],[P13 Growth]]/PortfolioFrontier[[#This Row],[P13 HWM]]-1</f>
        <v>-1.9598057856686002E-2</v>
      </c>
      <c r="BC28" s="28">
        <f>SUMPRODUCT(INDEX(PortfolioRef[[SPY]:[PE]],MATCH(BC$1,PortfolioRef[Reference '#]),0),AssetMonthlyReturns[[#This Row],[SPY]:[PE]])</f>
        <v>1.5344471603448625E-2</v>
      </c>
      <c r="BD28" s="27">
        <f>IF(ISNUMBER(BD27),BD27*(1+PortfolioFrontier[[#This Row],[P14 Return]]),1+PortfolioFrontier[[#This Row],[P14 Return]])</f>
        <v>1.1641914653799481</v>
      </c>
      <c r="BE28" s="27">
        <f>MAX(BE27,PortfolioFrontier[[#This Row],[P14 Growth]])</f>
        <v>1.1877656683363773</v>
      </c>
      <c r="BF28" s="27">
        <f>PortfolioFrontier[[#This Row],[P14 Growth]]/PortfolioFrontier[[#This Row],[P14 HWM]]-1</f>
        <v>-1.9847520083189463E-2</v>
      </c>
      <c r="BG28" s="28">
        <f>SUMPRODUCT(INDEX(PortfolioRef[[SPY]:[PE]],MATCH(BG$1,PortfolioRef[Reference '#]),0),AssetMonthlyReturns[[#This Row],[SPY]:[PE]])</f>
        <v>1.320390096498395E-2</v>
      </c>
      <c r="BH28" s="27">
        <f>IF(ISNUMBER(BH27),BH27*(1+PortfolioFrontier[[#This Row],[P15 Return]]),1+PortfolioFrontier[[#This Row],[P15 Return]])</f>
        <v>1.1603865866571057</v>
      </c>
      <c r="BI28" s="27">
        <f>MAX(BI27,PortfolioFrontier[[#This Row],[P15 Growth]])</f>
        <v>1.1842195166350118</v>
      </c>
      <c r="BJ28" s="27">
        <f>PortfolioFrontier[[#This Row],[P15 Growth]]/PortfolioFrontier[[#This Row],[P15 HWM]]-1</f>
        <v>-2.0125432525912035E-2</v>
      </c>
      <c r="BK28" s="28">
        <f>SUMPRODUCT(INDEX(PortfolioRef[[SPY]:[PE]],MATCH(BK$1,PortfolioRef[Reference '#]),0),AssetMonthlyReturns[[#This Row],[SPY]:[PE]])</f>
        <v>1.3583881809339317E-2</v>
      </c>
      <c r="BL28" s="27">
        <f>IF(ISNUMBER(BL27),BL27*(1+PortfolioFrontier[[#This Row],[P16 Return]]),1+PortfolioFrontier[[#This Row],[P16 Return]])</f>
        <v>1.1447785793986378</v>
      </c>
      <c r="BM28" s="27">
        <f>MAX(BM27,PortfolioFrontier[[#This Row],[P16 Growth]])</f>
        <v>1.1675790550962819</v>
      </c>
      <c r="BN28" s="27">
        <f>PortfolioFrontier[[#This Row],[P16 Growth]]/PortfolioFrontier[[#This Row],[P16 HWM]]-1</f>
        <v>-1.9527993070896477E-2</v>
      </c>
      <c r="BO28" s="28">
        <f>SUMPRODUCT(INDEX(PortfolioRef[[SPY]:[PE]],MATCH(BO$1,PortfolioRef[Reference '#]),0),AssetMonthlyReturns[[#This Row],[SPY]:[PE]])</f>
        <v>1.2654893231914316E-2</v>
      </c>
      <c r="BP28" s="27">
        <f>IF(ISNUMBER(BP27),BP27*(1+PortfolioFrontier[[#This Row],[P17 Return]]),1+PortfolioFrontier[[#This Row],[P17 Return]])</f>
        <v>1.1445864782860189</v>
      </c>
      <c r="BQ28" s="27">
        <f>MAX(BQ27,PortfolioFrontier[[#This Row],[P17 Growth]])</f>
        <v>1.1689912062359162</v>
      </c>
      <c r="BR28" s="27">
        <f>PortfolioFrontier[[#This Row],[P17 Growth]]/PortfolioFrontier[[#This Row],[P17 HWM]]-1</f>
        <v>-2.0876742117230451E-2</v>
      </c>
      <c r="BS28" s="28">
        <f>SUMPRODUCT(INDEX(PortfolioRef[[SPY]:[PE]],MATCH(BS$1,PortfolioRef[Reference '#]),0),AssetMonthlyReturns[[#This Row],[SPY]:[PE]])</f>
        <v>1.5092785626722139E-2</v>
      </c>
      <c r="BT28" s="27">
        <f>IF(ISNUMBER(BT27),BT27*(1+PortfolioFrontier[[#This Row],[P18 Return]]),1+PortfolioFrontier[[#This Row],[P18 Return]])</f>
        <v>1.1475760200241178</v>
      </c>
      <c r="BU28" s="27">
        <f>MAX(BU27,PortfolioFrontier[[#This Row],[P18 Growth]])</f>
        <v>1.1696662339297583</v>
      </c>
      <c r="BV28" s="27">
        <f>PortfolioFrontier[[#This Row],[P18 Growth]]/PortfolioFrontier[[#This Row],[P18 HWM]]-1</f>
        <v>-1.8885912292623375E-2</v>
      </c>
      <c r="BW28" s="28">
        <f>SUMPRODUCT(INDEX(PortfolioRef[[SPY]:[PE]],MATCH(BW$1,PortfolioRef[Reference '#]),0),AssetMonthlyReturns[[#This Row],[SPY]:[PE]])</f>
        <v>1.2952214988257467E-2</v>
      </c>
      <c r="BX28" s="27">
        <f>IF(ISNUMBER(BX27),BX27*(1+PortfolioFrontier[[#This Row],[P19 Return]]),1+PortfolioFrontier[[#This Row],[P19 Return]])</f>
        <v>1.1438576189061014</v>
      </c>
      <c r="BY28" s="27">
        <f>MAX(BY27,PortfolioFrontier[[#This Row],[P19 Growth]])</f>
        <v>1.1662005542564946</v>
      </c>
      <c r="BZ28" s="27">
        <f>PortfolioFrontier[[#This Row],[P19 Growth]]/PortfolioFrontier[[#This Row],[P19 HWM]]-1</f>
        <v>-1.9158741838051885E-2</v>
      </c>
      <c r="CA28" s="28">
        <f>SUMPRODUCT(INDEX(PortfolioRef[[SPY]:[PE]],MATCH(CA$1,PortfolioRef[Reference '#]),0),AssetMonthlyReturns[[#This Row],[SPY]:[PE]])</f>
        <v>1.1725904654489316E-2</v>
      </c>
      <c r="CB28" s="27">
        <f>IF(ISNUMBER(CB27),CB27*(1+PortfolioFrontier[[#This Row],[P20 Return]]),1+PortfolioFrontier[[#This Row],[P20 Return]])</f>
        <v>1.1443312854214678</v>
      </c>
      <c r="CC28" s="27">
        <f>MAX(CC27,PortfolioFrontier[[#This Row],[P20 Growth]])</f>
        <v>1.1703417133724241</v>
      </c>
      <c r="CD28" s="27">
        <f>PortfolioFrontier[[#This Row],[P20 Growth]]/PortfolioFrontier[[#This Row],[P20 HWM]]-1</f>
        <v>-2.2224644011025974E-2</v>
      </c>
      <c r="CE28" s="28">
        <f>SUMPRODUCT(INDEX(PortfolioRef[[SPY]:[PE]],MATCH(CE$1,PortfolioRef[Reference '#]),0),AssetMonthlyReturns[[#This Row],[SPY]:[PE]])</f>
        <v>1.4163797049297138E-2</v>
      </c>
      <c r="CF28" s="27">
        <f>IF(ISNUMBER(CF27),CF27*(1+PortfolioFrontier[[#This Row],[P21 Return]]),1+PortfolioFrontier[[#This Row],[P21 Return]])</f>
        <v>1.147373736080048</v>
      </c>
      <c r="CG28" s="27">
        <f>MAX(CG27,PortfolioFrontier[[#This Row],[P21 Growth]])</f>
        <v>1.1710710579078392</v>
      </c>
      <c r="CH28" s="27">
        <f>PortfolioFrontier[[#This Row],[P21 Growth]]/PortfolioFrontier[[#This Row],[P21 HWM]]-1</f>
        <v>-2.0235596864742966E-2</v>
      </c>
      <c r="CI28" s="28">
        <f>SUMPRODUCT(INDEX(PortfolioRef[[SPY]:[PE]],MATCH(CI$1,PortfolioRef[Reference '#]),0),AssetMonthlyReturns[[#This Row],[SPY]:[PE]])</f>
        <v>1.2023226410832467E-2</v>
      </c>
      <c r="CJ28" s="27">
        <f>IF(ISNUMBER(CJ27),CJ27*(1+PortfolioFrontier[[#This Row],[P22 Return]]),1+PortfolioFrontier[[#This Row],[P22 Return]])</f>
        <v>1.1436854076651097</v>
      </c>
      <c r="CK28" s="27">
        <f>MAX(CK27,PortfolioFrontier[[#This Row],[P22 Growth]])</f>
        <v>1.1676313457678775</v>
      </c>
      <c r="CL28" s="27">
        <f>PortfolioFrontier[[#This Row],[P22 Growth]]/PortfolioFrontier[[#This Row],[P22 HWM]]-1</f>
        <v>-2.050813228812387E-2</v>
      </c>
      <c r="CM28" s="28">
        <f>SUMPRODUCT(INDEX(PortfolioRef[[SPY]:[PE]],MATCH(CM$1,PortfolioRef[Reference '#]),0),AssetMonthlyReturns[[#This Row],[SPY]:[PE]])</f>
        <v>1.6601689444104964E-2</v>
      </c>
      <c r="CN28" s="27">
        <f>IF(ISNUMBER(CN27),CN27*(1+PortfolioFrontier[[#This Row],[P23 Return]]),1+PortfolioFrontier[[#This Row],[P23 Return]])</f>
        <v>1.1503237075370278</v>
      </c>
      <c r="CO28" s="27">
        <f>MAX(CO27,PortfolioFrontier[[#This Row],[P23 Growth]])</f>
        <v>1.1717186984791552</v>
      </c>
      <c r="CP28" s="27">
        <f>PortfolioFrontier[[#This Row],[P23 Growth]]/PortfolioFrontier[[#This Row],[P23 HWM]]-1</f>
        <v>-1.8259494339295967E-2</v>
      </c>
      <c r="CQ28" s="28">
        <f>SUMPRODUCT(INDEX(PortfolioRef[[SPY]:[PE]],MATCH(CQ$1,PortfolioRef[Reference '#]),0),AssetMonthlyReturns[[#This Row],[SPY]:[PE]])</f>
        <v>1.4461118805640289E-2</v>
      </c>
      <c r="CR28" s="27">
        <f>IF(ISNUMBER(CR27),CR27*(1+PortfolioFrontier[[#This Row],[P24 Return]]),1+PortfolioFrontier[[#This Row],[P24 Return]])</f>
        <v>1.1466579632582878</v>
      </c>
      <c r="CS28" s="27">
        <f>MAX(CS27,PortfolioFrontier[[#This Row],[P24 Growth]])</f>
        <v>1.1682856099250332</v>
      </c>
      <c r="CT28" s="27">
        <f>PortfolioFrontier[[#This Row],[P24 Growth]]/PortfolioFrontier[[#This Row],[P24 HWM]]-1</f>
        <v>-1.851229398274723E-2</v>
      </c>
      <c r="CU28" s="28">
        <f>SUMPRODUCT(INDEX(PortfolioRef[[SPY]:[PE]],MATCH(CU$1,PortfolioRef[Reference '#]),0),AssetMonthlyReturns[[#This Row],[SPY]:[PE]])</f>
        <v>1.2320548167175616E-2</v>
      </c>
      <c r="CV28" s="27">
        <f>IF(ISNUMBER(CV27),CV27*(1+PortfolioFrontier[[#This Row],[P25 Return]]),1+PortfolioFrontier[[#This Row],[P25 Return]])</f>
        <v>1.1429050847564339</v>
      </c>
      <c r="CW28" s="27">
        <f>MAX(CW27,PortfolioFrontier[[#This Row],[P25 Growth]])</f>
        <v>1.1647956979796028</v>
      </c>
      <c r="CX28" s="27">
        <f>PortfolioFrontier[[#This Row],[P25 Growth]]/PortfolioFrontier[[#This Row],[P25 HWM]]-1</f>
        <v>-1.879352169752968E-2</v>
      </c>
      <c r="CY28" s="28">
        <f>SUMPRODUCT(INDEX(PortfolioRef[[SPY]:[PE]],MATCH(CY$1,PortfolioRef[Reference '#]),0),AssetMonthlyReturns[[#This Row],[SPY]:[PE]])</f>
        <v>1.3234808471872139E-2</v>
      </c>
      <c r="CZ28" s="27">
        <f>IF(ISNUMBER(CZ27),CZ27*(1+PortfolioFrontier[[#This Row],[P26 Return]]),1+PortfolioFrontier[[#This Row],[P26 Return]])</f>
        <v>1.147108290455995</v>
      </c>
      <c r="DA28" s="27">
        <f>MAX(DA27,PortfolioFrontier[[#This Row],[P26 Growth]])</f>
        <v>1.1724141851433634</v>
      </c>
      <c r="DB28" s="27">
        <f>PortfolioFrontier[[#This Row],[P26 Growth]]/PortfolioFrontier[[#This Row],[P26 HWM]]-1</f>
        <v>-2.1584432368731421E-2</v>
      </c>
      <c r="DC28" s="28">
        <f>SUMPRODUCT(INDEX(PortfolioRef[[SPY]:[PE]],MATCH(DC$1,PortfolioRef[Reference '#]),0),AssetMonthlyReturns[[#This Row],[SPY]:[PE]])</f>
        <v>1.1094237833407468E-2</v>
      </c>
      <c r="DD28" s="27">
        <f>IF(ISNUMBER(DD27),DD27*(1+PortfolioFrontier[[#This Row],[P27 Return]]),1+PortfolioFrontier[[#This Row],[P27 Return]])</f>
        <v>1.1434501504328383</v>
      </c>
      <c r="DE28" s="27">
        <f>MAX(DE27,PortfolioFrontier[[#This Row],[P27 Growth]])</f>
        <v>1.1690006176368444</v>
      </c>
      <c r="DF28" s="27">
        <f>PortfolioFrontier[[#This Row],[P27 Growth]]/PortfolioFrontier[[#This Row],[P27 HWM]]-1</f>
        <v>-2.1856675538509784E-2</v>
      </c>
      <c r="DG28" s="28">
        <f>SUMPRODUCT(INDEX(PortfolioRef[[SPY]:[PE]],MATCH(DG$1,PortfolioRef[Reference '#]),0),AssetMonthlyReturns[[#This Row],[SPY]:[PE]])</f>
        <v>1.5672700866679962E-2</v>
      </c>
      <c r="DH28" s="27">
        <f>IF(ISNUMBER(DH27),DH27*(1+PortfolioFrontier[[#This Row],[P28 Return]]),1+PortfolioFrontier[[#This Row],[P28 Return]])</f>
        <v>1.1501112068709327</v>
      </c>
      <c r="DI28" s="27">
        <f>MAX(DI27,PortfolioFrontier[[#This Row],[P28 Growth]])</f>
        <v>1.1731161392403724</v>
      </c>
      <c r="DJ28" s="27">
        <f>PortfolioFrontier[[#This Row],[P28 Growth]]/PortfolioFrontier[[#This Row],[P28 HWM]]-1</f>
        <v>-1.9610106450616227E-2</v>
      </c>
      <c r="DK28" s="28">
        <f>SUMPRODUCT(INDEX(PortfolioRef[[SPY]:[PE]],MATCH(DK$1,PortfolioRef[Reference '#]),0),AssetMonthlyReturns[[#This Row],[SPY]:[PE]])</f>
        <v>1.3532130228215289E-2</v>
      </c>
      <c r="DL28" s="27">
        <f>IF(ISNUMBER(DL27),DL27*(1+PortfolioFrontier[[#This Row],[P29 Return]]),1+PortfolioFrontier[[#This Row],[P29 Return]])</f>
        <v>1.1464756289120905</v>
      </c>
      <c r="DM28" s="27">
        <f>MAX(DM27,PortfolioFrontier[[#This Row],[P29 Growth]])</f>
        <v>1.1697091182407624</v>
      </c>
      <c r="DN28" s="27">
        <f>PortfolioFrontier[[#This Row],[P29 Growth]]/PortfolioFrontier[[#This Row],[P29 HWM]]-1</f>
        <v>-1.9862621370016265E-2</v>
      </c>
      <c r="DO28" s="28">
        <f>SUMPRODUCT(INDEX(PortfolioRef[[SPY]:[PE]],MATCH(DO$1,PortfolioRef[Reference '#]),0),AssetMonthlyReturns[[#This Row],[SPY]:[PE]])</f>
        <v>1.1391559589750615E-2</v>
      </c>
      <c r="DP28" s="27">
        <f>IF(ISNUMBER(DP27),DP27*(1+PortfolioFrontier[[#This Row],[P30 Return]]),1+PortfolioFrontier[[#This Row],[P30 Return]])</f>
        <v>1.1427527355856941</v>
      </c>
      <c r="DQ28" s="27">
        <f>MAX(DQ27,PortfolioFrontier[[#This Row],[P30 Growth]])</f>
        <v>1.1662450508702933</v>
      </c>
      <c r="DR28" s="27">
        <f>PortfolioFrontier[[#This Row],[P30 Growth]]/PortfolioFrontier[[#This Row],[P30 HWM]]-1</f>
        <v>-2.0143549820055728E-2</v>
      </c>
      <c r="DS28" s="28">
        <f>SUMPRODUCT(INDEX(PortfolioRef[[SPY]:[PE]],MATCH(DS$1,PortfolioRef[Reference '#]),0),AssetMonthlyReturns[[#This Row],[SPY]:[PE]])</f>
        <v>1.8110593261487784E-2</v>
      </c>
      <c r="DT28" s="27">
        <f>IF(ISNUMBER(DT27),DT27*(1+PortfolioFrontier[[#This Row],[P31 Return]]),1+PortfolioFrontier[[#This Row],[P31 Return]])</f>
        <v>1.1530211967246629</v>
      </c>
      <c r="DU28" s="27">
        <f>MAX(DU27,PortfolioFrontier[[#This Row],[P31 Growth]])</f>
        <v>1.1737362663438942</v>
      </c>
      <c r="DV28" s="27">
        <f>PortfolioFrontier[[#This Row],[P31 Growth]]/PortfolioFrontier[[#This Row],[P31 HWM]]-1</f>
        <v>-1.7648828116862525E-2</v>
      </c>
      <c r="DW28" s="28">
        <f>SUMPRODUCT(INDEX(PortfolioRef[[SPY]:[PE]],MATCH(DW$1,PortfolioRef[Reference '#]),0),AssetMonthlyReturns[[#This Row],[SPY]:[PE]])</f>
        <v>1.5970022623023113E-2</v>
      </c>
      <c r="DX28" s="27">
        <f>IF(ISNUMBER(DX27),DX27*(1+PortfolioFrontier[[#This Row],[P32 Return]]),1+PortfolioFrontier[[#This Row],[P32 Return]])</f>
        <v>1.1494086551208684</v>
      </c>
      <c r="DY28" s="27">
        <f>MAX(DY27,PortfolioFrontier[[#This Row],[P32 Growth]])</f>
        <v>1.1703360044096791</v>
      </c>
      <c r="DZ28" s="27">
        <f>PortfolioFrontier[[#This Row],[P32 Growth]]/PortfolioFrontier[[#This Row],[P32 HWM]]-1</f>
        <v>-1.7881488059804274E-2</v>
      </c>
      <c r="EA28" s="28">
        <f>SUMPRODUCT(INDEX(PortfolioRef[[SPY]:[PE]],MATCH(EA$1,PortfolioRef[Reference '#]),0),AssetMonthlyReturns[[#This Row],[SPY]:[PE]])</f>
        <v>1.3829451984558438E-2</v>
      </c>
      <c r="EB28" s="27">
        <f>IF(ISNUMBER(EB27),EB27*(1+PortfolioFrontier[[#This Row],[P33 Return]]),1+PortfolioFrontier[[#This Row],[P33 Return]])</f>
        <v>1.1457082457132555</v>
      </c>
      <c r="EC28" s="27">
        <f>MAX(EC27,PortfolioFrontier[[#This Row],[P33 Growth]])</f>
        <v>1.1668785804544068</v>
      </c>
      <c r="ED28" s="27">
        <f>PortfolioFrontier[[#This Row],[P33 Growth]]/PortfolioFrontier[[#This Row],[P33 HWM]]-1</f>
        <v>-1.8142705758560806E-2</v>
      </c>
      <c r="EE28" s="28">
        <f>SUMPRODUCT(INDEX(PortfolioRef[[SPY]:[PE]],MATCH(EE$1,PortfolioRef[Reference '#]),0),AssetMonthlyReturns[[#This Row],[SPY]:[PE]])</f>
        <v>1.2700529011530981E-2</v>
      </c>
      <c r="EF28" s="27">
        <f>IF(ISNUMBER(EF27),EF27*(1+PortfolioFrontier[[#This Row],[P34 Return]]),1+PortfolioFrontier[[#This Row],[P34 Return]])</f>
        <v>1.127462966249118</v>
      </c>
      <c r="EG28" s="27">
        <f>MAX(EG27,PortfolioFrontier[[#This Row],[P34 Growth]])</f>
        <v>1.1483690052171158</v>
      </c>
      <c r="EH28" s="27">
        <f>PortfolioFrontier[[#This Row],[P34 Growth]]/PortfolioFrontier[[#This Row],[P34 HWM]]-1</f>
        <v>-1.8204983653355544E-2</v>
      </c>
      <c r="EI28" s="28">
        <f>SUMPRODUCT(INDEX(PortfolioRef[[SPY]:[PE]],MATCH(EI$1,PortfolioRef[Reference '#]),0),AssetMonthlyReturns[[#This Row],[SPY]:[PE]])</f>
        <v>1.1771540434105981E-2</v>
      </c>
      <c r="EJ28" s="27">
        <f>IF(ISNUMBER(EJ27),EJ27*(1+PortfolioFrontier[[#This Row],[P35 Return]]),1+PortfolioFrontier[[#This Row],[P35 Return]])</f>
        <v>1.1272683060780739</v>
      </c>
      <c r="EK28" s="27">
        <f>MAX(EK27,PortfolioFrontier[[#This Row],[P35 Growth]])</f>
        <v>1.1497526071106701</v>
      </c>
      <c r="EL28" s="27">
        <f>PortfolioFrontier[[#This Row],[P35 Growth]]/PortfolioFrontier[[#This Row],[P35 HWM]]-1</f>
        <v>-1.9555773036339708E-2</v>
      </c>
      <c r="EM28" s="28">
        <f>SUMPRODUCT(INDEX(PortfolioRef[[SPY]:[PE]],MATCH(EM$1,PortfolioRef[Reference '#]),0),AssetMonthlyReturns[[#This Row],[SPY]:[PE]])</f>
        <v>1.4209432828913803E-2</v>
      </c>
      <c r="EN28" s="27">
        <f>IF(ISNUMBER(EN27),EN27*(1+PortfolioFrontier[[#This Row],[P36 Return]]),1+PortfolioFrontier[[#This Row],[P36 Return]])</f>
        <v>1.1302328037683496</v>
      </c>
      <c r="EO28" s="27">
        <f>MAX(EO27,PortfolioFrontier[[#This Row],[P36 Growth]])</f>
        <v>1.1504315925702473</v>
      </c>
      <c r="EP28" s="27">
        <f>PortfolioFrontier[[#This Row],[P36 Growth]]/PortfolioFrontier[[#This Row],[P36 HWM]]-1</f>
        <v>-1.7557574854816349E-2</v>
      </c>
      <c r="EQ28" s="28">
        <f>SUMPRODUCT(INDEX(PortfolioRef[[SPY]:[PE]],MATCH(EQ$1,PortfolioRef[Reference '#]),0),AssetMonthlyReturns[[#This Row],[SPY]:[PE]])</f>
        <v>1.2068862190449132E-2</v>
      </c>
      <c r="ER28" s="27">
        <f>IF(ISNUMBER(ER27),ER27*(1+PortfolioFrontier[[#This Row],[P37 Return]]),1+PortfolioFrontier[[#This Row],[P37 Return]])</f>
        <v>1.126565375252643</v>
      </c>
      <c r="ES28" s="27">
        <f>MAX(ES27,PortfolioFrontier[[#This Row],[P37 Growth]])</f>
        <v>1.1470210509345575</v>
      </c>
      <c r="ET28" s="27">
        <f>PortfolioFrontier[[#This Row],[P37 Growth]]/PortfolioFrontier[[#This Row],[P37 HWM]]-1</f>
        <v>-1.7833740422852684E-2</v>
      </c>
      <c r="EU28" s="28">
        <f>SUMPRODUCT(INDEX(PortfolioRef[[SPY]:[PE]],MATCH(EU$1,PortfolioRef[Reference '#]),0),AssetMonthlyReturns[[#This Row],[SPY]:[PE]])</f>
        <v>1.084255185668098E-2</v>
      </c>
      <c r="EV28" s="27">
        <f>IF(ISNUMBER(EV27),EV27*(1+PortfolioFrontier[[#This Row],[P38 Return]]),1+PortfolioFrontier[[#This Row],[P38 Return]])</f>
        <v>1.1270113996456637</v>
      </c>
      <c r="EW28" s="27">
        <f>MAX(EW27,PortfolioFrontier[[#This Row],[P38 Growth]])</f>
        <v>1.1510754544616619</v>
      </c>
      <c r="EX28" s="27">
        <f>PortfolioFrontier[[#This Row],[P38 Growth]]/PortfolioFrontier[[#This Row],[P38 HWM]]-1</f>
        <v>-2.0905714497450267E-2</v>
      </c>
      <c r="EY28" s="28">
        <f>SUMPRODUCT(INDEX(PortfolioRef[[SPY]:[PE]],MATCH(EY$1,PortfolioRef[Reference '#]),0),AssetMonthlyReturns[[#This Row],[SPY]:[PE]])</f>
        <v>1.3280444251488803E-2</v>
      </c>
      <c r="EZ28" s="27">
        <f>IF(ISNUMBER(EZ27),EZ27*(1+PortfolioFrontier[[#This Row],[P39 Return]]),1+PortfolioFrontier[[#This Row],[P39 Return]])</f>
        <v>1.1300281316430953</v>
      </c>
      <c r="FA28" s="27">
        <f>MAX(FA27,PortfolioFrontier[[#This Row],[P39 Growth]])</f>
        <v>1.1518080167597544</v>
      </c>
      <c r="FB28" s="27">
        <f>PortfolioFrontier[[#This Row],[P39 Growth]]/PortfolioFrontier[[#This Row],[P39 HWM]]-1</f>
        <v>-1.8909301550036006E-2</v>
      </c>
      <c r="FC28" s="28">
        <f>SUMPRODUCT(INDEX(PortfolioRef[[SPY]:[PE]],MATCH(FC$1,PortfolioRef[Reference '#]),0),AssetMonthlyReturns[[#This Row],[SPY]:[PE]])</f>
        <v>1.1139873613024131E-2</v>
      </c>
      <c r="FD28" s="27">
        <f>IF(ISNUMBER(FD27),FD27*(1+PortfolioFrontier[[#This Row],[P40 Return]]),1+PortfolioFrontier[[#This Row],[P40 Return]])</f>
        <v>1.1263903286338885</v>
      </c>
      <c r="FE28" s="27">
        <f>MAX(FE27,PortfolioFrontier[[#This Row],[P40 Growth]])</f>
        <v>1.1484230267516922</v>
      </c>
      <c r="FF28" s="27">
        <f>PortfolioFrontier[[#This Row],[P40 Growth]]/PortfolioFrontier[[#This Row],[P40 HWM]]-1</f>
        <v>-1.9185176197766607E-2</v>
      </c>
      <c r="FG28" s="28">
        <f>SUMPRODUCT(INDEX(PortfolioRef[[SPY]:[PE]],MATCH(FG$1,PortfolioRef[Reference '#]),0),AssetMonthlyReturns[[#This Row],[SPY]:[PE]])</f>
        <v>1.5718336646296627E-2</v>
      </c>
      <c r="FH28" s="27">
        <f>IF(ISNUMBER(FH27),FH27*(1+PortfolioFrontier[[#This Row],[P41 Return]]),1+PortfolioFrontier[[#This Row],[P41 Return]])</f>
        <v>1.1329536987326305</v>
      </c>
      <c r="FI28" s="27">
        <f>MAX(FI27,PortfolioFrontier[[#This Row],[P41 Growth]])</f>
        <v>1.1524600296639902</v>
      </c>
      <c r="FJ28" s="27">
        <f>PortfolioFrontier[[#This Row],[P41 Growth]]/PortfolioFrontier[[#This Row],[P41 HWM]]-1</f>
        <v>-1.6925819923704344E-2</v>
      </c>
      <c r="FK28" s="28">
        <f>SUMPRODUCT(INDEX(PortfolioRef[[SPY]:[PE]],MATCH(FK$1,PortfolioRef[Reference '#]),0),AssetMonthlyReturns[[#This Row],[SPY]:[PE]])</f>
        <v>1.3577766007831954E-2</v>
      </c>
      <c r="FL28" s="27">
        <f>IF(ISNUMBER(FL27),FL27*(1+PortfolioFrontier[[#This Row],[P42 Return]]),1+PortfolioFrontier[[#This Row],[P42 Return]])</f>
        <v>1.1293380580228287</v>
      </c>
      <c r="FM28" s="27">
        <f>MAX(FM27,PortfolioFrontier[[#This Row],[P42 Growth]])</f>
        <v>1.1490815435391966</v>
      </c>
      <c r="FN28" s="27">
        <f>PortfolioFrontier[[#This Row],[P42 Growth]]/PortfolioFrontier[[#This Row],[P42 HWM]]-1</f>
        <v>-1.7181970789955869E-2</v>
      </c>
      <c r="FO28" s="28">
        <f>SUMPRODUCT(INDEX(PortfolioRef[[SPY]:[PE]],MATCH(FO$1,PortfolioRef[Reference '#]),0),AssetMonthlyReturns[[#This Row],[SPY]:[PE]])</f>
        <v>1.1437195369367281E-2</v>
      </c>
      <c r="FP28" s="27">
        <f>IF(ISNUMBER(FP27),FP27*(1+PortfolioFrontier[[#This Row],[P43 Return]]),1+PortfolioFrontier[[#This Row],[P43 Return]])</f>
        <v>1.1256366375441682</v>
      </c>
      <c r="FQ28" s="27">
        <f>MAX(FQ27,PortfolioFrontier[[#This Row],[P43 Growth]])</f>
        <v>1.1456471144468676</v>
      </c>
      <c r="FR28" s="27">
        <f>PortfolioFrontier[[#This Row],[P43 Growth]]/PortfolioFrontier[[#This Row],[P43 HWM]]-1</f>
        <v>-1.7466527563647527E-2</v>
      </c>
      <c r="FS28" s="28">
        <f>SUMPRODUCT(INDEX(PortfolioRef[[SPY]:[PE]],MATCH(FS$1,PortfolioRef[Reference '#]),0),AssetMonthlyReturns[[#This Row],[SPY]:[PE]])</f>
        <v>1.2351455674063804E-2</v>
      </c>
      <c r="FT28" s="27">
        <f>IF(ISNUMBER(FT27),FT27*(1+PortfolioFrontier[[#This Row],[P44 Return]]),1+PortfolioFrontier[[#This Row],[P44 Return]])</f>
        <v>1.1297611433677317</v>
      </c>
      <c r="FU28" s="27">
        <f>MAX(FU27,PortfolioFrontier[[#This Row],[P44 Growth]])</f>
        <v>1.153123633915536</v>
      </c>
      <c r="FV28" s="27">
        <f>PortfolioFrontier[[#This Row],[P44 Growth]]/PortfolioFrontier[[#This Row],[P44 HWM]]-1</f>
        <v>-2.0260178406434015E-2</v>
      </c>
      <c r="FW28" s="28">
        <f>SUMPRODUCT(INDEX(PortfolioRef[[SPY]:[PE]],MATCH(FW$1,PortfolioRef[Reference '#]),0),AssetMonthlyReturns[[#This Row],[SPY]:[PE]])</f>
        <v>1.0210885035599132E-2</v>
      </c>
      <c r="FX28" s="27">
        <f>IF(ISNUMBER(FX27),FX27*(1+PortfolioFrontier[[#This Row],[P45 Return]]),1+PortfolioFrontier[[#This Row],[P45 Return]])</f>
        <v>1.1261530804889568</v>
      </c>
      <c r="FY28" s="27">
        <f>MAX(FY27,PortfolioFrontier[[#This Row],[P45 Growth]])</f>
        <v>1.1497643702533042</v>
      </c>
      <c r="FZ28" s="27">
        <f>PortfolioFrontier[[#This Row],[P45 Growth]]/PortfolioFrontier[[#This Row],[P45 HWM]]-1</f>
        <v>-2.0535764001058499E-2</v>
      </c>
      <c r="GA28" s="28">
        <f>SUMPRODUCT(INDEX(PortfolioRef[[SPY]:[PE]],MATCH(GA$1,PortfolioRef[Reference '#]),0),AssetMonthlyReturns[[#This Row],[SPY]:[PE]])</f>
        <v>1.4789348068871626E-2</v>
      </c>
      <c r="GB28" s="27">
        <f>IF(ISNUMBER(GB27),GB27*(1+PortfolioFrontier[[#This Row],[P46 Return]]),1+PortfolioFrontier[[#This Row],[P46 Return]])</f>
        <v>1.1327389814375826</v>
      </c>
      <c r="GC28" s="27">
        <f>MAX(GC27,PortfolioFrontier[[#This Row],[P46 Growth]])</f>
        <v>1.153829221094034</v>
      </c>
      <c r="GD28" s="27">
        <f>PortfolioFrontier[[#This Row],[P46 Growth]]/PortfolioFrontier[[#This Row],[P46 HWM]]-1</f>
        <v>-1.8278475939839778E-2</v>
      </c>
      <c r="GE28" s="28">
        <f>SUMPRODUCT(INDEX(PortfolioRef[[SPY]:[PE]],MATCH(GE$1,PortfolioRef[Reference '#]),0),AssetMonthlyReturns[[#This Row],[SPY]:[PE]])</f>
        <v>1.2648777430406953E-2</v>
      </c>
      <c r="GF28" s="27">
        <f>IF(ISNUMBER(GF27),GF27*(1+PortfolioFrontier[[#This Row],[P47 Return]]),1+PortfolioFrontier[[#This Row],[P47 Return]])</f>
        <v>1.129153058443382</v>
      </c>
      <c r="GG28" s="27">
        <f>MAX(GG27,PortfolioFrontier[[#This Row],[P47 Growth]])</f>
        <v>1.1504763850012711</v>
      </c>
      <c r="GH28" s="27">
        <f>PortfolioFrontier[[#This Row],[P47 Growth]]/PortfolioFrontier[[#This Row],[P47 HWM]]-1</f>
        <v>-1.8534345281555287E-2</v>
      </c>
      <c r="GI28" s="28">
        <f>SUMPRODUCT(INDEX(PortfolioRef[[SPY]:[PE]],MATCH(GI$1,PortfolioRef[Reference '#]),0),AssetMonthlyReturns[[#This Row],[SPY]:[PE]])</f>
        <v>1.050820679194228E-2</v>
      </c>
      <c r="GJ28" s="27">
        <f>IF(ISNUMBER(GJ27),GJ27*(1+PortfolioFrontier[[#This Row],[P48 Return]]),1+PortfolioFrontier[[#This Row],[P48 Return]])</f>
        <v>1.1254811774794871</v>
      </c>
      <c r="GK28" s="27">
        <f>MAX(GK27,PortfolioFrontier[[#This Row],[P48 Growth]])</f>
        <v>1.1470673866868877</v>
      </c>
      <c r="GL28" s="27">
        <f>PortfolioFrontier[[#This Row],[P48 Growth]]/PortfolioFrontier[[#This Row],[P48 HWM]]-1</f>
        <v>-1.8818606001648086E-2</v>
      </c>
      <c r="GM28" s="28">
        <f>SUMPRODUCT(INDEX(PortfolioRef[[SPY]:[PE]],MATCH(GM$1,PortfolioRef[Reference '#]),0),AssetMonthlyReturns[[#This Row],[SPY]:[PE]])</f>
        <v>1.722724046367945E-2</v>
      </c>
      <c r="GN28" s="27">
        <f>IF(ISNUMBER(GN27),GN27*(1+PortfolioFrontier[[#This Row],[P49 Return]]),1+PortfolioFrontier[[#This Row],[P49 Return]])</f>
        <v>1.1356252111481495</v>
      </c>
      <c r="GO28" s="27">
        <f>MAX(GO27,PortfolioFrontier[[#This Row],[P49 Growth]])</f>
        <v>1.154454136188046</v>
      </c>
      <c r="GP28" s="27">
        <f>PortfolioFrontier[[#This Row],[P49 Growth]]/PortfolioFrontier[[#This Row],[P49 HWM]]-1</f>
        <v>-1.6309807769469997E-2</v>
      </c>
      <c r="GQ28" s="28">
        <f>SUMPRODUCT(INDEX(PortfolioRef[[SPY]:[PE]],MATCH(GQ$1,PortfolioRef[Reference '#]),0),AssetMonthlyReturns[[#This Row],[SPY]:[PE]])</f>
        <v>1.5086669825214777E-2</v>
      </c>
      <c r="GR28" s="27">
        <f>IF(ISNUMBER(GR27),GR27*(1+PortfolioFrontier[[#This Row],[P50 Return]]),1+PortfolioFrontier[[#This Row],[P50 Return]])</f>
        <v>1.1320618969003002</v>
      </c>
      <c r="GS28" s="27">
        <f>MAX(GS27,PortfolioFrontier[[#This Row],[P50 Growth]])</f>
        <v>1.1511079379430191</v>
      </c>
      <c r="GT28" s="27">
        <f>PortfolioFrontier[[#This Row],[P50 Growth]]/PortfolioFrontier[[#This Row],[P50 HWM]]-1</f>
        <v>-1.6545834161089457E-2</v>
      </c>
      <c r="GU28" s="28">
        <f>SUMPRODUCT(INDEX(PortfolioRef[[SPY]:[PE]],MATCH(GU$1,PortfolioRef[Reference '#]),0),AssetMonthlyReturns[[#This Row],[SPY]:[PE]])</f>
        <v>1.2946099186750102E-2</v>
      </c>
      <c r="GV28" s="27">
        <f>IF(ISNUMBER(GV27),GV27*(1+PortfolioFrontier[[#This Row],[P51 Return]]),1+PortfolioFrontier[[#This Row],[P51 Return]])</f>
        <v>1.1284120795088703</v>
      </c>
      <c r="GW28" s="27">
        <f>MAX(GW27,PortfolioFrontier[[#This Row],[P51 Growth]])</f>
        <v>1.1477054629234607</v>
      </c>
      <c r="GX28" s="27">
        <f>PortfolioFrontier[[#This Row],[P51 Growth]]/PortfolioFrontier[[#This Row],[P51 HWM]]-1</f>
        <v>-1.6810396079710022E-2</v>
      </c>
      <c r="GY28" s="28">
        <f>SUMPRODUCT(INDEX(PortfolioRef[[SPY]:[PE]],MATCH(GY$1,PortfolioRef[Reference '#]),0),AssetMonthlyReturns[[#This Row],[SPY]:[PE]])</f>
        <v>1.3860359491446627E-2</v>
      </c>
      <c r="GZ28" s="27">
        <f>IF(ISNUMBER(GZ27),GZ27*(1+PortfolioFrontier[[#This Row],[P52 Return]]),1+PortfolioFrontier[[#This Row],[P52 Return]])</f>
        <v>1.1324618807255336</v>
      </c>
      <c r="HA28" s="27">
        <f>MAX(HA27,PortfolioFrontier[[#This Row],[P52 Growth]])</f>
        <v>1.1551375545895033</v>
      </c>
      <c r="HB28" s="27">
        <f>PortfolioFrontier[[#This Row],[P52 Growth]]/PortfolioFrontier[[#This Row],[P52 HWM]]-1</f>
        <v>-1.9630280198125738E-2</v>
      </c>
      <c r="HC28" s="28">
        <f>SUMPRODUCT(INDEX(PortfolioRef[[SPY]:[PE]],MATCH(HC$1,PortfolioRef[Reference '#]),0),AssetMonthlyReturns[[#This Row],[SPY]:[PE]])</f>
        <v>1.1719788852981953E-2</v>
      </c>
      <c r="HD28" s="27">
        <f>IF(ISNUMBER(HD27),HD27*(1+PortfolioFrontier[[#This Row],[P53 Return]]),1+PortfolioFrontier[[#This Row],[P53 Return]])</f>
        <v>1.1289057870633223</v>
      </c>
      <c r="HE28" s="27">
        <f>MAX(HE27,PortfolioFrontier[[#This Row],[P53 Growth]])</f>
        <v>1.1518105416261799</v>
      </c>
      <c r="HF28" s="27">
        <f>PortfolioFrontier[[#This Row],[P53 Growth]]/PortfolioFrontier[[#This Row],[P53 HWM]]-1</f>
        <v>-1.9885869884920138E-2</v>
      </c>
      <c r="HG28" s="28">
        <f>SUMPRODUCT(INDEX(PortfolioRef[[SPY]:[PE]],MATCH(HG$1,PortfolioRef[Reference '#]),0),AssetMonthlyReturns[[#This Row],[SPY]:[PE]])</f>
        <v>9.5792182145172794E-3</v>
      </c>
      <c r="HH28" s="27">
        <f>IF(ISNUMBER(HH27),HH27*(1+PortfolioFrontier[[#This Row],[P54 Return]]),1+PortfolioFrontier[[#This Row],[P54 Return]])</f>
        <v>1.1252635626831831</v>
      </c>
      <c r="HI28" s="27">
        <f>MAX(HI27,PortfolioFrontier[[#This Row],[P54 Growth]])</f>
        <v>1.1484271504484369</v>
      </c>
      <c r="HJ28" s="27">
        <f>PortfolioFrontier[[#This Row],[P54 Growth]]/PortfolioFrontier[[#This Row],[P54 HWM]]-1</f>
        <v>-2.0169836420367626E-2</v>
      </c>
      <c r="HK28" s="28">
        <f>SUMPRODUCT(INDEX(PortfolioRef[[SPY]:[PE]],MATCH(HK$1,PortfolioRef[Reference '#]),0),AssetMonthlyReturns[[#This Row],[SPY]:[PE]])</f>
        <v>1.6298251886254451E-2</v>
      </c>
      <c r="HL28" s="27">
        <f>IF(ISNUMBER(HL27),HL27*(1+PortfolioFrontier[[#This Row],[P55 Return]]),1+PortfolioFrontier[[#This Row],[P55 Return]])</f>
        <v>1.1354004163851323</v>
      </c>
      <c r="HM28" s="27">
        <f>MAX(HM27,PortfolioFrontier[[#This Row],[P55 Growth]])</f>
        <v>1.1558160401994988</v>
      </c>
      <c r="HN28" s="27">
        <f>PortfolioFrontier[[#This Row],[P55 Growth]]/PortfolioFrontier[[#This Row],[P55 HWM]]-1</f>
        <v>-1.766338509270271E-2</v>
      </c>
      <c r="HO28" s="28">
        <f>SUMPRODUCT(INDEX(PortfolioRef[[SPY]:[PE]],MATCH(HO$1,PortfolioRef[Reference '#]),0),AssetMonthlyReturns[[#This Row],[SPY]:[PE]])</f>
        <v>1.4157681247789777E-2</v>
      </c>
      <c r="HP28" s="27">
        <f>IF(ISNUMBER(HP27),HP27*(1+PortfolioFrontier[[#This Row],[P56 Return]]),1+PortfolioFrontier[[#This Row],[P56 Return]])</f>
        <v>1.1318669104552843</v>
      </c>
      <c r="HQ28" s="27">
        <f>MAX(HQ27,PortfolioFrontier[[#This Row],[P56 Growth]])</f>
        <v>1.1524955896514557</v>
      </c>
      <c r="HR28" s="27">
        <f>PortfolioFrontier[[#This Row],[P56 Growth]]/PortfolioFrontier[[#This Row],[P56 HWM]]-1</f>
        <v>-1.789913938187826E-2</v>
      </c>
      <c r="HS28" s="28">
        <f>SUMPRODUCT(INDEX(PortfolioRef[[SPY]:[PE]],MATCH(HS$1,PortfolioRef[Reference '#]),0),AssetMonthlyReturns[[#This Row],[SPY]:[PE]])</f>
        <v>1.2017110609325102E-2</v>
      </c>
      <c r="HT28" s="27">
        <f>IF(ISNUMBER(HT27),HT27*(1+PortfolioFrontier[[#This Row],[P57 Return]]),1+PortfolioFrontier[[#This Row],[P57 Return]])</f>
        <v>1.1282467256991831</v>
      </c>
      <c r="HU28" s="27">
        <f>MAX(HU27,PortfolioFrontier[[#This Row],[P57 Growth]])</f>
        <v>1.1491186441083043</v>
      </c>
      <c r="HV28" s="27">
        <f>PortfolioFrontier[[#This Row],[P57 Growth]]/PortfolioFrontier[[#This Row],[P57 HWM]]-1</f>
        <v>-1.8163414644897236E-2</v>
      </c>
      <c r="HW28" s="28">
        <f>SUMPRODUCT(INDEX(PortfolioRef[[SPY]:[PE]],MATCH(HW$1,PortfolioRef[Reference '#]),0),AssetMonthlyReturns[[#This Row],[SPY]:[PE]])</f>
        <v>1.8736144281062274E-2</v>
      </c>
      <c r="HX28" s="27">
        <f>IF(ISNUMBER(HX27),HX27*(1+PortfolioFrontier[[#This Row],[P58 Return]]),1+PortfolioFrontier[[#This Row],[P58 Return]])</f>
        <v>1.1382469053075481</v>
      </c>
      <c r="HY28" s="27">
        <f>MAX(HY27,PortfolioFrontier[[#This Row],[P58 Growth]])</f>
        <v>1.1564137342851388</v>
      </c>
      <c r="HZ28" s="27">
        <f>PortfolioFrontier[[#This Row],[P58 Growth]]/PortfolioFrontier[[#This Row],[P58 HWM]]-1</f>
        <v>-1.5709627479321586E-2</v>
      </c>
      <c r="IA28" s="28">
        <f>SUMPRODUCT(INDEX(PortfolioRef[[SPY]:[PE]],MATCH(IA$1,PortfolioRef[Reference '#]),0),AssetMonthlyReturns[[#This Row],[SPY]:[PE]])</f>
        <v>1.6595573642597596E-2</v>
      </c>
      <c r="IB28" s="27">
        <f>IF(ISNUMBER(IB27),IB27*(1+PortfolioFrontier[[#This Row],[P59 Return]]),1+PortfolioFrontier[[#This Row],[P59 Return]])</f>
        <v>1.1347364521453598</v>
      </c>
      <c r="IC28" s="27">
        <f>MAX(IC27,PortfolioFrontier[[#This Row],[P59 Growth]])</f>
        <v>1.1531000541201888</v>
      </c>
      <c r="ID28" s="27">
        <f>PortfolioFrontier[[#This Row],[P59 Growth]]/PortfolioFrontier[[#This Row],[P59 HWM]]-1</f>
        <v>-1.5925419402430196E-2</v>
      </c>
      <c r="IE28" s="28">
        <f>SUMPRODUCT(INDEX(PortfolioRef[[SPY]:[PE]],MATCH(IE$1,PortfolioRef[Reference '#]),0),AssetMonthlyReturns[[#This Row],[SPY]:[PE]])</f>
        <v>1.4455003004132928E-2</v>
      </c>
      <c r="IF28" s="27">
        <f>IF(ISNUMBER(IF27),IF27*(1+PortfolioFrontier[[#This Row],[P60 Return]]),1+PortfolioFrontier[[#This Row],[P60 Return]])</f>
        <v>1.1311387771160306</v>
      </c>
      <c r="IG28" s="27">
        <f>MAX(IG27,PortfolioFrontier[[#This Row],[P60 Growth]])</f>
        <v>1.1497297656872949</v>
      </c>
      <c r="IH28" s="27">
        <f>PortfolioFrontier[[#This Row],[P60 Growth]]/PortfolioFrontier[[#This Row],[P60 HWM]]-1</f>
        <v>-1.616987671894432E-2</v>
      </c>
      <c r="II28" s="28">
        <f>SUMPRODUCT(INDEX(PortfolioRef[[SPY]:[PE]],MATCH(II$1,PortfolioRef[Reference '#]),0),AssetMonthlyReturns[[#This Row],[SPY]:[PE]])</f>
        <v>1.1817176213722648E-2</v>
      </c>
      <c r="IJ28" s="27">
        <f>IF(ISNUMBER(IJ27),IJ27*(1+PortfolioFrontier[[#This Row],[P61 Return]]),1+PortfolioFrontier[[#This Row],[P61 Return]])</f>
        <v>1.1103593976070636</v>
      </c>
      <c r="IK28" s="27">
        <f>MAX(IK27,PortfolioFrontier[[#This Row],[P61 Growth]])</f>
        <v>1.1294319987390351</v>
      </c>
      <c r="IL28" s="27">
        <f>PortfolioFrontier[[#This Row],[P61 Growth]]/PortfolioFrontier[[#This Row],[P61 HWM]]-1</f>
        <v>-1.6886896380893468E-2</v>
      </c>
      <c r="IM28" s="28">
        <f>SUMPRODUCT(INDEX(PortfolioRef[[SPY]:[PE]],MATCH(IM$1,PortfolioRef[Reference '#]),0),AssetMonthlyReturns[[#This Row],[SPY]:[PE]])</f>
        <v>1.0888187636297645E-2</v>
      </c>
      <c r="IN28" s="27">
        <f>IF(ISNUMBER(IN27),IN27*(1+PortfolioFrontier[[#This Row],[P62 Return]]),1+PortfolioFrontier[[#This Row],[P62 Return]])</f>
        <v>1.1101623134513825</v>
      </c>
      <c r="IO28" s="27">
        <f>MAX(IO27,PortfolioFrontier[[#This Row],[P62 Growth]])</f>
        <v>1.1307875651347878</v>
      </c>
      <c r="IP28" s="27">
        <f>PortfolioFrontier[[#This Row],[P62 Growth]]/PortfolioFrontier[[#This Row],[P62 HWM]]-1</f>
        <v>-1.8239722755482246E-2</v>
      </c>
      <c r="IQ28" s="28">
        <f>SUMPRODUCT(INDEX(PortfolioRef[[SPY]:[PE]],MATCH(IQ$1,PortfolioRef[Reference '#]),0),AssetMonthlyReturns[[#This Row],[SPY]:[PE]])</f>
        <v>1.3326080031105468E-2</v>
      </c>
      <c r="IR28" s="27">
        <f>IF(ISNUMBER(IR27),IR27*(1+PortfolioFrontier[[#This Row],[P63 Return]]),1+PortfolioFrontier[[#This Row],[P63 Return]])</f>
        <v>1.1131017346210068</v>
      </c>
      <c r="IS28" s="27">
        <f>MAX(IS27,PortfolioFrontier[[#This Row],[P63 Growth]])</f>
        <v>1.1314701893182186</v>
      </c>
      <c r="IT28" s="27">
        <f>PortfolioFrontier[[#This Row],[P63 Growth]]/PortfolioFrontier[[#This Row],[P63 HWM]]-1</f>
        <v>-1.6234148164592788E-2</v>
      </c>
      <c r="IU28" s="28">
        <f>SUMPRODUCT(INDEX(PortfolioRef[[SPY]:[PE]],MATCH(IU$1,PortfolioRef[Reference '#]),0),AssetMonthlyReturns[[#This Row],[SPY]:[PE]])</f>
        <v>1.1185509392640796E-2</v>
      </c>
      <c r="IV28" s="27">
        <f>IF(ISNUMBER(IV27),IV27*(1+PortfolioFrontier[[#This Row],[P64 Return]]),1+PortfolioFrontier[[#This Row],[P64 Return]])</f>
        <v>1.1094847460584161</v>
      </c>
      <c r="IW28" s="27">
        <f>MAX(IW27,PortfolioFrontier[[#This Row],[P64 Growth]])</f>
        <v>1.1281140416878883</v>
      </c>
      <c r="IX28" s="27">
        <f>PortfolioFrontier[[#This Row],[P64 Growth]]/PortfolioFrontier[[#This Row],[P64 HWM]]-1</f>
        <v>-1.6513663460476891E-2</v>
      </c>
      <c r="IY28" s="28">
        <f>SUMPRODUCT(INDEX(PortfolioRef[[SPY]:[PE]],MATCH(IY$1,PortfolioRef[Reference '#]),0),AssetMonthlyReturns[[#This Row],[SPY]:[PE]])</f>
        <v>9.9591990588726465E-3</v>
      </c>
      <c r="IZ28" s="27">
        <f>IF(ISNUMBER(IZ27),IZ27*(1+PortfolioFrontier[[#This Row],[P65 Return]]),1+PortfolioFrontier[[#This Row],[P65 Return]])</f>
        <v>1.1099038190667294</v>
      </c>
      <c r="JA28" s="27">
        <f>MAX(JA27,PortfolioFrontier[[#This Row],[P65 Growth]])</f>
        <v>1.1320832550752244</v>
      </c>
      <c r="JB28" s="27">
        <f>PortfolioFrontier[[#This Row],[P65 Growth]]/PortfolioFrontier[[#This Row],[P65 HWM]]-1</f>
        <v>-1.9591700441697002E-2</v>
      </c>
      <c r="JC28" s="28">
        <f>SUMPRODUCT(INDEX(PortfolioRef[[SPY]:[PE]],MATCH(JC$1,PortfolioRef[Reference '#]),0),AssetMonthlyReturns[[#This Row],[SPY]:[PE]])</f>
        <v>1.2397091453680469E-2</v>
      </c>
      <c r="JD28" s="27">
        <f>IF(ISNUMBER(JD27),JD27*(1+PortfolioFrontier[[#This Row],[P66 Return]]),1+PortfolioFrontier[[#This Row],[P66 Return]])</f>
        <v>1.1128948069639726</v>
      </c>
      <c r="JE28" s="27">
        <f>MAX(JE27,PortfolioFrontier[[#This Row],[P66 Growth]])</f>
        <v>1.1328187248763837</v>
      </c>
      <c r="JF28" s="27">
        <f>PortfolioFrontier[[#This Row],[P66 Growth]]/PortfolioFrontier[[#This Row],[P66 HWM]]-1</f>
        <v>-1.7587913648395292E-2</v>
      </c>
      <c r="JG28" s="28">
        <f>SUMPRODUCT(INDEX(PortfolioRef[[SPY]:[PE]],MATCH(JG$1,PortfolioRef[Reference '#]),0),AssetMonthlyReturns[[#This Row],[SPY]:[PE]])</f>
        <v>1.0256520815215798E-2</v>
      </c>
      <c r="JH28" s="27">
        <f>IF(ISNUMBER(JH27),JH27*(1+PortfolioFrontier[[#This Row],[P67 Return]]),1+PortfolioFrontier[[#This Row],[P67 Return]])</f>
        <v>1.1093070022360547</v>
      </c>
      <c r="JI28" s="27">
        <f>MAX(JI27,PortfolioFrontier[[#This Row],[P67 Growth]])</f>
        <v>1.1294877188116705</v>
      </c>
      <c r="JJ28" s="27">
        <f>PortfolioFrontier[[#This Row],[P67 Growth]]/PortfolioFrontier[[#This Row],[P67 HWM]]-1</f>
        <v>-1.7867141217655647E-2</v>
      </c>
      <c r="JK28" s="28">
        <f>SUMPRODUCT(INDEX(PortfolioRef[[SPY]:[PE]],MATCH(JK$1,PortfolioRef[Reference '#]),0),AssetMonthlyReturns[[#This Row],[SPY]:[PE]])</f>
        <v>1.4834983848488293E-2</v>
      </c>
      <c r="JL28" s="27">
        <f>IF(ISNUMBER(JL27),JL27*(1+PortfolioFrontier[[#This Row],[P68 Return]]),1+PortfolioFrontier[[#This Row],[P68 Return]])</f>
        <v>1.1157959287053636</v>
      </c>
      <c r="JM28" s="27">
        <f>MAX(JM27,PortfolioFrontier[[#This Row],[P68 Growth]])</f>
        <v>1.1334747857186009</v>
      </c>
      <c r="JN28" s="27">
        <f>PortfolioFrontier[[#This Row],[P68 Growth]]/PortfolioFrontier[[#This Row],[P68 HWM]]-1</f>
        <v>-1.5597044800629845E-2</v>
      </c>
      <c r="JO28" s="28">
        <f>SUMPRODUCT(INDEX(PortfolioRef[[SPY]:[PE]],MATCH(JO$1,PortfolioRef[Reference '#]),0),AssetMonthlyReturns[[#This Row],[SPY]:[PE]])</f>
        <v>1.269441321002362E-2</v>
      </c>
      <c r="JP28" s="27">
        <f>IF(ISNUMBER(JP27),JP27*(1+PortfolioFrontier[[#This Row],[P69 Return]]),1+PortfolioFrontier[[#This Row],[P69 Return]])</f>
        <v>1.1122298711466978</v>
      </c>
      <c r="JQ28" s="27">
        <f>MAX(JQ27,PortfolioFrontier[[#This Row],[P69 Growth]])</f>
        <v>1.1301501657815767</v>
      </c>
      <c r="JR28" s="27">
        <f>PortfolioFrontier[[#This Row],[P69 Growth]]/PortfolioFrontier[[#This Row],[P69 HWM]]-1</f>
        <v>-1.5856560638988881E-2</v>
      </c>
      <c r="JS28" s="28">
        <f>SUMPRODUCT(INDEX(PortfolioRef[[SPY]:[PE]],MATCH(JS$1,PortfolioRef[Reference '#]),0),AssetMonthlyReturns[[#This Row],[SPY]:[PE]])</f>
        <v>1.0553842571558947E-2</v>
      </c>
      <c r="JT28" s="27">
        <f>IF(ISNUMBER(JT27),JT27*(1+PortfolioFrontier[[#This Row],[P70 Return]]),1+PortfolioFrontier[[#This Row],[P70 Return]])</f>
        <v>1.1085793702371964</v>
      </c>
      <c r="JU28" s="27">
        <f>MAX(JU27,PortfolioFrontier[[#This Row],[P70 Growth]])</f>
        <v>1.1267704712672371</v>
      </c>
      <c r="JV28" s="27">
        <f>PortfolioFrontier[[#This Row],[P70 Growth]]/PortfolioFrontier[[#This Row],[P70 HWM]]-1</f>
        <v>-1.6144460201891642E-2</v>
      </c>
      <c r="JW28" s="28">
        <f>SUMPRODUCT(INDEX(PortfolioRef[[SPY]:[PE]],MATCH(JW$1,PortfolioRef[Reference '#]),0),AssetMonthlyReturns[[#This Row],[SPY]:[PE]])</f>
        <v>1.146810287625547E-2</v>
      </c>
      <c r="JX28" s="27">
        <f>IF(ISNUMBER(JX27),JX27*(1+PortfolioFrontier[[#This Row],[P71 Return]]),1+PortfolioFrontier[[#This Row],[P71 Return]])</f>
        <v>1.1126263992396457</v>
      </c>
      <c r="JY28" s="27">
        <f>MAX(JY27,PortfolioFrontier[[#This Row],[P71 Growth]])</f>
        <v>1.1341073317396606</v>
      </c>
      <c r="JZ28" s="27">
        <f>PortfolioFrontier[[#This Row],[P71 Growth]]/PortfolioFrontier[[#This Row],[P71 HWM]]-1</f>
        <v>-1.8940828525519149E-2</v>
      </c>
      <c r="KA28" s="28">
        <f>SUMPRODUCT(INDEX(PortfolioRef[[SPY]:[PE]],MATCH(KA$1,PortfolioRef[Reference '#]),0),AssetMonthlyReturns[[#This Row],[SPY]:[PE]])</f>
        <v>9.3275322377907987E-3</v>
      </c>
      <c r="KB28" s="27">
        <f>IF(ISNUMBER(KB27),KB27*(1+PortfolioFrontier[[#This Row],[P72 Return]]),1+PortfolioFrontier[[#This Row],[P72 Return]])</f>
        <v>1.1090678919126338</v>
      </c>
      <c r="KC28" s="27">
        <f>MAX(KC27,PortfolioFrontier[[#This Row],[P72 Growth]])</f>
        <v>1.1308016396062204</v>
      </c>
      <c r="KD28" s="27">
        <f>PortfolioFrontier[[#This Row],[P72 Growth]]/PortfolioFrontier[[#This Row],[P72 HWM]]-1</f>
        <v>-1.9219770234110145E-2</v>
      </c>
      <c r="KE28" s="28">
        <f>SUMPRODUCT(INDEX(PortfolioRef[[SPY]:[PE]],MATCH(KE$1,PortfolioRef[Reference '#]),0),AssetMonthlyReturns[[#This Row],[SPY]:[PE]])</f>
        <v>1.3905995271063292E-2</v>
      </c>
      <c r="KF28" s="27">
        <f>IF(ISNUMBER(KF27),KF27*(1+PortfolioFrontier[[#This Row],[P73 Return]]),1+PortfolioFrontier[[#This Row],[P73 Return]])</f>
        <v>1.115579124997143</v>
      </c>
      <c r="KG28" s="27">
        <f>MAX(KG27,PortfolioFrontier[[#This Row],[P73 Growth]])</f>
        <v>1.1348162363698722</v>
      </c>
      <c r="KH28" s="27">
        <f>PortfolioFrontier[[#This Row],[P73 Growth]]/PortfolioFrontier[[#This Row],[P73 HWM]]-1</f>
        <v>-1.6951741397590703E-2</v>
      </c>
      <c r="KI28" s="28">
        <f>SUMPRODUCT(INDEX(PortfolioRef[[SPY]:[PE]],MATCH(KI$1,PortfolioRef[Reference '#]),0),AssetMonthlyReturns[[#This Row],[SPY]:[PE]])</f>
        <v>1.1765424632598619E-2</v>
      </c>
      <c r="KJ28" s="27">
        <f>IF(ISNUMBER(KJ27),KJ27*(1+PortfolioFrontier[[#This Row],[P74 Return]]),1+PortfolioFrontier[[#This Row],[P74 Return]])</f>
        <v>1.1120423420910683</v>
      </c>
      <c r="KK28" s="27">
        <f>MAX(KK27,PortfolioFrontier[[#This Row],[P74 Growth]])</f>
        <v>1.1315168548073993</v>
      </c>
      <c r="KL28" s="27">
        <f>PortfolioFrontier[[#This Row],[P74 Growth]]/PortfolioFrontier[[#This Row],[P74 HWM]]-1</f>
        <v>-1.7210978902869045E-2</v>
      </c>
      <c r="KM28" s="28">
        <f>SUMPRODUCT(INDEX(PortfolioRef[[SPY]:[PE]],MATCH(KM$1,PortfolioRef[Reference '#]),0),AssetMonthlyReturns[[#This Row],[SPY]:[PE]])</f>
        <v>9.6248539941339462E-3</v>
      </c>
      <c r="KN28" s="27">
        <f>IF(ISNUMBER(KN27),KN27*(1+PortfolioFrontier[[#This Row],[P75 Return]]),1+PortfolioFrontier[[#This Row],[P75 Return]])</f>
        <v>1.1084209405373739</v>
      </c>
      <c r="KO28" s="27">
        <f>MAX(KO27,PortfolioFrontier[[#This Row],[P75 Growth]])</f>
        <v>1.1281621830860007</v>
      </c>
      <c r="KP28" s="27">
        <f>PortfolioFrontier[[#This Row],[P75 Growth]]/PortfolioFrontier[[#This Row],[P75 HWM]]-1</f>
        <v>-1.7498585615257967E-2</v>
      </c>
      <c r="KQ28" s="28">
        <f>SUMPRODUCT(INDEX(PortfolioRef[[SPY]:[PE]],MATCH(KQ$1,PortfolioRef[Reference '#]),0),AssetMonthlyReturns[[#This Row],[SPY]:[PE]])</f>
        <v>1.6343887665871117E-2</v>
      </c>
      <c r="KR28" s="27">
        <f>IF(ISNUMBER(KR27),KR27*(1+PortfolioFrontier[[#This Row],[P76 Return]]),1+PortfolioFrontier[[#This Row],[P76 Return]])</f>
        <v>1.1184415450431793</v>
      </c>
      <c r="KS28" s="27">
        <f>MAX(KS27,PortfolioFrontier[[#This Row],[P76 Growth]])</f>
        <v>1.1354456097035888</v>
      </c>
      <c r="KT28" s="27">
        <f>PortfolioFrontier[[#This Row],[P76 Growth]]/PortfolioFrontier[[#This Row],[P76 HWM]]-1</f>
        <v>-1.4975675201957417E-2</v>
      </c>
      <c r="KU28" s="28">
        <f>SUMPRODUCT(INDEX(PortfolioRef[[SPY]:[PE]],MATCH(KU$1,PortfolioRef[Reference '#]),0),AssetMonthlyReturns[[#This Row],[SPY]:[PE]])</f>
        <v>1.4203317027406443E-2</v>
      </c>
      <c r="KV28" s="27">
        <f>IF(ISNUMBER(KV27),KV27*(1+PortfolioFrontier[[#This Row],[P77 Return]]),1+PortfolioFrontier[[#This Row],[P77 Return]])</f>
        <v>1.1149269500384735</v>
      </c>
      <c r="KW28" s="27">
        <f>MAX(KW27,PortfolioFrontier[[#This Row],[P77 Growth]])</f>
        <v>1.1321527467304082</v>
      </c>
      <c r="KX28" s="27">
        <f>PortfolioFrontier[[#This Row],[P77 Growth]]/PortfolioFrontier[[#This Row],[P77 HWM]]-1</f>
        <v>-1.5215081835628474E-2</v>
      </c>
      <c r="KY28" s="28">
        <f>SUMPRODUCT(INDEX(PortfolioRef[[SPY]:[PE]],MATCH(KY$1,PortfolioRef[Reference '#]),0),AssetMonthlyReturns[[#This Row],[SPY]:[PE]])</f>
        <v>1.2062746388941769E-2</v>
      </c>
      <c r="KZ28" s="27">
        <f>IF(ISNUMBER(KZ27),KZ27*(1+PortfolioFrontier[[#This Row],[P78 Return]]),1+PortfolioFrontier[[#This Row],[P78 Return]])</f>
        <v>1.1113271983983051</v>
      </c>
      <c r="LA28" s="27">
        <f>MAX(LA27,PortfolioFrontier[[#This Row],[P78 Growth]])</f>
        <v>1.1288044801379766</v>
      </c>
      <c r="LB28" s="27">
        <f>PortfolioFrontier[[#This Row],[P78 Growth]]/PortfolioFrontier[[#This Row],[P78 HWM]]-1</f>
        <v>-1.5483001748482828E-2</v>
      </c>
      <c r="LC28" s="28">
        <f>SUMPRODUCT(INDEX(PortfolioRef[[SPY]:[PE]],MATCH(LC$1,PortfolioRef[Reference '#]),0),AssetMonthlyReturns[[#This Row],[SPY]:[PE]])</f>
        <v>1.2977006693638294E-2</v>
      </c>
      <c r="LD28" s="27">
        <f>IF(ISNUMBER(LD27),LD27*(1+PortfolioFrontier[[#This Row],[P79 Return]]),1+PortfolioFrontier[[#This Row],[P79 Return]])</f>
        <v>1.1153007739683181</v>
      </c>
      <c r="LE28" s="27">
        <f>MAX(LE27,PortfolioFrontier[[#This Row],[P79 Growth]])</f>
        <v>1.1360977076552197</v>
      </c>
      <c r="LF28" s="27">
        <f>PortfolioFrontier[[#This Row],[P79 Growth]]/PortfolioFrontier[[#This Row],[P79 HWM]]-1</f>
        <v>-1.8305585467489616E-2</v>
      </c>
      <c r="LG28" s="28">
        <f>SUMPRODUCT(INDEX(PortfolioRef[[SPY]:[PE]],MATCH(LG$1,PortfolioRef[Reference '#]),0),AssetMonthlyReturns[[#This Row],[SPY]:[PE]])</f>
        <v>1.0836436055173619E-2</v>
      </c>
      <c r="LH28" s="27">
        <f>IF(ISNUMBER(LH27),LH27*(1+PortfolioFrontier[[#This Row],[P80 Return]]),1+PortfolioFrontier[[#This Row],[P80 Return]])</f>
        <v>1.1117933763175869</v>
      </c>
      <c r="LI28" s="27">
        <f>MAX(LI27,PortfolioFrontier[[#This Row],[P80 Growth]])</f>
        <v>1.1328237352358017</v>
      </c>
      <c r="LJ28" s="27">
        <f>PortfolioFrontier[[#This Row],[P80 Growth]]/PortfolioFrontier[[#This Row],[P80 HWM]]-1</f>
        <v>-1.8564546508056057E-2</v>
      </c>
      <c r="LK28" s="28">
        <f>SUMPRODUCT(INDEX(PortfolioRef[[SPY]:[PE]],MATCH(LK$1,PortfolioRef[Reference '#]),0),AssetMonthlyReturns[[#This Row],[SPY]:[PE]])</f>
        <v>8.6958654167089457E-3</v>
      </c>
      <c r="LL28" s="27">
        <f>IF(ISNUMBER(LL27),LL27*(1+PortfolioFrontier[[#This Row],[P81 Return]]),1+PortfolioFrontier[[#This Row],[P81 Return]])</f>
        <v>1.1082011900983668</v>
      </c>
      <c r="LM28" s="27">
        <f>MAX(LM27,PortfolioFrontier[[#This Row],[P81 Growth]])</f>
        <v>1.1294942602915885</v>
      </c>
      <c r="LN28" s="27">
        <f>PortfolioFrontier[[#This Row],[P81 Growth]]/PortfolioFrontier[[#This Row],[P81 HWM]]-1</f>
        <v>-1.8851862237639572E-2</v>
      </c>
      <c r="LO28" s="28">
        <f>SUMPRODUCT(INDEX(PortfolioRef[[SPY]:[PE]],MATCH(LO$1,PortfolioRef[Reference '#]),0),AssetMonthlyReturns[[#This Row],[SPY]:[PE]])</f>
        <v>1.5414899088446113E-2</v>
      </c>
      <c r="LP28" s="27">
        <f>IF(ISNUMBER(LP27),LP27*(1+PortfolioFrontier[[#This Row],[P82 Return]]),1+PortfolioFrontier[[#This Row],[P82 Return]])</f>
        <v>1.1182148336354767</v>
      </c>
      <c r="LQ28" s="27">
        <f>MAX(LQ27,PortfolioFrontier[[#This Row],[P82 Growth]])</f>
        <v>1.1367799217668872</v>
      </c>
      <c r="LR28" s="27">
        <f>PortfolioFrontier[[#This Row],[P82 Growth]]/PortfolioFrontier[[#This Row],[P82 HWM]]-1</f>
        <v>-1.6331294893522585E-2</v>
      </c>
      <c r="LS28" s="28">
        <f>SUMPRODUCT(INDEX(PortfolioRef[[SPY]:[PE]],MATCH(LS$1,PortfolioRef[Reference '#]),0),AssetMonthlyReturns[[#This Row],[SPY]:[PE]])</f>
        <v>1.3274328449981443E-2</v>
      </c>
      <c r="LT28" s="27">
        <f>IF(ISNUMBER(LT27),LT27*(1+PortfolioFrontier[[#This Row],[P83 Return]]),1+PortfolioFrontier[[#This Row],[P83 Return]])</f>
        <v>1.1147296025204969</v>
      </c>
      <c r="LU28" s="27">
        <f>MAX(LU27,PortfolioFrontier[[#This Row],[P83 Growth]])</f>
        <v>1.1335123932499547</v>
      </c>
      <c r="LV28" s="27">
        <f>PortfolioFrontier[[#This Row],[P83 Growth]]/PortfolioFrontier[[#This Row],[P83 HWM]]-1</f>
        <v>-1.6570432613978392E-2</v>
      </c>
      <c r="LW28" s="28">
        <f>SUMPRODUCT(INDEX(PortfolioRef[[SPY]:[PE]],MATCH(LW$1,PortfolioRef[Reference '#]),0),AssetMonthlyReturns[[#This Row],[SPY]:[PE]])</f>
        <v>1.1133757811516768E-2</v>
      </c>
      <c r="LX28" s="27">
        <f>IF(ISNUMBER(LX27),LX27*(1+PortfolioFrontier[[#This Row],[P84 Return]]),1+PortfolioFrontier[[#This Row],[P84 Return]])</f>
        <v>1.1111590419514172</v>
      </c>
      <c r="LY28" s="27">
        <f>MAX(LY27,PortfolioFrontier[[#This Row],[P84 Growth]])</f>
        <v>1.1301892465493473</v>
      </c>
      <c r="LZ28" s="27">
        <f>PortfolioFrontier[[#This Row],[P84 Growth]]/PortfolioFrontier[[#This Row],[P84 HWM]]-1</f>
        <v>-1.6838069072088957E-2</v>
      </c>
      <c r="MA28" s="28">
        <f>SUMPRODUCT(INDEX(PortfolioRef[[SPY]:[PE]],MATCH(MA$1,PortfolioRef[Reference '#]),0),AssetMonthlyReturns[[#This Row],[SPY]:[PE]])</f>
        <v>1.7852791483253937E-2</v>
      </c>
      <c r="MB28" s="27">
        <f>IF(ISNUMBER(MB27),MB27*(1+PortfolioFrontier[[#This Row],[P85 Return]]),1+PortfolioFrontier[[#This Row],[P85 Return]])</f>
        <v>1.1210381530272189</v>
      </c>
      <c r="MC28" s="27">
        <f>MAX(MC27,PortfolioFrontier[[#This Row],[P85 Growth]])</f>
        <v>1.1373824854504828</v>
      </c>
      <c r="MD28" s="27">
        <f>PortfolioFrontier[[#This Row],[P85 Growth]]/PortfolioFrontier[[#This Row],[P85 HWM]]-1</f>
        <v>-1.4370128459284648E-2</v>
      </c>
      <c r="ME28" s="28">
        <f>SUMPRODUCT(INDEX(PortfolioRef[[SPY]:[PE]],MATCH(ME$1,PortfolioRef[Reference '#]),0),AssetMonthlyReturns[[#This Row],[SPY]:[PE]])</f>
        <v>1.5712220844789265E-2</v>
      </c>
      <c r="MF28" s="27">
        <f>IF(ISNUMBER(MF27),MF27*(1+PortfolioFrontier[[#This Row],[P86 Return]]),1+PortfolioFrontier[[#This Row],[P86 Return]])</f>
        <v>1.1175755481679386</v>
      </c>
      <c r="MG28" s="27">
        <f>MAX(MG27,PortfolioFrontier[[#This Row],[P86 Growth]])</f>
        <v>1.1341216065780884</v>
      </c>
      <c r="MH28" s="27">
        <f>PortfolioFrontier[[#This Row],[P86 Growth]]/PortfolioFrontier[[#This Row],[P86 HWM]]-1</f>
        <v>-1.4589315920074175E-2</v>
      </c>
      <c r="MI28" s="28">
        <f>SUMPRODUCT(INDEX(PortfolioRef[[SPY]:[PE]],MATCH(MI$1,PortfolioRef[Reference '#]),0),AssetMonthlyReturns[[#This Row],[SPY]:[PE]])</f>
        <v>1.3571650206324592E-2</v>
      </c>
      <c r="MJ28" s="27">
        <f>IF(ISNUMBER(MJ27),MJ27*(1+PortfolioFrontier[[#This Row],[P87 Return]]),1+PortfolioFrontier[[#This Row],[P87 Return]])</f>
        <v>1.114027077956999</v>
      </c>
      <c r="MK28" s="27">
        <f>MAX(MK27,PortfolioFrontier[[#This Row],[P87 Growth]])</f>
        <v>1.1308049973216896</v>
      </c>
      <c r="ML28" s="27">
        <f>PortfolioFrontier[[#This Row],[P87 Growth]]/PortfolioFrontier[[#This Row],[P87 HWM]]-1</f>
        <v>-1.4837146461528894E-2</v>
      </c>
      <c r="MM28" s="28">
        <f>SUMPRODUCT(INDEX(PortfolioRef[[SPY]:[PE]],MATCH(MM$1,PortfolioRef[Reference '#]),0),AssetMonthlyReturns[[#This Row],[SPY]:[PE]])</f>
        <v>1.4485910511021114E-2</v>
      </c>
      <c r="MN28" s="27">
        <f>IF(ISNUMBER(MN27),MN27*(1+PortfolioFrontier[[#This Row],[P88 Return]]),1+PortfolioFrontier[[#This Row],[P88 Return]])</f>
        <v>1.1179265102511493</v>
      </c>
      <c r="MO28" s="27">
        <f>MAX(MO27,PortfolioFrontier[[#This Row],[P88 Growth]])</f>
        <v>1.1380542053647611</v>
      </c>
      <c r="MP28" s="27">
        <f>PortfolioFrontier[[#This Row],[P88 Growth]]/PortfolioFrontier[[#This Row],[P88 HWM]]-1</f>
        <v>-1.7686060135563175E-2</v>
      </c>
      <c r="MQ28" s="28">
        <f>SUMPRODUCT(INDEX(PortfolioRef[[SPY]:[PE]],MATCH(MQ$1,PortfolioRef[Reference '#]),0),AssetMonthlyReturns[[#This Row],[SPY]:[PE]])</f>
        <v>1.2345339872556442E-2</v>
      </c>
      <c r="MR28" s="27">
        <f>IF(ISNUMBER(MR27),MR27*(1+PortfolioFrontier[[#This Row],[P89 Return]]),1+PortfolioFrontier[[#This Row],[P89 Return]])</f>
        <v>1.1144707506470179</v>
      </c>
      <c r="MS28" s="27">
        <f>MAX(MS27,PortfolioFrontier[[#This Row],[P89 Growth]])</f>
        <v>1.1348121804683284</v>
      </c>
      <c r="MT28" s="27">
        <f>PortfolioFrontier[[#This Row],[P89 Growth]]/PortfolioFrontier[[#This Row],[P89 HWM]]-1</f>
        <v>-1.7924930813586926E-2</v>
      </c>
      <c r="MU28" s="28">
        <f>SUMPRODUCT(INDEX(PortfolioRef[[SPY]:[PE]],MATCH(MU$1,PortfolioRef[Reference '#]),0),AssetMonthlyReturns[[#This Row],[SPY]:[PE]])</f>
        <v>1.0204769234091769E-2</v>
      </c>
      <c r="MV28" s="27">
        <f>IF(ISNUMBER(MV27),MV27*(1+PortfolioFrontier[[#This Row],[P90 Return]]),1+PortfolioFrontier[[#This Row],[P90 Return]])</f>
        <v>1.1109294941743704</v>
      </c>
      <c r="MW28" s="27">
        <f>MAX(MW27,PortfolioFrontier[[#This Row],[P90 Growth]])</f>
        <v>1.1315143260529454</v>
      </c>
      <c r="MX28" s="27">
        <f>PortfolioFrontier[[#This Row],[P90 Growth]]/PortfolioFrontier[[#This Row],[P90 HWM]]-1</f>
        <v>-1.8192285687076537E-2</v>
      </c>
      <c r="MY28" s="28">
        <f>SUMPRODUCT(INDEX(PortfolioRef[[SPY]:[PE]],MATCH(MY$1,PortfolioRef[Reference '#]),0),AssetMonthlyReturns[[#This Row],[SPY]:[PE]])</f>
        <v>1.6923802905828938E-2</v>
      </c>
      <c r="MZ28" s="27">
        <f>IF(ISNUMBER(MZ27),MZ27*(1+PortfolioFrontier[[#This Row],[P91 Return]]),1+PortfolioFrontier[[#This Row],[P91 Return]])</f>
        <v>1.1208015031812371</v>
      </c>
      <c r="NA28" s="27">
        <f>MAX(NA27,PortfolioFrontier[[#This Row],[P91 Growth]])</f>
        <v>1.1387096056367039</v>
      </c>
      <c r="NB28" s="27">
        <f>PortfolioFrontier[[#This Row],[P91 Growth]]/PortfolioFrontier[[#This Row],[P91 HWM]]-1</f>
        <v>-1.5726663204402858E-2</v>
      </c>
      <c r="NC28" s="28">
        <f>SUMPRODUCT(INDEX(PortfolioRef[[SPY]:[PE]],MATCH(NC$1,PortfolioRef[Reference '#]),0),AssetMonthlyReturns[[#This Row],[SPY]:[PE]])</f>
        <v>1.4783232267364265E-2</v>
      </c>
      <c r="ND28" s="27">
        <f>IF(ISNUMBER(ND27),ND27*(1+PortfolioFrontier[[#This Row],[P92 Return]]),1+PortfolioFrontier[[#This Row],[P92 Return]])</f>
        <v>1.1173683498519986</v>
      </c>
      <c r="NE28" s="27">
        <f>MAX(NE27,PortfolioFrontier[[#This Row],[P92 Growth]])</f>
        <v>1.1354741565687236</v>
      </c>
      <c r="NF28" s="27">
        <f>PortfolioFrontier[[#This Row],[P92 Growth]]/PortfolioFrontier[[#This Row],[P92 HWM]]-1</f>
        <v>-1.5945591198164077E-2</v>
      </c>
      <c r="NG28" s="28">
        <f>SUMPRODUCT(INDEX(PortfolioRef[[SPY]:[PE]],MATCH(NG$1,PortfolioRef[Reference '#]),0),AssetMonthlyReturns[[#This Row],[SPY]:[PE]])</f>
        <v>1.2642661628899592E-2</v>
      </c>
      <c r="NH28" s="27">
        <f>IF(ISNUMBER(NH27),NH27*(1+PortfolioFrontier[[#This Row],[P93 Return]]),1+PortfolioFrontier[[#This Row],[P93 Return]])</f>
        <v>1.113849160858525</v>
      </c>
      <c r="NI28" s="27">
        <f>MAX(NI27,PortfolioFrontier[[#This Row],[P93 Growth]])</f>
        <v>1.1321827635804655</v>
      </c>
      <c r="NJ28" s="27">
        <f>PortfolioFrontier[[#This Row],[P93 Growth]]/PortfolioFrontier[[#This Row],[P93 HWM]]-1</f>
        <v>-1.6193147706966893E-2</v>
      </c>
      <c r="NK28" s="28">
        <f>SUMPRODUCT(INDEX(PortfolioRef[[SPY]:[PE]],MATCH(NK$1,PortfolioRef[Reference '#]),0),AssetMonthlyReturns[[#This Row],[SPY]:[PE]])</f>
        <v>1.936169530063676E-2</v>
      </c>
      <c r="NL28" s="27">
        <f>IF(ISNUMBER(NL27),NL27*(1+PortfolioFrontier[[#This Row],[P94 Return]]),1+PortfolioFrontier[[#This Row],[P94 Return]])</f>
        <v>1.1235853263443858</v>
      </c>
      <c r="NM28" s="27">
        <f>MAX(NM27,PortfolioFrontier[[#This Row],[P94 Growth]])</f>
        <v>1.1392852395715367</v>
      </c>
      <c r="NN28" s="27">
        <f>PortfolioFrontier[[#This Row],[P94 Growth]]/PortfolioFrontier[[#This Row],[P94 HWM]]-1</f>
        <v>-1.3780493841081709E-2</v>
      </c>
      <c r="NO28" s="28">
        <f>SUMPRODUCT(INDEX(PortfolioRef[[SPY]:[PE]],MATCH(NO$1,PortfolioRef[Reference '#]),0),AssetMonthlyReturns[[#This Row],[SPY]:[PE]])</f>
        <v>1.7221124662172085E-2</v>
      </c>
      <c r="NP28" s="27">
        <f>IF(ISNUMBER(NP27),NP27*(1+PortfolioFrontier[[#This Row],[P95 Return]]),1+PortfolioFrontier[[#This Row],[P95 Return]])</f>
        <v>1.1201752351664762</v>
      </c>
      <c r="NQ28" s="27">
        <f>MAX(NQ27,PortfolioFrontier[[#This Row],[P95 Growth]])</f>
        <v>1.1360565697788958</v>
      </c>
      <c r="NR28" s="27">
        <f>PortfolioFrontier[[#This Row],[P95 Growth]]/PortfolioFrontier[[#This Row],[P95 HWM]]-1</f>
        <v>-1.3979351939763407E-2</v>
      </c>
      <c r="NS28" s="28">
        <f>SUMPRODUCT(INDEX(PortfolioRef[[SPY]:[PE]],MATCH(NS$1,PortfolioRef[Reference '#]),0),AssetMonthlyReturns[[#This Row],[SPY]:[PE]])</f>
        <v>1.5080554023707414E-2</v>
      </c>
      <c r="NT28" s="27">
        <f>IF(ISNUMBER(NT27),NT27*(1+PortfolioFrontier[[#This Row],[P96 Return]]),1+PortfolioFrontier[[#This Row],[P96 Return]])</f>
        <v>1.1166785746086096</v>
      </c>
      <c r="NU28" s="27">
        <f>MAX(NU27,PortfolioFrontier[[#This Row],[P96 Growth]])</f>
        <v>1.1327718451451314</v>
      </c>
      <c r="NV28" s="27">
        <f>PortfolioFrontier[[#This Row],[P96 Growth]]/PortfolioFrontier[[#This Row],[P96 HWM]]-1</f>
        <v>-1.4206983167435516E-2</v>
      </c>
      <c r="NW28" s="28">
        <f>SUMPRODUCT(INDEX(PortfolioRef[[SPY]:[PE]],MATCH(NW$1,PortfolioRef[Reference '#]),0),AssetMonthlyReturns[[#This Row],[SPY]:[PE]])</f>
        <v>1.0933823415914312E-2</v>
      </c>
      <c r="NX28" s="27">
        <f>IF(ISNUMBER(NX27),NX27*(1+PortfolioFrontier[[#This Row],[P97 Return]]),1+PortfolioFrontier[[#This Row],[P97 Return]])</f>
        <v>1.0934659937198512</v>
      </c>
      <c r="NY28" s="27">
        <f>MAX(NY27,PortfolioFrontier[[#This Row],[P97 Growth]])</f>
        <v>1.1107647566622896</v>
      </c>
      <c r="NZ28" s="27">
        <f>PortfolioFrontier[[#This Row],[P97 Growth]]/PortfolioFrontier[[#This Row],[P97 HWM]]-1</f>
        <v>-1.5573741279313769E-2</v>
      </c>
      <c r="OA28" s="28">
        <f>SUMPRODUCT(INDEX(PortfolioRef[[SPY]:[PE]],MATCH(OA$1,PortfolioRef[Reference '#]),0),AssetMonthlyReturns[[#This Row],[SPY]:[PE]])</f>
        <v>1.0004834838489312E-2</v>
      </c>
      <c r="OB28" s="27">
        <f>IF(ISNUMBER(OB27),OB27*(1+PortfolioFrontier[[#This Row],[P98 Return]]),1+PortfolioFrontier[[#This Row],[P98 Return]])</f>
        <v>1.0932666176818742</v>
      </c>
      <c r="OC28" s="27">
        <f>MAX(OC27,PortfolioFrontier[[#This Row],[P98 Growth]])</f>
        <v>1.112092793177976</v>
      </c>
      <c r="OD28" s="27">
        <f>PortfolioFrontier[[#This Row],[P98 Growth]]/PortfolioFrontier[[#This Row],[P98 HWM]]-1</f>
        <v>-1.6928601292616197E-2</v>
      </c>
      <c r="OE28" s="28">
        <f>SUMPRODUCT(INDEX(PortfolioRef[[SPY]:[PE]],MATCH(OE$1,PortfolioRef[Reference '#]),0),AssetMonthlyReturns[[#This Row],[SPY]:[PE]])</f>
        <v>1.2442727233297134E-2</v>
      </c>
      <c r="OF28" s="27">
        <f>IF(ISNUMBER(OF27),OF27*(1+PortfolioFrontier[[#This Row],[P99 Return]]),1+PortfolioFrontier[[#This Row],[P99 Return]])</f>
        <v>1.0961809350693992</v>
      </c>
      <c r="OG28" s="27">
        <f>MAX(OG27,PortfolioFrontier[[#This Row],[P99 Growth]])</f>
        <v>1.1127787447941944</v>
      </c>
      <c r="OH28" s="27">
        <f>PortfolioFrontier[[#This Row],[P99 Growth]]/PortfolioFrontier[[#This Row],[P99 HWM]]-1</f>
        <v>-1.4915642307550492E-2</v>
      </c>
      <c r="OI28" s="28">
        <f>SUMPRODUCT(INDEX(PortfolioRef[[SPY]:[PE]],MATCH(OI$1,PortfolioRef[Reference '#]),0),AssetMonthlyReturns[[#This Row],[SPY]:[PE]])</f>
        <v>1.0302156594832463E-2</v>
      </c>
      <c r="OJ28" s="27">
        <f>IF(ISNUMBER(OJ27),OJ27*(1+PortfolioFrontier[[#This Row],[P100 Return]]),1+PortfolioFrontier[[#This Row],[P100 Return]])</f>
        <v>1.0926138574878534</v>
      </c>
      <c r="OK28" s="27">
        <f>MAX(OK27,PortfolioFrontier[[#This Row],[P100 Growth]])</f>
        <v>1.1094762556359219</v>
      </c>
      <c r="OL28" s="27">
        <f>PortfolioFrontier[[#This Row],[P100 Growth]]/PortfolioFrontier[[#This Row],[P100 HWM]]-1</f>
        <v>-1.5198520979976649E-2</v>
      </c>
      <c r="OM28" s="28">
        <f>SUMPRODUCT(INDEX(PortfolioRef[[SPY]:[PE]],MATCH(OM$1,PortfolioRef[Reference '#]),0),AssetMonthlyReturns[[#This Row],[SPY]:[PE]])</f>
        <v>9.0758462610643128E-3</v>
      </c>
      <c r="ON28" s="27">
        <f>IF(ISNUMBER(ON27),ON27*(1+PortfolioFrontier[[#This Row],[P101 Return]]),1+PortfolioFrontier[[#This Row],[P101 Return]])</f>
        <v>1.0930066580689091</v>
      </c>
      <c r="OO28" s="27">
        <f>MAX(OO27,PortfolioFrontier[[#This Row],[P101 Growth]])</f>
        <v>1.1133618200783288</v>
      </c>
      <c r="OP28" s="27">
        <f>PortfolioFrontier[[#This Row],[P101 Growth]]/PortfolioFrontier[[#This Row],[P101 HWM]]-1</f>
        <v>-1.8282611853878472E-2</v>
      </c>
      <c r="OQ28" s="28">
        <f>SUMPRODUCT(INDEX(PortfolioRef[[SPY]:[PE]],MATCH(OQ$1,PortfolioRef[Reference '#]),0),AssetMonthlyReturns[[#This Row],[SPY]:[PE]])</f>
        <v>1.1513738655872135E-2</v>
      </c>
      <c r="OR28" s="27">
        <f>IF(ISNUMBER(OR27),OR27*(1+PortfolioFrontier[[#This Row],[P102 Return]]),1+PortfolioFrontier[[#This Row],[P102 Return]])</f>
        <v>1.0959718815885531</v>
      </c>
      <c r="OS28" s="27">
        <f>MAX(OS27,PortfolioFrontier[[#This Row],[P102 Growth]])</f>
        <v>1.114099894787576</v>
      </c>
      <c r="OT28" s="27">
        <f>PortfolioFrontier[[#This Row],[P102 Growth]]/PortfolioFrontier[[#This Row],[P102 HWM]]-1</f>
        <v>-1.6271443237573679E-2</v>
      </c>
      <c r="OU28" s="28">
        <f>SUMPRODUCT(INDEX(PortfolioRef[[SPY]:[PE]],MATCH(OU$1,PortfolioRef[Reference '#]),0),AssetMonthlyReturns[[#This Row],[SPY]:[PE]])</f>
        <v>9.3731680174074638E-3</v>
      </c>
      <c r="OV28" s="27">
        <f>IF(ISNUMBER(OV27),OV27*(1+PortfolioFrontier[[#This Row],[P103 Return]]),1+PortfolioFrontier[[#This Row],[P103 Return]])</f>
        <v>1.0924335516404555</v>
      </c>
      <c r="OW28" s="27">
        <f>MAX(OW27,PortfolioFrontier[[#This Row],[P103 Growth]])</f>
        <v>1.1108221429044047</v>
      </c>
      <c r="OX28" s="27">
        <f>PortfolioFrontier[[#This Row],[P103 Growth]]/PortfolioFrontier[[#This Row],[P103 HWM]]-1</f>
        <v>-1.6554037368997299E-2</v>
      </c>
      <c r="OY28" s="28">
        <f>SUMPRODUCT(INDEX(PortfolioRef[[SPY]:[PE]],MATCH(OY$1,PortfolioRef[Reference '#]),0),AssetMonthlyReturns[[#This Row],[SPY]:[PE]])</f>
        <v>1.3951631050679959E-2</v>
      </c>
      <c r="OZ28" s="27">
        <f>IF(ISNUMBER(OZ27),OZ27*(1+PortfolioFrontier[[#This Row],[P104 Return]]),1+PortfolioFrontier[[#This Row],[P104 Return]])</f>
        <v>1.0988485222953965</v>
      </c>
      <c r="PA28" s="27">
        <f>MAX(PA27,PortfolioFrontier[[#This Row],[P104 Growth]])</f>
        <v>1.1147596869783387</v>
      </c>
      <c r="PB28" s="27">
        <f>PortfolioFrontier[[#This Row],[P104 Growth]]/PortfolioFrontier[[#This Row],[P104 HWM]]-1</f>
        <v>-1.4273179115465551E-2</v>
      </c>
      <c r="PC28" s="28">
        <f>SUMPRODUCT(INDEX(PortfolioRef[[SPY]:[PE]],MATCH(PC$1,PortfolioRef[Reference '#]),0),AssetMonthlyReturns[[#This Row],[SPY]:[PE]])</f>
        <v>1.1811060412215286E-2</v>
      </c>
      <c r="PD28" s="27">
        <f>IF(ISNUMBER(PD27),PD27*(1+PortfolioFrontier[[#This Row],[P105 Return]]),1+PortfolioFrontier[[#This Row],[P105 Return]])</f>
        <v>1.0953315310085592</v>
      </c>
      <c r="PE28" s="27">
        <f>MAX(PE27,PortfolioFrontier[[#This Row],[P105 Growth]])</f>
        <v>1.1114882053883932</v>
      </c>
      <c r="PF28" s="27">
        <f>PortfolioFrontier[[#This Row],[P105 Growth]]/PortfolioFrontier[[#This Row],[P105 HWM]]-1</f>
        <v>-1.4536073618692469E-2</v>
      </c>
      <c r="PG28" s="28">
        <f>SUMPRODUCT(INDEX(PortfolioRef[[SPY]:[PE]],MATCH(PG$1,PortfolioRef[Reference '#]),0),AssetMonthlyReturns[[#This Row],[SPY]:[PE]])</f>
        <v>9.6704897737506131E-3</v>
      </c>
      <c r="PH28" s="27">
        <f>IF(ISNUMBER(PH27),PH27*(1+PortfolioFrontier[[#This Row],[P106 Return]]),1+PortfolioFrontier[[#This Row],[P106 Return]])</f>
        <v>1.0917314149483877</v>
      </c>
      <c r="PI28" s="27">
        <f>MAX(PI27,PortfolioFrontier[[#This Row],[P106 Growth]])</f>
        <v>1.1081625057204503</v>
      </c>
      <c r="PJ28" s="27">
        <f>PortfolioFrontier[[#This Row],[P106 Growth]]/PortfolioFrontier[[#This Row],[P106 HWM]]-1</f>
        <v>-1.4827329644563569E-2</v>
      </c>
      <c r="PK28" s="28">
        <f>SUMPRODUCT(INDEX(PortfolioRef[[SPY]:[PE]],MATCH(PK$1,PortfolioRef[Reference '#]),0),AssetMonthlyReturns[[#This Row],[SPY]:[PE]])</f>
        <v>1.0584750078447136E-2</v>
      </c>
      <c r="PL28" s="27">
        <f>IF(ISNUMBER(PL27),PL27*(1+PortfolioFrontier[[#This Row],[P107 Return]]),1+PortfolioFrontier[[#This Row],[P107 Return]])</f>
        <v>1.0957021747556905</v>
      </c>
      <c r="PM28" s="27">
        <f>MAX(PM27,PortfolioFrontier[[#This Row],[P107 Growth]])</f>
        <v>1.115361983180845</v>
      </c>
      <c r="PN28" s="27">
        <f>PortfolioFrontier[[#This Row],[P107 Growth]]/PortfolioFrontier[[#This Row],[P107 HWM]]-1</f>
        <v>-1.7626392795895396E-2</v>
      </c>
      <c r="PO28" s="28">
        <f>SUMPRODUCT(INDEX(PortfolioRef[[SPY]:[PE]],MATCH(PO$1,PortfolioRef[Reference '#]),0),AssetMonthlyReturns[[#This Row],[SPY]:[PE]])</f>
        <v>8.444179439982465E-3</v>
      </c>
      <c r="PP28" s="27">
        <f>IF(ISNUMBER(PP27),PP27*(1+PortfolioFrontier[[#This Row],[P108 Return]]),1+PortfolioFrontier[[#This Row],[P108 Return]])</f>
        <v>1.0921927049566338</v>
      </c>
      <c r="PQ28" s="27">
        <f>MAX(PQ27,PortfolioFrontier[[#This Row],[P108 Growth]])</f>
        <v>1.1121091386149522</v>
      </c>
      <c r="PR28" s="27">
        <f>PortfolioFrontier[[#This Row],[P108 Growth]]/PortfolioFrontier[[#This Row],[P108 HWM]]-1</f>
        <v>-1.7908704251025975E-2</v>
      </c>
      <c r="PS28" s="28">
        <f>SUMPRODUCT(INDEX(PortfolioRef[[SPY]:[PE]],MATCH(PS$1,PortfolioRef[Reference '#]),0),AssetMonthlyReturns[[#This Row],[SPY]:[PE]])</f>
        <v>1.3022642473254959E-2</v>
      </c>
      <c r="PT28" s="27">
        <f>IF(ISNUMBER(PT27),PT27*(1+PortfolioFrontier[[#This Row],[P109 Return]]),1+PortfolioFrontier[[#This Row],[P109 Return]])</f>
        <v>1.0986297594784418</v>
      </c>
      <c r="PU28" s="27">
        <f>MAX(PU27,PortfolioFrontier[[#This Row],[P109 Growth]])</f>
        <v>1.1160738973525732</v>
      </c>
      <c r="PV28" s="27">
        <f>PortfolioFrontier[[#This Row],[P109 Growth]]/PortfolioFrontier[[#This Row],[P109 HWM]]-1</f>
        <v>-1.5629912961418135E-2</v>
      </c>
      <c r="PW28" s="28">
        <f>SUMPRODUCT(INDEX(PortfolioRef[[SPY]:[PE]],MATCH(PW$1,PortfolioRef[Reference '#]),0),AssetMonthlyReturns[[#This Row],[SPY]:[PE]])</f>
        <v>1.0882071834790286E-2</v>
      </c>
      <c r="PX28" s="27">
        <f>IF(ISNUMBER(PX27),PX27*(1+PortfolioFrontier[[#This Row],[P110 Return]]),1+PortfolioFrontier[[#This Row],[P110 Return]])</f>
        <v>1.0951416052681684</v>
      </c>
      <c r="PY28" s="27">
        <f>MAX(PY27,PortfolioFrontier[[#This Row],[P110 Growth]])</f>
        <v>1.1128272482723029</v>
      </c>
      <c r="PZ28" s="27">
        <f>PortfolioFrontier[[#This Row],[P110 Growth]]/PortfolioFrontier[[#This Row],[P110 HWM]]-1</f>
        <v>-1.5892532314959018E-2</v>
      </c>
      <c r="QA28" s="28">
        <f>SUMPRODUCT(INDEX(PortfolioRef[[SPY]:[PE]],MATCH(QA$1,PortfolioRef[Reference '#]),0),AssetMonthlyReturns[[#This Row],[SPY]:[PE]])</f>
        <v>8.7415011963256125E-3</v>
      </c>
      <c r="QB28" s="27">
        <f>IF(ISNUMBER(QB27),QB27*(1+PortfolioFrontier[[#This Row],[P111 Return]]),1+PortfolioFrontier[[#This Row],[P111 Return]])</f>
        <v>1.0915701538527229</v>
      </c>
      <c r="QC28" s="27">
        <f>MAX(QC27,PortfolioFrontier[[#This Row],[P111 Growth]])</f>
        <v>1.1095261691525546</v>
      </c>
      <c r="QD28" s="27">
        <f>PortfolioFrontier[[#This Row],[P111 Growth]]/PortfolioFrontier[[#This Row],[P111 HWM]]-1</f>
        <v>-1.6183498685340858E-2</v>
      </c>
      <c r="QE28" s="28">
        <f>SUMPRODUCT(INDEX(PortfolioRef[[SPY]:[PE]],MATCH(QE$1,PortfolioRef[Reference '#]),0),AssetMonthlyReturns[[#This Row],[SPY]:[PE]])</f>
        <v>1.5460534868062781E-2</v>
      </c>
      <c r="QF28" s="27">
        <f>IF(ISNUMBER(QF27),QF27*(1+PortfolioFrontier[[#This Row],[P112 Return]]),1+PortfolioFrontier[[#This Row],[P112 Return]])</f>
        <v>1.101468325715818</v>
      </c>
      <c r="QG28" s="27">
        <f>MAX(QG27,PortfolioFrontier[[#This Row],[P112 Growth]])</f>
        <v>1.1167074070352945</v>
      </c>
      <c r="QH28" s="27">
        <f>PortfolioFrontier[[#This Row],[P112 Growth]]/PortfolioFrontier[[#This Row],[P112 HWM]]-1</f>
        <v>-1.3646440619512146E-2</v>
      </c>
      <c r="QI28" s="28">
        <f>SUMPRODUCT(INDEX(PortfolioRef[[SPY]:[PE]],MATCH(QI$1,PortfolioRef[Reference '#]),0),AssetMonthlyReturns[[#This Row],[SPY]:[PE]])</f>
        <v>1.331996422959811E-2</v>
      </c>
      <c r="QJ28" s="27">
        <f>IF(ISNUMBER(QJ27),QJ27*(1+PortfolioFrontier[[#This Row],[P113 Return]]),1+PortfolioFrontier[[#This Row],[P113 Return]])</f>
        <v>1.0980019452408063</v>
      </c>
      <c r="QK28" s="27">
        <f>MAX(QK27,PortfolioFrontier[[#This Row],[P113 Growth]])</f>
        <v>1.1134671592191805</v>
      </c>
      <c r="QL28" s="27">
        <f>PortfolioFrontier[[#This Row],[P113 Growth]]/PortfolioFrontier[[#This Row],[P113 HWM]]-1</f>
        <v>-1.3889241232062144E-2</v>
      </c>
      <c r="QM28" s="28">
        <f>SUMPRODUCT(INDEX(PortfolioRef[[SPY]:[PE]],MATCH(QM$1,PortfolioRef[Reference '#]),0),AssetMonthlyReturns[[#This Row],[SPY]:[PE]])</f>
        <v>1.1179393591133435E-2</v>
      </c>
      <c r="QN28" s="27">
        <f>IF(ISNUMBER(QN27),QN27*(1+PortfolioFrontier[[#This Row],[P114 Return]]),1+PortfolioFrontier[[#This Row],[P114 Return]])</f>
        <v>1.0944517366830568</v>
      </c>
      <c r="QO28" s="27">
        <f>MAX(QO27,PortfolioFrontier[[#This Row],[P114 Growth]])</f>
        <v>1.1101723689910592</v>
      </c>
      <c r="QP28" s="27">
        <f>PortfolioFrontier[[#This Row],[P114 Growth]]/PortfolioFrontier[[#This Row],[P114 HWM]]-1</f>
        <v>-1.4160532856973829E-2</v>
      </c>
      <c r="QQ28" s="28">
        <f>SUMPRODUCT(INDEX(PortfolioRef[[SPY]:[PE]],MATCH(QQ$1,PortfolioRef[Reference '#]),0),AssetMonthlyReturns[[#This Row],[SPY]:[PE]])</f>
        <v>1.209365389582996E-2</v>
      </c>
      <c r="QR28" s="27">
        <f>IF(ISNUMBER(QR27),QR27*(1+PortfolioFrontier[[#This Row],[P115 Return]]),1+PortfolioFrontier[[#This Row],[P115 Return]])</f>
        <v>1.0983502760810426</v>
      </c>
      <c r="QS28" s="27">
        <f>MAX(QS27,PortfolioFrontier[[#This Row],[P115 Growth]])</f>
        <v>1.1173289956889407</v>
      </c>
      <c r="QT28" s="27">
        <f>PortfolioFrontier[[#This Row],[P115 Growth]]/PortfolioFrontier[[#This Row],[P115 HWM]]-1</f>
        <v>-1.6985793513929037E-2</v>
      </c>
      <c r="QU28" s="28">
        <f>SUMPRODUCT(INDEX(PortfolioRef[[SPY]:[PE]],MATCH(QU$1,PortfolioRef[Reference '#]),0),AssetMonthlyReturns[[#This Row],[SPY]:[PE]])</f>
        <v>9.9530832573652851E-3</v>
      </c>
      <c r="QV28" s="27">
        <f>IF(ISNUMBER(QV27),QV27*(1+PortfolioFrontier[[#This Row],[P116 Return]]),1+PortfolioFrontier[[#This Row],[P116 Return]])</f>
        <v>1.0948910685429647</v>
      </c>
      <c r="QW28" s="27">
        <f>MAX(QW27,PortfolioFrontier[[#This Row],[P116 Growth]])</f>
        <v>1.1141073475867118</v>
      </c>
      <c r="QX28" s="27">
        <f>PortfolioFrontier[[#This Row],[P116 Growth]]/PortfolioFrontier[[#This Row],[P116 HWM]]-1</f>
        <v>-1.7248139584907896E-2</v>
      </c>
      <c r="QY28" s="28">
        <f>SUMPRODUCT(INDEX(PortfolioRef[[SPY]:[PE]],MATCH(QY$1,PortfolioRef[Reference '#]),0),AssetMonthlyReturns[[#This Row],[SPY]:[PE]])</f>
        <v>7.8125126189006119E-3</v>
      </c>
      <c r="QZ28" s="27">
        <f>IF(ISNUMBER(QZ27),QZ27*(1+PortfolioFrontier[[#This Row],[P117 Return]]),1+PortfolioFrontier[[#This Row],[P117 Return]])</f>
        <v>1.0913483966680211</v>
      </c>
      <c r="RA28" s="27">
        <f>MAX(RA27,PortfolioFrontier[[#This Row],[P117 Growth]])</f>
        <v>1.1108310606542744</v>
      </c>
      <c r="RB28" s="27">
        <f>PortfolioFrontier[[#This Row],[P117 Growth]]/PortfolioFrontier[[#This Row],[P117 HWM]]-1</f>
        <v>-1.7538818166263792E-2</v>
      </c>
      <c r="RC28" s="28">
        <f>SUMPRODUCT(INDEX(PortfolioRef[[SPY]:[PE]],MATCH(RC$1,PortfolioRef[Reference '#]),0),AssetMonthlyReturns[[#This Row],[SPY]:[PE]])</f>
        <v>1.4531546290637781E-2</v>
      </c>
      <c r="RD28" s="27">
        <f>IF(ISNUMBER(RD27),RD27*(1+PortfolioFrontier[[#This Row],[P118 Return]]),1+PortfolioFrontier[[#This Row],[P118 Return]])</f>
        <v>1.1012398225554296</v>
      </c>
      <c r="RE28" s="27">
        <f>MAX(RE27,PortfolioFrontier[[#This Row],[P118 Growth]])</f>
        <v>1.118014625073851</v>
      </c>
      <c r="RF28" s="27">
        <f>PortfolioFrontier[[#This Row],[P118 Growth]]/PortfolioFrontier[[#This Row],[P118 HWM]]-1</f>
        <v>-1.5004099358103873E-2</v>
      </c>
      <c r="RG28" s="28">
        <f>SUMPRODUCT(INDEX(PortfolioRef[[SPY]:[PE]],MATCH(RG$1,PortfolioRef[Reference '#]),0),AssetMonthlyReturns[[#This Row],[SPY]:[PE]])</f>
        <v>1.2390975652173109E-2</v>
      </c>
      <c r="RH28" s="27">
        <f>IF(ISNUMBER(RH27),RH27*(1+PortfolioFrontier[[#This Row],[P119 Return]]),1+PortfolioFrontier[[#This Row],[P119 Return]])</f>
        <v>1.0978023670448609</v>
      </c>
      <c r="RI28" s="27">
        <f>MAX(RI27,PortfolioFrontier[[#This Row],[P119 Growth]])</f>
        <v>1.1147993042867748</v>
      </c>
      <c r="RJ28" s="27">
        <f>PortfolioFrontier[[#This Row],[P119 Growth]]/PortfolioFrontier[[#This Row],[P119 HWM]]-1</f>
        <v>-1.5246634238606838E-2</v>
      </c>
      <c r="RK28" s="28">
        <f>SUMPRODUCT(INDEX(PortfolioRef[[SPY]:[PE]],MATCH(RK$1,PortfolioRef[Reference '#]),0),AssetMonthlyReturns[[#This Row],[SPY]:[PE]])</f>
        <v>1.0250405013708434E-2</v>
      </c>
      <c r="RL28" s="27">
        <f>IF(ISNUMBER(RL27),RL27*(1+PortfolioFrontier[[#This Row],[P120 Return]]),1+PortfolioFrontier[[#This Row],[P120 Return]])</f>
        <v>1.0942809134584106</v>
      </c>
      <c r="RM28" s="27">
        <f>MAX(RM27,PortfolioFrontier[[#This Row],[P120 Growth]])</f>
        <v>1.1115292301273156</v>
      </c>
      <c r="RN28" s="27">
        <f>PortfolioFrontier[[#This Row],[P120 Growth]]/PortfolioFrontier[[#This Row],[P120 HWM]]-1</f>
        <v>-1.5517645601573093E-2</v>
      </c>
      <c r="RO28" s="28">
        <f>SUMPRODUCT(INDEX(PortfolioRef[[SPY]:[PE]],MATCH(RO$1,PortfolioRef[Reference '#]),0),AssetMonthlyReturns[[#This Row],[SPY]:[PE]])</f>
        <v>1.6969438685445606E-2</v>
      </c>
      <c r="RP28" s="27">
        <f>IF(ISNUMBER(RP27),RP27*(1+PortfolioFrontier[[#This Row],[P121 Return]]),1+PortfolioFrontier[[#This Row],[P121 Return]])</f>
        <v>1.1040399197827582</v>
      </c>
      <c r="RQ28" s="27">
        <f>MAX(RQ27,PortfolioFrontier[[#This Row],[P121 Growth]])</f>
        <v>1.118621731160943</v>
      </c>
      <c r="RR28" s="27">
        <f>PortfolioFrontier[[#This Row],[P121 Growth]]/PortfolioFrontier[[#This Row],[P121 HWM]]-1</f>
        <v>-1.303551591390173E-2</v>
      </c>
      <c r="RS28" s="28">
        <f>SUMPRODUCT(INDEX(PortfolioRef[[SPY]:[PE]],MATCH(RS$1,PortfolioRef[Reference '#]),0),AssetMonthlyReturns[[#This Row],[SPY]:[PE]])</f>
        <v>1.482886804698093E-2</v>
      </c>
      <c r="RT28" s="27">
        <f>IF(ISNUMBER(RT27),RT27*(1+PortfolioFrontier[[#This Row],[P122 Return]]),1+PortfolioFrontier[[#This Row],[P122 Return]])</f>
        <v>1.1006246707507394</v>
      </c>
      <c r="RU28" s="27">
        <f>MAX(RU27,PortfolioFrontier[[#This Row],[P122 Growth]])</f>
        <v>1.1154129412250284</v>
      </c>
      <c r="RV28" s="27">
        <f>PortfolioFrontier[[#This Row],[P122 Growth]]/PortfolioFrontier[[#This Row],[P122 HWM]]-1</f>
        <v>-1.3258112693266266E-2</v>
      </c>
      <c r="RW28" s="28">
        <f>SUMPRODUCT(INDEX(PortfolioRef[[SPY]:[PE]],MATCH(RW$1,PortfolioRef[Reference '#]),0),AssetMonthlyReturns[[#This Row],[SPY]:[PE]])</f>
        <v>1.2688297408516258E-2</v>
      </c>
      <c r="RX28" s="27">
        <f>IF(ISNUMBER(RX27),RX27*(1+PortfolioFrontier[[#This Row],[P123 Return]]),1+PortfolioFrontier[[#This Row],[P123 Return]])</f>
        <v>1.097124894813567</v>
      </c>
      <c r="RY28" s="27">
        <f>MAX(RY27,PortfolioFrontier[[#This Row],[P123 Growth]])</f>
        <v>1.1121492867844014</v>
      </c>
      <c r="RZ28" s="27">
        <f>PortfolioFrontier[[#This Row],[P123 Growth]]/PortfolioFrontier[[#This Row],[P123 HWM]]-1</f>
        <v>-1.3509330221552318E-2</v>
      </c>
      <c r="SA28" s="28">
        <f>SUMPRODUCT(INDEX(PortfolioRef[[SPY]:[PE]],MATCH(SA$1,PortfolioRef[Reference '#]),0),AssetMonthlyReturns[[#This Row],[SPY]:[PE]])</f>
        <v>1.360255771321278E-2</v>
      </c>
      <c r="SB28" s="27">
        <f>IF(ISNUMBER(SB27),SB27*(1+PortfolioFrontier[[#This Row],[P124 Return]]),1+PortfolioFrontier[[#This Row],[P124 Return]])</f>
        <v>1.1009505341469565</v>
      </c>
      <c r="SC28" s="27">
        <f>MAX(SC27,PortfolioFrontier[[#This Row],[P124 Growth]])</f>
        <v>1.1192626821867915</v>
      </c>
      <c r="SD28" s="27">
        <f>PortfolioFrontier[[#This Row],[P124 Growth]]/PortfolioFrontier[[#This Row],[P124 HWM]]-1</f>
        <v>-1.6360902879435812E-2</v>
      </c>
      <c r="SE28" s="28">
        <f>SUMPRODUCT(INDEX(PortfolioRef[[SPY]:[PE]],MATCH(SE$1,PortfolioRef[Reference '#]),0),AssetMonthlyReturns[[#This Row],[SPY]:[PE]])</f>
        <v>1.1461987074748109E-2</v>
      </c>
      <c r="SF28" s="27">
        <f>IF(ISNUMBER(SF27),SF27*(1+PortfolioFrontier[[#This Row],[P125 Return]]),1+PortfolioFrontier[[#This Row],[P125 Return]])</f>
        <v>1.0975421102585361</v>
      </c>
      <c r="SG28" s="27">
        <f>MAX(SG27,PortfolioFrontier[[#This Row],[P125 Growth]])</f>
        <v>1.1160724553162842</v>
      </c>
      <c r="SH28" s="27">
        <f>PortfolioFrontier[[#This Row],[P125 Growth]]/PortfolioFrontier[[#This Row],[P125 HWM]]-1</f>
        <v>-1.6603173897430157E-2</v>
      </c>
      <c r="SI28" s="28">
        <f>SUMPRODUCT(INDEX(PortfolioRef[[SPY]:[PE]],MATCH(SI$1,PortfolioRef[Reference '#]),0),AssetMonthlyReturns[[#This Row],[SPY]:[PE]])</f>
        <v>9.3214164362834355E-3</v>
      </c>
      <c r="SJ28" s="27">
        <f>IF(ISNUMBER(SJ27),SJ27*(1+PortfolioFrontier[[#This Row],[P126 Return]]),1+PortfolioFrontier[[#This Row],[P126 Return]])</f>
        <v>1.0940495236292216</v>
      </c>
      <c r="SK28" s="27">
        <f>MAX(SK27,PortfolioFrontier[[#This Row],[P126 Growth]])</f>
        <v>1.1128272672970145</v>
      </c>
      <c r="SL28" s="27">
        <f>PortfolioFrontier[[#This Row],[P126 Growth]]/PortfolioFrontier[[#This Row],[P126 HWM]]-1</f>
        <v>-1.6873906867328037E-2</v>
      </c>
      <c r="SM28" s="28">
        <f>SUMPRODUCT(INDEX(PortfolioRef[[SPY]:[PE]],MATCH(SM$1,PortfolioRef[Reference '#]),0),AssetMonthlyReturns[[#This Row],[SPY]:[PE]])</f>
        <v>1.6040450108020604E-2</v>
      </c>
      <c r="SN28" s="27">
        <f>IF(ISNUMBER(SN27),SN27*(1+PortfolioFrontier[[#This Row],[P127 Return]]),1+PortfolioFrontier[[#This Row],[P127 Return]])</f>
        <v>1.1038016461653335</v>
      </c>
      <c r="SO28" s="27">
        <f>MAX(SO27,PortfolioFrontier[[#This Row],[P127 Growth]])</f>
        <v>1.1199219045312785</v>
      </c>
      <c r="SP28" s="27">
        <f>PortfolioFrontier[[#This Row],[P127 Growth]]/PortfolioFrontier[[#This Row],[P127 HWM]]-1</f>
        <v>-1.4394091499345896E-2</v>
      </c>
      <c r="SQ28" s="28">
        <f>SUMPRODUCT(INDEX(PortfolioRef[[SPY]:[PE]],MATCH(SQ$1,PortfolioRef[Reference '#]),0),AssetMonthlyReturns[[#This Row],[SPY]:[PE]])</f>
        <v>1.3899879469555931E-2</v>
      </c>
      <c r="SR28" s="27">
        <f>IF(ISNUMBER(SR27),SR27*(1+PortfolioFrontier[[#This Row],[P128 Return]]),1+PortfolioFrontier[[#This Row],[P128 Return]])</f>
        <v>1.1004154084146265</v>
      </c>
      <c r="SS28" s="27">
        <f>MAX(SS27,PortfolioFrontier[[#This Row],[P128 Growth]])</f>
        <v>1.1167381354223636</v>
      </c>
      <c r="ST28" s="27">
        <f>PortfolioFrontier[[#This Row],[P128 Growth]]/PortfolioFrontier[[#This Row],[P128 HWM]]-1</f>
        <v>-1.4616431990623902E-2</v>
      </c>
      <c r="SU28" s="28">
        <f>SUMPRODUCT(INDEX(PortfolioRef[[SPY]:[PE]],MATCH(SU$1,PortfolioRef[Reference '#]),0),AssetMonthlyReturns[[#This Row],[SPY]:[PE]])</f>
        <v>1.1759308831091258E-2</v>
      </c>
      <c r="SV28" s="27">
        <f>IF(ISNUMBER(SV27),SV27*(1+PortfolioFrontier[[#This Row],[P129 Return]]),1+PortfolioFrontier[[#This Row],[P129 Return]])</f>
        <v>1.0969444762317919</v>
      </c>
      <c r="SW28" s="27">
        <f>MAX(SW27,PortfolioFrontier[[#This Row],[P129 Growth]])</f>
        <v>1.1134992918602598</v>
      </c>
      <c r="SX28" s="27">
        <f>PortfolioFrontier[[#This Row],[P129 Growth]]/PortfolioFrontier[[#This Row],[P129 HWM]]-1</f>
        <v>-1.4867378676829412E-2</v>
      </c>
      <c r="SY28" s="28">
        <f>SUMPRODUCT(INDEX(PortfolioRef[[SPY]:[PE]],MATCH(SY$1,PortfolioRef[Reference '#]),0),AssetMonthlyReturns[[#This Row],[SPY]:[PE]])</f>
        <v>1.8478342502828426E-2</v>
      </c>
      <c r="SZ28" s="27">
        <f>IF(ISNUMBER(SZ27),SZ27*(1+PortfolioFrontier[[#This Row],[P130 Return]]),1+PortfolioFrontier[[#This Row],[P130 Return]])</f>
        <v>1.1065628831657994</v>
      </c>
      <c r="TA28" s="27">
        <f>MAX(TA27,PortfolioFrontier[[#This Row],[P130 Growth]])</f>
        <v>1.1205024879473076</v>
      </c>
      <c r="TB28" s="27">
        <f>PortfolioFrontier[[#This Row],[P130 Growth]]/PortfolioFrontier[[#This Row],[P130 HWM]]-1</f>
        <v>-1.2440494270605895E-2</v>
      </c>
      <c r="TC28" s="28">
        <f>SUMPRODUCT(INDEX(PortfolioRef[[SPY]:[PE]],MATCH(TC$1,PortfolioRef[Reference '#]),0),AssetMonthlyReturns[[#This Row],[SPY]:[PE]])</f>
        <v>1.6337771864363752E-2</v>
      </c>
      <c r="TD28" s="27">
        <f>IF(ISNUMBER(TD27),TD27*(1+PortfolioFrontier[[#This Row],[P131 Return]]),1+PortfolioFrontier[[#This Row],[P131 Return]])</f>
        <v>1.1031992822263412</v>
      </c>
      <c r="TE28" s="27">
        <f>MAX(TE27,PortfolioFrontier[[#This Row],[P131 Growth]])</f>
        <v>1.1173253778747425</v>
      </c>
      <c r="TF28" s="27">
        <f>PortfolioFrontier[[#This Row],[P131 Growth]]/PortfolioFrontier[[#This Row],[P131 HWM]]-1</f>
        <v>-1.2642777053243348E-2</v>
      </c>
      <c r="TG28" s="28">
        <f>SUMPRODUCT(INDEX(PortfolioRef[[SPY]:[PE]],MATCH(TG$1,PortfolioRef[Reference '#]),0),AssetMonthlyReturns[[#This Row],[SPY]:[PE]])</f>
        <v>1.419720122589908E-2</v>
      </c>
      <c r="TH28" s="27">
        <f>IF(ISNUMBER(TH27),TH27*(1+PortfolioFrontier[[#This Row],[P132 Return]]),1+PortfolioFrontier[[#This Row],[P132 Return]])</f>
        <v>1.0997504601641046</v>
      </c>
      <c r="TI28" s="27">
        <f>MAX(TI27,PortfolioFrontier[[#This Row],[P132 Growth]])</f>
        <v>1.1140930834761242</v>
      </c>
      <c r="TJ28" s="27">
        <f>PortfolioFrontier[[#This Row],[P132 Growth]]/PortfolioFrontier[[#This Row],[P132 HWM]]-1</f>
        <v>-1.2873810568205579E-2</v>
      </c>
      <c r="TK28" s="28">
        <f>SUMPRODUCT(INDEX(PortfolioRef[[SPY]:[PE]],MATCH(TK$1,PortfolioRef[Reference '#]),0),AssetMonthlyReturns[[#This Row],[SPY]:[PE]])</f>
        <v>1.5111461530595604E-2</v>
      </c>
      <c r="TL28" s="27">
        <f>IF(ISNUMBER(TL27),TL27*(1+PortfolioFrontier[[#This Row],[P133 Return]]),1+PortfolioFrontier[[#This Row],[P133 Return]])</f>
        <v>1.1035025252049395</v>
      </c>
      <c r="TM28" s="27">
        <f>MAX(TM27,PortfolioFrontier[[#This Row],[P133 Growth]])</f>
        <v>1.1211628696411426</v>
      </c>
      <c r="TN28" s="27">
        <f>PortfolioFrontier[[#This Row],[P133 Growth]]/PortfolioFrontier[[#This Row],[P133 HWM]]-1</f>
        <v>-1.5751809941632944E-2</v>
      </c>
      <c r="TO28" s="28">
        <f>SUMPRODUCT(INDEX(PortfolioRef[[SPY]:[PE]],MATCH(TO$1,PortfolioRef[Reference '#]),0),AssetMonthlyReturns[[#This Row],[SPY]:[PE]])</f>
        <v>1.2970890892130932E-2</v>
      </c>
      <c r="TP28" s="27">
        <f>IF(ISNUMBER(TP27),TP27*(1+PortfolioFrontier[[#This Row],[P134 Return]]),1+PortfolioFrontier[[#This Row],[P134 Return]])</f>
        <v>1.1001454024375912</v>
      </c>
      <c r="TQ28" s="27">
        <f>MAX(TQ27,PortfolioFrontier[[#This Row],[P134 Growth]])</f>
        <v>1.1180042866589928</v>
      </c>
      <c r="TR28" s="27">
        <f>PortfolioFrontier[[#This Row],[P134 Growth]]/PortfolioFrontier[[#This Row],[P134 HWM]]-1</f>
        <v>-1.5973896016776901E-2</v>
      </c>
      <c r="TS28" s="28">
        <f>SUMPRODUCT(INDEX(PortfolioRef[[SPY]:[PE]],MATCH(TS$1,PortfolioRef[Reference '#]),0),AssetMonthlyReturns[[#This Row],[SPY]:[PE]])</f>
        <v>1.0830320253666259E-2</v>
      </c>
      <c r="TT28" s="27">
        <f>IF(ISNUMBER(TT27),TT27*(1+PortfolioFrontier[[#This Row],[P135 Return]]),1+PortfolioFrontier[[#This Row],[P135 Return]])</f>
        <v>1.0967034230669639</v>
      </c>
      <c r="TU28" s="27">
        <f>MAX(TU27,PortfolioFrontier[[#This Row],[P135 Growth]])</f>
        <v>1.1147904224723095</v>
      </c>
      <c r="TV28" s="27">
        <f>PortfolioFrontier[[#This Row],[P135 Growth]]/PortfolioFrontier[[#This Row],[P135 HWM]]-1</f>
        <v>-1.6224573732193992E-2</v>
      </c>
      <c r="TW28" s="28">
        <f>SUMPRODUCT(INDEX(PortfolioRef[[SPY]:[PE]],MATCH(TW$1,PortfolioRef[Reference '#]),0),AssetMonthlyReturns[[#This Row],[SPY]:[PE]])</f>
        <v>1.7549353925403428E-2</v>
      </c>
      <c r="TX28" s="27">
        <f>IF(ISNUMBER(TX27),TX27*(1+PortfolioFrontier[[#This Row],[P136 Return]]),1+PortfolioFrontier[[#This Row],[P136 Return]])</f>
        <v>1.1063148098791875</v>
      </c>
      <c r="TY28" s="27">
        <f>MAX(TY27,PortfolioFrontier[[#This Row],[P136 Growth]])</f>
        <v>1.1217955647045177</v>
      </c>
      <c r="TZ28" s="27">
        <f>PortfolioFrontier[[#This Row],[P136 Growth]]/PortfolioFrontier[[#This Row],[P136 HWM]]-1</f>
        <v>-1.3799978634616794E-2</v>
      </c>
      <c r="UA28" s="28">
        <f>SUMPRODUCT(INDEX(PortfolioRef[[SPY]:[PE]],MATCH(UA$1,PortfolioRef[Reference '#]),0),AssetMonthlyReturns[[#This Row],[SPY]:[PE]])</f>
        <v>1.5408783286938755E-2</v>
      </c>
      <c r="UB28" s="27">
        <f>IF(ISNUMBER(UB27),UB27*(1+PortfolioFrontier[[#This Row],[P137 Return]]),1+PortfolioFrontier[[#This Row],[P137 Return]])</f>
        <v>1.102980304951237</v>
      </c>
      <c r="UC28" s="27">
        <f>MAX(UC27,PortfolioFrontier[[#This Row],[P137 Growth]])</f>
        <v>1.1186435685293665</v>
      </c>
      <c r="UD28" s="27">
        <f>PortfolioFrontier[[#This Row],[P137 Growth]]/PortfolioFrontier[[#This Row],[P137 HWM]]-1</f>
        <v>-1.4002014599450385E-2</v>
      </c>
      <c r="UE28" s="28">
        <f>SUMPRODUCT(INDEX(PortfolioRef[[SPY]:[PE]],MATCH(UE$1,PortfolioRef[Reference '#]),0),AssetMonthlyReturns[[#This Row],[SPY]:[PE]])</f>
        <v>1.3268212648474081E-2</v>
      </c>
      <c r="UF28" s="27">
        <f>IF(ISNUMBER(UF27),UF27*(1+PortfolioFrontier[[#This Row],[P138 Return]]),1+PortfolioFrontier[[#This Row],[P138 Return]])</f>
        <v>1.0995604138670427</v>
      </c>
      <c r="UG28" s="27">
        <f>MAX(UG27,PortfolioFrontier[[#This Row],[P138 Growth]])</f>
        <v>1.1154361791023262</v>
      </c>
      <c r="UH28" s="27">
        <f>PortfolioFrontier[[#This Row],[P138 Growth]]/PortfolioFrontier[[#This Row],[P138 HWM]]-1</f>
        <v>-1.4232786718519241E-2</v>
      </c>
      <c r="UI28" s="28">
        <f>SUMPRODUCT(INDEX(PortfolioRef[[SPY]:[PE]],MATCH(UI$1,PortfolioRef[Reference '#]),0),AssetMonthlyReturns[[#This Row],[SPY]:[PE]])</f>
        <v>1.9987246320211254E-2</v>
      </c>
      <c r="UJ28" s="27">
        <f>IF(ISNUMBER(UJ27),UJ27*(1+PortfolioFrontier[[#This Row],[P139 Return]]),1+PortfolioFrontier[[#This Row],[P139 Return]])</f>
        <v>1.1090367988350567</v>
      </c>
      <c r="UK28" s="27">
        <f>MAX(UK27,PortfolioFrontier[[#This Row],[P139 Growth]])</f>
        <v>1.1223495084031516</v>
      </c>
      <c r="UL28" s="27">
        <f>PortfolioFrontier[[#This Row],[P139 Growth]]/PortfolioFrontier[[#This Row],[P139 HWM]]-1</f>
        <v>-1.1861465139353822E-2</v>
      </c>
      <c r="UM28" s="28">
        <f>SUMPRODUCT(INDEX(PortfolioRef[[SPY]:[PE]],MATCH(UM$1,PortfolioRef[Reference '#]),0),AssetMonthlyReturns[[#This Row],[SPY]:[PE]])</f>
        <v>1.7846675681746575E-2</v>
      </c>
      <c r="UN28" s="27">
        <f>IF(ISNUMBER(UN27),UN27*(1+PortfolioFrontier[[#This Row],[P140 Return]]),1+PortfolioFrontier[[#This Row],[P140 Return]])</f>
        <v>1.1057253585606632</v>
      </c>
      <c r="UO28" s="27">
        <f>MAX(UO27,PortfolioFrontier[[#This Row],[P140 Growth]])</f>
        <v>1.1192042980299706</v>
      </c>
      <c r="UP28" s="27">
        <f>PortfolioFrontier[[#This Row],[P140 Growth]]/PortfolioFrontier[[#This Row],[P140 HWM]]-1</f>
        <v>-1.2043323540691375E-2</v>
      </c>
      <c r="UQ28" s="28">
        <f>SUMPRODUCT(INDEX(PortfolioRef[[SPY]:[PE]],MATCH(UQ$1,PortfolioRef[Reference '#]),0),AssetMonthlyReturns[[#This Row],[SPY]:[PE]])</f>
        <v>1.57061050432819E-2</v>
      </c>
      <c r="UR28" s="27">
        <f>IF(ISNUMBER(UR27),UR27*(1+PortfolioFrontier[[#This Row],[P141 Return]]),1+PortfolioFrontier[[#This Row],[P141 Return]])</f>
        <v>1.1023280076683764</v>
      </c>
      <c r="US28" s="27">
        <f>MAX(US27,PortfolioFrontier[[#This Row],[P141 Growth]])</f>
        <v>1.1160035858106589</v>
      </c>
      <c r="UT28" s="27">
        <f>PortfolioFrontier[[#This Row],[P141 Growth]]/PortfolioFrontier[[#This Row],[P141 HWM]]-1</f>
        <v>-1.2254062904599627E-2</v>
      </c>
    </row>
    <row r="29" spans="2:566" x14ac:dyDescent="0.2">
      <c r="B29" s="41">
        <f>AssetMonthlyReturns[[#This Row],[Date]]</f>
        <v>43252</v>
      </c>
      <c r="C29" s="28">
        <f>SUMPRODUCT(INDEX(PortfolioRef[[SPY]:[PE]],MATCH(C$1,PortfolioRef[Reference '#]),0),AssetMonthlyReturns[[#This Row],[SPY]:[PE]])</f>
        <v>4.7951615794555896E-4</v>
      </c>
      <c r="D29" s="29">
        <f>IF(ISNUMBER(D28),D28*(1+PortfolioFrontier[[#This Row],[P1 Return]]),1+PortfolioFrontier[[#This Row],[P1 Return]])</f>
        <v>1.198591056184255</v>
      </c>
      <c r="E29" s="29">
        <f>MAX(E28,PortfolioFrontier[[#This Row],[P1 Growth]])</f>
        <v>1.2268807402593727</v>
      </c>
      <c r="F29" s="29">
        <f>PortfolioFrontier[[#This Row],[P1 Growth]]/PortfolioFrontier[[#This Row],[P1 HWM]]-1</f>
        <v>-2.3058218412603804E-2</v>
      </c>
      <c r="G29" s="28">
        <f>SUMPRODUCT(INDEX(PortfolioRef[[SPY]:[PE]],MATCH(G$1,PortfolioRef[Reference '#]),0),AssetMonthlyReturns[[#This Row],[SPY]:[PE]])</f>
        <v>4.6434635775366467E-4</v>
      </c>
      <c r="H29" s="27">
        <f>IF(ISNUMBER(H28),H28*(1+PortfolioFrontier[[#This Row],[P2 Return]]),1+PortfolioFrontier[[#This Row],[P2 Return]])</f>
        <v>1.1806014467049091</v>
      </c>
      <c r="I29" s="27">
        <f>MAX(I28,PortfolioFrontier[[#This Row],[P2 Growth]])</f>
        <v>1.2068315625281993</v>
      </c>
      <c r="J29" s="27">
        <f>PortfolioFrontier[[#This Row],[P2 Growth]]/PortfolioFrontier[[#This Row],[P2 HWM]]-1</f>
        <v>-2.1734694913298935E-2</v>
      </c>
      <c r="K29" s="28">
        <f>SUMPRODUCT(INDEX(PortfolioRef[[SPY]:[PE]],MATCH(K$1,PortfolioRef[Reference '#]),0),AssetMonthlyReturns[[#This Row],[SPY]:[PE]])</f>
        <v>-1.3906956195583622E-3</v>
      </c>
      <c r="L29" s="27">
        <f>IF(ISNUMBER(L28),L28*(1+PortfolioFrontier[[#This Row],[P3 Return]]),1+PortfolioFrontier[[#This Row],[P3 Return]])</f>
        <v>1.1782260917175484</v>
      </c>
      <c r="M29" s="27">
        <f>MAX(M28,PortfolioFrontier[[#This Row],[P3 Growth]])</f>
        <v>1.2083023864943216</v>
      </c>
      <c r="N29" s="27">
        <f>PortfolioFrontier[[#This Row],[P3 Growth]]/PortfolioFrontier[[#This Row],[P3 HWM]]-1</f>
        <v>-2.4891364208949662E-2</v>
      </c>
      <c r="O29" s="28">
        <f>SUMPRODUCT(INDEX(PortfolioRef[[SPY]:[PE]],MATCH(O$1,PortfolioRef[Reference '#]),0),AssetMonthlyReturns[[#This Row],[SPY]:[PE]])</f>
        <v>2.0392801021447246E-3</v>
      </c>
      <c r="P29" s="27">
        <f>IF(ISNUMBER(P28),P28*(1+PortfolioFrontier[[#This Row],[P4 Return]]),1+PortfolioFrontier[[#This Row],[P4 Return]])</f>
        <v>1.1853187161695677</v>
      </c>
      <c r="Q29" s="27">
        <f>MAX(Q28,PortfolioFrontier[[#This Row],[P4 Growth]])</f>
        <v>1.2089685098853755</v>
      </c>
      <c r="R29" s="27">
        <f>PortfolioFrontier[[#This Row],[P4 Growth]]/PortfolioFrontier[[#This Row],[P4 HWM]]-1</f>
        <v>-1.9561960069621742E-2</v>
      </c>
      <c r="S29" s="28">
        <f>SUMPRODUCT(INDEX(PortfolioRef[[SPY]:[PE]],MATCH(S$1,PortfolioRef[Reference '#]),0),AssetMonthlyReturns[[#This Row],[SPY]:[PE]])</f>
        <v>4.2508301750324742E-4</v>
      </c>
      <c r="T29" s="27">
        <f>IF(ISNUMBER(T28),T28*(1+PortfolioFrontier[[#This Row],[P5 Return]]),1+PortfolioFrontier[[#This Row],[P5 Return]])</f>
        <v>1.1795856883707441</v>
      </c>
      <c r="U29" s="27">
        <f>MAX(U28,PortfolioFrontier[[#This Row],[P5 Growth]])</f>
        <v>1.2053902876248646</v>
      </c>
      <c r="V29" s="27">
        <f>PortfolioFrontier[[#This Row],[P5 Growth]]/PortfolioFrontier[[#This Row],[P5 HWM]]-1</f>
        <v>-2.1407671456326938E-2</v>
      </c>
      <c r="W29" s="28">
        <f>SUMPRODUCT(INDEX(PortfolioRef[[SPY]:[PE]],MATCH(W$1,PortfolioRef[Reference '#]),0),AssetMonthlyReturns[[#This Row],[SPY]:[PE]])</f>
        <v>4.4917655756177038E-4</v>
      </c>
      <c r="X29" s="27">
        <f>IF(ISNUMBER(X28),X28*(1+PortfolioFrontier[[#This Row],[P6 Return]]),1+PortfolioFrontier[[#This Row],[P6 Return]])</f>
        <v>1.1628302053794553</v>
      </c>
      <c r="Y29" s="27">
        <f>MAX(Y28,PortfolioFrontier[[#This Row],[P6 Growth]])</f>
        <v>1.1870654596234402</v>
      </c>
      <c r="Z29" s="27">
        <f>PortfolioFrontier[[#This Row],[P6 Growth]]/PortfolioFrontier[[#This Row],[P6 HWM]]-1</f>
        <v>-2.0416105992733469E-2</v>
      </c>
      <c r="AA29" s="28">
        <f>SUMPRODUCT(INDEX(PortfolioRef[[SPY]:[PE]],MATCH(AA$1,PortfolioRef[Reference '#]),0),AssetMonthlyReturns[[#This Row],[SPY]:[PE]])</f>
        <v>-1.4058654197502565E-3</v>
      </c>
      <c r="AB29" s="27">
        <f>IF(ISNUMBER(AB28),AB28*(1+PortfolioFrontier[[#This Row],[P7 Return]]),1+PortfolioFrontier[[#This Row],[P7 Return]])</f>
        <v>1.1604849373287602</v>
      </c>
      <c r="AC29" s="27">
        <f>MAX(AC28,PortfolioFrontier[[#This Row],[P7 Growth]])</f>
        <v>1.1885066820011696</v>
      </c>
      <c r="AD29" s="27">
        <f>PortfolioFrontier[[#This Row],[P7 Growth]]/PortfolioFrontier[[#This Row],[P7 HWM]]-1</f>
        <v>-2.3577271459027216E-2</v>
      </c>
      <c r="AE29" s="28">
        <f>SUMPRODUCT(INDEX(PortfolioRef[[SPY]:[PE]],MATCH(AE$1,PortfolioRef[Reference '#]),0),AssetMonthlyReturns[[#This Row],[SPY]:[PE]])</f>
        <v>2.0241103019528303E-3</v>
      </c>
      <c r="AF29" s="27">
        <f>IF(ISNUMBER(AF28),AF28*(1+PortfolioFrontier[[#This Row],[P8 Return]]),1+PortfolioFrontier[[#This Row],[P8 Return]])</f>
        <v>1.1674916261134238</v>
      </c>
      <c r="AG29" s="27">
        <f>MAX(AG28,PortfolioFrontier[[#This Row],[P8 Growth]])</f>
        <v>1.1891774250084055</v>
      </c>
      <c r="AH29" s="27">
        <f>PortfolioFrontier[[#This Row],[P8 Growth]]/PortfolioFrontier[[#This Row],[P8 HWM]]-1</f>
        <v>-1.8235965835651791E-2</v>
      </c>
      <c r="AI29" s="28">
        <f>SUMPRODUCT(INDEX(PortfolioRef[[SPY]:[PE]],MATCH(AI$1,PortfolioRef[Reference '#]),0),AssetMonthlyReturns[[#This Row],[SPY]:[PE]])</f>
        <v>4.0991321731135313E-4</v>
      </c>
      <c r="AJ29" s="27">
        <f>IF(ISNUMBER(AJ28),AJ28*(1+PortfolioFrontier[[#This Row],[P9 Return]]),1+PortfolioFrontier[[#This Row],[P9 Return]])</f>
        <v>1.1618394159974876</v>
      </c>
      <c r="AK29" s="27">
        <f>MAX(AK28,PortfolioFrontier[[#This Row],[P9 Growth]])</f>
        <v>1.1856558546826308</v>
      </c>
      <c r="AL29" s="27">
        <f>PortfolioFrontier[[#This Row],[P9 Growth]]/PortfolioFrontier[[#This Row],[P9 HWM]]-1</f>
        <v>-2.008714298595371E-2</v>
      </c>
      <c r="AM29" s="28">
        <f>SUMPRODUCT(INDEX(PortfolioRef[[SPY]:[PE]],MATCH(AM$1,PortfolioRef[Reference '#]),0),AssetMonthlyReturns[[#This Row],[SPY]:[PE]])</f>
        <v>-3.2609073970622845E-3</v>
      </c>
      <c r="AN29" s="27">
        <f>IF(ISNUMBER(AN28),AN28*(1+PortfolioFrontier[[#This Row],[P10 Return]]),1+PortfolioFrontier[[#This Row],[P10 Return]])</f>
        <v>1.1580766337264587</v>
      </c>
      <c r="AO29" s="27">
        <f>MAX(AO28,PortfolioFrontier[[#This Row],[P10 Growth]])</f>
        <v>1.189885359414661</v>
      </c>
      <c r="AP29" s="27">
        <f>PortfolioFrontier[[#This Row],[P10 Growth]]/PortfolioFrontier[[#This Row],[P10 HWM]]-1</f>
        <v>-2.6732596914924578E-2</v>
      </c>
      <c r="AQ29" s="28">
        <f>SUMPRODUCT(INDEX(PortfolioRef[[SPY]:[PE]],MATCH(AQ$1,PortfolioRef[Reference '#]),0),AssetMonthlyReturns[[#This Row],[SPY]:[PE]])</f>
        <v>1.6906832464080331E-4</v>
      </c>
      <c r="AR29" s="27">
        <f>IF(ISNUMBER(AR28),AR28*(1+PortfolioFrontier[[#This Row],[P11 Return]]),1+PortfolioFrontier[[#This Row],[P11 Return]])</f>
        <v>1.1651304610889437</v>
      </c>
      <c r="AS29" s="27">
        <f>MAX(AS28,PortfolioFrontier[[#This Row],[P11 Growth]])</f>
        <v>1.1906111681356153</v>
      </c>
      <c r="AT29" s="27">
        <f>PortfolioFrontier[[#This Row],[P11 Growth]]/PortfolioFrontier[[#This Row],[P11 HWM]]-1</f>
        <v>-2.1401367405760152E-2</v>
      </c>
      <c r="AU29" s="28">
        <f>SUMPRODUCT(INDEX(PortfolioRef[[SPY]:[PE]],MATCH(AU$1,PortfolioRef[Reference '#]),0),AssetMonthlyReturns[[#This Row],[SPY]:[PE]])</f>
        <v>-1.4451287600006737E-3</v>
      </c>
      <c r="AV29" s="27">
        <f>IF(ISNUMBER(AV28),AV28*(1+PortfolioFrontier[[#This Row],[P12 Return]]),1+PortfolioFrontier[[#This Row],[P12 Return]])</f>
        <v>1.1595160481322904</v>
      </c>
      <c r="AW29" s="27">
        <f>MAX(AW28,PortfolioFrontier[[#This Row],[P12 Growth]])</f>
        <v>1.1871159871654284</v>
      </c>
      <c r="AX29" s="27">
        <f>PortfolioFrontier[[#This Row],[P12 Growth]]/PortfolioFrontier[[#This Row],[P12 HWM]]-1</f>
        <v>-2.3249572351426773E-2</v>
      </c>
      <c r="AY29" s="28">
        <f>SUMPRODUCT(INDEX(PortfolioRef[[SPY]:[PE]],MATCH(AY$1,PortfolioRef[Reference '#]),0),AssetMonthlyReturns[[#This Row],[SPY]:[PE]])</f>
        <v>3.5990440463438919E-3</v>
      </c>
      <c r="AZ29" s="27">
        <f>IF(ISNUMBER(AZ28),AZ28*(1+PortfolioFrontier[[#This Row],[P13 Return]]),1+PortfolioFrontier[[#This Row],[P13 Return]])</f>
        <v>1.1721111889400522</v>
      </c>
      <c r="BA29" s="27">
        <f>MAX(BA28,PortfolioFrontier[[#This Row],[P13 Growth]])</f>
        <v>1.1912541040450171</v>
      </c>
      <c r="BB29" s="27">
        <f>PortfolioFrontier[[#This Row],[P13 Growth]]/PortfolioFrontier[[#This Row],[P13 HWM]]-1</f>
        <v>-1.606954808379113E-2</v>
      </c>
      <c r="BC29" s="28">
        <f>SUMPRODUCT(INDEX(PortfolioRef[[SPY]:[PE]],MATCH(BC$1,PortfolioRef[Reference '#]),0),AssetMonthlyReturns[[#This Row],[SPY]:[PE]])</f>
        <v>1.9848469617024128E-3</v>
      </c>
      <c r="BD29" s="27">
        <f>IF(ISNUMBER(BD28),BD28*(1+PortfolioFrontier[[#This Row],[P14 Return]]),1+PortfolioFrontier[[#This Row],[P14 Return]])</f>
        <v>1.1665022072728473</v>
      </c>
      <c r="BE29" s="27">
        <f>MAX(BE28,PortfolioFrontier[[#This Row],[P14 Growth]])</f>
        <v>1.1877656683363773</v>
      </c>
      <c r="BF29" s="27">
        <f>PortfolioFrontier[[#This Row],[P14 Growth]]/PortfolioFrontier[[#This Row],[P14 HWM]]-1</f>
        <v>-1.790206741142164E-2</v>
      </c>
      <c r="BG29" s="28">
        <f>SUMPRODUCT(INDEX(PortfolioRef[[SPY]:[PE]],MATCH(BG$1,PortfolioRef[Reference '#]),0),AssetMonthlyReturns[[#This Row],[SPY]:[PE]])</f>
        <v>3.7064987706093594E-4</v>
      </c>
      <c r="BH29" s="27">
        <f>IF(ISNUMBER(BH28),BH28*(1+PortfolioFrontier[[#This Row],[P15 Return]]),1+PortfolioFrontier[[#This Row],[P15 Return]])</f>
        <v>1.1608166838027933</v>
      </c>
      <c r="BI29" s="27">
        <f>MAX(BI28,PortfolioFrontier[[#This Row],[P15 Growth]])</f>
        <v>1.1842195166350118</v>
      </c>
      <c r="BJ29" s="27">
        <f>PortfolioFrontier[[#This Row],[P15 Growth]]/PortfolioFrontier[[#This Row],[P15 HWM]]-1</f>
        <v>-1.9762242137942643E-2</v>
      </c>
      <c r="BK29" s="28">
        <f>SUMPRODUCT(INDEX(PortfolioRef[[SPY]:[PE]],MATCH(BK$1,PortfolioRef[Reference '#]),0),AssetMonthlyReturns[[#This Row],[SPY]:[PE]])</f>
        <v>4.3400675736987609E-4</v>
      </c>
      <c r="BL29" s="27">
        <f>IF(ISNUMBER(BL28),BL28*(1+PortfolioFrontier[[#This Row],[P16 Return]]),1+PortfolioFrontier[[#This Row],[P16 Return]])</f>
        <v>1.1452754210377891</v>
      </c>
      <c r="BM29" s="27">
        <f>MAX(BM28,PortfolioFrontier[[#This Row],[P16 Growth]])</f>
        <v>1.1675790550962819</v>
      </c>
      <c r="BN29" s="27">
        <f>PortfolioFrontier[[#This Row],[P16 Growth]]/PortfolioFrontier[[#This Row],[P16 HWM]]-1</f>
        <v>-1.910246159447726E-2</v>
      </c>
      <c r="BO29" s="28">
        <f>SUMPRODUCT(INDEX(PortfolioRef[[SPY]:[PE]],MATCH(BO$1,PortfolioRef[Reference '#]),0),AssetMonthlyReturns[[#This Row],[SPY]:[PE]])</f>
        <v>-1.4210352199421508E-3</v>
      </c>
      <c r="BP29" s="27">
        <f>IF(ISNUMBER(BP28),BP28*(1+PortfolioFrontier[[#This Row],[P17 Return]]),1+PortfolioFrontier[[#This Row],[P17 Return]])</f>
        <v>1.1429599805881048</v>
      </c>
      <c r="BQ29" s="27">
        <f>MAX(BQ28,PortfolioFrontier[[#This Row],[P17 Growth]])</f>
        <v>1.1689912062359162</v>
      </c>
      <c r="BR29" s="27">
        <f>PortfolioFrontier[[#This Row],[P17 Growth]]/PortfolioFrontier[[#This Row],[P17 HWM]]-1</f>
        <v>-2.2268110751346493E-2</v>
      </c>
      <c r="BS29" s="28">
        <f>SUMPRODUCT(INDEX(PortfolioRef[[SPY]:[PE]],MATCH(BS$1,PortfolioRef[Reference '#]),0),AssetMonthlyReturns[[#This Row],[SPY]:[PE]])</f>
        <v>2.008940501760936E-3</v>
      </c>
      <c r="BT29" s="27">
        <f>IF(ISNUMBER(BT28),BT28*(1+PortfolioFrontier[[#This Row],[P18 Return]]),1+PortfolioFrontier[[#This Row],[P18 Return]])</f>
        <v>1.1498814319695938</v>
      </c>
      <c r="BU29" s="27">
        <f>MAX(BU28,PortfolioFrontier[[#This Row],[P18 Growth]])</f>
        <v>1.1696662339297583</v>
      </c>
      <c r="BV29" s="27">
        <f>PortfolioFrontier[[#This Row],[P18 Growth]]/PortfolioFrontier[[#This Row],[P18 HWM]]-1</f>
        <v>-1.6914912464979892E-2</v>
      </c>
      <c r="BW29" s="28">
        <f>SUMPRODUCT(INDEX(PortfolioRef[[SPY]:[PE]],MATCH(BW$1,PortfolioRef[Reference '#]),0),AssetMonthlyReturns[[#This Row],[SPY]:[PE]])</f>
        <v>3.9474341711945884E-4</v>
      </c>
      <c r="BX29" s="27">
        <f>IF(ISNUMBER(BX28),BX28*(1+PortfolioFrontier[[#This Row],[P19 Return]]),1+PortfolioFrontier[[#This Row],[P19 Return]])</f>
        <v>1.1443091491712865</v>
      </c>
      <c r="BY29" s="27">
        <f>MAX(BY28,PortfolioFrontier[[#This Row],[P19 Growth]])</f>
        <v>1.1662005542564946</v>
      </c>
      <c r="BZ29" s="27">
        <f>PortfolioFrontier[[#This Row],[P19 Growth]]/PortfolioFrontier[[#This Row],[P19 HWM]]-1</f>
        <v>-1.8771561208153376E-2</v>
      </c>
      <c r="CA29" s="28">
        <f>SUMPRODUCT(INDEX(PortfolioRef[[SPY]:[PE]],MATCH(CA$1,PortfolioRef[Reference '#]),0),AssetMonthlyReturns[[#This Row],[SPY]:[PE]])</f>
        <v>-3.2760771972541788E-3</v>
      </c>
      <c r="CB29" s="27">
        <f>IF(ISNUMBER(CB28),CB28*(1+PortfolioFrontier[[#This Row],[P20 Return]]),1+PortfolioFrontier[[#This Row],[P20 Return]])</f>
        <v>1.1405823677911939</v>
      </c>
      <c r="CC29" s="27">
        <f>MAX(CC28,PortfolioFrontier[[#This Row],[P20 Growth]])</f>
        <v>1.1703417133724241</v>
      </c>
      <c r="CD29" s="27">
        <f>PortfolioFrontier[[#This Row],[P20 Growth]]/PortfolioFrontier[[#This Row],[P20 HWM]]-1</f>
        <v>-2.5427911558818517E-2</v>
      </c>
      <c r="CE29" s="28">
        <f>SUMPRODUCT(INDEX(PortfolioRef[[SPY]:[PE]],MATCH(CE$1,PortfolioRef[Reference '#]),0),AssetMonthlyReturns[[#This Row],[SPY]:[PE]])</f>
        <v>1.5389852444890902E-4</v>
      </c>
      <c r="CF29" s="27">
        <f>IF(ISNUMBER(CF28),CF28*(1+PortfolioFrontier[[#This Row],[P21 Return]]),1+PortfolioFrontier[[#This Row],[P21 Return]])</f>
        <v>1.1475503152050222</v>
      </c>
      <c r="CG29" s="27">
        <f>MAX(CG28,PortfolioFrontier[[#This Row],[P21 Growth]])</f>
        <v>1.1710710579078392</v>
      </c>
      <c r="CH29" s="27">
        <f>PortfolioFrontier[[#This Row],[P21 Growth]]/PortfolioFrontier[[#This Row],[P21 HWM]]-1</f>
        <v>-2.0084812568792909E-2</v>
      </c>
      <c r="CI29" s="28">
        <f>SUMPRODUCT(INDEX(PortfolioRef[[SPY]:[PE]],MATCH(CI$1,PortfolioRef[Reference '#]),0),AssetMonthlyReturns[[#This Row],[SPY]:[PE]])</f>
        <v>-1.460298560192568E-3</v>
      </c>
      <c r="CJ29" s="27">
        <f>IF(ISNUMBER(CJ28),CJ28*(1+PortfolioFrontier[[#This Row],[P22 Return]]),1+PortfolioFrontier[[#This Row],[P22 Return]])</f>
        <v>1.1420152855109831</v>
      </c>
      <c r="CK29" s="27">
        <f>MAX(CK28,PortfolioFrontier[[#This Row],[P22 Growth]])</f>
        <v>1.1676313457678775</v>
      </c>
      <c r="CL29" s="27">
        <f>PortfolioFrontier[[#This Row],[P22 Growth]]/PortfolioFrontier[[#This Row],[P22 HWM]]-1</f>
        <v>-2.1938482852263963E-2</v>
      </c>
      <c r="CM29" s="28">
        <f>SUMPRODUCT(INDEX(PortfolioRef[[SPY]:[PE]],MATCH(CM$1,PortfolioRef[Reference '#]),0),AssetMonthlyReturns[[#This Row],[SPY]:[PE]])</f>
        <v>3.5838742461519976E-3</v>
      </c>
      <c r="CN29" s="27">
        <f>IF(ISNUMBER(CN28),CN28*(1+PortfolioFrontier[[#This Row],[P23 Return]]),1+PortfolioFrontier[[#This Row],[P23 Return]])</f>
        <v>1.154446323047208</v>
      </c>
      <c r="CO29" s="27">
        <f>MAX(CO28,PortfolioFrontier[[#This Row],[P23 Growth]])</f>
        <v>1.1717186984791552</v>
      </c>
      <c r="CP29" s="27">
        <f>PortfolioFrontier[[#This Row],[P23 Growth]]/PortfolioFrontier[[#This Row],[P23 HWM]]-1</f>
        <v>-1.4741059824654235E-2</v>
      </c>
      <c r="CQ29" s="28">
        <f>SUMPRODUCT(INDEX(PortfolioRef[[SPY]:[PE]],MATCH(CQ$1,PortfolioRef[Reference '#]),0),AssetMonthlyReturns[[#This Row],[SPY]:[PE]])</f>
        <v>1.9696771615105185E-3</v>
      </c>
      <c r="CR29" s="27">
        <f>IF(ISNUMBER(CR28),CR28*(1+PortfolioFrontier[[#This Row],[P24 Return]]),1+PortfolioFrontier[[#This Row],[P24 Return]])</f>
        <v>1.148916509260582</v>
      </c>
      <c r="CS29" s="27">
        <f>MAX(CS28,PortfolioFrontier[[#This Row],[P24 Growth]])</f>
        <v>1.1682856099250332</v>
      </c>
      <c r="CT29" s="27">
        <f>PortfolioFrontier[[#This Row],[P24 Growth]]/PortfolioFrontier[[#This Row],[P24 HWM]]-1</f>
        <v>-1.6579080063901519E-2</v>
      </c>
      <c r="CU29" s="28">
        <f>SUMPRODUCT(INDEX(PortfolioRef[[SPY]:[PE]],MATCH(CU$1,PortfolioRef[Reference '#]),0),AssetMonthlyReturns[[#This Row],[SPY]:[PE]])</f>
        <v>3.5548007686904165E-4</v>
      </c>
      <c r="CV29" s="27">
        <f>IF(ISNUMBER(CV28),CV28*(1+PortfolioFrontier[[#This Row],[P25 Return]]),1+PortfolioFrontier[[#This Row],[P25 Return]])</f>
        <v>1.1433113647438171</v>
      </c>
      <c r="CW29" s="27">
        <f>MAX(CW28,PortfolioFrontier[[#This Row],[P25 Growth]])</f>
        <v>1.1647956979796028</v>
      </c>
      <c r="CX29" s="27">
        <f>PortfolioFrontier[[#This Row],[P25 Growth]]/PortfolioFrontier[[#This Row],[P25 HWM]]-1</f>
        <v>-1.8444722343198383E-2</v>
      </c>
      <c r="CY29" s="28">
        <f>SUMPRODUCT(INDEX(PortfolioRef[[SPY]:[PE]],MATCH(CY$1,PortfolioRef[Reference '#]),0),AssetMonthlyReturns[[#This Row],[SPY]:[PE]])</f>
        <v>-1.7011434528631192E-3</v>
      </c>
      <c r="CZ29" s="27">
        <f>IF(ISNUMBER(CZ28),CZ28*(1+PortfolioFrontier[[#This Row],[P26 Return]]),1+PortfolioFrontier[[#This Row],[P26 Return]])</f>
        <v>1.1451568946979609</v>
      </c>
      <c r="DA29" s="27">
        <f>MAX(DA28,PortfolioFrontier[[#This Row],[P26 Growth]])</f>
        <v>1.1724141851433634</v>
      </c>
      <c r="DB29" s="27">
        <f>PortfolioFrontier[[#This Row],[P26 Growth]]/PortfolioFrontier[[#This Row],[P26 HWM]]-1</f>
        <v>-2.3248857605786655E-2</v>
      </c>
      <c r="DC29" s="28">
        <f>SUMPRODUCT(INDEX(PortfolioRef[[SPY]:[PE]],MATCH(DC$1,PortfolioRef[Reference '#]),0),AssetMonthlyReturns[[#This Row],[SPY]:[PE]])</f>
        <v>-3.3153405375045963E-3</v>
      </c>
      <c r="DD29" s="27">
        <f>IF(ISNUMBER(DD28),DD28*(1+PortfolioFrontier[[#This Row],[P27 Return]]),1+PortfolioFrontier[[#This Row],[P27 Return]])</f>
        <v>1.1396592237964926</v>
      </c>
      <c r="DE29" s="27">
        <f>MAX(DE28,PortfolioFrontier[[#This Row],[P27 Growth]])</f>
        <v>1.1690006176368444</v>
      </c>
      <c r="DF29" s="27">
        <f>PortfolioFrontier[[#This Row],[P27 Growth]]/PortfolioFrontier[[#This Row],[P27 HWM]]-1</f>
        <v>-2.5099553753586412E-2</v>
      </c>
      <c r="DG29" s="28">
        <f>SUMPRODUCT(INDEX(PortfolioRef[[SPY]:[PE]],MATCH(DG$1,PortfolioRef[Reference '#]),0),AssetMonthlyReturns[[#This Row],[SPY]:[PE]])</f>
        <v>1.7288322688399705E-3</v>
      </c>
      <c r="DH29" s="27">
        <f>IF(ISNUMBER(DH28),DH28*(1+PortfolioFrontier[[#This Row],[P28 Return]]),1+PortfolioFrontier[[#This Row],[P28 Return]])</f>
        <v>1.1520995562381258</v>
      </c>
      <c r="DI29" s="27">
        <f>MAX(DI28,PortfolioFrontier[[#This Row],[P28 Growth]])</f>
        <v>1.1731161392403724</v>
      </c>
      <c r="DJ29" s="27">
        <f>PortfolioFrontier[[#This Row],[P28 Growth]]/PortfolioFrontier[[#This Row],[P28 HWM]]-1</f>
        <v>-1.7915176766603369E-2</v>
      </c>
      <c r="DK29" s="28">
        <f>SUMPRODUCT(INDEX(PortfolioRef[[SPY]:[PE]],MATCH(DK$1,PortfolioRef[Reference '#]),0),AssetMonthlyReturns[[#This Row],[SPY]:[PE]])</f>
        <v>1.1463518419849179E-4</v>
      </c>
      <c r="DL29" s="27">
        <f>IF(ISNUMBER(DL28),DL28*(1+PortfolioFrontier[[#This Row],[P29 Return]]),1+PortfolioFrontier[[#This Row],[P29 Return]])</f>
        <v>1.14660705535699</v>
      </c>
      <c r="DM29" s="27">
        <f>MAX(DM28,PortfolioFrontier[[#This Row],[P29 Growth]])</f>
        <v>1.1697091182407624</v>
      </c>
      <c r="DN29" s="27">
        <f>PortfolioFrontier[[#This Row],[P29 Growth]]/PortfolioFrontier[[#This Row],[P29 HWM]]-1</f>
        <v>-1.9750263141077085E-2</v>
      </c>
      <c r="DO29" s="28">
        <f>SUMPRODUCT(INDEX(PortfolioRef[[SPY]:[PE]],MATCH(DO$1,PortfolioRef[Reference '#]),0),AssetMonthlyReturns[[#This Row],[SPY]:[PE]])</f>
        <v>-1.4995619004429853E-3</v>
      </c>
      <c r="DP29" s="27">
        <f>IF(ISNUMBER(DP28),DP28*(1+PortfolioFrontier[[#This Row],[P30 Return]]),1+PortfolioFrontier[[#This Row],[P30 Return]])</f>
        <v>1.1410391071217829</v>
      </c>
      <c r="DQ29" s="27">
        <f>MAX(DQ28,PortfolioFrontier[[#This Row],[P30 Growth]])</f>
        <v>1.1662450508702933</v>
      </c>
      <c r="DR29" s="27">
        <f>PortfolioFrontier[[#This Row],[P30 Growth]]/PortfolioFrontier[[#This Row],[P30 HWM]]-1</f>
        <v>-2.1612905220648737E-2</v>
      </c>
      <c r="DS29" s="28">
        <f>SUMPRODUCT(INDEX(PortfolioRef[[SPY]:[PE]],MATCH(DS$1,PortfolioRef[Reference '#]),0),AssetMonthlyReturns[[#This Row],[SPY]:[PE]])</f>
        <v>5.1588079905430578E-3</v>
      </c>
      <c r="DT29" s="27">
        <f>IF(ISNUMBER(DT28),DT28*(1+PortfolioFrontier[[#This Row],[P31 Return]]),1+PortfolioFrontier[[#This Row],[P31 Return]])</f>
        <v>1.1589694116875917</v>
      </c>
      <c r="DU29" s="27">
        <f>MAX(DU28,PortfolioFrontier[[#This Row],[P31 Growth]])</f>
        <v>1.1737362663438942</v>
      </c>
      <c r="DV29" s="27">
        <f>PortfolioFrontier[[#This Row],[P31 Growth]]/PortfolioFrontier[[#This Row],[P31 HWM]]-1</f>
        <v>-1.2581067041832261E-2</v>
      </c>
      <c r="DW29" s="28">
        <f>SUMPRODUCT(INDEX(PortfolioRef[[SPY]:[PE]],MATCH(DW$1,PortfolioRef[Reference '#]),0),AssetMonthlyReturns[[#This Row],[SPY]:[PE]])</f>
        <v>3.54461090590158E-3</v>
      </c>
      <c r="DX29" s="27">
        <f>IF(ISNUMBER(DX28),DX28*(1+PortfolioFrontier[[#This Row],[P32 Return]]),1+PortfolioFrontier[[#This Row],[P32 Return]])</f>
        <v>1.1534828615751476</v>
      </c>
      <c r="DY29" s="27">
        <f>MAX(DY28,PortfolioFrontier[[#This Row],[P32 Growth]])</f>
        <v>1.1703360044096791</v>
      </c>
      <c r="DZ29" s="27">
        <f>PortfolioFrontier[[#This Row],[P32 Growth]]/PortfolioFrontier[[#This Row],[P32 HWM]]-1</f>
        <v>-1.4400260071493198E-2</v>
      </c>
      <c r="EA29" s="28">
        <f>SUMPRODUCT(INDEX(PortfolioRef[[SPY]:[PE]],MATCH(EA$1,PortfolioRef[Reference '#]),0),AssetMonthlyReturns[[#This Row],[SPY]:[PE]])</f>
        <v>1.9304138212601013E-3</v>
      </c>
      <c r="EB29" s="27">
        <f>IF(ISNUMBER(EB28),EB28*(1+PortfolioFrontier[[#This Row],[P33 Return]]),1+PortfolioFrontier[[#This Row],[P33 Return]])</f>
        <v>1.1479199367459121</v>
      </c>
      <c r="EC29" s="27">
        <f>MAX(EC28,PortfolioFrontier[[#This Row],[P33 Growth]])</f>
        <v>1.1668785804544068</v>
      </c>
      <c r="ED29" s="27">
        <f>PortfolioFrontier[[#This Row],[P33 Growth]]/PortfolioFrontier[[#This Row],[P33 HWM]]-1</f>
        <v>-1.624731486725195E-2</v>
      </c>
      <c r="EE29" s="28">
        <f>SUMPRODUCT(INDEX(PortfolioRef[[SPY]:[PE]],MATCH(EE$1,PortfolioRef[Reference '#]),0),AssetMonthlyReturns[[#This Row],[SPY]:[PE]])</f>
        <v>4.188369571779818E-4</v>
      </c>
      <c r="EF29" s="27">
        <f>IF(ISNUMBER(EF28),EF28*(1+PortfolioFrontier[[#This Row],[P34 Return]]),1+PortfolioFrontier[[#This Row],[P34 Return]])</f>
        <v>1.1279351894072327</v>
      </c>
      <c r="EG29" s="27">
        <f>MAX(EG28,PortfolioFrontier[[#This Row],[P34 Growth]])</f>
        <v>1.1483690052171158</v>
      </c>
      <c r="EH29" s="27">
        <f>PortfolioFrontier[[#This Row],[P34 Growth]]/PortfolioFrontier[[#This Row],[P34 HWM]]-1</f>
        <v>-1.7793771616136378E-2</v>
      </c>
      <c r="EI29" s="28">
        <f>SUMPRODUCT(INDEX(PortfolioRef[[SPY]:[PE]],MATCH(EI$1,PortfolioRef[Reference '#]),0),AssetMonthlyReturns[[#This Row],[SPY]:[PE]])</f>
        <v>-1.4362050201340451E-3</v>
      </c>
      <c r="EJ29" s="27">
        <f>IF(ISNUMBER(EJ28),EJ28*(1+PortfolioFrontier[[#This Row],[P35 Return]]),1+PortfolioFrontier[[#This Row],[P35 Return]])</f>
        <v>1.1256493176778466</v>
      </c>
      <c r="EK29" s="27">
        <f>MAX(EK28,PortfolioFrontier[[#This Row],[P35 Growth]])</f>
        <v>1.1497526071106701</v>
      </c>
      <c r="EL29" s="27">
        <f>PortfolioFrontier[[#This Row],[P35 Growth]]/PortfolioFrontier[[#This Row],[P35 HWM]]-1</f>
        <v>-2.0963891957066383E-2</v>
      </c>
      <c r="EM29" s="28">
        <f>SUMPRODUCT(INDEX(PortfolioRef[[SPY]:[PE]],MATCH(EM$1,PortfolioRef[Reference '#]),0),AssetMonthlyReturns[[#This Row],[SPY]:[PE]])</f>
        <v>1.9937707015690418E-3</v>
      </c>
      <c r="EN29" s="27">
        <f>IF(ISNUMBER(EN28),EN28*(1+PortfolioFrontier[[#This Row],[P36 Return]]),1+PortfolioFrontier[[#This Row],[P36 Return]])</f>
        <v>1.1324862288184552</v>
      </c>
      <c r="EO29" s="27">
        <f>MAX(EO28,PortfolioFrontier[[#This Row],[P36 Growth]])</f>
        <v>1.1504315925702473</v>
      </c>
      <c r="EP29" s="27">
        <f>PortfolioFrontier[[#This Row],[P36 Growth]]/PortfolioFrontier[[#This Row],[P36 HWM]]-1</f>
        <v>-1.5598809931583468E-2</v>
      </c>
      <c r="EQ29" s="28">
        <f>SUMPRODUCT(INDEX(PortfolioRef[[SPY]:[PE]],MATCH(EQ$1,PortfolioRef[Reference '#]),0),AssetMonthlyReturns[[#This Row],[SPY]:[PE]])</f>
        <v>3.7957361692756456E-4</v>
      </c>
      <c r="ER29" s="27">
        <f>IF(ISNUMBER(ER28),ER28*(1+PortfolioFrontier[[#This Row],[P37 Return]]),1+PortfolioFrontier[[#This Row],[P37 Return]])</f>
        <v>1.1269929897468332</v>
      </c>
      <c r="ES29" s="27">
        <f>MAX(ES28,PortfolioFrontier[[#This Row],[P37 Growth]])</f>
        <v>1.1470210509345575</v>
      </c>
      <c r="ET29" s="27">
        <f>PortfolioFrontier[[#This Row],[P37 Growth]]/PortfolioFrontier[[#This Row],[P37 HWM]]-1</f>
        <v>-1.7460936023280582E-2</v>
      </c>
      <c r="EU29" s="28">
        <f>SUMPRODUCT(INDEX(PortfolioRef[[SPY]:[PE]],MATCH(EU$1,PortfolioRef[Reference '#]),0),AssetMonthlyReturns[[#This Row],[SPY]:[PE]])</f>
        <v>-3.2912469974460731E-3</v>
      </c>
      <c r="EV29" s="27">
        <f>IF(ISNUMBER(EV28),EV28*(1+PortfolioFrontier[[#This Row],[P38 Return]]),1+PortfolioFrontier[[#This Row],[P38 Return]])</f>
        <v>1.1233021267604923</v>
      </c>
      <c r="EW29" s="27">
        <f>MAX(EW28,PortfolioFrontier[[#This Row],[P38 Growth]])</f>
        <v>1.1510754544616619</v>
      </c>
      <c r="EX29" s="27">
        <f>PortfolioFrontier[[#This Row],[P38 Growth]]/PortfolioFrontier[[#This Row],[P38 HWM]]-1</f>
        <v>-2.4128155624827174E-2</v>
      </c>
      <c r="EY29" s="28">
        <f>SUMPRODUCT(INDEX(PortfolioRef[[SPY]:[PE]],MATCH(EY$1,PortfolioRef[Reference '#]),0),AssetMonthlyReturns[[#This Row],[SPY]:[PE]])</f>
        <v>1.3872872425701473E-4</v>
      </c>
      <c r="EZ29" s="27">
        <f>IF(ISNUMBER(EZ28),EZ28*(1+PortfolioFrontier[[#This Row],[P39 Return]]),1+PortfolioFrontier[[#This Row],[P39 Return]])</f>
        <v>1.1301848990041725</v>
      </c>
      <c r="FA29" s="27">
        <f>MAX(FA28,PortfolioFrontier[[#This Row],[P39 Growth]])</f>
        <v>1.1518080167597544</v>
      </c>
      <c r="FB29" s="27">
        <f>PortfolioFrontier[[#This Row],[P39 Growth]]/PortfolioFrontier[[#This Row],[P39 HWM]]-1</f>
        <v>-1.8773196089059807E-2</v>
      </c>
      <c r="FC29" s="28">
        <f>SUMPRODUCT(INDEX(PortfolioRef[[SPY]:[PE]],MATCH(FC$1,PortfolioRef[Reference '#]),0),AssetMonthlyReturns[[#This Row],[SPY]:[PE]])</f>
        <v>-1.4754683603844623E-3</v>
      </c>
      <c r="FD29" s="27">
        <f>IF(ISNUMBER(FD28),FD28*(1+PortfolioFrontier[[#This Row],[P40 Return]]),1+PortfolioFrontier[[#This Row],[P40 Return]])</f>
        <v>1.1247283753425461</v>
      </c>
      <c r="FE29" s="27">
        <f>MAX(FE28,PortfolioFrontier[[#This Row],[P40 Growth]])</f>
        <v>1.1484230267516922</v>
      </c>
      <c r="FF29" s="27">
        <f>PortfolioFrontier[[#This Row],[P40 Growth]]/PortfolioFrontier[[#This Row],[P40 HWM]]-1</f>
        <v>-2.0632337437682891E-2</v>
      </c>
      <c r="FG29" s="28">
        <f>SUMPRODUCT(INDEX(PortfolioRef[[SPY]:[PE]],MATCH(FG$1,PortfolioRef[Reference '#]),0),AssetMonthlyReturns[[#This Row],[SPY]:[PE]])</f>
        <v>3.5687044459601033E-3</v>
      </c>
      <c r="FH29" s="27">
        <f>IF(ISNUMBER(FH28),FH28*(1+PortfolioFrontier[[#This Row],[P41 Return]]),1+PortfolioFrontier[[#This Row],[P41 Return]])</f>
        <v>1.1369968756343645</v>
      </c>
      <c r="FI29" s="27">
        <f>MAX(FI28,PortfolioFrontier[[#This Row],[P41 Growth]])</f>
        <v>1.1524600296639902</v>
      </c>
      <c r="FJ29" s="27">
        <f>PortfolioFrontier[[#This Row],[P41 Growth]]/PortfolioFrontier[[#This Row],[P41 HWM]]-1</f>
        <v>-1.3417518726557609E-2</v>
      </c>
      <c r="FK29" s="28">
        <f>SUMPRODUCT(INDEX(PortfolioRef[[SPY]:[PE]],MATCH(FK$1,PortfolioRef[Reference '#]),0),AssetMonthlyReturns[[#This Row],[SPY]:[PE]])</f>
        <v>1.9545073613186242E-3</v>
      </c>
      <c r="FL29" s="27">
        <f>IF(ISNUMBER(FL28),FL28*(1+PortfolioFrontier[[#This Row],[P42 Return]]),1+PortfolioFrontier[[#This Row],[P42 Return]])</f>
        <v>1.1315453575706516</v>
      </c>
      <c r="FM29" s="27">
        <f>MAX(FM28,PortfolioFrontier[[#This Row],[P42 Growth]])</f>
        <v>1.1490815435391966</v>
      </c>
      <c r="FN29" s="27">
        <f>PortfolioFrontier[[#This Row],[P42 Growth]]/PortfolioFrontier[[#This Row],[P42 HWM]]-1</f>
        <v>-1.5261045717028243E-2</v>
      </c>
      <c r="FO29" s="28">
        <f>SUMPRODUCT(INDEX(PortfolioRef[[SPY]:[PE]],MATCH(FO$1,PortfolioRef[Reference '#]),0),AssetMonthlyReturns[[#This Row],[SPY]:[PE]])</f>
        <v>3.4031027667714737E-4</v>
      </c>
      <c r="FP29" s="27">
        <f>IF(ISNUMBER(FP28),FP28*(1+PortfolioFrontier[[#This Row],[P43 Return]]),1+PortfolioFrontier[[#This Row],[P43 Return]])</f>
        <v>1.126019703259729</v>
      </c>
      <c r="FQ29" s="27">
        <f>MAX(FQ28,PortfolioFrontier[[#This Row],[P43 Growth]])</f>
        <v>1.1456471144468676</v>
      </c>
      <c r="FR29" s="27">
        <f>PortfolioFrontier[[#This Row],[P43 Growth]]/PortfolioFrontier[[#This Row],[P43 HWM]]-1</f>
        <v>-1.7132161325797979E-2</v>
      </c>
      <c r="FS29" s="28">
        <f>SUMPRODUCT(INDEX(PortfolioRef[[SPY]:[PE]],MATCH(FS$1,PortfolioRef[Reference '#]),0),AssetMonthlyReturns[[#This Row],[SPY]:[PE]])</f>
        <v>-1.7163132530550135E-3</v>
      </c>
      <c r="FT29" s="27">
        <f>IF(ISNUMBER(FT28),FT28*(1+PortfolioFrontier[[#This Row],[P44 Return]]),1+PortfolioFrontier[[#This Row],[P44 Return]])</f>
        <v>1.1278221193445832</v>
      </c>
      <c r="FU29" s="27">
        <f>MAX(FU28,PortfolioFrontier[[#This Row],[P44 Growth]])</f>
        <v>1.153123633915536</v>
      </c>
      <c r="FV29" s="27">
        <f>PortfolioFrontier[[#This Row],[P44 Growth]]/PortfolioFrontier[[#This Row],[P44 HWM]]-1</f>
        <v>-2.1941718846780645E-2</v>
      </c>
      <c r="FW29" s="28">
        <f>SUMPRODUCT(INDEX(PortfolioRef[[SPY]:[PE]],MATCH(FW$1,PortfolioRef[Reference '#]),0),AssetMonthlyReturns[[#This Row],[SPY]:[PE]])</f>
        <v>-3.3305103376964906E-3</v>
      </c>
      <c r="FX29" s="27">
        <f>IF(ISNUMBER(FX28),FX28*(1+PortfolioFrontier[[#This Row],[P45 Return]]),1+PortfolioFrontier[[#This Row],[P45 Return]])</f>
        <v>1.1224024160125596</v>
      </c>
      <c r="FY29" s="27">
        <f>MAX(FY28,PortfolioFrontier[[#This Row],[P45 Growth]])</f>
        <v>1.1497643702533042</v>
      </c>
      <c r="FZ29" s="27">
        <f>PortfolioFrontier[[#This Row],[P45 Growth]]/PortfolioFrontier[[#This Row],[P45 HWM]]-1</f>
        <v>-2.3797879764456908E-2</v>
      </c>
      <c r="GA29" s="28">
        <f>SUMPRODUCT(INDEX(PortfolioRef[[SPY]:[PE]],MATCH(GA$1,PortfolioRef[Reference '#]),0),AssetMonthlyReturns[[#This Row],[SPY]:[PE]])</f>
        <v>1.7136624686480762E-3</v>
      </c>
      <c r="GB29" s="27">
        <f>IF(ISNUMBER(GB28),GB28*(1+PortfolioFrontier[[#This Row],[P46 Return]]),1+PortfolioFrontier[[#This Row],[P46 Return]])</f>
        <v>1.1346801137168467</v>
      </c>
      <c r="GC29" s="27">
        <f>MAX(GC28,PortfolioFrontier[[#This Row],[P46 Growth]])</f>
        <v>1.153829221094034</v>
      </c>
      <c r="GD29" s="27">
        <f>PortfolioFrontier[[#This Row],[P46 Growth]]/PortfolioFrontier[[#This Row],[P46 HWM]]-1</f>
        <v>-1.6596136609393963E-2</v>
      </c>
      <c r="GE29" s="28">
        <f>SUMPRODUCT(INDEX(PortfolioRef[[SPY]:[PE]],MATCH(GE$1,PortfolioRef[Reference '#]),0),AssetMonthlyReturns[[#This Row],[SPY]:[PE]])</f>
        <v>9.94653840065975E-5</v>
      </c>
      <c r="GF29" s="27">
        <f>IF(ISNUMBER(GF28),GF28*(1+PortfolioFrontier[[#This Row],[P47 Return]]),1+PortfolioFrontier[[#This Row],[P47 Return]])</f>
        <v>1.1292653700859421</v>
      </c>
      <c r="GG29" s="27">
        <f>MAX(GG28,PortfolioFrontier[[#This Row],[P47 Growth]])</f>
        <v>1.1504763850012711</v>
      </c>
      <c r="GH29" s="27">
        <f>PortfolioFrontier[[#This Row],[P47 Growth]]/PortfolioFrontier[[#This Row],[P47 HWM]]-1</f>
        <v>-1.8436723423319701E-2</v>
      </c>
      <c r="GI29" s="28">
        <f>SUMPRODUCT(INDEX(PortfolioRef[[SPY]:[PE]],MATCH(GI$1,PortfolioRef[Reference '#]),0),AssetMonthlyReturns[[#This Row],[SPY]:[PE]])</f>
        <v>-1.5147317006348796E-3</v>
      </c>
      <c r="GJ29" s="27">
        <f>IF(ISNUMBER(GJ28),GJ28*(1+PortfolioFrontier[[#This Row],[P48 Return]]),1+PortfolioFrontier[[#This Row],[P48 Return]])</f>
        <v>1.1237763754614911</v>
      </c>
      <c r="GK29" s="27">
        <f>MAX(GK28,PortfolioFrontier[[#This Row],[P48 Growth]])</f>
        <v>1.1470673866868877</v>
      </c>
      <c r="GL29" s="27">
        <f>PortfolioFrontier[[#This Row],[P48 Growth]]/PortfolioFrontier[[#This Row],[P48 HWM]]-1</f>
        <v>-2.0304832563210362E-2</v>
      </c>
      <c r="GM29" s="28">
        <f>SUMPRODUCT(INDEX(PortfolioRef[[SPY]:[PE]],MATCH(GM$1,PortfolioRef[Reference '#]),0),AssetMonthlyReturns[[#This Row],[SPY]:[PE]])</f>
        <v>5.1436381903511635E-3</v>
      </c>
      <c r="GN29" s="27">
        <f>IF(ISNUMBER(GN28),GN28*(1+PortfolioFrontier[[#This Row],[P49 Return]]),1+PortfolioFrontier[[#This Row],[P49 Return]])</f>
        <v>1.1414664563541368</v>
      </c>
      <c r="GO29" s="27">
        <f>MAX(GO28,PortfolioFrontier[[#This Row],[P49 Growth]])</f>
        <v>1.154454136188046</v>
      </c>
      <c r="GP29" s="27">
        <f>PortfolioFrontier[[#This Row],[P49 Growth]]/PortfolioFrontier[[#This Row],[P49 HWM]]-1</f>
        <v>-1.1250061329239114E-2</v>
      </c>
      <c r="GQ29" s="28">
        <f>SUMPRODUCT(INDEX(PortfolioRef[[SPY]:[PE]],MATCH(GQ$1,PortfolioRef[Reference '#]),0),AssetMonthlyReturns[[#This Row],[SPY]:[PE]])</f>
        <v>3.5294411057096857E-3</v>
      </c>
      <c r="GR29" s="27">
        <f>IF(ISNUMBER(GR28),GR28*(1+PortfolioFrontier[[#This Row],[P50 Return]]),1+PortfolioFrontier[[#This Row],[P50 Return]])</f>
        <v>1.1360574426934278</v>
      </c>
      <c r="GS29" s="27">
        <f>MAX(GS28,PortfolioFrontier[[#This Row],[P50 Growth]])</f>
        <v>1.1511079379430191</v>
      </c>
      <c r="GT29" s="27">
        <f>PortfolioFrontier[[#This Row],[P50 Growth]]/PortfolioFrontier[[#This Row],[P50 HWM]]-1</f>
        <v>-1.3074790602596309E-2</v>
      </c>
      <c r="GU29" s="28">
        <f>SUMPRODUCT(INDEX(PortfolioRef[[SPY]:[PE]],MATCH(GU$1,PortfolioRef[Reference '#]),0),AssetMonthlyReturns[[#This Row],[SPY]:[PE]])</f>
        <v>1.915244021068207E-3</v>
      </c>
      <c r="GV29" s="27">
        <f>IF(ISNUMBER(GV28),GV28*(1+PortfolioFrontier[[#This Row],[P51 Return]]),1+PortfolioFrontier[[#This Row],[P51 Return]])</f>
        <v>1.1305732639974508</v>
      </c>
      <c r="GW29" s="27">
        <f>MAX(GW28,PortfolioFrontier[[#This Row],[P51 Growth]])</f>
        <v>1.1477054629234607</v>
      </c>
      <c r="GX29" s="27">
        <f>PortfolioFrontier[[#This Row],[P51 Growth]]/PortfolioFrontier[[#This Row],[P51 HWM]]-1</f>
        <v>-1.4927348069225244E-2</v>
      </c>
      <c r="GY29" s="28">
        <f>SUMPRODUCT(INDEX(PortfolioRef[[SPY]:[PE]],MATCH(GY$1,PortfolioRef[Reference '#]),0),AssetMonthlyReturns[[#This Row],[SPY]:[PE]])</f>
        <v>-1.413795086639519E-4</v>
      </c>
      <c r="GZ29" s="27">
        <f>IF(ISNUMBER(GZ28),GZ28*(1+PortfolioFrontier[[#This Row],[P52 Return]]),1+PortfolioFrontier[[#This Row],[P52 Return]])</f>
        <v>1.132301773821256</v>
      </c>
      <c r="HA29" s="27">
        <f>MAX(HA28,PortfolioFrontier[[#This Row],[P52 Growth]])</f>
        <v>1.1551375545895033</v>
      </c>
      <c r="HB29" s="27">
        <f>PortfolioFrontier[[#This Row],[P52 Growth]]/PortfolioFrontier[[#This Row],[P52 HWM]]-1</f>
        <v>-1.9768884387420305E-2</v>
      </c>
      <c r="HC29" s="28">
        <f>SUMPRODUCT(INDEX(PortfolioRef[[SPY]:[PE]],MATCH(HC$1,PortfolioRef[Reference '#]),0),AssetMonthlyReturns[[#This Row],[SPY]:[PE]])</f>
        <v>-1.7555765933054306E-3</v>
      </c>
      <c r="HD29" s="27">
        <f>IF(ISNUMBER(HD28),HD28*(1+PortfolioFrontier[[#This Row],[P53 Return]]),1+PortfolioFrontier[[#This Row],[P53 Return]])</f>
        <v>1.126923906487507</v>
      </c>
      <c r="HE29" s="27">
        <f>MAX(HE28,PortfolioFrontier[[#This Row],[P53 Growth]])</f>
        <v>1.1518105416261799</v>
      </c>
      <c r="HF29" s="27">
        <f>PortfolioFrontier[[#This Row],[P53 Growth]]/PortfolioFrontier[[#This Row],[P53 HWM]]-1</f>
        <v>-2.1606535310518038E-2</v>
      </c>
      <c r="HG29" s="28">
        <f>SUMPRODUCT(INDEX(PortfolioRef[[SPY]:[PE]],MATCH(HG$1,PortfolioRef[Reference '#]),0),AssetMonthlyReturns[[#This Row],[SPY]:[PE]])</f>
        <v>-3.3697736779469078E-3</v>
      </c>
      <c r="HH29" s="27">
        <f>IF(ISNUMBER(HH28),HH28*(1+PortfolioFrontier[[#This Row],[P54 Return]]),1+PortfolioFrontier[[#This Row],[P54 Return]])</f>
        <v>1.1214716791489006</v>
      </c>
      <c r="HI29" s="27">
        <f>MAX(HI28,PortfolioFrontier[[#This Row],[P54 Growth]])</f>
        <v>1.1484271504484369</v>
      </c>
      <c r="HJ29" s="27">
        <f>PortfolioFrontier[[#This Row],[P54 Growth]]/PortfolioFrontier[[#This Row],[P54 HWM]]-1</f>
        <v>-2.3471642314456642E-2</v>
      </c>
      <c r="HK29" s="28">
        <f>SUMPRODUCT(INDEX(PortfolioRef[[SPY]:[PE]],MATCH(HK$1,PortfolioRef[Reference '#]),0),AssetMonthlyReturns[[#This Row],[SPY]:[PE]])</f>
        <v>3.2885962130391362E-3</v>
      </c>
      <c r="HL29" s="27">
        <f>IF(ISNUMBER(HL28),HL28*(1+PortfolioFrontier[[#This Row],[P55 Return]]),1+PortfolioFrontier[[#This Row],[P55 Return]])</f>
        <v>1.1391342898947394</v>
      </c>
      <c r="HM29" s="27">
        <f>MAX(HM28,PortfolioFrontier[[#This Row],[P55 Growth]])</f>
        <v>1.1558160401994988</v>
      </c>
      <c r="HN29" s="27">
        <f>PortfolioFrontier[[#This Row],[P55 Growth]]/PortfolioFrontier[[#This Row],[P55 HWM]]-1</f>
        <v>-1.443287662098891E-2</v>
      </c>
      <c r="HO29" s="28">
        <f>SUMPRODUCT(INDEX(PortfolioRef[[SPY]:[PE]],MATCH(HO$1,PortfolioRef[Reference '#]),0),AssetMonthlyReturns[[#This Row],[SPY]:[PE]])</f>
        <v>1.6743991283976591E-3</v>
      </c>
      <c r="HP29" s="27">
        <f>IF(ISNUMBER(HP28),HP28*(1+PortfolioFrontier[[#This Row],[P56 Return]]),1+PortfolioFrontier[[#This Row],[P56 Return]])</f>
        <v>1.1337621074236128</v>
      </c>
      <c r="HQ29" s="27">
        <f>MAX(HQ28,PortfolioFrontier[[#This Row],[P56 Growth]])</f>
        <v>1.1524955896514557</v>
      </c>
      <c r="HR29" s="27">
        <f>PortfolioFrontier[[#This Row],[P56 Growth]]/PortfolioFrontier[[#This Row],[P56 HWM]]-1</f>
        <v>-1.6254710556860674E-2</v>
      </c>
      <c r="HS29" s="28">
        <f>SUMPRODUCT(INDEX(PortfolioRef[[SPY]:[PE]],MATCH(HS$1,PortfolioRef[Reference '#]),0),AssetMonthlyReturns[[#This Row],[SPY]:[PE]])</f>
        <v>6.0202043756180276E-5</v>
      </c>
      <c r="HT29" s="27">
        <f>IF(ISNUMBER(HT28),HT28*(1+PortfolioFrontier[[#This Row],[P57 Return]]),1+PortfolioFrontier[[#This Row],[P57 Return]])</f>
        <v>1.1283146484579314</v>
      </c>
      <c r="HU29" s="27">
        <f>MAX(HU28,PortfolioFrontier[[#This Row],[P57 Growth]])</f>
        <v>1.1491186441083043</v>
      </c>
      <c r="HV29" s="27">
        <f>PortfolioFrontier[[#This Row],[P57 Growth]]/PortfolioFrontier[[#This Row],[P57 HWM]]-1</f>
        <v>-1.810430607582425E-2</v>
      </c>
      <c r="HW29" s="28">
        <f>SUMPRODUCT(INDEX(PortfolioRef[[SPY]:[PE]],MATCH(HW$1,PortfolioRef[Reference '#]),0),AssetMonthlyReturns[[#This Row],[SPY]:[PE]])</f>
        <v>6.7185719347422233E-3</v>
      </c>
      <c r="HX29" s="27">
        <f>IF(ISNUMBER(HX28),HX28*(1+PortfolioFrontier[[#This Row],[P58 Return]]),1+PortfolioFrontier[[#This Row],[P58 Return]])</f>
        <v>1.1458942990203547</v>
      </c>
      <c r="HY29" s="27">
        <f>MAX(HY28,PortfolioFrontier[[#This Row],[P58 Growth]])</f>
        <v>1.1564137342851388</v>
      </c>
      <c r="HZ29" s="27">
        <f>PortfolioFrontier[[#This Row],[P58 Growth]]/PortfolioFrontier[[#This Row],[P58 HWM]]-1</f>
        <v>-9.0966018068671106E-3</v>
      </c>
      <c r="IA29" s="28">
        <f>SUMPRODUCT(INDEX(PortfolioRef[[SPY]:[PE]],MATCH(IA$1,PortfolioRef[Reference '#]),0),AssetMonthlyReturns[[#This Row],[SPY]:[PE]])</f>
        <v>5.1043748501007459E-3</v>
      </c>
      <c r="IB29" s="27">
        <f>IF(ISNUMBER(IB28),IB28*(1+PortfolioFrontier[[#This Row],[P59 Return]]),1+PortfolioFrontier[[#This Row],[P59 Return]])</f>
        <v>1.1405285723531831</v>
      </c>
      <c r="IC29" s="27">
        <f>MAX(IC28,PortfolioFrontier[[#This Row],[P59 Growth]])</f>
        <v>1.1531000541201888</v>
      </c>
      <c r="ID29" s="27">
        <f>PortfolioFrontier[[#This Row],[P59 Growth]]/PortfolioFrontier[[#This Row],[P59 HWM]]-1</f>
        <v>-1.0902333862604641E-2</v>
      </c>
      <c r="IE29" s="28">
        <f>SUMPRODUCT(INDEX(PortfolioRef[[SPY]:[PE]],MATCH(IE$1,PortfolioRef[Reference '#]),0),AssetMonthlyReturns[[#This Row],[SPY]:[PE]])</f>
        <v>3.4901777654592686E-3</v>
      </c>
      <c r="IF29" s="27">
        <f>IF(ISNUMBER(IF28),IF28*(1+PortfolioFrontier[[#This Row],[P60 Return]]),1+PortfolioFrontier[[#This Row],[P60 Return]])</f>
        <v>1.1350866525255698</v>
      </c>
      <c r="IG29" s="27">
        <f>MAX(IG28,PortfolioFrontier[[#This Row],[P60 Growth]])</f>
        <v>1.1497297656872949</v>
      </c>
      <c r="IH29" s="27">
        <f>PortfolioFrontier[[#This Row],[P60 Growth]]/PortfolioFrontier[[#This Row],[P60 HWM]]-1</f>
        <v>-1.2736134697679646E-2</v>
      </c>
      <c r="II29" s="28">
        <f>SUMPRODUCT(INDEX(PortfolioRef[[SPY]:[PE]],MATCH(II$1,PortfolioRef[Reference '#]),0),AssetMonthlyReturns[[#This Row],[SPY]:[PE]])</f>
        <v>4.0366715698608751E-4</v>
      </c>
      <c r="IJ29" s="27">
        <f>IF(ISNUMBER(IJ28),IJ28*(1+PortfolioFrontier[[#This Row],[P61 Return]]),1+PortfolioFrontier[[#This Row],[P61 Return]])</f>
        <v>1.1108076132283284</v>
      </c>
      <c r="IK29" s="27">
        <f>MAX(IK28,PortfolioFrontier[[#This Row],[P61 Growth]])</f>
        <v>1.1294319987390351</v>
      </c>
      <c r="IL29" s="27">
        <f>PortfolioFrontier[[#This Row],[P61 Growth]]/PortfolioFrontier[[#This Row],[P61 HWM]]-1</f>
        <v>-1.6490045909359763E-2</v>
      </c>
      <c r="IM29" s="28">
        <f>SUMPRODUCT(INDEX(PortfolioRef[[SPY]:[PE]],MATCH(IM$1,PortfolioRef[Reference '#]),0),AssetMonthlyReturns[[#This Row],[SPY]:[PE]])</f>
        <v>-1.4513748203259394E-3</v>
      </c>
      <c r="IN29" s="27">
        <f>IF(ISNUMBER(IN28),IN28*(1+PortfolioFrontier[[#This Row],[P62 Return]]),1+PortfolioFrontier[[#This Row],[P62 Return]])</f>
        <v>1.1085510518231643</v>
      </c>
      <c r="IO29" s="27">
        <f>MAX(IO28,PortfolioFrontier[[#This Row],[P62 Growth]])</f>
        <v>1.1307875651347878</v>
      </c>
      <c r="IP29" s="27">
        <f>PortfolioFrontier[[#This Row],[P62 Growth]]/PortfolioFrontier[[#This Row],[P62 HWM]]-1</f>
        <v>-1.966462490147125E-2</v>
      </c>
      <c r="IQ29" s="28">
        <f>SUMPRODUCT(INDEX(PortfolioRef[[SPY]:[PE]],MATCH(IQ$1,PortfolioRef[Reference '#]),0),AssetMonthlyReturns[[#This Row],[SPY]:[PE]])</f>
        <v>1.9786009013771475E-3</v>
      </c>
      <c r="IR29" s="27">
        <f>IF(ISNUMBER(IR28),IR28*(1+PortfolioFrontier[[#This Row],[P63 Return]]),1+PortfolioFrontier[[#This Row],[P63 Return]])</f>
        <v>1.1153041187164523</v>
      </c>
      <c r="IS29" s="27">
        <f>MAX(IS28,PortfolioFrontier[[#This Row],[P63 Growth]])</f>
        <v>1.1314701893182186</v>
      </c>
      <c r="IT29" s="27">
        <f>PortfolioFrontier[[#This Row],[P63 Growth]]/PortfolioFrontier[[#This Row],[P63 HWM]]-1</f>
        <v>-1.4287668163407319E-2</v>
      </c>
      <c r="IU29" s="28">
        <f>SUMPRODUCT(INDEX(PortfolioRef[[SPY]:[PE]],MATCH(IU$1,PortfolioRef[Reference '#]),0),AssetMonthlyReturns[[#This Row],[SPY]:[PE]])</f>
        <v>3.6440381673567027E-4</v>
      </c>
      <c r="IV29" s="27">
        <f>IF(ISNUMBER(IV28),IV28*(1+PortfolioFrontier[[#This Row],[P64 Return]]),1+PortfolioFrontier[[#This Row],[P64 Return]])</f>
        <v>1.1098890465344897</v>
      </c>
      <c r="IW29" s="27">
        <f>MAX(IW28,PortfolioFrontier[[#This Row],[P64 Growth]])</f>
        <v>1.1281140416878883</v>
      </c>
      <c r="IX29" s="27">
        <f>PortfolioFrontier[[#This Row],[P64 Growth]]/PortfolioFrontier[[#This Row],[P64 HWM]]-1</f>
        <v>-1.6155277285734626E-2</v>
      </c>
      <c r="IY29" s="28">
        <f>SUMPRODUCT(INDEX(PortfolioRef[[SPY]:[PE]],MATCH(IY$1,PortfolioRef[Reference '#]),0),AssetMonthlyReturns[[#This Row],[SPY]:[PE]])</f>
        <v>-3.3064167976379674E-3</v>
      </c>
      <c r="IZ29" s="27">
        <f>IF(ISNUMBER(IZ28),IZ28*(1+PortfolioFrontier[[#This Row],[P65 Return]]),1+PortfolioFrontier[[#This Row],[P65 Return]])</f>
        <v>1.1062340144356047</v>
      </c>
      <c r="JA29" s="27">
        <f>MAX(JA28,PortfolioFrontier[[#This Row],[P65 Growth]])</f>
        <v>1.1320832550752244</v>
      </c>
      <c r="JB29" s="27">
        <f>PortfolioFrontier[[#This Row],[P65 Growth]]/PortfolioFrontier[[#This Row],[P65 HWM]]-1</f>
        <v>-2.2833338911900203E-2</v>
      </c>
      <c r="JC29" s="28">
        <f>SUMPRODUCT(INDEX(PortfolioRef[[SPY]:[PE]],MATCH(JC$1,PortfolioRef[Reference '#]),0),AssetMonthlyReturns[[#This Row],[SPY]:[PE]])</f>
        <v>1.2355892406512044E-4</v>
      </c>
      <c r="JD29" s="27">
        <f>IF(ISNUMBER(JD28),JD28*(1+PortfolioFrontier[[#This Row],[P66 Return]]),1+PortfolioFrontier[[#This Row],[P66 Return]])</f>
        <v>1.1130323150489188</v>
      </c>
      <c r="JE29" s="27">
        <f>MAX(JE28,PortfolioFrontier[[#This Row],[P66 Growth]])</f>
        <v>1.1328187248763837</v>
      </c>
      <c r="JF29" s="27">
        <f>PortfolioFrontier[[#This Row],[P66 Growth]]/PortfolioFrontier[[#This Row],[P66 HWM]]-1</f>
        <v>-1.7466527868017057E-2</v>
      </c>
      <c r="JG29" s="28">
        <f>SUMPRODUCT(INDEX(PortfolioRef[[SPY]:[PE]],MATCH(JG$1,PortfolioRef[Reference '#]),0),AssetMonthlyReturns[[#This Row],[SPY]:[PE]])</f>
        <v>-1.4906381605763565E-3</v>
      </c>
      <c r="JH29" s="27">
        <f>IF(ISNUMBER(JH28),JH28*(1+PortfolioFrontier[[#This Row],[P67 Return]]),1+PortfolioFrontier[[#This Row],[P67 Return]])</f>
        <v>1.1076534268867271</v>
      </c>
      <c r="JI29" s="27">
        <f>MAX(JI28,PortfolioFrontier[[#This Row],[P67 Growth]])</f>
        <v>1.1294877188116705</v>
      </c>
      <c r="JJ29" s="27">
        <f>PortfolioFrontier[[#This Row],[P67 Growth]]/PortfolioFrontier[[#This Row],[P67 HWM]]-1</f>
        <v>-1.9331145935712502E-2</v>
      </c>
      <c r="JK29" s="28">
        <f>SUMPRODUCT(INDEX(PortfolioRef[[SPY]:[PE]],MATCH(JK$1,PortfolioRef[Reference '#]),0),AssetMonthlyReturns[[#This Row],[SPY]:[PE]])</f>
        <v>3.553534645768209E-3</v>
      </c>
      <c r="JL29" s="27">
        <f>IF(ISNUMBER(JL28),JL28*(1+PortfolioFrontier[[#This Row],[P68 Return]]),1+PortfolioFrontier[[#This Row],[P68 Return]])</f>
        <v>1.1197609481956252</v>
      </c>
      <c r="JM29" s="27">
        <f>MAX(JM28,PortfolioFrontier[[#This Row],[P68 Growth]])</f>
        <v>1.1334747857186009</v>
      </c>
      <c r="JN29" s="27">
        <f>PortfolioFrontier[[#This Row],[P68 Growth]]/PortfolioFrontier[[#This Row],[P68 HWM]]-1</f>
        <v>-1.2098934793932314E-2</v>
      </c>
      <c r="JO29" s="28">
        <f>SUMPRODUCT(INDEX(PortfolioRef[[SPY]:[PE]],MATCH(JO$1,PortfolioRef[Reference '#]),0),AssetMonthlyReturns[[#This Row],[SPY]:[PE]])</f>
        <v>1.9393375611267301E-3</v>
      </c>
      <c r="JP29" s="27">
        <f>IF(ISNUMBER(JP28),JP28*(1+PortfolioFrontier[[#This Row],[P69 Return]]),1+PortfolioFrontier[[#This Row],[P69 Return]])</f>
        <v>1.1143868603124198</v>
      </c>
      <c r="JQ29" s="27">
        <f>MAX(JQ28,PortfolioFrontier[[#This Row],[P69 Growth]])</f>
        <v>1.1301501657815767</v>
      </c>
      <c r="JR29" s="27">
        <f>PortfolioFrontier[[#This Row],[P69 Growth]]/PortfolioFrontier[[#This Row],[P69 HWM]]-1</f>
        <v>-1.3947974301499522E-2</v>
      </c>
      <c r="JS29" s="28">
        <f>SUMPRODUCT(INDEX(PortfolioRef[[SPY]:[PE]],MATCH(JS$1,PortfolioRef[Reference '#]),0),AssetMonthlyReturns[[#This Row],[SPY]:[PE]])</f>
        <v>3.2514047648525308E-4</v>
      </c>
      <c r="JT29" s="27">
        <f>IF(ISNUMBER(JT28),JT28*(1+PortfolioFrontier[[#This Row],[P70 Return]]),1+PortfolioFrontier[[#This Row],[P70 Return]])</f>
        <v>1.1089398142618572</v>
      </c>
      <c r="JU29" s="27">
        <f>MAX(JU28,PortfolioFrontier[[#This Row],[P70 Growth]])</f>
        <v>1.1267704712672371</v>
      </c>
      <c r="JV29" s="27">
        <f>PortfolioFrontier[[#This Row],[P70 Growth]]/PortfolioFrontier[[#This Row],[P70 HWM]]-1</f>
        <v>-1.5824568942888972E-2</v>
      </c>
      <c r="JW29" s="28">
        <f>SUMPRODUCT(INDEX(PortfolioRef[[SPY]:[PE]],MATCH(JW$1,PortfolioRef[Reference '#]),0),AssetMonthlyReturns[[#This Row],[SPY]:[PE]])</f>
        <v>-1.7314830532469078E-3</v>
      </c>
      <c r="JX29" s="27">
        <f>IF(ISNUMBER(JX28),JX28*(1+PortfolioFrontier[[#This Row],[P71 Return]]),1+PortfolioFrontier[[#This Row],[P71 Return]])</f>
        <v>1.110699905484767</v>
      </c>
      <c r="JY29" s="27">
        <f>MAX(JY28,PortfolioFrontier[[#This Row],[P71 Growth]])</f>
        <v>1.1341073317396606</v>
      </c>
      <c r="JZ29" s="27">
        <f>PortfolioFrontier[[#This Row],[P71 Growth]]/PortfolioFrontier[[#This Row],[P71 HWM]]-1</f>
        <v>-2.0639515855159662E-2</v>
      </c>
      <c r="KA29" s="28">
        <f>SUMPRODUCT(INDEX(PortfolioRef[[SPY]:[PE]],MATCH(KA$1,PortfolioRef[Reference '#]),0),AssetMonthlyReturns[[#This Row],[SPY]:[PE]])</f>
        <v>-3.3456801378883849E-3</v>
      </c>
      <c r="KB29" s="27">
        <f>IF(ISNUMBER(KB28),KB28*(1+PortfolioFrontier[[#This Row],[P72 Return]]),1+PortfolioFrontier[[#This Row],[P72 Return]])</f>
        <v>1.105357305495092</v>
      </c>
      <c r="KC29" s="27">
        <f>MAX(KC28,PortfolioFrontier[[#This Row],[P72 Growth]])</f>
        <v>1.1308016396062204</v>
      </c>
      <c r="KD29" s="27">
        <f>PortfolioFrontier[[#This Row],[P72 Growth]]/PortfolioFrontier[[#This Row],[P72 HWM]]-1</f>
        <v>-2.2501147168471403E-2</v>
      </c>
      <c r="KE29" s="28">
        <f>SUMPRODUCT(INDEX(PortfolioRef[[SPY]:[PE]],MATCH(KE$1,PortfolioRef[Reference '#]),0),AssetMonthlyReturns[[#This Row],[SPY]:[PE]])</f>
        <v>1.6984926684561819E-3</v>
      </c>
      <c r="KF29" s="27">
        <f>IF(ISNUMBER(KF28),KF28*(1+PortfolioFrontier[[#This Row],[P73 Return]]),1+PortfolioFrontier[[#This Row],[P73 Return]])</f>
        <v>1.1174739279620334</v>
      </c>
      <c r="KG29" s="27">
        <f>MAX(KG28,PortfolioFrontier[[#This Row],[P73 Growth]])</f>
        <v>1.1348162363698722</v>
      </c>
      <c r="KH29" s="27">
        <f>PortfolioFrontier[[#This Row],[P73 Growth]]/PortfolioFrontier[[#This Row],[P73 HWM]]-1</f>
        <v>-1.5282041137615887E-2</v>
      </c>
      <c r="KI29" s="28">
        <f>SUMPRODUCT(INDEX(PortfolioRef[[SPY]:[PE]],MATCH(KI$1,PortfolioRef[Reference '#]),0),AssetMonthlyReturns[[#This Row],[SPY]:[PE]])</f>
        <v>8.4295583814703211E-5</v>
      </c>
      <c r="KJ29" s="27">
        <f>IF(ISNUMBER(KJ28),KJ28*(1+PortfolioFrontier[[#This Row],[P74 Return]]),1+PortfolioFrontier[[#This Row],[P74 Return]])</f>
        <v>1.1121360823495217</v>
      </c>
      <c r="KK29" s="27">
        <f>MAX(KK28,PortfolioFrontier[[#This Row],[P74 Growth]])</f>
        <v>1.1315168548073993</v>
      </c>
      <c r="KL29" s="27">
        <f>PortfolioFrontier[[#This Row],[P74 Growth]]/PortfolioFrontier[[#This Row],[P74 HWM]]-1</f>
        <v>-1.712813412856895E-2</v>
      </c>
      <c r="KM29" s="28">
        <f>SUMPRODUCT(INDEX(PortfolioRef[[SPY]:[PE]],MATCH(KM$1,PortfolioRef[Reference '#]),0),AssetMonthlyReturns[[#This Row],[SPY]:[PE]])</f>
        <v>-1.5299015008267739E-3</v>
      </c>
      <c r="KN29" s="27">
        <f>IF(ISNUMBER(KN28),KN28*(1+PortfolioFrontier[[#This Row],[P75 Return]]),1+PortfolioFrontier[[#This Row],[P75 Return]])</f>
        <v>1.1067251656768979</v>
      </c>
      <c r="KO29" s="27">
        <f>MAX(KO28,PortfolioFrontier[[#This Row],[P75 Growth]])</f>
        <v>1.1281621830860007</v>
      </c>
      <c r="KP29" s="27">
        <f>PortfolioFrontier[[#This Row],[P75 Growth]]/PortfolioFrontier[[#This Row],[P75 HWM]]-1</f>
        <v>-1.9001716003689717E-2</v>
      </c>
      <c r="KQ29" s="28">
        <f>SUMPRODUCT(INDEX(PortfolioRef[[SPY]:[PE]],MATCH(KQ$1,PortfolioRef[Reference '#]),0),AssetMonthlyReturns[[#This Row],[SPY]:[PE]])</f>
        <v>5.1284683901592692E-3</v>
      </c>
      <c r="KR29" s="27">
        <f>IF(ISNUMBER(KR28),KR28*(1+PortfolioFrontier[[#This Row],[P76 Return]]),1+PortfolioFrontier[[#This Row],[P76 Return]])</f>
        <v>1.1241774371531743</v>
      </c>
      <c r="KS29" s="27">
        <f>MAX(KS28,PortfolioFrontier[[#This Row],[P76 Growth]])</f>
        <v>1.1354456097035888</v>
      </c>
      <c r="KT29" s="27">
        <f>PortfolioFrontier[[#This Row],[P76 Growth]]/PortfolioFrontier[[#This Row],[P76 HWM]]-1</f>
        <v>-9.9240090886925092E-3</v>
      </c>
      <c r="KU29" s="28">
        <f>SUMPRODUCT(INDEX(PortfolioRef[[SPY]:[PE]],MATCH(KU$1,PortfolioRef[Reference '#]),0),AssetMonthlyReturns[[#This Row],[SPY]:[PE]])</f>
        <v>3.5142713055177914E-3</v>
      </c>
      <c r="KV29" s="27">
        <f>IF(ISNUMBER(KV28),KV28*(1+PortfolioFrontier[[#This Row],[P77 Return]]),1+PortfolioFrontier[[#This Row],[P77 Return]])</f>
        <v>1.1188451058267423</v>
      </c>
      <c r="KW29" s="27">
        <f>MAX(KW28,PortfolioFrontier[[#This Row],[P77 Growth]])</f>
        <v>1.1321527467304082</v>
      </c>
      <c r="KX29" s="27">
        <f>PortfolioFrontier[[#This Row],[P77 Growth]]/PortfolioFrontier[[#This Row],[P77 HWM]]-1</f>
        <v>-1.175428045561655E-2</v>
      </c>
      <c r="KY29" s="28">
        <f>SUMPRODUCT(INDEX(PortfolioRef[[SPY]:[PE]],MATCH(KY$1,PortfolioRef[Reference '#]),0),AssetMonthlyReturns[[#This Row],[SPY]:[PE]])</f>
        <v>1.9000742208763128E-3</v>
      </c>
      <c r="KZ29" s="27">
        <f>IF(ISNUMBER(KZ28),KZ28*(1+PortfolioFrontier[[#This Row],[P78 Return]]),1+PortfolioFrontier[[#This Row],[P78 Return]])</f>
        <v>1.1134388025589403</v>
      </c>
      <c r="LA29" s="27">
        <f>MAX(LA28,PortfolioFrontier[[#This Row],[P78 Growth]])</f>
        <v>1.1288044801379766</v>
      </c>
      <c r="LB29" s="27">
        <f>PortfolioFrontier[[#This Row],[P78 Growth]]/PortfolioFrontier[[#This Row],[P78 HWM]]-1</f>
        <v>-1.3612346380090679E-2</v>
      </c>
      <c r="LC29" s="28">
        <f>SUMPRODUCT(INDEX(PortfolioRef[[SPY]:[PE]],MATCH(LC$1,PortfolioRef[Reference '#]),0),AssetMonthlyReturns[[#This Row],[SPY]:[PE]])</f>
        <v>-1.5654930885584619E-4</v>
      </c>
      <c r="LD29" s="27">
        <f>IF(ISNUMBER(LD28),LD28*(1+PortfolioFrontier[[#This Row],[P79 Return]]),1+PortfolioFrontier[[#This Row],[P79 Return]])</f>
        <v>1.1151261744029868</v>
      </c>
      <c r="LE29" s="27">
        <f>MAX(LE28,PortfolioFrontier[[#This Row],[P79 Growth]])</f>
        <v>1.1360977076552197</v>
      </c>
      <c r="LF29" s="27">
        <f>PortfolioFrontier[[#This Row],[P79 Growth]]/PortfolioFrontier[[#This Row],[P79 HWM]]-1</f>
        <v>-1.8459269049592386E-2</v>
      </c>
      <c r="LG29" s="28">
        <f>SUMPRODUCT(INDEX(PortfolioRef[[SPY]:[PE]],MATCH(LG$1,PortfolioRef[Reference '#]),0),AssetMonthlyReturns[[#This Row],[SPY]:[PE]])</f>
        <v>-1.7707463934973249E-3</v>
      </c>
      <c r="LH29" s="27">
        <f>IF(ISNUMBER(LH28),LH28*(1+PortfolioFrontier[[#This Row],[P80 Return]]),1+PortfolioFrontier[[#This Row],[P80 Return]])</f>
        <v>1.1098246722061584</v>
      </c>
      <c r="LI29" s="27">
        <f>MAX(LI28,PortfolioFrontier[[#This Row],[P80 Growth]])</f>
        <v>1.1328237352358017</v>
      </c>
      <c r="LJ29" s="27">
        <f>PortfolioFrontier[[#This Row],[P80 Growth]]/PortfolioFrontier[[#This Row],[P80 HWM]]-1</f>
        <v>-2.0302419797777249E-2</v>
      </c>
      <c r="LK29" s="28">
        <f>SUMPRODUCT(INDEX(PortfolioRef[[SPY]:[PE]],MATCH(LK$1,PortfolioRef[Reference '#]),0),AssetMonthlyReturns[[#This Row],[SPY]:[PE]])</f>
        <v>-3.3849434781388021E-3</v>
      </c>
      <c r="LL29" s="27">
        <f>IF(ISNUMBER(LL28),LL28*(1+PortfolioFrontier[[#This Row],[P81 Return]]),1+PortfolioFrontier[[#This Row],[P81 Return]])</f>
        <v>1.1044499917074777</v>
      </c>
      <c r="LM29" s="27">
        <f>MAX(LM28,PortfolioFrontier[[#This Row],[P81 Growth]])</f>
        <v>1.1294942602915885</v>
      </c>
      <c r="LN29" s="27">
        <f>PortfolioFrontier[[#This Row],[P81 Growth]]/PortfolioFrontier[[#This Row],[P81 HWM]]-1</f>
        <v>-2.217299322764632E-2</v>
      </c>
      <c r="LO29" s="28">
        <f>SUMPRODUCT(INDEX(PortfolioRef[[SPY]:[PE]],MATCH(LO$1,PortfolioRef[Reference '#]),0),AssetMonthlyReturns[[#This Row],[SPY]:[PE]])</f>
        <v>3.2734264128472419E-3</v>
      </c>
      <c r="LP29" s="27">
        <f>IF(ISNUMBER(LP28),LP28*(1+PortfolioFrontier[[#This Row],[P82 Return]]),1+PortfolioFrontier[[#This Row],[P82 Return]])</f>
        <v>1.1218752276071366</v>
      </c>
      <c r="LQ29" s="27">
        <f>MAX(LQ28,PortfolioFrontier[[#This Row],[P82 Growth]])</f>
        <v>1.1367799217668872</v>
      </c>
      <c r="LR29" s="27">
        <f>PortfolioFrontier[[#This Row],[P82 Growth]]/PortfolioFrontier[[#This Row],[P82 HWM]]-1</f>
        <v>-1.3111327772735826E-2</v>
      </c>
      <c r="LS29" s="28">
        <f>SUMPRODUCT(INDEX(PortfolioRef[[SPY]:[PE]],MATCH(LS$1,PortfolioRef[Reference '#]),0),AssetMonthlyReturns[[#This Row],[SPY]:[PE]])</f>
        <v>1.6592293282057648E-3</v>
      </c>
      <c r="LT29" s="27">
        <f>IF(ISNUMBER(LT28),LT28*(1+PortfolioFrontier[[#This Row],[P83 Return]]),1+PortfolioFrontier[[#This Row],[P83 Return]])</f>
        <v>1.1165791945700181</v>
      </c>
      <c r="LU29" s="27">
        <f>MAX(LU28,PortfolioFrontier[[#This Row],[P83 Growth]])</f>
        <v>1.1335123932499547</v>
      </c>
      <c r="LV29" s="27">
        <f>PortfolioFrontier[[#This Row],[P83 Growth]]/PortfolioFrontier[[#This Row],[P83 HWM]]-1</f>
        <v>-1.493869743354681E-2</v>
      </c>
      <c r="LW29" s="28">
        <f>SUMPRODUCT(INDEX(PortfolioRef[[SPY]:[PE]],MATCH(LW$1,PortfolioRef[Reference '#]),0),AssetMonthlyReturns[[#This Row],[SPY]:[PE]])</f>
        <v>4.5032243564285987E-5</v>
      </c>
      <c r="LX29" s="27">
        <f>IF(ISNUMBER(LX28),LX28*(1+PortfolioFrontier[[#This Row],[P84 Return]]),1+PortfolioFrontier[[#This Row],[P84 Return]])</f>
        <v>1.111209079936033</v>
      </c>
      <c r="LY29" s="27">
        <f>MAX(LY28,PortfolioFrontier[[#This Row],[P84 Growth]])</f>
        <v>1.1301892465493473</v>
      </c>
      <c r="LZ29" s="27">
        <f>PortfolioFrontier[[#This Row],[P84 Growth]]/PortfolioFrontier[[#This Row],[P84 HWM]]-1</f>
        <v>-1.6793795084552254E-2</v>
      </c>
      <c r="MA29" s="28">
        <f>SUMPRODUCT(INDEX(PortfolioRef[[SPY]:[PE]],MATCH(MA$1,PortfolioRef[Reference '#]),0),AssetMonthlyReturns[[#This Row],[SPY]:[PE]])</f>
        <v>6.703402134550329E-3</v>
      </c>
      <c r="MB29" s="27">
        <f>IF(ISNUMBER(MB28),MB28*(1+PortfolioFrontier[[#This Row],[P85 Return]]),1+PortfolioFrontier[[#This Row],[P85 Return]])</f>
        <v>1.1285529225751338</v>
      </c>
      <c r="MC29" s="27">
        <f>MAX(MC28,PortfolioFrontier[[#This Row],[P85 Growth]])</f>
        <v>1.1373824854504828</v>
      </c>
      <c r="MD29" s="27">
        <f>PortfolioFrontier[[#This Row],[P85 Growth]]/PortfolioFrontier[[#This Row],[P85 HWM]]-1</f>
        <v>-7.7630550745221294E-3</v>
      </c>
      <c r="ME29" s="28">
        <f>SUMPRODUCT(INDEX(PortfolioRef[[SPY]:[PE]],MATCH(ME$1,PortfolioRef[Reference '#]),0),AssetMonthlyReturns[[#This Row],[SPY]:[PE]])</f>
        <v>5.0892050499088516E-3</v>
      </c>
      <c r="MF29" s="27">
        <f>IF(ISNUMBER(MF28),MF28*(1+PortfolioFrontier[[#This Row],[P86 Return]]),1+PortfolioFrontier[[#This Row],[P86 Return]])</f>
        <v>1.1232631192913296</v>
      </c>
      <c r="MG29" s="27">
        <f>MAX(MG28,PortfolioFrontier[[#This Row],[P86 Growth]])</f>
        <v>1.1341216065780884</v>
      </c>
      <c r="MH29" s="27">
        <f>PortfolioFrontier[[#This Row],[P86 Growth]]/PortfolioFrontier[[#This Row],[P86 HWM]]-1</f>
        <v>-9.5743588904203536E-3</v>
      </c>
      <c r="MI29" s="28">
        <f>SUMPRODUCT(INDEX(PortfolioRef[[SPY]:[PE]],MATCH(MI$1,PortfolioRef[Reference '#]),0),AssetMonthlyReturns[[#This Row],[SPY]:[PE]])</f>
        <v>3.4750079652673743E-3</v>
      </c>
      <c r="MJ29" s="27">
        <f>IF(ISNUMBER(MJ28),MJ28*(1+PortfolioFrontier[[#This Row],[P87 Return]]),1+PortfolioFrontier[[#This Row],[P87 Return]])</f>
        <v>1.1178983309264232</v>
      </c>
      <c r="MK29" s="27">
        <f>MAX(MK28,PortfolioFrontier[[#This Row],[P87 Growth]])</f>
        <v>1.1308049973216896</v>
      </c>
      <c r="ML29" s="27">
        <f>PortfolioFrontier[[#This Row],[P87 Growth]]/PortfolioFrontier[[#This Row],[P87 HWM]]-1</f>
        <v>-1.1413697698396952E-2</v>
      </c>
      <c r="MM29" s="28">
        <f>SUMPRODUCT(INDEX(PortfolioRef[[SPY]:[PE]],MATCH(MM$1,PortfolioRef[Reference '#]),0),AssetMonthlyReturns[[#This Row],[SPY]:[PE]])</f>
        <v>1.4183844355352135E-3</v>
      </c>
      <c r="MN29" s="27">
        <f>IF(ISNUMBER(MN28),MN28*(1+PortfolioFrontier[[#This Row],[P88 Return]]),1+PortfolioFrontier[[#This Row],[P88 Return]])</f>
        <v>1.1195121598133617</v>
      </c>
      <c r="MO29" s="27">
        <f>MAX(MO28,PortfolioFrontier[[#This Row],[P88 Growth]])</f>
        <v>1.1380542053647611</v>
      </c>
      <c r="MP29" s="27">
        <f>PortfolioFrontier[[#This Row],[P88 Growth]]/PortfolioFrontier[[#This Row],[P88 HWM]]-1</f>
        <v>-1.6292761332450278E-2</v>
      </c>
      <c r="MQ29" s="28">
        <f>SUMPRODUCT(INDEX(PortfolioRef[[SPY]:[PE]],MATCH(MQ$1,PortfolioRef[Reference '#]),0),AssetMonthlyReturns[[#This Row],[SPY]:[PE]])</f>
        <v>-1.9581264910626344E-4</v>
      </c>
      <c r="MR29" s="27">
        <f>IF(ISNUMBER(MR28),MR28*(1+PortfolioFrontier[[#This Row],[P89 Return]]),1+PortfolioFrontier[[#This Row],[P89 Return]])</f>
        <v>1.1142525231769822</v>
      </c>
      <c r="MS29" s="27">
        <f>MAX(MS28,PortfolioFrontier[[#This Row],[P89 Growth]])</f>
        <v>1.1348121804683284</v>
      </c>
      <c r="MT29" s="27">
        <f>PortfolioFrontier[[#This Row],[P89 Growth]]/PortfolioFrontier[[#This Row],[P89 HWM]]-1</f>
        <v>-1.8117233534505561E-2</v>
      </c>
      <c r="MU29" s="28">
        <f>SUMPRODUCT(INDEX(PortfolioRef[[SPY]:[PE]],MATCH(MU$1,PortfolioRef[Reference '#]),0),AssetMonthlyReturns[[#This Row],[SPY]:[PE]])</f>
        <v>-1.8100097337477423E-3</v>
      </c>
      <c r="MV29" s="27">
        <f>IF(ISNUMBER(MV28),MV28*(1+PortfolioFrontier[[#This Row],[P90 Return]]),1+PortfolioFrontier[[#This Row],[P90 Return]])</f>
        <v>1.1089187009764072</v>
      </c>
      <c r="MW29" s="27">
        <f>MAX(MW28,PortfolioFrontier[[#This Row],[P90 Growth]])</f>
        <v>1.1315143260529454</v>
      </c>
      <c r="MX29" s="27">
        <f>PortfolioFrontier[[#This Row],[P90 Growth]]/PortfolioFrontier[[#This Row],[P90 HWM]]-1</f>
        <v>-1.9969367206651656E-2</v>
      </c>
      <c r="MY29" s="28">
        <f>SUMPRODUCT(INDEX(PortfolioRef[[SPY]:[PE]],MATCH(MY$1,PortfolioRef[Reference '#]),0),AssetMonthlyReturns[[#This Row],[SPY]:[PE]])</f>
        <v>4.8483601572383017E-3</v>
      </c>
      <c r="MZ29" s="27">
        <f>IF(ISNUMBER(MZ28),MZ28*(1+PortfolioFrontier[[#This Row],[P91 Return]]),1+PortfolioFrontier[[#This Row],[P91 Return]])</f>
        <v>1.1262355525334338</v>
      </c>
      <c r="NA29" s="27">
        <f>MAX(NA28,PortfolioFrontier[[#This Row],[P91 Growth]])</f>
        <v>1.1387096056367039</v>
      </c>
      <c r="NB29" s="27">
        <f>PortfolioFrontier[[#This Row],[P91 Growth]]/PortfolioFrontier[[#This Row],[P91 HWM]]-1</f>
        <v>-1.0954551574451021E-2</v>
      </c>
      <c r="NC29" s="28">
        <f>SUMPRODUCT(INDEX(PortfolioRef[[SPY]:[PE]],MATCH(NC$1,PortfolioRef[Reference '#]),0),AssetMonthlyReturns[[#This Row],[SPY]:[PE]])</f>
        <v>3.2341630725968244E-3</v>
      </c>
      <c r="ND29" s="27">
        <f>IF(ISNUMBER(ND28),ND28*(1+PortfolioFrontier[[#This Row],[P92 Return]]),1+PortfolioFrontier[[#This Row],[P92 Return]])</f>
        <v>1.1209821013075782</v>
      </c>
      <c r="NE29" s="27">
        <f>MAX(NE28,PortfolioFrontier[[#This Row],[P92 Growth]])</f>
        <v>1.1354741565687236</v>
      </c>
      <c r="NF29" s="27">
        <f>PortfolioFrontier[[#This Row],[P92 Growth]]/PortfolioFrontier[[#This Row],[P92 HWM]]-1</f>
        <v>-1.2762998767791189E-2</v>
      </c>
      <c r="NG29" s="28">
        <f>SUMPRODUCT(INDEX(PortfolioRef[[SPY]:[PE]],MATCH(NG$1,PortfolioRef[Reference '#]),0),AssetMonthlyReturns[[#This Row],[SPY]:[PE]])</f>
        <v>1.6199659879553474E-3</v>
      </c>
      <c r="NH29" s="27">
        <f>IF(ISNUMBER(NH28),NH28*(1+PortfolioFrontier[[#This Row],[P93 Return]]),1+PortfolioFrontier[[#This Row],[P93 Return]])</f>
        <v>1.1156535586148286</v>
      </c>
      <c r="NI29" s="27">
        <f>MAX(NI28,PortfolioFrontier[[#This Row],[P93 Growth]])</f>
        <v>1.1321827635804655</v>
      </c>
      <c r="NJ29" s="27">
        <f>PortfolioFrontier[[#This Row],[P93 Growth]]/PortfolioFrontier[[#This Row],[P93 HWM]]-1</f>
        <v>-1.4599414067534622E-2</v>
      </c>
      <c r="NK29" s="28">
        <f>SUMPRODUCT(INDEX(PortfolioRef[[SPY]:[PE]],MATCH(NK$1,PortfolioRef[Reference '#]),0),AssetMonthlyReturns[[#This Row],[SPY]:[PE]])</f>
        <v>8.2783358789413879E-3</v>
      </c>
      <c r="NL29" s="27">
        <f>IF(ISNUMBER(NL28),NL28*(1+PortfolioFrontier[[#This Row],[P94 Return]]),1+PortfolioFrontier[[#This Row],[P94 Return]])</f>
        <v>1.1328867430645144</v>
      </c>
      <c r="NM29" s="27">
        <f>MAX(NM28,PortfolioFrontier[[#This Row],[P94 Growth]])</f>
        <v>1.1392852395715367</v>
      </c>
      <c r="NN29" s="27">
        <f>PortfolioFrontier[[#This Row],[P94 Growth]]/PortfolioFrontier[[#This Row],[P94 HWM]]-1</f>
        <v>-5.6162375187346347E-3</v>
      </c>
      <c r="NO29" s="28">
        <f>SUMPRODUCT(INDEX(PortfolioRef[[SPY]:[PE]],MATCH(NO$1,PortfolioRef[Reference '#]),0),AssetMonthlyReturns[[#This Row],[SPY]:[PE]])</f>
        <v>6.6641387942999114E-3</v>
      </c>
      <c r="NP29" s="27">
        <f>IF(ISNUMBER(NP28),NP28*(1+PortfolioFrontier[[#This Row],[P95 Return]]),1+PortfolioFrontier[[#This Row],[P95 Return]])</f>
        <v>1.127640238407563</v>
      </c>
      <c r="NQ29" s="27">
        <f>MAX(NQ28,PortfolioFrontier[[#This Row],[P95 Growth]])</f>
        <v>1.1360565697788958</v>
      </c>
      <c r="NR29" s="27">
        <f>PortfolioFrontier[[#This Row],[P95 Growth]]/PortfolioFrontier[[#This Row],[P95 HWM]]-1</f>
        <v>-7.408373487044595E-3</v>
      </c>
      <c r="NS29" s="28">
        <f>SUMPRODUCT(INDEX(PortfolioRef[[SPY]:[PE]],MATCH(NS$1,PortfolioRef[Reference '#]),0),AssetMonthlyReturns[[#This Row],[SPY]:[PE]])</f>
        <v>5.0499417096584349E-3</v>
      </c>
      <c r="NT29" s="27">
        <f>IF(ISNUMBER(NT28),NT28*(1+PortfolioFrontier[[#This Row],[P96 Return]]),1+PortfolioFrontier[[#This Row],[P96 Return]])</f>
        <v>1.1223177363188075</v>
      </c>
      <c r="NU29" s="27">
        <f>MAX(NU28,PortfolioFrontier[[#This Row],[P96 Growth]])</f>
        <v>1.1327718451451314</v>
      </c>
      <c r="NV29" s="27">
        <f>PortfolioFrontier[[#This Row],[P96 Growth]]/PortfolioFrontier[[#This Row],[P96 HWM]]-1</f>
        <v>-9.2287858946428214E-3</v>
      </c>
      <c r="NW29" s="28">
        <f>SUMPRODUCT(INDEX(PortfolioRef[[SPY]:[PE]],MATCH(NW$1,PortfolioRef[Reference '#]),0),AssetMonthlyReturns[[#This Row],[SPY]:[PE]])</f>
        <v>3.8849735679419322E-4</v>
      </c>
      <c r="NX29" s="27">
        <f>IF(ISNUMBER(NX28),NX28*(1+PortfolioFrontier[[#This Row],[P97 Return]]),1+PortfolioFrontier[[#This Row],[P97 Return]])</f>
        <v>1.0938908023681557</v>
      </c>
      <c r="NY29" s="27">
        <f>MAX(NY28,PortfolioFrontier[[#This Row],[P97 Growth]])</f>
        <v>1.1107647566622896</v>
      </c>
      <c r="NZ29" s="27">
        <f>PortfolioFrontier[[#This Row],[P97 Growth]]/PortfolioFrontier[[#This Row],[P97 HWM]]-1</f>
        <v>-1.5191294279841894E-2</v>
      </c>
      <c r="OA29" s="28">
        <f>SUMPRODUCT(INDEX(PortfolioRef[[SPY]:[PE]],MATCH(OA$1,PortfolioRef[Reference '#]),0),AssetMonthlyReturns[[#This Row],[SPY]:[PE]])</f>
        <v>-1.4665446205178337E-3</v>
      </c>
      <c r="OB29" s="27">
        <f>IF(ISNUMBER(OB28),OB28*(1+PortfolioFrontier[[#This Row],[P98 Return]]),1+PortfolioFrontier[[#This Row],[P98 Return]])</f>
        <v>1.0916632934049211</v>
      </c>
      <c r="OC29" s="27">
        <f>MAX(OC28,PortfolioFrontier[[#This Row],[P98 Growth]])</f>
        <v>1.112092793177976</v>
      </c>
      <c r="OD29" s="27">
        <f>PortfolioFrontier[[#This Row],[P98 Growth]]/PortfolioFrontier[[#This Row],[P98 HWM]]-1</f>
        <v>-1.8370319363975485E-2</v>
      </c>
      <c r="OE29" s="28">
        <f>SUMPRODUCT(INDEX(PortfolioRef[[SPY]:[PE]],MATCH(OE$1,PortfolioRef[Reference '#]),0),AssetMonthlyReturns[[#This Row],[SPY]:[PE]])</f>
        <v>1.9634311011852532E-3</v>
      </c>
      <c r="OF29" s="27">
        <f>IF(ISNUMBER(OF28),OF28*(1+PortfolioFrontier[[#This Row],[P99 Return]]),1+PortfolioFrontier[[#This Row],[P99 Return]])</f>
        <v>1.0983332108098409</v>
      </c>
      <c r="OG29" s="27">
        <f>MAX(OG28,PortfolioFrontier[[#This Row],[P99 Growth]])</f>
        <v>1.1127787447941944</v>
      </c>
      <c r="OH29" s="27">
        <f>PortfolioFrontier[[#This Row],[P99 Growth]]/PortfolioFrontier[[#This Row],[P99 HWM]]-1</f>
        <v>-1.2981497042365842E-2</v>
      </c>
      <c r="OI29" s="28">
        <f>SUMPRODUCT(INDEX(PortfolioRef[[SPY]:[PE]],MATCH(OI$1,PortfolioRef[Reference '#]),0),AssetMonthlyReturns[[#This Row],[SPY]:[PE]])</f>
        <v>3.4923401654377598E-4</v>
      </c>
      <c r="OJ29" s="27">
        <f>IF(ISNUMBER(OJ28),OJ28*(1+PortfolioFrontier[[#This Row],[P100 Return]]),1+PortfolioFrontier[[#This Row],[P100 Return]])</f>
        <v>1.0929954354138354</v>
      </c>
      <c r="OK29" s="27">
        <f>MAX(OK28,PortfolioFrontier[[#This Row],[P100 Growth]])</f>
        <v>1.1094762556359219</v>
      </c>
      <c r="OL29" s="27">
        <f>PortfolioFrontier[[#This Row],[P100 Growth]]/PortfolioFrontier[[#This Row],[P100 HWM]]-1</f>
        <v>-1.4854594803960119E-2</v>
      </c>
      <c r="OM29" s="28">
        <f>SUMPRODUCT(INDEX(PortfolioRef[[SPY]:[PE]],MATCH(OM$1,PortfolioRef[Reference '#]),0),AssetMonthlyReturns[[#This Row],[SPY]:[PE]])</f>
        <v>-3.3215865978298616E-3</v>
      </c>
      <c r="ON29" s="27">
        <f>IF(ISNUMBER(ON28),ON28*(1+PortfolioFrontier[[#This Row],[P101 Return]]),1+PortfolioFrontier[[#This Row],[P101 Return]])</f>
        <v>1.0893761418021286</v>
      </c>
      <c r="OO29" s="27">
        <f>MAX(OO28,PortfolioFrontier[[#This Row],[P101 Growth]])</f>
        <v>1.1133618200783288</v>
      </c>
      <c r="OP29" s="27">
        <f>PortfolioFrontier[[#This Row],[P101 Growth]]/PortfolioFrontier[[#This Row],[P101 HWM]]-1</f>
        <v>-2.1543471173201101E-2</v>
      </c>
      <c r="OQ29" s="28">
        <f>SUMPRODUCT(INDEX(PortfolioRef[[SPY]:[PE]],MATCH(OQ$1,PortfolioRef[Reference '#]),0),AssetMonthlyReturns[[#This Row],[SPY]:[PE]])</f>
        <v>1.0838912387322614E-4</v>
      </c>
      <c r="OR29" s="27">
        <f>IF(ISNUMBER(OR28),OR28*(1+PortfolioFrontier[[#This Row],[P102 Return]]),1+PortfolioFrontier[[#This Row],[P102 Return]])</f>
        <v>1.0960906730205879</v>
      </c>
      <c r="OS29" s="27">
        <f>MAX(OS28,PortfolioFrontier[[#This Row],[P102 Growth]])</f>
        <v>1.114099894787576</v>
      </c>
      <c r="OT29" s="27">
        <f>PortfolioFrontier[[#This Row],[P102 Growth]]/PortfolioFrontier[[#This Row],[P102 HWM]]-1</f>
        <v>-1.6164817761177397E-2</v>
      </c>
      <c r="OU29" s="28">
        <f>SUMPRODUCT(INDEX(PortfolioRef[[SPY]:[PE]],MATCH(OU$1,PortfolioRef[Reference '#]),0),AssetMonthlyReturns[[#This Row],[SPY]:[PE]])</f>
        <v>-1.5058079607682508E-3</v>
      </c>
      <c r="OV29" s="27">
        <f>IF(ISNUMBER(OV28),OV28*(1+PortfolioFrontier[[#This Row],[P103 Return]]),1+PortfolioFrontier[[#This Row],[P103 Return]])</f>
        <v>1.090788556501785</v>
      </c>
      <c r="OW29" s="27">
        <f>MAX(OW28,PortfolioFrontier[[#This Row],[P103 Growth]])</f>
        <v>1.1108221429044047</v>
      </c>
      <c r="OX29" s="27">
        <f>PortfolioFrontier[[#This Row],[P103 Growth]]/PortfolioFrontier[[#This Row],[P103 HWM]]-1</f>
        <v>-1.8034918128512545E-2</v>
      </c>
      <c r="OY29" s="28">
        <f>SUMPRODUCT(INDEX(PortfolioRef[[SPY]:[PE]],MATCH(OY$1,PortfolioRef[Reference '#]),0),AssetMonthlyReturns[[#This Row],[SPY]:[PE]])</f>
        <v>3.5383648455763147E-3</v>
      </c>
      <c r="OZ29" s="27">
        <f>IF(ISNUMBER(OZ28),OZ28*(1+PortfolioFrontier[[#This Row],[P104 Return]]),1+PortfolioFrontier[[#This Row],[P104 Return]])</f>
        <v>1.1027366492772999</v>
      </c>
      <c r="PA29" s="27">
        <f>MAX(PA28,PortfolioFrontier[[#This Row],[P104 Growth]])</f>
        <v>1.1147596869783387</v>
      </c>
      <c r="PB29" s="27">
        <f>PortfolioFrontier[[#This Row],[P104 Growth]]/PortfolioFrontier[[#This Row],[P104 HWM]]-1</f>
        <v>-1.078531798510618E-2</v>
      </c>
      <c r="PC29" s="28">
        <f>SUMPRODUCT(INDEX(PortfolioRef[[SPY]:[PE]],MATCH(PC$1,PortfolioRef[Reference '#]),0),AssetMonthlyReturns[[#This Row],[SPY]:[PE]])</f>
        <v>1.9241677609348358E-3</v>
      </c>
      <c r="PD29" s="27">
        <f>IF(ISNUMBER(PD28),PD28*(1+PortfolioFrontier[[#This Row],[P105 Return]]),1+PortfolioFrontier[[#This Row],[P105 Return]])</f>
        <v>1.097439132628061</v>
      </c>
      <c r="PE29" s="27">
        <f>MAX(PE28,PortfolioFrontier[[#This Row],[P105 Growth]])</f>
        <v>1.1114882053883932</v>
      </c>
      <c r="PF29" s="27">
        <f>PortfolioFrontier[[#This Row],[P105 Growth]]/PortfolioFrontier[[#This Row],[P105 HWM]]-1</f>
        <v>-1.2639875701985437E-2</v>
      </c>
      <c r="PG29" s="28">
        <f>SUMPRODUCT(INDEX(PortfolioRef[[SPY]:[PE]],MATCH(PG$1,PortfolioRef[Reference '#]),0),AssetMonthlyReturns[[#This Row],[SPY]:[PE]])</f>
        <v>3.0997067629335879E-4</v>
      </c>
      <c r="PH29" s="27">
        <f>IF(ISNUMBER(PH28),PH28*(1+PortfolioFrontier[[#This Row],[P106 Return]]),1+PortfolioFrontier[[#This Row],[P106 Return]])</f>
        <v>1.09206981967341</v>
      </c>
      <c r="PI29" s="27">
        <f>MAX(PI28,PortfolioFrontier[[#This Row],[P106 Growth]])</f>
        <v>1.1081625057204503</v>
      </c>
      <c r="PJ29" s="27">
        <f>PortfolioFrontier[[#This Row],[P106 Growth]]/PortfolioFrontier[[#This Row],[P106 HWM]]-1</f>
        <v>-1.4521955005667664E-2</v>
      </c>
      <c r="PK29" s="28">
        <f>SUMPRODUCT(INDEX(PortfolioRef[[SPY]:[PE]],MATCH(PK$1,PortfolioRef[Reference '#]),0),AssetMonthlyReturns[[#This Row],[SPY]:[PE]])</f>
        <v>-1.7466528534388021E-3</v>
      </c>
      <c r="PL29" s="27">
        <f>IF(ISNUMBER(PL28),PL28*(1+PortfolioFrontier[[#This Row],[P107 Return]]),1+PortfolioFrontier[[#This Row],[P107 Return]])</f>
        <v>1.0937883634256345</v>
      </c>
      <c r="PM29" s="27">
        <f>MAX(PM28,PortfolioFrontier[[#This Row],[P107 Growth]])</f>
        <v>1.115361983180845</v>
      </c>
      <c r="PN29" s="27">
        <f>PortfolioFrontier[[#This Row],[P107 Growth]]/PortfolioFrontier[[#This Row],[P107 HWM]]-1</f>
        <v>-1.9342258460061434E-2</v>
      </c>
      <c r="PO29" s="28">
        <f>SUMPRODUCT(INDEX(PortfolioRef[[SPY]:[PE]],MATCH(PO$1,PortfolioRef[Reference '#]),0),AssetMonthlyReturns[[#This Row],[SPY]:[PE]])</f>
        <v>-3.3608499380802792E-3</v>
      </c>
      <c r="PP29" s="27">
        <f>IF(ISNUMBER(PP28),PP28*(1+PortfolioFrontier[[#This Row],[P108 Return]]),1+PortfolioFrontier[[#This Row],[P108 Return]])</f>
        <v>1.0885220091718086</v>
      </c>
      <c r="PQ29" s="27">
        <f>MAX(PQ28,PortfolioFrontier[[#This Row],[P108 Growth]])</f>
        <v>1.1121091386149522</v>
      </c>
      <c r="PR29" s="27">
        <f>PortfolioFrontier[[#This Row],[P108 Growth]]/PortfolioFrontier[[#This Row],[P108 HWM]]-1</f>
        <v>-2.120936572153298E-2</v>
      </c>
      <c r="PS29" s="28">
        <f>SUMPRODUCT(INDEX(PortfolioRef[[SPY]:[PE]],MATCH(PS$1,PortfolioRef[Reference '#]),0),AssetMonthlyReturns[[#This Row],[SPY]:[PE]])</f>
        <v>1.6833228682642876E-3</v>
      </c>
      <c r="PT29" s="27">
        <f>IF(ISNUMBER(PT28),PT28*(1+PortfolioFrontier[[#This Row],[P109 Return]]),1+PortfolioFrontier[[#This Row],[P109 Return]])</f>
        <v>1.1004791080763274</v>
      </c>
      <c r="PU29" s="27">
        <f>MAX(PU28,PortfolioFrontier[[#This Row],[P109 Growth]])</f>
        <v>1.1160738973525732</v>
      </c>
      <c r="PV29" s="27">
        <f>PortfolioFrontier[[#This Row],[P109 Growth]]/PortfolioFrontier[[#This Row],[P109 HWM]]-1</f>
        <v>-1.3972900283070855E-2</v>
      </c>
      <c r="PW29" s="28">
        <f>SUMPRODUCT(INDEX(PortfolioRef[[SPY]:[PE]],MATCH(PW$1,PortfolioRef[Reference '#]),0),AssetMonthlyReturns[[#This Row],[SPY]:[PE]])</f>
        <v>6.9125783622808921E-5</v>
      </c>
      <c r="PX29" s="27">
        <f>IF(ISNUMBER(PX28),PX28*(1+PortfolioFrontier[[#This Row],[P110 Return]]),1+PortfolioFrontier[[#This Row],[P110 Return]])</f>
        <v>1.0952173077898104</v>
      </c>
      <c r="PY29" s="27">
        <f>MAX(PY28,PortfolioFrontier[[#This Row],[P110 Growth]])</f>
        <v>1.1128272482723029</v>
      </c>
      <c r="PZ29" s="27">
        <f>PortfolioFrontier[[#This Row],[P110 Growth]]/PortfolioFrontier[[#This Row],[P110 HWM]]-1</f>
        <v>-1.5824505115086374E-2</v>
      </c>
      <c r="QA29" s="28">
        <f>SUMPRODUCT(INDEX(PortfolioRef[[SPY]:[PE]],MATCH(QA$1,PortfolioRef[Reference '#]),0),AssetMonthlyReturns[[#This Row],[SPY]:[PE]])</f>
        <v>-1.5450713010186682E-3</v>
      </c>
      <c r="QB29" s="27">
        <f>IF(ISNUMBER(QB28),QB28*(1+PortfolioFrontier[[#This Row],[P111 Return]]),1+PortfolioFrontier[[#This Row],[P111 Return]])</f>
        <v>1.0898836001349566</v>
      </c>
      <c r="QC29" s="27">
        <f>MAX(QC28,PortfolioFrontier[[#This Row],[P111 Growth]])</f>
        <v>1.1095261691525546</v>
      </c>
      <c r="QD29" s="27">
        <f>PortfolioFrontier[[#This Row],[P111 Growth]]/PortfolioFrontier[[#This Row],[P111 HWM]]-1</f>
        <v>-1.77035653269908E-2</v>
      </c>
      <c r="QE29" s="28">
        <f>SUMPRODUCT(INDEX(PortfolioRef[[SPY]:[PE]],MATCH(QE$1,PortfolioRef[Reference '#]),0),AssetMonthlyReturns[[#This Row],[SPY]:[PE]])</f>
        <v>5.1132985899673749E-3</v>
      </c>
      <c r="QF29" s="27">
        <f>IF(ISNUMBER(QF28),QF28*(1+PortfolioFrontier[[#This Row],[P112 Return]]),1+PortfolioFrontier[[#This Row],[P112 Return]])</f>
        <v>1.1071004621525944</v>
      </c>
      <c r="QG29" s="27">
        <f>MAX(QG28,PortfolioFrontier[[#This Row],[P112 Growth]])</f>
        <v>1.1167074070352945</v>
      </c>
      <c r="QH29" s="27">
        <f>PortfolioFrontier[[#This Row],[P112 Growth]]/PortfolioFrontier[[#This Row],[P112 HWM]]-1</f>
        <v>-8.6029203551225564E-3</v>
      </c>
      <c r="QI29" s="28">
        <f>SUMPRODUCT(INDEX(PortfolioRef[[SPY]:[PE]],MATCH(QI$1,PortfolioRef[Reference '#]),0),AssetMonthlyReturns[[#This Row],[SPY]:[PE]])</f>
        <v>3.4991015053258971E-3</v>
      </c>
      <c r="QJ29" s="27">
        <f>IF(ISNUMBER(QJ28),QJ28*(1+PortfolioFrontier[[#This Row],[P113 Return]]),1+PortfolioFrontier[[#This Row],[P113 Return]])</f>
        <v>1.1018439655002492</v>
      </c>
      <c r="QK29" s="27">
        <f>MAX(QK28,PortfolioFrontier[[#This Row],[P113 Growth]])</f>
        <v>1.1134671592191805</v>
      </c>
      <c r="QL29" s="27">
        <f>PortfolioFrontier[[#This Row],[P113 Growth]]/PortfolioFrontier[[#This Row],[P113 HWM]]-1</f>
        <v>-1.0438739591639212E-2</v>
      </c>
      <c r="QM29" s="28">
        <f>SUMPRODUCT(INDEX(PortfolioRef[[SPY]:[PE]],MATCH(QM$1,PortfolioRef[Reference '#]),0),AssetMonthlyReturns[[#This Row],[SPY]:[PE]])</f>
        <v>1.8849044206844185E-3</v>
      </c>
      <c r="QN29" s="27">
        <f>IF(ISNUMBER(QN28),QN28*(1+PortfolioFrontier[[#This Row],[P114 Return]]),1+PortfolioFrontier[[#This Row],[P114 Return]])</f>
        <v>1.0965146735997564</v>
      </c>
      <c r="QO29" s="27">
        <f>MAX(QO28,PortfolioFrontier[[#This Row],[P114 Growth]])</f>
        <v>1.1101723689910592</v>
      </c>
      <c r="QP29" s="27">
        <f>PortfolioFrontier[[#This Row],[P114 Growth]]/PortfolioFrontier[[#This Row],[P114 HWM]]-1</f>
        <v>-1.2302319687270802E-2</v>
      </c>
      <c r="QQ29" s="28">
        <f>SUMPRODUCT(INDEX(PortfolioRef[[SPY]:[PE]],MATCH(QQ$1,PortfolioRef[Reference '#]),0),AssetMonthlyReturns[[#This Row],[SPY]:[PE]])</f>
        <v>-1.7171910904774048E-4</v>
      </c>
      <c r="QR29" s="27">
        <f>IF(ISNUMBER(QR28),QR28*(1+PortfolioFrontier[[#This Row],[P115 Return]]),1+PortfolioFrontier[[#This Row],[P115 Return]])</f>
        <v>1.0981616683502116</v>
      </c>
      <c r="QS29" s="27">
        <f>MAX(QS28,PortfolioFrontier[[#This Row],[P115 Growth]])</f>
        <v>1.1173289956889407</v>
      </c>
      <c r="QT29" s="27">
        <f>PortfolioFrontier[[#This Row],[P115 Growth]]/PortfolioFrontier[[#This Row],[P115 HWM]]-1</f>
        <v>-1.7154595837648223E-2</v>
      </c>
      <c r="QU29" s="28">
        <f>SUMPRODUCT(INDEX(PortfolioRef[[SPY]:[PE]],MATCH(QU$1,PortfolioRef[Reference '#]),0),AssetMonthlyReturns[[#This Row],[SPY]:[PE]])</f>
        <v>-1.7859161936892192E-3</v>
      </c>
      <c r="QV29" s="27">
        <f>IF(ISNUMBER(QV28),QV28*(1+PortfolioFrontier[[#This Row],[P116 Return]]),1+PortfolioFrontier[[#This Row],[P116 Return]])</f>
        <v>1.0929356848533283</v>
      </c>
      <c r="QW29" s="27">
        <f>MAX(QW28,PortfolioFrontier[[#This Row],[P116 Growth]])</f>
        <v>1.1141073475867118</v>
      </c>
      <c r="QX29" s="27">
        <f>PortfolioFrontier[[#This Row],[P116 Growth]]/PortfolioFrontier[[#This Row],[P116 HWM]]-1</f>
        <v>-1.9003252046801311E-2</v>
      </c>
      <c r="QY29" s="28">
        <f>SUMPRODUCT(INDEX(PortfolioRef[[SPY]:[PE]],MATCH(QY$1,PortfolioRef[Reference '#]),0),AssetMonthlyReturns[[#This Row],[SPY]:[PE]])</f>
        <v>-3.4001132783306963E-3</v>
      </c>
      <c r="QZ29" s="27">
        <f>IF(ISNUMBER(QZ28),QZ28*(1+PortfolioFrontier[[#This Row],[P117 Return]]),1+PortfolioFrontier[[#This Row],[P117 Return]])</f>
        <v>1.0876376884932253</v>
      </c>
      <c r="RA29" s="27">
        <f>MAX(RA28,PortfolioFrontier[[#This Row],[P117 Growth]])</f>
        <v>1.1108310606542744</v>
      </c>
      <c r="RB29" s="27">
        <f>PortfolioFrontier[[#This Row],[P117 Growth]]/PortfolioFrontier[[#This Row],[P117 HWM]]-1</f>
        <v>-2.0879297476061098E-2</v>
      </c>
      <c r="RC29" s="28">
        <f>SUMPRODUCT(INDEX(PortfolioRef[[SPY]:[PE]],MATCH(RC$1,PortfolioRef[Reference '#]),0),AssetMonthlyReturns[[#This Row],[SPY]:[PE]])</f>
        <v>3.2582566126553476E-3</v>
      </c>
      <c r="RD29" s="27">
        <f>IF(ISNUMBER(RD28),RD28*(1+PortfolioFrontier[[#This Row],[P118 Return]]),1+PortfolioFrontier[[#This Row],[P118 Return]])</f>
        <v>1.1048279444893903</v>
      </c>
      <c r="RE29" s="27">
        <f>MAX(RE28,PortfolioFrontier[[#This Row],[P118 Growth]])</f>
        <v>1.118014625073851</v>
      </c>
      <c r="RF29" s="27">
        <f>PortfolioFrontier[[#This Row],[P118 Growth]]/PortfolioFrontier[[#This Row],[P118 HWM]]-1</f>
        <v>-1.1794729951399074E-2</v>
      </c>
      <c r="RG29" s="28">
        <f>SUMPRODUCT(INDEX(PortfolioRef[[SPY]:[PE]],MATCH(RG$1,PortfolioRef[Reference '#]),0),AssetMonthlyReturns[[#This Row],[SPY]:[PE]])</f>
        <v>1.6440595280138705E-3</v>
      </c>
      <c r="RH29" s="27">
        <f>IF(ISNUMBER(RH28),RH28*(1+PortfolioFrontier[[#This Row],[P119 Return]]),1+PortfolioFrontier[[#This Row],[P119 Return]])</f>
        <v>1.0996072194862772</v>
      </c>
      <c r="RI29" s="27">
        <f>MAX(RI28,PortfolioFrontier[[#This Row],[P119 Growth]])</f>
        <v>1.1147993042867748</v>
      </c>
      <c r="RJ29" s="27">
        <f>PortfolioFrontier[[#This Row],[P119 Growth]]/PortfolioFrontier[[#This Row],[P119 HWM]]-1</f>
        <v>-1.3627641084883124E-2</v>
      </c>
      <c r="RK29" s="28">
        <f>SUMPRODUCT(INDEX(PortfolioRef[[SPY]:[PE]],MATCH(RK$1,PortfolioRef[Reference '#]),0),AssetMonthlyReturns[[#This Row],[SPY]:[PE]])</f>
        <v>2.9862443372391698E-5</v>
      </c>
      <c r="RL29" s="27">
        <f>IF(ISNUMBER(RL28),RL28*(1+PortfolioFrontier[[#This Row],[P120 Return]]),1+PortfolioFrontier[[#This Row],[P120 Return]])</f>
        <v>1.0943135913602222</v>
      </c>
      <c r="RM29" s="27">
        <f>MAX(RM28,PortfolioFrontier[[#This Row],[P120 Growth]])</f>
        <v>1.1115292301273156</v>
      </c>
      <c r="RN29" s="27">
        <f>PortfolioFrontier[[#This Row],[P120 Growth]]/PortfolioFrontier[[#This Row],[P120 HWM]]-1</f>
        <v>-1.5488246553013729E-2</v>
      </c>
      <c r="RO29" s="28">
        <f>SUMPRODUCT(INDEX(PortfolioRef[[SPY]:[PE]],MATCH(RO$1,PortfolioRef[Reference '#]),0),AssetMonthlyReturns[[#This Row],[SPY]:[PE]])</f>
        <v>6.6882323343584347E-3</v>
      </c>
      <c r="RP29" s="27">
        <f>IF(ISNUMBER(RP28),RP28*(1+PortfolioFrontier[[#This Row],[P121 Return]]),1+PortfolioFrontier[[#This Row],[P121 Return]])</f>
        <v>1.1114239952726717</v>
      </c>
      <c r="RQ29" s="27">
        <f>MAX(RQ28,PortfolioFrontier[[#This Row],[P121 Growth]])</f>
        <v>1.118621731160943</v>
      </c>
      <c r="RR29" s="27">
        <f>PortfolioFrontier[[#This Row],[P121 Growth]]/PortfolioFrontier[[#This Row],[P121 HWM]]-1</f>
        <v>-6.4344681385737346E-3</v>
      </c>
      <c r="RS29" s="28">
        <f>SUMPRODUCT(INDEX(PortfolioRef[[SPY]:[PE]],MATCH(RS$1,PortfolioRef[Reference '#]),0),AssetMonthlyReturns[[#This Row],[SPY]:[PE]])</f>
        <v>5.0740352497169574E-3</v>
      </c>
      <c r="RT29" s="27">
        <f>IF(ISNUMBER(RT28),RT28*(1+PortfolioFrontier[[#This Row],[P122 Return]]),1+PortfolioFrontier[[#This Row],[P122 Return]])</f>
        <v>1.1062092791268368</v>
      </c>
      <c r="RU29" s="27">
        <f>MAX(RU28,PortfolioFrontier[[#This Row],[P122 Growth]])</f>
        <v>1.1154129412250284</v>
      </c>
      <c r="RV29" s="27">
        <f>PortfolioFrontier[[#This Row],[P122 Growth]]/PortfolioFrontier[[#This Row],[P122 HWM]]-1</f>
        <v>-8.2513495746997512E-3</v>
      </c>
      <c r="RW29" s="28">
        <f>SUMPRODUCT(INDEX(PortfolioRef[[SPY]:[PE]],MATCH(RW$1,PortfolioRef[Reference '#]),0),AssetMonthlyReturns[[#This Row],[SPY]:[PE]])</f>
        <v>3.45983816507548E-3</v>
      </c>
      <c r="RX29" s="27">
        <f>IF(ISNUMBER(RX28),RX28*(1+PortfolioFrontier[[#This Row],[P123 Return]]),1+PortfolioFrontier[[#This Row],[P123 Return]])</f>
        <v>1.1009207693964973</v>
      </c>
      <c r="RY29" s="27">
        <f>MAX(RY28,PortfolioFrontier[[#This Row],[P123 Growth]])</f>
        <v>1.1121492867844014</v>
      </c>
      <c r="RZ29" s="27">
        <f>PortfolioFrontier[[#This Row],[P123 Growth]]/PortfolioFrontier[[#This Row],[P123 HWM]]-1</f>
        <v>-1.0096232152762119E-2</v>
      </c>
      <c r="SA29" s="28">
        <f>SUMPRODUCT(INDEX(PortfolioRef[[SPY]:[PE]],MATCH(SA$1,PortfolioRef[Reference '#]),0),AssetMonthlyReturns[[#This Row],[SPY]:[PE]])</f>
        <v>1.4032146353433193E-3</v>
      </c>
      <c r="SB29" s="27">
        <f>IF(ISNUMBER(SB28),SB28*(1+PortfolioFrontier[[#This Row],[P124 Return]]),1+PortfolioFrontier[[#This Row],[P124 Return]])</f>
        <v>1.1024954040492605</v>
      </c>
      <c r="SC29" s="27">
        <f>MAX(SC28,PortfolioFrontier[[#This Row],[P124 Growth]])</f>
        <v>1.1192626821867915</v>
      </c>
      <c r="SD29" s="27">
        <f>PortfolioFrontier[[#This Row],[P124 Growth]]/PortfolioFrontier[[#This Row],[P124 HWM]]-1</f>
        <v>-1.4980646102460415E-2</v>
      </c>
      <c r="SE29" s="28">
        <f>SUMPRODUCT(INDEX(PortfolioRef[[SPY]:[PE]],MATCH(SE$1,PortfolioRef[Reference '#]),0),AssetMonthlyReturns[[#This Row],[SPY]:[PE]])</f>
        <v>-2.1098244929815773E-4</v>
      </c>
      <c r="SF29" s="27">
        <f>IF(ISNUMBER(SF28),SF28*(1+PortfolioFrontier[[#This Row],[P125 Return]]),1+PortfolioFrontier[[#This Row],[P125 Return]])</f>
        <v>1.0973105481359058</v>
      </c>
      <c r="SG29" s="27">
        <f>MAX(SG28,PortfolioFrontier[[#This Row],[P125 Growth]])</f>
        <v>1.1160724553162842</v>
      </c>
      <c r="SH29" s="27">
        <f>PortfolioFrontier[[#This Row],[P125 Growth]]/PortfolioFrontier[[#This Row],[P125 HWM]]-1</f>
        <v>-1.6810653368433348E-2</v>
      </c>
      <c r="SI29" s="28">
        <f>SUMPRODUCT(INDEX(PortfolioRef[[SPY]:[PE]],MATCH(SI$1,PortfolioRef[Reference '#]),0),AssetMonthlyReturns[[#This Row],[SPY]:[PE]])</f>
        <v>-1.8251795339396366E-3</v>
      </c>
      <c r="SJ29" s="27">
        <f>IF(ISNUMBER(SJ28),SJ28*(1+PortfolioFrontier[[#This Row],[P126 Return]]),1+PortfolioFrontier[[#This Row],[P126 Return]])</f>
        <v>1.092052686829577</v>
      </c>
      <c r="SK29" s="27">
        <f>MAX(SK28,PortfolioFrontier[[#This Row],[P126 Growth]])</f>
        <v>1.1128272672970145</v>
      </c>
      <c r="SL29" s="27">
        <f>PortfolioFrontier[[#This Row],[P126 Growth]]/PortfolioFrontier[[#This Row],[P126 HWM]]-1</f>
        <v>-1.8668288491795915E-2</v>
      </c>
      <c r="SM29" s="28">
        <f>SUMPRODUCT(INDEX(PortfolioRef[[SPY]:[PE]],MATCH(SM$1,PortfolioRef[Reference '#]),0),AssetMonthlyReturns[[#This Row],[SPY]:[PE]])</f>
        <v>4.8331903570464074E-3</v>
      </c>
      <c r="SN29" s="27">
        <f>IF(ISNUMBER(SN28),SN28*(1+PortfolioFrontier[[#This Row],[P127 Return]]),1+PortfolioFrontier[[#This Row],[P127 Return]])</f>
        <v>1.1091365296376718</v>
      </c>
      <c r="SO29" s="27">
        <f>MAX(SO28,PortfolioFrontier[[#This Row],[P127 Growth]])</f>
        <v>1.1199219045312785</v>
      </c>
      <c r="SP29" s="27">
        <f>PortfolioFrontier[[#This Row],[P127 Growth]]/PortfolioFrontier[[#This Row],[P127 HWM]]-1</f>
        <v>-9.6304705265325419E-3</v>
      </c>
      <c r="SQ29" s="28">
        <f>SUMPRODUCT(INDEX(PortfolioRef[[SPY]:[PE]],MATCH(SQ$1,PortfolioRef[Reference '#]),0),AssetMonthlyReturns[[#This Row],[SPY]:[PE]])</f>
        <v>3.2189932724049301E-3</v>
      </c>
      <c r="SR29" s="27">
        <f>IF(ISNUMBER(SR28),SR28*(1+PortfolioFrontier[[#This Row],[P128 Return]]),1+PortfolioFrontier[[#This Row],[P128 Return]])</f>
        <v>1.103957638211164</v>
      </c>
      <c r="SS29" s="27">
        <f>MAX(SS28,PortfolioFrontier[[#This Row],[P128 Growth]])</f>
        <v>1.1167381354223636</v>
      </c>
      <c r="ST29" s="27">
        <f>PortfolioFrontier[[#This Row],[P128 Growth]]/PortfolioFrontier[[#This Row],[P128 HWM]]-1</f>
        <v>-1.1444488914463258E-2</v>
      </c>
      <c r="SU29" s="28">
        <f>SUMPRODUCT(INDEX(PortfolioRef[[SPY]:[PE]],MATCH(SU$1,PortfolioRef[Reference '#]),0),AssetMonthlyReturns[[#This Row],[SPY]:[PE]])</f>
        <v>1.6047961877634531E-3</v>
      </c>
      <c r="SV29" s="27">
        <f>IF(ISNUMBER(SV28),SV28*(1+PortfolioFrontier[[#This Row],[P129 Return]]),1+PortfolioFrontier[[#This Row],[P129 Return]])</f>
        <v>1.0987048485454369</v>
      </c>
      <c r="SW29" s="27">
        <f>MAX(SW28,PortfolioFrontier[[#This Row],[P129 Growth]])</f>
        <v>1.1134992918602598</v>
      </c>
      <c r="SX29" s="27">
        <f>PortfolioFrontier[[#This Row],[P129 Growth]]/PortfolioFrontier[[#This Row],[P129 HWM]]-1</f>
        <v>-1.3286441601688459E-2</v>
      </c>
      <c r="SY29" s="28">
        <f>SUMPRODUCT(INDEX(PortfolioRef[[SPY]:[PE]],MATCH(SY$1,PortfolioRef[Reference '#]),0),AssetMonthlyReturns[[#This Row],[SPY]:[PE]])</f>
        <v>8.2631660787494936E-3</v>
      </c>
      <c r="SZ29" s="27">
        <f>IF(ISNUMBER(SZ28),SZ28*(1+PortfolioFrontier[[#This Row],[P130 Return]]),1+PortfolioFrontier[[#This Row],[P130 Return]])</f>
        <v>1.1157065960459784</v>
      </c>
      <c r="TA29" s="27">
        <f>MAX(TA28,PortfolioFrontier[[#This Row],[P130 Growth]])</f>
        <v>1.1205024879473076</v>
      </c>
      <c r="TB29" s="27">
        <f>PortfolioFrontier[[#This Row],[P130 Growth]]/PortfolioFrontier[[#This Row],[P130 HWM]]-1</f>
        <v>-4.2801260621160298E-3</v>
      </c>
      <c r="TC29" s="28">
        <f>SUMPRODUCT(INDEX(PortfolioRef[[SPY]:[PE]],MATCH(TC$1,PortfolioRef[Reference '#]),0),AssetMonthlyReturns[[#This Row],[SPY]:[PE]])</f>
        <v>6.6489689941080172E-3</v>
      </c>
      <c r="TD29" s="27">
        <f>IF(ISNUMBER(TD28),TD28*(1+PortfolioFrontier[[#This Row],[P131 Return]]),1+PortfolioFrontier[[#This Row],[P131 Return]])</f>
        <v>1.1105344200481864</v>
      </c>
      <c r="TE29" s="27">
        <f>MAX(TE28,PortfolioFrontier[[#This Row],[P131 Growth]])</f>
        <v>1.1173253778747425</v>
      </c>
      <c r="TF29" s="27">
        <f>PortfolioFrontier[[#This Row],[P131 Growth]]/PortfolioFrontier[[#This Row],[P131 HWM]]-1</f>
        <v>-6.0778694917618115E-3</v>
      </c>
      <c r="TG29" s="28">
        <f>SUMPRODUCT(INDEX(PortfolioRef[[SPY]:[PE]],MATCH(TG$1,PortfolioRef[Reference '#]),0),AssetMonthlyReturns[[#This Row],[SPY]:[PE]])</f>
        <v>5.0347719094665407E-3</v>
      </c>
      <c r="TH29" s="27">
        <f>IF(ISNUMBER(TH28),TH28*(1+PortfolioFrontier[[#This Row],[P132 Return]]),1+PortfolioFrontier[[#This Row],[P132 Return]])</f>
        <v>1.1052874528883618</v>
      </c>
      <c r="TI29" s="27">
        <f>MAX(TI28,PortfolioFrontier[[#This Row],[P132 Growth]])</f>
        <v>1.1140930834761242</v>
      </c>
      <c r="TJ29" s="27">
        <f>PortfolioFrontier[[#This Row],[P132 Growth]]/PortfolioFrontier[[#This Row],[P132 HWM]]-1</f>
        <v>-7.9038553585555338E-3</v>
      </c>
      <c r="TK29" s="28">
        <f>SUMPRODUCT(INDEX(PortfolioRef[[SPY]:[PE]],MATCH(TK$1,PortfolioRef[Reference '#]),0),AssetMonthlyReturns[[#This Row],[SPY]:[PE]])</f>
        <v>2.9781483797343793E-3</v>
      </c>
      <c r="TL29" s="27">
        <f>IF(ISNUMBER(TL28),TL28*(1+PortfolioFrontier[[#This Row],[P133 Return]]),1+PortfolioFrontier[[#This Row],[P133 Return]])</f>
        <v>1.1067889194624114</v>
      </c>
      <c r="TM29" s="27">
        <f>MAX(TM28,PortfolioFrontier[[#This Row],[P133 Growth]])</f>
        <v>1.1211628696411426</v>
      </c>
      <c r="TN29" s="27">
        <f>PortfolioFrontier[[#This Row],[P133 Growth]]/PortfolioFrontier[[#This Row],[P133 HWM]]-1</f>
        <v>-1.2820572789154161E-2</v>
      </c>
      <c r="TO29" s="28">
        <f>SUMPRODUCT(INDEX(PortfolioRef[[SPY]:[PE]],MATCH(TO$1,PortfolioRef[Reference '#]),0),AssetMonthlyReturns[[#This Row],[SPY]:[PE]])</f>
        <v>1.3639512950929021E-3</v>
      </c>
      <c r="TP29" s="27">
        <f>IF(ISNUMBER(TP28),TP28*(1+PortfolioFrontier[[#This Row],[P134 Return]]),1+PortfolioFrontier[[#This Row],[P134 Return]])</f>
        <v>1.1016459471840365</v>
      </c>
      <c r="TQ29" s="27">
        <f>MAX(TQ28,PortfolioFrontier[[#This Row],[P134 Growth]])</f>
        <v>1.1180042866589928</v>
      </c>
      <c r="TR29" s="27">
        <f>PortfolioFrontier[[#This Row],[P134 Growth]]/PortfolioFrontier[[#This Row],[P134 HWM]]-1</f>
        <v>-1.463173233784365E-2</v>
      </c>
      <c r="TS29" s="28">
        <f>SUMPRODUCT(INDEX(PortfolioRef[[SPY]:[PE]],MATCH(TS$1,PortfolioRef[Reference '#]),0),AssetMonthlyReturns[[#This Row],[SPY]:[PE]])</f>
        <v>-2.5024578954857492E-4</v>
      </c>
      <c r="TT29" s="27">
        <f>IF(ISNUMBER(TT28),TT28*(1+PortfolioFrontier[[#This Row],[P135 Return]]),1+PortfolioFrontier[[#This Row],[P135 Return]])</f>
        <v>1.0964289776529579</v>
      </c>
      <c r="TU29" s="27">
        <f>MAX(TU28,PortfolioFrontier[[#This Row],[P135 Growth]])</f>
        <v>1.1147904224723095</v>
      </c>
      <c r="TV29" s="27">
        <f>PortfolioFrontier[[#This Row],[P135 Growth]]/PortfolioFrontier[[#This Row],[P135 HWM]]-1</f>
        <v>-1.6470759390478817E-2</v>
      </c>
      <c r="TW29" s="28">
        <f>SUMPRODUCT(INDEX(PortfolioRef[[SPY]:[PE]],MATCH(TW$1,PortfolioRef[Reference '#]),0),AssetMonthlyReturns[[#This Row],[SPY]:[PE]])</f>
        <v>6.4081241014374672E-3</v>
      </c>
      <c r="TX29" s="27">
        <f>IF(ISNUMBER(TX28),TX28*(1+PortfolioFrontier[[#This Row],[P136 Return]]),1+PortfolioFrontier[[#This Row],[P136 Return]])</f>
        <v>1.1134042124761516</v>
      </c>
      <c r="TY29" s="27">
        <f>MAX(TY28,PortfolioFrontier[[#This Row],[P136 Growth]])</f>
        <v>1.1217955647045177</v>
      </c>
      <c r="TZ29" s="27">
        <f>PortfolioFrontier[[#This Row],[P136 Growth]]/PortfolioFrontier[[#This Row],[P136 HWM]]-1</f>
        <v>-7.4802865088670067E-3</v>
      </c>
      <c r="UA29" s="28">
        <f>SUMPRODUCT(INDEX(PortfolioRef[[SPY]:[PE]],MATCH(UA$1,PortfolioRef[Reference '#]),0),AssetMonthlyReturns[[#This Row],[SPY]:[PE]])</f>
        <v>4.7939270167959899E-3</v>
      </c>
      <c r="UB29" s="27">
        <f>IF(ISNUMBER(UB28),UB28*(1+PortfolioFrontier[[#This Row],[P137 Return]]),1+PortfolioFrontier[[#This Row],[P137 Return]])</f>
        <v>1.1082679120341368</v>
      </c>
      <c r="UC29" s="27">
        <f>MAX(UC28,PortfolioFrontier[[#This Row],[P137 Growth]])</f>
        <v>1.1186435685293665</v>
      </c>
      <c r="UD29" s="27">
        <f>PortfolioFrontier[[#This Row],[P137 Growth]]/PortfolioFrontier[[#This Row],[P137 HWM]]-1</f>
        <v>-9.2752122187321762E-3</v>
      </c>
      <c r="UE29" s="28">
        <f>SUMPRODUCT(INDEX(PortfolioRef[[SPY]:[PE]],MATCH(UE$1,PortfolioRef[Reference '#]),0),AssetMonthlyReturns[[#This Row],[SPY]:[PE]])</f>
        <v>3.1797299321545129E-3</v>
      </c>
      <c r="UF29" s="27">
        <f>IF(ISNUMBER(UF28),UF28*(1+PortfolioFrontier[[#This Row],[P138 Return]]),1+PortfolioFrontier[[#This Row],[P138 Return]])</f>
        <v>1.103056719027228</v>
      </c>
      <c r="UG29" s="27">
        <f>MAX(UG28,PortfolioFrontier[[#This Row],[P138 Growth]])</f>
        <v>1.1154361791023262</v>
      </c>
      <c r="UH29" s="27">
        <f>PortfolioFrontier[[#This Row],[P138 Growth]]/PortfolioFrontier[[#This Row],[P138 HWM]]-1</f>
        <v>-1.1098313204311538E-2</v>
      </c>
      <c r="UI29" s="28">
        <f>SUMPRODUCT(INDEX(PortfolioRef[[SPY]:[PE]],MATCH(UI$1,PortfolioRef[Reference '#]),0),AssetMonthlyReturns[[#This Row],[SPY]:[PE]])</f>
        <v>9.8380998231405569E-3</v>
      </c>
      <c r="UJ29" s="27">
        <f>IF(ISNUMBER(UJ28),UJ28*(1+PortfolioFrontier[[#This Row],[P139 Return]]),1+PortfolioFrontier[[#This Row],[P139 Return]])</f>
        <v>1.1199476135695323</v>
      </c>
      <c r="UK29" s="27">
        <f>MAX(UK28,PortfolioFrontier[[#This Row],[P139 Growth]])</f>
        <v>1.1223495084031516</v>
      </c>
      <c r="UL29" s="27">
        <f>PortfolioFrontier[[#This Row],[P139 Growth]]/PortfolioFrontier[[#This Row],[P139 HWM]]-1</f>
        <v>-2.1400595943028566E-3</v>
      </c>
      <c r="UM29" s="28">
        <f>SUMPRODUCT(INDEX(PortfolioRef[[SPY]:[PE]],MATCH(UM$1,PortfolioRef[Reference '#]),0),AssetMonthlyReturns[[#This Row],[SPY]:[PE]])</f>
        <v>8.2239027384990778E-3</v>
      </c>
      <c r="UN29" s="27">
        <f>IF(ISNUMBER(UN28),UN28*(1+PortfolioFrontier[[#This Row],[P140 Return]]),1+PortfolioFrontier[[#This Row],[P140 Return]])</f>
        <v>1.1148187363649582</v>
      </c>
      <c r="UO29" s="27">
        <f>MAX(UO28,PortfolioFrontier[[#This Row],[P140 Growth]])</f>
        <v>1.1192042980299706</v>
      </c>
      <c r="UP29" s="27">
        <f>PortfolioFrontier[[#This Row],[P140 Growth]]/PortfolioFrontier[[#This Row],[P140 HWM]]-1</f>
        <v>-3.9184639236391483E-3</v>
      </c>
      <c r="UQ29" s="28">
        <f>SUMPRODUCT(INDEX(PortfolioRef[[SPY]:[PE]],MATCH(UQ$1,PortfolioRef[Reference '#]),0),AssetMonthlyReturns[[#This Row],[SPY]:[PE]])</f>
        <v>6.6097056538576004E-3</v>
      </c>
      <c r="UR29" s="27">
        <f>IF(ISNUMBER(UR28),UR28*(1+PortfolioFrontier[[#This Row],[P141 Return]]),1+PortfolioFrontier[[#This Row],[P141 Return]])</f>
        <v>1.1096140713330678</v>
      </c>
      <c r="US29" s="27">
        <f>MAX(US28,PortfolioFrontier[[#This Row],[P141 Growth]])</f>
        <v>1.1160035858106589</v>
      </c>
      <c r="UT29" s="27">
        <f>PortfolioFrontier[[#This Row],[P141 Growth]]/PortfolioFrontier[[#This Row],[P141 HWM]]-1</f>
        <v>-5.7253529996051933E-3</v>
      </c>
    </row>
    <row r="30" spans="2:566" x14ac:dyDescent="0.2">
      <c r="B30" s="41">
        <f>AssetMonthlyReturns[[#This Row],[Date]]</f>
        <v>43282</v>
      </c>
      <c r="C30" s="28">
        <f>SUMPRODUCT(INDEX(PortfolioRef[[SPY]:[PE]],MATCH(C$1,PortfolioRef[Reference '#]),0),AssetMonthlyReturns[[#This Row],[SPY]:[PE]])</f>
        <v>2.1609803097323247E-2</v>
      </c>
      <c r="D30" s="29">
        <f>IF(ISNUMBER(D29),D29*(1+PortfolioFrontier[[#This Row],[P1 Return]]),1+PortfolioFrontier[[#This Row],[P1 Return]])</f>
        <v>1.2244923729026096</v>
      </c>
      <c r="E30" s="29">
        <f>MAX(E29,PortfolioFrontier[[#This Row],[P1 Growth]])</f>
        <v>1.2268807402593727</v>
      </c>
      <c r="F30" s="29">
        <f>PortfolioFrontier[[#This Row],[P1 Growth]]/PortfolioFrontier[[#This Row],[P1 HWM]]-1</f>
        <v>-1.9466988749519132E-3</v>
      </c>
      <c r="G30" s="28">
        <f>SUMPRODUCT(INDEX(PortfolioRef[[SPY]:[PE]],MATCH(G$1,PortfolioRef[Reference '#]),0),AssetMonthlyReturns[[#This Row],[SPY]:[PE]])</f>
        <v>1.9519289644512338E-2</v>
      </c>
      <c r="H30" s="27">
        <f>IF(ISNUMBER(H29),H29*(1+PortfolioFrontier[[#This Row],[P2 Return]]),1+PortfolioFrontier[[#This Row],[P2 Return]])</f>
        <v>1.2036459482978725</v>
      </c>
      <c r="I30" s="27">
        <f>MAX(I29,PortfolioFrontier[[#This Row],[P2 Growth]])</f>
        <v>1.2068315625281993</v>
      </c>
      <c r="J30" s="27">
        <f>PortfolioFrontier[[#This Row],[P2 Growth]]/PortfolioFrontier[[#This Row],[P2 HWM]]-1</f>
        <v>-2.6396510741343304E-3</v>
      </c>
      <c r="K30" s="28">
        <f>SUMPRODUCT(INDEX(PortfolioRef[[SPY]:[PE]],MATCH(K$1,PortfolioRef[Reference '#]),0),AssetMonthlyReturns[[#This Row],[SPY]:[PE]])</f>
        <v>1.8403689051779387E-2</v>
      </c>
      <c r="L30" s="27">
        <f>IF(ISNUMBER(L29),L29*(1+PortfolioFrontier[[#This Row],[P3 Return]]),1+PortfolioFrontier[[#This Row],[P3 Return]])</f>
        <v>1.1999097983422116</v>
      </c>
      <c r="M30" s="27">
        <f>MAX(M29,PortfolioFrontier[[#This Row],[P3 Growth]])</f>
        <v>1.2083023864943216</v>
      </c>
      <c r="N30" s="27">
        <f>PortfolioFrontier[[#This Row],[P3 Growth]]/PortfolioFrontier[[#This Row],[P3 HWM]]-1</f>
        <v>-6.9457680841462643E-3</v>
      </c>
      <c r="O30" s="28">
        <f>SUMPRODUCT(INDEX(PortfolioRef[[SPY]:[PE]],MATCH(O$1,PortfolioRef[Reference '#]),0),AssetMonthlyReturns[[#This Row],[SPY]:[PE]])</f>
        <v>2.0291778156833612E-2</v>
      </c>
      <c r="P30" s="27">
        <f>IF(ISNUMBER(P29),P29*(1+PortfolioFrontier[[#This Row],[P4 Return]]),1+PortfolioFrontier[[#This Row],[P4 Return]])</f>
        <v>1.2093709406032236</v>
      </c>
      <c r="Q30" s="27">
        <f>MAX(Q29,PortfolioFrontier[[#This Row],[P4 Growth]])</f>
        <v>1.2093709406032236</v>
      </c>
      <c r="R30" s="27">
        <f>PortfolioFrontier[[#This Row],[P4 Growth]]/PortfolioFrontier[[#This Row],[P4 HWM]]-1</f>
        <v>0</v>
      </c>
      <c r="S30" s="28">
        <f>SUMPRODUCT(INDEX(PortfolioRef[[SPY]:[PE]],MATCH(S$1,PortfolioRef[Reference '#]),0),AssetMonthlyReturns[[#This Row],[SPY]:[PE]])</f>
        <v>1.9222927912777306E-2</v>
      </c>
      <c r="T30" s="27">
        <f>IF(ISNUMBER(T29),T29*(1+PortfolioFrontier[[#This Row],[P5 Return]]),1+PortfolioFrontier[[#This Row],[P5 Return]])</f>
        <v>1.2022607790252386</v>
      </c>
      <c r="U30" s="27">
        <f>MAX(U29,PortfolioFrontier[[#This Row],[P5 Growth]])</f>
        <v>1.2053902876248646</v>
      </c>
      <c r="V30" s="27">
        <f>PortfolioFrontier[[#This Row],[P5 Growth]]/PortfolioFrontier[[#This Row],[P5 HWM]]-1</f>
        <v>-2.5962616687350559E-3</v>
      </c>
      <c r="W30" s="28">
        <f>SUMPRODUCT(INDEX(PortfolioRef[[SPY]:[PE]],MATCH(W$1,PortfolioRef[Reference '#]),0),AssetMonthlyReturns[[#This Row],[SPY]:[PE]])</f>
        <v>1.7428776191701426E-2</v>
      </c>
      <c r="X30" s="27">
        <f>IF(ISNUMBER(X29),X29*(1+PortfolioFrontier[[#This Row],[P6 Return]]),1+PortfolioFrontier[[#This Row],[P6 Return]])</f>
        <v>1.1830969127779638</v>
      </c>
      <c r="Y30" s="27">
        <f>MAX(Y29,PortfolioFrontier[[#This Row],[P6 Growth]])</f>
        <v>1.1870654596234402</v>
      </c>
      <c r="Z30" s="27">
        <f>PortfolioFrontier[[#This Row],[P6 Growth]]/PortfolioFrontier[[#This Row],[P6 HWM]]-1</f>
        <v>-3.343157543085562E-3</v>
      </c>
      <c r="AA30" s="28">
        <f>SUMPRODUCT(INDEX(PortfolioRef[[SPY]:[PE]],MATCH(AA$1,PortfolioRef[Reference '#]),0),AssetMonthlyReturns[[#This Row],[SPY]:[PE]])</f>
        <v>1.6313175598968478E-2</v>
      </c>
      <c r="AB30" s="27">
        <f>IF(ISNUMBER(AB29),AB29*(1+PortfolioFrontier[[#This Row],[P7 Return]]),1+PortfolioFrontier[[#This Row],[P7 Return]])</f>
        <v>1.1794161318913623</v>
      </c>
      <c r="AC30" s="27">
        <f>MAX(AC29,PortfolioFrontier[[#This Row],[P7 Growth]])</f>
        <v>1.1885066820011696</v>
      </c>
      <c r="AD30" s="27">
        <f>PortfolioFrontier[[#This Row],[P7 Growth]]/PortfolioFrontier[[#This Row],[P7 HWM]]-1</f>
        <v>-7.6487160295143353E-3</v>
      </c>
      <c r="AE30" s="28">
        <f>SUMPRODUCT(INDEX(PortfolioRef[[SPY]:[PE]],MATCH(AE$1,PortfolioRef[Reference '#]),0),AssetMonthlyReturns[[#This Row],[SPY]:[PE]])</f>
        <v>1.8201264704022703E-2</v>
      </c>
      <c r="AF30" s="27">
        <f>IF(ISNUMBER(AF29),AF29*(1+PortfolioFrontier[[#This Row],[P8 Return]]),1+PortfolioFrontier[[#This Row],[P8 Return]])</f>
        <v>1.188741450240044</v>
      </c>
      <c r="AG30" s="27">
        <f>MAX(AG29,PortfolioFrontier[[#This Row],[P8 Growth]])</f>
        <v>1.1891774250084055</v>
      </c>
      <c r="AH30" s="27">
        <f>PortfolioFrontier[[#This Row],[P8 Growth]]/PortfolioFrontier[[#This Row],[P8 HWM]]-1</f>
        <v>-3.6661877293753253E-4</v>
      </c>
      <c r="AI30" s="28">
        <f>SUMPRODUCT(INDEX(PortfolioRef[[SPY]:[PE]],MATCH(AI$1,PortfolioRef[Reference '#]),0),AssetMonthlyReturns[[#This Row],[SPY]:[PE]])</f>
        <v>1.7132414459966397E-2</v>
      </c>
      <c r="AJ30" s="27">
        <f>IF(ISNUMBER(AJ29),AJ29*(1+PortfolioFrontier[[#This Row],[P9 Return]]),1+PortfolioFrontier[[#This Row],[P9 Return]])</f>
        <v>1.1817445304082821</v>
      </c>
      <c r="AK30" s="27">
        <f>MAX(AK29,PortfolioFrontier[[#This Row],[P9 Growth]])</f>
        <v>1.1856558546826308</v>
      </c>
      <c r="AL30" s="27">
        <f>PortfolioFrontier[[#This Row],[P9 Growth]]/PortfolioFrontier[[#This Row],[P9 HWM]]-1</f>
        <v>-3.2988697849390958E-3</v>
      </c>
      <c r="AM30" s="28">
        <f>SUMPRODUCT(INDEX(PortfolioRef[[SPY]:[PE]],MATCH(AM$1,PortfolioRef[Reference '#]),0),AssetMonthlyReturns[[#This Row],[SPY]:[PE]])</f>
        <v>1.5197575006235524E-2</v>
      </c>
      <c r="AN30" s="27">
        <f>IF(ISNUMBER(AN29),AN29*(1+PortfolioFrontier[[#This Row],[P10 Return]]),1+PortfolioFrontier[[#This Row],[P10 Return]])</f>
        <v>1.1756765902304853</v>
      </c>
      <c r="AO30" s="27">
        <f>MAX(AO29,PortfolioFrontier[[#This Row],[P10 Growth]])</f>
        <v>1.189885359414661</v>
      </c>
      <c r="AP30" s="27">
        <f>PortfolioFrontier[[#This Row],[P10 Growth]]/PortfolioFrontier[[#This Row],[P10 HWM]]-1</f>
        <v>-1.1941292555415095E-2</v>
      </c>
      <c r="AQ30" s="28">
        <f>SUMPRODUCT(INDEX(PortfolioRef[[SPY]:[PE]],MATCH(AQ$1,PortfolioRef[Reference '#]),0),AssetMonthlyReturns[[#This Row],[SPY]:[PE]])</f>
        <v>1.7085664111289749E-2</v>
      </c>
      <c r="AR30" s="27">
        <f>IF(ISNUMBER(AR29),AR29*(1+PortfolioFrontier[[#This Row],[P11 Return]]),1+PortfolioFrontier[[#This Row],[P11 Return]])</f>
        <v>1.1850374887929416</v>
      </c>
      <c r="AS30" s="27">
        <f>MAX(AS29,PortfolioFrontier[[#This Row],[P11 Growth]])</f>
        <v>1.1906111681356153</v>
      </c>
      <c r="AT30" s="27">
        <f>PortfolioFrontier[[#This Row],[P11 Growth]]/PortfolioFrontier[[#This Row],[P11 HWM]]-1</f>
        <v>-4.6813598694874781E-3</v>
      </c>
      <c r="AU30" s="28">
        <f>SUMPRODUCT(INDEX(PortfolioRef[[SPY]:[PE]],MATCH(AU$1,PortfolioRef[Reference '#]),0),AssetMonthlyReturns[[#This Row],[SPY]:[PE]])</f>
        <v>1.6016813867233446E-2</v>
      </c>
      <c r="AV30" s="27">
        <f>IF(ISNUMBER(AV29),AV29*(1+PortfolioFrontier[[#This Row],[P12 Return]]),1+PortfolioFrontier[[#This Row],[P12 Return]])</f>
        <v>1.1780878008512954</v>
      </c>
      <c r="AW30" s="27">
        <f>MAX(AW29,PortfolioFrontier[[#This Row],[P12 Growth]])</f>
        <v>1.1871159871654284</v>
      </c>
      <c r="AX30" s="27">
        <f>PortfolioFrontier[[#This Row],[P12 Growth]]/PortfolioFrontier[[#This Row],[P12 HWM]]-1</f>
        <v>-7.6051425570389242E-3</v>
      </c>
      <c r="AY30" s="28">
        <f>SUMPRODUCT(INDEX(PortfolioRef[[SPY]:[PE]],MATCH(AY$1,PortfolioRef[Reference '#]),0),AssetMonthlyReturns[[#This Row],[SPY]:[PE]])</f>
        <v>1.8973753216343973E-2</v>
      </c>
      <c r="AZ30" s="27">
        <f>IF(ISNUMBER(AZ29),AZ29*(1+PortfolioFrontier[[#This Row],[P13 Return]]),1+PortfolioFrontier[[#This Row],[P13 Return]])</f>
        <v>1.1943505373811161</v>
      </c>
      <c r="BA30" s="27">
        <f>MAX(BA29,PortfolioFrontier[[#This Row],[P13 Growth]])</f>
        <v>1.1943505373811161</v>
      </c>
      <c r="BB30" s="27">
        <f>PortfolioFrontier[[#This Row],[P13 Growth]]/PortfolioFrontier[[#This Row],[P13 HWM]]-1</f>
        <v>0</v>
      </c>
      <c r="BC30" s="28">
        <f>SUMPRODUCT(INDEX(PortfolioRef[[SPY]:[PE]],MATCH(BC$1,PortfolioRef[Reference '#]),0),AssetMonthlyReturns[[#This Row],[SPY]:[PE]])</f>
        <v>1.7904902972287671E-2</v>
      </c>
      <c r="BD30" s="27">
        <f>IF(ISNUMBER(BD29),BD29*(1+PortfolioFrontier[[#This Row],[P14 Return]]),1+PortfolioFrontier[[#This Row],[P14 Return]])</f>
        <v>1.187388316111027</v>
      </c>
      <c r="BE30" s="27">
        <f>MAX(BE29,PortfolioFrontier[[#This Row],[P14 Growth]])</f>
        <v>1.1877656683363773</v>
      </c>
      <c r="BF30" s="27">
        <f>PortfolioFrontier[[#This Row],[P14 Growth]]/PortfolioFrontier[[#This Row],[P14 HWM]]-1</f>
        <v>-3.176992191387118E-4</v>
      </c>
      <c r="BG30" s="28">
        <f>SUMPRODUCT(INDEX(PortfolioRef[[SPY]:[PE]],MATCH(BG$1,PortfolioRef[Reference '#]),0),AssetMonthlyReturns[[#This Row],[SPY]:[PE]])</f>
        <v>1.6836052728231368E-2</v>
      </c>
      <c r="BH30" s="27">
        <f>IF(ISNUMBER(BH29),BH29*(1+PortfolioFrontier[[#This Row],[P15 Return]]),1+PortfolioFrontier[[#This Row],[P15 Return]])</f>
        <v>1.1803602546991079</v>
      </c>
      <c r="BI30" s="27">
        <f>MAX(BI29,PortfolioFrontier[[#This Row],[P15 Growth]])</f>
        <v>1.1842195166350118</v>
      </c>
      <c r="BJ30" s="27">
        <f>PortfolioFrontier[[#This Row],[P15 Growth]]/PortfolioFrontier[[#This Row],[P15 HWM]]-1</f>
        <v>-3.258907560373725E-3</v>
      </c>
      <c r="BK30" s="28">
        <f>SUMPRODUCT(INDEX(PortfolioRef[[SPY]:[PE]],MATCH(BK$1,PortfolioRef[Reference '#]),0),AssetMonthlyReturns[[#This Row],[SPY]:[PE]])</f>
        <v>1.533826273889052E-2</v>
      </c>
      <c r="BL30" s="27">
        <f>IF(ISNUMBER(BL29),BL29*(1+PortfolioFrontier[[#This Row],[P16 Return]]),1+PortfolioFrontier[[#This Row],[P16 Return]])</f>
        <v>1.1628419563540602</v>
      </c>
      <c r="BM30" s="27">
        <f>MAX(BM29,PortfolioFrontier[[#This Row],[P16 Growth]])</f>
        <v>1.1675790550962819</v>
      </c>
      <c r="BN30" s="27">
        <f>PortfolioFrontier[[#This Row],[P16 Growth]]/PortfolioFrontier[[#This Row],[P16 HWM]]-1</f>
        <v>-4.0571974304823843E-3</v>
      </c>
      <c r="BO30" s="28">
        <f>SUMPRODUCT(INDEX(PortfolioRef[[SPY]:[PE]],MATCH(BO$1,PortfolioRef[Reference '#]),0),AssetMonthlyReturns[[#This Row],[SPY]:[PE]])</f>
        <v>1.4222662146157569E-2</v>
      </c>
      <c r="BP30" s="27">
        <f>IF(ISNUMBER(BP29),BP29*(1+PortfolioFrontier[[#This Row],[P17 Return]]),1+PortfolioFrontier[[#This Row],[P17 Return]])</f>
        <v>1.1592159142385883</v>
      </c>
      <c r="BQ30" s="27">
        <f>MAX(BQ29,PortfolioFrontier[[#This Row],[P17 Growth]])</f>
        <v>1.1689912062359162</v>
      </c>
      <c r="BR30" s="27">
        <f>PortfolioFrontier[[#This Row],[P17 Growth]]/PortfolioFrontier[[#This Row],[P17 HWM]]-1</f>
        <v>-8.3621604210384337E-3</v>
      </c>
      <c r="BS30" s="28">
        <f>SUMPRODUCT(INDEX(PortfolioRef[[SPY]:[PE]],MATCH(BS$1,PortfolioRef[Reference '#]),0),AssetMonthlyReturns[[#This Row],[SPY]:[PE]])</f>
        <v>1.6110751251211794E-2</v>
      </c>
      <c r="BT30" s="27">
        <f>IF(ISNUMBER(BT29),BT29*(1+PortfolioFrontier[[#This Row],[P18 Return]]),1+PortfolioFrontier[[#This Row],[P18 Return]])</f>
        <v>1.1684068856884431</v>
      </c>
      <c r="BU30" s="27">
        <f>MAX(BU29,PortfolioFrontier[[#This Row],[P18 Growth]])</f>
        <v>1.1696662339297583</v>
      </c>
      <c r="BV30" s="27">
        <f>PortfolioFrontier[[#This Row],[P18 Growth]]/PortfolioFrontier[[#This Row],[P18 HWM]]-1</f>
        <v>-1.0766731609274105E-3</v>
      </c>
      <c r="BW30" s="28">
        <f>SUMPRODUCT(INDEX(PortfolioRef[[SPY]:[PE]],MATCH(BW$1,PortfolioRef[Reference '#]),0),AssetMonthlyReturns[[#This Row],[SPY]:[PE]])</f>
        <v>1.5041901007155491E-2</v>
      </c>
      <c r="BX30" s="27">
        <f>IF(ISNUMBER(BX29),BX29*(1+PortfolioFrontier[[#This Row],[P19 Return]]),1+PortfolioFrontier[[#This Row],[P19 Return]])</f>
        <v>1.1615217341147033</v>
      </c>
      <c r="BY30" s="27">
        <f>MAX(BY29,PortfolioFrontier[[#This Row],[P19 Growth]])</f>
        <v>1.1662005542564946</v>
      </c>
      <c r="BZ30" s="27">
        <f>PortfolioFrontier[[#This Row],[P19 Growth]]/PortfolioFrontier[[#This Row],[P19 HWM]]-1</f>
        <v>-4.0120201664406441E-3</v>
      </c>
      <c r="CA30" s="28">
        <f>SUMPRODUCT(INDEX(PortfolioRef[[SPY]:[PE]],MATCH(CA$1,PortfolioRef[Reference '#]),0),AssetMonthlyReturns[[#This Row],[SPY]:[PE]])</f>
        <v>1.310706155342462E-2</v>
      </c>
      <c r="CB30" s="27">
        <f>IF(ISNUMBER(CB29),CB29*(1+PortfolioFrontier[[#This Row],[P20 Return]]),1+PortfolioFrontier[[#This Row],[P20 Return]])</f>
        <v>1.1555320510925839</v>
      </c>
      <c r="CC30" s="27">
        <f>MAX(CC29,PortfolioFrontier[[#This Row],[P20 Growth]])</f>
        <v>1.1703417133724241</v>
      </c>
      <c r="CD30" s="27">
        <f>PortfolioFrontier[[#This Row],[P20 Growth]]/PortfolioFrontier[[#This Row],[P20 HWM]]-1</f>
        <v>-1.2654135207370354E-2</v>
      </c>
      <c r="CE30" s="28">
        <f>SUMPRODUCT(INDEX(PortfolioRef[[SPY]:[PE]],MATCH(CE$1,PortfolioRef[Reference '#]),0),AssetMonthlyReturns[[#This Row],[SPY]:[PE]])</f>
        <v>1.4995150658478843E-2</v>
      </c>
      <c r="CF30" s="27">
        <f>IF(ISNUMBER(CF29),CF29*(1+PortfolioFrontier[[#This Row],[P21 Return]]),1+PortfolioFrontier[[#This Row],[P21 Return]])</f>
        <v>1.1647580050697064</v>
      </c>
      <c r="CG30" s="27">
        <f>MAX(CG29,PortfolioFrontier[[#This Row],[P21 Growth]])</f>
        <v>1.1710710579078392</v>
      </c>
      <c r="CH30" s="27">
        <f>PortfolioFrontier[[#This Row],[P21 Growth]]/PortfolioFrontier[[#This Row],[P21 HWM]]-1</f>
        <v>-5.3908367007303726E-3</v>
      </c>
      <c r="CI30" s="28">
        <f>SUMPRODUCT(INDEX(PortfolioRef[[SPY]:[PE]],MATCH(CI$1,PortfolioRef[Reference '#]),0),AssetMonthlyReturns[[#This Row],[SPY]:[PE]])</f>
        <v>1.3926300414422541E-2</v>
      </c>
      <c r="CJ30" s="27">
        <f>IF(ISNUMBER(CJ29),CJ29*(1+PortfolioFrontier[[#This Row],[P22 Return]]),1+PortfolioFrontier[[#This Row],[P22 Return]])</f>
        <v>1.1579193334548716</v>
      </c>
      <c r="CK30" s="27">
        <f>MAX(CK29,PortfolioFrontier[[#This Row],[P22 Growth]])</f>
        <v>1.1676313457678775</v>
      </c>
      <c r="CL30" s="27">
        <f>PortfolioFrontier[[#This Row],[P22 Growth]]/PortfolioFrontier[[#This Row],[P22 HWM]]-1</f>
        <v>-8.3177043406785778E-3</v>
      </c>
      <c r="CM30" s="28">
        <f>SUMPRODUCT(INDEX(PortfolioRef[[SPY]:[PE]],MATCH(CM$1,PortfolioRef[Reference '#]),0),AssetMonthlyReturns[[#This Row],[SPY]:[PE]])</f>
        <v>1.6883239763533068E-2</v>
      </c>
      <c r="CN30" s="27">
        <f>IF(ISNUMBER(CN29),CN29*(1+PortfolioFrontier[[#This Row],[P23 Return]]),1+PortfolioFrontier[[#This Row],[P23 Return]])</f>
        <v>1.173937117113343</v>
      </c>
      <c r="CO30" s="27">
        <f>MAX(CO29,PortfolioFrontier[[#This Row],[P23 Growth]])</f>
        <v>1.173937117113343</v>
      </c>
      <c r="CP30" s="27">
        <f>PortfolioFrontier[[#This Row],[P23 Growth]]/PortfolioFrontier[[#This Row],[P23 HWM]]-1</f>
        <v>0</v>
      </c>
      <c r="CQ30" s="28">
        <f>SUMPRODUCT(INDEX(PortfolioRef[[SPY]:[PE]],MATCH(CQ$1,PortfolioRef[Reference '#]),0),AssetMonthlyReturns[[#This Row],[SPY]:[PE]])</f>
        <v>1.5814389519476765E-2</v>
      </c>
      <c r="CR30" s="27">
        <f>IF(ISNUMBER(CR29),CR29*(1+PortfolioFrontier[[#This Row],[P24 Return]]),1+PortfolioFrontier[[#This Row],[P24 Return]])</f>
        <v>1.1670859224633863</v>
      </c>
      <c r="CS30" s="27">
        <f>MAX(CS29,PortfolioFrontier[[#This Row],[P24 Growth]])</f>
        <v>1.1682856099250332</v>
      </c>
      <c r="CT30" s="27">
        <f>PortfolioFrontier[[#This Row],[P24 Growth]]/PortfolioFrontier[[#This Row],[P24 HWM]]-1</f>
        <v>-1.0268785744299569E-3</v>
      </c>
      <c r="CU30" s="28">
        <f>SUMPRODUCT(INDEX(PortfolioRef[[SPY]:[PE]],MATCH(CU$1,PortfolioRef[Reference '#]),0),AssetMonthlyReturns[[#This Row],[SPY]:[PE]])</f>
        <v>1.4745539275420464E-2</v>
      </c>
      <c r="CV30" s="27">
        <f>IF(ISNUMBER(CV29),CV29*(1+PortfolioFrontier[[#This Row],[P25 Return]]),1+PortfolioFrontier[[#This Row],[P25 Return]])</f>
        <v>1.1601701073766817</v>
      </c>
      <c r="CW30" s="27">
        <f>MAX(CW29,PortfolioFrontier[[#This Row],[P25 Growth]])</f>
        <v>1.1647956979796028</v>
      </c>
      <c r="CX30" s="27">
        <f>PortfolioFrontier[[#This Row],[P25 Growth]]/PortfolioFrontier[[#This Row],[P25 HWM]]-1</f>
        <v>-3.9711604455137106E-3</v>
      </c>
      <c r="CY30" s="28">
        <f>SUMPRODUCT(INDEX(PortfolioRef[[SPY]:[PE]],MATCH(CY$1,PortfolioRef[Reference '#]),0),AssetMonthlyReturns[[#This Row],[SPY]:[PE]])</f>
        <v>1.3879550065745891E-2</v>
      </c>
      <c r="CZ30" s="27">
        <f>IF(ISNUMBER(CZ29),CZ29*(1+PortfolioFrontier[[#This Row],[P26 Return]]),1+PortfolioFrontier[[#This Row],[P26 Return]])</f>
        <v>1.1610511571510553</v>
      </c>
      <c r="DA30" s="27">
        <f>MAX(DA29,PortfolioFrontier[[#This Row],[P26 Growth]])</f>
        <v>1.1724141851433634</v>
      </c>
      <c r="DB30" s="27">
        <f>PortfolioFrontier[[#This Row],[P26 Growth]]/PortfolioFrontier[[#This Row],[P26 HWM]]-1</f>
        <v>-9.6919912231516747E-3</v>
      </c>
      <c r="DC30" s="28">
        <f>SUMPRODUCT(INDEX(PortfolioRef[[SPY]:[PE]],MATCH(DC$1,PortfolioRef[Reference '#]),0),AssetMonthlyReturns[[#This Row],[SPY]:[PE]])</f>
        <v>1.2810699821689588E-2</v>
      </c>
      <c r="DD30" s="27">
        <f>IF(ISNUMBER(DD29),DD29*(1+PortfolioFrontier[[#This Row],[P27 Return]]),1+PortfolioFrontier[[#This Row],[P27 Return]])</f>
        <v>1.1542590560115693</v>
      </c>
      <c r="DE30" s="27">
        <f>MAX(DE29,PortfolioFrontier[[#This Row],[P27 Growth]])</f>
        <v>1.1690006176368444</v>
      </c>
      <c r="DF30" s="27">
        <f>PortfolioFrontier[[#This Row],[P27 Growth]]/PortfolioFrontier[[#This Row],[P27 HWM]]-1</f>
        <v>-1.2610396780692423E-2</v>
      </c>
      <c r="DG30" s="28">
        <f>SUMPRODUCT(INDEX(PortfolioRef[[SPY]:[PE]],MATCH(DG$1,PortfolioRef[Reference '#]),0),AssetMonthlyReturns[[#This Row],[SPY]:[PE]])</f>
        <v>1.5767639170800114E-2</v>
      </c>
      <c r="DH30" s="27">
        <f>IF(ISNUMBER(DH29),DH29*(1+PortfolioFrontier[[#This Row],[P28 Return]]),1+PortfolioFrontier[[#This Row],[P28 Return]])</f>
        <v>1.1702654463297275</v>
      </c>
      <c r="DI30" s="27">
        <f>MAX(DI29,PortfolioFrontier[[#This Row],[P28 Growth]])</f>
        <v>1.1731161392403724</v>
      </c>
      <c r="DJ30" s="27">
        <f>PortfolioFrontier[[#This Row],[P28 Growth]]/PortfolioFrontier[[#This Row],[P28 HWM]]-1</f>
        <v>-2.4300176387401784E-3</v>
      </c>
      <c r="DK30" s="28">
        <f>SUMPRODUCT(INDEX(PortfolioRef[[SPY]:[PE]],MATCH(DK$1,PortfolioRef[Reference '#]),0),AssetMonthlyReturns[[#This Row],[SPY]:[PE]])</f>
        <v>1.4698788926743811E-2</v>
      </c>
      <c r="DL30" s="27">
        <f>IF(ISNUMBER(DL29),DL29*(1+PortfolioFrontier[[#This Row],[P29 Return]]),1+PortfolioFrontier[[#This Row],[P29 Return]])</f>
        <v>1.1634607904455976</v>
      </c>
      <c r="DM30" s="27">
        <f>MAX(DM29,PortfolioFrontier[[#This Row],[P29 Growth]])</f>
        <v>1.1697091182407624</v>
      </c>
      <c r="DN30" s="27">
        <f>PortfolioFrontier[[#This Row],[P29 Growth]]/PortfolioFrontier[[#This Row],[P29 HWM]]-1</f>
        <v>-5.3417791634917666E-3</v>
      </c>
      <c r="DO30" s="28">
        <f>SUMPRODUCT(INDEX(PortfolioRef[[SPY]:[PE]],MATCH(DO$1,PortfolioRef[Reference '#]),0),AssetMonthlyReturns[[#This Row],[SPY]:[PE]])</f>
        <v>1.362993868268751E-2</v>
      </c>
      <c r="DP30" s="27">
        <f>IF(ISNUMBER(DP29),DP29*(1+PortfolioFrontier[[#This Row],[P30 Return]]),1+PortfolioFrontier[[#This Row],[P30 Return]])</f>
        <v>1.1565914001864013</v>
      </c>
      <c r="DQ30" s="27">
        <f>MAX(DQ29,PortfolioFrontier[[#This Row],[P30 Growth]])</f>
        <v>1.1662450508702933</v>
      </c>
      <c r="DR30" s="27">
        <f>PortfolioFrontier[[#This Row],[P30 Growth]]/PortfolioFrontier[[#This Row],[P30 HWM]]-1</f>
        <v>-8.2775491108735277E-3</v>
      </c>
      <c r="DS30" s="28">
        <f>SUMPRODUCT(INDEX(PortfolioRef[[SPY]:[PE]],MATCH(DS$1,PortfolioRef[Reference '#]),0),AssetMonthlyReturns[[#This Row],[SPY]:[PE]])</f>
        <v>1.7655728275854338E-2</v>
      </c>
      <c r="DT30" s="27">
        <f>IF(ISNUMBER(DT29),DT29*(1+PortfolioFrontier[[#This Row],[P31 Return]]),1+PortfolioFrontier[[#This Row],[P31 Return]])</f>
        <v>1.1794318607003744</v>
      </c>
      <c r="DU30" s="27">
        <f>MAX(DU29,PortfolioFrontier[[#This Row],[P31 Growth]])</f>
        <v>1.1794318607003744</v>
      </c>
      <c r="DV30" s="27">
        <f>PortfolioFrontier[[#This Row],[P31 Growth]]/PortfolioFrontier[[#This Row],[P31 HWM]]-1</f>
        <v>0</v>
      </c>
      <c r="DW30" s="28">
        <f>SUMPRODUCT(INDEX(PortfolioRef[[SPY]:[PE]],MATCH(DW$1,PortfolioRef[Reference '#]),0),AssetMonthlyReturns[[#This Row],[SPY]:[PE]])</f>
        <v>1.6586878031798036E-2</v>
      </c>
      <c r="DX30" s="27">
        <f>IF(ISNUMBER(DX29),DX29*(1+PortfolioFrontier[[#This Row],[P32 Return]]),1+PortfolioFrontier[[#This Row],[P32 Return]])</f>
        <v>1.1726155411118639</v>
      </c>
      <c r="DY30" s="27">
        <f>MAX(DY29,PortfolioFrontier[[#This Row],[P32 Growth]])</f>
        <v>1.1726155411118639</v>
      </c>
      <c r="DZ30" s="27">
        <f>PortfolioFrontier[[#This Row],[P32 Growth]]/PortfolioFrontier[[#This Row],[P32 HWM]]-1</f>
        <v>0</v>
      </c>
      <c r="EA30" s="28">
        <f>SUMPRODUCT(INDEX(PortfolioRef[[SPY]:[PE]],MATCH(EA$1,PortfolioRef[Reference '#]),0),AssetMonthlyReturns[[#This Row],[SPY]:[PE]])</f>
        <v>1.5518027787741735E-2</v>
      </c>
      <c r="EB30" s="27">
        <f>IF(ISNUMBER(EB29),EB29*(1+PortfolioFrontier[[#This Row],[P33 Return]]),1+PortfolioFrontier[[#This Row],[P33 Return]])</f>
        <v>1.165733390222438</v>
      </c>
      <c r="EC30" s="27">
        <f>MAX(EC29,PortfolioFrontier[[#This Row],[P33 Growth]])</f>
        <v>1.1668785804544068</v>
      </c>
      <c r="ED30" s="27">
        <f>PortfolioFrontier[[#This Row],[P33 Growth]]/PortfolioFrontier[[#This Row],[P33 HWM]]-1</f>
        <v>-9.8141336309631733E-4</v>
      </c>
      <c r="EE30" s="28">
        <f>SUMPRODUCT(INDEX(PortfolioRef[[SPY]:[PE]],MATCH(EE$1,PortfolioRef[Reference '#]),0),AssetMonthlyReturns[[#This Row],[SPY]:[PE]])</f>
        <v>1.3247749286079609E-2</v>
      </c>
      <c r="EF30" s="27">
        <f>IF(ISNUMBER(EF29),EF29*(1+PortfolioFrontier[[#This Row],[P34 Return]]),1+PortfolioFrontier[[#This Row],[P34 Return]])</f>
        <v>1.1428777920074464</v>
      </c>
      <c r="EG30" s="27">
        <f>MAX(EG29,PortfolioFrontier[[#This Row],[P34 Growth]])</f>
        <v>1.1483690052171158</v>
      </c>
      <c r="EH30" s="27">
        <f>PortfolioFrontier[[#This Row],[P34 Growth]]/PortfolioFrontier[[#This Row],[P34 HWM]]-1</f>
        <v>-4.7817497552811172E-3</v>
      </c>
      <c r="EI30" s="28">
        <f>SUMPRODUCT(INDEX(PortfolioRef[[SPY]:[PE]],MATCH(EI$1,PortfolioRef[Reference '#]),0),AssetMonthlyReturns[[#This Row],[SPY]:[PE]])</f>
        <v>1.2132148693346657E-2</v>
      </c>
      <c r="EJ30" s="27">
        <f>IF(ISNUMBER(EJ29),EJ29*(1+PortfolioFrontier[[#This Row],[P35 Return]]),1+PortfolioFrontier[[#This Row],[P35 Return]])</f>
        <v>1.1393058625764783</v>
      </c>
      <c r="EK30" s="27">
        <f>MAX(EK29,PortfolioFrontier[[#This Row],[P35 Growth]])</f>
        <v>1.1497526071106701</v>
      </c>
      <c r="EL30" s="27">
        <f>PortfolioFrontier[[#This Row],[P35 Growth]]/PortfolioFrontier[[#This Row],[P35 HWM]]-1</f>
        <v>-9.0860803181342931E-3</v>
      </c>
      <c r="EM30" s="28">
        <f>SUMPRODUCT(INDEX(PortfolioRef[[SPY]:[PE]],MATCH(EM$1,PortfolioRef[Reference '#]),0),AssetMonthlyReturns[[#This Row],[SPY]:[PE]])</f>
        <v>1.4020237798400881E-2</v>
      </c>
      <c r="EN30" s="27">
        <f>IF(ISNUMBER(EN29),EN29*(1+PortfolioFrontier[[#This Row],[P36 Return]]),1+PortfolioFrontier[[#This Row],[P36 Return]])</f>
        <v>1.1483639550499041</v>
      </c>
      <c r="EO30" s="27">
        <f>MAX(EO29,PortfolioFrontier[[#This Row],[P36 Growth]])</f>
        <v>1.1504315925702473</v>
      </c>
      <c r="EP30" s="27">
        <f>PortfolioFrontier[[#This Row],[P36 Growth]]/PortfolioFrontier[[#This Row],[P36 HWM]]-1</f>
        <v>-1.7972711577954881E-3</v>
      </c>
      <c r="EQ30" s="28">
        <f>SUMPRODUCT(INDEX(PortfolioRef[[SPY]:[PE]],MATCH(EQ$1,PortfolioRef[Reference '#]),0),AssetMonthlyReturns[[#This Row],[SPY]:[PE]])</f>
        <v>1.2951387554344579E-2</v>
      </c>
      <c r="ER30" s="27">
        <f>IF(ISNUMBER(ER29),ER29*(1+PortfolioFrontier[[#This Row],[P37 Return]]),1+PortfolioFrontier[[#This Row],[P37 Return]])</f>
        <v>1.141589112728074</v>
      </c>
      <c r="ES30" s="27">
        <f>MAX(ES29,PortfolioFrontier[[#This Row],[P37 Growth]])</f>
        <v>1.1470210509345575</v>
      </c>
      <c r="ET30" s="27">
        <f>PortfolioFrontier[[#This Row],[P37 Growth]]/PortfolioFrontier[[#This Row],[P37 HWM]]-1</f>
        <v>-4.7356918184350283E-3</v>
      </c>
      <c r="EU30" s="28">
        <f>SUMPRODUCT(INDEX(PortfolioRef[[SPY]:[PE]],MATCH(EU$1,PortfolioRef[Reference '#]),0),AssetMonthlyReturns[[#This Row],[SPY]:[PE]])</f>
        <v>1.1016548100613704E-2</v>
      </c>
      <c r="EV30" s="27">
        <f>IF(ISNUMBER(EV29),EV29*(1+PortfolioFrontier[[#This Row],[P38 Return]]),1+PortfolioFrontier[[#This Row],[P38 Return]])</f>
        <v>1.135677038671471</v>
      </c>
      <c r="EW30" s="27">
        <f>MAX(EW29,PortfolioFrontier[[#This Row],[P38 Growth]])</f>
        <v>1.1510754544616619</v>
      </c>
      <c r="EX30" s="27">
        <f>PortfolioFrontier[[#This Row],[P38 Growth]]/PortfolioFrontier[[#This Row],[P38 HWM]]-1</f>
        <v>-1.3377416511233475E-2</v>
      </c>
      <c r="EY30" s="28">
        <f>SUMPRODUCT(INDEX(PortfolioRef[[SPY]:[PE]],MATCH(EY$1,PortfolioRef[Reference '#]),0),AssetMonthlyReturns[[#This Row],[SPY]:[PE]])</f>
        <v>1.2904637205667929E-2</v>
      </c>
      <c r="EZ30" s="27">
        <f>IF(ISNUMBER(EZ29),EZ29*(1+PortfolioFrontier[[#This Row],[P39 Return]]),1+PortfolioFrontier[[#This Row],[P39 Return]])</f>
        <v>1.1447695251011458</v>
      </c>
      <c r="FA30" s="27">
        <f>MAX(FA29,PortfolioFrontier[[#This Row],[P39 Growth]])</f>
        <v>1.1518080167597544</v>
      </c>
      <c r="FB30" s="27">
        <f>PortfolioFrontier[[#This Row],[P39 Growth]]/PortfolioFrontier[[#This Row],[P39 HWM]]-1</f>
        <v>-6.1108201681120411E-3</v>
      </c>
      <c r="FC30" s="28">
        <f>SUMPRODUCT(INDEX(PortfolioRef[[SPY]:[PE]],MATCH(FC$1,PortfolioRef[Reference '#]),0),AssetMonthlyReturns[[#This Row],[SPY]:[PE]])</f>
        <v>1.1835786961611626E-2</v>
      </c>
      <c r="FD30" s="27">
        <f>IF(ISNUMBER(FD29),FD29*(1+PortfolioFrontier[[#This Row],[P40 Return]]),1+PortfolioFrontier[[#This Row],[P40 Return]])</f>
        <v>1.1380404207827801</v>
      </c>
      <c r="FE30" s="27">
        <f>MAX(FE29,PortfolioFrontier[[#This Row],[P40 Growth]])</f>
        <v>1.1484230267516922</v>
      </c>
      <c r="FF30" s="27">
        <f>PortfolioFrontier[[#This Row],[P40 Growth]]/PortfolioFrontier[[#This Row],[P40 HWM]]-1</f>
        <v>-9.040750426503763E-3</v>
      </c>
      <c r="FG30" s="28">
        <f>SUMPRODUCT(INDEX(PortfolioRef[[SPY]:[PE]],MATCH(FG$1,PortfolioRef[Reference '#]),0),AssetMonthlyReturns[[#This Row],[SPY]:[PE]])</f>
        <v>1.4792726310722155E-2</v>
      </c>
      <c r="FH30" s="27">
        <f>IF(ISNUMBER(FH29),FH29*(1+PortfolioFrontier[[#This Row],[P41 Return]]),1+PortfolioFrontier[[#This Row],[P41 Return]])</f>
        <v>1.1538161592317697</v>
      </c>
      <c r="FI30" s="27">
        <f>MAX(FI29,PortfolioFrontier[[#This Row],[P41 Growth]])</f>
        <v>1.1538161592317697</v>
      </c>
      <c r="FJ30" s="27">
        <f>PortfolioFrontier[[#This Row],[P41 Growth]]/PortfolioFrontier[[#This Row],[P41 HWM]]-1</f>
        <v>0</v>
      </c>
      <c r="FK30" s="28">
        <f>SUMPRODUCT(INDEX(PortfolioRef[[SPY]:[PE]],MATCH(FK$1,PortfolioRef[Reference '#]),0),AssetMonthlyReturns[[#This Row],[SPY]:[PE]])</f>
        <v>1.3723876066665851E-2</v>
      </c>
      <c r="FL30" s="27">
        <f>IF(ISNUMBER(FL29),FL29*(1+PortfolioFrontier[[#This Row],[P42 Return]]),1+PortfolioFrontier[[#This Row],[P42 Return]])</f>
        <v>1.1470745458217622</v>
      </c>
      <c r="FM30" s="27">
        <f>MAX(FM29,PortfolioFrontier[[#This Row],[P42 Growth]])</f>
        <v>1.1490815435391966</v>
      </c>
      <c r="FN30" s="27">
        <f>PortfolioFrontier[[#This Row],[P42 Growth]]/PortfolioFrontier[[#This Row],[P42 HWM]]-1</f>
        <v>-1.7466103504306663E-3</v>
      </c>
      <c r="FO30" s="28">
        <f>SUMPRODUCT(INDEX(PortfolioRef[[SPY]:[PE]],MATCH(FO$1,PortfolioRef[Reference '#]),0),AssetMonthlyReturns[[#This Row],[SPY]:[PE]])</f>
        <v>1.265502582260955E-2</v>
      </c>
      <c r="FP30" s="27">
        <f>IF(ISNUMBER(FP29),FP29*(1+PortfolioFrontier[[#This Row],[P43 Return]]),1+PortfolioFrontier[[#This Row],[P43 Return]])</f>
        <v>1.140269511681248</v>
      </c>
      <c r="FQ30" s="27">
        <f>MAX(FQ29,PortfolioFrontier[[#This Row],[P43 Growth]])</f>
        <v>1.1456471144468676</v>
      </c>
      <c r="FR30" s="27">
        <f>PortfolioFrontier[[#This Row],[P43 Growth]]/PortfolioFrontier[[#This Row],[P43 HWM]]-1</f>
        <v>-4.6939434471634511E-3</v>
      </c>
      <c r="FS30" s="28">
        <f>SUMPRODUCT(INDEX(PortfolioRef[[SPY]:[PE]],MATCH(FS$1,PortfolioRef[Reference '#]),0),AssetMonthlyReturns[[#This Row],[SPY]:[PE]])</f>
        <v>1.1789036612934978E-2</v>
      </c>
      <c r="FT30" s="27">
        <f>IF(ISNUMBER(FT29),FT29*(1+PortfolioFrontier[[#This Row],[P44 Return]]),1+PortfolioFrontier[[#This Row],[P44 Return]])</f>
        <v>1.1411180556024143</v>
      </c>
      <c r="FU30" s="27">
        <f>MAX(FU29,PortfolioFrontier[[#This Row],[P44 Growth]])</f>
        <v>1.153123633915536</v>
      </c>
      <c r="FV30" s="27">
        <f>PortfolioFrontier[[#This Row],[P44 Growth]]/PortfolioFrontier[[#This Row],[P44 HWM]]-1</f>
        <v>-1.0411353960681269E-2</v>
      </c>
      <c r="FW30" s="28">
        <f>SUMPRODUCT(INDEX(PortfolioRef[[SPY]:[PE]],MATCH(FW$1,PortfolioRef[Reference '#]),0),AssetMonthlyReturns[[#This Row],[SPY]:[PE]])</f>
        <v>1.0720186368878675E-2</v>
      </c>
      <c r="FX30" s="27">
        <f>IF(ISNUMBER(FX29),FX29*(1+PortfolioFrontier[[#This Row],[P45 Return]]),1+PortfolioFrontier[[#This Row],[P45 Return]])</f>
        <v>1.134434779093094</v>
      </c>
      <c r="FY30" s="27">
        <f>MAX(FY29,PortfolioFrontier[[#This Row],[P45 Growth]])</f>
        <v>1.1497643702533042</v>
      </c>
      <c r="FZ30" s="27">
        <f>PortfolioFrontier[[#This Row],[P45 Growth]]/PortfolioFrontier[[#This Row],[P45 HWM]]-1</f>
        <v>-1.3332811101837372E-2</v>
      </c>
      <c r="GA30" s="28">
        <f>SUMPRODUCT(INDEX(PortfolioRef[[SPY]:[PE]],MATCH(GA$1,PortfolioRef[Reference '#]),0),AssetMonthlyReturns[[#This Row],[SPY]:[PE]])</f>
        <v>1.3677125717989203E-2</v>
      </c>
      <c r="GB30" s="27">
        <f>IF(ISNUMBER(GB29),GB29*(1+PortfolioFrontier[[#This Row],[P46 Return]]),1+PortfolioFrontier[[#This Row],[P46 Return]])</f>
        <v>1.1501992762818545</v>
      </c>
      <c r="GC30" s="27">
        <f>MAX(GC29,PortfolioFrontier[[#This Row],[P46 Growth]])</f>
        <v>1.153829221094034</v>
      </c>
      <c r="GD30" s="27">
        <f>PortfolioFrontier[[#This Row],[P46 Growth]]/PortfolioFrontier[[#This Row],[P46 HWM]]-1</f>
        <v>-3.1459983382442491E-3</v>
      </c>
      <c r="GE30" s="28">
        <f>SUMPRODUCT(INDEX(PortfolioRef[[SPY]:[PE]],MATCH(GE$1,PortfolioRef[Reference '#]),0),AssetMonthlyReturns[[#This Row],[SPY]:[PE]])</f>
        <v>1.2608275473932899E-2</v>
      </c>
      <c r="GF30" s="27">
        <f>IF(ISNUMBER(GF29),GF29*(1+PortfolioFrontier[[#This Row],[P47 Return]]),1+PortfolioFrontier[[#This Row],[P47 Return]])</f>
        <v>1.1435034589551585</v>
      </c>
      <c r="GG30" s="27">
        <f>MAX(GG29,PortfolioFrontier[[#This Row],[P47 Growth]])</f>
        <v>1.1504763850012711</v>
      </c>
      <c r="GH30" s="27">
        <f>PortfolioFrontier[[#This Row],[P47 Growth]]/PortfolioFrontier[[#This Row],[P47 HWM]]-1</f>
        <v>-6.0609032371445881E-3</v>
      </c>
      <c r="GI30" s="28">
        <f>SUMPRODUCT(INDEX(PortfolioRef[[SPY]:[PE]],MATCH(GI$1,PortfolioRef[Reference '#]),0),AssetMonthlyReturns[[#This Row],[SPY]:[PE]])</f>
        <v>1.1539425229876598E-2</v>
      </c>
      <c r="GJ30" s="27">
        <f>IF(ISNUMBER(GJ29),GJ29*(1+PortfolioFrontier[[#This Row],[P48 Return]]),1+PortfolioFrontier[[#This Row],[P48 Return]])</f>
        <v>1.1367441089212307</v>
      </c>
      <c r="GK30" s="27">
        <f>MAX(GK29,PortfolioFrontier[[#This Row],[P48 Growth]])</f>
        <v>1.1470673866868877</v>
      </c>
      <c r="GL30" s="27">
        <f>PortfolioFrontier[[#This Row],[P48 Growth]]/PortfolioFrontier[[#This Row],[P48 HWM]]-1</f>
        <v>-8.9997134305022097E-3</v>
      </c>
      <c r="GM30" s="28">
        <f>SUMPRODUCT(INDEX(PortfolioRef[[SPY]:[PE]],MATCH(GM$1,PortfolioRef[Reference '#]),0),AssetMonthlyReturns[[#This Row],[SPY]:[PE]])</f>
        <v>1.5565214823043429E-2</v>
      </c>
      <c r="GN30" s="27">
        <f>IF(ISNUMBER(GN29),GN29*(1+PortfolioFrontier[[#This Row],[P49 Return]]),1+PortfolioFrontier[[#This Row],[P49 Return]])</f>
        <v>1.159233626960587</v>
      </c>
      <c r="GO30" s="27">
        <f>MAX(GO29,PortfolioFrontier[[#This Row],[P49 Growth]])</f>
        <v>1.159233626960587</v>
      </c>
      <c r="GP30" s="27">
        <f>PortfolioFrontier[[#This Row],[P49 Growth]]/PortfolioFrontier[[#This Row],[P49 HWM]]-1</f>
        <v>0</v>
      </c>
      <c r="GQ30" s="28">
        <f>SUMPRODUCT(INDEX(PortfolioRef[[SPY]:[PE]],MATCH(GQ$1,PortfolioRef[Reference '#]),0),AssetMonthlyReturns[[#This Row],[SPY]:[PE]])</f>
        <v>1.4496364578987125E-2</v>
      </c>
      <c r="GR30" s="27">
        <f>IF(ISNUMBER(GR29),GR29*(1+PortfolioFrontier[[#This Row],[P50 Return]]),1+PortfolioFrontier[[#This Row],[P50 Return]])</f>
        <v>1.1525261455653835</v>
      </c>
      <c r="GS30" s="27">
        <f>MAX(GS29,PortfolioFrontier[[#This Row],[P50 Growth]])</f>
        <v>1.1525261455653835</v>
      </c>
      <c r="GT30" s="27">
        <f>PortfolioFrontier[[#This Row],[P50 Growth]]/PortfolioFrontier[[#This Row],[P50 HWM]]-1</f>
        <v>0</v>
      </c>
      <c r="GU30" s="28">
        <f>SUMPRODUCT(INDEX(PortfolioRef[[SPY]:[PE]],MATCH(GU$1,PortfolioRef[Reference '#]),0),AssetMonthlyReturns[[#This Row],[SPY]:[PE]])</f>
        <v>1.3427514334930822E-2</v>
      </c>
      <c r="GV30" s="27">
        <f>IF(ISNUMBER(GV29),GV29*(1+PortfolioFrontier[[#This Row],[P51 Return]]),1+PortfolioFrontier[[#This Row],[P51 Return]])</f>
        <v>1.145754052706466</v>
      </c>
      <c r="GW30" s="27">
        <f>MAX(GW29,PortfolioFrontier[[#This Row],[P51 Growth]])</f>
        <v>1.1477054629234607</v>
      </c>
      <c r="GX30" s="27">
        <f>PortfolioFrontier[[#This Row],[P51 Growth]]/PortfolioFrontier[[#This Row],[P51 HWM]]-1</f>
        <v>-1.7002709144765538E-3</v>
      </c>
      <c r="GY30" s="28">
        <f>SUMPRODUCT(INDEX(PortfolioRef[[SPY]:[PE]],MATCH(GY$1,PortfolioRef[Reference '#]),0),AssetMonthlyReturns[[#This Row],[SPY]:[PE]])</f>
        <v>1.256152512525625E-2</v>
      </c>
      <c r="GZ30" s="27">
        <f>IF(ISNUMBER(GZ29),GZ29*(1+PortfolioFrontier[[#This Row],[P52 Return]]),1+PortfolioFrontier[[#This Row],[P52 Return]])</f>
        <v>1.1465252110024839</v>
      </c>
      <c r="HA30" s="27">
        <f>MAX(HA29,PortfolioFrontier[[#This Row],[P52 Growth]])</f>
        <v>1.1551375545895033</v>
      </c>
      <c r="HB30" s="27">
        <f>PortfolioFrontier[[#This Row],[P52 Growth]]/PortfolioFrontier[[#This Row],[P52 HWM]]-1</f>
        <v>-7.4556866000948796E-3</v>
      </c>
      <c r="HC30" s="28">
        <f>SUMPRODUCT(INDEX(PortfolioRef[[SPY]:[PE]],MATCH(HC$1,PortfolioRef[Reference '#]),0),AssetMonthlyReturns[[#This Row],[SPY]:[PE]])</f>
        <v>1.1492674881199946E-2</v>
      </c>
      <c r="HD30" s="27">
        <f>IF(ISNUMBER(HD29),HD29*(1+PortfolioFrontier[[#This Row],[P53 Return]]),1+PortfolioFrontier[[#This Row],[P53 Return]])</f>
        <v>1.1398752765606195</v>
      </c>
      <c r="HE30" s="27">
        <f>MAX(HE29,PortfolioFrontier[[#This Row],[P53 Growth]])</f>
        <v>1.1518105416261799</v>
      </c>
      <c r="HF30" s="27">
        <f>PortfolioFrontier[[#This Row],[P53 Growth]]/PortfolioFrontier[[#This Row],[P53 HWM]]-1</f>
        <v>-1.0362177314951149E-2</v>
      </c>
      <c r="HG30" s="28">
        <f>SUMPRODUCT(INDEX(PortfolioRef[[SPY]:[PE]],MATCH(HG$1,PortfolioRef[Reference '#]),0),AssetMonthlyReturns[[#This Row],[SPY]:[PE]])</f>
        <v>1.0423824637143645E-2</v>
      </c>
      <c r="HH30" s="27">
        <f>IF(ISNUMBER(HH29),HH29*(1+PortfolioFrontier[[#This Row],[P54 Return]]),1+PortfolioFrontier[[#This Row],[P54 Return]])</f>
        <v>1.1331617032678718</v>
      </c>
      <c r="HI30" s="27">
        <f>MAX(HI29,PortfolioFrontier[[#This Row],[P54 Growth]])</f>
        <v>1.1484271504484369</v>
      </c>
      <c r="HJ30" s="27">
        <f>PortfolioFrontier[[#This Row],[P54 Growth]]/PortfolioFrontier[[#This Row],[P54 HWM]]-1</f>
        <v>-1.3292481960744507E-2</v>
      </c>
      <c r="HK30" s="28">
        <f>SUMPRODUCT(INDEX(PortfolioRef[[SPY]:[PE]],MATCH(HK$1,PortfolioRef[Reference '#]),0),AssetMonthlyReturns[[#This Row],[SPY]:[PE]])</f>
        <v>1.4449614230310475E-2</v>
      </c>
      <c r="HL30" s="27">
        <f>IF(ISNUMBER(HL29),HL29*(1+PortfolioFrontier[[#This Row],[P55 Return]]),1+PortfolioFrontier[[#This Row],[P55 Return]])</f>
        <v>1.1555943409402372</v>
      </c>
      <c r="HM30" s="27">
        <f>MAX(HM29,PortfolioFrontier[[#This Row],[P55 Growth]])</f>
        <v>1.1558160401994988</v>
      </c>
      <c r="HN30" s="27">
        <f>PortfolioFrontier[[#This Row],[P55 Growth]]/PortfolioFrontier[[#This Row],[P55 HWM]]-1</f>
        <v>-1.9181189008532495E-4</v>
      </c>
      <c r="HO30" s="28">
        <f>SUMPRODUCT(INDEX(PortfolioRef[[SPY]:[PE]],MATCH(HO$1,PortfolioRef[Reference '#]),0),AssetMonthlyReturns[[#This Row],[SPY]:[PE]])</f>
        <v>1.3380763986254172E-2</v>
      </c>
      <c r="HP30" s="27">
        <f>IF(ISNUMBER(HP29),HP29*(1+PortfolioFrontier[[#This Row],[P56 Return]]),1+PortfolioFrontier[[#This Row],[P56 Return]])</f>
        <v>1.1489327105996063</v>
      </c>
      <c r="HQ30" s="27">
        <f>MAX(HQ29,PortfolioFrontier[[#This Row],[P56 Growth]])</f>
        <v>1.1524955896514557</v>
      </c>
      <c r="HR30" s="27">
        <f>PortfolioFrontier[[#This Row],[P56 Growth]]/PortfolioFrontier[[#This Row],[P56 HWM]]-1</f>
        <v>-3.0914470162327623E-3</v>
      </c>
      <c r="HS30" s="28">
        <f>SUMPRODUCT(INDEX(PortfolioRef[[SPY]:[PE]],MATCH(HS$1,PortfolioRef[Reference '#]),0),AssetMonthlyReturns[[#This Row],[SPY]:[PE]])</f>
        <v>1.231191374219787E-2</v>
      </c>
      <c r="HT30" s="27">
        <f>IF(ISNUMBER(HT29),HT29*(1+PortfolioFrontier[[#This Row],[P57 Return]]),1+PortfolioFrontier[[#This Row],[P57 Return]])</f>
        <v>1.1422063610838038</v>
      </c>
      <c r="HU30" s="27">
        <f>MAX(HU29,PortfolioFrontier[[#This Row],[P57 Growth]])</f>
        <v>1.1491186441083043</v>
      </c>
      <c r="HV30" s="27">
        <f>PortfolioFrontier[[#This Row],[P57 Growth]]/PortfolioFrontier[[#This Row],[P57 HWM]]-1</f>
        <v>-6.0152909883942618E-3</v>
      </c>
      <c r="HW30" s="28">
        <f>SUMPRODUCT(INDEX(PortfolioRef[[SPY]:[PE]],MATCH(HW$1,PortfolioRef[Reference '#]),0),AssetMonthlyReturns[[#This Row],[SPY]:[PE]])</f>
        <v>1.63377033353647E-2</v>
      </c>
      <c r="HX30" s="27">
        <f>IF(ISNUMBER(HX29),HX29*(1+PortfolioFrontier[[#This Row],[P58 Return]]),1+PortfolioFrontier[[#This Row],[P58 Return]])</f>
        <v>1.1646155801314348</v>
      </c>
      <c r="HY30" s="27">
        <f>MAX(HY29,PortfolioFrontier[[#This Row],[P58 Growth]])</f>
        <v>1.1646155801314348</v>
      </c>
      <c r="HZ30" s="27">
        <f>PortfolioFrontier[[#This Row],[P58 Growth]]/PortfolioFrontier[[#This Row],[P58 HWM]]-1</f>
        <v>0</v>
      </c>
      <c r="IA30" s="28">
        <f>SUMPRODUCT(INDEX(PortfolioRef[[SPY]:[PE]],MATCH(IA$1,PortfolioRef[Reference '#]),0),AssetMonthlyReturns[[#This Row],[SPY]:[PE]])</f>
        <v>1.5268853091308397E-2</v>
      </c>
      <c r="IB30" s="27">
        <f>IF(ISNUMBER(IB29),IB29*(1+PortfolioFrontier[[#This Row],[P59 Return]]),1+PortfolioFrontier[[#This Row],[P59 Return]])</f>
        <v>1.1579431355708834</v>
      </c>
      <c r="IC30" s="27">
        <f>MAX(IC29,PortfolioFrontier[[#This Row],[P59 Growth]])</f>
        <v>1.1579431355708834</v>
      </c>
      <c r="ID30" s="27">
        <f>PortfolioFrontier[[#This Row],[P59 Growth]]/PortfolioFrontier[[#This Row],[P59 HWM]]-1</f>
        <v>0</v>
      </c>
      <c r="IE30" s="28">
        <f>SUMPRODUCT(INDEX(PortfolioRef[[SPY]:[PE]],MATCH(IE$1,PortfolioRef[Reference '#]),0),AssetMonthlyReturns[[#This Row],[SPY]:[PE]])</f>
        <v>1.4200002847252096E-2</v>
      </c>
      <c r="IF30" s="27">
        <f>IF(ISNUMBER(IF29),IF29*(1+PortfolioFrontier[[#This Row],[P60 Return]]),1+PortfolioFrontier[[#This Row],[P60 Return]])</f>
        <v>1.1512048862233109</v>
      </c>
      <c r="IG30" s="27">
        <f>MAX(IG29,PortfolioFrontier[[#This Row],[P60 Growth]])</f>
        <v>1.1512048862233109</v>
      </c>
      <c r="IH30" s="27">
        <f>PortfolioFrontier[[#This Row],[P60 Growth]]/PortfolioFrontier[[#This Row],[P60 HWM]]-1</f>
        <v>0</v>
      </c>
      <c r="II30" s="28">
        <f>SUMPRODUCT(INDEX(PortfolioRef[[SPY]:[PE]],MATCH(II$1,PortfolioRef[Reference '#]),0),AssetMonthlyReturns[[#This Row],[SPY]:[PE]])</f>
        <v>1.1157235833268697E-2</v>
      </c>
      <c r="IJ30" s="27">
        <f>IF(ISNUMBER(IJ29),IJ29*(1+PortfolioFrontier[[#This Row],[P61 Return]]),1+PortfolioFrontier[[#This Row],[P61 Return]])</f>
        <v>1.1232011557345074</v>
      </c>
      <c r="IK30" s="27">
        <f>MAX(IK29,PortfolioFrontier[[#This Row],[P61 Growth]])</f>
        <v>1.1294319987390351</v>
      </c>
      <c r="IL30" s="27">
        <f>PortfolioFrontier[[#This Row],[P61 Growth]]/PortfolioFrontier[[#This Row],[P61 HWM]]-1</f>
        <v>-5.5167934072031244E-3</v>
      </c>
      <c r="IM30" s="28">
        <f>SUMPRODUCT(INDEX(PortfolioRef[[SPY]:[PE]],MATCH(IM$1,PortfolioRef[Reference '#]),0),AssetMonthlyReturns[[#This Row],[SPY]:[PE]])</f>
        <v>1.0041635240535746E-2</v>
      </c>
      <c r="IN30" s="27">
        <f>IF(ISNUMBER(IN29),IN29*(1+PortfolioFrontier[[#This Row],[P62 Return]]),1+PortfolioFrontier[[#This Row],[P62 Return]])</f>
        <v>1.1196827171310846</v>
      </c>
      <c r="IO30" s="27">
        <f>MAX(IO29,PortfolioFrontier[[#This Row],[P62 Growth]])</f>
        <v>1.1307875651347878</v>
      </c>
      <c r="IP30" s="27">
        <f>PortfolioFrontier[[#This Row],[P62 Growth]]/PortfolioFrontier[[#This Row],[P62 HWM]]-1</f>
        <v>-9.8204546513381841E-3</v>
      </c>
      <c r="IQ30" s="28">
        <f>SUMPRODUCT(INDEX(PortfolioRef[[SPY]:[PE]],MATCH(IQ$1,PortfolioRef[Reference '#]),0),AssetMonthlyReturns[[#This Row],[SPY]:[PE]])</f>
        <v>1.1929724345589971E-2</v>
      </c>
      <c r="IR30" s="27">
        <f>IF(ISNUMBER(IR29),IR29*(1+PortfolioFrontier[[#This Row],[P63 Return]]),1+PortfolioFrontier[[#This Row],[P63 Return]])</f>
        <v>1.1286093894142408</v>
      </c>
      <c r="IS30" s="27">
        <f>MAX(IS29,PortfolioFrontier[[#This Row],[P63 Growth]])</f>
        <v>1.1314701893182186</v>
      </c>
      <c r="IT30" s="27">
        <f>PortfolioFrontier[[#This Row],[P63 Growth]]/PortfolioFrontier[[#This Row],[P63 HWM]]-1</f>
        <v>-2.5283917605479767E-3</v>
      </c>
      <c r="IU30" s="28">
        <f>SUMPRODUCT(INDEX(PortfolioRef[[SPY]:[PE]],MATCH(IU$1,PortfolioRef[Reference '#]),0),AssetMonthlyReturns[[#This Row],[SPY]:[PE]])</f>
        <v>1.0860874101533668E-2</v>
      </c>
      <c r="IV30" s="27">
        <f>IF(ISNUMBER(IV29),IV29*(1+PortfolioFrontier[[#This Row],[P64 Return]]),1+PortfolioFrontier[[#This Row],[P64 Return]])</f>
        <v>1.121943411735572</v>
      </c>
      <c r="IW30" s="27">
        <f>MAX(IW29,PortfolioFrontier[[#This Row],[P64 Growth]])</f>
        <v>1.1281140416878883</v>
      </c>
      <c r="IX30" s="27">
        <f>PortfolioFrontier[[#This Row],[P64 Growth]]/PortfolioFrontier[[#This Row],[P64 HWM]]-1</f>
        <v>-5.4698636168767356E-3</v>
      </c>
      <c r="IY30" s="28">
        <f>SUMPRODUCT(INDEX(PortfolioRef[[SPY]:[PE]],MATCH(IY$1,PortfolioRef[Reference '#]),0),AssetMonthlyReturns[[#This Row],[SPY]:[PE]])</f>
        <v>8.9260346478027951E-3</v>
      </c>
      <c r="IZ30" s="27">
        <f>IF(ISNUMBER(IZ29),IZ29*(1+PortfolioFrontier[[#This Row],[P65 Return]]),1+PortfolioFrontier[[#This Row],[P65 Return]])</f>
        <v>1.1161082975770349</v>
      </c>
      <c r="JA30" s="27">
        <f>MAX(JA29,PortfolioFrontier[[#This Row],[P65 Growth]])</f>
        <v>1.1320832550752244</v>
      </c>
      <c r="JB30" s="27">
        <f>PortfolioFrontier[[#This Row],[P65 Growth]]/PortfolioFrontier[[#This Row],[P65 HWM]]-1</f>
        <v>-1.4111115438350086E-2</v>
      </c>
      <c r="JC30" s="28">
        <f>SUMPRODUCT(INDEX(PortfolioRef[[SPY]:[PE]],MATCH(JC$1,PortfolioRef[Reference '#]),0),AssetMonthlyReturns[[#This Row],[SPY]:[PE]])</f>
        <v>1.0814123752857018E-2</v>
      </c>
      <c r="JD30" s="27">
        <f>IF(ISNUMBER(JD29),JD29*(1+PortfolioFrontier[[#This Row],[P66 Return]]),1+PortfolioFrontier[[#This Row],[P66 Return]])</f>
        <v>1.1250687842447866</v>
      </c>
      <c r="JE30" s="27">
        <f>MAX(JE29,PortfolioFrontier[[#This Row],[P66 Growth]])</f>
        <v>1.1328187248763837</v>
      </c>
      <c r="JF30" s="27">
        <f>PortfolioFrontier[[#This Row],[P66 Growth]]/PortfolioFrontier[[#This Row],[P66 HWM]]-1</f>
        <v>-6.8412893090575855E-3</v>
      </c>
      <c r="JG30" s="28">
        <f>SUMPRODUCT(INDEX(PortfolioRef[[SPY]:[PE]],MATCH(JG$1,PortfolioRef[Reference '#]),0),AssetMonthlyReturns[[#This Row],[SPY]:[PE]])</f>
        <v>9.7452735088007156E-3</v>
      </c>
      <c r="JH30" s="27">
        <f>IF(ISNUMBER(JH29),JH29*(1+PortfolioFrontier[[#This Row],[P67 Return]]),1+PortfolioFrontier[[#This Row],[P67 Return]])</f>
        <v>1.1184478124846986</v>
      </c>
      <c r="JI30" s="27">
        <f>MAX(JI29,PortfolioFrontier[[#This Row],[P67 Growth]])</f>
        <v>1.1294877188116705</v>
      </c>
      <c r="JJ30" s="27">
        <f>PortfolioFrontier[[#This Row],[P67 Growth]]/PortfolioFrontier[[#This Row],[P67 HWM]]-1</f>
        <v>-9.7742597312938662E-3</v>
      </c>
      <c r="JK30" s="28">
        <f>SUMPRODUCT(INDEX(PortfolioRef[[SPY]:[PE]],MATCH(JK$1,PortfolioRef[Reference '#]),0),AssetMonthlyReturns[[#This Row],[SPY]:[PE]])</f>
        <v>1.2702212857911245E-2</v>
      </c>
      <c r="JL30" s="27">
        <f>IF(ISNUMBER(JL29),JL29*(1+PortfolioFrontier[[#This Row],[P68 Return]]),1+PortfolioFrontier[[#This Row],[P68 Return]])</f>
        <v>1.1339843901095825</v>
      </c>
      <c r="JM30" s="27">
        <f>MAX(JM29,PortfolioFrontier[[#This Row],[P68 Growth]])</f>
        <v>1.1339843901095825</v>
      </c>
      <c r="JN30" s="27">
        <f>PortfolioFrontier[[#This Row],[P68 Growth]]/PortfolioFrontier[[#This Row],[P68 HWM]]-1</f>
        <v>0</v>
      </c>
      <c r="JO30" s="28">
        <f>SUMPRODUCT(INDEX(PortfolioRef[[SPY]:[PE]],MATCH(JO$1,PortfolioRef[Reference '#]),0),AssetMonthlyReturns[[#This Row],[SPY]:[PE]])</f>
        <v>1.163336261385494E-2</v>
      </c>
      <c r="JP30" s="27">
        <f>IF(ISNUMBER(JP29),JP29*(1+PortfolioFrontier[[#This Row],[P69 Return]]),1+PortfolioFrontier[[#This Row],[P69 Return]])</f>
        <v>1.1273509267505495</v>
      </c>
      <c r="JQ30" s="27">
        <f>MAX(JQ29,PortfolioFrontier[[#This Row],[P69 Growth]])</f>
        <v>1.1301501657815767</v>
      </c>
      <c r="JR30" s="27">
        <f>PortfolioFrontier[[#This Row],[P69 Growth]]/PortfolioFrontier[[#This Row],[P69 HWM]]-1</f>
        <v>-2.4768735304226963E-3</v>
      </c>
      <c r="JS30" s="28">
        <f>SUMPRODUCT(INDEX(PortfolioRef[[SPY]:[PE]],MATCH(JS$1,PortfolioRef[Reference '#]),0),AssetMonthlyReturns[[#This Row],[SPY]:[PE]])</f>
        <v>1.0564512369798639E-2</v>
      </c>
      <c r="JT30" s="27">
        <f>IF(ISNUMBER(JT29),JT29*(1+PortfolioFrontier[[#This Row],[P70 Return]]),1+PortfolioFrontier[[#This Row],[P70 Return]])</f>
        <v>1.1206552226469888</v>
      </c>
      <c r="JU30" s="27">
        <f>MAX(JU29,PortfolioFrontier[[#This Row],[P70 Growth]])</f>
        <v>1.1267704712672371</v>
      </c>
      <c r="JV30" s="27">
        <f>PortfolioFrontier[[#This Row],[P70 Growth]]/PortfolioFrontier[[#This Row],[P70 HWM]]-1</f>
        <v>-5.4272354274341739E-3</v>
      </c>
      <c r="JW30" s="28">
        <f>SUMPRODUCT(INDEX(PortfolioRef[[SPY]:[PE]],MATCH(JW$1,PortfolioRef[Reference '#]),0),AssetMonthlyReturns[[#This Row],[SPY]:[PE]])</f>
        <v>9.6985231601240656E-3</v>
      </c>
      <c r="JX30" s="27">
        <f>IF(ISNUMBER(JX29),JX29*(1+PortfolioFrontier[[#This Row],[P71 Return]]),1+PortfolioFrontier[[#This Row],[P71 Return]])</f>
        <v>1.1214720542420586</v>
      </c>
      <c r="JY30" s="27">
        <f>MAX(JY29,PortfolioFrontier[[#This Row],[P71 Growth]])</f>
        <v>1.1341073317396606</v>
      </c>
      <c r="JZ30" s="27">
        <f>PortfolioFrontier[[#This Row],[P71 Growth]]/PortfolioFrontier[[#This Row],[P71 HWM]]-1</f>
        <v>-1.1141165517570606E-2</v>
      </c>
      <c r="KA30" s="28">
        <f>SUMPRODUCT(INDEX(PortfolioRef[[SPY]:[PE]],MATCH(KA$1,PortfolioRef[Reference '#]),0),AssetMonthlyReturns[[#This Row],[SPY]:[PE]])</f>
        <v>8.629672916067763E-3</v>
      </c>
      <c r="KB30" s="27">
        <f>IF(ISNUMBER(KB29),KB29*(1+PortfolioFrontier[[#This Row],[P72 Return]]),1+PortfolioFrontier[[#This Row],[P72 Return]])</f>
        <v>1.1148961774969006</v>
      </c>
      <c r="KC30" s="27">
        <f>MAX(KC29,PortfolioFrontier[[#This Row],[P72 Growth]])</f>
        <v>1.1308016396062204</v>
      </c>
      <c r="KD30" s="27">
        <f>PortfolioFrontier[[#This Row],[P72 Growth]]/PortfolioFrontier[[#This Row],[P72 HWM]]-1</f>
        <v>-1.4065651792703915E-2</v>
      </c>
      <c r="KE30" s="28">
        <f>SUMPRODUCT(INDEX(PortfolioRef[[SPY]:[PE]],MATCH(KE$1,PortfolioRef[Reference '#]),0),AssetMonthlyReturns[[#This Row],[SPY]:[PE]])</f>
        <v>1.1586612265178292E-2</v>
      </c>
      <c r="KF30" s="27">
        <f>IF(ISNUMBER(KF29),KF29*(1+PortfolioFrontier[[#This Row],[P73 Return]]),1+PortfolioFrontier[[#This Row],[P73 Return]])</f>
        <v>1.1304216650817751</v>
      </c>
      <c r="KG30" s="27">
        <f>MAX(KG29,PortfolioFrontier[[#This Row],[P73 Growth]])</f>
        <v>1.1348162363698722</v>
      </c>
      <c r="KH30" s="27">
        <f>PortfolioFrontier[[#This Row],[P73 Growth]]/PortfolioFrontier[[#This Row],[P73 HWM]]-1</f>
        <v>-3.8724959577197682E-3</v>
      </c>
      <c r="KI30" s="28">
        <f>SUMPRODUCT(INDEX(PortfolioRef[[SPY]:[PE]],MATCH(KI$1,PortfolioRef[Reference '#]),0),AssetMonthlyReturns[[#This Row],[SPY]:[PE]])</f>
        <v>1.0517762021121988E-2</v>
      </c>
      <c r="KJ30" s="27">
        <f>IF(ISNUMBER(KJ29),KJ29*(1+PortfolioFrontier[[#This Row],[P74 Return]]),1+PortfolioFrontier[[#This Row],[P74 Return]])</f>
        <v>1.123833264998777</v>
      </c>
      <c r="KK30" s="27">
        <f>MAX(KK29,PortfolioFrontier[[#This Row],[P74 Growth]])</f>
        <v>1.1315168548073993</v>
      </c>
      <c r="KL30" s="27">
        <f>PortfolioFrontier[[#This Row],[P74 Growth]]/PortfolioFrontier[[#This Row],[P74 HWM]]-1</f>
        <v>-6.7905217460769718E-3</v>
      </c>
      <c r="KM30" s="28">
        <f>SUMPRODUCT(INDEX(PortfolioRef[[SPY]:[PE]],MATCH(KM$1,PortfolioRef[Reference '#]),0),AssetMonthlyReturns[[#This Row],[SPY]:[PE]])</f>
        <v>9.4489117770656869E-3</v>
      </c>
      <c r="KN30" s="27">
        <f>IF(ISNUMBER(KN29),KN29*(1+PortfolioFrontier[[#This Row],[P75 Return]]),1+PortfolioFrontier[[#This Row],[P75 Return]])</f>
        <v>1.1171825141288374</v>
      </c>
      <c r="KO30" s="27">
        <f>MAX(KO29,PortfolioFrontier[[#This Row],[P75 Growth]])</f>
        <v>1.1281621830860007</v>
      </c>
      <c r="KP30" s="27">
        <f>PortfolioFrontier[[#This Row],[P75 Growth]]/PortfolioFrontier[[#This Row],[P75 HWM]]-1</f>
        <v>-9.7323497647556767E-3</v>
      </c>
      <c r="KQ30" s="28">
        <f>SUMPRODUCT(INDEX(PortfolioRef[[SPY]:[PE]],MATCH(KQ$1,PortfolioRef[Reference '#]),0),AssetMonthlyReturns[[#This Row],[SPY]:[PE]])</f>
        <v>1.3474701370232517E-2</v>
      </c>
      <c r="KR30" s="27">
        <f>IF(ISNUMBER(KR29),KR29*(1+PortfolioFrontier[[#This Row],[P76 Return]]),1+PortfolioFrontier[[#This Row],[P76 Return]])</f>
        <v>1.1393253924059668</v>
      </c>
      <c r="KS30" s="27">
        <f>MAX(KS29,PortfolioFrontier[[#This Row],[P76 Growth]])</f>
        <v>1.1393253924059668</v>
      </c>
      <c r="KT30" s="27">
        <f>PortfolioFrontier[[#This Row],[P76 Growth]]/PortfolioFrontier[[#This Row],[P76 HWM]]-1</f>
        <v>0</v>
      </c>
      <c r="KU30" s="28">
        <f>SUMPRODUCT(INDEX(PortfolioRef[[SPY]:[PE]],MATCH(KU$1,PortfolioRef[Reference '#]),0),AssetMonthlyReturns[[#This Row],[SPY]:[PE]])</f>
        <v>1.2405851126176214E-2</v>
      </c>
      <c r="KV30" s="27">
        <f>IF(ISNUMBER(KV29),KV29*(1+PortfolioFrontier[[#This Row],[P77 Return]]),1+PortfolioFrontier[[#This Row],[P77 Return]])</f>
        <v>1.1327253316428798</v>
      </c>
      <c r="KW30" s="27">
        <f>MAX(KW29,PortfolioFrontier[[#This Row],[P77 Growth]])</f>
        <v>1.1327253316428798</v>
      </c>
      <c r="KX30" s="27">
        <f>PortfolioFrontier[[#This Row],[P77 Growth]]/PortfolioFrontier[[#This Row],[P77 HWM]]-1</f>
        <v>0</v>
      </c>
      <c r="KY30" s="28">
        <f>SUMPRODUCT(INDEX(PortfolioRef[[SPY]:[PE]],MATCH(KY$1,PortfolioRef[Reference '#]),0),AssetMonthlyReturns[[#This Row],[SPY]:[PE]])</f>
        <v>1.1337000882119912E-2</v>
      </c>
      <c r="KZ30" s="27">
        <f>IF(ISNUMBER(KZ29),KZ29*(1+PortfolioFrontier[[#This Row],[P78 Return]]),1+PortfolioFrontier[[#This Row],[P78 Return]])</f>
        <v>1.1260618592457374</v>
      </c>
      <c r="LA30" s="27">
        <f>MAX(LA29,PortfolioFrontier[[#This Row],[P78 Growth]])</f>
        <v>1.1288044801379766</v>
      </c>
      <c r="LB30" s="27">
        <f>PortfolioFrontier[[#This Row],[P78 Growth]]/PortfolioFrontier[[#This Row],[P78 HWM]]-1</f>
        <v>-2.4296686808896739E-3</v>
      </c>
      <c r="LC30" s="28">
        <f>SUMPRODUCT(INDEX(PortfolioRef[[SPY]:[PE]],MATCH(LC$1,PortfolioRef[Reference '#]),0),AssetMonthlyReturns[[#This Row],[SPY]:[PE]])</f>
        <v>1.0471011672445341E-2</v>
      </c>
      <c r="LD30" s="27">
        <f>IF(ISNUMBER(LD29),LD29*(1+PortfolioFrontier[[#This Row],[P79 Return]]),1+PortfolioFrontier[[#This Row],[P79 Return]])</f>
        <v>1.1268026735914098</v>
      </c>
      <c r="LE30" s="27">
        <f>MAX(LE29,PortfolioFrontier[[#This Row],[P79 Growth]])</f>
        <v>1.1360977076552197</v>
      </c>
      <c r="LF30" s="27">
        <f>PortfolioFrontier[[#This Row],[P79 Growth]]/PortfolioFrontier[[#This Row],[P79 HWM]]-1</f>
        <v>-8.1815445988301372E-3</v>
      </c>
      <c r="LG30" s="28">
        <f>SUMPRODUCT(INDEX(PortfolioRef[[SPY]:[PE]],MATCH(LG$1,PortfolioRef[Reference '#]),0),AssetMonthlyReturns[[#This Row],[SPY]:[PE]])</f>
        <v>9.4021614283890369E-3</v>
      </c>
      <c r="LH30" s="27">
        <f>IF(ISNUMBER(LH29),LH29*(1+PortfolioFrontier[[#This Row],[P80 Return]]),1+PortfolioFrontier[[#This Row],[P80 Return]])</f>
        <v>1.1202594229314498</v>
      </c>
      <c r="LI30" s="27">
        <f>MAX(LI29,PortfolioFrontier[[#This Row],[P80 Growth]])</f>
        <v>1.1328237352358017</v>
      </c>
      <c r="LJ30" s="27">
        <f>PortfolioFrontier[[#This Row],[P80 Growth]]/PortfolioFrontier[[#This Row],[P80 HWM]]-1</f>
        <v>-1.1091144997713687E-2</v>
      </c>
      <c r="LK30" s="28">
        <f>SUMPRODUCT(INDEX(PortfolioRef[[SPY]:[PE]],MATCH(LK$1,PortfolioRef[Reference '#]),0),AssetMonthlyReturns[[#This Row],[SPY]:[PE]])</f>
        <v>8.3333111843327361E-3</v>
      </c>
      <c r="LL30" s="27">
        <f>IF(ISNUMBER(LL29),LL29*(1+PortfolioFrontier[[#This Row],[P81 Return]]),1+PortfolioFrontier[[#This Row],[P81 Return]])</f>
        <v>1.1136537171759098</v>
      </c>
      <c r="LM30" s="27">
        <f>MAX(LM29,PortfolioFrontier[[#This Row],[P81 Growth]])</f>
        <v>1.1294942602915885</v>
      </c>
      <c r="LN30" s="27">
        <f>PortfolioFrontier[[#This Row],[P81 Growth]]/PortfolioFrontier[[#This Row],[P81 HWM]]-1</f>
        <v>-1.4024456495767779E-2</v>
      </c>
      <c r="LO30" s="28">
        <f>SUMPRODUCT(INDEX(PortfolioRef[[SPY]:[PE]],MATCH(LO$1,PortfolioRef[Reference '#]),0),AssetMonthlyReturns[[#This Row],[SPY]:[PE]])</f>
        <v>1.2359100777499564E-2</v>
      </c>
      <c r="LP30" s="27">
        <f>IF(ISNUMBER(LP29),LP29*(1+PortfolioFrontier[[#This Row],[P82 Return]]),1+PortfolioFrontier[[#This Row],[P82 Return]])</f>
        <v>1.1357405966049134</v>
      </c>
      <c r="LQ30" s="27">
        <f>MAX(LQ29,PortfolioFrontier[[#This Row],[P82 Growth]])</f>
        <v>1.1367799217668872</v>
      </c>
      <c r="LR30" s="27">
        <f>PortfolioFrontier[[#This Row],[P82 Growth]]/PortfolioFrontier[[#This Row],[P82 HWM]]-1</f>
        <v>-9.1427121650633492E-4</v>
      </c>
      <c r="LS30" s="28">
        <f>SUMPRODUCT(INDEX(PortfolioRef[[SPY]:[PE]],MATCH(LS$1,PortfolioRef[Reference '#]),0),AssetMonthlyReturns[[#This Row],[SPY]:[PE]])</f>
        <v>1.1290250533443262E-2</v>
      </c>
      <c r="LT30" s="27">
        <f>IF(ISNUMBER(LT29),LT29*(1+PortfolioFrontier[[#This Row],[P83 Return]]),1+PortfolioFrontier[[#This Row],[P83 Return]])</f>
        <v>1.1291856534171441</v>
      </c>
      <c r="LU30" s="27">
        <f>MAX(LU29,PortfolioFrontier[[#This Row],[P83 Growth]])</f>
        <v>1.1335123932499547</v>
      </c>
      <c r="LV30" s="27">
        <f>PortfolioFrontier[[#This Row],[P83 Growth]]/PortfolioFrontier[[#This Row],[P83 HWM]]-1</f>
        <v>-3.8171085367714186E-3</v>
      </c>
      <c r="LW30" s="28">
        <f>SUMPRODUCT(INDEX(PortfolioRef[[SPY]:[PE]],MATCH(LW$1,PortfolioRef[Reference '#]),0),AssetMonthlyReturns[[#This Row],[SPY]:[PE]])</f>
        <v>1.0221400289386959E-2</v>
      </c>
      <c r="LX30" s="27">
        <f>IF(ISNUMBER(LX29),LX29*(1+PortfolioFrontier[[#This Row],[P84 Return]]),1+PortfolioFrontier[[#This Row],[P84 Return]])</f>
        <v>1.1225671927472607</v>
      </c>
      <c r="LY30" s="27">
        <f>MAX(LY29,PortfolioFrontier[[#This Row],[P84 Growth]])</f>
        <v>1.1301892465493473</v>
      </c>
      <c r="LZ30" s="27">
        <f>PortfolioFrontier[[#This Row],[P84 Growth]]/PortfolioFrontier[[#This Row],[P84 HWM]]-1</f>
        <v>-6.7440508971023938E-3</v>
      </c>
      <c r="MA30" s="28">
        <f>SUMPRODUCT(INDEX(PortfolioRef[[SPY]:[PE]],MATCH(MA$1,PortfolioRef[Reference '#]),0),AssetMonthlyReturns[[#This Row],[SPY]:[PE]])</f>
        <v>1.4247189882553791E-2</v>
      </c>
      <c r="MB30" s="27">
        <f>IF(ISNUMBER(MB29),MB29*(1+PortfolioFrontier[[#This Row],[P85 Return]]),1+PortfolioFrontier[[#This Row],[P85 Return]])</f>
        <v>1.1446316303555728</v>
      </c>
      <c r="MC30" s="27">
        <f>MAX(MC29,PortfolioFrontier[[#This Row],[P85 Growth]])</f>
        <v>1.1446316303555728</v>
      </c>
      <c r="MD30" s="27">
        <f>PortfolioFrontier[[#This Row],[P85 Growth]]/PortfolioFrontier[[#This Row],[P85 HWM]]-1</f>
        <v>0</v>
      </c>
      <c r="ME30" s="28">
        <f>SUMPRODUCT(INDEX(PortfolioRef[[SPY]:[PE]],MATCH(ME$1,PortfolioRef[Reference '#]),0),AssetMonthlyReturns[[#This Row],[SPY]:[PE]])</f>
        <v>1.3178339638497487E-2</v>
      </c>
      <c r="MF30" s="27">
        <f>IF(ISNUMBER(MF29),MF29*(1+PortfolioFrontier[[#This Row],[P86 Return]]),1+PortfolioFrontier[[#This Row],[P86 Return]])</f>
        <v>1.1380658621807489</v>
      </c>
      <c r="MG30" s="27">
        <f>MAX(MG29,PortfolioFrontier[[#This Row],[P86 Growth]])</f>
        <v>1.1380658621807489</v>
      </c>
      <c r="MH30" s="27">
        <f>PortfolioFrontier[[#This Row],[P86 Growth]]/PortfolioFrontier[[#This Row],[P86 HWM]]-1</f>
        <v>0</v>
      </c>
      <c r="MI30" s="28">
        <f>SUMPRODUCT(INDEX(PortfolioRef[[SPY]:[PE]],MATCH(MI$1,PortfolioRef[Reference '#]),0),AssetMonthlyReturns[[#This Row],[SPY]:[PE]])</f>
        <v>1.2109489394441186E-2</v>
      </c>
      <c r="MJ30" s="27">
        <f>IF(ISNUMBER(MJ29),MJ29*(1+PortfolioFrontier[[#This Row],[P87 Return]]),1+PortfolioFrontier[[#This Row],[P87 Return]])</f>
        <v>1.1314355089088401</v>
      </c>
      <c r="MK30" s="27">
        <f>MAX(MK29,PortfolioFrontier[[#This Row],[P87 Growth]])</f>
        <v>1.1314355089088401</v>
      </c>
      <c r="ML30" s="27">
        <f>PortfolioFrontier[[#This Row],[P87 Growth]]/PortfolioFrontier[[#This Row],[P87 HWM]]-1</f>
        <v>0</v>
      </c>
      <c r="MM30" s="28">
        <f>SUMPRODUCT(INDEX(PortfolioRef[[SPY]:[PE]],MATCH(MM$1,PortfolioRef[Reference '#]),0),AssetMonthlyReturns[[#This Row],[SPY]:[PE]])</f>
        <v>1.1243500184766612E-2</v>
      </c>
      <c r="MN30" s="27">
        <f>IF(ISNUMBER(MN29),MN29*(1+PortfolioFrontier[[#This Row],[P88 Return]]),1+PortfolioFrontier[[#This Row],[P88 Return]])</f>
        <v>1.1320993949890716</v>
      </c>
      <c r="MO30" s="27">
        <f>MAX(MO29,PortfolioFrontier[[#This Row],[P88 Growth]])</f>
        <v>1.1380542053647611</v>
      </c>
      <c r="MP30" s="27">
        <f>PortfolioFrontier[[#This Row],[P88 Growth]]/PortfolioFrontier[[#This Row],[P88 HWM]]-1</f>
        <v>-5.2324488127354352E-3</v>
      </c>
      <c r="MQ30" s="28">
        <f>SUMPRODUCT(INDEX(PortfolioRef[[SPY]:[PE]],MATCH(MQ$1,PortfolioRef[Reference '#]),0),AssetMonthlyReturns[[#This Row],[SPY]:[PE]])</f>
        <v>1.0174649940710309E-2</v>
      </c>
      <c r="MR30" s="27">
        <f>IF(ISNUMBER(MR29),MR29*(1+PortfolioFrontier[[#This Row],[P89 Return]]),1+PortfolioFrontier[[#This Row],[P89 Return]])</f>
        <v>1.1255896525458611</v>
      </c>
      <c r="MS30" s="27">
        <f>MAX(MS29,PortfolioFrontier[[#This Row],[P89 Growth]])</f>
        <v>1.1348121804683284</v>
      </c>
      <c r="MT30" s="27">
        <f>PortfolioFrontier[[#This Row],[P89 Growth]]/PortfolioFrontier[[#This Row],[P89 HWM]]-1</f>
        <v>-8.1269201029030569E-3</v>
      </c>
      <c r="MU30" s="28">
        <f>SUMPRODUCT(INDEX(PortfolioRef[[SPY]:[PE]],MATCH(MU$1,PortfolioRef[Reference '#]),0),AssetMonthlyReturns[[#This Row],[SPY]:[PE]])</f>
        <v>9.1057996966540065E-3</v>
      </c>
      <c r="MV30" s="27">
        <f>IF(ISNUMBER(MV29),MV29*(1+PortfolioFrontier[[#This Row],[P90 Return]]),1+PortfolioFrontier[[#This Row],[P90 Return]])</f>
        <v>1.1190162925473721</v>
      </c>
      <c r="MW30" s="27">
        <f>MAX(MW29,PortfolioFrontier[[#This Row],[P90 Growth]])</f>
        <v>1.1315143260529454</v>
      </c>
      <c r="MX30" s="27">
        <f>PortfolioFrontier[[#This Row],[P90 Growth]]/PortfolioFrontier[[#This Row],[P90 HWM]]-1</f>
        <v>-1.1045404567850414E-2</v>
      </c>
      <c r="MY30" s="28">
        <f>SUMPRODUCT(INDEX(PortfolioRef[[SPY]:[PE]],MATCH(MY$1,PortfolioRef[Reference '#]),0),AssetMonthlyReturns[[#This Row],[SPY]:[PE]])</f>
        <v>1.3131589289820837E-2</v>
      </c>
      <c r="MZ30" s="27">
        <f>IF(ISNUMBER(MZ29),MZ29*(1+PortfolioFrontier[[#This Row],[P91 Return]]),1+PortfolioFrontier[[#This Row],[P91 Return]])</f>
        <v>1.1410248152528975</v>
      </c>
      <c r="NA30" s="27">
        <f>MAX(NA29,PortfolioFrontier[[#This Row],[P91 Growth]])</f>
        <v>1.1410248152528975</v>
      </c>
      <c r="NB30" s="27">
        <f>PortfolioFrontier[[#This Row],[P91 Growth]]/PortfolioFrontier[[#This Row],[P91 HWM]]-1</f>
        <v>0</v>
      </c>
      <c r="NC30" s="28">
        <f>SUMPRODUCT(INDEX(PortfolioRef[[SPY]:[PE]],MATCH(NC$1,PortfolioRef[Reference '#]),0),AssetMonthlyReturns[[#This Row],[SPY]:[PE]])</f>
        <v>1.2062739045764534E-2</v>
      </c>
      <c r="ND30" s="27">
        <f>IF(ISNUMBER(ND29),ND29*(1+PortfolioFrontier[[#This Row],[P92 Return]]),1+PortfolioFrontier[[#This Row],[P92 Return]])</f>
        <v>1.1345042158706244</v>
      </c>
      <c r="NE30" s="27">
        <f>MAX(NE29,PortfolioFrontier[[#This Row],[P92 Growth]])</f>
        <v>1.1354741565687236</v>
      </c>
      <c r="NF30" s="27">
        <f>PortfolioFrontier[[#This Row],[P92 Growth]]/PortfolioFrontier[[#This Row],[P92 HWM]]-1</f>
        <v>-8.5421644560390586E-4</v>
      </c>
      <c r="NG30" s="28">
        <f>SUMPRODUCT(INDEX(PortfolioRef[[SPY]:[PE]],MATCH(NG$1,PortfolioRef[Reference '#]),0),AssetMonthlyReturns[[#This Row],[SPY]:[PE]])</f>
        <v>1.0993888801708233E-2</v>
      </c>
      <c r="NH30" s="27">
        <f>IF(ISNUMBER(NH29),NH29*(1+PortfolioFrontier[[#This Row],[P93 Return]]),1+PortfolioFrontier[[#This Row],[P93 Return]])</f>
        <v>1.1279189297794701</v>
      </c>
      <c r="NI30" s="27">
        <f>MAX(NI29,PortfolioFrontier[[#This Row],[P93 Growth]])</f>
        <v>1.1321827635804655</v>
      </c>
      <c r="NJ30" s="27">
        <f>PortfolioFrontier[[#This Row],[P93 Growth]]/PortfolioFrontier[[#This Row],[P93 HWM]]-1</f>
        <v>-3.7660296006550853E-3</v>
      </c>
      <c r="NK30" s="28">
        <f>SUMPRODUCT(INDEX(PortfolioRef[[SPY]:[PE]],MATCH(NK$1,PortfolioRef[Reference '#]),0),AssetMonthlyReturns[[#This Row],[SPY]:[PE]])</f>
        <v>1.5019678394875061E-2</v>
      </c>
      <c r="NL30" s="27">
        <f>IF(ISNUMBER(NL29),NL29*(1+PortfolioFrontier[[#This Row],[P94 Return]]),1+PortfolioFrontier[[#This Row],[P94 Return]])</f>
        <v>1.149902337603161</v>
      </c>
      <c r="NM30" s="27">
        <f>MAX(NM29,PortfolioFrontier[[#This Row],[P94 Growth]])</f>
        <v>1.149902337603161</v>
      </c>
      <c r="NN30" s="27">
        <f>PortfolioFrontier[[#This Row],[P94 Growth]]/PortfolioFrontier[[#This Row],[P94 HWM]]-1</f>
        <v>0</v>
      </c>
      <c r="NO30" s="28">
        <f>SUMPRODUCT(INDEX(PortfolioRef[[SPY]:[PE]],MATCH(NO$1,PortfolioRef[Reference '#]),0),AssetMonthlyReturns[[#This Row],[SPY]:[PE]])</f>
        <v>1.3950828150818759E-2</v>
      </c>
      <c r="NP30" s="27">
        <f>IF(ISNUMBER(NP29),NP29*(1+PortfolioFrontier[[#This Row],[P95 Return]]),1+PortfolioFrontier[[#This Row],[P95 Return]])</f>
        <v>1.1433717535895351</v>
      </c>
      <c r="NQ30" s="27">
        <f>MAX(NQ29,PortfolioFrontier[[#This Row],[P95 Growth]])</f>
        <v>1.1433717535895351</v>
      </c>
      <c r="NR30" s="27">
        <f>PortfolioFrontier[[#This Row],[P95 Growth]]/PortfolioFrontier[[#This Row],[P95 HWM]]-1</f>
        <v>0</v>
      </c>
      <c r="NS30" s="28">
        <f>SUMPRODUCT(INDEX(PortfolioRef[[SPY]:[PE]],MATCH(NS$1,PortfolioRef[Reference '#]),0),AssetMonthlyReturns[[#This Row],[SPY]:[PE]])</f>
        <v>1.2881977906762458E-2</v>
      </c>
      <c r="NT30" s="27">
        <f>IF(ISNUMBER(NT29),NT29*(1+PortfolioFrontier[[#This Row],[P96 Return]]),1+PortfolioFrontier[[#This Row],[P96 Return]])</f>
        <v>1.136775408602434</v>
      </c>
      <c r="NU30" s="27">
        <f>MAX(NU29,PortfolioFrontier[[#This Row],[P96 Growth]])</f>
        <v>1.136775408602434</v>
      </c>
      <c r="NV30" s="27">
        <f>PortfolioFrontier[[#This Row],[P96 Growth]]/PortfolioFrontier[[#This Row],[P96 HWM]]-1</f>
        <v>0</v>
      </c>
      <c r="NW30" s="28">
        <f>SUMPRODUCT(INDEX(PortfolioRef[[SPY]:[PE]],MATCH(NW$1,PortfolioRef[Reference '#]),0),AssetMonthlyReturns[[#This Row],[SPY]:[PE]])</f>
        <v>9.0667223804577878E-3</v>
      </c>
      <c r="NX30" s="27">
        <f>IF(ISNUMBER(NX29),NX29*(1+PortfolioFrontier[[#This Row],[P97 Return]]),1+PortfolioFrontier[[#This Row],[P97 Return]])</f>
        <v>1.1038088065877638</v>
      </c>
      <c r="NY30" s="27">
        <f>MAX(NY29,PortfolioFrontier[[#This Row],[P97 Growth]])</f>
        <v>1.1107647566622896</v>
      </c>
      <c r="NZ30" s="27">
        <f>PortfolioFrontier[[#This Row],[P97 Growth]]/PortfolioFrontier[[#This Row],[P97 HWM]]-1</f>
        <v>-6.2623071472194258E-3</v>
      </c>
      <c r="OA30" s="28">
        <f>SUMPRODUCT(INDEX(PortfolioRef[[SPY]:[PE]],MATCH(OA$1,PortfolioRef[Reference '#]),0),AssetMonthlyReturns[[#This Row],[SPY]:[PE]])</f>
        <v>7.9511217877248352E-3</v>
      </c>
      <c r="OB30" s="27">
        <f>IF(ISNUMBER(OB29),OB29*(1+PortfolioFrontier[[#This Row],[P98 Return]]),1+PortfolioFrontier[[#This Row],[P98 Return]])</f>
        <v>1.1003432412019725</v>
      </c>
      <c r="OC30" s="27">
        <f>MAX(OC29,PortfolioFrontier[[#This Row],[P98 Growth]])</f>
        <v>1.112092793177976</v>
      </c>
      <c r="OD30" s="27">
        <f>PortfolioFrontier[[#This Row],[P98 Growth]]/PortfolioFrontier[[#This Row],[P98 HWM]]-1</f>
        <v>-1.056526222279297E-2</v>
      </c>
      <c r="OE30" s="28">
        <f>SUMPRODUCT(INDEX(PortfolioRef[[SPY]:[PE]],MATCH(OE$1,PortfolioRef[Reference '#]),0),AssetMonthlyReturns[[#This Row],[SPY]:[PE]])</f>
        <v>9.83921089277906E-3</v>
      </c>
      <c r="OF30" s="27">
        <f>IF(ISNUMBER(OF29),OF29*(1+PortfolioFrontier[[#This Row],[P99 Return]]),1+PortfolioFrontier[[#This Row],[P99 Return]])</f>
        <v>1.1091399429015423</v>
      </c>
      <c r="OG30" s="27">
        <f>MAX(OG29,PortfolioFrontier[[#This Row],[P99 Growth]])</f>
        <v>1.1127787447941944</v>
      </c>
      <c r="OH30" s="27">
        <f>PortfolioFrontier[[#This Row],[P99 Growth]]/PortfolioFrontier[[#This Row],[P99 HWM]]-1</f>
        <v>-3.2700138366904552E-3</v>
      </c>
      <c r="OI30" s="28">
        <f>SUMPRODUCT(INDEX(PortfolioRef[[SPY]:[PE]],MATCH(OI$1,PortfolioRef[Reference '#]),0),AssetMonthlyReturns[[#This Row],[SPY]:[PE]])</f>
        <v>8.7703606487227574E-3</v>
      </c>
      <c r="OJ30" s="27">
        <f>IF(ISNUMBER(OJ29),OJ29*(1+PortfolioFrontier[[#This Row],[P100 Return]]),1+PortfolioFrontier[[#This Row],[P100 Return]])</f>
        <v>1.1025813995698226</v>
      </c>
      <c r="OK30" s="27">
        <f>MAX(OK29,PortfolioFrontier[[#This Row],[P100 Growth]])</f>
        <v>1.1094762556359219</v>
      </c>
      <c r="OL30" s="27">
        <f>PortfolioFrontier[[#This Row],[P100 Growth]]/PortfolioFrontier[[#This Row],[P100 HWM]]-1</f>
        <v>-6.2145143089586963E-3</v>
      </c>
      <c r="OM30" s="28">
        <f>SUMPRODUCT(INDEX(PortfolioRef[[SPY]:[PE]],MATCH(OM$1,PortfolioRef[Reference '#]),0),AssetMonthlyReturns[[#This Row],[SPY]:[PE]])</f>
        <v>6.8355211949918844E-3</v>
      </c>
      <c r="ON30" s="27">
        <f>IF(ISNUMBER(ON29),ON29*(1+PortfolioFrontier[[#This Row],[P101 Return]]),1+PortfolioFrontier[[#This Row],[P101 Return]])</f>
        <v>1.0968225955087356</v>
      </c>
      <c r="OO30" s="27">
        <f>MAX(OO29,PortfolioFrontier[[#This Row],[P101 Growth]])</f>
        <v>1.1133618200783288</v>
      </c>
      <c r="OP30" s="27">
        <f>PortfolioFrontier[[#This Row],[P101 Growth]]/PortfolioFrontier[[#This Row],[P101 HWM]]-1</f>
        <v>-1.4855210832027343E-2</v>
      </c>
      <c r="OQ30" s="28">
        <f>SUMPRODUCT(INDEX(PortfolioRef[[SPY]:[PE]],MATCH(OQ$1,PortfolioRef[Reference '#]),0),AssetMonthlyReturns[[#This Row],[SPY]:[PE]])</f>
        <v>8.7236103000461092E-3</v>
      </c>
      <c r="OR30" s="27">
        <f>IF(ISNUMBER(OR29),OR29*(1+PortfolioFrontier[[#This Row],[P102 Return]]),1+PortfolioFrontier[[#This Row],[P102 Return]])</f>
        <v>1.1056525409055349</v>
      </c>
      <c r="OS30" s="27">
        <f>MAX(OS29,PortfolioFrontier[[#This Row],[P102 Growth]])</f>
        <v>1.114099894787576</v>
      </c>
      <c r="OT30" s="27">
        <f>PortfolioFrontier[[#This Row],[P102 Growth]]/PortfolioFrontier[[#This Row],[P102 HWM]]-1</f>
        <v>-7.5822230318509654E-3</v>
      </c>
      <c r="OU30" s="28">
        <f>SUMPRODUCT(INDEX(PortfolioRef[[SPY]:[PE]],MATCH(OU$1,PortfolioRef[Reference '#]),0),AssetMonthlyReturns[[#This Row],[SPY]:[PE]])</f>
        <v>7.6547600559898074E-3</v>
      </c>
      <c r="OV30" s="27">
        <f>IF(ISNUMBER(OV29),OV29*(1+PortfolioFrontier[[#This Row],[P103 Return]]),1+PortfolioFrontier[[#This Row],[P103 Return]])</f>
        <v>1.0991382811736254</v>
      </c>
      <c r="OW30" s="27">
        <f>MAX(OW29,PortfolioFrontier[[#This Row],[P103 Growth]])</f>
        <v>1.1108221429044047</v>
      </c>
      <c r="OX30" s="27">
        <f>PortfolioFrontier[[#This Row],[P103 Growth]]/PortfolioFrontier[[#This Row],[P103 HWM]]-1</f>
        <v>-1.0518211043425985E-2</v>
      </c>
      <c r="OY30" s="28">
        <f>SUMPRODUCT(INDEX(PortfolioRef[[SPY]:[PE]],MATCH(OY$1,PortfolioRef[Reference '#]),0),AssetMonthlyReturns[[#This Row],[SPY]:[PE]])</f>
        <v>1.0611699405100336E-2</v>
      </c>
      <c r="OZ30" s="27">
        <f>IF(ISNUMBER(OZ29),OZ29*(1+PortfolioFrontier[[#This Row],[P104 Return]]),1+PortfolioFrontier[[#This Row],[P104 Return]])</f>
        <v>1.1144385591224182</v>
      </c>
      <c r="PA30" s="27">
        <f>MAX(PA29,PortfolioFrontier[[#This Row],[P104 Growth]])</f>
        <v>1.1147596869783387</v>
      </c>
      <c r="PB30" s="27">
        <f>PortfolioFrontier[[#This Row],[P104 Growth]]/PortfolioFrontier[[#This Row],[P104 HWM]]-1</f>
        <v>-2.8806913245216226E-4</v>
      </c>
      <c r="PC30" s="28">
        <f>SUMPRODUCT(INDEX(PortfolioRef[[SPY]:[PE]],MATCH(PC$1,PortfolioRef[Reference '#]),0),AssetMonthlyReturns[[#This Row],[SPY]:[PE]])</f>
        <v>9.5428491610440314E-3</v>
      </c>
      <c r="PD30" s="27">
        <f>IF(ISNUMBER(PD29),PD29*(1+PortfolioFrontier[[#This Row],[P105 Return]]),1+PortfolioFrontier[[#This Row],[P105 Return]])</f>
        <v>1.1079118287341576</v>
      </c>
      <c r="PE30" s="27">
        <f>MAX(PE29,PortfolioFrontier[[#This Row],[P105 Growth]])</f>
        <v>1.1114882053883932</v>
      </c>
      <c r="PF30" s="27">
        <f>PortfolioFrontier[[#This Row],[P105 Growth]]/PortfolioFrontier[[#This Row],[P105 HWM]]-1</f>
        <v>-3.2176469681798325E-3</v>
      </c>
      <c r="PG30" s="28">
        <f>SUMPRODUCT(INDEX(PortfolioRef[[SPY]:[PE]],MATCH(PG$1,PortfolioRef[Reference '#]),0),AssetMonthlyReturns[[#This Row],[SPY]:[PE]])</f>
        <v>8.4739989169877305E-3</v>
      </c>
      <c r="PH30" s="27">
        <f>IF(ISNUMBER(PH29),PH29*(1+PortfolioFrontier[[#This Row],[P106 Return]]),1+PortfolioFrontier[[#This Row],[P106 Return]])</f>
        <v>1.1013240181425974</v>
      </c>
      <c r="PI30" s="27">
        <f>MAX(PI29,PortfolioFrontier[[#This Row],[P106 Growth]])</f>
        <v>1.1081625057204503</v>
      </c>
      <c r="PJ30" s="27">
        <f>PortfolioFrontier[[#This Row],[P106 Growth]]/PortfolioFrontier[[#This Row],[P106 HWM]]-1</f>
        <v>-6.1710151196705532E-3</v>
      </c>
      <c r="PK30" s="28">
        <f>SUMPRODUCT(INDEX(PortfolioRef[[SPY]:[PE]],MATCH(PK$1,PortfolioRef[Reference '#]),0),AssetMonthlyReturns[[#This Row],[SPY]:[PE]])</f>
        <v>7.6080097073131575E-3</v>
      </c>
      <c r="PL30" s="27">
        <f>IF(ISNUMBER(PL29),PL29*(1+PortfolioFrontier[[#This Row],[P107 Return]]),1+PortfolioFrontier[[#This Row],[P107 Return]])</f>
        <v>1.1021099159123229</v>
      </c>
      <c r="PM30" s="27">
        <f>MAX(PM29,PortfolioFrontier[[#This Row],[P107 Growth]])</f>
        <v>1.115361983180845</v>
      </c>
      <c r="PN30" s="27">
        <f>PortfolioFrontier[[#This Row],[P107 Growth]]/PortfolioFrontier[[#This Row],[P107 HWM]]-1</f>
        <v>-1.18814048428737E-2</v>
      </c>
      <c r="PO30" s="28">
        <f>SUMPRODUCT(INDEX(PortfolioRef[[SPY]:[PE]],MATCH(PO$1,PortfolioRef[Reference '#]),0),AssetMonthlyReturns[[#This Row],[SPY]:[PE]])</f>
        <v>6.5391594632568557E-3</v>
      </c>
      <c r="PP30" s="27">
        <f>IF(ISNUMBER(PP29),PP29*(1+PortfolioFrontier[[#This Row],[P108 Return]]),1+PortfolioFrontier[[#This Row],[P108 Return]])</f>
        <v>1.0956400281690479</v>
      </c>
      <c r="PQ30" s="27">
        <f>MAX(PQ29,PortfolioFrontier[[#This Row],[P108 Growth]])</f>
        <v>1.1121091386149522</v>
      </c>
      <c r="PR30" s="27">
        <f>PortfolioFrontier[[#This Row],[P108 Growth]]/PortfolioFrontier[[#This Row],[P108 HWM]]-1</f>
        <v>-1.4808897682843658E-2</v>
      </c>
      <c r="PS30" s="28">
        <f>SUMPRODUCT(INDEX(PortfolioRef[[SPY]:[PE]],MATCH(PS$1,PortfolioRef[Reference '#]),0),AssetMonthlyReturns[[#This Row],[SPY]:[PE]])</f>
        <v>9.4960988123673831E-3</v>
      </c>
      <c r="PT30" s="27">
        <f>IF(ISNUMBER(PT29),PT29*(1+PortfolioFrontier[[#This Row],[P109 Return]]),1+PortfolioFrontier[[#This Row],[P109 Return]])</f>
        <v>1.1109293664275661</v>
      </c>
      <c r="PU30" s="27">
        <f>MAX(PU29,PortfolioFrontier[[#This Row],[P109 Growth]])</f>
        <v>1.1160738973525732</v>
      </c>
      <c r="PV30" s="27">
        <f>PortfolioFrontier[[#This Row],[P109 Growth]]/PortfolioFrontier[[#This Row],[P109 HWM]]-1</f>
        <v>-4.6094895124869639E-3</v>
      </c>
      <c r="PW30" s="28">
        <f>SUMPRODUCT(INDEX(PortfolioRef[[SPY]:[PE]],MATCH(PW$1,PortfolioRef[Reference '#]),0),AssetMonthlyReturns[[#This Row],[SPY]:[PE]])</f>
        <v>8.4272485683110788E-3</v>
      </c>
      <c r="PX30" s="27">
        <f>IF(ISNUMBER(PX29),PX29*(1+PortfolioFrontier[[#This Row],[P110 Return]]),1+PortfolioFrontier[[#This Row],[P110 Return]])</f>
        <v>1.1044469762788716</v>
      </c>
      <c r="PY30" s="27">
        <f>MAX(PY29,PortfolioFrontier[[#This Row],[P110 Growth]])</f>
        <v>1.1128272482723029</v>
      </c>
      <c r="PZ30" s="27">
        <f>PortfolioFrontier[[#This Row],[P110 Growth]]/PortfolioFrontier[[#This Row],[P110 HWM]]-1</f>
        <v>-7.5306135848506317E-3</v>
      </c>
      <c r="QA30" s="28">
        <f>SUMPRODUCT(INDEX(PortfolioRef[[SPY]:[PE]],MATCH(QA$1,PortfolioRef[Reference '#]),0),AssetMonthlyReturns[[#This Row],[SPY]:[PE]])</f>
        <v>7.3583983242547779E-3</v>
      </c>
      <c r="QB30" s="27">
        <f>IF(ISNUMBER(QB29),QB29*(1+PortfolioFrontier[[#This Row],[P111 Return]]),1+PortfolioFrontier[[#This Row],[P111 Return]])</f>
        <v>1.0979033977918224</v>
      </c>
      <c r="QC30" s="27">
        <f>MAX(QC29,PortfolioFrontier[[#This Row],[P111 Growth]])</f>
        <v>1.1095261691525546</v>
      </c>
      <c r="QD30" s="27">
        <f>PortfolioFrontier[[#This Row],[P111 Growth]]/PortfolioFrontier[[#This Row],[P111 HWM]]-1</f>
        <v>-1.047543688817143E-2</v>
      </c>
      <c r="QE30" s="28">
        <f>SUMPRODUCT(INDEX(PortfolioRef[[SPY]:[PE]],MATCH(QE$1,PortfolioRef[Reference '#]),0),AssetMonthlyReturns[[#This Row],[SPY]:[PE]])</f>
        <v>1.1384187917421608E-2</v>
      </c>
      <c r="QF30" s="27">
        <f>IF(ISNUMBER(QF29),QF29*(1+PortfolioFrontier[[#This Row],[P112 Return]]),1+PortfolioFrontier[[#This Row],[P112 Return]])</f>
        <v>1.1197039018572039</v>
      </c>
      <c r="QG30" s="27">
        <f>MAX(QG29,PortfolioFrontier[[#This Row],[P112 Growth]])</f>
        <v>1.1197039018572039</v>
      </c>
      <c r="QH30" s="27">
        <f>PortfolioFrontier[[#This Row],[P112 Growth]]/PortfolioFrontier[[#This Row],[P112 HWM]]-1</f>
        <v>0</v>
      </c>
      <c r="QI30" s="28">
        <f>SUMPRODUCT(INDEX(PortfolioRef[[SPY]:[PE]],MATCH(QI$1,PortfolioRef[Reference '#]),0),AssetMonthlyReturns[[#This Row],[SPY]:[PE]])</f>
        <v>1.0315337673365305E-2</v>
      </c>
      <c r="QJ30" s="27">
        <f>IF(ISNUMBER(QJ29),QJ29*(1+PortfolioFrontier[[#This Row],[P113 Return]]),1+PortfolioFrontier[[#This Row],[P113 Return]])</f>
        <v>1.1132098580677443</v>
      </c>
      <c r="QK30" s="27">
        <f>MAX(QK29,PortfolioFrontier[[#This Row],[P113 Growth]])</f>
        <v>1.1134671592191805</v>
      </c>
      <c r="QL30" s="27">
        <f>PortfolioFrontier[[#This Row],[P113 Growth]]/PortfolioFrontier[[#This Row],[P113 HWM]]-1</f>
        <v>-2.3108104204583313E-4</v>
      </c>
      <c r="QM30" s="28">
        <f>SUMPRODUCT(INDEX(PortfolioRef[[SPY]:[PE]],MATCH(QM$1,PortfolioRef[Reference '#]),0),AssetMonthlyReturns[[#This Row],[SPY]:[PE]])</f>
        <v>9.2464874293090027E-3</v>
      </c>
      <c r="QN30" s="27">
        <f>IF(ISNUMBER(QN29),QN29*(1+PortfolioFrontier[[#This Row],[P114 Return]]),1+PortfolioFrontier[[#This Row],[P114 Return]])</f>
        <v>1.1066535827452495</v>
      </c>
      <c r="QO30" s="27">
        <f>MAX(QO29,PortfolioFrontier[[#This Row],[P114 Growth]])</f>
        <v>1.1101723689910592</v>
      </c>
      <c r="QP30" s="27">
        <f>PortfolioFrontier[[#This Row],[P114 Growth]]/PortfolioFrontier[[#This Row],[P114 HWM]]-1</f>
        <v>-3.1695855023013975E-3</v>
      </c>
      <c r="QQ30" s="28">
        <f>SUMPRODUCT(INDEX(PortfolioRef[[SPY]:[PE]],MATCH(QQ$1,PortfolioRef[Reference '#]),0),AssetMonthlyReturns[[#This Row],[SPY]:[PE]])</f>
        <v>8.3804982196344305E-3</v>
      </c>
      <c r="QR30" s="27">
        <f>IF(ISNUMBER(QR29),QR29*(1+PortfolioFrontier[[#This Row],[P115 Return]]),1+PortfolioFrontier[[#This Row],[P115 Return]])</f>
        <v>1.1073648102566913</v>
      </c>
      <c r="QS30" s="27">
        <f>MAX(QS29,PortfolioFrontier[[#This Row],[P115 Growth]])</f>
        <v>1.1173289956889407</v>
      </c>
      <c r="QT30" s="27">
        <f>PortfolioFrontier[[#This Row],[P115 Growth]]/PortfolioFrontier[[#This Row],[P115 HWM]]-1</f>
        <v>-8.9178616778897712E-3</v>
      </c>
      <c r="QU30" s="28">
        <f>SUMPRODUCT(INDEX(PortfolioRef[[SPY]:[PE]],MATCH(QU$1,PortfolioRef[Reference '#]),0),AssetMonthlyReturns[[#This Row],[SPY]:[PE]])</f>
        <v>7.3116479755781288E-3</v>
      </c>
      <c r="QV30" s="27">
        <f>IF(ISNUMBER(QV29),QV29*(1+PortfolioFrontier[[#This Row],[P116 Return]]),1+PortfolioFrontier[[#This Row],[P116 Return]])</f>
        <v>1.1009268458409232</v>
      </c>
      <c r="QW30" s="27">
        <f>MAX(QW29,PortfolioFrontier[[#This Row],[P116 Growth]])</f>
        <v>1.1141073475867118</v>
      </c>
      <c r="QX30" s="27">
        <f>PortfolioFrontier[[#This Row],[P116 Growth]]/PortfolioFrontier[[#This Row],[P116 HWM]]-1</f>
        <v>-1.1830549160580572E-2</v>
      </c>
      <c r="QY30" s="28">
        <f>SUMPRODUCT(INDEX(PortfolioRef[[SPY]:[PE]],MATCH(QY$1,PortfolioRef[Reference '#]),0),AssetMonthlyReturns[[#This Row],[SPY]:[PE]])</f>
        <v>6.2427977315218262E-3</v>
      </c>
      <c r="QZ30" s="27">
        <f>IF(ISNUMBER(QZ29),QZ29*(1+PortfolioFrontier[[#This Row],[P117 Return]]),1+PortfolioFrontier[[#This Row],[P117 Return]])</f>
        <v>1.0944275905876684</v>
      </c>
      <c r="RA30" s="27">
        <f>MAX(RA29,PortfolioFrontier[[#This Row],[P117 Growth]])</f>
        <v>1.1108310606542744</v>
      </c>
      <c r="RB30" s="27">
        <f>PortfolioFrontier[[#This Row],[P117 Growth]]/PortfolioFrontier[[#This Row],[P117 HWM]]-1</f>
        <v>-1.4766844975458659E-2</v>
      </c>
      <c r="RC30" s="28">
        <f>SUMPRODUCT(INDEX(PortfolioRef[[SPY]:[PE]],MATCH(RC$1,PortfolioRef[Reference '#]),0),AssetMonthlyReturns[[#This Row],[SPY]:[PE]])</f>
        <v>1.0268587324688655E-2</v>
      </c>
      <c r="RD30" s="27">
        <f>IF(ISNUMBER(RD29),RD29*(1+PortfolioFrontier[[#This Row],[P118 Return]]),1+PortfolioFrontier[[#This Row],[P118 Return]])</f>
        <v>1.1161729667161358</v>
      </c>
      <c r="RE30" s="27">
        <f>MAX(RE29,PortfolioFrontier[[#This Row],[P118 Growth]])</f>
        <v>1.118014625073851</v>
      </c>
      <c r="RF30" s="27">
        <f>PortfolioFrontier[[#This Row],[P118 Growth]]/PortfolioFrontier[[#This Row],[P118 HWM]]-1</f>
        <v>-1.6472578411874661E-3</v>
      </c>
      <c r="RG30" s="28">
        <f>SUMPRODUCT(INDEX(PortfolioRef[[SPY]:[PE]],MATCH(RG$1,PortfolioRef[Reference '#]),0),AssetMonthlyReturns[[#This Row],[SPY]:[PE]])</f>
        <v>9.1997370806323527E-3</v>
      </c>
      <c r="RH30" s="27">
        <f>IF(ISNUMBER(RH29),RH29*(1+PortfolioFrontier[[#This Row],[P119 Return]]),1+PortfolioFrontier[[#This Row],[P119 Return]])</f>
        <v>1.109723316797516</v>
      </c>
      <c r="RI30" s="27">
        <f>MAX(RI29,PortfolioFrontier[[#This Row],[P119 Growth]])</f>
        <v>1.1147993042867748</v>
      </c>
      <c r="RJ30" s="27">
        <f>PortfolioFrontier[[#This Row],[P119 Growth]]/PortfolioFrontier[[#This Row],[P119 HWM]]-1</f>
        <v>-4.5532747192610357E-3</v>
      </c>
      <c r="RK30" s="28">
        <f>SUMPRODUCT(INDEX(PortfolioRef[[SPY]:[PE]],MATCH(RK$1,PortfolioRef[Reference '#]),0),AssetMonthlyReturns[[#This Row],[SPY]:[PE]])</f>
        <v>8.1308868365760501E-3</v>
      </c>
      <c r="RL30" s="27">
        <f>IF(ISNUMBER(RL29),RL29*(1+PortfolioFrontier[[#This Row],[P120 Return]]),1+PortfolioFrontier[[#This Row],[P120 Return]])</f>
        <v>1.1032113313352994</v>
      </c>
      <c r="RM30" s="27">
        <f>MAX(RM29,PortfolioFrontier[[#This Row],[P120 Growth]])</f>
        <v>1.1115292301273156</v>
      </c>
      <c r="RN30" s="27">
        <f>PortfolioFrontier[[#This Row],[P120 Growth]]/PortfolioFrontier[[#This Row],[P120 HWM]]-1</f>
        <v>-7.4832928964572165E-3</v>
      </c>
      <c r="RO30" s="28">
        <f>SUMPRODUCT(INDEX(PortfolioRef[[SPY]:[PE]],MATCH(RO$1,PortfolioRef[Reference '#]),0),AssetMonthlyReturns[[#This Row],[SPY]:[PE]])</f>
        <v>1.2156676429742882E-2</v>
      </c>
      <c r="RP30" s="27">
        <f>IF(ISNUMBER(RP29),RP29*(1+PortfolioFrontier[[#This Row],[P121 Return]]),1+PortfolioFrontier[[#This Row],[P121 Return]])</f>
        <v>1.1249352171594538</v>
      </c>
      <c r="RQ30" s="27">
        <f>MAX(RQ29,PortfolioFrontier[[#This Row],[P121 Growth]])</f>
        <v>1.1249352171594538</v>
      </c>
      <c r="RR30" s="27">
        <f>PortfolioFrontier[[#This Row],[P121 Growth]]/PortfolioFrontier[[#This Row],[P121 HWM]]-1</f>
        <v>0</v>
      </c>
      <c r="RS30" s="28">
        <f>SUMPRODUCT(INDEX(PortfolioRef[[SPY]:[PE]],MATCH(RS$1,PortfolioRef[Reference '#]),0),AssetMonthlyReturns[[#This Row],[SPY]:[PE]])</f>
        <v>1.1087826185686578E-2</v>
      </c>
      <c r="RT30" s="27">
        <f>IF(ISNUMBER(RT29),RT29*(1+PortfolioFrontier[[#This Row],[P122 Return]]),1+PortfolioFrontier[[#This Row],[P122 Return]])</f>
        <v>1.1184747353387887</v>
      </c>
      <c r="RU30" s="27">
        <f>MAX(RU29,PortfolioFrontier[[#This Row],[P122 Growth]])</f>
        <v>1.1184747353387887</v>
      </c>
      <c r="RV30" s="27">
        <f>PortfolioFrontier[[#This Row],[P122 Growth]]/PortfolioFrontier[[#This Row],[P122 HWM]]-1</f>
        <v>0</v>
      </c>
      <c r="RW30" s="28">
        <f>SUMPRODUCT(INDEX(PortfolioRef[[SPY]:[PE]],MATCH(RW$1,PortfolioRef[Reference '#]),0),AssetMonthlyReturns[[#This Row],[SPY]:[PE]])</f>
        <v>1.0018975941630277E-2</v>
      </c>
      <c r="RX30" s="27">
        <f>IF(ISNUMBER(RX29),RX29*(1+PortfolioFrontier[[#This Row],[P123 Return]]),1+PortfolioFrontier[[#This Row],[P123 Return]])</f>
        <v>1.1119508680987218</v>
      </c>
      <c r="RY30" s="27">
        <f>MAX(RY29,PortfolioFrontier[[#This Row],[P123 Growth]])</f>
        <v>1.1121492867844014</v>
      </c>
      <c r="RZ30" s="27">
        <f>PortfolioFrontier[[#This Row],[P123 Growth]]/PortfolioFrontier[[#This Row],[P123 HWM]]-1</f>
        <v>-1.7841011817154584E-4</v>
      </c>
      <c r="SA30" s="28">
        <f>SUMPRODUCT(INDEX(PortfolioRef[[SPY]:[PE]],MATCH(SA$1,PortfolioRef[Reference '#]),0),AssetMonthlyReturns[[#This Row],[SPY]:[PE]])</f>
        <v>9.1529867319557028E-3</v>
      </c>
      <c r="SB30" s="27">
        <f>IF(ISNUMBER(SB29),SB29*(1+PortfolioFrontier[[#This Row],[P124 Return]]),1+PortfolioFrontier[[#This Row],[P124 Return]])</f>
        <v>1.1125865298545656</v>
      </c>
      <c r="SC30" s="27">
        <f>MAX(SC29,PortfolioFrontier[[#This Row],[P124 Growth]])</f>
        <v>1.1192626821867915</v>
      </c>
      <c r="SD30" s="27">
        <f>PortfolioFrontier[[#This Row],[P124 Growth]]/PortfolioFrontier[[#This Row],[P124 HWM]]-1</f>
        <v>-5.9647770255165655E-3</v>
      </c>
      <c r="SE30" s="28">
        <f>SUMPRODUCT(INDEX(PortfolioRef[[SPY]:[PE]],MATCH(SE$1,PortfolioRef[Reference '#]),0),AssetMonthlyReturns[[#This Row],[SPY]:[PE]])</f>
        <v>8.0841364878994001E-3</v>
      </c>
      <c r="SF30" s="27">
        <f>IF(ISNUMBER(SF29),SF29*(1+PortfolioFrontier[[#This Row],[P125 Return]]),1+PortfolioFrontier[[#This Row],[P125 Return]])</f>
        <v>1.1061813563766481</v>
      </c>
      <c r="SG30" s="27">
        <f>MAX(SG29,PortfolioFrontier[[#This Row],[P125 Growth]])</f>
        <v>1.1160724553162842</v>
      </c>
      <c r="SH30" s="27">
        <f>PortfolioFrontier[[#This Row],[P125 Growth]]/PortfolioFrontier[[#This Row],[P125 HWM]]-1</f>
        <v>-8.8624164968152952E-3</v>
      </c>
      <c r="SI30" s="28">
        <f>SUMPRODUCT(INDEX(PortfolioRef[[SPY]:[PE]],MATCH(SI$1,PortfolioRef[Reference '#]),0),AssetMonthlyReturns[[#This Row],[SPY]:[PE]])</f>
        <v>7.0152862438430993E-3</v>
      </c>
      <c r="SJ30" s="27">
        <f>IF(ISNUMBER(SJ29),SJ29*(1+PortfolioFrontier[[#This Row],[P126 Return]]),1+PortfolioFrontier[[#This Row],[P126 Return]])</f>
        <v>1.0997137490210445</v>
      </c>
      <c r="SK30" s="27">
        <f>MAX(SK29,PortfolioFrontier[[#This Row],[P126 Growth]])</f>
        <v>1.1128272672970145</v>
      </c>
      <c r="SL30" s="27">
        <f>PortfolioFrontier[[#This Row],[P126 Growth]]/PortfolioFrontier[[#This Row],[P126 HWM]]-1</f>
        <v>-1.1783965635405402E-2</v>
      </c>
      <c r="SM30" s="28">
        <f>SUMPRODUCT(INDEX(PortfolioRef[[SPY]:[PE]],MATCH(SM$1,PortfolioRef[Reference '#]),0),AssetMonthlyReturns[[#This Row],[SPY]:[PE]])</f>
        <v>1.1041075837009928E-2</v>
      </c>
      <c r="SN30" s="27">
        <f>IF(ISNUMBER(SN29),SN29*(1+PortfolioFrontier[[#This Row],[P127 Return]]),1+PortfolioFrontier[[#This Row],[P127 Return]])</f>
        <v>1.1213825901749994</v>
      </c>
      <c r="SO30" s="27">
        <f>MAX(SO29,PortfolioFrontier[[#This Row],[P127 Growth]])</f>
        <v>1.1213825901749994</v>
      </c>
      <c r="SP30" s="27">
        <f>PortfolioFrontier[[#This Row],[P127 Growth]]/PortfolioFrontier[[#This Row],[P127 HWM]]-1</f>
        <v>0</v>
      </c>
      <c r="SQ30" s="28">
        <f>SUMPRODUCT(INDEX(PortfolioRef[[SPY]:[PE]],MATCH(SQ$1,PortfolioRef[Reference '#]),0),AssetMonthlyReturns[[#This Row],[SPY]:[PE]])</f>
        <v>9.9722255929536249E-3</v>
      </c>
      <c r="SR30" s="27">
        <f>IF(ISNUMBER(SR29),SR29*(1+PortfolioFrontier[[#This Row],[P128 Return]]),1+PortfolioFrontier[[#This Row],[P128 Return]])</f>
        <v>1.1149665528244699</v>
      </c>
      <c r="SS30" s="27">
        <f>MAX(SS29,PortfolioFrontier[[#This Row],[P128 Growth]])</f>
        <v>1.1167381354223636</v>
      </c>
      <c r="ST30" s="27">
        <f>PortfolioFrontier[[#This Row],[P128 Growth]]/PortfolioFrontier[[#This Row],[P128 HWM]]-1</f>
        <v>-1.5863903467607798E-3</v>
      </c>
      <c r="SU30" s="28">
        <f>SUMPRODUCT(INDEX(PortfolioRef[[SPY]:[PE]],MATCH(SU$1,PortfolioRef[Reference '#]),0),AssetMonthlyReturns[[#This Row],[SPY]:[PE]])</f>
        <v>8.9033753488973241E-3</v>
      </c>
      <c r="SV30" s="27">
        <f>IF(ISNUMBER(SV29),SV29*(1+PortfolioFrontier[[#This Row],[P129 Return]]),1+PortfolioFrontier[[#This Row],[P129 Return]])</f>
        <v>1.1084870302096905</v>
      </c>
      <c r="SW30" s="27">
        <f>MAX(SW29,PortfolioFrontier[[#This Row],[P129 Growth]])</f>
        <v>1.1134992918602598</v>
      </c>
      <c r="SX30" s="27">
        <f>PortfolioFrontier[[#This Row],[P129 Growth]]/PortfolioFrontier[[#This Row],[P129 HWM]]-1</f>
        <v>-4.5013604294220633E-3</v>
      </c>
      <c r="SY30" s="28">
        <f>SUMPRODUCT(INDEX(PortfolioRef[[SPY]:[PE]],MATCH(SY$1,PortfolioRef[Reference '#]),0),AssetMonthlyReturns[[#This Row],[SPY]:[PE]])</f>
        <v>1.2929164942064152E-2</v>
      </c>
      <c r="SZ30" s="27">
        <f>IF(ISNUMBER(SZ29),SZ29*(1+PortfolioFrontier[[#This Row],[P130 Return]]),1+PortfolioFrontier[[#This Row],[P130 Return]])</f>
        <v>1.1301317506532058</v>
      </c>
      <c r="TA30" s="27">
        <f>MAX(TA29,PortfolioFrontier[[#This Row],[P130 Growth]])</f>
        <v>1.1301317506532058</v>
      </c>
      <c r="TB30" s="27">
        <f>PortfolioFrontier[[#This Row],[P130 Growth]]/PortfolioFrontier[[#This Row],[P130 HWM]]-1</f>
        <v>0</v>
      </c>
      <c r="TC30" s="28">
        <f>SUMPRODUCT(INDEX(PortfolioRef[[SPY]:[PE]],MATCH(TC$1,PortfolioRef[Reference '#]),0),AssetMonthlyReturns[[#This Row],[SPY]:[PE]])</f>
        <v>1.186031469800785E-2</v>
      </c>
      <c r="TD30" s="27">
        <f>IF(ISNUMBER(TD29),TD29*(1+PortfolioFrontier[[#This Row],[P131 Return]]),1+PortfolioFrontier[[#This Row],[P131 Return]])</f>
        <v>1.1237057077529276</v>
      </c>
      <c r="TE30" s="27">
        <f>MAX(TE29,PortfolioFrontier[[#This Row],[P131 Growth]])</f>
        <v>1.1237057077529276</v>
      </c>
      <c r="TF30" s="27">
        <f>PortfolioFrontier[[#This Row],[P131 Growth]]/PortfolioFrontier[[#This Row],[P131 HWM]]-1</f>
        <v>0</v>
      </c>
      <c r="TG30" s="28">
        <f>SUMPRODUCT(INDEX(PortfolioRef[[SPY]:[PE]],MATCH(TG$1,PortfolioRef[Reference '#]),0),AssetMonthlyReturns[[#This Row],[SPY]:[PE]])</f>
        <v>1.0791464453951549E-2</v>
      </c>
      <c r="TH30" s="27">
        <f>IF(ISNUMBER(TH29),TH29*(1+PortfolioFrontier[[#This Row],[P132 Return]]),1+PortfolioFrontier[[#This Row],[P132 Return]])</f>
        <v>1.1172151231476053</v>
      </c>
      <c r="TI30" s="27">
        <f>MAX(TI29,PortfolioFrontier[[#This Row],[P132 Growth]])</f>
        <v>1.1172151231476053</v>
      </c>
      <c r="TJ30" s="27">
        <f>PortfolioFrontier[[#This Row],[P132 Growth]]/PortfolioFrontier[[#This Row],[P132 HWM]]-1</f>
        <v>0</v>
      </c>
      <c r="TK30" s="28">
        <f>SUMPRODUCT(INDEX(PortfolioRef[[SPY]:[PE]],MATCH(TK$1,PortfolioRef[Reference '#]),0),AssetMonthlyReturns[[#This Row],[SPY]:[PE]])</f>
        <v>9.9254752442769767E-3</v>
      </c>
      <c r="TL30" s="27">
        <f>IF(ISNUMBER(TL29),TL29*(1+PortfolioFrontier[[#This Row],[P133 Return]]),1+PortfolioFrontier[[#This Row],[P133 Return]])</f>
        <v>1.1177743254831758</v>
      </c>
      <c r="TM30" s="27">
        <f>MAX(TM29,PortfolioFrontier[[#This Row],[P133 Growth]])</f>
        <v>1.1211628696411426</v>
      </c>
      <c r="TN30" s="27">
        <f>PortfolioFrontier[[#This Row],[P133 Growth]]/PortfolioFrontier[[#This Row],[P133 HWM]]-1</f>
        <v>-3.0223478227132672E-3</v>
      </c>
      <c r="TO30" s="28">
        <f>SUMPRODUCT(INDEX(PortfolioRef[[SPY]:[PE]],MATCH(TO$1,PortfolioRef[Reference '#]),0),AssetMonthlyReturns[[#This Row],[SPY]:[PE]])</f>
        <v>8.8566250002206741E-3</v>
      </c>
      <c r="TP30" s="27">
        <f>IF(ISNUMBER(TP29),TP29*(1+PortfolioFrontier[[#This Row],[P134 Return]]),1+PortfolioFrontier[[#This Row],[P134 Return]])</f>
        <v>1.1114028122212585</v>
      </c>
      <c r="TQ30" s="27">
        <f>MAX(TQ29,PortfolioFrontier[[#This Row],[P134 Growth]])</f>
        <v>1.1180042866589928</v>
      </c>
      <c r="TR30" s="27">
        <f>PortfolioFrontier[[#This Row],[P134 Growth]]/PortfolioFrontier[[#This Row],[P134 HWM]]-1</f>
        <v>-5.9046951040429008E-3</v>
      </c>
      <c r="TS30" s="28">
        <f>SUMPRODUCT(INDEX(PortfolioRef[[SPY]:[PE]],MATCH(TS$1,PortfolioRef[Reference '#]),0),AssetMonthlyReturns[[#This Row],[SPY]:[PE]])</f>
        <v>7.7877747561643715E-3</v>
      </c>
      <c r="TT30" s="27">
        <f>IF(ISNUMBER(TT29),TT29*(1+PortfolioFrontier[[#This Row],[P135 Return]]),1+PortfolioFrontier[[#This Row],[P135 Return]])</f>
        <v>1.1049677195670506</v>
      </c>
      <c r="TU30" s="27">
        <f>MAX(TU29,PortfolioFrontier[[#This Row],[P135 Growth]])</f>
        <v>1.1147904224723095</v>
      </c>
      <c r="TV30" s="27">
        <f>PortfolioFrontier[[#This Row],[P135 Growth]]/PortfolioFrontier[[#This Row],[P135 HWM]]-1</f>
        <v>-8.8112551985105592E-3</v>
      </c>
      <c r="TW30" s="28">
        <f>SUMPRODUCT(INDEX(PortfolioRef[[SPY]:[PE]],MATCH(TW$1,PortfolioRef[Reference '#]),0),AssetMonthlyReturns[[#This Row],[SPY]:[PE]])</f>
        <v>1.1813564349331201E-2</v>
      </c>
      <c r="TX30" s="27">
        <f>IF(ISNUMBER(TX29),TX29*(1+PortfolioFrontier[[#This Row],[P136 Return]]),1+PortfolioFrontier[[#This Row],[P136 Return]])</f>
        <v>1.126557484787055</v>
      </c>
      <c r="TY30" s="27">
        <f>MAX(TY29,PortfolioFrontier[[#This Row],[P136 Growth]])</f>
        <v>1.126557484787055</v>
      </c>
      <c r="TZ30" s="27">
        <f>PortfolioFrontier[[#This Row],[P136 Growth]]/PortfolioFrontier[[#This Row],[P136 HWM]]-1</f>
        <v>0</v>
      </c>
      <c r="UA30" s="28">
        <f>SUMPRODUCT(INDEX(PortfolioRef[[SPY]:[PE]],MATCH(UA$1,PortfolioRef[Reference '#]),0),AssetMonthlyReturns[[#This Row],[SPY]:[PE]])</f>
        <v>1.0744714105274899E-2</v>
      </c>
      <c r="UB30" s="27">
        <f>IF(ISNUMBER(UB29),UB29*(1+PortfolioFrontier[[#This Row],[P137 Return]]),1+PortfolioFrontier[[#This Row],[P137 Return]])</f>
        <v>1.1201759339009936</v>
      </c>
      <c r="UC30" s="27">
        <f>MAX(UC29,PortfolioFrontier[[#This Row],[P137 Growth]])</f>
        <v>1.1201759339009936</v>
      </c>
      <c r="UD30" s="27">
        <f>PortfolioFrontier[[#This Row],[P137 Growth]]/PortfolioFrontier[[#This Row],[P137 HWM]]-1</f>
        <v>0</v>
      </c>
      <c r="UE30" s="28">
        <f>SUMPRODUCT(INDEX(PortfolioRef[[SPY]:[PE]],MATCH(UE$1,PortfolioRef[Reference '#]),0),AssetMonthlyReturns[[#This Row],[SPY]:[PE]])</f>
        <v>9.6758638612185963E-3</v>
      </c>
      <c r="UF30" s="27">
        <f>IF(ISNUMBER(UF29),UF29*(1+PortfolioFrontier[[#This Row],[P138 Return]]),1+PortfolioFrontier[[#This Row],[P138 Return]])</f>
        <v>1.1137297456717381</v>
      </c>
      <c r="UG30" s="27">
        <f>MAX(UG29,PortfolioFrontier[[#This Row],[P138 Growth]])</f>
        <v>1.1154361791023262</v>
      </c>
      <c r="UH30" s="27">
        <f>PortfolioFrontier[[#This Row],[P138 Growth]]/PortfolioFrontier[[#This Row],[P138 HWM]]-1</f>
        <v>-1.529835110746891E-3</v>
      </c>
      <c r="UI30" s="28">
        <f>SUMPRODUCT(INDEX(PortfolioRef[[SPY]:[PE]],MATCH(UI$1,PortfolioRef[Reference '#]),0),AssetMonthlyReturns[[#This Row],[SPY]:[PE]])</f>
        <v>1.3701653454385426E-2</v>
      </c>
      <c r="UJ30" s="27">
        <f>IF(ISNUMBER(UJ29),UJ29*(1+PortfolioFrontier[[#This Row],[P139 Return]]),1+PortfolioFrontier[[#This Row],[P139 Return]])</f>
        <v>1.1352927476577281</v>
      </c>
      <c r="UK30" s="27">
        <f>MAX(UK29,PortfolioFrontier[[#This Row],[P139 Growth]])</f>
        <v>1.1352927476577281</v>
      </c>
      <c r="UL30" s="27">
        <f>PortfolioFrontier[[#This Row],[P139 Growth]]/PortfolioFrontier[[#This Row],[P139 HWM]]-1</f>
        <v>0</v>
      </c>
      <c r="UM30" s="28">
        <f>SUMPRODUCT(INDEX(PortfolioRef[[SPY]:[PE]],MATCH(UM$1,PortfolioRef[Reference '#]),0),AssetMonthlyReturns[[#This Row],[SPY]:[PE]])</f>
        <v>1.2632803210329124E-2</v>
      </c>
      <c r="UN30" s="27">
        <f>IF(ISNUMBER(UN29),UN29*(1+PortfolioFrontier[[#This Row],[P140 Return]]),1+PortfolioFrontier[[#This Row],[P140 Return]])</f>
        <v>1.1289020220766446</v>
      </c>
      <c r="UO30" s="27">
        <f>MAX(UO29,PortfolioFrontier[[#This Row],[P140 Growth]])</f>
        <v>1.1289020220766446</v>
      </c>
      <c r="UP30" s="27">
        <f>PortfolioFrontier[[#This Row],[P140 Growth]]/PortfolioFrontier[[#This Row],[P140 HWM]]-1</f>
        <v>0</v>
      </c>
      <c r="UQ30" s="28">
        <f>SUMPRODUCT(INDEX(PortfolioRef[[SPY]:[PE]],MATCH(UQ$1,PortfolioRef[Reference '#]),0),AssetMonthlyReturns[[#This Row],[SPY]:[PE]])</f>
        <v>1.1563952966272823E-2</v>
      </c>
      <c r="UR30" s="27">
        <f>IF(ISNUMBER(UR29),UR29*(1+PortfolioFrontier[[#This Row],[P141 Return]]),1+PortfolioFrontier[[#This Row],[P141 Return]])</f>
        <v>1.1224455962646778</v>
      </c>
      <c r="US30" s="27">
        <f>MAX(US29,PortfolioFrontier[[#This Row],[P141 Growth]])</f>
        <v>1.1224455962646778</v>
      </c>
      <c r="UT30" s="27">
        <f>PortfolioFrontier[[#This Row],[P141 Growth]]/PortfolioFrontier[[#This Row],[P141 HWM]]-1</f>
        <v>0</v>
      </c>
    </row>
    <row r="31" spans="2:566" x14ac:dyDescent="0.2">
      <c r="B31" s="41">
        <f>AssetMonthlyReturns[[#This Row],[Date]]</f>
        <v>43313</v>
      </c>
      <c r="C31" s="28">
        <f>SUMPRODUCT(INDEX(PortfolioRef[[SPY]:[PE]],MATCH(C$1,PortfolioRef[Reference '#]),0),AssetMonthlyReturns[[#This Row],[SPY]:[PE]])</f>
        <v>2.3117180115922297E-2</v>
      </c>
      <c r="D31" s="29">
        <f>IF(ISNUMBER(D30),D30*(1+PortfolioFrontier[[#This Row],[P1 Return]]),1+PortfolioFrontier[[#This Row],[P1 Return]])</f>
        <v>1.2527991836375723</v>
      </c>
      <c r="E31" s="29">
        <f>MAX(E30,PortfolioFrontier[[#This Row],[P1 Growth]])</f>
        <v>1.2527991836375723</v>
      </c>
      <c r="F31" s="29">
        <f>PortfolioFrontier[[#This Row],[P1 Growth]]/PortfolioFrontier[[#This Row],[P1 HWM]]-1</f>
        <v>0</v>
      </c>
      <c r="G31" s="28">
        <f>SUMPRODUCT(INDEX(PortfolioRef[[SPY]:[PE]],MATCH(G$1,PortfolioRef[Reference '#]),0),AssetMonthlyReturns[[#This Row],[SPY]:[PE]])</f>
        <v>2.1794496043319168E-2</v>
      </c>
      <c r="H31" s="27">
        <f>IF(ISNUMBER(H30),H30*(1+PortfolioFrontier[[#This Row],[P2 Return]]),1+PortfolioFrontier[[#This Row],[P2 Return]])</f>
        <v>1.2298788051556078</v>
      </c>
      <c r="I31" s="27">
        <f>MAX(I30,PortfolioFrontier[[#This Row],[P2 Growth]])</f>
        <v>1.2298788051556078</v>
      </c>
      <c r="J31" s="27">
        <f>PortfolioFrontier[[#This Row],[P2 Growth]]/PortfolioFrontier[[#This Row],[P2 HWM]]-1</f>
        <v>0</v>
      </c>
      <c r="K31" s="28">
        <f>SUMPRODUCT(INDEX(PortfolioRef[[SPY]:[PE]],MATCH(K$1,PortfolioRef[Reference '#]),0),AssetMonthlyReturns[[#This Row],[SPY]:[PE]])</f>
        <v>2.0452140242161479E-2</v>
      </c>
      <c r="L31" s="27">
        <f>IF(ISNUMBER(L30),L30*(1+PortfolioFrontier[[#This Row],[P3 Return]]),1+PortfolioFrontier[[#This Row],[P3 Return]])</f>
        <v>1.2244505218158503</v>
      </c>
      <c r="M31" s="27">
        <f>MAX(M30,PortfolioFrontier[[#This Row],[P3 Growth]])</f>
        <v>1.2244505218158503</v>
      </c>
      <c r="N31" s="27">
        <f>PortfolioFrontier[[#This Row],[P3 Growth]]/PortfolioFrontier[[#This Row],[P3 HWM]]-1</f>
        <v>0</v>
      </c>
      <c r="O31" s="28">
        <f>SUMPRODUCT(INDEX(PortfolioRef[[SPY]:[PE]],MATCH(O$1,PortfolioRef[Reference '#]),0),AssetMonthlyReturns[[#This Row],[SPY]:[PE]])</f>
        <v>2.2808702084889554E-2</v>
      </c>
      <c r="P31" s="27">
        <f>IF(ISNUMBER(P30),P30*(1+PortfolioFrontier[[#This Row],[P4 Return]]),1+PortfolioFrontier[[#This Row],[P4 Return]])</f>
        <v>1.2369551220975652</v>
      </c>
      <c r="Q31" s="27">
        <f>MAX(Q30,PortfolioFrontier[[#This Row],[P4 Growth]])</f>
        <v>1.2369551220975652</v>
      </c>
      <c r="R31" s="27">
        <f>PortfolioFrontier[[#This Row],[P4 Growth]]/PortfolioFrontier[[#This Row],[P4 HWM]]-1</f>
        <v>0</v>
      </c>
      <c r="S31" s="28">
        <f>SUMPRODUCT(INDEX(PortfolioRef[[SPY]:[PE]],MATCH(S$1,PortfolioRef[Reference '#]),0),AssetMonthlyReturns[[#This Row],[SPY]:[PE]])</f>
        <v>2.3673474312377041E-2</v>
      </c>
      <c r="T31" s="27">
        <f>IF(ISNUMBER(T30),T30*(1+PortfolioFrontier[[#This Row],[P5 Return]]),1+PortfolioFrontier[[#This Row],[P5 Return]])</f>
        <v>1.230722468694271</v>
      </c>
      <c r="U31" s="27">
        <f>MAX(U30,PortfolioFrontier[[#This Row],[P5 Growth]])</f>
        <v>1.230722468694271</v>
      </c>
      <c r="V31" s="27">
        <f>PortfolioFrontier[[#This Row],[P5 Growth]]/PortfolioFrontier[[#This Row],[P5 HWM]]-1</f>
        <v>0</v>
      </c>
      <c r="W31" s="28">
        <f>SUMPRODUCT(INDEX(PortfolioRef[[SPY]:[PE]],MATCH(W$1,PortfolioRef[Reference '#]),0),AssetMonthlyReturns[[#This Row],[SPY]:[PE]])</f>
        <v>2.0471811970716038E-2</v>
      </c>
      <c r="X31" s="27">
        <f>IF(ISNUMBER(X30),X30*(1+PortfolioFrontier[[#This Row],[P6 Return]]),1+PortfolioFrontier[[#This Row],[P6 Return]])</f>
        <v>1.207317050319489</v>
      </c>
      <c r="Y31" s="27">
        <f>MAX(Y30,PortfolioFrontier[[#This Row],[P6 Growth]])</f>
        <v>1.207317050319489</v>
      </c>
      <c r="Z31" s="27">
        <f>PortfolioFrontier[[#This Row],[P6 Growth]]/PortfolioFrontier[[#This Row],[P6 HWM]]-1</f>
        <v>0</v>
      </c>
      <c r="AA31" s="28">
        <f>SUMPRODUCT(INDEX(PortfolioRef[[SPY]:[PE]],MATCH(AA$1,PortfolioRef[Reference '#]),0),AssetMonthlyReturns[[#This Row],[SPY]:[PE]])</f>
        <v>1.912945616955835E-2</v>
      </c>
      <c r="AB31" s="27">
        <f>IF(ISNUMBER(AB30),AB30*(1+PortfolioFrontier[[#This Row],[P7 Return]]),1+PortfolioFrontier[[#This Row],[P7 Return]])</f>
        <v>1.2019777210920481</v>
      </c>
      <c r="AC31" s="27">
        <f>MAX(AC30,PortfolioFrontier[[#This Row],[P7 Growth]])</f>
        <v>1.2019777210920481</v>
      </c>
      <c r="AD31" s="27">
        <f>PortfolioFrontier[[#This Row],[P7 Growth]]/PortfolioFrontier[[#This Row],[P7 HWM]]-1</f>
        <v>0</v>
      </c>
      <c r="AE31" s="28">
        <f>SUMPRODUCT(INDEX(PortfolioRef[[SPY]:[PE]],MATCH(AE$1,PortfolioRef[Reference '#]),0),AssetMonthlyReturns[[#This Row],[SPY]:[PE]])</f>
        <v>2.1486018012286424E-2</v>
      </c>
      <c r="AF31" s="27">
        <f>IF(ISNUMBER(AF30),AF30*(1+PortfolioFrontier[[#This Row],[P8 Return]]),1+PortfolioFrontier[[#This Row],[P8 Return]])</f>
        <v>1.2142827704518531</v>
      </c>
      <c r="AG31" s="27">
        <f>MAX(AG30,PortfolioFrontier[[#This Row],[P8 Growth]])</f>
        <v>1.2142827704518531</v>
      </c>
      <c r="AH31" s="27">
        <f>PortfolioFrontier[[#This Row],[P8 Growth]]/PortfolioFrontier[[#This Row],[P8 HWM]]-1</f>
        <v>0</v>
      </c>
      <c r="AI31" s="28">
        <f>SUMPRODUCT(INDEX(PortfolioRef[[SPY]:[PE]],MATCH(AI$1,PortfolioRef[Reference '#]),0),AssetMonthlyReturns[[#This Row],[SPY]:[PE]])</f>
        <v>2.2350790239773911E-2</v>
      </c>
      <c r="AJ31" s="27">
        <f>IF(ISNUMBER(AJ30),AJ30*(1+PortfolioFrontier[[#This Row],[P9 Return]]),1+PortfolioFrontier[[#This Row],[P9 Return]])</f>
        <v>1.2081574545244378</v>
      </c>
      <c r="AK31" s="27">
        <f>MAX(AK30,PortfolioFrontier[[#This Row],[P9 Growth]])</f>
        <v>1.2081574545244378</v>
      </c>
      <c r="AL31" s="27">
        <f>PortfolioFrontier[[#This Row],[P9 Growth]]/PortfolioFrontier[[#This Row],[P9 HWM]]-1</f>
        <v>0</v>
      </c>
      <c r="AM31" s="28">
        <f>SUMPRODUCT(INDEX(PortfolioRef[[SPY]:[PE]],MATCH(AM$1,PortfolioRef[Reference '#]),0),AssetMonthlyReturns[[#This Row],[SPY]:[PE]])</f>
        <v>1.7787100368400664E-2</v>
      </c>
      <c r="AN31" s="27">
        <f>IF(ISNUMBER(AN30),AN30*(1+PortfolioFrontier[[#This Row],[P10 Return]]),1+PortfolioFrontier[[#This Row],[P10 Return]])</f>
        <v>1.196588467741694</v>
      </c>
      <c r="AO31" s="27">
        <f>MAX(AO30,PortfolioFrontier[[#This Row],[P10 Growth]])</f>
        <v>1.196588467741694</v>
      </c>
      <c r="AP31" s="27">
        <f>PortfolioFrontier[[#This Row],[P10 Growth]]/PortfolioFrontier[[#This Row],[P10 HWM]]-1</f>
        <v>0</v>
      </c>
      <c r="AQ31" s="28">
        <f>SUMPRODUCT(INDEX(PortfolioRef[[SPY]:[PE]],MATCH(AQ$1,PortfolioRef[Reference '#]),0),AssetMonthlyReturns[[#This Row],[SPY]:[PE]])</f>
        <v>2.0143662211128739E-2</v>
      </c>
      <c r="AR31" s="27">
        <f>IF(ISNUMBER(AR30),AR30*(1+PortfolioFrontier[[#This Row],[P11 Return]]),1+PortfolioFrontier[[#This Row],[P11 Return]])</f>
        <v>1.208908483674711</v>
      </c>
      <c r="AS31" s="27">
        <f>MAX(AS30,PortfolioFrontier[[#This Row],[P11 Growth]])</f>
        <v>1.208908483674711</v>
      </c>
      <c r="AT31" s="27">
        <f>PortfolioFrontier[[#This Row],[P11 Growth]]/PortfolioFrontier[[#This Row],[P11 HWM]]-1</f>
        <v>0</v>
      </c>
      <c r="AU31" s="28">
        <f>SUMPRODUCT(INDEX(PortfolioRef[[SPY]:[PE]],MATCH(AU$1,PortfolioRef[Reference '#]),0),AssetMonthlyReturns[[#This Row],[SPY]:[PE]])</f>
        <v>2.1008434438616226E-2</v>
      </c>
      <c r="AV31" s="27">
        <f>IF(ISNUMBER(AV30),AV30*(1+PortfolioFrontier[[#This Row],[P12 Return]]),1+PortfolioFrontier[[#This Row],[P12 Return]])</f>
        <v>1.2028375811784136</v>
      </c>
      <c r="AW31" s="27">
        <f>MAX(AW30,PortfolioFrontier[[#This Row],[P12 Growth]])</f>
        <v>1.2028375811784136</v>
      </c>
      <c r="AX31" s="27">
        <f>PortfolioFrontier[[#This Row],[P12 Growth]]/PortfolioFrontier[[#This Row],[P12 HWM]]-1</f>
        <v>0</v>
      </c>
      <c r="AY31" s="28">
        <f>SUMPRODUCT(INDEX(PortfolioRef[[SPY]:[PE]],MATCH(AY$1,PortfolioRef[Reference '#]),0),AssetMonthlyReturns[[#This Row],[SPY]:[PE]])</f>
        <v>2.2500224053856811E-2</v>
      </c>
      <c r="AZ31" s="27">
        <f>IF(ISNUMBER(AZ30),AZ30*(1+PortfolioFrontier[[#This Row],[P13 Return]]),1+PortfolioFrontier[[#This Row],[P13 Return]])</f>
        <v>1.2212236920710353</v>
      </c>
      <c r="BA31" s="27">
        <f>MAX(BA30,PortfolioFrontier[[#This Row],[P13 Growth]])</f>
        <v>1.2212236920710353</v>
      </c>
      <c r="BB31" s="27">
        <f>PortfolioFrontier[[#This Row],[P13 Growth]]/PortfolioFrontier[[#This Row],[P13 HWM]]-1</f>
        <v>0</v>
      </c>
      <c r="BC31" s="28">
        <f>SUMPRODUCT(INDEX(PortfolioRef[[SPY]:[PE]],MATCH(BC$1,PortfolioRef[Reference '#]),0),AssetMonthlyReturns[[#This Row],[SPY]:[PE]])</f>
        <v>2.3364996281344298E-2</v>
      </c>
      <c r="BD31" s="27">
        <f>IF(ISNUMBER(BD30),BD30*(1+PortfolioFrontier[[#This Row],[P14 Return]]),1+PortfolioFrontier[[#This Row],[P14 Return]])</f>
        <v>1.2151316397014729</v>
      </c>
      <c r="BE31" s="27">
        <f>MAX(BE30,PortfolioFrontier[[#This Row],[P14 Growth]])</f>
        <v>1.2151316397014729</v>
      </c>
      <c r="BF31" s="27">
        <f>PortfolioFrontier[[#This Row],[P14 Growth]]/PortfolioFrontier[[#This Row],[P14 HWM]]-1</f>
        <v>0</v>
      </c>
      <c r="BG31" s="28">
        <f>SUMPRODUCT(INDEX(PortfolioRef[[SPY]:[PE]],MATCH(BG$1,PortfolioRef[Reference '#]),0),AssetMonthlyReturns[[#This Row],[SPY]:[PE]])</f>
        <v>2.4229768508831781E-2</v>
      </c>
      <c r="BH31" s="27">
        <f>IF(ISNUMBER(BH30),BH30*(1+PortfolioFrontier[[#This Row],[P15 Return]]),1+PortfolioFrontier[[#This Row],[P15 Return]])</f>
        <v>1.208960110427493</v>
      </c>
      <c r="BI31" s="27">
        <f>MAX(BI30,PortfolioFrontier[[#This Row],[P15 Growth]])</f>
        <v>1.208960110427493</v>
      </c>
      <c r="BJ31" s="27">
        <f>PortfolioFrontier[[#This Row],[P15 Growth]]/PortfolioFrontier[[#This Row],[P15 HWM]]-1</f>
        <v>0</v>
      </c>
      <c r="BK31" s="28">
        <f>SUMPRODUCT(INDEX(PortfolioRef[[SPY]:[PE]],MATCH(BK$1,PortfolioRef[Reference '#]),0),AssetMonthlyReturns[[#This Row],[SPY]:[PE]])</f>
        <v>1.9149127898112905E-2</v>
      </c>
      <c r="BL31" s="27">
        <f>IF(ISNUMBER(BL30),BL30*(1+PortfolioFrontier[[#This Row],[P16 Return]]),1+PortfolioFrontier[[#This Row],[P16 Return]])</f>
        <v>1.1851093657015759</v>
      </c>
      <c r="BM31" s="27">
        <f>MAX(BM30,PortfolioFrontier[[#This Row],[P16 Growth]])</f>
        <v>1.1851093657015759</v>
      </c>
      <c r="BN31" s="27">
        <f>PortfolioFrontier[[#This Row],[P16 Growth]]/PortfolioFrontier[[#This Row],[P16 HWM]]-1</f>
        <v>0</v>
      </c>
      <c r="BO31" s="28">
        <f>SUMPRODUCT(INDEX(PortfolioRef[[SPY]:[PE]],MATCH(BO$1,PortfolioRef[Reference '#]),0),AssetMonthlyReturns[[#This Row],[SPY]:[PE]])</f>
        <v>1.780677209695522E-2</v>
      </c>
      <c r="BP31" s="27">
        <f>IF(ISNUMBER(BP30),BP30*(1+PortfolioFrontier[[#This Row],[P17 Return]]),1+PortfolioFrontier[[#This Row],[P17 Return]])</f>
        <v>1.1798578078345985</v>
      </c>
      <c r="BQ31" s="27">
        <f>MAX(BQ30,PortfolioFrontier[[#This Row],[P17 Growth]])</f>
        <v>1.1798578078345985</v>
      </c>
      <c r="BR31" s="27">
        <f>PortfolioFrontier[[#This Row],[P17 Growth]]/PortfolioFrontier[[#This Row],[P17 HWM]]-1</f>
        <v>0</v>
      </c>
      <c r="BS31" s="28">
        <f>SUMPRODUCT(INDEX(PortfolioRef[[SPY]:[PE]],MATCH(BS$1,PortfolioRef[Reference '#]),0),AssetMonthlyReturns[[#This Row],[SPY]:[PE]])</f>
        <v>2.0163333939683292E-2</v>
      </c>
      <c r="BT31" s="27">
        <f>IF(ISNUMBER(BT30),BT30*(1+PortfolioFrontier[[#This Row],[P18 Return]]),1+PortfolioFrontier[[#This Row],[P18 Return]])</f>
        <v>1.1919658639020045</v>
      </c>
      <c r="BU31" s="27">
        <f>MAX(BU30,PortfolioFrontier[[#This Row],[P18 Growth]])</f>
        <v>1.1919658639020045</v>
      </c>
      <c r="BV31" s="27">
        <f>PortfolioFrontier[[#This Row],[P18 Growth]]/PortfolioFrontier[[#This Row],[P18 HWM]]-1</f>
        <v>0</v>
      </c>
      <c r="BW31" s="28">
        <f>SUMPRODUCT(INDEX(PortfolioRef[[SPY]:[PE]],MATCH(BW$1,PortfolioRef[Reference '#]),0),AssetMonthlyReturns[[#This Row],[SPY]:[PE]])</f>
        <v>2.1028106167170778E-2</v>
      </c>
      <c r="BX31" s="27">
        <f>IF(ISNUMBER(BX30),BX30*(1+PortfolioFrontier[[#This Row],[P19 Return]]),1+PortfolioFrontier[[#This Row],[P19 Return]])</f>
        <v>1.1859463364551437</v>
      </c>
      <c r="BY31" s="27">
        <f>MAX(BY30,PortfolioFrontier[[#This Row],[P19 Growth]])</f>
        <v>1.1859463364551437</v>
      </c>
      <c r="BZ31" s="27">
        <f>PortfolioFrontier[[#This Row],[P19 Growth]]/PortfolioFrontier[[#This Row],[P19 HWM]]-1</f>
        <v>0</v>
      </c>
      <c r="CA31" s="28">
        <f>SUMPRODUCT(INDEX(PortfolioRef[[SPY]:[PE]],MATCH(CA$1,PortfolioRef[Reference '#]),0),AssetMonthlyReturns[[#This Row],[SPY]:[PE]])</f>
        <v>1.6464416295797535E-2</v>
      </c>
      <c r="CB31" s="27">
        <f>IF(ISNUMBER(CB30),CB30*(1+PortfolioFrontier[[#This Row],[P20 Return]]),1+PortfolioFrontier[[#This Row],[P20 Return]])</f>
        <v>1.1745572118249088</v>
      </c>
      <c r="CC31" s="27">
        <f>MAX(CC30,PortfolioFrontier[[#This Row],[P20 Growth]])</f>
        <v>1.1745572118249088</v>
      </c>
      <c r="CD31" s="27">
        <f>PortfolioFrontier[[#This Row],[P20 Growth]]/PortfolioFrontier[[#This Row],[P20 HWM]]-1</f>
        <v>0</v>
      </c>
      <c r="CE31" s="28">
        <f>SUMPRODUCT(INDEX(PortfolioRef[[SPY]:[PE]],MATCH(CE$1,PortfolioRef[Reference '#]),0),AssetMonthlyReturns[[#This Row],[SPY]:[PE]])</f>
        <v>1.8820978138525606E-2</v>
      </c>
      <c r="CF31" s="27">
        <f>IF(ISNUMBER(CF30),CF30*(1+PortfolioFrontier[[#This Row],[P21 Return]]),1+PortfolioFrontier[[#This Row],[P21 Return]])</f>
        <v>1.1866798900197959</v>
      </c>
      <c r="CG31" s="27">
        <f>MAX(CG30,PortfolioFrontier[[#This Row],[P21 Growth]])</f>
        <v>1.1866798900197959</v>
      </c>
      <c r="CH31" s="27">
        <f>PortfolioFrontier[[#This Row],[P21 Growth]]/PortfolioFrontier[[#This Row],[P21 HWM]]-1</f>
        <v>0</v>
      </c>
      <c r="CI31" s="28">
        <f>SUMPRODUCT(INDEX(PortfolioRef[[SPY]:[PE]],MATCH(CI$1,PortfolioRef[Reference '#]),0),AssetMonthlyReturns[[#This Row],[SPY]:[PE]])</f>
        <v>1.9685750366013093E-2</v>
      </c>
      <c r="CJ31" s="27">
        <f>IF(ISNUMBER(CJ30),CJ30*(1+PortfolioFrontier[[#This Row],[P22 Return]]),1+PortfolioFrontier[[#This Row],[P22 Return]])</f>
        <v>1.1807138443972445</v>
      </c>
      <c r="CK31" s="27">
        <f>MAX(CK30,PortfolioFrontier[[#This Row],[P22 Growth]])</f>
        <v>1.1807138443972445</v>
      </c>
      <c r="CL31" s="27">
        <f>PortfolioFrontier[[#This Row],[P22 Growth]]/PortfolioFrontier[[#This Row],[P22 HWM]]-1</f>
        <v>0</v>
      </c>
      <c r="CM31" s="28">
        <f>SUMPRODUCT(INDEX(PortfolioRef[[SPY]:[PE]],MATCH(CM$1,PortfolioRef[Reference '#]),0),AssetMonthlyReturns[[#This Row],[SPY]:[PE]])</f>
        <v>2.1177539981253681E-2</v>
      </c>
      <c r="CN31" s="27">
        <f>IF(ISNUMBER(CN30),CN30*(1+PortfolioFrontier[[#This Row],[P23 Return]]),1+PortfolioFrontier[[#This Row],[P23 Return]])</f>
        <v>1.1987982173464886</v>
      </c>
      <c r="CO31" s="27">
        <f>MAX(CO30,PortfolioFrontier[[#This Row],[P23 Growth]])</f>
        <v>1.1987982173464886</v>
      </c>
      <c r="CP31" s="27">
        <f>PortfolioFrontier[[#This Row],[P23 Growth]]/PortfolioFrontier[[#This Row],[P23 HWM]]-1</f>
        <v>0</v>
      </c>
      <c r="CQ31" s="28">
        <f>SUMPRODUCT(INDEX(PortfolioRef[[SPY]:[PE]],MATCH(CQ$1,PortfolioRef[Reference '#]),0),AssetMonthlyReturns[[#This Row],[SPY]:[PE]])</f>
        <v>2.2042312208741168E-2</v>
      </c>
      <c r="CR31" s="27">
        <f>IF(ISNUMBER(CR30),CR30*(1+PortfolioFrontier[[#This Row],[P24 Return]]),1+PortfolioFrontier[[#This Row],[P24 Return]])</f>
        <v>1.1928111947407509</v>
      </c>
      <c r="CS31" s="27">
        <f>MAX(CS30,PortfolioFrontier[[#This Row],[P24 Growth]])</f>
        <v>1.1928111947407509</v>
      </c>
      <c r="CT31" s="27">
        <f>PortfolioFrontier[[#This Row],[P24 Growth]]/PortfolioFrontier[[#This Row],[P24 HWM]]-1</f>
        <v>0</v>
      </c>
      <c r="CU31" s="28">
        <f>SUMPRODUCT(INDEX(PortfolioRef[[SPY]:[PE]],MATCH(CU$1,PortfolioRef[Reference '#]),0),AssetMonthlyReturns[[#This Row],[SPY]:[PE]])</f>
        <v>2.2907084436228652E-2</v>
      </c>
      <c r="CV31" s="27">
        <f>IF(ISNUMBER(CV30),CV30*(1+PortfolioFrontier[[#This Row],[P25 Return]]),1+PortfolioFrontier[[#This Row],[P25 Return]])</f>
        <v>1.186746221986748</v>
      </c>
      <c r="CW31" s="27">
        <f>MAX(CW30,PortfolioFrontier[[#This Row],[P25 Growth]])</f>
        <v>1.186746221986748</v>
      </c>
      <c r="CX31" s="27">
        <f>PortfolioFrontier[[#This Row],[P25 Growth]]/PortfolioFrontier[[#This Row],[P25 HWM]]-1</f>
        <v>0</v>
      </c>
      <c r="CY31" s="28">
        <f>SUMPRODUCT(INDEX(PortfolioRef[[SPY]:[PE]],MATCH(CY$1,PortfolioRef[Reference '#]),0),AssetMonthlyReturns[[#This Row],[SPY]:[PE]])</f>
        <v>1.7478622337367921E-2</v>
      </c>
      <c r="CZ31" s="27">
        <f>IF(ISNUMBER(CZ30),CZ30*(1+PortfolioFrontier[[#This Row],[P26 Return]]),1+PortfolioFrontier[[#This Row],[P26 Return]])</f>
        <v>1.1813447318412627</v>
      </c>
      <c r="DA31" s="27">
        <f>MAX(DA30,PortfolioFrontier[[#This Row],[P26 Growth]])</f>
        <v>1.1813447318412627</v>
      </c>
      <c r="DB31" s="27">
        <f>PortfolioFrontier[[#This Row],[P26 Growth]]/PortfolioFrontier[[#This Row],[P26 HWM]]-1</f>
        <v>0</v>
      </c>
      <c r="DC31" s="28">
        <f>SUMPRODUCT(INDEX(PortfolioRef[[SPY]:[PE]],MATCH(DC$1,PortfolioRef[Reference '#]),0),AssetMonthlyReturns[[#This Row],[SPY]:[PE]])</f>
        <v>1.8343394564855408E-2</v>
      </c>
      <c r="DD31" s="27">
        <f>IF(ISNUMBER(DD30),DD30*(1+PortfolioFrontier[[#This Row],[P27 Return]]),1+PortfolioFrontier[[#This Row],[P27 Return]])</f>
        <v>1.1754320853060471</v>
      </c>
      <c r="DE31" s="27">
        <f>MAX(DE30,PortfolioFrontier[[#This Row],[P27 Growth]])</f>
        <v>1.1754320853060471</v>
      </c>
      <c r="DF31" s="27">
        <f>PortfolioFrontier[[#This Row],[P27 Growth]]/PortfolioFrontier[[#This Row],[P27 HWM]]-1</f>
        <v>0</v>
      </c>
      <c r="DG31" s="28">
        <f>SUMPRODUCT(INDEX(PortfolioRef[[SPY]:[PE]],MATCH(DG$1,PortfolioRef[Reference '#]),0),AssetMonthlyReturns[[#This Row],[SPY]:[PE]])</f>
        <v>1.9835184180095996E-2</v>
      </c>
      <c r="DH31" s="27">
        <f>IF(ISNUMBER(DH30),DH30*(1+PortfolioFrontier[[#This Row],[P28 Return]]),1+PortfolioFrontier[[#This Row],[P28 Return]])</f>
        <v>1.1934778769972798</v>
      </c>
      <c r="DI31" s="27">
        <f>MAX(DI30,PortfolioFrontier[[#This Row],[P28 Growth]])</f>
        <v>1.1934778769972798</v>
      </c>
      <c r="DJ31" s="27">
        <f>PortfolioFrontier[[#This Row],[P28 Growth]]/PortfolioFrontier[[#This Row],[P28 HWM]]-1</f>
        <v>0</v>
      </c>
      <c r="DK31" s="28">
        <f>SUMPRODUCT(INDEX(PortfolioRef[[SPY]:[PE]],MATCH(DK$1,PortfolioRef[Reference '#]),0),AssetMonthlyReturns[[#This Row],[SPY]:[PE]])</f>
        <v>2.0699956407583483E-2</v>
      </c>
      <c r="DL31" s="27">
        <f>IF(ISNUMBER(DL30),DL30*(1+PortfolioFrontier[[#This Row],[P29 Return]]),1+PortfolioFrontier[[#This Row],[P29 Return]])</f>
        <v>1.1875443780897539</v>
      </c>
      <c r="DM31" s="27">
        <f>MAX(DM30,PortfolioFrontier[[#This Row],[P29 Growth]])</f>
        <v>1.1875443780897539</v>
      </c>
      <c r="DN31" s="27">
        <f>PortfolioFrontier[[#This Row],[P29 Growth]]/PortfolioFrontier[[#This Row],[P29 HWM]]-1</f>
        <v>0</v>
      </c>
      <c r="DO31" s="28">
        <f>SUMPRODUCT(INDEX(PortfolioRef[[SPY]:[PE]],MATCH(DO$1,PortfolioRef[Reference '#]),0),AssetMonthlyReturns[[#This Row],[SPY]:[PE]])</f>
        <v>2.1564728635070966E-2</v>
      </c>
      <c r="DP31" s="27">
        <f>IF(ISNUMBER(DP30),DP30*(1+PortfolioFrontier[[#This Row],[P30 Return]]),1+PortfolioFrontier[[#This Row],[P30 Return]])</f>
        <v>1.1815329798730776</v>
      </c>
      <c r="DQ31" s="27">
        <f>MAX(DQ30,PortfolioFrontier[[#This Row],[P30 Growth]])</f>
        <v>1.1815329798730776</v>
      </c>
      <c r="DR31" s="27">
        <f>PortfolioFrontier[[#This Row],[P30 Growth]]/PortfolioFrontier[[#This Row],[P30 HWM]]-1</f>
        <v>0</v>
      </c>
      <c r="DS31" s="28">
        <f>SUMPRODUCT(INDEX(PortfolioRef[[SPY]:[PE]],MATCH(DS$1,PortfolioRef[Reference '#]),0),AssetMonthlyReturns[[#This Row],[SPY]:[PE]])</f>
        <v>2.2191746022824064E-2</v>
      </c>
      <c r="DT31" s="27">
        <f>IF(ISNUMBER(DT30),DT30*(1+PortfolioFrontier[[#This Row],[P31 Return]]),1+PortfolioFrontier[[#This Row],[P31 Return]])</f>
        <v>1.205605513004264</v>
      </c>
      <c r="DU31" s="27">
        <f>MAX(DU30,PortfolioFrontier[[#This Row],[P31 Growth]])</f>
        <v>1.205605513004264</v>
      </c>
      <c r="DV31" s="27">
        <f>PortfolioFrontier[[#This Row],[P31 Growth]]/PortfolioFrontier[[#This Row],[P31 HWM]]-1</f>
        <v>0</v>
      </c>
      <c r="DW31" s="28">
        <f>SUMPRODUCT(INDEX(PortfolioRef[[SPY]:[PE]],MATCH(DW$1,PortfolioRef[Reference '#]),0),AssetMonthlyReturns[[#This Row],[SPY]:[PE]])</f>
        <v>2.3056518250311551E-2</v>
      </c>
      <c r="DX31" s="27">
        <f>IF(ISNUMBER(DX30),DX30*(1+PortfolioFrontier[[#This Row],[P32 Return]]),1+PortfolioFrontier[[#This Row],[P32 Return]])</f>
        <v>1.1996519727361086</v>
      </c>
      <c r="DY31" s="27">
        <f>MAX(DY30,PortfolioFrontier[[#This Row],[P32 Growth]])</f>
        <v>1.1996519727361086</v>
      </c>
      <c r="DZ31" s="27">
        <f>PortfolioFrontier[[#This Row],[P32 Growth]]/PortfolioFrontier[[#This Row],[P32 HWM]]-1</f>
        <v>0</v>
      </c>
      <c r="EA31" s="28">
        <f>SUMPRODUCT(INDEX(PortfolioRef[[SPY]:[PE]],MATCH(EA$1,PortfolioRef[Reference '#]),0),AssetMonthlyReturns[[#This Row],[SPY]:[PE]])</f>
        <v>2.3921290477799041E-2</v>
      </c>
      <c r="EB31" s="27">
        <f>IF(ISNUMBER(EB30),EB30*(1+PortfolioFrontier[[#This Row],[P33 Return]]),1+PortfolioFrontier[[#This Row],[P33 Return]])</f>
        <v>1.1936192372696184</v>
      </c>
      <c r="EC31" s="27">
        <f>MAX(EC30,PortfolioFrontier[[#This Row],[P33 Growth]])</f>
        <v>1.1936192372696184</v>
      </c>
      <c r="ED31" s="27">
        <f>PortfolioFrontier[[#This Row],[P33 Growth]]/PortfolioFrontier[[#This Row],[P33 HWM]]-1</f>
        <v>0</v>
      </c>
      <c r="EE31" s="28">
        <f>SUMPRODUCT(INDEX(PortfolioRef[[SPY]:[PE]],MATCH(EE$1,PortfolioRef[Reference '#]),0),AssetMonthlyReturns[[#This Row],[SPY]:[PE]])</f>
        <v>1.7826443825509772E-2</v>
      </c>
      <c r="EF31" s="27">
        <f>IF(ISNUMBER(EF30),EF30*(1+PortfolioFrontier[[#This Row],[P34 Return]]),1+PortfolioFrontier[[#This Row],[P34 Return]])</f>
        <v>1.1632512387660898</v>
      </c>
      <c r="EG31" s="27">
        <f>MAX(EG30,PortfolioFrontier[[#This Row],[P34 Growth]])</f>
        <v>1.1632512387660898</v>
      </c>
      <c r="EH31" s="27">
        <f>PortfolioFrontier[[#This Row],[P34 Growth]]/PortfolioFrontier[[#This Row],[P34 HWM]]-1</f>
        <v>0</v>
      </c>
      <c r="EI31" s="28">
        <f>SUMPRODUCT(INDEX(PortfolioRef[[SPY]:[PE]],MATCH(EI$1,PortfolioRef[Reference '#]),0),AssetMonthlyReturns[[#This Row],[SPY]:[PE]])</f>
        <v>1.6484088024352087E-2</v>
      </c>
      <c r="EJ31" s="27">
        <f>IF(ISNUMBER(EJ30),EJ30*(1+PortfolioFrontier[[#This Row],[P35 Return]]),1+PortfolioFrontier[[#This Row],[P35 Return]])</f>
        <v>1.1580862807018495</v>
      </c>
      <c r="EK31" s="27">
        <f>MAX(EK30,PortfolioFrontier[[#This Row],[P35 Growth]])</f>
        <v>1.1580862807018495</v>
      </c>
      <c r="EL31" s="27">
        <f>PortfolioFrontier[[#This Row],[P35 Growth]]/PortfolioFrontier[[#This Row],[P35 HWM]]-1</f>
        <v>0</v>
      </c>
      <c r="EM31" s="28">
        <f>SUMPRODUCT(INDEX(PortfolioRef[[SPY]:[PE]],MATCH(EM$1,PortfolioRef[Reference '#]),0),AssetMonthlyReturns[[#This Row],[SPY]:[PE]])</f>
        <v>1.8840649867080162E-2</v>
      </c>
      <c r="EN31" s="27">
        <f>IF(ISNUMBER(EN30),EN30*(1+PortfolioFrontier[[#This Row],[P36 Return]]),1+PortfolioFrontier[[#This Row],[P36 Return]])</f>
        <v>1.1699998782469747</v>
      </c>
      <c r="EO31" s="27">
        <f>MAX(EO30,PortfolioFrontier[[#This Row],[P36 Growth]])</f>
        <v>1.1699998782469747</v>
      </c>
      <c r="EP31" s="27">
        <f>PortfolioFrontier[[#This Row],[P36 Growth]]/PortfolioFrontier[[#This Row],[P36 HWM]]-1</f>
        <v>0</v>
      </c>
      <c r="EQ31" s="28">
        <f>SUMPRODUCT(INDEX(PortfolioRef[[SPY]:[PE]],MATCH(EQ$1,PortfolioRef[Reference '#]),0),AssetMonthlyReturns[[#This Row],[SPY]:[PE]])</f>
        <v>1.9705422094567649E-2</v>
      </c>
      <c r="ER31" s="27">
        <f>IF(ISNUMBER(ER30),ER30*(1+PortfolioFrontier[[#This Row],[P37 Return]]),1+PortfolioFrontier[[#This Row],[P37 Return]])</f>
        <v>1.1640846080529437</v>
      </c>
      <c r="ES31" s="27">
        <f>MAX(ES30,PortfolioFrontier[[#This Row],[P37 Growth]])</f>
        <v>1.1640846080529437</v>
      </c>
      <c r="ET31" s="27">
        <f>PortfolioFrontier[[#This Row],[P37 Growth]]/PortfolioFrontier[[#This Row],[P37 HWM]]-1</f>
        <v>0</v>
      </c>
      <c r="EU31" s="28">
        <f>SUMPRODUCT(INDEX(PortfolioRef[[SPY]:[PE]],MATCH(EU$1,PortfolioRef[Reference '#]),0),AssetMonthlyReturns[[#This Row],[SPY]:[PE]])</f>
        <v>1.5141732223194402E-2</v>
      </c>
      <c r="EV31" s="27">
        <f>IF(ISNUMBER(EV30),EV30*(1+PortfolioFrontier[[#This Row],[P38 Return]]),1+PortfolioFrontier[[#This Row],[P38 Return]])</f>
        <v>1.1528731562830647</v>
      </c>
      <c r="EW31" s="27">
        <f>MAX(EW30,PortfolioFrontier[[#This Row],[P38 Growth]])</f>
        <v>1.1528731562830647</v>
      </c>
      <c r="EX31" s="27">
        <f>PortfolioFrontier[[#This Row],[P38 Growth]]/PortfolioFrontier[[#This Row],[P38 HWM]]-1</f>
        <v>0</v>
      </c>
      <c r="EY31" s="28">
        <f>SUMPRODUCT(INDEX(PortfolioRef[[SPY]:[PE]],MATCH(EY$1,PortfolioRef[Reference '#]),0),AssetMonthlyReturns[[#This Row],[SPY]:[PE]])</f>
        <v>1.7498294065922477E-2</v>
      </c>
      <c r="EZ31" s="27">
        <f>IF(ISNUMBER(EZ30),EZ30*(1+PortfolioFrontier[[#This Row],[P39 Return]]),1+PortfolioFrontier[[#This Row],[P39 Return]])</f>
        <v>1.1648010388890722</v>
      </c>
      <c r="FA31" s="27">
        <f>MAX(FA30,PortfolioFrontier[[#This Row],[P39 Growth]])</f>
        <v>1.1648010388890722</v>
      </c>
      <c r="FB31" s="27">
        <f>PortfolioFrontier[[#This Row],[P39 Growth]]/PortfolioFrontier[[#This Row],[P39 HWM]]-1</f>
        <v>0</v>
      </c>
      <c r="FC31" s="28">
        <f>SUMPRODUCT(INDEX(PortfolioRef[[SPY]:[PE]],MATCH(FC$1,PortfolioRef[Reference '#]),0),AssetMonthlyReturns[[#This Row],[SPY]:[PE]])</f>
        <v>1.8363066293409964E-2</v>
      </c>
      <c r="FD31" s="27">
        <f>IF(ISNUMBER(FD30),FD30*(1+PortfolioFrontier[[#This Row],[P40 Return]]),1+PortfolioFrontier[[#This Row],[P40 Return]])</f>
        <v>1.1589383324741944</v>
      </c>
      <c r="FE31" s="27">
        <f>MAX(FE30,PortfolioFrontier[[#This Row],[P40 Growth]])</f>
        <v>1.1589383324741944</v>
      </c>
      <c r="FF31" s="27">
        <f>PortfolioFrontier[[#This Row],[P40 Growth]]/PortfolioFrontier[[#This Row],[P40 HWM]]-1</f>
        <v>0</v>
      </c>
      <c r="FG31" s="28">
        <f>SUMPRODUCT(INDEX(PortfolioRef[[SPY]:[PE]],MATCH(FG$1,PortfolioRef[Reference '#]),0),AssetMonthlyReturns[[#This Row],[SPY]:[PE]])</f>
        <v>1.9854855908650548E-2</v>
      </c>
      <c r="FH31" s="27">
        <f>IF(ISNUMBER(FH30),FH30*(1+PortfolioFrontier[[#This Row],[P41 Return]]),1+PortfolioFrontier[[#This Row],[P41 Return]])</f>
        <v>1.1767250128183893</v>
      </c>
      <c r="FI31" s="27">
        <f>MAX(FI30,PortfolioFrontier[[#This Row],[P41 Growth]])</f>
        <v>1.1767250128183893</v>
      </c>
      <c r="FJ31" s="27">
        <f>PortfolioFrontier[[#This Row],[P41 Growth]]/PortfolioFrontier[[#This Row],[P41 HWM]]-1</f>
        <v>0</v>
      </c>
      <c r="FK31" s="28">
        <f>SUMPRODUCT(INDEX(PortfolioRef[[SPY]:[PE]],MATCH(FK$1,PortfolioRef[Reference '#]),0),AssetMonthlyReturns[[#This Row],[SPY]:[PE]])</f>
        <v>2.0719628136138035E-2</v>
      </c>
      <c r="FL31" s="27">
        <f>IF(ISNUMBER(FL30),FL30*(1+PortfolioFrontier[[#This Row],[P42 Return]]),1+PortfolioFrontier[[#This Row],[P42 Return]])</f>
        <v>1.1708415038556184</v>
      </c>
      <c r="FM31" s="27">
        <f>MAX(FM30,PortfolioFrontier[[#This Row],[P42 Growth]])</f>
        <v>1.1708415038556184</v>
      </c>
      <c r="FN31" s="27">
        <f>PortfolioFrontier[[#This Row],[P42 Growth]]/PortfolioFrontier[[#This Row],[P42 HWM]]-1</f>
        <v>0</v>
      </c>
      <c r="FO31" s="28">
        <f>SUMPRODUCT(INDEX(PortfolioRef[[SPY]:[PE]],MATCH(FO$1,PortfolioRef[Reference '#]),0),AssetMonthlyReturns[[#This Row],[SPY]:[PE]])</f>
        <v>2.1584400363625522E-2</v>
      </c>
      <c r="FP31" s="27">
        <f>IF(ISNUMBER(FP30),FP30*(1+PortfolioFrontier[[#This Row],[P43 Return]]),1+PortfolioFrontier[[#This Row],[P43 Return]])</f>
        <v>1.1648815453438119</v>
      </c>
      <c r="FQ31" s="27">
        <f>MAX(FQ30,PortfolioFrontier[[#This Row],[P43 Growth]])</f>
        <v>1.1648815453438119</v>
      </c>
      <c r="FR31" s="27">
        <f>PortfolioFrontier[[#This Row],[P43 Growth]]/PortfolioFrontier[[#This Row],[P43 HWM]]-1</f>
        <v>0</v>
      </c>
      <c r="FS31" s="28">
        <f>SUMPRODUCT(INDEX(PortfolioRef[[SPY]:[PE]],MATCH(FS$1,PortfolioRef[Reference '#]),0),AssetMonthlyReturns[[#This Row],[SPY]:[PE]])</f>
        <v>1.6155938264764788E-2</v>
      </c>
      <c r="FT31" s="27">
        <f>IF(ISNUMBER(FT30),FT30*(1+PortfolioFrontier[[#This Row],[P44 Return]]),1+PortfolioFrontier[[#This Row],[P44 Return]])</f>
        <v>1.1595538884615353</v>
      </c>
      <c r="FU31" s="27">
        <f>MAX(FU30,PortfolioFrontier[[#This Row],[P44 Growth]])</f>
        <v>1.1595538884615353</v>
      </c>
      <c r="FV31" s="27">
        <f>PortfolioFrontier[[#This Row],[P44 Growth]]/PortfolioFrontier[[#This Row],[P44 HWM]]-1</f>
        <v>0</v>
      </c>
      <c r="FW31" s="28">
        <f>SUMPRODUCT(INDEX(PortfolioRef[[SPY]:[PE]],MATCH(FW$1,PortfolioRef[Reference '#]),0),AssetMonthlyReturns[[#This Row],[SPY]:[PE]])</f>
        <v>1.7020710492252279E-2</v>
      </c>
      <c r="FX31" s="27">
        <f>IF(ISNUMBER(FX30),FX30*(1+PortfolioFrontier[[#This Row],[P45 Return]]),1+PortfolioFrontier[[#This Row],[P45 Return]])</f>
        <v>1.1537436650403796</v>
      </c>
      <c r="FY31" s="27">
        <f>MAX(FY30,PortfolioFrontier[[#This Row],[P45 Growth]])</f>
        <v>1.1537436650403796</v>
      </c>
      <c r="FZ31" s="27">
        <f>PortfolioFrontier[[#This Row],[P45 Growth]]/PortfolioFrontier[[#This Row],[P45 HWM]]-1</f>
        <v>0</v>
      </c>
      <c r="GA31" s="28">
        <f>SUMPRODUCT(INDEX(PortfolioRef[[SPY]:[PE]],MATCH(GA$1,PortfolioRef[Reference '#]),0),AssetMonthlyReturns[[#This Row],[SPY]:[PE]])</f>
        <v>1.8512500107492863E-2</v>
      </c>
      <c r="GB31" s="27">
        <f>IF(ISNUMBER(GB30),GB30*(1+PortfolioFrontier[[#This Row],[P46 Return]]),1+PortfolioFrontier[[#This Row],[P46 Return]])</f>
        <v>1.1714923405076605</v>
      </c>
      <c r="GC31" s="27">
        <f>MAX(GC30,PortfolioFrontier[[#This Row],[P46 Growth]])</f>
        <v>1.1714923405076605</v>
      </c>
      <c r="GD31" s="27">
        <f>PortfolioFrontier[[#This Row],[P46 Growth]]/PortfolioFrontier[[#This Row],[P46 HWM]]-1</f>
        <v>0</v>
      </c>
      <c r="GE31" s="28">
        <f>SUMPRODUCT(INDEX(PortfolioRef[[SPY]:[PE]],MATCH(GE$1,PortfolioRef[Reference '#]),0),AssetMonthlyReturns[[#This Row],[SPY]:[PE]])</f>
        <v>1.937727233498035E-2</v>
      </c>
      <c r="GF31" s="27">
        <f>IF(ISNUMBER(GF30),GF30*(1+PortfolioFrontier[[#This Row],[P47 Return]]),1+PortfolioFrontier[[#This Row],[P47 Return]])</f>
        <v>1.1656614368953246</v>
      </c>
      <c r="GG31" s="27">
        <f>MAX(GG30,PortfolioFrontier[[#This Row],[P47 Growth]])</f>
        <v>1.1656614368953246</v>
      </c>
      <c r="GH31" s="27">
        <f>PortfolioFrontier[[#This Row],[P47 Growth]]/PortfolioFrontier[[#This Row],[P47 HWM]]-1</f>
        <v>0</v>
      </c>
      <c r="GI31" s="28">
        <f>SUMPRODUCT(INDEX(PortfolioRef[[SPY]:[PE]],MATCH(GI$1,PortfolioRef[Reference '#]),0),AssetMonthlyReturns[[#This Row],[SPY]:[PE]])</f>
        <v>2.0242044562467837E-2</v>
      </c>
      <c r="GJ31" s="27">
        <f>IF(ISNUMBER(GJ30),GJ30*(1+PortfolioFrontier[[#This Row],[P48 Return]]),1+PortfolioFrontier[[#This Row],[P48 Return]])</f>
        <v>1.1597541338301369</v>
      </c>
      <c r="GK31" s="27">
        <f>MAX(GK30,PortfolioFrontier[[#This Row],[P48 Growth]])</f>
        <v>1.1597541338301369</v>
      </c>
      <c r="GL31" s="27">
        <f>PortfolioFrontier[[#This Row],[P48 Growth]]/PortfolioFrontier[[#This Row],[P48 HWM]]-1</f>
        <v>0</v>
      </c>
      <c r="GM31" s="28">
        <f>SUMPRODUCT(INDEX(PortfolioRef[[SPY]:[PE]],MATCH(GM$1,PortfolioRef[Reference '#]),0),AssetMonthlyReturns[[#This Row],[SPY]:[PE]])</f>
        <v>2.0869061950220934E-2</v>
      </c>
      <c r="GN31" s="27">
        <f>IF(ISNUMBER(GN30),GN30*(1+PortfolioFrontier[[#This Row],[P49 Return]]),1+PortfolioFrontier[[#This Row],[P49 Return]])</f>
        <v>1.1834257453364068</v>
      </c>
      <c r="GO31" s="27">
        <f>MAX(GO30,PortfolioFrontier[[#This Row],[P49 Growth]])</f>
        <v>1.1834257453364068</v>
      </c>
      <c r="GP31" s="27">
        <f>PortfolioFrontier[[#This Row],[P49 Growth]]/PortfolioFrontier[[#This Row],[P49 HWM]]-1</f>
        <v>0</v>
      </c>
      <c r="GQ31" s="28">
        <f>SUMPRODUCT(INDEX(PortfolioRef[[SPY]:[PE]],MATCH(GQ$1,PortfolioRef[Reference '#]),0),AssetMonthlyReturns[[#This Row],[SPY]:[PE]])</f>
        <v>2.1733834177708421E-2</v>
      </c>
      <c r="GR31" s="27">
        <f>IF(ISNUMBER(GR30),GR30*(1+PortfolioFrontier[[#This Row],[P50 Return]]),1+PortfolioFrontier[[#This Row],[P50 Return]])</f>
        <v>1.177574957698575</v>
      </c>
      <c r="GS31" s="27">
        <f>MAX(GS30,PortfolioFrontier[[#This Row],[P50 Growth]])</f>
        <v>1.177574957698575</v>
      </c>
      <c r="GT31" s="27">
        <f>PortfolioFrontier[[#This Row],[P50 Growth]]/PortfolioFrontier[[#This Row],[P50 HWM]]-1</f>
        <v>0</v>
      </c>
      <c r="GU31" s="28">
        <f>SUMPRODUCT(INDEX(PortfolioRef[[SPY]:[PE]],MATCH(GU$1,PortfolioRef[Reference '#]),0),AssetMonthlyReturns[[#This Row],[SPY]:[PE]])</f>
        <v>2.2598606405195912E-2</v>
      </c>
      <c r="GV31" s="27">
        <f>IF(ISNUMBER(GV30),GV30*(1+PortfolioFrontier[[#This Row],[P51 Return]]),1+PortfolioFrontier[[#This Row],[P51 Return]])</f>
        <v>1.1716464975807377</v>
      </c>
      <c r="GW31" s="27">
        <f>MAX(GW30,PortfolioFrontier[[#This Row],[P51 Growth]])</f>
        <v>1.1716464975807377</v>
      </c>
      <c r="GX31" s="27">
        <f>PortfolioFrontier[[#This Row],[P51 Growth]]/PortfolioFrontier[[#This Row],[P51 HWM]]-1</f>
        <v>0</v>
      </c>
      <c r="GY31" s="28">
        <f>SUMPRODUCT(INDEX(PortfolioRef[[SPY]:[PE]],MATCH(GY$1,PortfolioRef[Reference '#]),0),AssetMonthlyReturns[[#This Row],[SPY]:[PE]])</f>
        <v>1.7170144306335178E-2</v>
      </c>
      <c r="GZ31" s="27">
        <f>IF(ISNUMBER(GZ30),GZ30*(1+PortfolioFrontier[[#This Row],[P52 Return]]),1+PortfolioFrontier[[#This Row],[P52 Return]])</f>
        <v>1.166211214326248</v>
      </c>
      <c r="HA31" s="27">
        <f>MAX(HA30,PortfolioFrontier[[#This Row],[P52 Growth]])</f>
        <v>1.166211214326248</v>
      </c>
      <c r="HB31" s="27">
        <f>PortfolioFrontier[[#This Row],[P52 Growth]]/PortfolioFrontier[[#This Row],[P52 HWM]]-1</f>
        <v>0</v>
      </c>
      <c r="HC31" s="28">
        <f>SUMPRODUCT(INDEX(PortfolioRef[[SPY]:[PE]],MATCH(HC$1,PortfolioRef[Reference '#]),0),AssetMonthlyReturns[[#This Row],[SPY]:[PE]])</f>
        <v>1.8034916533822665E-2</v>
      </c>
      <c r="HD31" s="27">
        <f>IF(ISNUMBER(HD30),HD30*(1+PortfolioFrontier[[#This Row],[P53 Return]]),1+PortfolioFrontier[[#This Row],[P53 Return]])</f>
        <v>1.1604328320323583</v>
      </c>
      <c r="HE31" s="27">
        <f>MAX(HE30,PortfolioFrontier[[#This Row],[P53 Growth]])</f>
        <v>1.1604328320323583</v>
      </c>
      <c r="HF31" s="27">
        <f>PortfolioFrontier[[#This Row],[P53 Growth]]/PortfolioFrontier[[#This Row],[P53 HWM]]-1</f>
        <v>0</v>
      </c>
      <c r="HG31" s="28">
        <f>SUMPRODUCT(INDEX(PortfolioRef[[SPY]:[PE]],MATCH(HG$1,PortfolioRef[Reference '#]),0),AssetMonthlyReturns[[#This Row],[SPY]:[PE]])</f>
        <v>1.8899688761310152E-2</v>
      </c>
      <c r="HH31" s="27">
        <f>IF(ISNUMBER(HH30),HH30*(1+PortfolioFrontier[[#This Row],[P54 Return]]),1+PortfolioFrontier[[#This Row],[P54 Return]])</f>
        <v>1.1545781067758707</v>
      </c>
      <c r="HI31" s="27">
        <f>MAX(HI30,PortfolioFrontier[[#This Row],[P54 Growth]])</f>
        <v>1.1545781067758707</v>
      </c>
      <c r="HJ31" s="27">
        <f>PortfolioFrontier[[#This Row],[P54 Growth]]/PortfolioFrontier[[#This Row],[P54 HWM]]-1</f>
        <v>0</v>
      </c>
      <c r="HK31" s="28">
        <f>SUMPRODUCT(INDEX(PortfolioRef[[SPY]:[PE]],MATCH(HK$1,PortfolioRef[Reference '#]),0),AssetMonthlyReturns[[#This Row],[SPY]:[PE]])</f>
        <v>1.9526706149063249E-2</v>
      </c>
      <c r="HL31" s="27">
        <f>IF(ISNUMBER(HL30),HL30*(1+PortfolioFrontier[[#This Row],[P55 Return]]),1+PortfolioFrontier[[#This Row],[P55 Return]])</f>
        <v>1.1781592920632975</v>
      </c>
      <c r="HM31" s="27">
        <f>MAX(HM30,PortfolioFrontier[[#This Row],[P55 Growth]])</f>
        <v>1.1781592920632975</v>
      </c>
      <c r="HN31" s="27">
        <f>PortfolioFrontier[[#This Row],[P55 Growth]]/PortfolioFrontier[[#This Row],[P55 HWM]]-1</f>
        <v>0</v>
      </c>
      <c r="HO31" s="28">
        <f>SUMPRODUCT(INDEX(PortfolioRef[[SPY]:[PE]],MATCH(HO$1,PortfolioRef[Reference '#]),0),AssetMonthlyReturns[[#This Row],[SPY]:[PE]])</f>
        <v>2.0391478376550736E-2</v>
      </c>
      <c r="HP31" s="27">
        <f>IF(ISNUMBER(HP30),HP30*(1+PortfolioFrontier[[#This Row],[P56 Return]]),1+PortfolioFrontier[[#This Row],[P56 Return]])</f>
        <v>1.1723611471239099</v>
      </c>
      <c r="HQ31" s="27">
        <f>MAX(HQ30,PortfolioFrontier[[#This Row],[P56 Growth]])</f>
        <v>1.1723611471239099</v>
      </c>
      <c r="HR31" s="27">
        <f>PortfolioFrontier[[#This Row],[P56 Growth]]/PortfolioFrontier[[#This Row],[P56 HWM]]-1</f>
        <v>0</v>
      </c>
      <c r="HS31" s="28">
        <f>SUMPRODUCT(INDEX(PortfolioRef[[SPY]:[PE]],MATCH(HS$1,PortfolioRef[Reference '#]),0),AssetMonthlyReturns[[#This Row],[SPY]:[PE]])</f>
        <v>2.1256250604038227E-2</v>
      </c>
      <c r="HT31" s="27">
        <f>IF(ISNUMBER(HT30),HT30*(1+PortfolioFrontier[[#This Row],[P57 Return]]),1+PortfolioFrontier[[#This Row],[P57 Return]])</f>
        <v>1.1664853857365276</v>
      </c>
      <c r="HU31" s="27">
        <f>MAX(HU30,PortfolioFrontier[[#This Row],[P57 Growth]])</f>
        <v>1.1664853857365276</v>
      </c>
      <c r="HV31" s="27">
        <f>PortfolioFrontier[[#This Row],[P57 Growth]]/PortfolioFrontier[[#This Row],[P57 HWM]]-1</f>
        <v>0</v>
      </c>
      <c r="HW31" s="28">
        <f>SUMPRODUCT(INDEX(PortfolioRef[[SPY]:[PE]],MATCH(HW$1,PortfolioRef[Reference '#]),0),AssetMonthlyReturns[[#This Row],[SPY]:[PE]])</f>
        <v>2.1883267991791317E-2</v>
      </c>
      <c r="HX31" s="27">
        <f>IF(ISNUMBER(HX30),HX30*(1+PortfolioFrontier[[#This Row],[P58 Return]]),1+PortfolioFrontier[[#This Row],[P58 Return]])</f>
        <v>1.1901011749788666</v>
      </c>
      <c r="HY31" s="27">
        <f>MAX(HY30,PortfolioFrontier[[#This Row],[P58 Growth]])</f>
        <v>1.1901011749788666</v>
      </c>
      <c r="HZ31" s="27">
        <f>PortfolioFrontier[[#This Row],[P58 Growth]]/PortfolioFrontier[[#This Row],[P58 HWM]]-1</f>
        <v>0</v>
      </c>
      <c r="IA31" s="28">
        <f>SUMPRODUCT(INDEX(PortfolioRef[[SPY]:[PE]],MATCH(IA$1,PortfolioRef[Reference '#]),0),AssetMonthlyReturns[[#This Row],[SPY]:[PE]])</f>
        <v>2.2748040219278808E-2</v>
      </c>
      <c r="IB31" s="27">
        <f>IF(ISNUMBER(IB30),IB30*(1+PortfolioFrontier[[#This Row],[P59 Return]]),1+PortfolioFrontier[[#This Row],[P59 Return]])</f>
        <v>1.1842840725904875</v>
      </c>
      <c r="IC31" s="27">
        <f>MAX(IC30,PortfolioFrontier[[#This Row],[P59 Growth]])</f>
        <v>1.1842840725904875</v>
      </c>
      <c r="ID31" s="27">
        <f>PortfolioFrontier[[#This Row],[P59 Growth]]/PortfolioFrontier[[#This Row],[P59 HWM]]-1</f>
        <v>0</v>
      </c>
      <c r="IE31" s="28">
        <f>SUMPRODUCT(INDEX(PortfolioRef[[SPY]:[PE]],MATCH(IE$1,PortfolioRef[Reference '#]),0),AssetMonthlyReturns[[#This Row],[SPY]:[PE]])</f>
        <v>2.3612812446766294E-2</v>
      </c>
      <c r="IF31" s="27">
        <f>IF(ISNUMBER(IF30),IF30*(1+PortfolioFrontier[[#This Row],[P60 Return]]),1+PortfolioFrontier[[#This Row],[P60 Return]])</f>
        <v>1.1783880712895027</v>
      </c>
      <c r="IG31" s="27">
        <f>MAX(IG30,PortfolioFrontier[[#This Row],[P60 Growth]])</f>
        <v>1.1783880712895027</v>
      </c>
      <c r="IH31" s="27">
        <f>PortfolioFrontier[[#This Row],[P60 Growth]]/PortfolioFrontier[[#This Row],[P60 HWM]]-1</f>
        <v>0</v>
      </c>
      <c r="II31" s="28">
        <f>SUMPRODUCT(INDEX(PortfolioRef[[SPY]:[PE]],MATCH(II$1,PortfolioRef[Reference '#]),0),AssetMonthlyReturns[[#This Row],[SPY]:[PE]])</f>
        <v>1.6503759752906643E-2</v>
      </c>
      <c r="IJ31" s="27">
        <f>IF(ISNUMBER(IJ30),IJ30*(1+PortfolioFrontier[[#This Row],[P61 Return]]),1+PortfolioFrontier[[#This Row],[P61 Return]])</f>
        <v>1.1417381977629368</v>
      </c>
      <c r="IK31" s="27">
        <f>MAX(IK30,PortfolioFrontier[[#This Row],[P61 Growth]])</f>
        <v>1.1417381977629368</v>
      </c>
      <c r="IL31" s="27">
        <f>PortfolioFrontier[[#This Row],[P61 Growth]]/PortfolioFrontier[[#This Row],[P61 HWM]]-1</f>
        <v>0</v>
      </c>
      <c r="IM31" s="28">
        <f>SUMPRODUCT(INDEX(PortfolioRef[[SPY]:[PE]],MATCH(IM$1,PortfolioRef[Reference '#]),0),AssetMonthlyReturns[[#This Row],[SPY]:[PE]])</f>
        <v>1.5161403951748954E-2</v>
      </c>
      <c r="IN31" s="27">
        <f>IF(ISNUMBER(IN30),IN30*(1+PortfolioFrontier[[#This Row],[P62 Return]]),1+PortfolioFrontier[[#This Row],[P62 Return]])</f>
        <v>1.1366586791033009</v>
      </c>
      <c r="IO31" s="27">
        <f>MAX(IO30,PortfolioFrontier[[#This Row],[P62 Growth]])</f>
        <v>1.1366586791033009</v>
      </c>
      <c r="IP31" s="27">
        <f>PortfolioFrontier[[#This Row],[P62 Growth]]/PortfolioFrontier[[#This Row],[P62 HWM]]-1</f>
        <v>0</v>
      </c>
      <c r="IQ31" s="28">
        <f>SUMPRODUCT(INDEX(PortfolioRef[[SPY]:[PE]],MATCH(IQ$1,PortfolioRef[Reference '#]),0),AssetMonthlyReturns[[#This Row],[SPY]:[PE]])</f>
        <v>1.7517965794477029E-2</v>
      </c>
      <c r="IR31" s="27">
        <f>IF(ISNUMBER(IR30),IR30*(1+PortfolioFrontier[[#This Row],[P63 Return]]),1+PortfolioFrontier[[#This Row],[P63 Return]])</f>
        <v>1.1483803300933251</v>
      </c>
      <c r="IS31" s="27">
        <f>MAX(IS30,PortfolioFrontier[[#This Row],[P63 Growth]])</f>
        <v>1.1483803300933251</v>
      </c>
      <c r="IT31" s="27">
        <f>PortfolioFrontier[[#This Row],[P63 Growth]]/PortfolioFrontier[[#This Row],[P63 HWM]]-1</f>
        <v>0</v>
      </c>
      <c r="IU31" s="28">
        <f>SUMPRODUCT(INDEX(PortfolioRef[[SPY]:[PE]],MATCH(IU$1,PortfolioRef[Reference '#]),0),AssetMonthlyReturns[[#This Row],[SPY]:[PE]])</f>
        <v>1.8382738021964516E-2</v>
      </c>
      <c r="IV31" s="27">
        <f>IF(ISNUMBER(IV30),IV30*(1+PortfolioFrontier[[#This Row],[P64 Return]]),1+PortfolioFrontier[[#This Row],[P64 Return]])</f>
        <v>1.1425678035489761</v>
      </c>
      <c r="IW31" s="27">
        <f>MAX(IW30,PortfolioFrontier[[#This Row],[P64 Growth]])</f>
        <v>1.1425678035489761</v>
      </c>
      <c r="IX31" s="27">
        <f>PortfolioFrontier[[#This Row],[P64 Growth]]/PortfolioFrontier[[#This Row],[P64 HWM]]-1</f>
        <v>0</v>
      </c>
      <c r="IY31" s="28">
        <f>SUMPRODUCT(INDEX(PortfolioRef[[SPY]:[PE]],MATCH(IY$1,PortfolioRef[Reference '#]),0),AssetMonthlyReturns[[#This Row],[SPY]:[PE]])</f>
        <v>1.3819048150591273E-2</v>
      </c>
      <c r="IZ31" s="27">
        <f>IF(ISNUMBER(IZ30),IZ30*(1+PortfolioFrontier[[#This Row],[P65 Return]]),1+PortfolioFrontier[[#This Row],[P65 Return]])</f>
        <v>1.1315318518825264</v>
      </c>
      <c r="JA31" s="27">
        <f>MAX(JA30,PortfolioFrontier[[#This Row],[P65 Growth]])</f>
        <v>1.1320832550752244</v>
      </c>
      <c r="JB31" s="27">
        <f>PortfolioFrontier[[#This Row],[P65 Growth]]/PortfolioFrontier[[#This Row],[P65 HWM]]-1</f>
        <v>-4.8706947145993329E-4</v>
      </c>
      <c r="JC31" s="28">
        <f>SUMPRODUCT(INDEX(PortfolioRef[[SPY]:[PE]],MATCH(JC$1,PortfolioRef[Reference '#]),0),AssetMonthlyReturns[[#This Row],[SPY]:[PE]])</f>
        <v>1.6175609993319344E-2</v>
      </c>
      <c r="JD31" s="27">
        <f>IF(ISNUMBER(JD30),JD30*(1+PortfolioFrontier[[#This Row],[P66 Return]]),1+PortfolioFrontier[[#This Row],[P66 Return]])</f>
        <v>1.143267458114388</v>
      </c>
      <c r="JE31" s="27">
        <f>MAX(JE30,PortfolioFrontier[[#This Row],[P66 Growth]])</f>
        <v>1.143267458114388</v>
      </c>
      <c r="JF31" s="27">
        <f>PortfolioFrontier[[#This Row],[P66 Growth]]/PortfolioFrontier[[#This Row],[P66 HWM]]-1</f>
        <v>0</v>
      </c>
      <c r="JG31" s="28">
        <f>SUMPRODUCT(INDEX(PortfolioRef[[SPY]:[PE]],MATCH(JG$1,PortfolioRef[Reference '#]),0),AssetMonthlyReturns[[#This Row],[SPY]:[PE]])</f>
        <v>1.7040382220806831E-2</v>
      </c>
      <c r="JH31" s="27">
        <f>IF(ISNUMBER(JH30),JH30*(1+PortfolioFrontier[[#This Row],[P67 Return]]),1+PortfolioFrontier[[#This Row],[P67 Return]])</f>
        <v>1.1375065907034629</v>
      </c>
      <c r="JI31" s="27">
        <f>MAX(JI30,PortfolioFrontier[[#This Row],[P67 Growth]])</f>
        <v>1.1375065907034629</v>
      </c>
      <c r="JJ31" s="27">
        <f>PortfolioFrontier[[#This Row],[P67 Growth]]/PortfolioFrontier[[#This Row],[P67 HWM]]-1</f>
        <v>0</v>
      </c>
      <c r="JK31" s="28">
        <f>SUMPRODUCT(INDEX(PortfolioRef[[SPY]:[PE]],MATCH(JK$1,PortfolioRef[Reference '#]),0),AssetMonthlyReturns[[#This Row],[SPY]:[PE]])</f>
        <v>1.8532171836047419E-2</v>
      </c>
      <c r="JL31" s="27">
        <f>IF(ISNUMBER(JL30),JL30*(1+PortfolioFrontier[[#This Row],[P68 Return]]),1+PortfolioFrontier[[#This Row],[P68 Return]])</f>
        <v>1.1549995836864886</v>
      </c>
      <c r="JM31" s="27">
        <f>MAX(JM30,PortfolioFrontier[[#This Row],[P68 Growth]])</f>
        <v>1.1549995836864886</v>
      </c>
      <c r="JN31" s="27">
        <f>PortfolioFrontier[[#This Row],[P68 Growth]]/PortfolioFrontier[[#This Row],[P68 HWM]]-1</f>
        <v>0</v>
      </c>
      <c r="JO31" s="28">
        <f>SUMPRODUCT(INDEX(PortfolioRef[[SPY]:[PE]],MATCH(JO$1,PortfolioRef[Reference '#]),0),AssetMonthlyReturns[[#This Row],[SPY]:[PE]])</f>
        <v>1.9396944063534906E-2</v>
      </c>
      <c r="JP31" s="27">
        <f>IF(ISNUMBER(JP30),JP30*(1+PortfolioFrontier[[#This Row],[P69 Return]]),1+PortfolioFrontier[[#This Row],[P69 Return]])</f>
        <v>1.1492180896167041</v>
      </c>
      <c r="JQ31" s="27">
        <f>MAX(JQ30,PortfolioFrontier[[#This Row],[P69 Growth]])</f>
        <v>1.1492180896167041</v>
      </c>
      <c r="JR31" s="27">
        <f>PortfolioFrontier[[#This Row],[P69 Growth]]/PortfolioFrontier[[#This Row],[P69 HWM]]-1</f>
        <v>0</v>
      </c>
      <c r="JS31" s="28">
        <f>SUMPRODUCT(INDEX(PortfolioRef[[SPY]:[PE]],MATCH(JS$1,PortfolioRef[Reference '#]),0),AssetMonthlyReturns[[#This Row],[SPY]:[PE]])</f>
        <v>2.0261716291022393E-2</v>
      </c>
      <c r="JT31" s="27">
        <f>IF(ISNUMBER(JT30),JT30*(1+PortfolioFrontier[[#This Row],[P70 Return]]),1+PortfolioFrontier[[#This Row],[P70 Return]])</f>
        <v>1.1433616208283146</v>
      </c>
      <c r="JU31" s="27">
        <f>MAX(JU30,PortfolioFrontier[[#This Row],[P70 Growth]])</f>
        <v>1.1433616208283146</v>
      </c>
      <c r="JV31" s="27">
        <f>PortfolioFrontier[[#This Row],[P70 Growth]]/PortfolioFrontier[[#This Row],[P70 HWM]]-1</f>
        <v>0</v>
      </c>
      <c r="JW31" s="28">
        <f>SUMPRODUCT(INDEX(PortfolioRef[[SPY]:[PE]],MATCH(JW$1,PortfolioRef[Reference '#]),0),AssetMonthlyReturns[[#This Row],[SPY]:[PE]])</f>
        <v>1.4833254192161659E-2</v>
      </c>
      <c r="JX31" s="27">
        <f>IF(ISNUMBER(JX30),JX30*(1+PortfolioFrontier[[#This Row],[P71 Return]]),1+PortfolioFrontier[[#This Row],[P71 Return]])</f>
        <v>1.1381071342920368</v>
      </c>
      <c r="JY31" s="27">
        <f>MAX(JY30,PortfolioFrontier[[#This Row],[P71 Growth]])</f>
        <v>1.1381071342920368</v>
      </c>
      <c r="JZ31" s="27">
        <f>PortfolioFrontier[[#This Row],[P71 Growth]]/PortfolioFrontier[[#This Row],[P71 HWM]]-1</f>
        <v>0</v>
      </c>
      <c r="KA31" s="28">
        <f>SUMPRODUCT(INDEX(PortfolioRef[[SPY]:[PE]],MATCH(KA$1,PortfolioRef[Reference '#]),0),AssetMonthlyReturns[[#This Row],[SPY]:[PE]])</f>
        <v>1.5698026419649146E-2</v>
      </c>
      <c r="KB31" s="27">
        <f>IF(ISNUMBER(KB30),KB30*(1+PortfolioFrontier[[#This Row],[P72 Return]]),1+PortfolioFrontier[[#This Row],[P72 Return]])</f>
        <v>1.1323978471464129</v>
      </c>
      <c r="KC31" s="27">
        <f>MAX(KC30,PortfolioFrontier[[#This Row],[P72 Growth]])</f>
        <v>1.1323978471464129</v>
      </c>
      <c r="KD31" s="27">
        <f>PortfolioFrontier[[#This Row],[P72 Growth]]/PortfolioFrontier[[#This Row],[P72 HWM]]-1</f>
        <v>0</v>
      </c>
      <c r="KE31" s="28">
        <f>SUMPRODUCT(INDEX(PortfolioRef[[SPY]:[PE]],MATCH(KE$1,PortfolioRef[Reference '#]),0),AssetMonthlyReturns[[#This Row],[SPY]:[PE]])</f>
        <v>1.718981603488973E-2</v>
      </c>
      <c r="KF31" s="27">
        <f>IF(ISNUMBER(KF30),KF30*(1+PortfolioFrontier[[#This Row],[P73 Return]]),1+PortfolioFrontier[[#This Row],[P73 Return]])</f>
        <v>1.1498534055463847</v>
      </c>
      <c r="KG31" s="27">
        <f>MAX(KG30,PortfolioFrontier[[#This Row],[P73 Growth]])</f>
        <v>1.1498534055463847</v>
      </c>
      <c r="KH31" s="27">
        <f>PortfolioFrontier[[#This Row],[P73 Growth]]/PortfolioFrontier[[#This Row],[P73 HWM]]-1</f>
        <v>0</v>
      </c>
      <c r="KI31" s="28">
        <f>SUMPRODUCT(INDEX(PortfolioRef[[SPY]:[PE]],MATCH(KI$1,PortfolioRef[Reference '#]),0),AssetMonthlyReturns[[#This Row],[SPY]:[PE]])</f>
        <v>1.8054588262377217E-2</v>
      </c>
      <c r="KJ31" s="27">
        <f>IF(ISNUMBER(KJ30),KJ30*(1+PortfolioFrontier[[#This Row],[P74 Return]]),1+PortfolioFrontier[[#This Row],[P74 Return]])</f>
        <v>1.1441236118738931</v>
      </c>
      <c r="KK31" s="27">
        <f>MAX(KK30,PortfolioFrontier[[#This Row],[P74 Growth]])</f>
        <v>1.1441236118738931</v>
      </c>
      <c r="KL31" s="27">
        <f>PortfolioFrontier[[#This Row],[P74 Growth]]/PortfolioFrontier[[#This Row],[P74 HWM]]-1</f>
        <v>0</v>
      </c>
      <c r="KM31" s="28">
        <f>SUMPRODUCT(INDEX(PortfolioRef[[SPY]:[PE]],MATCH(KM$1,PortfolioRef[Reference '#]),0),AssetMonthlyReturns[[#This Row],[SPY]:[PE]])</f>
        <v>1.8919360489864707E-2</v>
      </c>
      <c r="KN31" s="27">
        <f>IF(ISNUMBER(KN30),KN30*(1+PortfolioFrontier[[#This Row],[P75 Return]]),1+PortfolioFrontier[[#This Row],[P75 Return]])</f>
        <v>1.1383188928466144</v>
      </c>
      <c r="KO31" s="27">
        <f>MAX(KO30,PortfolioFrontier[[#This Row],[P75 Growth]])</f>
        <v>1.1383188928466144</v>
      </c>
      <c r="KP31" s="27">
        <f>PortfolioFrontier[[#This Row],[P75 Growth]]/PortfolioFrontier[[#This Row],[P75 HWM]]-1</f>
        <v>0</v>
      </c>
      <c r="KQ31" s="28">
        <f>SUMPRODUCT(INDEX(PortfolioRef[[SPY]:[PE]],MATCH(KQ$1,PortfolioRef[Reference '#]),0),AssetMonthlyReturns[[#This Row],[SPY]:[PE]])</f>
        <v>1.9546377877617802E-2</v>
      </c>
      <c r="KR31" s="27">
        <f>IF(ISNUMBER(KR30),KR30*(1+PortfolioFrontier[[#This Row],[P76 Return]]),1+PortfolioFrontier[[#This Row],[P76 Return]])</f>
        <v>1.1615950770514989</v>
      </c>
      <c r="KS31" s="27">
        <f>MAX(KS30,PortfolioFrontier[[#This Row],[P76 Growth]])</f>
        <v>1.1615950770514989</v>
      </c>
      <c r="KT31" s="27">
        <f>PortfolioFrontier[[#This Row],[P76 Growth]]/PortfolioFrontier[[#This Row],[P76 HWM]]-1</f>
        <v>0</v>
      </c>
      <c r="KU31" s="28">
        <f>SUMPRODUCT(INDEX(PortfolioRef[[SPY]:[PE]],MATCH(KU$1,PortfolioRef[Reference '#]),0),AssetMonthlyReturns[[#This Row],[SPY]:[PE]])</f>
        <v>2.0411150105105288E-2</v>
      </c>
      <c r="KV31" s="27">
        <f>IF(ISNUMBER(KV30),KV30*(1+PortfolioFrontier[[#This Row],[P77 Return]]),1+PortfolioFrontier[[#This Row],[P77 Return]])</f>
        <v>1.1558455584148977</v>
      </c>
      <c r="KW31" s="27">
        <f>MAX(KW30,PortfolioFrontier[[#This Row],[P77 Growth]])</f>
        <v>1.1558455584148977</v>
      </c>
      <c r="KX31" s="27">
        <f>PortfolioFrontier[[#This Row],[P77 Growth]]/PortfolioFrontier[[#This Row],[P77 HWM]]-1</f>
        <v>0</v>
      </c>
      <c r="KY31" s="28">
        <f>SUMPRODUCT(INDEX(PortfolioRef[[SPY]:[PE]],MATCH(KY$1,PortfolioRef[Reference '#]),0),AssetMonthlyReturns[[#This Row],[SPY]:[PE]])</f>
        <v>2.1275922332592775E-2</v>
      </c>
      <c r="KZ31" s="27">
        <f>IF(ISNUMBER(KZ30),KZ30*(1+PortfolioFrontier[[#This Row],[P78 Return]]),1+PortfolioFrontier[[#This Row],[P78 Return]])</f>
        <v>1.1500198639047448</v>
      </c>
      <c r="LA31" s="27">
        <f>MAX(LA30,PortfolioFrontier[[#This Row],[P78 Growth]])</f>
        <v>1.1500198639047448</v>
      </c>
      <c r="LB31" s="27">
        <f>PortfolioFrontier[[#This Row],[P78 Growth]]/PortfolioFrontier[[#This Row],[P78 HWM]]-1</f>
        <v>0</v>
      </c>
      <c r="LC31" s="28">
        <f>SUMPRODUCT(INDEX(PortfolioRef[[SPY]:[PE]],MATCH(LC$1,PortfolioRef[Reference '#]),0),AssetMonthlyReturns[[#This Row],[SPY]:[PE]])</f>
        <v>1.5847460233732045E-2</v>
      </c>
      <c r="LD31" s="27">
        <f>IF(ISNUMBER(LD30),LD30*(1+PortfolioFrontier[[#This Row],[P79 Return]]),1+PortfolioFrontier[[#This Row],[P79 Return]])</f>
        <v>1.1446596341524125</v>
      </c>
      <c r="LE31" s="27">
        <f>MAX(LE30,PortfolioFrontier[[#This Row],[P79 Growth]])</f>
        <v>1.1446596341524125</v>
      </c>
      <c r="LF31" s="27">
        <f>PortfolioFrontier[[#This Row],[P79 Growth]]/PortfolioFrontier[[#This Row],[P79 HWM]]-1</f>
        <v>0</v>
      </c>
      <c r="LG31" s="28">
        <f>SUMPRODUCT(INDEX(PortfolioRef[[SPY]:[PE]],MATCH(LG$1,PortfolioRef[Reference '#]),0),AssetMonthlyReturns[[#This Row],[SPY]:[PE]])</f>
        <v>1.6712232461219532E-2</v>
      </c>
      <c r="LH31" s="27">
        <f>IF(ISNUMBER(LH30),LH30*(1+PortfolioFrontier[[#This Row],[P80 Return]]),1+PortfolioFrontier[[#This Row],[P80 Return]])</f>
        <v>1.1389814588243516</v>
      </c>
      <c r="LI31" s="27">
        <f>MAX(LI30,PortfolioFrontier[[#This Row],[P80 Growth]])</f>
        <v>1.1389814588243516</v>
      </c>
      <c r="LJ31" s="27">
        <f>PortfolioFrontier[[#This Row],[P80 Growth]]/PortfolioFrontier[[#This Row],[P80 HWM]]-1</f>
        <v>0</v>
      </c>
      <c r="LK31" s="28">
        <f>SUMPRODUCT(INDEX(PortfolioRef[[SPY]:[PE]],MATCH(LK$1,PortfolioRef[Reference '#]),0),AssetMonthlyReturns[[#This Row],[SPY]:[PE]])</f>
        <v>1.7577004688707022E-2</v>
      </c>
      <c r="LL31" s="27">
        <f>IF(ISNUMBER(LL30),LL30*(1+PortfolioFrontier[[#This Row],[P81 Return]]),1+PortfolioFrontier[[#This Row],[P81 Return]])</f>
        <v>1.1332284137843067</v>
      </c>
      <c r="LM31" s="27">
        <f>MAX(LM30,PortfolioFrontier[[#This Row],[P81 Growth]])</f>
        <v>1.1332284137843067</v>
      </c>
      <c r="LN31" s="27">
        <f>PortfolioFrontier[[#This Row],[P81 Growth]]/PortfolioFrontier[[#This Row],[P81 HWM]]-1</f>
        <v>0</v>
      </c>
      <c r="LO31" s="28">
        <f>SUMPRODUCT(INDEX(PortfolioRef[[SPY]:[PE]],MATCH(LO$1,PortfolioRef[Reference '#]),0),AssetMonthlyReturns[[#This Row],[SPY]:[PE]])</f>
        <v>1.8204022076460116E-2</v>
      </c>
      <c r="LP31" s="27">
        <f>IF(ISNUMBER(LP30),LP30*(1+PortfolioFrontier[[#This Row],[P82 Return]]),1+PortfolioFrontier[[#This Row],[P82 Return]])</f>
        <v>1.1564156434986412</v>
      </c>
      <c r="LQ31" s="27">
        <f>MAX(LQ30,PortfolioFrontier[[#This Row],[P82 Growth]])</f>
        <v>1.1564156434986412</v>
      </c>
      <c r="LR31" s="27">
        <f>PortfolioFrontier[[#This Row],[P82 Growth]]/PortfolioFrontier[[#This Row],[P82 HWM]]-1</f>
        <v>0</v>
      </c>
      <c r="LS31" s="28">
        <f>SUMPRODUCT(INDEX(PortfolioRef[[SPY]:[PE]],MATCH(LS$1,PortfolioRef[Reference '#]),0),AssetMonthlyReturns[[#This Row],[SPY]:[PE]])</f>
        <v>1.9068794303947607E-2</v>
      </c>
      <c r="LT31" s="27">
        <f>IF(ISNUMBER(LT30),LT30*(1+PortfolioFrontier[[#This Row],[P83 Return]]),1+PortfolioFrontier[[#This Row],[P83 Return]])</f>
        <v>1.1507178623731242</v>
      </c>
      <c r="LU31" s="27">
        <f>MAX(LU30,PortfolioFrontier[[#This Row],[P83 Growth]])</f>
        <v>1.1507178623731242</v>
      </c>
      <c r="LV31" s="27">
        <f>PortfolioFrontier[[#This Row],[P83 Growth]]/PortfolioFrontier[[#This Row],[P83 HWM]]-1</f>
        <v>0</v>
      </c>
      <c r="LW31" s="28">
        <f>SUMPRODUCT(INDEX(PortfolioRef[[SPY]:[PE]],MATCH(LW$1,PortfolioRef[Reference '#]),0),AssetMonthlyReturns[[#This Row],[SPY]:[PE]])</f>
        <v>1.993356653143509E-2</v>
      </c>
      <c r="LX31" s="27">
        <f>IF(ISNUMBER(LX30),LX30*(1+PortfolioFrontier[[#This Row],[P84 Return]]),1+PortfolioFrontier[[#This Row],[P84 Return]])</f>
        <v>1.1449439605698946</v>
      </c>
      <c r="LY31" s="27">
        <f>MAX(LY30,PortfolioFrontier[[#This Row],[P84 Growth]])</f>
        <v>1.1449439605698946</v>
      </c>
      <c r="LZ31" s="27">
        <f>PortfolioFrontier[[#This Row],[P84 Growth]]/PortfolioFrontier[[#This Row],[P84 HWM]]-1</f>
        <v>0</v>
      </c>
      <c r="MA31" s="28">
        <f>SUMPRODUCT(INDEX(PortfolioRef[[SPY]:[PE]],MATCH(MA$1,PortfolioRef[Reference '#]),0),AssetMonthlyReturns[[#This Row],[SPY]:[PE]])</f>
        <v>2.0560583919188188E-2</v>
      </c>
      <c r="MB31" s="27">
        <f>IF(ISNUMBER(MB30),MB30*(1+PortfolioFrontier[[#This Row],[P85 Return]]),1+PortfolioFrontier[[#This Row],[P85 Return]])</f>
        <v>1.1681659250480558</v>
      </c>
      <c r="MC31" s="27">
        <f>MAX(MC30,PortfolioFrontier[[#This Row],[P85 Growth]])</f>
        <v>1.1681659250480558</v>
      </c>
      <c r="MD31" s="27">
        <f>PortfolioFrontier[[#This Row],[P85 Growth]]/PortfolioFrontier[[#This Row],[P85 HWM]]-1</f>
        <v>0</v>
      </c>
      <c r="ME31" s="28">
        <f>SUMPRODUCT(INDEX(PortfolioRef[[SPY]:[PE]],MATCH(ME$1,PortfolioRef[Reference '#]),0),AssetMonthlyReturns[[#This Row],[SPY]:[PE]])</f>
        <v>2.1425356146675678E-2</v>
      </c>
      <c r="MF31" s="27">
        <f>IF(ISNUMBER(MF30),MF30*(1+PortfolioFrontier[[#This Row],[P86 Return]]),1+PortfolioFrontier[[#This Row],[P86 Return]])</f>
        <v>1.1624493285963451</v>
      </c>
      <c r="MG31" s="27">
        <f>MAX(MG30,PortfolioFrontier[[#This Row],[P86 Growth]])</f>
        <v>1.1624493285963451</v>
      </c>
      <c r="MH31" s="27">
        <f>PortfolioFrontier[[#This Row],[P86 Growth]]/PortfolioFrontier[[#This Row],[P86 HWM]]-1</f>
        <v>0</v>
      </c>
      <c r="MI31" s="28">
        <f>SUMPRODUCT(INDEX(PortfolioRef[[SPY]:[PE]],MATCH(MI$1,PortfolioRef[Reference '#]),0),AssetMonthlyReturns[[#This Row],[SPY]:[PE]])</f>
        <v>2.2290128374163165E-2</v>
      </c>
      <c r="MJ31" s="27">
        <f>IF(ISNUMBER(MJ30),MJ30*(1+PortfolioFrontier[[#This Row],[P87 Return]]),1+PortfolioFrontier[[#This Row],[P87 Return]])</f>
        <v>1.1566553516495048</v>
      </c>
      <c r="MK31" s="27">
        <f>MAX(MK30,PortfolioFrontier[[#This Row],[P87 Growth]])</f>
        <v>1.1566553516495048</v>
      </c>
      <c r="ML31" s="27">
        <f>PortfolioFrontier[[#This Row],[P87 Growth]]/PortfolioFrontier[[#This Row],[P87 HWM]]-1</f>
        <v>0</v>
      </c>
      <c r="MM31" s="28">
        <f>SUMPRODUCT(INDEX(PortfolioRef[[SPY]:[PE]],MATCH(MM$1,PortfolioRef[Reference '#]),0),AssetMonthlyReturns[[#This Row],[SPY]:[PE]])</f>
        <v>1.6861666275302431E-2</v>
      </c>
      <c r="MN31" s="27">
        <f>IF(ISNUMBER(MN30),MN30*(1+PortfolioFrontier[[#This Row],[P88 Return]]),1+PortfolioFrontier[[#This Row],[P88 Return]])</f>
        <v>1.1511884771778493</v>
      </c>
      <c r="MO31" s="27">
        <f>MAX(MO30,PortfolioFrontier[[#This Row],[P88 Growth]])</f>
        <v>1.1511884771778493</v>
      </c>
      <c r="MP31" s="27">
        <f>PortfolioFrontier[[#This Row],[P88 Growth]]/PortfolioFrontier[[#This Row],[P88 HWM]]-1</f>
        <v>0</v>
      </c>
      <c r="MQ31" s="28">
        <f>SUMPRODUCT(INDEX(PortfolioRef[[SPY]:[PE]],MATCH(MQ$1,PortfolioRef[Reference '#]),0),AssetMonthlyReturns[[#This Row],[SPY]:[PE]])</f>
        <v>1.7726438502789918E-2</v>
      </c>
      <c r="MR31" s="27">
        <f>IF(ISNUMBER(MR30),MR30*(1+PortfolioFrontier[[#This Row],[P89 Return]]),1+PortfolioFrontier[[#This Row],[P89 Return]])</f>
        <v>1.145542348301092</v>
      </c>
      <c r="MS31" s="27">
        <f>MAX(MS30,PortfolioFrontier[[#This Row],[P89 Growth]])</f>
        <v>1.145542348301092</v>
      </c>
      <c r="MT31" s="27">
        <f>PortfolioFrontier[[#This Row],[P89 Growth]]/PortfolioFrontier[[#This Row],[P89 HWM]]-1</f>
        <v>0</v>
      </c>
      <c r="MU31" s="28">
        <f>SUMPRODUCT(INDEX(PortfolioRef[[SPY]:[PE]],MATCH(MU$1,PortfolioRef[Reference '#]),0),AssetMonthlyReturns[[#This Row],[SPY]:[PE]])</f>
        <v>1.8591210730277405E-2</v>
      </c>
      <c r="MV31" s="27">
        <f>IF(ISNUMBER(MV30),MV30*(1+PortfolioFrontier[[#This Row],[P90 Return]]),1+PortfolioFrontier[[#This Row],[P90 Return]])</f>
        <v>1.139820160252734</v>
      </c>
      <c r="MW31" s="27">
        <f>MAX(MW30,PortfolioFrontier[[#This Row],[P90 Growth]])</f>
        <v>1.139820160252734</v>
      </c>
      <c r="MX31" s="27">
        <f>PortfolioFrontier[[#This Row],[P90 Growth]]/PortfolioFrontier[[#This Row],[P90 HWM]]-1</f>
        <v>0</v>
      </c>
      <c r="MY31" s="28">
        <f>SUMPRODUCT(INDEX(PortfolioRef[[SPY]:[PE]],MATCH(MY$1,PortfolioRef[Reference '#]),0),AssetMonthlyReturns[[#This Row],[SPY]:[PE]])</f>
        <v>1.9218228118030502E-2</v>
      </c>
      <c r="MZ31" s="27">
        <f>IF(ISNUMBER(MZ30),MZ30*(1+PortfolioFrontier[[#This Row],[P91 Return]]),1+PortfolioFrontier[[#This Row],[P91 Return]])</f>
        <v>1.1629532904407611</v>
      </c>
      <c r="NA31" s="27">
        <f>MAX(NA30,PortfolioFrontier[[#This Row],[P91 Growth]])</f>
        <v>1.1629532904407611</v>
      </c>
      <c r="NB31" s="27">
        <f>PortfolioFrontier[[#This Row],[P91 Growth]]/PortfolioFrontier[[#This Row],[P91 HWM]]-1</f>
        <v>0</v>
      </c>
      <c r="NC31" s="28">
        <f>SUMPRODUCT(INDEX(PortfolioRef[[SPY]:[PE]],MATCH(NC$1,PortfolioRef[Reference '#]),0),AssetMonthlyReturns[[#This Row],[SPY]:[PE]])</f>
        <v>2.0083000345517993E-2</v>
      </c>
      <c r="ND31" s="27">
        <f>IF(ISNUMBER(ND30),ND30*(1+PortfolioFrontier[[#This Row],[P92 Return]]),1+PortfolioFrontier[[#This Row],[P92 Return]])</f>
        <v>1.1572884644299457</v>
      </c>
      <c r="NE31" s="27">
        <f>MAX(NE30,PortfolioFrontier[[#This Row],[P92 Growth]])</f>
        <v>1.1572884644299457</v>
      </c>
      <c r="NF31" s="27">
        <f>PortfolioFrontier[[#This Row],[P92 Growth]]/PortfolioFrontier[[#This Row],[P92 HWM]]-1</f>
        <v>0</v>
      </c>
      <c r="NG31" s="28">
        <f>SUMPRODUCT(INDEX(PortfolioRef[[SPY]:[PE]],MATCH(NG$1,PortfolioRef[Reference '#]),0),AssetMonthlyReturns[[#This Row],[SPY]:[PE]])</f>
        <v>2.094777257300548E-2</v>
      </c>
      <c r="NH31" s="27">
        <f>IF(ISNUMBER(NH30),NH30*(1+PortfolioFrontier[[#This Row],[P93 Return]]),1+PortfolioFrontier[[#This Row],[P93 Return]])</f>
        <v>1.151546319001278</v>
      </c>
      <c r="NI31" s="27">
        <f>MAX(NI30,PortfolioFrontier[[#This Row],[P93 Growth]])</f>
        <v>1.151546319001278</v>
      </c>
      <c r="NJ31" s="27">
        <f>PortfolioFrontier[[#This Row],[P93 Growth]]/PortfolioFrontier[[#This Row],[P93 HWM]]-1</f>
        <v>0</v>
      </c>
      <c r="NK31" s="28">
        <f>SUMPRODUCT(INDEX(PortfolioRef[[SPY]:[PE]],MATCH(NK$1,PortfolioRef[Reference '#]),0),AssetMonthlyReturns[[#This Row],[SPY]:[PE]])</f>
        <v>2.1574789960758574E-2</v>
      </c>
      <c r="NL31" s="27">
        <f>IF(ISNUMBER(NL30),NL30*(1+PortfolioFrontier[[#This Row],[P94 Return]]),1+PortfolioFrontier[[#This Row],[P94 Return]])</f>
        <v>1.1747112390123344</v>
      </c>
      <c r="NM31" s="27">
        <f>MAX(NM30,PortfolioFrontier[[#This Row],[P94 Growth]])</f>
        <v>1.1747112390123344</v>
      </c>
      <c r="NN31" s="27">
        <f>PortfolioFrontier[[#This Row],[P94 Growth]]/PortfolioFrontier[[#This Row],[P94 HWM]]-1</f>
        <v>0</v>
      </c>
      <c r="NO31" s="28">
        <f>SUMPRODUCT(INDEX(PortfolioRef[[SPY]:[PE]],MATCH(NO$1,PortfolioRef[Reference '#]),0),AssetMonthlyReturns[[#This Row],[SPY]:[PE]])</f>
        <v>2.2439562188246064E-2</v>
      </c>
      <c r="NP31" s="27">
        <f>IF(ISNUMBER(NP30),NP30*(1+PortfolioFrontier[[#This Row],[P95 Return]]),1+PortfolioFrontier[[#This Row],[P95 Return]])</f>
        <v>1.1690285151584914</v>
      </c>
      <c r="NQ31" s="27">
        <f>MAX(NQ30,PortfolioFrontier[[#This Row],[P95 Growth]])</f>
        <v>1.1690285151584914</v>
      </c>
      <c r="NR31" s="27">
        <f>PortfolioFrontier[[#This Row],[P95 Growth]]/PortfolioFrontier[[#This Row],[P95 HWM]]-1</f>
        <v>0</v>
      </c>
      <c r="NS31" s="28">
        <f>SUMPRODUCT(INDEX(PortfolioRef[[SPY]:[PE]],MATCH(NS$1,PortfolioRef[Reference '#]),0),AssetMonthlyReturns[[#This Row],[SPY]:[PE]])</f>
        <v>2.3304334415733548E-2</v>
      </c>
      <c r="NT31" s="27">
        <f>IF(ISNUMBER(NT30),NT30*(1+PortfolioFrontier[[#This Row],[P96 Return]]),1+PortfolioFrontier[[#This Row],[P96 Return]])</f>
        <v>1.1632672028800872</v>
      </c>
      <c r="NU31" s="27">
        <f>MAX(NU30,PortfolioFrontier[[#This Row],[P96 Growth]])</f>
        <v>1.1632672028800872</v>
      </c>
      <c r="NV31" s="27">
        <f>PortfolioFrontier[[#This Row],[P96 Growth]]/PortfolioFrontier[[#This Row],[P96 HWM]]-1</f>
        <v>0</v>
      </c>
      <c r="NW31" s="28">
        <f>SUMPRODUCT(INDEX(PortfolioRef[[SPY]:[PE]],MATCH(NW$1,PortfolioRef[Reference '#]),0),AssetMonthlyReturns[[#This Row],[SPY]:[PE]])</f>
        <v>1.518107568030351E-2</v>
      </c>
      <c r="NX31" s="27">
        <f>IF(ISNUMBER(NX30),NX30*(1+PortfolioFrontier[[#This Row],[P97 Return]]),1+PortfolioFrontier[[#This Row],[P97 Return]])</f>
        <v>1.1205658116171582</v>
      </c>
      <c r="NY31" s="27">
        <f>MAX(NY30,PortfolioFrontier[[#This Row],[P97 Growth]])</f>
        <v>1.1205658116171582</v>
      </c>
      <c r="NZ31" s="27">
        <f>PortfolioFrontier[[#This Row],[P97 Growth]]/PortfolioFrontier[[#This Row],[P97 HWM]]-1</f>
        <v>0</v>
      </c>
      <c r="OA31" s="28">
        <f>SUMPRODUCT(INDEX(PortfolioRef[[SPY]:[PE]],MATCH(OA$1,PortfolioRef[Reference '#]),0),AssetMonthlyReturns[[#This Row],[SPY]:[PE]])</f>
        <v>1.3838719879145828E-2</v>
      </c>
      <c r="OB31" s="27">
        <f>IF(ISNUMBER(OB30),OB30*(1+PortfolioFrontier[[#This Row],[P98 Return]]),1+PortfolioFrontier[[#This Row],[P98 Return]])</f>
        <v>1.1155705830878779</v>
      </c>
      <c r="OC31" s="27">
        <f>MAX(OC30,PortfolioFrontier[[#This Row],[P98 Growth]])</f>
        <v>1.1155705830878779</v>
      </c>
      <c r="OD31" s="27">
        <f>PortfolioFrontier[[#This Row],[P98 Growth]]/PortfolioFrontier[[#This Row],[P98 HWM]]-1</f>
        <v>0</v>
      </c>
      <c r="OE31" s="28">
        <f>SUMPRODUCT(INDEX(PortfolioRef[[SPY]:[PE]],MATCH(OE$1,PortfolioRef[Reference '#]),0),AssetMonthlyReturns[[#This Row],[SPY]:[PE]])</f>
        <v>1.61952817218739E-2</v>
      </c>
      <c r="OF31" s="27">
        <f>IF(ISNUMBER(OF30),OF30*(1+PortfolioFrontier[[#This Row],[P99 Return]]),1+PortfolioFrontier[[#This Row],[P99 Return]])</f>
        <v>1.1271027767458159</v>
      </c>
      <c r="OG31" s="27">
        <f>MAX(OG30,PortfolioFrontier[[#This Row],[P99 Growth]])</f>
        <v>1.1271027767458159</v>
      </c>
      <c r="OH31" s="27">
        <f>PortfolioFrontier[[#This Row],[P99 Growth]]/PortfolioFrontier[[#This Row],[P99 HWM]]-1</f>
        <v>0</v>
      </c>
      <c r="OI31" s="28">
        <f>SUMPRODUCT(INDEX(PortfolioRef[[SPY]:[PE]],MATCH(OI$1,PortfolioRef[Reference '#]),0),AssetMonthlyReturns[[#This Row],[SPY]:[PE]])</f>
        <v>1.7060053949361387E-2</v>
      </c>
      <c r="OJ31" s="27">
        <f>IF(ISNUMBER(OJ30),OJ30*(1+PortfolioFrontier[[#This Row],[P100 Return]]),1+PortfolioFrontier[[#This Row],[P100 Return]])</f>
        <v>1.1213914977300461</v>
      </c>
      <c r="OK31" s="27">
        <f>MAX(OK30,PortfolioFrontier[[#This Row],[P100 Growth]])</f>
        <v>1.1213914977300461</v>
      </c>
      <c r="OL31" s="27">
        <f>PortfolioFrontier[[#This Row],[P100 Growth]]/PortfolioFrontier[[#This Row],[P100 HWM]]-1</f>
        <v>0</v>
      </c>
      <c r="OM31" s="28">
        <f>SUMPRODUCT(INDEX(PortfolioRef[[SPY]:[PE]],MATCH(OM$1,PortfolioRef[Reference '#]),0),AssetMonthlyReturns[[#This Row],[SPY]:[PE]])</f>
        <v>1.2496364077988143E-2</v>
      </c>
      <c r="ON31" s="27">
        <f>IF(ISNUMBER(ON30),ON30*(1+PortfolioFrontier[[#This Row],[P101 Return]]),1+PortfolioFrontier[[#This Row],[P101 Return]])</f>
        <v>1.1105288899911765</v>
      </c>
      <c r="OO31" s="27">
        <f>MAX(OO30,PortfolioFrontier[[#This Row],[P101 Growth]])</f>
        <v>1.1133618200783288</v>
      </c>
      <c r="OP31" s="27">
        <f>PortfolioFrontier[[#This Row],[P101 Growth]]/PortfolioFrontier[[#This Row],[P101 HWM]]-1</f>
        <v>-2.5444828770516681E-3</v>
      </c>
      <c r="OQ31" s="28">
        <f>SUMPRODUCT(INDEX(PortfolioRef[[SPY]:[PE]],MATCH(OQ$1,PortfolioRef[Reference '#]),0),AssetMonthlyReturns[[#This Row],[SPY]:[PE]])</f>
        <v>1.4852925920716215E-2</v>
      </c>
      <c r="OR31" s="27">
        <f>IF(ISNUMBER(OR30),OR30*(1+PortfolioFrontier[[#This Row],[P102 Return]]),1+PortfolioFrontier[[#This Row],[P102 Return]])</f>
        <v>1.1220747161896565</v>
      </c>
      <c r="OS31" s="27">
        <f>MAX(OS30,PortfolioFrontier[[#This Row],[P102 Growth]])</f>
        <v>1.1220747161896565</v>
      </c>
      <c r="OT31" s="27">
        <f>PortfolioFrontier[[#This Row],[P102 Growth]]/PortfolioFrontier[[#This Row],[P102 HWM]]-1</f>
        <v>0</v>
      </c>
      <c r="OU31" s="28">
        <f>SUMPRODUCT(INDEX(PortfolioRef[[SPY]:[PE]],MATCH(OU$1,PortfolioRef[Reference '#]),0),AssetMonthlyReturns[[#This Row],[SPY]:[PE]])</f>
        <v>1.5717698148203701E-2</v>
      </c>
      <c r="OV31" s="27">
        <f>IF(ISNUMBER(OV30),OV30*(1+PortfolioFrontier[[#This Row],[P103 Return]]),1+PortfolioFrontier[[#This Row],[P103 Return]])</f>
        <v>1.1164142049002479</v>
      </c>
      <c r="OW31" s="27">
        <f>MAX(OW30,PortfolioFrontier[[#This Row],[P103 Growth]])</f>
        <v>1.1164142049002479</v>
      </c>
      <c r="OX31" s="27">
        <f>PortfolioFrontier[[#This Row],[P103 Growth]]/PortfolioFrontier[[#This Row],[P103 HWM]]-1</f>
        <v>0</v>
      </c>
      <c r="OY31" s="28">
        <f>SUMPRODUCT(INDEX(PortfolioRef[[SPY]:[PE]],MATCH(OY$1,PortfolioRef[Reference '#]),0),AssetMonthlyReturns[[#This Row],[SPY]:[PE]])</f>
        <v>1.7209487763444286E-2</v>
      </c>
      <c r="OZ31" s="27">
        <f>IF(ISNUMBER(OZ30),OZ30*(1+PortfolioFrontier[[#This Row],[P104 Return]]),1+PortfolioFrontier[[#This Row],[P104 Return]])</f>
        <v>1.1336174758687461</v>
      </c>
      <c r="PA31" s="27">
        <f>MAX(PA30,PortfolioFrontier[[#This Row],[P104 Growth]])</f>
        <v>1.1336174758687461</v>
      </c>
      <c r="PB31" s="27">
        <f>PortfolioFrontier[[#This Row],[P104 Growth]]/PortfolioFrontier[[#This Row],[P104 HWM]]-1</f>
        <v>0</v>
      </c>
      <c r="PC31" s="28">
        <f>SUMPRODUCT(INDEX(PortfolioRef[[SPY]:[PE]],MATCH(PC$1,PortfolioRef[Reference '#]),0),AssetMonthlyReturns[[#This Row],[SPY]:[PE]])</f>
        <v>1.8074259990931773E-2</v>
      </c>
      <c r="PD31" s="27">
        <f>IF(ISNUMBER(PD30),PD30*(1+PortfolioFrontier[[#This Row],[P105 Return]]),1+PortfolioFrontier[[#This Row],[P105 Return]])</f>
        <v>1.1279365151737275</v>
      </c>
      <c r="PE31" s="27">
        <f>MAX(PE30,PortfolioFrontier[[#This Row],[P105 Growth]])</f>
        <v>1.1279365151737275</v>
      </c>
      <c r="PF31" s="27">
        <f>PortfolioFrontier[[#This Row],[P105 Growth]]/PortfolioFrontier[[#This Row],[P105 HWM]]-1</f>
        <v>0</v>
      </c>
      <c r="PG31" s="28">
        <f>SUMPRODUCT(INDEX(PortfolioRef[[SPY]:[PE]],MATCH(PG$1,PortfolioRef[Reference '#]),0),AssetMonthlyReturns[[#This Row],[SPY]:[PE]])</f>
        <v>1.8939032218419263E-2</v>
      </c>
      <c r="PH31" s="27">
        <f>IF(ISNUMBER(PH30),PH30*(1+PortfolioFrontier[[#This Row],[P106 Return]]),1+PortfolioFrontier[[#This Row],[P106 Return]])</f>
        <v>1.122182029205119</v>
      </c>
      <c r="PI31" s="27">
        <f>MAX(PI30,PortfolioFrontier[[#This Row],[P106 Growth]])</f>
        <v>1.122182029205119</v>
      </c>
      <c r="PJ31" s="27">
        <f>PortfolioFrontier[[#This Row],[P106 Growth]]/PortfolioFrontier[[#This Row],[P106 HWM]]-1</f>
        <v>0</v>
      </c>
      <c r="PK31" s="28">
        <f>SUMPRODUCT(INDEX(PortfolioRef[[SPY]:[PE]],MATCH(PK$1,PortfolioRef[Reference '#]),0),AssetMonthlyReturns[[#This Row],[SPY]:[PE]])</f>
        <v>1.3510570119558529E-2</v>
      </c>
      <c r="PL31" s="27">
        <f>IF(ISNUMBER(PL30),PL30*(1+PortfolioFrontier[[#This Row],[P107 Return]]),1+PortfolioFrontier[[#This Row],[P107 Return]])</f>
        <v>1.117000049210717</v>
      </c>
      <c r="PM31" s="27">
        <f>MAX(PM30,PortfolioFrontier[[#This Row],[P107 Growth]])</f>
        <v>1.117000049210717</v>
      </c>
      <c r="PN31" s="27">
        <f>PortfolioFrontier[[#This Row],[P107 Growth]]/PortfolioFrontier[[#This Row],[P107 HWM]]-1</f>
        <v>0</v>
      </c>
      <c r="PO31" s="28">
        <f>SUMPRODUCT(INDEX(PortfolioRef[[SPY]:[PE]],MATCH(PO$1,PortfolioRef[Reference '#]),0),AssetMonthlyReturns[[#This Row],[SPY]:[PE]])</f>
        <v>1.4375342347046016E-2</v>
      </c>
      <c r="PP31" s="27">
        <f>IF(ISNUMBER(PP30),PP30*(1+PortfolioFrontier[[#This Row],[P108 Return]]),1+PortfolioFrontier[[#This Row],[P108 Return]])</f>
        <v>1.1113902286631052</v>
      </c>
      <c r="PQ31" s="27">
        <f>MAX(PQ30,PortfolioFrontier[[#This Row],[P108 Growth]])</f>
        <v>1.1121091386149522</v>
      </c>
      <c r="PR31" s="27">
        <f>PortfolioFrontier[[#This Row],[P108 Growth]]/PortfolioFrontier[[#This Row],[P108 HWM]]-1</f>
        <v>-6.4643830977084704E-4</v>
      </c>
      <c r="PS31" s="28">
        <f>SUMPRODUCT(INDEX(PortfolioRef[[SPY]:[PE]],MATCH(PS$1,PortfolioRef[Reference '#]),0),AssetMonthlyReturns[[#This Row],[SPY]:[PE]])</f>
        <v>1.5867131962286601E-2</v>
      </c>
      <c r="PT31" s="27">
        <f>IF(ISNUMBER(PT30),PT30*(1+PortfolioFrontier[[#This Row],[P109 Return]]),1+PortfolioFrontier[[#This Row],[P109 Return]])</f>
        <v>1.1285566292854516</v>
      </c>
      <c r="PU31" s="27">
        <f>MAX(PU30,PortfolioFrontier[[#This Row],[P109 Growth]])</f>
        <v>1.1285566292854516</v>
      </c>
      <c r="PV31" s="27">
        <f>PortfolioFrontier[[#This Row],[P109 Growth]]/PortfolioFrontier[[#This Row],[P109 HWM]]-1</f>
        <v>0</v>
      </c>
      <c r="PW31" s="28">
        <f>SUMPRODUCT(INDEX(PortfolioRef[[SPY]:[PE]],MATCH(PW$1,PortfolioRef[Reference '#]),0),AssetMonthlyReturns[[#This Row],[SPY]:[PE]])</f>
        <v>1.6731904189774088E-2</v>
      </c>
      <c r="PX31" s="27">
        <f>IF(ISNUMBER(PX30),PX30*(1+PortfolioFrontier[[#This Row],[P110 Return]]),1+PortfolioFrontier[[#This Row],[P110 Return]])</f>
        <v>1.1229264772686551</v>
      </c>
      <c r="PY31" s="27">
        <f>MAX(PY30,PortfolioFrontier[[#This Row],[P110 Growth]])</f>
        <v>1.1229264772686551</v>
      </c>
      <c r="PZ31" s="27">
        <f>PortfolioFrontier[[#This Row],[P110 Growth]]/PortfolioFrontier[[#This Row],[P110 HWM]]-1</f>
        <v>0</v>
      </c>
      <c r="QA31" s="28">
        <f>SUMPRODUCT(INDEX(PortfolioRef[[SPY]:[PE]],MATCH(QA$1,PortfolioRef[Reference '#]),0),AssetMonthlyReturns[[#This Row],[SPY]:[PE]])</f>
        <v>1.7596676417261578E-2</v>
      </c>
      <c r="QB31" s="27">
        <f>IF(ISNUMBER(QB30),QB30*(1+PortfolioFrontier[[#This Row],[P111 Return]]),1+PortfolioFrontier[[#This Row],[P111 Return]])</f>
        <v>1.117222848620177</v>
      </c>
      <c r="QC31" s="27">
        <f>MAX(QC30,PortfolioFrontier[[#This Row],[P111 Growth]])</f>
        <v>1.117222848620177</v>
      </c>
      <c r="QD31" s="27">
        <f>PortfolioFrontier[[#This Row],[P111 Growth]]/PortfolioFrontier[[#This Row],[P111 HWM]]-1</f>
        <v>0</v>
      </c>
      <c r="QE31" s="28">
        <f>SUMPRODUCT(INDEX(PortfolioRef[[SPY]:[PE]],MATCH(QE$1,PortfolioRef[Reference '#]),0),AssetMonthlyReturns[[#This Row],[SPY]:[PE]])</f>
        <v>1.8223693805014672E-2</v>
      </c>
      <c r="QF31" s="27">
        <f>IF(ISNUMBER(QF30),QF30*(1+PortfolioFrontier[[#This Row],[P112 Return]]),1+PortfolioFrontier[[#This Row],[P112 Return]])</f>
        <v>1.1401090429169298</v>
      </c>
      <c r="QG31" s="27">
        <f>MAX(QG30,PortfolioFrontier[[#This Row],[P112 Growth]])</f>
        <v>1.1401090429169298</v>
      </c>
      <c r="QH31" s="27">
        <f>PortfolioFrontier[[#This Row],[P112 Growth]]/PortfolioFrontier[[#This Row],[P112 HWM]]-1</f>
        <v>0</v>
      </c>
      <c r="QI31" s="28">
        <f>SUMPRODUCT(INDEX(PortfolioRef[[SPY]:[PE]],MATCH(QI$1,PortfolioRef[Reference '#]),0),AssetMonthlyReturns[[#This Row],[SPY]:[PE]])</f>
        <v>1.9088466032502163E-2</v>
      </c>
      <c r="QJ31" s="27">
        <f>IF(ISNUMBER(QJ30),QJ30*(1+PortfolioFrontier[[#This Row],[P113 Return]]),1+PortfolioFrontier[[#This Row],[P113 Return]])</f>
        <v>1.134459326630517</v>
      </c>
      <c r="QK31" s="27">
        <f>MAX(QK30,PortfolioFrontier[[#This Row],[P113 Growth]])</f>
        <v>1.134459326630517</v>
      </c>
      <c r="QL31" s="27">
        <f>PortfolioFrontier[[#This Row],[P113 Growth]]/PortfolioFrontier[[#This Row],[P113 HWM]]-1</f>
        <v>0</v>
      </c>
      <c r="QM31" s="28">
        <f>SUMPRODUCT(INDEX(PortfolioRef[[SPY]:[PE]],MATCH(QM$1,PortfolioRef[Reference '#]),0),AssetMonthlyReturns[[#This Row],[SPY]:[PE]])</f>
        <v>1.9953238259989646E-2</v>
      </c>
      <c r="QN31" s="27">
        <f>IF(ISNUMBER(QN30),QN30*(1+PortfolioFrontier[[#This Row],[P114 Return]]),1+PortfolioFrontier[[#This Row],[P114 Return]])</f>
        <v>1.1287349053530367</v>
      </c>
      <c r="QO31" s="27">
        <f>MAX(QO30,PortfolioFrontier[[#This Row],[P114 Growth]])</f>
        <v>1.1287349053530367</v>
      </c>
      <c r="QP31" s="27">
        <f>PortfolioFrontier[[#This Row],[P114 Growth]]/PortfolioFrontier[[#This Row],[P114 HWM]]-1</f>
        <v>0</v>
      </c>
      <c r="QQ31" s="28">
        <f>SUMPRODUCT(INDEX(PortfolioRef[[SPY]:[PE]],MATCH(QQ$1,PortfolioRef[Reference '#]),0),AssetMonthlyReturns[[#This Row],[SPY]:[PE]])</f>
        <v>1.4524776161128915E-2</v>
      </c>
      <c r="QR31" s="27">
        <f>IF(ISNUMBER(QR30),QR30*(1+PortfolioFrontier[[#This Row],[P115 Return]]),1+PortfolioFrontier[[#This Row],[P115 Return]])</f>
        <v>1.1234490362543808</v>
      </c>
      <c r="QS31" s="27">
        <f>MAX(QS30,PortfolioFrontier[[#This Row],[P115 Growth]])</f>
        <v>1.1234490362543808</v>
      </c>
      <c r="QT31" s="27">
        <f>PortfolioFrontier[[#This Row],[P115 Growth]]/PortfolioFrontier[[#This Row],[P115 HWM]]-1</f>
        <v>0</v>
      </c>
      <c r="QU31" s="28">
        <f>SUMPRODUCT(INDEX(PortfolioRef[[SPY]:[PE]],MATCH(QU$1,PortfolioRef[Reference '#]),0),AssetMonthlyReturns[[#This Row],[SPY]:[PE]])</f>
        <v>1.5389548388616402E-2</v>
      </c>
      <c r="QV31" s="27">
        <f>IF(ISNUMBER(QV30),QV30*(1+PortfolioFrontier[[#This Row],[P116 Return]]),1+PortfolioFrontier[[#This Row],[P116 Return]])</f>
        <v>1.1178696128073189</v>
      </c>
      <c r="QW31" s="27">
        <f>MAX(QW30,PortfolioFrontier[[#This Row],[P116 Growth]])</f>
        <v>1.1178696128073189</v>
      </c>
      <c r="QX31" s="27">
        <f>PortfolioFrontier[[#This Row],[P116 Growth]]/PortfolioFrontier[[#This Row],[P116 HWM]]-1</f>
        <v>0</v>
      </c>
      <c r="QY31" s="28">
        <f>SUMPRODUCT(INDEX(PortfolioRef[[SPY]:[PE]],MATCH(QY$1,PortfolioRef[Reference '#]),0),AssetMonthlyReturns[[#This Row],[SPY]:[PE]])</f>
        <v>1.6254320616103889E-2</v>
      </c>
      <c r="QZ31" s="27">
        <f>IF(ISNUMBER(QZ30),QZ30*(1+PortfolioFrontier[[#This Row],[P117 Return]]),1+PortfolioFrontier[[#This Row],[P117 Return]])</f>
        <v>1.1122167675361905</v>
      </c>
      <c r="RA31" s="27">
        <f>MAX(RA30,PortfolioFrontier[[#This Row],[P117 Growth]])</f>
        <v>1.1122167675361905</v>
      </c>
      <c r="RB31" s="27">
        <f>PortfolioFrontier[[#This Row],[P117 Growth]]/PortfolioFrontier[[#This Row],[P117 HWM]]-1</f>
        <v>0</v>
      </c>
      <c r="RC31" s="28">
        <f>SUMPRODUCT(INDEX(PortfolioRef[[SPY]:[PE]],MATCH(RC$1,PortfolioRef[Reference '#]),0),AssetMonthlyReturns[[#This Row],[SPY]:[PE]])</f>
        <v>1.6881338003856987E-2</v>
      </c>
      <c r="RD31" s="27">
        <f>IF(ISNUMBER(RD30),RD30*(1+PortfolioFrontier[[#This Row],[P118 Return]]),1+PortfolioFrontier[[#This Row],[P118 Return]])</f>
        <v>1.1350154598380386</v>
      </c>
      <c r="RE31" s="27">
        <f>MAX(RE30,PortfolioFrontier[[#This Row],[P118 Growth]])</f>
        <v>1.1350154598380386</v>
      </c>
      <c r="RF31" s="27">
        <f>PortfolioFrontier[[#This Row],[P118 Growth]]/PortfolioFrontier[[#This Row],[P118 HWM]]-1</f>
        <v>0</v>
      </c>
      <c r="RG31" s="28">
        <f>SUMPRODUCT(INDEX(PortfolioRef[[SPY]:[PE]],MATCH(RG$1,PortfolioRef[Reference '#]),0),AssetMonthlyReturns[[#This Row],[SPY]:[PE]])</f>
        <v>1.7746110231344477E-2</v>
      </c>
      <c r="RH31" s="27">
        <f>IF(ISNUMBER(RH30),RH30*(1+PortfolioFrontier[[#This Row],[P119 Return]]),1+PortfolioFrontier[[#This Row],[P119 Return]])</f>
        <v>1.129416589103698</v>
      </c>
      <c r="RI31" s="27">
        <f>MAX(RI30,PortfolioFrontier[[#This Row],[P119 Growth]])</f>
        <v>1.129416589103698</v>
      </c>
      <c r="RJ31" s="27">
        <f>PortfolioFrontier[[#This Row],[P119 Growth]]/PortfolioFrontier[[#This Row],[P119 HWM]]-1</f>
        <v>0</v>
      </c>
      <c r="RK31" s="28">
        <f>SUMPRODUCT(INDEX(PortfolioRef[[SPY]:[PE]],MATCH(RK$1,PortfolioRef[Reference '#]),0),AssetMonthlyReturns[[#This Row],[SPY]:[PE]])</f>
        <v>1.8610882458831961E-2</v>
      </c>
      <c r="RL31" s="27">
        <f>IF(ISNUMBER(RL30),RL30*(1+PortfolioFrontier[[#This Row],[P120 Return]]),1+PortfolioFrontier[[#This Row],[P120 Return]])</f>
        <v>1.1237430677500322</v>
      </c>
      <c r="RM31" s="27">
        <f>MAX(RM30,PortfolioFrontier[[#This Row],[P120 Growth]])</f>
        <v>1.1237430677500322</v>
      </c>
      <c r="RN31" s="27">
        <f>PortfolioFrontier[[#This Row],[P120 Growth]]/PortfolioFrontier[[#This Row],[P120 HWM]]-1</f>
        <v>0</v>
      </c>
      <c r="RO31" s="28">
        <f>SUMPRODUCT(INDEX(PortfolioRef[[SPY]:[PE]],MATCH(RO$1,PortfolioRef[Reference '#]),0),AssetMonthlyReturns[[#This Row],[SPY]:[PE]])</f>
        <v>1.9237899846585058E-2</v>
      </c>
      <c r="RP31" s="27">
        <f>IF(ISNUMBER(RP30),RP30*(1+PortfolioFrontier[[#This Row],[P121 Return]]),1+PortfolioFrontier[[#This Row],[P121 Return]])</f>
        <v>1.1465766082010636</v>
      </c>
      <c r="RQ31" s="27">
        <f>MAX(RQ30,PortfolioFrontier[[#This Row],[P121 Growth]])</f>
        <v>1.1465766082010636</v>
      </c>
      <c r="RR31" s="27">
        <f>PortfolioFrontier[[#This Row],[P121 Growth]]/PortfolioFrontier[[#This Row],[P121 HWM]]-1</f>
        <v>0</v>
      </c>
      <c r="RS31" s="28">
        <f>SUMPRODUCT(INDEX(PortfolioRef[[SPY]:[PE]],MATCH(RS$1,PortfolioRef[Reference '#]),0),AssetMonthlyReturns[[#This Row],[SPY]:[PE]])</f>
        <v>2.0102672074072549E-2</v>
      </c>
      <c r="RT31" s="27">
        <f>IF(ISNUMBER(RT30),RT30*(1+PortfolioFrontier[[#This Row],[P122 Return]]),1+PortfolioFrontier[[#This Row],[P122 Return]])</f>
        <v>1.1409590661664393</v>
      </c>
      <c r="RU31" s="27">
        <f>MAX(RU30,PortfolioFrontier[[#This Row],[P122 Growth]])</f>
        <v>1.1409590661664393</v>
      </c>
      <c r="RV31" s="27">
        <f>PortfolioFrontier[[#This Row],[P122 Growth]]/PortfolioFrontier[[#This Row],[P122 HWM]]-1</f>
        <v>0</v>
      </c>
      <c r="RW31" s="28">
        <f>SUMPRODUCT(INDEX(PortfolioRef[[SPY]:[PE]],MATCH(RW$1,PortfolioRef[Reference '#]),0),AssetMonthlyReturns[[#This Row],[SPY]:[PE]])</f>
        <v>2.0967444301560036E-2</v>
      </c>
      <c r="RX31" s="27">
        <f>IF(ISNUMBER(RX30),RX30*(1+PortfolioFrontier[[#This Row],[P123 Return]]),1+PortfolioFrontier[[#This Row],[P123 Return]])</f>
        <v>1.1352656359916529</v>
      </c>
      <c r="RY31" s="27">
        <f>MAX(RY30,PortfolioFrontier[[#This Row],[P123 Growth]])</f>
        <v>1.1352656359916529</v>
      </c>
      <c r="RZ31" s="27">
        <f>PortfolioFrontier[[#This Row],[P123 Growth]]/PortfolioFrontier[[#This Row],[P123 HWM]]-1</f>
        <v>0</v>
      </c>
      <c r="SA31" s="28">
        <f>SUMPRODUCT(INDEX(PortfolioRef[[SPY]:[PE]],MATCH(SA$1,PortfolioRef[Reference '#]),0),AssetMonthlyReturns[[#This Row],[SPY]:[PE]])</f>
        <v>1.5538982202699302E-2</v>
      </c>
      <c r="SB31" s="27">
        <f>IF(ISNUMBER(SB30),SB30*(1+PortfolioFrontier[[#This Row],[P124 Return]]),1+PortfolioFrontier[[#This Row],[P124 Return]])</f>
        <v>1.1298749921409386</v>
      </c>
      <c r="SC31" s="27">
        <f>MAX(SC30,PortfolioFrontier[[#This Row],[P124 Growth]])</f>
        <v>1.1298749921409386</v>
      </c>
      <c r="SD31" s="27">
        <f>PortfolioFrontier[[#This Row],[P124 Growth]]/PortfolioFrontier[[#This Row],[P124 HWM]]-1</f>
        <v>0</v>
      </c>
      <c r="SE31" s="28">
        <f>SUMPRODUCT(INDEX(PortfolioRef[[SPY]:[PE]],MATCH(SE$1,PortfolioRef[Reference '#]),0),AssetMonthlyReturns[[#This Row],[SPY]:[PE]])</f>
        <v>1.6403754430186789E-2</v>
      </c>
      <c r="SF31" s="27">
        <f>IF(ISNUMBER(SF30),SF30*(1+PortfolioFrontier[[#This Row],[P125 Return]]),1+PortfolioFrontier[[#This Row],[P125 Return]])</f>
        <v>1.1243268837019014</v>
      </c>
      <c r="SG31" s="27">
        <f>MAX(SG30,PortfolioFrontier[[#This Row],[P125 Growth]])</f>
        <v>1.1243268837019014</v>
      </c>
      <c r="SH31" s="27">
        <f>PortfolioFrontier[[#This Row],[P125 Growth]]/PortfolioFrontier[[#This Row],[P125 HWM]]-1</f>
        <v>0</v>
      </c>
      <c r="SI31" s="28">
        <f>SUMPRODUCT(INDEX(PortfolioRef[[SPY]:[PE]],MATCH(SI$1,PortfolioRef[Reference '#]),0),AssetMonthlyReturns[[#This Row],[SPY]:[PE]])</f>
        <v>1.7268526657674275E-2</v>
      </c>
      <c r="SJ31" s="27">
        <f>IF(ISNUMBER(SJ30),SJ30*(1+PortfolioFrontier[[#This Row],[P126 Return]]),1+PortfolioFrontier[[#This Row],[P126 Return]])</f>
        <v>1.1187041852118251</v>
      </c>
      <c r="SK31" s="27">
        <f>MAX(SK30,PortfolioFrontier[[#This Row],[P126 Growth]])</f>
        <v>1.1187041852118251</v>
      </c>
      <c r="SL31" s="27">
        <f>PortfolioFrontier[[#This Row],[P126 Growth]]/PortfolioFrontier[[#This Row],[P126 HWM]]-1</f>
        <v>0</v>
      </c>
      <c r="SM31" s="28">
        <f>SUMPRODUCT(INDEX(PortfolioRef[[SPY]:[PE]],MATCH(SM$1,PortfolioRef[Reference '#]),0),AssetMonthlyReturns[[#This Row],[SPY]:[PE]])</f>
        <v>1.7895544045427373E-2</v>
      </c>
      <c r="SN31" s="27">
        <f>IF(ISNUMBER(SN30),SN30*(1+PortfolioFrontier[[#This Row],[P127 Return]]),1+PortfolioFrontier[[#This Row],[P127 Return]])</f>
        <v>1.1414503417092516</v>
      </c>
      <c r="SO31" s="27">
        <f>MAX(SO30,PortfolioFrontier[[#This Row],[P127 Growth]])</f>
        <v>1.1414503417092516</v>
      </c>
      <c r="SP31" s="27">
        <f>PortfolioFrontier[[#This Row],[P127 Growth]]/PortfolioFrontier[[#This Row],[P127 HWM]]-1</f>
        <v>0</v>
      </c>
      <c r="SQ31" s="28">
        <f>SUMPRODUCT(INDEX(PortfolioRef[[SPY]:[PE]],MATCH(SQ$1,PortfolioRef[Reference '#]),0),AssetMonthlyReturns[[#This Row],[SPY]:[PE]])</f>
        <v>1.8760316272914863E-2</v>
      </c>
      <c r="SR31" s="27">
        <f>IF(ISNUMBER(SR30),SR30*(1+PortfolioFrontier[[#This Row],[P128 Return]]),1+PortfolioFrontier[[#This Row],[P128 Return]])</f>
        <v>1.1358836779891786</v>
      </c>
      <c r="SS31" s="27">
        <f>MAX(SS30,PortfolioFrontier[[#This Row],[P128 Growth]])</f>
        <v>1.1358836779891786</v>
      </c>
      <c r="ST31" s="27">
        <f>PortfolioFrontier[[#This Row],[P128 Growth]]/PortfolioFrontier[[#This Row],[P128 HWM]]-1</f>
        <v>0</v>
      </c>
      <c r="SU31" s="28">
        <f>SUMPRODUCT(INDEX(PortfolioRef[[SPY]:[PE]],MATCH(SU$1,PortfolioRef[Reference '#]),0),AssetMonthlyReturns[[#This Row],[SPY]:[PE]])</f>
        <v>1.962508850040235E-2</v>
      </c>
      <c r="SV31" s="27">
        <f>IF(ISNUMBER(SV30),SV30*(1+PortfolioFrontier[[#This Row],[P129 Return]]),1+PortfolioFrontier[[#This Row],[P129 Return]])</f>
        <v>1.130241186279104</v>
      </c>
      <c r="SW31" s="27">
        <f>MAX(SW30,PortfolioFrontier[[#This Row],[P129 Growth]])</f>
        <v>1.130241186279104</v>
      </c>
      <c r="SX31" s="27">
        <f>PortfolioFrontier[[#This Row],[P129 Growth]]/PortfolioFrontier[[#This Row],[P129 HWM]]-1</f>
        <v>0</v>
      </c>
      <c r="SY31" s="28">
        <f>SUMPRODUCT(INDEX(PortfolioRef[[SPY]:[PE]],MATCH(SY$1,PortfolioRef[Reference '#]),0),AssetMonthlyReturns[[#This Row],[SPY]:[PE]])</f>
        <v>2.0252105888155444E-2</v>
      </c>
      <c r="SZ31" s="27">
        <f>IF(ISNUMBER(SZ30),SZ30*(1+PortfolioFrontier[[#This Row],[P130 Return]]),1+PortfolioFrontier[[#This Row],[P130 Return]])</f>
        <v>1.1530192985350012</v>
      </c>
      <c r="TA31" s="27">
        <f>MAX(TA30,PortfolioFrontier[[#This Row],[P130 Growth]])</f>
        <v>1.1530192985350012</v>
      </c>
      <c r="TB31" s="27">
        <f>PortfolioFrontier[[#This Row],[P130 Growth]]/PortfolioFrontier[[#This Row],[P130 HWM]]-1</f>
        <v>0</v>
      </c>
      <c r="TC31" s="28">
        <f>SUMPRODUCT(INDEX(PortfolioRef[[SPY]:[PE]],MATCH(TC$1,PortfolioRef[Reference '#]),0),AssetMonthlyReturns[[#This Row],[SPY]:[PE]])</f>
        <v>2.1116878115642935E-2</v>
      </c>
      <c r="TD31" s="27">
        <f>IF(ISNUMBER(TD30),TD30*(1+PortfolioFrontier[[#This Row],[P131 Return]]),1+PortfolioFrontier[[#This Row],[P131 Return]])</f>
        <v>1.1474348642213985</v>
      </c>
      <c r="TE31" s="27">
        <f>MAX(TE30,PortfolioFrontier[[#This Row],[P131 Growth]])</f>
        <v>1.1474348642213985</v>
      </c>
      <c r="TF31" s="27">
        <f>PortfolioFrontier[[#This Row],[P131 Growth]]/PortfolioFrontier[[#This Row],[P131 HWM]]-1</f>
        <v>0</v>
      </c>
      <c r="TG31" s="28">
        <f>SUMPRODUCT(INDEX(PortfolioRef[[SPY]:[PE]],MATCH(TG$1,PortfolioRef[Reference '#]),0),AssetMonthlyReturns[[#This Row],[SPY]:[PE]])</f>
        <v>2.1981650343130418E-2</v>
      </c>
      <c r="TH31" s="27">
        <f>IF(ISNUMBER(TH30),TH30*(1+PortfolioFrontier[[#This Row],[P132 Return]]),1+PortfolioFrontier[[#This Row],[P132 Return]])</f>
        <v>1.1417733553426934</v>
      </c>
      <c r="TI31" s="27">
        <f>MAX(TI30,PortfolioFrontier[[#This Row],[P132 Growth]])</f>
        <v>1.1417733553426934</v>
      </c>
      <c r="TJ31" s="27">
        <f>PortfolioFrontier[[#This Row],[P132 Growth]]/PortfolioFrontier[[#This Row],[P132 HWM]]-1</f>
        <v>0</v>
      </c>
      <c r="TK31" s="28">
        <f>SUMPRODUCT(INDEX(PortfolioRef[[SPY]:[PE]],MATCH(TK$1,PortfolioRef[Reference '#]),0),AssetMonthlyReturns[[#This Row],[SPY]:[PE]])</f>
        <v>1.6553188244269688E-2</v>
      </c>
      <c r="TL31" s="27">
        <f>IF(ISNUMBER(TL30),TL30*(1+PortfolioFrontier[[#This Row],[P133 Return]]),1+PortfolioFrontier[[#This Row],[P133 Return]])</f>
        <v>1.1362770543075105</v>
      </c>
      <c r="TM31" s="27">
        <f>MAX(TM30,PortfolioFrontier[[#This Row],[P133 Growth]])</f>
        <v>1.1362770543075105</v>
      </c>
      <c r="TN31" s="27">
        <f>PortfolioFrontier[[#This Row],[P133 Growth]]/PortfolioFrontier[[#This Row],[P133 HWM]]-1</f>
        <v>0</v>
      </c>
      <c r="TO31" s="28">
        <f>SUMPRODUCT(INDEX(PortfolioRef[[SPY]:[PE]],MATCH(TO$1,PortfolioRef[Reference '#]),0),AssetMonthlyReturns[[#This Row],[SPY]:[PE]])</f>
        <v>1.7417960471757175E-2</v>
      </c>
      <c r="TP31" s="27">
        <f>IF(ISNUMBER(TP30),TP30*(1+PortfolioFrontier[[#This Row],[P134 Return]]),1+PortfolioFrontier[[#This Row],[P134 Return]])</f>
        <v>1.1307611824727282</v>
      </c>
      <c r="TQ31" s="27">
        <f>MAX(TQ30,PortfolioFrontier[[#This Row],[P134 Growth]])</f>
        <v>1.1307611824727282</v>
      </c>
      <c r="TR31" s="27">
        <f>PortfolioFrontier[[#This Row],[P134 Growth]]/PortfolioFrontier[[#This Row],[P134 HWM]]-1</f>
        <v>0</v>
      </c>
      <c r="TS31" s="28">
        <f>SUMPRODUCT(INDEX(PortfolioRef[[SPY]:[PE]],MATCH(TS$1,PortfolioRef[Reference '#]),0),AssetMonthlyReturns[[#This Row],[SPY]:[PE]])</f>
        <v>1.8282732699244665E-2</v>
      </c>
      <c r="TT31" s="27">
        <f>IF(ISNUMBER(TT30),TT30*(1+PortfolioFrontier[[#This Row],[P135 Return]]),1+PortfolioFrontier[[#This Row],[P135 Return]])</f>
        <v>1.125169549025189</v>
      </c>
      <c r="TU31" s="27">
        <f>MAX(TU30,PortfolioFrontier[[#This Row],[P135 Growth]])</f>
        <v>1.125169549025189</v>
      </c>
      <c r="TV31" s="27">
        <f>PortfolioFrontier[[#This Row],[P135 Growth]]/PortfolioFrontier[[#This Row],[P135 HWM]]-1</f>
        <v>0</v>
      </c>
      <c r="TW31" s="28">
        <f>SUMPRODUCT(INDEX(PortfolioRef[[SPY]:[PE]],MATCH(TW$1,PortfolioRef[Reference '#]),0),AssetMonthlyReturns[[#This Row],[SPY]:[PE]])</f>
        <v>1.8909750086997759E-2</v>
      </c>
      <c r="TX31" s="27">
        <f>IF(ISNUMBER(TX30),TX30*(1+PortfolioFrontier[[#This Row],[P136 Return]]),1+PortfolioFrontier[[#This Row],[P136 Return]])</f>
        <v>1.1478604052830148</v>
      </c>
      <c r="TY31" s="27">
        <f>MAX(TY30,PortfolioFrontier[[#This Row],[P136 Growth]])</f>
        <v>1.1478604052830148</v>
      </c>
      <c r="TZ31" s="27">
        <f>PortfolioFrontier[[#This Row],[P136 Growth]]/PortfolioFrontier[[#This Row],[P136 HWM]]-1</f>
        <v>0</v>
      </c>
      <c r="UA31" s="28">
        <f>SUMPRODUCT(INDEX(PortfolioRef[[SPY]:[PE]],MATCH(UA$1,PortfolioRef[Reference '#]),0),AssetMonthlyReturns[[#This Row],[SPY]:[PE]])</f>
        <v>1.977452231448525E-2</v>
      </c>
      <c r="UB31" s="27">
        <f>IF(ISNUMBER(UB30),UB30*(1+PortfolioFrontier[[#This Row],[P137 Return]]),1+PortfolioFrontier[[#This Row],[P137 Return]])</f>
        <v>1.1423268779020681</v>
      </c>
      <c r="UC31" s="27">
        <f>MAX(UC30,PortfolioFrontier[[#This Row],[P137 Growth]])</f>
        <v>1.1423268779020681</v>
      </c>
      <c r="UD31" s="27">
        <f>PortfolioFrontier[[#This Row],[P137 Growth]]/PortfolioFrontier[[#This Row],[P137 HWM]]-1</f>
        <v>0</v>
      </c>
      <c r="UE31" s="28">
        <f>SUMPRODUCT(INDEX(PortfolioRef[[SPY]:[PE]],MATCH(UE$1,PortfolioRef[Reference '#]),0),AssetMonthlyReturns[[#This Row],[SPY]:[PE]])</f>
        <v>2.0639294541972733E-2</v>
      </c>
      <c r="UF31" s="27">
        <f>IF(ISNUMBER(UF30),UF30*(1+PortfolioFrontier[[#This Row],[P138 Return]]),1+PortfolioFrontier[[#This Row],[P138 Return]])</f>
        <v>1.1367163419328135</v>
      </c>
      <c r="UG31" s="27">
        <f>MAX(UG30,PortfolioFrontier[[#This Row],[P138 Growth]])</f>
        <v>1.1367163419328135</v>
      </c>
      <c r="UH31" s="27">
        <f>PortfolioFrontier[[#This Row],[P138 Growth]]/PortfolioFrontier[[#This Row],[P138 HWM]]-1</f>
        <v>0</v>
      </c>
      <c r="UI31" s="28">
        <f>SUMPRODUCT(INDEX(PortfolioRef[[SPY]:[PE]],MATCH(UI$1,PortfolioRef[Reference '#]),0),AssetMonthlyReturns[[#This Row],[SPY]:[PE]])</f>
        <v>2.1266311929725834E-2</v>
      </c>
      <c r="UJ31" s="27">
        <f>IF(ISNUMBER(UJ30),UJ30*(1+PortfolioFrontier[[#This Row],[P139 Return]]),1+PortfolioFrontier[[#This Row],[P139 Return]])</f>
        <v>1.159436237360973</v>
      </c>
      <c r="UK31" s="27">
        <f>MAX(UK30,PortfolioFrontier[[#This Row],[P139 Growth]])</f>
        <v>1.159436237360973</v>
      </c>
      <c r="UL31" s="27">
        <f>PortfolioFrontier[[#This Row],[P139 Growth]]/PortfolioFrontier[[#This Row],[P139 HWM]]-1</f>
        <v>0</v>
      </c>
      <c r="UM31" s="28">
        <f>SUMPRODUCT(INDEX(PortfolioRef[[SPY]:[PE]],MATCH(UM$1,PortfolioRef[Reference '#]),0),AssetMonthlyReturns[[#This Row],[SPY]:[PE]])</f>
        <v>2.2131084157213321E-2</v>
      </c>
      <c r="UN31" s="27">
        <f>IF(ISNUMBER(UN30),UN30*(1+PortfolioFrontier[[#This Row],[P140 Return]]),1+PortfolioFrontier[[#This Row],[P140 Return]])</f>
        <v>1.1538858477324712</v>
      </c>
      <c r="UO31" s="27">
        <f>MAX(UO30,PortfolioFrontier[[#This Row],[P140 Growth]])</f>
        <v>1.1538858477324712</v>
      </c>
      <c r="UP31" s="27">
        <f>PortfolioFrontier[[#This Row],[P140 Growth]]/PortfolioFrontier[[#This Row],[P140 HWM]]-1</f>
        <v>0</v>
      </c>
      <c r="UQ31" s="28">
        <f>SUMPRODUCT(INDEX(PortfolioRef[[SPY]:[PE]],MATCH(UQ$1,PortfolioRef[Reference '#]),0),AssetMonthlyReturns[[#This Row],[SPY]:[PE]])</f>
        <v>2.2995856384700808E-2</v>
      </c>
      <c r="UR31" s="27">
        <f>IF(ISNUMBER(UR30),UR30*(1+PortfolioFrontier[[#This Row],[P141 Return]]),1+PortfolioFrontier[[#This Row],[P141 Return]])</f>
        <v>1.1482571939960202</v>
      </c>
      <c r="US31" s="27">
        <f>MAX(US30,PortfolioFrontier[[#This Row],[P141 Growth]])</f>
        <v>1.1482571939960202</v>
      </c>
      <c r="UT31" s="27">
        <f>PortfolioFrontier[[#This Row],[P141 Growth]]/PortfolioFrontier[[#This Row],[P141 HWM]]-1</f>
        <v>0</v>
      </c>
    </row>
    <row r="32" spans="2:566" x14ac:dyDescent="0.2">
      <c r="B32" s="41">
        <f>AssetMonthlyReturns[[#This Row],[Date]]</f>
        <v>43344</v>
      </c>
      <c r="C32" s="28">
        <f>SUMPRODUCT(INDEX(PortfolioRef[[SPY]:[PE]],MATCH(C$1,PortfolioRef[Reference '#]),0),AssetMonthlyReturns[[#This Row],[SPY]:[PE]])</f>
        <v>-4.2227656999727029E-3</v>
      </c>
      <c r="D32" s="29">
        <f>IF(ISNUMBER(D31),D31*(1+PortfolioFrontier[[#This Row],[P1 Return]]),1+PortfolioFrontier[[#This Row],[P1 Return]])</f>
        <v>1.2475089062159537</v>
      </c>
      <c r="E32" s="29">
        <f>MAX(E31,PortfolioFrontier[[#This Row],[P1 Growth]])</f>
        <v>1.2527991836375723</v>
      </c>
      <c r="F32" s="29">
        <f>PortfolioFrontier[[#This Row],[P1 Growth]]/PortfolioFrontier[[#This Row],[P1 HWM]]-1</f>
        <v>-4.2227656999727081E-3</v>
      </c>
      <c r="G32" s="28">
        <f>SUMPRODUCT(INDEX(PortfolioRef[[SPY]:[PE]],MATCH(G$1,PortfolioRef[Reference '#]),0),AssetMonthlyReturns[[#This Row],[SPY]:[PE]])</f>
        <v>-4.5939666714147629E-3</v>
      </c>
      <c r="H32" s="27">
        <f>IF(ISNUMBER(H31),H31*(1+PortfolioFrontier[[#This Row],[P2 Return]]),1+PortfolioFrontier[[#This Row],[P2 Return]])</f>
        <v>1.2242287829148435</v>
      </c>
      <c r="I32" s="27">
        <f>MAX(I31,PortfolioFrontier[[#This Row],[P2 Growth]])</f>
        <v>1.2298788051556078</v>
      </c>
      <c r="J32" s="27">
        <f>PortfolioFrontier[[#This Row],[P2 Growth]]/PortfolioFrontier[[#This Row],[P2 HWM]]-1</f>
        <v>-4.593966671414762E-3</v>
      </c>
      <c r="K32" s="28">
        <f>SUMPRODUCT(INDEX(PortfolioRef[[SPY]:[PE]],MATCH(K$1,PortfolioRef[Reference '#]),0),AssetMonthlyReturns[[#This Row],[SPY]:[PE]])</f>
        <v>-4.6237086805716813E-3</v>
      </c>
      <c r="L32" s="27">
        <f>IF(ISNUMBER(L31),L31*(1+PortfolioFrontier[[#This Row],[P3 Return]]),1+PortfolioFrontier[[#This Row],[P3 Return]])</f>
        <v>1.2187890193091999</v>
      </c>
      <c r="M32" s="27">
        <f>MAX(M31,PortfolioFrontier[[#This Row],[P3 Growth]])</f>
        <v>1.2244505218158503</v>
      </c>
      <c r="N32" s="27">
        <f>PortfolioFrontier[[#This Row],[P3 Growth]]/PortfolioFrontier[[#This Row],[P3 HWM]]-1</f>
        <v>-4.6237086805716032E-3</v>
      </c>
      <c r="O32" s="28">
        <f>SUMPRODUCT(INDEX(PortfolioRef[[SPY]:[PE]],MATCH(O$1,PortfolioRef[Reference '#]),0),AssetMonthlyReturns[[#This Row],[SPY]:[PE]])</f>
        <v>-6.2980874329972569E-3</v>
      </c>
      <c r="P32" s="27">
        <f>IF(ISNUMBER(P31),P31*(1+PortfolioFrontier[[#This Row],[P4 Return]]),1+PortfolioFrontier[[#This Row],[P4 Return]])</f>
        <v>1.2291646705879009</v>
      </c>
      <c r="Q32" s="27">
        <f>MAX(Q31,PortfolioFrontier[[#This Row],[P4 Growth]])</f>
        <v>1.2369551220975652</v>
      </c>
      <c r="R32" s="27">
        <f>PortfolioFrontier[[#This Row],[P4 Growth]]/PortfolioFrontier[[#This Row],[P4 HWM]]-1</f>
        <v>-6.2980874329973124E-3</v>
      </c>
      <c r="S32" s="28">
        <f>SUMPRODUCT(INDEX(PortfolioRef[[SPY]:[PE]],MATCH(S$1,PortfolioRef[Reference '#]),0),AssetMonthlyReturns[[#This Row],[SPY]:[PE]])</f>
        <v>-4.0068385611442044E-3</v>
      </c>
      <c r="T32" s="27">
        <f>IF(ISNUMBER(T31),T31*(1+PortfolioFrontier[[#This Row],[P5 Return]]),1+PortfolioFrontier[[#This Row],[P5 Return]])</f>
        <v>1.2257911624486402</v>
      </c>
      <c r="U32" s="27">
        <f>MAX(U31,PortfolioFrontier[[#This Row],[P5 Growth]])</f>
        <v>1.230722468694271</v>
      </c>
      <c r="V32" s="27">
        <f>PortfolioFrontier[[#This Row],[P5 Growth]]/PortfolioFrontier[[#This Row],[P5 HWM]]-1</f>
        <v>-4.0068385611442547E-3</v>
      </c>
      <c r="W32" s="28">
        <f>SUMPRODUCT(INDEX(PortfolioRef[[SPY]:[PE]],MATCH(W$1,PortfolioRef[Reference '#]),0),AssetMonthlyReturns[[#This Row],[SPY]:[PE]])</f>
        <v>-4.965167642856822E-3</v>
      </c>
      <c r="X32" s="27">
        <f>IF(ISNUMBER(X31),X31*(1+PortfolioFrontier[[#This Row],[P6 Return]]),1+PortfolioFrontier[[#This Row],[P6 Return]])</f>
        <v>1.2013225187665733</v>
      </c>
      <c r="Y32" s="27">
        <f>MAX(Y31,PortfolioFrontier[[#This Row],[P6 Growth]])</f>
        <v>1.207317050319489</v>
      </c>
      <c r="Z32" s="27">
        <f>PortfolioFrontier[[#This Row],[P6 Growth]]/PortfolioFrontier[[#This Row],[P6 HWM]]-1</f>
        <v>-4.9651676428569269E-3</v>
      </c>
      <c r="AA32" s="28">
        <f>SUMPRODUCT(INDEX(PortfolioRef[[SPY]:[PE]],MATCH(AA$1,PortfolioRef[Reference '#]),0),AssetMonthlyReturns[[#This Row],[SPY]:[PE]])</f>
        <v>-4.9949096520137412E-3</v>
      </c>
      <c r="AB32" s="27">
        <f>IF(ISNUMBER(AB31),AB31*(1+PortfolioFrontier[[#This Row],[P7 Return]]),1+PortfolioFrontier[[#This Row],[P7 Return]])</f>
        <v>1.19597395097146</v>
      </c>
      <c r="AC32" s="27">
        <f>MAX(AC31,PortfolioFrontier[[#This Row],[P7 Growth]])</f>
        <v>1.2019777210920481</v>
      </c>
      <c r="AD32" s="27">
        <f>PortfolioFrontier[[#This Row],[P7 Growth]]/PortfolioFrontier[[#This Row],[P7 HWM]]-1</f>
        <v>-4.9949096520137681E-3</v>
      </c>
      <c r="AE32" s="28">
        <f>SUMPRODUCT(INDEX(PortfolioRef[[SPY]:[PE]],MATCH(AE$1,PortfolioRef[Reference '#]),0),AssetMonthlyReturns[[#This Row],[SPY]:[PE]])</f>
        <v>-6.6692884044393169E-3</v>
      </c>
      <c r="AF32" s="27">
        <f>IF(ISNUMBER(AF31),AF31*(1+PortfolioFrontier[[#This Row],[P8 Return]]),1+PortfolioFrontier[[#This Row],[P8 Return]])</f>
        <v>1.2061843684511679</v>
      </c>
      <c r="AG32" s="27">
        <f>MAX(AG31,PortfolioFrontier[[#This Row],[P8 Growth]])</f>
        <v>1.2142827704518531</v>
      </c>
      <c r="AH32" s="27">
        <f>PortfolioFrontier[[#This Row],[P8 Growth]]/PortfolioFrontier[[#This Row],[P8 HWM]]-1</f>
        <v>-6.6692884044394773E-3</v>
      </c>
      <c r="AI32" s="28">
        <f>SUMPRODUCT(INDEX(PortfolioRef[[SPY]:[PE]],MATCH(AI$1,PortfolioRef[Reference '#]),0),AssetMonthlyReturns[[#This Row],[SPY]:[PE]])</f>
        <v>-4.3780395325862644E-3</v>
      </c>
      <c r="AJ32" s="27">
        <f>IF(ISNUMBER(AJ31),AJ31*(1+PortfolioFrontier[[#This Row],[P9 Return]]),1+PortfolioFrontier[[#This Row],[P9 Return]])</f>
        <v>1.2028680934269409</v>
      </c>
      <c r="AK32" s="27">
        <f>MAX(AK31,PortfolioFrontier[[#This Row],[P9 Growth]])</f>
        <v>1.2081574545244378</v>
      </c>
      <c r="AL32" s="27">
        <f>PortfolioFrontier[[#This Row],[P9 Growth]]/PortfolioFrontier[[#This Row],[P9 HWM]]-1</f>
        <v>-4.3780395325863086E-3</v>
      </c>
      <c r="AM32" s="28">
        <f>SUMPRODUCT(INDEX(PortfolioRef[[SPY]:[PE]],MATCH(AM$1,PortfolioRef[Reference '#]),0),AssetMonthlyReturns[[#This Row],[SPY]:[PE]])</f>
        <v>-5.0246516611706597E-3</v>
      </c>
      <c r="AN32" s="27">
        <f>IF(ISNUMBER(AN31),AN31*(1+PortfolioFrontier[[#This Row],[P10 Return]]),1+PortfolioFrontier[[#This Row],[P10 Return]])</f>
        <v>1.1905760275095181</v>
      </c>
      <c r="AO32" s="27">
        <f>MAX(AO31,PortfolioFrontier[[#This Row],[P10 Growth]])</f>
        <v>1.196588467741694</v>
      </c>
      <c r="AP32" s="27">
        <f>PortfolioFrontier[[#This Row],[P10 Growth]]/PortfolioFrontier[[#This Row],[P10 HWM]]-1</f>
        <v>-5.0246516611706094E-3</v>
      </c>
      <c r="AQ32" s="28">
        <f>SUMPRODUCT(INDEX(PortfolioRef[[SPY]:[PE]],MATCH(AQ$1,PortfolioRef[Reference '#]),0),AssetMonthlyReturns[[#This Row],[SPY]:[PE]])</f>
        <v>-6.6990304135962353E-3</v>
      </c>
      <c r="AR32" s="27">
        <f>IF(ISNUMBER(AR31),AR31*(1+PortfolioFrontier[[#This Row],[P11 Return]]),1+PortfolioFrontier[[#This Row],[P11 Return]])</f>
        <v>1.2008099689753198</v>
      </c>
      <c r="AS32" s="27">
        <f>MAX(AS31,PortfolioFrontier[[#This Row],[P11 Growth]])</f>
        <v>1.208908483674711</v>
      </c>
      <c r="AT32" s="27">
        <f>PortfolioFrontier[[#This Row],[P11 Growth]]/PortfolioFrontier[[#This Row],[P11 HWM]]-1</f>
        <v>-6.6990304135960965E-3</v>
      </c>
      <c r="AU32" s="28">
        <f>SUMPRODUCT(INDEX(PortfolioRef[[SPY]:[PE]],MATCH(AU$1,PortfolioRef[Reference '#]),0),AssetMonthlyReturns[[#This Row],[SPY]:[PE]])</f>
        <v>-4.4077815417431828E-3</v>
      </c>
      <c r="AV32" s="27">
        <f>IF(ISNUMBER(AV31),AV31*(1+PortfolioFrontier[[#This Row],[P12 Return]]),1+PortfolioFrontier[[#This Row],[P12 Return]])</f>
        <v>1.1975357358903804</v>
      </c>
      <c r="AW32" s="27">
        <f>MAX(AW31,PortfolioFrontier[[#This Row],[P12 Growth]])</f>
        <v>1.2028375811784136</v>
      </c>
      <c r="AX32" s="27">
        <f>PortfolioFrontier[[#This Row],[P12 Growth]]/PortfolioFrontier[[#This Row],[P12 HWM]]-1</f>
        <v>-4.4077815417431498E-3</v>
      </c>
      <c r="AY32" s="28">
        <f>SUMPRODUCT(INDEX(PortfolioRef[[SPY]:[PE]],MATCH(AY$1,PortfolioRef[Reference '#]),0),AssetMonthlyReturns[[#This Row],[SPY]:[PE]])</f>
        <v>-8.3734091660218127E-3</v>
      </c>
      <c r="AZ32" s="27">
        <f>IF(ISNUMBER(AZ31),AZ31*(1+PortfolioFrontier[[#This Row],[P13 Return]]),1+PortfolioFrontier[[#This Row],[P13 Return]])</f>
        <v>1.2109978864140847</v>
      </c>
      <c r="BA32" s="27">
        <f>MAX(BA31,PortfolioFrontier[[#This Row],[P13 Growth]])</f>
        <v>1.2212236920710353</v>
      </c>
      <c r="BB32" s="27">
        <f>PortfolioFrontier[[#This Row],[P13 Growth]]/PortfolioFrontier[[#This Row],[P13 HWM]]-1</f>
        <v>-8.3734091660218057E-3</v>
      </c>
      <c r="BC32" s="28">
        <f>SUMPRODUCT(INDEX(PortfolioRef[[SPY]:[PE]],MATCH(BC$1,PortfolioRef[Reference '#]),0),AssetMonthlyReturns[[#This Row],[SPY]:[PE]])</f>
        <v>-6.0821602941687584E-3</v>
      </c>
      <c r="BD32" s="27">
        <f>IF(ISNUMBER(BD31),BD31*(1+PortfolioFrontier[[#This Row],[P14 Return]]),1+PortfolioFrontier[[#This Row],[P14 Return]])</f>
        <v>1.2077410142902925</v>
      </c>
      <c r="BE32" s="27">
        <f>MAX(BE31,PortfolioFrontier[[#This Row],[P14 Growth]])</f>
        <v>1.2151316397014729</v>
      </c>
      <c r="BF32" s="27">
        <f>PortfolioFrontier[[#This Row],[P14 Growth]]/PortfolioFrontier[[#This Row],[P14 HWM]]-1</f>
        <v>-6.082160294168748E-3</v>
      </c>
      <c r="BG32" s="28">
        <f>SUMPRODUCT(INDEX(PortfolioRef[[SPY]:[PE]],MATCH(BG$1,PortfolioRef[Reference '#]),0),AssetMonthlyReturns[[#This Row],[SPY]:[PE]])</f>
        <v>-3.7909114223157068E-3</v>
      </c>
      <c r="BH32" s="27">
        <f>IF(ISNUMBER(BH31),BH31*(1+PortfolioFrontier[[#This Row],[P15 Return]]),1+PortfolioFrontier[[#This Row],[P15 Return]])</f>
        <v>1.2043770497357493</v>
      </c>
      <c r="BI32" s="27">
        <f>MAX(BI31,PortfolioFrontier[[#This Row],[P15 Growth]])</f>
        <v>1.208960110427493</v>
      </c>
      <c r="BJ32" s="27">
        <f>PortfolioFrontier[[#This Row],[P15 Growth]]/PortfolioFrontier[[#This Row],[P15 HWM]]-1</f>
        <v>-3.7909114223156903E-3</v>
      </c>
      <c r="BK32" s="28">
        <f>SUMPRODUCT(INDEX(PortfolioRef[[SPY]:[PE]],MATCH(BK$1,PortfolioRef[Reference '#]),0),AssetMonthlyReturns[[#This Row],[SPY]:[PE]])</f>
        <v>-5.336368614298881E-3</v>
      </c>
      <c r="BL32" s="27">
        <f>IF(ISNUMBER(BL31),BL31*(1+PortfolioFrontier[[#This Row],[P16 Return]]),1+PortfolioFrontier[[#This Row],[P16 Return]])</f>
        <v>1.1787851852779343</v>
      </c>
      <c r="BM32" s="27">
        <f>MAX(BM31,PortfolioFrontier[[#This Row],[P16 Growth]])</f>
        <v>1.1851093657015759</v>
      </c>
      <c r="BN32" s="27">
        <f>PortfolioFrontier[[#This Row],[P16 Growth]]/PortfolioFrontier[[#This Row],[P16 HWM]]-1</f>
        <v>-5.3363686142988698E-3</v>
      </c>
      <c r="BO32" s="28">
        <f>SUMPRODUCT(INDEX(PortfolioRef[[SPY]:[PE]],MATCH(BO$1,PortfolioRef[Reference '#]),0),AssetMonthlyReturns[[#This Row],[SPY]:[PE]])</f>
        <v>-5.3661106234558003E-3</v>
      </c>
      <c r="BP32" s="27">
        <f>IF(ISNUMBER(BP31),BP31*(1+PortfolioFrontier[[#This Row],[P17 Return]]),1+PortfolioFrontier[[#This Row],[P17 Return]])</f>
        <v>1.17352656031781</v>
      </c>
      <c r="BQ32" s="27">
        <f>MAX(BQ31,PortfolioFrontier[[#This Row],[P17 Growth]])</f>
        <v>1.1798578078345985</v>
      </c>
      <c r="BR32" s="27">
        <f>PortfolioFrontier[[#This Row],[P17 Growth]]/PortfolioFrontier[[#This Row],[P17 HWM]]-1</f>
        <v>-5.366110623455822E-3</v>
      </c>
      <c r="BS32" s="28">
        <f>SUMPRODUCT(INDEX(PortfolioRef[[SPY]:[PE]],MATCH(BS$1,PortfolioRef[Reference '#]),0),AssetMonthlyReturns[[#This Row],[SPY]:[PE]])</f>
        <v>-7.040489375881376E-3</v>
      </c>
      <c r="BT32" s="27">
        <f>IF(ISNUMBER(BT31),BT31*(1+PortfolioFrontier[[#This Row],[P18 Return]]),1+PortfolioFrontier[[#This Row],[P18 Return]])</f>
        <v>1.1835738409007892</v>
      </c>
      <c r="BU32" s="27">
        <f>MAX(BU31,PortfolioFrontier[[#This Row],[P18 Growth]])</f>
        <v>1.1919658639020045</v>
      </c>
      <c r="BV32" s="27">
        <f>PortfolioFrontier[[#This Row],[P18 Growth]]/PortfolioFrontier[[#This Row],[P18 HWM]]-1</f>
        <v>-7.0404893758814202E-3</v>
      </c>
      <c r="BW32" s="28">
        <f>SUMPRODUCT(INDEX(PortfolioRef[[SPY]:[PE]],MATCH(BW$1,PortfolioRef[Reference '#]),0),AssetMonthlyReturns[[#This Row],[SPY]:[PE]])</f>
        <v>-4.7492405040283235E-3</v>
      </c>
      <c r="BX32" s="27">
        <f>IF(ISNUMBER(BX31),BX31*(1+PortfolioFrontier[[#This Row],[P19 Return]]),1+PortfolioFrontier[[#This Row],[P19 Return]])</f>
        <v>1.1803139920784469</v>
      </c>
      <c r="BY32" s="27">
        <f>MAX(BY31,PortfolioFrontier[[#This Row],[P19 Growth]])</f>
        <v>1.1859463364551437</v>
      </c>
      <c r="BZ32" s="27">
        <f>PortfolioFrontier[[#This Row],[P19 Growth]]/PortfolioFrontier[[#This Row],[P19 HWM]]-1</f>
        <v>-4.7492405040283625E-3</v>
      </c>
      <c r="CA32" s="28">
        <f>SUMPRODUCT(INDEX(PortfolioRef[[SPY]:[PE]],MATCH(CA$1,PortfolioRef[Reference '#]),0),AssetMonthlyReturns[[#This Row],[SPY]:[PE]])</f>
        <v>-5.3958526326127196E-3</v>
      </c>
      <c r="CB32" s="27">
        <f>IF(ISNUMBER(CB31),CB31*(1+PortfolioFrontier[[#This Row],[P20 Return]]),1+PortfolioFrontier[[#This Row],[P20 Return]])</f>
        <v>1.168219474201329</v>
      </c>
      <c r="CC32" s="27">
        <f>MAX(CC31,PortfolioFrontier[[#This Row],[P20 Growth]])</f>
        <v>1.1745572118249088</v>
      </c>
      <c r="CD32" s="27">
        <f>PortfolioFrontier[[#This Row],[P20 Growth]]/PortfolioFrontier[[#This Row],[P20 HWM]]-1</f>
        <v>-5.3958526326127743E-3</v>
      </c>
      <c r="CE32" s="28">
        <f>SUMPRODUCT(INDEX(PortfolioRef[[SPY]:[PE]],MATCH(CE$1,PortfolioRef[Reference '#]),0),AssetMonthlyReturns[[#This Row],[SPY]:[PE]])</f>
        <v>-7.0702313850382953E-3</v>
      </c>
      <c r="CF32" s="27">
        <f>IF(ISNUMBER(CF31),CF31*(1+PortfolioFrontier[[#This Row],[P21 Return]]),1+PortfolioFrontier[[#This Row],[P21 Return]])</f>
        <v>1.1782897886173842</v>
      </c>
      <c r="CG32" s="27">
        <f>MAX(CG31,PortfolioFrontier[[#This Row],[P21 Growth]])</f>
        <v>1.1866798900197959</v>
      </c>
      <c r="CH32" s="27">
        <f>PortfolioFrontier[[#This Row],[P21 Growth]]/PortfolioFrontier[[#This Row],[P21 HWM]]-1</f>
        <v>-7.0702313850382614E-3</v>
      </c>
      <c r="CI32" s="28">
        <f>SUMPRODUCT(INDEX(PortfolioRef[[SPY]:[PE]],MATCH(CI$1,PortfolioRef[Reference '#]),0),AssetMonthlyReturns[[#This Row],[SPY]:[PE]])</f>
        <v>-4.7789825131852428E-3</v>
      </c>
      <c r="CJ32" s="27">
        <f>IF(ISNUMBER(CJ31),CJ31*(1+PortfolioFrontier[[#This Row],[P22 Return]]),1+PortfolioFrontier[[#This Row],[P22 Return]])</f>
        <v>1.1750712335817943</v>
      </c>
      <c r="CK32" s="27">
        <f>MAX(CK31,PortfolioFrontier[[#This Row],[P22 Growth]])</f>
        <v>1.1807138443972445</v>
      </c>
      <c r="CL32" s="27">
        <f>PortfolioFrontier[[#This Row],[P22 Growth]]/PortfolioFrontier[[#This Row],[P22 HWM]]-1</f>
        <v>-4.7789825131852037E-3</v>
      </c>
      <c r="CM32" s="28">
        <f>SUMPRODUCT(INDEX(PortfolioRef[[SPY]:[PE]],MATCH(CM$1,PortfolioRef[Reference '#]),0),AssetMonthlyReturns[[#This Row],[SPY]:[PE]])</f>
        <v>-8.7446101374638718E-3</v>
      </c>
      <c r="CN32" s="27">
        <f>IF(ISNUMBER(CN31),CN31*(1+PortfolioFrontier[[#This Row],[P23 Return]]),1+PortfolioFrontier[[#This Row],[P23 Return]])</f>
        <v>1.1883151943023069</v>
      </c>
      <c r="CO32" s="27">
        <f>MAX(CO31,PortfolioFrontier[[#This Row],[P23 Growth]])</f>
        <v>1.1987982173464886</v>
      </c>
      <c r="CP32" s="27">
        <f>PortfolioFrontier[[#This Row],[P23 Growth]]/PortfolioFrontier[[#This Row],[P23 HWM]]-1</f>
        <v>-8.7446101374638596E-3</v>
      </c>
      <c r="CQ32" s="28">
        <f>SUMPRODUCT(INDEX(PortfolioRef[[SPY]:[PE]],MATCH(CQ$1,PortfolioRef[Reference '#]),0),AssetMonthlyReturns[[#This Row],[SPY]:[PE]])</f>
        <v>-6.4533612656108184E-3</v>
      </c>
      <c r="CR32" s="27">
        <f>IF(ISNUMBER(CR31),CR31*(1+PortfolioFrontier[[#This Row],[P24 Return]]),1+PortfolioFrontier[[#This Row],[P24 Return]])</f>
        <v>1.1851135531794241</v>
      </c>
      <c r="CS32" s="27">
        <f>MAX(CS31,PortfolioFrontier[[#This Row],[P24 Growth]])</f>
        <v>1.1928111947407509</v>
      </c>
      <c r="CT32" s="27">
        <f>PortfolioFrontier[[#This Row],[P24 Growth]]/PortfolioFrontier[[#This Row],[P24 HWM]]-1</f>
        <v>-6.4533612656106909E-3</v>
      </c>
      <c r="CU32" s="28">
        <f>SUMPRODUCT(INDEX(PortfolioRef[[SPY]:[PE]],MATCH(CU$1,PortfolioRef[Reference '#]),0),AssetMonthlyReturns[[#This Row],[SPY]:[PE]])</f>
        <v>-4.1621123937577668E-3</v>
      </c>
      <c r="CV32" s="27">
        <f>IF(ISNUMBER(CV31),CV31*(1+PortfolioFrontier[[#This Row],[P25 Return]]),1+PortfolioFrontier[[#This Row],[P25 Return]])</f>
        <v>1.1818068508279718</v>
      </c>
      <c r="CW32" s="27">
        <f>MAX(CW31,PortfolioFrontier[[#This Row],[P25 Growth]])</f>
        <v>1.186746221986748</v>
      </c>
      <c r="CX32" s="27">
        <f>PortfolioFrontier[[#This Row],[P25 Growth]]/PortfolioFrontier[[#This Row],[P25 HWM]]-1</f>
        <v>-4.1621123937577442E-3</v>
      </c>
      <c r="CY32" s="28">
        <f>SUMPRODUCT(INDEX(PortfolioRef[[SPY]:[PE]],MATCH(CY$1,PortfolioRef[Reference '#]),0),AssetMonthlyReturns[[#This Row],[SPY]:[PE]])</f>
        <v>-7.0999733941952137E-3</v>
      </c>
      <c r="CZ32" s="27">
        <f>IF(ISNUMBER(CZ31),CZ31*(1+PortfolioFrontier[[#This Row],[P26 Return]]),1+PortfolioFrontier[[#This Row],[P26 Return]])</f>
        <v>1.172957215675817</v>
      </c>
      <c r="DA32" s="27">
        <f>MAX(DA31,PortfolioFrontier[[#This Row],[P26 Growth]])</f>
        <v>1.1813447318412627</v>
      </c>
      <c r="DB32" s="27">
        <f>PortfolioFrontier[[#This Row],[P26 Growth]]/PortfolioFrontier[[#This Row],[P26 HWM]]-1</f>
        <v>-7.0999733941952137E-3</v>
      </c>
      <c r="DC32" s="28">
        <f>SUMPRODUCT(INDEX(PortfolioRef[[SPY]:[PE]],MATCH(DC$1,PortfolioRef[Reference '#]),0),AssetMonthlyReturns[[#This Row],[SPY]:[PE]])</f>
        <v>-4.8087245223421612E-3</v>
      </c>
      <c r="DD32" s="27">
        <f>IF(ISNUMBER(DD31),DD31*(1+PortfolioFrontier[[#This Row],[P27 Return]]),1+PortfolioFrontier[[#This Row],[P27 Return]])</f>
        <v>1.1697797562130883</v>
      </c>
      <c r="DE32" s="27">
        <f>MAX(DE31,PortfolioFrontier[[#This Row],[P27 Growth]])</f>
        <v>1.1754320853060471</v>
      </c>
      <c r="DF32" s="27">
        <f>PortfolioFrontier[[#This Row],[P27 Growth]]/PortfolioFrontier[[#This Row],[P27 HWM]]-1</f>
        <v>-4.8087245223420449E-3</v>
      </c>
      <c r="DG32" s="28">
        <f>SUMPRODUCT(INDEX(PortfolioRef[[SPY]:[PE]],MATCH(DG$1,PortfolioRef[Reference '#]),0),AssetMonthlyReturns[[#This Row],[SPY]:[PE]])</f>
        <v>-8.7743521466207893E-3</v>
      </c>
      <c r="DH32" s="27">
        <f>IF(ISNUMBER(DH31),DH31*(1+PortfolioFrontier[[#This Row],[P28 Return]]),1+PortfolioFrontier[[#This Row],[P28 Return]])</f>
        <v>1.1830058818253042</v>
      </c>
      <c r="DI32" s="27">
        <f>MAX(DI31,PortfolioFrontier[[#This Row],[P28 Growth]])</f>
        <v>1.1934778769972798</v>
      </c>
      <c r="DJ32" s="27">
        <f>PortfolioFrontier[[#This Row],[P28 Growth]]/PortfolioFrontier[[#This Row],[P28 HWM]]-1</f>
        <v>-8.7743521466209229E-3</v>
      </c>
      <c r="DK32" s="28">
        <f>SUMPRODUCT(INDEX(PortfolioRef[[SPY]:[PE]],MATCH(DK$1,PortfolioRef[Reference '#]),0),AssetMonthlyReturns[[#This Row],[SPY]:[PE]])</f>
        <v>-6.4831032747677368E-3</v>
      </c>
      <c r="DL32" s="27">
        <f>IF(ISNUMBER(DL31),DL31*(1+PortfolioFrontier[[#This Row],[P29 Return]]),1+PortfolioFrontier[[#This Row],[P29 Return]])</f>
        <v>1.1798454052432281</v>
      </c>
      <c r="DM32" s="27">
        <f>MAX(DM31,PortfolioFrontier[[#This Row],[P29 Growth]])</f>
        <v>1.1875443780897539</v>
      </c>
      <c r="DN32" s="27">
        <f>PortfolioFrontier[[#This Row],[P29 Growth]]/PortfolioFrontier[[#This Row],[P29 HWM]]-1</f>
        <v>-6.4831032747677542E-3</v>
      </c>
      <c r="DO32" s="28">
        <f>SUMPRODUCT(INDEX(PortfolioRef[[SPY]:[PE]],MATCH(DO$1,PortfolioRef[Reference '#]),0),AssetMonthlyReturns[[#This Row],[SPY]:[PE]])</f>
        <v>-4.1918544029146852E-3</v>
      </c>
      <c r="DP32" s="27">
        <f>IF(ISNUMBER(DP31),DP31*(1+PortfolioFrontier[[#This Row],[P30 Return]]),1+PortfolioFrontier[[#This Row],[P30 Return]])</f>
        <v>1.1765801656492076</v>
      </c>
      <c r="DQ32" s="27">
        <f>MAX(DQ31,PortfolioFrontier[[#This Row],[P30 Growth]])</f>
        <v>1.1815329798730776</v>
      </c>
      <c r="DR32" s="27">
        <f>PortfolioFrontier[[#This Row],[P30 Growth]]/PortfolioFrontier[[#This Row],[P30 HWM]]-1</f>
        <v>-4.1918544029148075E-3</v>
      </c>
      <c r="DS32" s="28">
        <f>SUMPRODUCT(INDEX(PortfolioRef[[SPY]:[PE]],MATCH(DS$1,PortfolioRef[Reference '#]),0),AssetMonthlyReturns[[#This Row],[SPY]:[PE]])</f>
        <v>-1.0448730899046367E-2</v>
      </c>
      <c r="DT32" s="27">
        <f>IF(ISNUMBER(DT31),DT31*(1+PortfolioFrontier[[#This Row],[P31 Return]]),1+PortfolioFrontier[[#This Row],[P31 Return]])</f>
        <v>1.1930084654284756</v>
      </c>
      <c r="DU32" s="27">
        <f>MAX(DU31,PortfolioFrontier[[#This Row],[P31 Growth]])</f>
        <v>1.205605513004264</v>
      </c>
      <c r="DV32" s="27">
        <f>PortfolioFrontier[[#This Row],[P31 Growth]]/PortfolioFrontier[[#This Row],[P31 HWM]]-1</f>
        <v>-1.044873089904641E-2</v>
      </c>
      <c r="DW32" s="28">
        <f>SUMPRODUCT(INDEX(PortfolioRef[[SPY]:[PE]],MATCH(DW$1,PortfolioRef[Reference '#]),0),AssetMonthlyReturns[[#This Row],[SPY]:[PE]])</f>
        <v>-8.1574820271933125E-3</v>
      </c>
      <c r="DX32" s="27">
        <f>IF(ISNUMBER(DX31),DX31*(1+PortfolioFrontier[[#This Row],[P32 Return]]),1+PortfolioFrontier[[#This Row],[P32 Return]])</f>
        <v>1.1898658333296268</v>
      </c>
      <c r="DY32" s="27">
        <f>MAX(DY31,PortfolioFrontier[[#This Row],[P32 Growth]])</f>
        <v>1.1996519727361086</v>
      </c>
      <c r="DZ32" s="27">
        <f>PortfolioFrontier[[#This Row],[P32 Growth]]/PortfolioFrontier[[#This Row],[P32 HWM]]-1</f>
        <v>-8.1574820271932413E-3</v>
      </c>
      <c r="EA32" s="28">
        <f>SUMPRODUCT(INDEX(PortfolioRef[[SPY]:[PE]],MATCH(EA$1,PortfolioRef[Reference '#]),0),AssetMonthlyReturns[[#This Row],[SPY]:[PE]])</f>
        <v>-5.8662331553402608E-3</v>
      </c>
      <c r="EB32" s="27">
        <f>IF(ISNUMBER(EB31),EB31*(1+PortfolioFrontier[[#This Row],[P33 Return]]),1+PortfolioFrontier[[#This Row],[P33 Return]])</f>
        <v>1.1866171885250953</v>
      </c>
      <c r="EC32" s="27">
        <f>MAX(EC31,PortfolioFrontier[[#This Row],[P33 Growth]])</f>
        <v>1.1936192372696184</v>
      </c>
      <c r="ED32" s="27">
        <f>PortfolioFrontier[[#This Row],[P33 Growth]]/PortfolioFrontier[[#This Row],[P33 HWM]]-1</f>
        <v>-5.8662331553402947E-3</v>
      </c>
      <c r="EE32" s="28">
        <f>SUMPRODUCT(INDEX(PortfolioRef[[SPY]:[PE]],MATCH(EE$1,PortfolioRef[Reference '#]),0),AssetMonthlyReturns[[#This Row],[SPY]:[PE]])</f>
        <v>-5.707569585740941E-3</v>
      </c>
      <c r="EF32" s="27">
        <f>IF(ISNUMBER(EF31),EF31*(1+PortfolioFrontier[[#This Row],[P34 Return]]),1+PortfolioFrontier[[#This Row],[P34 Return]])</f>
        <v>1.156611901375133</v>
      </c>
      <c r="EG32" s="27">
        <f>MAX(EG31,PortfolioFrontier[[#This Row],[P34 Growth]])</f>
        <v>1.1632512387660898</v>
      </c>
      <c r="EH32" s="27">
        <f>PortfolioFrontier[[#This Row],[P34 Growth]]/PortfolioFrontier[[#This Row],[P34 HWM]]-1</f>
        <v>-5.7075695857409237E-3</v>
      </c>
      <c r="EI32" s="28">
        <f>SUMPRODUCT(INDEX(PortfolioRef[[SPY]:[PE]],MATCH(EI$1,PortfolioRef[Reference '#]),0),AssetMonthlyReturns[[#This Row],[SPY]:[PE]])</f>
        <v>-5.7373115948978594E-3</v>
      </c>
      <c r="EJ32" s="27">
        <f>IF(ISNUMBER(EJ31),EJ31*(1+PortfolioFrontier[[#This Row],[P35 Return]]),1+PortfolioFrontier[[#This Row],[P35 Return]])</f>
        <v>1.1514419788556867</v>
      </c>
      <c r="EK32" s="27">
        <f>MAX(EK31,PortfolioFrontier[[#This Row],[P35 Growth]])</f>
        <v>1.1580862807018495</v>
      </c>
      <c r="EL32" s="27">
        <f>PortfolioFrontier[[#This Row],[P35 Growth]]/PortfolioFrontier[[#This Row],[P35 HWM]]-1</f>
        <v>-5.7373115948978759E-3</v>
      </c>
      <c r="EM32" s="28">
        <f>SUMPRODUCT(INDEX(PortfolioRef[[SPY]:[PE]],MATCH(EM$1,PortfolioRef[Reference '#]),0),AssetMonthlyReturns[[#This Row],[SPY]:[PE]])</f>
        <v>-7.4116903473234342E-3</v>
      </c>
      <c r="EN32" s="27">
        <f>IF(ISNUMBER(EN31),EN31*(1+PortfolioFrontier[[#This Row],[P36 Return]]),1+PortfolioFrontier[[#This Row],[P36 Return]])</f>
        <v>1.161328201443002</v>
      </c>
      <c r="EO32" s="27">
        <f>MAX(EO31,PortfolioFrontier[[#This Row],[P36 Growth]])</f>
        <v>1.1699998782469747</v>
      </c>
      <c r="EP32" s="27">
        <f>PortfolioFrontier[[#This Row],[P36 Growth]]/PortfolioFrontier[[#This Row],[P36 HWM]]-1</f>
        <v>-7.4116903473234741E-3</v>
      </c>
      <c r="EQ32" s="28">
        <f>SUMPRODUCT(INDEX(PortfolioRef[[SPY]:[PE]],MATCH(EQ$1,PortfolioRef[Reference '#]),0),AssetMonthlyReturns[[#This Row],[SPY]:[PE]])</f>
        <v>-5.1204414754703826E-3</v>
      </c>
      <c r="ER32" s="27">
        <f>IF(ISNUMBER(ER31),ER31*(1+PortfolioFrontier[[#This Row],[P37 Return]]),1+PortfolioFrontier[[#This Row],[P37 Return]])</f>
        <v>1.1581239809449126</v>
      </c>
      <c r="ES32" s="27">
        <f>MAX(ES31,PortfolioFrontier[[#This Row],[P37 Growth]])</f>
        <v>1.1640846080529437</v>
      </c>
      <c r="ET32" s="27">
        <f>PortfolioFrontier[[#This Row],[P37 Growth]]/PortfolioFrontier[[#This Row],[P37 HWM]]-1</f>
        <v>-5.1204414754704164E-3</v>
      </c>
      <c r="EU32" s="28">
        <f>SUMPRODUCT(INDEX(PortfolioRef[[SPY]:[PE]],MATCH(EU$1,PortfolioRef[Reference '#]),0),AssetMonthlyReturns[[#This Row],[SPY]:[PE]])</f>
        <v>-5.7670536040547787E-3</v>
      </c>
      <c r="EV32" s="27">
        <f>IF(ISNUMBER(EV31),EV31*(1+PortfolioFrontier[[#This Row],[P38 Return]]),1+PortfolioFrontier[[#This Row],[P38 Return]])</f>
        <v>1.1462244749921044</v>
      </c>
      <c r="EW32" s="27">
        <f>MAX(EW31,PortfolioFrontier[[#This Row],[P38 Growth]])</f>
        <v>1.1528731562830647</v>
      </c>
      <c r="EX32" s="27">
        <f>PortfolioFrontier[[#This Row],[P38 Growth]]/PortfolioFrontier[[#This Row],[P38 HWM]]-1</f>
        <v>-5.7670536040548281E-3</v>
      </c>
      <c r="EY32" s="28">
        <f>SUMPRODUCT(INDEX(PortfolioRef[[SPY]:[PE]],MATCH(EY$1,PortfolioRef[Reference '#]),0),AssetMonthlyReturns[[#This Row],[SPY]:[PE]])</f>
        <v>-7.4414323564803552E-3</v>
      </c>
      <c r="EZ32" s="27">
        <f>IF(ISNUMBER(EZ31),EZ31*(1+PortfolioFrontier[[#This Row],[P39 Return]]),1+PortfolioFrontier[[#This Row],[P39 Return]])</f>
        <v>1.1561332507494211</v>
      </c>
      <c r="FA32" s="27">
        <f>MAX(FA31,PortfolioFrontier[[#This Row],[P39 Growth]])</f>
        <v>1.1648010388890722</v>
      </c>
      <c r="FB32" s="27">
        <f>PortfolioFrontier[[#This Row],[P39 Growth]]/PortfolioFrontier[[#This Row],[P39 HWM]]-1</f>
        <v>-7.4414323564803153E-3</v>
      </c>
      <c r="FC32" s="28">
        <f>SUMPRODUCT(INDEX(PortfolioRef[[SPY]:[PE]],MATCH(FC$1,PortfolioRef[Reference '#]),0),AssetMonthlyReturns[[#This Row],[SPY]:[PE]])</f>
        <v>-5.1501834846273018E-3</v>
      </c>
      <c r="FD32" s="27">
        <f>IF(ISNUMBER(FD31),FD31*(1+PortfolioFrontier[[#This Row],[P40 Return]]),1+PortfolioFrontier[[#This Row],[P40 Return]])</f>
        <v>1.1529695874145844</v>
      </c>
      <c r="FE32" s="27">
        <f>MAX(FE31,PortfolioFrontier[[#This Row],[P40 Growth]])</f>
        <v>1.1589383324741944</v>
      </c>
      <c r="FF32" s="27">
        <f>PortfolioFrontier[[#This Row],[P40 Growth]]/PortfolioFrontier[[#This Row],[P40 HWM]]-1</f>
        <v>-5.1501834846271466E-3</v>
      </c>
      <c r="FG32" s="28">
        <f>SUMPRODUCT(INDEX(PortfolioRef[[SPY]:[PE]],MATCH(FG$1,PortfolioRef[Reference '#]),0),AssetMonthlyReturns[[#This Row],[SPY]:[PE]])</f>
        <v>-9.1158111089059309E-3</v>
      </c>
      <c r="FH32" s="27">
        <f>IF(ISNUMBER(FH31),FH31*(1+PortfolioFrontier[[#This Row],[P41 Return]]),1+PortfolioFrontier[[#This Row],[P41 Return]])</f>
        <v>1.1659982098744119</v>
      </c>
      <c r="FI32" s="27">
        <f>MAX(FI31,PortfolioFrontier[[#This Row],[P41 Growth]])</f>
        <v>1.1767250128183893</v>
      </c>
      <c r="FJ32" s="27">
        <f>PortfolioFrontier[[#This Row],[P41 Growth]]/PortfolioFrontier[[#This Row],[P41 HWM]]-1</f>
        <v>-9.1158111089059135E-3</v>
      </c>
      <c r="FK32" s="28">
        <f>SUMPRODUCT(INDEX(PortfolioRef[[SPY]:[PE]],MATCH(FK$1,PortfolioRef[Reference '#]),0),AssetMonthlyReturns[[#This Row],[SPY]:[PE]])</f>
        <v>-6.8245622370528775E-3</v>
      </c>
      <c r="FL32" s="27">
        <f>IF(ISNUMBER(FL31),FL31*(1+PortfolioFrontier[[#This Row],[P42 Return]]),1+PortfolioFrontier[[#This Row],[P42 Return]])</f>
        <v>1.1628510231428311</v>
      </c>
      <c r="FM32" s="27">
        <f>MAX(FM31,PortfolioFrontier[[#This Row],[P42 Growth]])</f>
        <v>1.1708415038556184</v>
      </c>
      <c r="FN32" s="27">
        <f>PortfolioFrontier[[#This Row],[P42 Growth]]/PortfolioFrontier[[#This Row],[P42 HWM]]-1</f>
        <v>-6.8245622370529668E-3</v>
      </c>
      <c r="FO32" s="28">
        <f>SUMPRODUCT(INDEX(PortfolioRef[[SPY]:[PE]],MATCH(FO$1,PortfolioRef[Reference '#]),0),AssetMonthlyReturns[[#This Row],[SPY]:[PE]])</f>
        <v>-4.5333133651998259E-3</v>
      </c>
      <c r="FP32" s="27">
        <f>IF(ISNUMBER(FP31),FP31*(1+PortfolioFrontier[[#This Row],[P43 Return]]),1+PortfolioFrontier[[#This Row],[P43 Return]])</f>
        <v>1.1596007722654302</v>
      </c>
      <c r="FQ32" s="27">
        <f>MAX(FQ31,PortfolioFrontier[[#This Row],[P43 Growth]])</f>
        <v>1.1648815453438119</v>
      </c>
      <c r="FR32" s="27">
        <f>PortfolioFrontier[[#This Row],[P43 Growth]]/PortfolioFrontier[[#This Row],[P43 HWM]]-1</f>
        <v>-4.5333133651997981E-3</v>
      </c>
      <c r="FS32" s="28">
        <f>SUMPRODUCT(INDEX(PortfolioRef[[SPY]:[PE]],MATCH(FS$1,PortfolioRef[Reference '#]),0),AssetMonthlyReturns[[#This Row],[SPY]:[PE]])</f>
        <v>-7.4711743656372728E-3</v>
      </c>
      <c r="FT32" s="27">
        <f>IF(ISNUMBER(FT31),FT31*(1+PortfolioFrontier[[#This Row],[P44 Return]]),1+PortfolioFrontier[[#This Row],[P44 Return]])</f>
        <v>1.1508906591744865</v>
      </c>
      <c r="FU32" s="27">
        <f>MAX(FU31,PortfolioFrontier[[#This Row],[P44 Growth]])</f>
        <v>1.1595538884615353</v>
      </c>
      <c r="FV32" s="27">
        <f>PortfolioFrontier[[#This Row],[P44 Growth]]/PortfolioFrontier[[#This Row],[P44 HWM]]-1</f>
        <v>-7.4711743656371565E-3</v>
      </c>
      <c r="FW32" s="28">
        <f>SUMPRODUCT(INDEX(PortfolioRef[[SPY]:[PE]],MATCH(FW$1,PortfolioRef[Reference '#]),0),AssetMonthlyReturns[[#This Row],[SPY]:[PE]])</f>
        <v>-5.1799254937842211E-3</v>
      </c>
      <c r="FX32" s="27">
        <f>IF(ISNUMBER(FX31),FX31*(1+PortfolioFrontier[[#This Row],[P45 Return]]),1+PortfolioFrontier[[#This Row],[P45 Return]])</f>
        <v>1.1477673588165449</v>
      </c>
      <c r="FY32" s="27">
        <f>MAX(FY31,PortfolioFrontier[[#This Row],[P45 Growth]])</f>
        <v>1.1537436650403796</v>
      </c>
      <c r="FZ32" s="27">
        <f>PortfolioFrontier[[#This Row],[P45 Growth]]/PortfolioFrontier[[#This Row],[P45 HWM]]-1</f>
        <v>-5.1799254937842099E-3</v>
      </c>
      <c r="GA32" s="28">
        <f>SUMPRODUCT(INDEX(PortfolioRef[[SPY]:[PE]],MATCH(GA$1,PortfolioRef[Reference '#]),0),AssetMonthlyReturns[[#This Row],[SPY]:[PE]])</f>
        <v>-9.1455531180628501E-3</v>
      </c>
      <c r="GB32" s="27">
        <f>IF(ISNUMBER(GB31),GB31*(1+PortfolioFrontier[[#This Row],[P46 Return]]),1+PortfolioFrontier[[#This Row],[P46 Return]])</f>
        <v>1.1607783950801438</v>
      </c>
      <c r="GC32" s="27">
        <f>MAX(GC31,PortfolioFrontier[[#This Row],[P46 Growth]])</f>
        <v>1.1714923405076605</v>
      </c>
      <c r="GD32" s="27">
        <f>PortfolioFrontier[[#This Row],[P46 Growth]]/PortfolioFrontier[[#This Row],[P46 HWM]]-1</f>
        <v>-9.1455531180629768E-3</v>
      </c>
      <c r="GE32" s="28">
        <f>SUMPRODUCT(INDEX(PortfolioRef[[SPY]:[PE]],MATCH(GE$1,PortfolioRef[Reference '#]),0),AssetMonthlyReturns[[#This Row],[SPY]:[PE]])</f>
        <v>-6.8543042462097968E-3</v>
      </c>
      <c r="GF32" s="27">
        <f>IF(ISNUMBER(GF31),GF31*(1+PortfolioFrontier[[#This Row],[P47 Return]]),1+PortfolioFrontier[[#This Row],[P47 Return]])</f>
        <v>1.15767163875877</v>
      </c>
      <c r="GG32" s="27">
        <f>MAX(GG31,PortfolioFrontier[[#This Row],[P47 Growth]])</f>
        <v>1.1656614368953246</v>
      </c>
      <c r="GH32" s="27">
        <f>PortfolioFrontier[[#This Row],[P47 Growth]]/PortfolioFrontier[[#This Row],[P47 HWM]]-1</f>
        <v>-6.854304246209808E-3</v>
      </c>
      <c r="GI32" s="28">
        <f>SUMPRODUCT(INDEX(PortfolioRef[[SPY]:[PE]],MATCH(GI$1,PortfolioRef[Reference '#]),0),AssetMonthlyReturns[[#This Row],[SPY]:[PE]])</f>
        <v>-4.5630553743567451E-3</v>
      </c>
      <c r="GJ32" s="27">
        <f>IF(ISNUMBER(GJ31),GJ31*(1+PortfolioFrontier[[#This Row],[P48 Return]]),1+PortfolioFrontier[[#This Row],[P48 Return]])</f>
        <v>1.1544621114968308</v>
      </c>
      <c r="GK32" s="27">
        <f>MAX(GK31,PortfolioFrontier[[#This Row],[P48 Growth]])</f>
        <v>1.1597541338301369</v>
      </c>
      <c r="GL32" s="27">
        <f>PortfolioFrontier[[#This Row],[P48 Growth]]/PortfolioFrontier[[#This Row],[P48 HWM]]-1</f>
        <v>-4.5630553743568614E-3</v>
      </c>
      <c r="GM32" s="28">
        <f>SUMPRODUCT(INDEX(PortfolioRef[[SPY]:[PE]],MATCH(GM$1,PortfolioRef[Reference '#]),0),AssetMonthlyReturns[[#This Row],[SPY]:[PE]])</f>
        <v>-1.0819931870488426E-2</v>
      </c>
      <c r="GN32" s="27">
        <f>IF(ISNUMBER(GN31),GN31*(1+PortfolioFrontier[[#This Row],[P49 Return]]),1+PortfolioFrontier[[#This Row],[P49 Return]])</f>
        <v>1.1706211593980849</v>
      </c>
      <c r="GO32" s="27">
        <f>MAX(GO31,PortfolioFrontier[[#This Row],[P49 Growth]])</f>
        <v>1.1834257453364068</v>
      </c>
      <c r="GP32" s="27">
        <f>PortfolioFrontier[[#This Row],[P49 Growth]]/PortfolioFrontier[[#This Row],[P49 HWM]]-1</f>
        <v>-1.0819931870488464E-2</v>
      </c>
      <c r="GQ32" s="28">
        <f>SUMPRODUCT(INDEX(PortfolioRef[[SPY]:[PE]],MATCH(GQ$1,PortfolioRef[Reference '#]),0),AssetMonthlyReturns[[#This Row],[SPY]:[PE]])</f>
        <v>-8.5286829986353733E-3</v>
      </c>
      <c r="GR32" s="27">
        <f>IF(ISNUMBER(GR31),GR31*(1+PortfolioFrontier[[#This Row],[P50 Return]]),1+PortfolioFrontier[[#This Row],[P50 Return]])</f>
        <v>1.1675317941772323</v>
      </c>
      <c r="GS32" s="27">
        <f>MAX(GS31,PortfolioFrontier[[#This Row],[P50 Growth]])</f>
        <v>1.177574957698575</v>
      </c>
      <c r="GT32" s="27">
        <f>PortfolioFrontier[[#This Row],[P50 Growth]]/PortfolioFrontier[[#This Row],[P50 HWM]]-1</f>
        <v>-8.5286829986355173E-3</v>
      </c>
      <c r="GU32" s="28">
        <f>SUMPRODUCT(INDEX(PortfolioRef[[SPY]:[PE]],MATCH(GU$1,PortfolioRef[Reference '#]),0),AssetMonthlyReturns[[#This Row],[SPY]:[PE]])</f>
        <v>-6.2374341267823208E-3</v>
      </c>
      <c r="GV32" s="27">
        <f>IF(ISNUMBER(GV31),GV31*(1+PortfolioFrontier[[#This Row],[P51 Return]]),1+PortfolioFrontier[[#This Row],[P51 Return]])</f>
        <v>1.1643384297322026</v>
      </c>
      <c r="GW32" s="27">
        <f>MAX(GW31,PortfolioFrontier[[#This Row],[P51 Growth]])</f>
        <v>1.1716464975807377</v>
      </c>
      <c r="GX32" s="27">
        <f>PortfolioFrontier[[#This Row],[P51 Growth]]/PortfolioFrontier[[#This Row],[P51 HWM]]-1</f>
        <v>-6.2374341267823485E-3</v>
      </c>
      <c r="GY32" s="28">
        <f>SUMPRODUCT(INDEX(PortfolioRef[[SPY]:[PE]],MATCH(GY$1,PortfolioRef[Reference '#]),0),AssetMonthlyReturns[[#This Row],[SPY]:[PE]])</f>
        <v>-9.1752951272197677E-3</v>
      </c>
      <c r="GZ32" s="27">
        <f>IF(ISNUMBER(GZ31),GZ31*(1+PortfolioFrontier[[#This Row],[P52 Return]]),1+PortfolioFrontier[[#This Row],[P52 Return]])</f>
        <v>1.1555108822541313</v>
      </c>
      <c r="HA32" s="27">
        <f>MAX(HA31,PortfolioFrontier[[#This Row],[P52 Growth]])</f>
        <v>1.166211214326248</v>
      </c>
      <c r="HB32" s="27">
        <f>PortfolioFrontier[[#This Row],[P52 Growth]]/PortfolioFrontier[[#This Row],[P52 HWM]]-1</f>
        <v>-9.175295127219707E-3</v>
      </c>
      <c r="HC32" s="28">
        <f>SUMPRODUCT(INDEX(PortfolioRef[[SPY]:[PE]],MATCH(HC$1,PortfolioRef[Reference '#]),0),AssetMonthlyReturns[[#This Row],[SPY]:[PE]])</f>
        <v>-6.8840462553667152E-3</v>
      </c>
      <c r="HD32" s="27">
        <f>IF(ISNUMBER(HD31),HD31*(1+PortfolioFrontier[[#This Row],[P53 Return]]),1+PortfolioFrontier[[#This Row],[P53 Return]])</f>
        <v>1.1524443587404012</v>
      </c>
      <c r="HE32" s="27">
        <f>MAX(HE31,PortfolioFrontier[[#This Row],[P53 Growth]])</f>
        <v>1.1604328320323583</v>
      </c>
      <c r="HF32" s="27">
        <f>PortfolioFrontier[[#This Row],[P53 Growth]]/PortfolioFrontier[[#This Row],[P53 HWM]]-1</f>
        <v>-6.8840462553668713E-3</v>
      </c>
      <c r="HG32" s="28">
        <f>SUMPRODUCT(INDEX(PortfolioRef[[SPY]:[PE]],MATCH(HG$1,PortfolioRef[Reference '#]),0),AssetMonthlyReturns[[#This Row],[SPY]:[PE]])</f>
        <v>-4.5927973835136636E-3</v>
      </c>
      <c r="HH32" s="27">
        <f>IF(ISNUMBER(HH31),HH31*(1+PortfolioFrontier[[#This Row],[P54 Return]]),1+PortfolioFrontier[[#This Row],[P54 Return]])</f>
        <v>1.1492753634680082</v>
      </c>
      <c r="HI32" s="27">
        <f>MAX(HI31,PortfolioFrontier[[#This Row],[P54 Growth]])</f>
        <v>1.1545781067758707</v>
      </c>
      <c r="HJ32" s="27">
        <f>PortfolioFrontier[[#This Row],[P54 Growth]]/PortfolioFrontier[[#This Row],[P54 HWM]]-1</f>
        <v>-4.5927973835138136E-3</v>
      </c>
      <c r="HK32" s="28">
        <f>SUMPRODUCT(INDEX(PortfolioRef[[SPY]:[PE]],MATCH(HK$1,PortfolioRef[Reference '#]),0),AssetMonthlyReturns[[#This Row],[SPY]:[PE]])</f>
        <v>-1.0849673879645345E-2</v>
      </c>
      <c r="HL32" s="27">
        <f>IF(ISNUMBER(HL31),HL31*(1+PortfolioFrontier[[#This Row],[P55 Return]]),1+PortfolioFrontier[[#This Row],[P55 Return]])</f>
        <v>1.1653766479661369</v>
      </c>
      <c r="HM32" s="27">
        <f>MAX(HM31,PortfolioFrontier[[#This Row],[P55 Growth]])</f>
        <v>1.1781592920632975</v>
      </c>
      <c r="HN32" s="27">
        <f>PortfolioFrontier[[#This Row],[P55 Growth]]/PortfolioFrontier[[#This Row],[P55 HWM]]-1</f>
        <v>-1.0849673879645305E-2</v>
      </c>
      <c r="HO32" s="28">
        <f>SUMPRODUCT(INDEX(PortfolioRef[[SPY]:[PE]],MATCH(HO$1,PortfolioRef[Reference '#]),0),AssetMonthlyReturns[[#This Row],[SPY]:[PE]])</f>
        <v>-8.5584250077922908E-3</v>
      </c>
      <c r="HP32" s="27">
        <f>IF(ISNUMBER(HP31),HP31*(1+PortfolioFrontier[[#This Row],[P56 Return]]),1+PortfolioFrontier[[#This Row],[P56 Return]])</f>
        <v>1.1623275821642007</v>
      </c>
      <c r="HQ32" s="27">
        <f>MAX(HQ31,PortfolioFrontier[[#This Row],[P56 Growth]])</f>
        <v>1.1723611471239099</v>
      </c>
      <c r="HR32" s="27">
        <f>PortfolioFrontier[[#This Row],[P56 Growth]]/PortfolioFrontier[[#This Row],[P56 HWM]]-1</f>
        <v>-8.5584250077921364E-3</v>
      </c>
      <c r="HS32" s="28">
        <f>SUMPRODUCT(INDEX(PortfolioRef[[SPY]:[PE]],MATCH(HS$1,PortfolioRef[Reference '#]),0),AssetMonthlyReturns[[#This Row],[SPY]:[PE]])</f>
        <v>-6.2671761359392392E-3</v>
      </c>
      <c r="HT32" s="27">
        <f>IF(ISNUMBER(HT31),HT31*(1+PortfolioFrontier[[#This Row],[P57 Return]]),1+PortfolioFrontier[[#This Row],[P57 Return]])</f>
        <v>1.1591748163641178</v>
      </c>
      <c r="HU32" s="27">
        <f>MAX(HU31,PortfolioFrontier[[#This Row],[P57 Growth]])</f>
        <v>1.1664853857365276</v>
      </c>
      <c r="HV32" s="27">
        <f>PortfolioFrontier[[#This Row],[P57 Growth]]/PortfolioFrontier[[#This Row],[P57 HWM]]-1</f>
        <v>-6.2671761359391898E-3</v>
      </c>
      <c r="HW32" s="28">
        <f>SUMPRODUCT(INDEX(PortfolioRef[[SPY]:[PE]],MATCH(HW$1,PortfolioRef[Reference '#]),0),AssetMonthlyReturns[[#This Row],[SPY]:[PE]])</f>
        <v>-1.2524052632070919E-2</v>
      </c>
      <c r="HX32" s="27">
        <f>IF(ISNUMBER(HX31),HX31*(1+PortfolioFrontier[[#This Row],[P58 Return]]),1+PortfolioFrontier[[#This Row],[P58 Return]])</f>
        <v>1.1751962852259419</v>
      </c>
      <c r="HY32" s="27">
        <f>MAX(HY31,PortfolioFrontier[[#This Row],[P58 Growth]])</f>
        <v>1.1901011749788666</v>
      </c>
      <c r="HZ32" s="27">
        <f>PortfolioFrontier[[#This Row],[P58 Growth]]/PortfolioFrontier[[#This Row],[P58 HWM]]-1</f>
        <v>-1.2524052632070903E-2</v>
      </c>
      <c r="IA32" s="28">
        <f>SUMPRODUCT(INDEX(PortfolioRef[[SPY]:[PE]],MATCH(IA$1,PortfolioRef[Reference '#]),0),AssetMonthlyReturns[[#This Row],[SPY]:[PE]])</f>
        <v>-1.0232803760217868E-2</v>
      </c>
      <c r="IB32" s="27">
        <f>IF(ISNUMBER(IB31),IB31*(1+PortfolioFrontier[[#This Row],[P59 Return]]),1+PortfolioFrontier[[#This Row],[P59 Return]])</f>
        <v>1.1721655260793176</v>
      </c>
      <c r="IC32" s="27">
        <f>MAX(IC31,PortfolioFrontier[[#This Row],[P59 Growth]])</f>
        <v>1.1842840725904875</v>
      </c>
      <c r="ID32" s="27">
        <f>PortfolioFrontier[[#This Row],[P59 Growth]]/PortfolioFrontier[[#This Row],[P59 HWM]]-1</f>
        <v>-1.0232803760217735E-2</v>
      </c>
      <c r="IE32" s="28">
        <f>SUMPRODUCT(INDEX(PortfolioRef[[SPY]:[PE]],MATCH(IE$1,PortfolioRef[Reference '#]),0),AssetMonthlyReturns[[#This Row],[SPY]:[PE]])</f>
        <v>-7.9415548883648157E-3</v>
      </c>
      <c r="IF32" s="27">
        <f>IF(ISNUMBER(IF31),IF31*(1+PortfolioFrontier[[#This Row],[P60 Return]]),1+PortfolioFrontier[[#This Row],[P60 Return]])</f>
        <v>1.1690298377415629</v>
      </c>
      <c r="IG32" s="27">
        <f>MAX(IG31,PortfolioFrontier[[#This Row],[P60 Growth]])</f>
        <v>1.1783880712895027</v>
      </c>
      <c r="IH32" s="27">
        <f>PortfolioFrontier[[#This Row],[P60 Growth]]/PortfolioFrontier[[#This Row],[P60 HWM]]-1</f>
        <v>-7.941554888364788E-3</v>
      </c>
      <c r="II32" s="28">
        <f>SUMPRODUCT(INDEX(PortfolioRef[[SPY]:[PE]],MATCH(II$1,PortfolioRef[Reference '#]),0),AssetMonthlyReturns[[#This Row],[SPY]:[PE]])</f>
        <v>-6.0787705571830001E-3</v>
      </c>
      <c r="IJ32" s="27">
        <f>IF(ISNUMBER(IJ31),IJ31*(1+PortfolioFrontier[[#This Row],[P61 Return]]),1+PortfolioFrontier[[#This Row],[P61 Return]])</f>
        <v>1.1347978332223643</v>
      </c>
      <c r="IK32" s="27">
        <f>MAX(IK31,PortfolioFrontier[[#This Row],[P61 Growth]])</f>
        <v>1.1417381977629368</v>
      </c>
      <c r="IL32" s="27">
        <f>PortfolioFrontier[[#This Row],[P61 Growth]]/PortfolioFrontier[[#This Row],[P61 HWM]]-1</f>
        <v>-6.0787705571830886E-3</v>
      </c>
      <c r="IM32" s="28">
        <f>SUMPRODUCT(INDEX(PortfolioRef[[SPY]:[PE]],MATCH(IM$1,PortfolioRef[Reference '#]),0),AssetMonthlyReturns[[#This Row],[SPY]:[PE]])</f>
        <v>-6.1085125663399194E-3</v>
      </c>
      <c r="IN32" s="27">
        <f>IF(ISNUMBER(IN31),IN31*(1+PortfolioFrontier[[#This Row],[P62 Return]]),1+PortfolioFrontier[[#This Row],[P62 Return]])</f>
        <v>1.129715385278359</v>
      </c>
      <c r="IO32" s="27">
        <f>MAX(IO31,PortfolioFrontier[[#This Row],[P62 Growth]])</f>
        <v>1.1366586791033009</v>
      </c>
      <c r="IP32" s="27">
        <f>PortfolioFrontier[[#This Row],[P62 Growth]]/PortfolioFrontier[[#This Row],[P62 HWM]]-1</f>
        <v>-6.1085125663399298E-3</v>
      </c>
      <c r="IQ32" s="28">
        <f>SUMPRODUCT(INDEX(PortfolioRef[[SPY]:[PE]],MATCH(IQ$1,PortfolioRef[Reference '#]),0),AssetMonthlyReturns[[#This Row],[SPY]:[PE]])</f>
        <v>-7.782891318765495E-3</v>
      </c>
      <c r="IR32" s="27">
        <f>IF(ISNUMBER(IR31),IR31*(1+PortfolioFrontier[[#This Row],[P63 Return]]),1+PortfolioFrontier[[#This Row],[P63 Return]])</f>
        <v>1.1394426107916007</v>
      </c>
      <c r="IS32" s="27">
        <f>MAX(IS31,PortfolioFrontier[[#This Row],[P63 Growth]])</f>
        <v>1.1483803300933251</v>
      </c>
      <c r="IT32" s="27">
        <f>PortfolioFrontier[[#This Row],[P63 Growth]]/PortfolioFrontier[[#This Row],[P63 HWM]]-1</f>
        <v>-7.782891318765528E-3</v>
      </c>
      <c r="IU32" s="28">
        <f>SUMPRODUCT(INDEX(PortfolioRef[[SPY]:[PE]],MATCH(IU$1,PortfolioRef[Reference '#]),0),AssetMonthlyReturns[[#This Row],[SPY]:[PE]])</f>
        <v>-5.4916424469124425E-3</v>
      </c>
      <c r="IV32" s="27">
        <f>IF(ISNUMBER(IV31),IV31*(1+PortfolioFrontier[[#This Row],[P64 Return]]),1+PortfolioFrontier[[#This Row],[P64 Return]])</f>
        <v>1.136293229700531</v>
      </c>
      <c r="IW32" s="27">
        <f>MAX(IW31,PortfolioFrontier[[#This Row],[P64 Growth]])</f>
        <v>1.1425678035489761</v>
      </c>
      <c r="IX32" s="27">
        <f>PortfolioFrontier[[#This Row],[P64 Growth]]/PortfolioFrontier[[#This Row],[P64 HWM]]-1</f>
        <v>-5.4916424469124703E-3</v>
      </c>
      <c r="IY32" s="28">
        <f>SUMPRODUCT(INDEX(PortfolioRef[[SPY]:[PE]],MATCH(IY$1,PortfolioRef[Reference '#]),0),AssetMonthlyReturns[[#This Row],[SPY]:[PE]])</f>
        <v>-6.1382545754968378E-3</v>
      </c>
      <c r="IZ32" s="27">
        <f>IF(ISNUMBER(IZ31),IZ31*(1+PortfolioFrontier[[#This Row],[P65 Return]]),1+PortfolioFrontier[[#This Row],[P65 Return]])</f>
        <v>1.1245862213153879</v>
      </c>
      <c r="JA32" s="27">
        <f>MAX(JA31,PortfolioFrontier[[#This Row],[P65 Growth]])</f>
        <v>1.1320832550752244</v>
      </c>
      <c r="JB32" s="27">
        <f>PortfolioFrontier[[#This Row],[P65 Growth]]/PortfolioFrontier[[#This Row],[P65 HWM]]-1</f>
        <v>-6.62233429054504E-3</v>
      </c>
      <c r="JC32" s="28">
        <f>SUMPRODUCT(INDEX(PortfolioRef[[SPY]:[PE]],MATCH(JC$1,PortfolioRef[Reference '#]),0),AssetMonthlyReturns[[#This Row],[SPY]:[PE]])</f>
        <v>-7.8126333279224126E-3</v>
      </c>
      <c r="JD32" s="27">
        <f>IF(ISNUMBER(JD31),JD31*(1+PortfolioFrontier[[#This Row],[P66 Return]]),1+PortfolioFrontier[[#This Row],[P66 Return]])</f>
        <v>1.1343355286683945</v>
      </c>
      <c r="JE32" s="27">
        <f>MAX(JE31,PortfolioFrontier[[#This Row],[P66 Growth]])</f>
        <v>1.143267458114388</v>
      </c>
      <c r="JF32" s="27">
        <f>PortfolioFrontier[[#This Row],[P66 Growth]]/PortfolioFrontier[[#This Row],[P66 HWM]]-1</f>
        <v>-7.8126333279223692E-3</v>
      </c>
      <c r="JG32" s="28">
        <f>SUMPRODUCT(INDEX(PortfolioRef[[SPY]:[PE]],MATCH(JG$1,PortfolioRef[Reference '#]),0),AssetMonthlyReturns[[#This Row],[SPY]:[PE]])</f>
        <v>-5.5213844560693609E-3</v>
      </c>
      <c r="JH32" s="27">
        <f>IF(ISNUMBER(JH31),JH31*(1+PortfolioFrontier[[#This Row],[P67 Return]]),1+PortfolioFrontier[[#This Row],[P67 Return]])</f>
        <v>1.1312259794948765</v>
      </c>
      <c r="JI32" s="27">
        <f>MAX(JI31,PortfolioFrontier[[#This Row],[P67 Growth]])</f>
        <v>1.1375065907034629</v>
      </c>
      <c r="JJ32" s="27">
        <f>PortfolioFrontier[[#This Row],[P67 Growth]]/PortfolioFrontier[[#This Row],[P67 HWM]]-1</f>
        <v>-5.5213844560693115E-3</v>
      </c>
      <c r="JK32" s="28">
        <f>SUMPRODUCT(INDEX(PortfolioRef[[SPY]:[PE]],MATCH(JK$1,PortfolioRef[Reference '#]),0),AssetMonthlyReturns[[#This Row],[SPY]:[PE]])</f>
        <v>-9.4870120803479899E-3</v>
      </c>
      <c r="JL32" s="27">
        <f>IF(ISNUMBER(JL31),JL31*(1+PortfolioFrontier[[#This Row],[P68 Return]]),1+PortfolioFrontier[[#This Row],[P68 Return]])</f>
        <v>1.1440420886832581</v>
      </c>
      <c r="JM32" s="27">
        <f>MAX(JM31,PortfolioFrontier[[#This Row],[P68 Growth]])</f>
        <v>1.1549995836864886</v>
      </c>
      <c r="JN32" s="27">
        <f>PortfolioFrontier[[#This Row],[P68 Growth]]/PortfolioFrontier[[#This Row],[P68 HWM]]-1</f>
        <v>-9.4870120803478564E-3</v>
      </c>
      <c r="JO32" s="28">
        <f>SUMPRODUCT(INDEX(PortfolioRef[[SPY]:[PE]],MATCH(JO$1,PortfolioRef[Reference '#]),0),AssetMonthlyReturns[[#This Row],[SPY]:[PE]])</f>
        <v>-7.1957632084949357E-3</v>
      </c>
      <c r="JP32" s="27">
        <f>IF(ISNUMBER(JP31),JP31*(1+PortfolioFrontier[[#This Row],[P69 Return]]),1+PortfolioFrontier[[#This Row],[P69 Return]])</f>
        <v>1.1409485883689034</v>
      </c>
      <c r="JQ32" s="27">
        <f>MAX(JQ31,PortfolioFrontier[[#This Row],[P69 Growth]])</f>
        <v>1.1492180896167041</v>
      </c>
      <c r="JR32" s="27">
        <f>PortfolioFrontier[[#This Row],[P69 Growth]]/PortfolioFrontier[[#This Row],[P69 HWM]]-1</f>
        <v>-7.1957632084949097E-3</v>
      </c>
      <c r="JS32" s="28">
        <f>SUMPRODUCT(INDEX(PortfolioRef[[SPY]:[PE]],MATCH(JS$1,PortfolioRef[Reference '#]),0),AssetMonthlyReturns[[#This Row],[SPY]:[PE]])</f>
        <v>-4.904514336641885E-3</v>
      </c>
      <c r="JT32" s="27">
        <f>IF(ISNUMBER(JT31),JT31*(1+PortfolioFrontier[[#This Row],[P70 Return]]),1+PortfolioFrontier[[#This Row],[P70 Return]])</f>
        <v>1.1377539873669962</v>
      </c>
      <c r="JU32" s="27">
        <f>MAX(JU31,PortfolioFrontier[[#This Row],[P70 Growth]])</f>
        <v>1.1433616208283146</v>
      </c>
      <c r="JV32" s="27">
        <f>PortfolioFrontier[[#This Row],[P70 Growth]]/PortfolioFrontier[[#This Row],[P70 HWM]]-1</f>
        <v>-4.904514336641741E-3</v>
      </c>
      <c r="JW32" s="28">
        <f>SUMPRODUCT(INDEX(PortfolioRef[[SPY]:[PE]],MATCH(JW$1,PortfolioRef[Reference '#]),0),AssetMonthlyReturns[[#This Row],[SPY]:[PE]])</f>
        <v>-7.8423753370793336E-3</v>
      </c>
      <c r="JX32" s="27">
        <f>IF(ISNUMBER(JX31),JX31*(1+PortfolioFrontier[[#This Row],[P71 Return]]),1+PortfolioFrontier[[#This Row],[P71 Return]])</f>
        <v>1.1291816709711109</v>
      </c>
      <c r="JY32" s="27">
        <f>MAX(JY31,PortfolioFrontier[[#This Row],[P71 Growth]])</f>
        <v>1.1381071342920368</v>
      </c>
      <c r="JZ32" s="27">
        <f>PortfolioFrontier[[#This Row],[P71 Growth]]/PortfolioFrontier[[#This Row],[P71 HWM]]-1</f>
        <v>-7.8423753370793214E-3</v>
      </c>
      <c r="KA32" s="28">
        <f>SUMPRODUCT(INDEX(PortfolioRef[[SPY]:[PE]],MATCH(KA$1,PortfolioRef[Reference '#]),0),AssetMonthlyReturns[[#This Row],[SPY]:[PE]])</f>
        <v>-5.5511264652262802E-3</v>
      </c>
      <c r="KB32" s="27">
        <f>IF(ISNUMBER(KB31),KB31*(1+PortfolioFrontier[[#This Row],[P72 Return]]),1+PortfolioFrontier[[#This Row],[P72 Return]])</f>
        <v>1.1261117634879532</v>
      </c>
      <c r="KC32" s="27">
        <f>MAX(KC31,PortfolioFrontier[[#This Row],[P72 Growth]])</f>
        <v>1.1323978471464129</v>
      </c>
      <c r="KD32" s="27">
        <f>PortfolioFrontier[[#This Row],[P72 Growth]]/PortfolioFrontier[[#This Row],[P72 HWM]]-1</f>
        <v>-5.5511264652262637E-3</v>
      </c>
      <c r="KE32" s="28">
        <f>SUMPRODUCT(INDEX(PortfolioRef[[SPY]:[PE]],MATCH(KE$1,PortfolioRef[Reference '#]),0),AssetMonthlyReturns[[#This Row],[SPY]:[PE]])</f>
        <v>-9.5167540895049092E-3</v>
      </c>
      <c r="KF32" s="27">
        <f>IF(ISNUMBER(KF31),KF31*(1+PortfolioFrontier[[#This Row],[P73 Return]]),1+PortfolioFrontier[[#This Row],[P73 Return]])</f>
        <v>1.1389105334468199</v>
      </c>
      <c r="KG32" s="27">
        <f>MAX(KG31,PortfolioFrontier[[#This Row],[P73 Growth]])</f>
        <v>1.1498534055463847</v>
      </c>
      <c r="KH32" s="27">
        <f>PortfolioFrontier[[#This Row],[P73 Growth]]/PortfolioFrontier[[#This Row],[P73 HWM]]-1</f>
        <v>-9.5167540895050307E-3</v>
      </c>
      <c r="KI32" s="28">
        <f>SUMPRODUCT(INDEX(PortfolioRef[[SPY]:[PE]],MATCH(KI$1,PortfolioRef[Reference '#]),0),AssetMonthlyReturns[[#This Row],[SPY]:[PE]])</f>
        <v>-7.2255052176518567E-3</v>
      </c>
      <c r="KJ32" s="27">
        <f>IF(ISNUMBER(KJ31),KJ31*(1+PortfolioFrontier[[#This Row],[P74 Return]]),1+PortfolioFrontier[[#This Row],[P74 Return]])</f>
        <v>1.1358567407466595</v>
      </c>
      <c r="KK32" s="27">
        <f>MAX(KK31,PortfolioFrontier[[#This Row],[P74 Growth]])</f>
        <v>1.1441236118738931</v>
      </c>
      <c r="KL32" s="27">
        <f>PortfolioFrontier[[#This Row],[P74 Growth]]/PortfolioFrontier[[#This Row],[P74 HWM]]-1</f>
        <v>-7.2255052176518619E-3</v>
      </c>
      <c r="KM32" s="28">
        <f>SUMPRODUCT(INDEX(PortfolioRef[[SPY]:[PE]],MATCH(KM$1,PortfolioRef[Reference '#]),0),AssetMonthlyReturns[[#This Row],[SPY]:[PE]])</f>
        <v>-4.9342563457988042E-3</v>
      </c>
      <c r="KN32" s="27">
        <f>IF(ISNUMBER(KN31),KN31*(1+PortfolioFrontier[[#This Row],[P75 Return]]),1+PortfolioFrontier[[#This Row],[P75 Return]])</f>
        <v>1.1327021356260434</v>
      </c>
      <c r="KO32" s="27">
        <f>MAX(KO31,PortfolioFrontier[[#This Row],[P75 Growth]])</f>
        <v>1.1383188928466144</v>
      </c>
      <c r="KP32" s="27">
        <f>PortfolioFrontier[[#This Row],[P75 Growth]]/PortfolioFrontier[[#This Row],[P75 HWM]]-1</f>
        <v>-4.9342563457986932E-3</v>
      </c>
      <c r="KQ32" s="28">
        <f>SUMPRODUCT(INDEX(PortfolioRef[[SPY]:[PE]],MATCH(KQ$1,PortfolioRef[Reference '#]),0),AssetMonthlyReturns[[#This Row],[SPY]:[PE]])</f>
        <v>-1.1191132841930485E-2</v>
      </c>
      <c r="KR32" s="27">
        <f>IF(ISNUMBER(KR31),KR31*(1+PortfolioFrontier[[#This Row],[P76 Return]]),1+PortfolioFrontier[[#This Row],[P76 Return]])</f>
        <v>1.148595512235683</v>
      </c>
      <c r="KS32" s="27">
        <f>MAX(KS31,PortfolioFrontier[[#This Row],[P76 Growth]])</f>
        <v>1.1615950770514989</v>
      </c>
      <c r="KT32" s="27">
        <f>PortfolioFrontier[[#This Row],[P76 Growth]]/PortfolioFrontier[[#This Row],[P76 HWM]]-1</f>
        <v>-1.1191132841930518E-2</v>
      </c>
      <c r="KU32" s="28">
        <f>SUMPRODUCT(INDEX(PortfolioRef[[SPY]:[PE]],MATCH(KU$1,PortfolioRef[Reference '#]),0),AssetMonthlyReturns[[#This Row],[SPY]:[PE]])</f>
        <v>-8.8998839700774324E-3</v>
      </c>
      <c r="KV32" s="27">
        <f>IF(ISNUMBER(KV31),KV31*(1+PortfolioFrontier[[#This Row],[P77 Return]]),1+PortfolioFrontier[[#This Row],[P77 Return]])</f>
        <v>1.1455586670576756</v>
      </c>
      <c r="KW32" s="27">
        <f>MAX(KW31,PortfolioFrontier[[#This Row],[P77 Growth]])</f>
        <v>1.1558455584148977</v>
      </c>
      <c r="KX32" s="27">
        <f>PortfolioFrontier[[#This Row],[P77 Growth]]/PortfolioFrontier[[#This Row],[P77 HWM]]-1</f>
        <v>-8.8998839700775711E-3</v>
      </c>
      <c r="KY32" s="28">
        <f>SUMPRODUCT(INDEX(PortfolioRef[[SPY]:[PE]],MATCH(KY$1,PortfolioRef[Reference '#]),0),AssetMonthlyReturns[[#This Row],[SPY]:[PE]])</f>
        <v>-6.6086350982243799E-3</v>
      </c>
      <c r="KZ32" s="27">
        <f>IF(ISNUMBER(KZ31),KZ31*(1+PortfolioFrontier[[#This Row],[P78 Return]]),1+PortfolioFrontier[[#This Row],[P78 Return]])</f>
        <v>1.1424198022684886</v>
      </c>
      <c r="LA32" s="27">
        <f>MAX(LA31,PortfolioFrontier[[#This Row],[P78 Growth]])</f>
        <v>1.1500198639047448</v>
      </c>
      <c r="LB32" s="27">
        <f>PortfolioFrontier[[#This Row],[P78 Growth]]/PortfolioFrontier[[#This Row],[P78 HWM]]-1</f>
        <v>-6.6086350982244024E-3</v>
      </c>
      <c r="LC32" s="28">
        <f>SUMPRODUCT(INDEX(PortfolioRef[[SPY]:[PE]],MATCH(LC$1,PortfolioRef[Reference '#]),0),AssetMonthlyReturns[[#This Row],[SPY]:[PE]])</f>
        <v>-9.5464960986618285E-3</v>
      </c>
      <c r="LD32" s="27">
        <f>IF(ISNUMBER(LD31),LD31*(1+PortfolioFrontier[[#This Row],[P79 Return]]),1+PortfolioFrontier[[#This Row],[P79 Return]])</f>
        <v>1.1337321454206808</v>
      </c>
      <c r="LE32" s="27">
        <f>MAX(LE31,PortfolioFrontier[[#This Row],[P79 Growth]])</f>
        <v>1.1446596341524125</v>
      </c>
      <c r="LF32" s="27">
        <f>PortfolioFrontier[[#This Row],[P79 Growth]]/PortfolioFrontier[[#This Row],[P79 HWM]]-1</f>
        <v>-9.5464960986617609E-3</v>
      </c>
      <c r="LG32" s="28">
        <f>SUMPRODUCT(INDEX(PortfolioRef[[SPY]:[PE]],MATCH(LG$1,PortfolioRef[Reference '#]),0),AssetMonthlyReturns[[#This Row],[SPY]:[PE]])</f>
        <v>-7.2552472268087743E-3</v>
      </c>
      <c r="LH32" s="27">
        <f>IF(ISNUMBER(LH31),LH31*(1+PortfolioFrontier[[#This Row],[P80 Return]]),1+PortfolioFrontier[[#This Row],[P80 Return]])</f>
        <v>1.1307178667538296</v>
      </c>
      <c r="LI32" s="27">
        <f>MAX(LI31,PortfolioFrontier[[#This Row],[P80 Growth]])</f>
        <v>1.1389814588243516</v>
      </c>
      <c r="LJ32" s="27">
        <f>PortfolioFrontier[[#This Row],[P80 Growth]]/PortfolioFrontier[[#This Row],[P80 HWM]]-1</f>
        <v>-7.2552472268088142E-3</v>
      </c>
      <c r="LK32" s="28">
        <f>SUMPRODUCT(INDEX(PortfolioRef[[SPY]:[PE]],MATCH(LK$1,PortfolioRef[Reference '#]),0),AssetMonthlyReturns[[#This Row],[SPY]:[PE]])</f>
        <v>-4.9639983549557235E-3</v>
      </c>
      <c r="LL32" s="27">
        <f>IF(ISNUMBER(LL31),LL31*(1+PortfolioFrontier[[#This Row],[P81 Return]]),1+PortfolioFrontier[[#This Row],[P81 Return]])</f>
        <v>1.1276030698024924</v>
      </c>
      <c r="LM32" s="27">
        <f>MAX(LM31,PortfolioFrontier[[#This Row],[P81 Growth]])</f>
        <v>1.1332284137843067</v>
      </c>
      <c r="LN32" s="27">
        <f>PortfolioFrontier[[#This Row],[P81 Growth]]/PortfolioFrontier[[#This Row],[P81 HWM]]-1</f>
        <v>-4.9639983549556455E-3</v>
      </c>
      <c r="LO32" s="28">
        <f>SUMPRODUCT(INDEX(PortfolioRef[[SPY]:[PE]],MATCH(LO$1,PortfolioRef[Reference '#]),0),AssetMonthlyReturns[[#This Row],[SPY]:[PE]])</f>
        <v>-1.1220874851087404E-2</v>
      </c>
      <c r="LP32" s="27">
        <f>IF(ISNUMBER(LP31),LP31*(1+PortfolioFrontier[[#This Row],[P82 Return]]),1+PortfolioFrontier[[#This Row],[P82 Return]])</f>
        <v>1.1434396482871034</v>
      </c>
      <c r="LQ32" s="27">
        <f>MAX(LQ31,PortfolioFrontier[[#This Row],[P82 Growth]])</f>
        <v>1.1564156434986412</v>
      </c>
      <c r="LR32" s="27">
        <f>PortfolioFrontier[[#This Row],[P82 Growth]]/PortfolioFrontier[[#This Row],[P82 HWM]]-1</f>
        <v>-1.1220874851087248E-2</v>
      </c>
      <c r="LS32" s="28">
        <f>SUMPRODUCT(INDEX(PortfolioRef[[SPY]:[PE]],MATCH(LS$1,PortfolioRef[Reference '#]),0),AssetMonthlyReturns[[#This Row],[SPY]:[PE]])</f>
        <v>-8.9296259792343517E-3</v>
      </c>
      <c r="LT32" s="27">
        <f>IF(ISNUMBER(LT31),LT31*(1+PortfolioFrontier[[#This Row],[P83 Return]]),1+PortfolioFrontier[[#This Row],[P83 Return]])</f>
        <v>1.1404423822545082</v>
      </c>
      <c r="LU32" s="27">
        <f>MAX(LU31,PortfolioFrontier[[#This Row],[P83 Growth]])</f>
        <v>1.1507178623731242</v>
      </c>
      <c r="LV32" s="27">
        <f>PortfolioFrontier[[#This Row],[P83 Growth]]/PortfolioFrontier[[#This Row],[P83 HWM]]-1</f>
        <v>-8.9296259792343013E-3</v>
      </c>
      <c r="LW32" s="28">
        <f>SUMPRODUCT(INDEX(PortfolioRef[[SPY]:[PE]],MATCH(LW$1,PortfolioRef[Reference '#]),0),AssetMonthlyReturns[[#This Row],[SPY]:[PE]])</f>
        <v>-6.6383771073812992E-3</v>
      </c>
      <c r="LX32" s="27">
        <f>IF(ISNUMBER(LX31),LX31*(1+PortfolioFrontier[[#This Row],[P84 Return]]),1+PortfolioFrontier[[#This Row],[P84 Return]])</f>
        <v>1.137343390792813</v>
      </c>
      <c r="LY32" s="27">
        <f>MAX(LY31,PortfolioFrontier[[#This Row],[P84 Growth]])</f>
        <v>1.1449439605698946</v>
      </c>
      <c r="LZ32" s="27">
        <f>PortfolioFrontier[[#This Row],[P84 Growth]]/PortfolioFrontier[[#This Row],[P84 HWM]]-1</f>
        <v>-6.6383771073812436E-3</v>
      </c>
      <c r="MA32" s="28">
        <f>SUMPRODUCT(INDEX(PortfolioRef[[SPY]:[PE]],MATCH(MA$1,PortfolioRef[Reference '#]),0),AssetMonthlyReturns[[#This Row],[SPY]:[PE]])</f>
        <v>-1.289525360351298E-2</v>
      </c>
      <c r="MB32" s="27">
        <f>IF(ISNUMBER(MB31),MB31*(1+PortfolioFrontier[[#This Row],[P85 Return]]),1+PortfolioFrontier[[#This Row],[P85 Return]])</f>
        <v>1.1531021291935788</v>
      </c>
      <c r="MC32" s="27">
        <f>MAX(MC31,PortfolioFrontier[[#This Row],[P85 Growth]])</f>
        <v>1.1681659250480558</v>
      </c>
      <c r="MD32" s="27">
        <f>PortfolioFrontier[[#This Row],[P85 Growth]]/PortfolioFrontier[[#This Row],[P85 HWM]]-1</f>
        <v>-1.2895253603512957E-2</v>
      </c>
      <c r="ME32" s="28">
        <f>SUMPRODUCT(INDEX(PortfolioRef[[SPY]:[PE]],MATCH(ME$1,PortfolioRef[Reference '#]),0),AssetMonthlyReturns[[#This Row],[SPY]:[PE]])</f>
        <v>-1.0604004731659927E-2</v>
      </c>
      <c r="MF32" s="27">
        <f>IF(ISNUMBER(MF31),MF31*(1+PortfolioFrontier[[#This Row],[P86 Return]]),1+PortfolioFrontier[[#This Row],[P86 Return]])</f>
        <v>1.1501227104155947</v>
      </c>
      <c r="MG32" s="27">
        <f>MAX(MG31,PortfolioFrontier[[#This Row],[P86 Growth]])</f>
        <v>1.1624493285963451</v>
      </c>
      <c r="MH32" s="27">
        <f>PortfolioFrontier[[#This Row],[P86 Growth]]/PortfolioFrontier[[#This Row],[P86 HWM]]-1</f>
        <v>-1.0604004731659789E-2</v>
      </c>
      <c r="MI32" s="28">
        <f>SUMPRODUCT(INDEX(PortfolioRef[[SPY]:[PE]],MATCH(MI$1,PortfolioRef[Reference '#]),0),AssetMonthlyReturns[[#This Row],[SPY]:[PE]])</f>
        <v>-8.3127558598068765E-3</v>
      </c>
      <c r="MJ32" s="27">
        <f>IF(ISNUMBER(MJ31),MJ31*(1+PortfolioFrontier[[#This Row],[P87 Return]]),1+PortfolioFrontier[[#This Row],[P87 Return]])</f>
        <v>1.1470403580973034</v>
      </c>
      <c r="MK32" s="27">
        <f>MAX(MK31,PortfolioFrontier[[#This Row],[P87 Growth]])</f>
        <v>1.1566553516495048</v>
      </c>
      <c r="ML32" s="27">
        <f>PortfolioFrontier[[#This Row],[P87 Growth]]/PortfolioFrontier[[#This Row],[P87 HWM]]-1</f>
        <v>-8.3127558598068418E-3</v>
      </c>
      <c r="MM32" s="28">
        <f>SUMPRODUCT(INDEX(PortfolioRef[[SPY]:[PE]],MATCH(MM$1,PortfolioRef[Reference '#]),0),AssetMonthlyReturns[[#This Row],[SPY]:[PE]])</f>
        <v>-1.1250616860244323E-2</v>
      </c>
      <c r="MN32" s="27">
        <f>IF(ISNUMBER(MN31),MN31*(1+PortfolioFrontier[[#This Row],[P88 Return]]),1+PortfolioFrontier[[#This Row],[P88 Return]])</f>
        <v>1.1382368966871932</v>
      </c>
      <c r="MO32" s="27">
        <f>MAX(MO31,PortfolioFrontier[[#This Row],[P88 Growth]])</f>
        <v>1.1511884771778493</v>
      </c>
      <c r="MP32" s="27">
        <f>PortfolioFrontier[[#This Row],[P88 Growth]]/PortfolioFrontier[[#This Row],[P88 HWM]]-1</f>
        <v>-1.1250616860244311E-2</v>
      </c>
      <c r="MQ32" s="28">
        <f>SUMPRODUCT(INDEX(PortfolioRef[[SPY]:[PE]],MATCH(MQ$1,PortfolioRef[Reference '#]),0),AssetMonthlyReturns[[#This Row],[SPY]:[PE]])</f>
        <v>-8.9593679883912692E-3</v>
      </c>
      <c r="MR32" s="27">
        <f>IF(ISNUMBER(MR31),MR31*(1+PortfolioFrontier[[#This Row],[P89 Return]]),1+PortfolioFrontier[[#This Row],[P89 Return]])</f>
        <v>1.1352790128563768</v>
      </c>
      <c r="MS32" s="27">
        <f>MAX(MS31,PortfolioFrontier[[#This Row],[P89 Growth]])</f>
        <v>1.145542348301092</v>
      </c>
      <c r="MT32" s="27">
        <f>PortfolioFrontier[[#This Row],[P89 Growth]]/PortfolioFrontier[[#This Row],[P89 HWM]]-1</f>
        <v>-8.9593679883911426E-3</v>
      </c>
      <c r="MU32" s="28">
        <f>SUMPRODUCT(INDEX(PortfolioRef[[SPY]:[PE]],MATCH(MU$1,PortfolioRef[Reference '#]),0),AssetMonthlyReturns[[#This Row],[SPY]:[PE]])</f>
        <v>-6.6681191165382176E-3</v>
      </c>
      <c r="MV32" s="27">
        <f>IF(ISNUMBER(MV31),MV31*(1+PortfolioFrontier[[#This Row],[P90 Return]]),1+PortfolioFrontier[[#This Row],[P90 Return]])</f>
        <v>1.1322197036527371</v>
      </c>
      <c r="MW32" s="27">
        <f>MAX(MW31,PortfolioFrontier[[#This Row],[P90 Growth]])</f>
        <v>1.139820160252734</v>
      </c>
      <c r="MX32" s="27">
        <f>PortfolioFrontier[[#This Row],[P90 Growth]]/PortfolioFrontier[[#This Row],[P90 HWM]]-1</f>
        <v>-6.6681191165383069E-3</v>
      </c>
      <c r="MY32" s="28">
        <f>SUMPRODUCT(INDEX(PortfolioRef[[SPY]:[PE]],MATCH(MY$1,PortfolioRef[Reference '#]),0),AssetMonthlyReturns[[#This Row],[SPY]:[PE]])</f>
        <v>-1.2924995612669897E-2</v>
      </c>
      <c r="MZ32" s="27">
        <f>IF(ISNUMBER(MZ31),MZ31*(1+PortfolioFrontier[[#This Row],[P91 Return]]),1+PortfolioFrontier[[#This Row],[P91 Return]])</f>
        <v>1.1479221242640743</v>
      </c>
      <c r="NA32" s="27">
        <f>MAX(NA31,PortfolioFrontier[[#This Row],[P91 Growth]])</f>
        <v>1.1629532904407611</v>
      </c>
      <c r="NB32" s="27">
        <f>PortfolioFrontier[[#This Row],[P91 Growth]]/PortfolioFrontier[[#This Row],[P91 HWM]]-1</f>
        <v>-1.2924995612669909E-2</v>
      </c>
      <c r="NC32" s="28">
        <f>SUMPRODUCT(INDEX(PortfolioRef[[SPY]:[PE]],MATCH(NC$1,PortfolioRef[Reference '#]),0),AssetMonthlyReturns[[#This Row],[SPY]:[PE]])</f>
        <v>-1.0633746740816847E-2</v>
      </c>
      <c r="ND32" s="27">
        <f>IF(ISNUMBER(ND31),ND31*(1+PortfolioFrontier[[#This Row],[P92 Return]]),1+PortfolioFrontier[[#This Row],[P92 Return]])</f>
        <v>1.1449821519931289</v>
      </c>
      <c r="NE32" s="27">
        <f>MAX(NE31,PortfolioFrontier[[#This Row],[P92 Growth]])</f>
        <v>1.1572884644299457</v>
      </c>
      <c r="NF32" s="27">
        <f>PortfolioFrontier[[#This Row],[P92 Growth]]/PortfolioFrontier[[#This Row],[P92 HWM]]-1</f>
        <v>-1.0633746740816741E-2</v>
      </c>
      <c r="NG32" s="28">
        <f>SUMPRODUCT(INDEX(PortfolioRef[[SPY]:[PE]],MATCH(NG$1,PortfolioRef[Reference '#]),0),AssetMonthlyReturns[[#This Row],[SPY]:[PE]])</f>
        <v>-8.3424978689637941E-3</v>
      </c>
      <c r="NH32" s="27">
        <f>IF(ISNUMBER(NH31),NH31*(1+PortfolioFrontier[[#This Row],[P93 Return]]),1+PortfolioFrontier[[#This Row],[P93 Return]])</f>
        <v>1.1419395462889967</v>
      </c>
      <c r="NI32" s="27">
        <f>MAX(NI31,PortfolioFrontier[[#This Row],[P93 Growth]])</f>
        <v>1.151546319001278</v>
      </c>
      <c r="NJ32" s="27">
        <f>PortfolioFrontier[[#This Row],[P93 Growth]]/PortfolioFrontier[[#This Row],[P93 HWM]]-1</f>
        <v>-8.3424978689637941E-3</v>
      </c>
      <c r="NK32" s="28">
        <f>SUMPRODUCT(INDEX(PortfolioRef[[SPY]:[PE]],MATCH(NK$1,PortfolioRef[Reference '#]),0),AssetMonthlyReturns[[#This Row],[SPY]:[PE]])</f>
        <v>-1.4599374365095475E-2</v>
      </c>
      <c r="NL32" s="27">
        <f>IF(ISNUMBER(NL31),NL31*(1+PortfolioFrontier[[#This Row],[P94 Return]]),1+PortfolioFrontier[[#This Row],[P94 Return]])</f>
        <v>1.1575611898631082</v>
      </c>
      <c r="NM32" s="27">
        <f>MAX(NM31,PortfolioFrontier[[#This Row],[P94 Growth]])</f>
        <v>1.1747112390123344</v>
      </c>
      <c r="NN32" s="27">
        <f>PortfolioFrontier[[#This Row],[P94 Growth]]/PortfolioFrontier[[#This Row],[P94 HWM]]-1</f>
        <v>-1.4599374365095508E-2</v>
      </c>
      <c r="NO32" s="28">
        <f>SUMPRODUCT(INDEX(PortfolioRef[[SPY]:[PE]],MATCH(NO$1,PortfolioRef[Reference '#]),0),AssetMonthlyReturns[[#This Row],[SPY]:[PE]])</f>
        <v>-1.230812549324242E-2</v>
      </c>
      <c r="NP32" s="27">
        <f>IF(ISNUMBER(NP31),NP31*(1+PortfolioFrontier[[#This Row],[P95 Return]]),1+PortfolioFrontier[[#This Row],[P95 Return]])</f>
        <v>1.1546399654887418</v>
      </c>
      <c r="NQ32" s="27">
        <f>MAX(NQ31,PortfolioFrontier[[#This Row],[P95 Growth]])</f>
        <v>1.1690285151584914</v>
      </c>
      <c r="NR32" s="27">
        <f>PortfolioFrontier[[#This Row],[P95 Growth]]/PortfolioFrontier[[#This Row],[P95 HWM]]-1</f>
        <v>-1.230812549324245E-2</v>
      </c>
      <c r="NS32" s="28">
        <f>SUMPRODUCT(INDEX(PortfolioRef[[SPY]:[PE]],MATCH(NS$1,PortfolioRef[Reference '#]),0),AssetMonthlyReturns[[#This Row],[SPY]:[PE]])</f>
        <v>-1.0016876621389371E-2</v>
      </c>
      <c r="NT32" s="27">
        <f>IF(ISNUMBER(NT31),NT31*(1+PortfolioFrontier[[#This Row],[P96 Return]]),1+PortfolioFrontier[[#This Row],[P96 Return]])</f>
        <v>1.1516148988311286</v>
      </c>
      <c r="NU32" s="27">
        <f>MAX(NU31,PortfolioFrontier[[#This Row],[P96 Growth]])</f>
        <v>1.1632672028800872</v>
      </c>
      <c r="NV32" s="27">
        <f>PortfolioFrontier[[#This Row],[P96 Growth]]/PortfolioFrontier[[#This Row],[P96 HWM]]-1</f>
        <v>-1.0016876621389503E-2</v>
      </c>
      <c r="NW32" s="28">
        <f>SUMPRODUCT(INDEX(PortfolioRef[[SPY]:[PE]],MATCH(NW$1,PortfolioRef[Reference '#]),0),AssetMonthlyReturns[[#This Row],[SPY]:[PE]])</f>
        <v>-6.4499715286250592E-3</v>
      </c>
      <c r="NX32" s="27">
        <f>IF(ISNUMBER(NX31),NX31*(1+PortfolioFrontier[[#This Row],[P97 Return]]),1+PortfolioFrontier[[#This Row],[P97 Return]])</f>
        <v>1.113338194036277</v>
      </c>
      <c r="NY32" s="27">
        <f>MAX(NY31,PortfolioFrontier[[#This Row],[P97 Growth]])</f>
        <v>1.1205658116171582</v>
      </c>
      <c r="NZ32" s="27">
        <f>PortfolioFrontier[[#This Row],[P97 Growth]]/PortfolioFrontier[[#This Row],[P97 HWM]]-1</f>
        <v>-6.4499715286249204E-3</v>
      </c>
      <c r="OA32" s="28">
        <f>SUMPRODUCT(INDEX(PortfolioRef[[SPY]:[PE]],MATCH(OA$1,PortfolioRef[Reference '#]),0),AssetMonthlyReturns[[#This Row],[SPY]:[PE]])</f>
        <v>-6.4797135377819785E-3</v>
      </c>
      <c r="OB32" s="27">
        <f>IF(ISNUMBER(OB31),OB31*(1+PortfolioFrontier[[#This Row],[P98 Return]]),1+PortfolioFrontier[[#This Row],[P98 Return]])</f>
        <v>1.108342005278292</v>
      </c>
      <c r="OC32" s="27">
        <f>MAX(OC31,PortfolioFrontier[[#This Row],[P98 Growth]])</f>
        <v>1.1155705830878779</v>
      </c>
      <c r="OD32" s="27">
        <f>PortfolioFrontier[[#This Row],[P98 Growth]]/PortfolioFrontier[[#This Row],[P98 HWM]]-1</f>
        <v>-6.4797135377820947E-3</v>
      </c>
      <c r="OE32" s="28">
        <f>SUMPRODUCT(INDEX(PortfolioRef[[SPY]:[PE]],MATCH(OE$1,PortfolioRef[Reference '#]),0),AssetMonthlyReturns[[#This Row],[SPY]:[PE]])</f>
        <v>-8.1540922902075541E-3</v>
      </c>
      <c r="OF32" s="27">
        <f>IF(ISNUMBER(OF31),OF31*(1+PortfolioFrontier[[#This Row],[P99 Return]]),1+PortfolioFrontier[[#This Row],[P99 Return]])</f>
        <v>1.1179122766836813</v>
      </c>
      <c r="OG32" s="27">
        <f>MAX(OG31,PortfolioFrontier[[#This Row],[P99 Growth]])</f>
        <v>1.1271027767458159</v>
      </c>
      <c r="OH32" s="27">
        <f>PortfolioFrontier[[#This Row],[P99 Growth]]/PortfolioFrontier[[#This Row],[P99 HWM]]-1</f>
        <v>-8.1540922902075819E-3</v>
      </c>
      <c r="OI32" s="28">
        <f>SUMPRODUCT(INDEX(PortfolioRef[[SPY]:[PE]],MATCH(OI$1,PortfolioRef[Reference '#]),0),AssetMonthlyReturns[[#This Row],[SPY]:[PE]])</f>
        <v>-5.8628434183545016E-3</v>
      </c>
      <c r="OJ32" s="27">
        <f>IF(ISNUMBER(OJ31),OJ31*(1+PortfolioFrontier[[#This Row],[P100 Return]]),1+PortfolioFrontier[[#This Row],[P100 Return]])</f>
        <v>1.1148169549681808</v>
      </c>
      <c r="OK32" s="27">
        <f>MAX(OK31,PortfolioFrontier[[#This Row],[P100 Growth]])</f>
        <v>1.1213914977300461</v>
      </c>
      <c r="OL32" s="27">
        <f>PortfolioFrontier[[#This Row],[P100 Growth]]/PortfolioFrontier[[#This Row],[P100 HWM]]-1</f>
        <v>-5.8628434183545242E-3</v>
      </c>
      <c r="OM32" s="28">
        <f>SUMPRODUCT(INDEX(PortfolioRef[[SPY]:[PE]],MATCH(OM$1,PortfolioRef[Reference '#]),0),AssetMonthlyReturns[[#This Row],[SPY]:[PE]])</f>
        <v>-6.5094555469388977E-3</v>
      </c>
      <c r="ON32" s="27">
        <f>IF(ISNUMBER(ON31),ON31*(1+PortfolioFrontier[[#This Row],[P101 Return]]),1+PortfolioFrontier[[#This Row],[P101 Return]])</f>
        <v>1.1032999515481874</v>
      </c>
      <c r="OO32" s="27">
        <f>MAX(OO31,PortfolioFrontier[[#This Row],[P101 Growth]])</f>
        <v>1.1133618200783288</v>
      </c>
      <c r="OP32" s="27">
        <f>PortfolioFrontier[[#This Row],[P101 Growth]]/PortfolioFrontier[[#This Row],[P101 HWM]]-1</f>
        <v>-9.037375225812605E-3</v>
      </c>
      <c r="OQ32" s="28">
        <f>SUMPRODUCT(INDEX(PortfolioRef[[SPY]:[PE]],MATCH(OQ$1,PortfolioRef[Reference '#]),0),AssetMonthlyReturns[[#This Row],[SPY]:[PE]])</f>
        <v>-8.1838342993644734E-3</v>
      </c>
      <c r="OR32" s="27">
        <f>IF(ISNUMBER(OR31),OR31*(1+PortfolioFrontier[[#This Row],[P102 Return]]),1+PortfolioFrontier[[#This Row],[P102 Return]])</f>
        <v>1.1128918426408541</v>
      </c>
      <c r="OS32" s="27">
        <f>MAX(OS31,PortfolioFrontier[[#This Row],[P102 Growth]])</f>
        <v>1.1220747161896565</v>
      </c>
      <c r="OT32" s="27">
        <f>PortfolioFrontier[[#This Row],[P102 Growth]]/PortfolioFrontier[[#This Row],[P102 HWM]]-1</f>
        <v>-8.1838342993643121E-3</v>
      </c>
      <c r="OU32" s="28">
        <f>SUMPRODUCT(INDEX(PortfolioRef[[SPY]:[PE]],MATCH(OU$1,PortfolioRef[Reference '#]),0),AssetMonthlyReturns[[#This Row],[SPY]:[PE]])</f>
        <v>-5.8925854275114209E-3</v>
      </c>
      <c r="OV32" s="27">
        <f>IF(ISNUMBER(OV31),OV31*(1+PortfolioFrontier[[#This Row],[P103 Return]]),1+PortfolioFrontier[[#This Row],[P103 Return]])</f>
        <v>1.1098356388253861</v>
      </c>
      <c r="OW32" s="27">
        <f>MAX(OW31,PortfolioFrontier[[#This Row],[P103 Growth]])</f>
        <v>1.1164142049002479</v>
      </c>
      <c r="OX32" s="27">
        <f>PortfolioFrontier[[#This Row],[P103 Growth]]/PortfolioFrontier[[#This Row],[P103 HWM]]-1</f>
        <v>-5.8925854275113654E-3</v>
      </c>
      <c r="OY32" s="28">
        <f>SUMPRODUCT(INDEX(PortfolioRef[[SPY]:[PE]],MATCH(OY$1,PortfolioRef[Reference '#]),0),AssetMonthlyReturns[[#This Row],[SPY]:[PE]])</f>
        <v>-9.858213051790049E-3</v>
      </c>
      <c r="OZ32" s="27">
        <f>IF(ISNUMBER(OZ31),OZ31*(1+PortfolioFrontier[[#This Row],[P104 Return]]),1+PortfolioFrontier[[#This Row],[P104 Return]])</f>
        <v>1.1224420332723994</v>
      </c>
      <c r="PA32" s="27">
        <f>MAX(PA31,PortfolioFrontier[[#This Row],[P104 Growth]])</f>
        <v>1.1336174758687461</v>
      </c>
      <c r="PB32" s="27">
        <f>PortfolioFrontier[[#This Row],[P104 Growth]]/PortfolioFrontier[[#This Row],[P104 HWM]]-1</f>
        <v>-9.8582130517901323E-3</v>
      </c>
      <c r="PC32" s="28">
        <f>SUMPRODUCT(INDEX(PortfolioRef[[SPY]:[PE]],MATCH(PC$1,PortfolioRef[Reference '#]),0),AssetMonthlyReturns[[#This Row],[SPY]:[PE]])</f>
        <v>-7.5669641799369965E-3</v>
      </c>
      <c r="PD32" s="27">
        <f>IF(ISNUMBER(PD31),PD31*(1+PortfolioFrontier[[#This Row],[P105 Return]]),1+PortfolioFrontier[[#This Row],[P105 Return]])</f>
        <v>1.119401459966165</v>
      </c>
      <c r="PE32" s="27">
        <f>MAX(PE31,PortfolioFrontier[[#This Row],[P105 Growth]])</f>
        <v>1.1279365151737275</v>
      </c>
      <c r="PF32" s="27">
        <f>PortfolioFrontier[[#This Row],[P105 Growth]]/PortfolioFrontier[[#This Row],[P105 HWM]]-1</f>
        <v>-7.5669641799369636E-3</v>
      </c>
      <c r="PG32" s="28">
        <f>SUMPRODUCT(INDEX(PortfolioRef[[SPY]:[PE]],MATCH(PG$1,PortfolioRef[Reference '#]),0),AssetMonthlyReturns[[#This Row],[SPY]:[PE]])</f>
        <v>-5.2757153080839449E-3</v>
      </c>
      <c r="PH32" s="27">
        <f>IF(ISNUMBER(PH31),PH31*(1+PortfolioFrontier[[#This Row],[P106 Return]]),1+PortfolioFrontier[[#This Row],[P106 Return]])</f>
        <v>1.1162617162951849</v>
      </c>
      <c r="PI32" s="27">
        <f>MAX(PI31,PortfolioFrontier[[#This Row],[P106 Growth]])</f>
        <v>1.122182029205119</v>
      </c>
      <c r="PJ32" s="27">
        <f>PortfolioFrontier[[#This Row],[P106 Growth]]/PortfolioFrontier[[#This Row],[P106 HWM]]-1</f>
        <v>-5.2757153080839059E-3</v>
      </c>
      <c r="PK32" s="28">
        <f>SUMPRODUCT(INDEX(PortfolioRef[[SPY]:[PE]],MATCH(PK$1,PortfolioRef[Reference '#]),0),AssetMonthlyReturns[[#This Row],[SPY]:[PE]])</f>
        <v>-8.2135763085213909E-3</v>
      </c>
      <c r="PL32" s="27">
        <f>IF(ISNUMBER(PL31),PL31*(1+PortfolioFrontier[[#This Row],[P107 Return]]),1+PortfolioFrontier[[#This Row],[P107 Return]])</f>
        <v>1.1078254840699027</v>
      </c>
      <c r="PM32" s="27">
        <f>MAX(PM31,PortfolioFrontier[[#This Row],[P107 Growth]])</f>
        <v>1.117000049210717</v>
      </c>
      <c r="PN32" s="27">
        <f>PortfolioFrontier[[#This Row],[P107 Growth]]/PortfolioFrontier[[#This Row],[P107 HWM]]-1</f>
        <v>-8.2135763085213753E-3</v>
      </c>
      <c r="PO32" s="28">
        <f>SUMPRODUCT(INDEX(PortfolioRef[[SPY]:[PE]],MATCH(PO$1,PortfolioRef[Reference '#]),0),AssetMonthlyReturns[[#This Row],[SPY]:[PE]])</f>
        <v>-5.9223274366683393E-3</v>
      </c>
      <c r="PP32" s="27">
        <f>IF(ISNUMBER(PP31),PP31*(1+PortfolioFrontier[[#This Row],[P108 Return]]),1+PortfolioFrontier[[#This Row],[P108 Return]])</f>
        <v>1.1048082118190485</v>
      </c>
      <c r="PQ32" s="27">
        <f>MAX(PQ31,PortfolioFrontier[[#This Row],[P108 Growth]])</f>
        <v>1.1121091386149522</v>
      </c>
      <c r="PR32" s="27">
        <f>PortfolioFrontier[[#This Row],[P108 Growth]]/PortfolioFrontier[[#This Row],[P108 HWM]]-1</f>
        <v>-6.5649373271011724E-3</v>
      </c>
      <c r="PS32" s="28">
        <f>SUMPRODUCT(INDEX(PortfolioRef[[SPY]:[PE]],MATCH(PS$1,PortfolioRef[Reference '#]),0),AssetMonthlyReturns[[#This Row],[SPY]:[PE]])</f>
        <v>-9.8879550609469683E-3</v>
      </c>
      <c r="PT32" s="27">
        <f>IF(ISNUMBER(PT31),PT31*(1+PortfolioFrontier[[#This Row],[P109 Return]]),1+PortfolioFrontier[[#This Row],[P109 Return]])</f>
        <v>1.1173975120513433</v>
      </c>
      <c r="PU32" s="27">
        <f>MAX(PU31,PortfolioFrontier[[#This Row],[P109 Growth]])</f>
        <v>1.1285566292854516</v>
      </c>
      <c r="PV32" s="27">
        <f>PortfolioFrontier[[#This Row],[P109 Growth]]/PortfolioFrontier[[#This Row],[P109 HWM]]-1</f>
        <v>-9.8879550609469735E-3</v>
      </c>
      <c r="PW32" s="28">
        <f>SUMPRODUCT(INDEX(PortfolioRef[[SPY]:[PE]],MATCH(PW$1,PortfolioRef[Reference '#]),0),AssetMonthlyReturns[[#This Row],[SPY]:[PE]])</f>
        <v>-7.5967061890939141E-3</v>
      </c>
      <c r="PX32" s="27">
        <f>IF(ISNUMBER(PX31),PX31*(1+PortfolioFrontier[[#This Row],[P110 Return]]),1+PortfolioFrontier[[#This Row],[P110 Return]])</f>
        <v>1.114395934748891</v>
      </c>
      <c r="PY32" s="27">
        <f>MAX(PY31,PortfolioFrontier[[#This Row],[P110 Growth]])</f>
        <v>1.1229264772686551</v>
      </c>
      <c r="PZ32" s="27">
        <f>PortfolioFrontier[[#This Row],[P110 Growth]]/PortfolioFrontier[[#This Row],[P110 HWM]]-1</f>
        <v>-7.5967061890938048E-3</v>
      </c>
      <c r="QA32" s="28">
        <f>SUMPRODUCT(INDEX(PortfolioRef[[SPY]:[PE]],MATCH(QA$1,PortfolioRef[Reference '#]),0),AssetMonthlyReturns[[#This Row],[SPY]:[PE]])</f>
        <v>-5.3054573172408633E-3</v>
      </c>
      <c r="QB32" s="27">
        <f>IF(ISNUMBER(QB31),QB31*(1+PortfolioFrontier[[#This Row],[P111 Return]]),1+PortfolioFrontier[[#This Row],[P111 Return]])</f>
        <v>1.1112954704829763</v>
      </c>
      <c r="QC32" s="27">
        <f>MAX(QC31,PortfolioFrontier[[#This Row],[P111 Growth]])</f>
        <v>1.117222848620177</v>
      </c>
      <c r="QD32" s="27">
        <f>PortfolioFrontier[[#This Row],[P111 Growth]]/PortfolioFrontier[[#This Row],[P111 HWM]]-1</f>
        <v>-5.3054573172409691E-3</v>
      </c>
      <c r="QE32" s="28">
        <f>SUMPRODUCT(INDEX(PortfolioRef[[SPY]:[PE]],MATCH(QE$1,PortfolioRef[Reference '#]),0),AssetMonthlyReturns[[#This Row],[SPY]:[PE]])</f>
        <v>-1.1562333813372544E-2</v>
      </c>
      <c r="QF32" s="27">
        <f>IF(ISNUMBER(QF31),QF31*(1+PortfolioFrontier[[#This Row],[P112 Return]]),1+PortfolioFrontier[[#This Row],[P112 Return]])</f>
        <v>1.1269267215790795</v>
      </c>
      <c r="QG32" s="27">
        <f>MAX(QG31,PortfolioFrontier[[#This Row],[P112 Growth]])</f>
        <v>1.1401090429169298</v>
      </c>
      <c r="QH32" s="27">
        <f>PortfolioFrontier[[#This Row],[P112 Growth]]/PortfolioFrontier[[#This Row],[P112 HWM]]-1</f>
        <v>-1.1562333813372683E-2</v>
      </c>
      <c r="QI32" s="28">
        <f>SUMPRODUCT(INDEX(PortfolioRef[[SPY]:[PE]],MATCH(QI$1,PortfolioRef[Reference '#]),0),AssetMonthlyReturns[[#This Row],[SPY]:[PE]])</f>
        <v>-9.2710849415194915E-3</v>
      </c>
      <c r="QJ32" s="27">
        <f>IF(ISNUMBER(QJ31),QJ31*(1+PortfolioFrontier[[#This Row],[P113 Return]]),1+PortfolioFrontier[[#This Row],[P113 Return]])</f>
        <v>1.1239416578506265</v>
      </c>
      <c r="QK32" s="27">
        <f>MAX(QK31,PortfolioFrontier[[#This Row],[P113 Growth]])</f>
        <v>1.134459326630517</v>
      </c>
      <c r="QL32" s="27">
        <f>PortfolioFrontier[[#This Row],[P113 Growth]]/PortfolioFrontier[[#This Row],[P113 HWM]]-1</f>
        <v>-9.271084941519403E-3</v>
      </c>
      <c r="QM32" s="28">
        <f>SUMPRODUCT(INDEX(PortfolioRef[[SPY]:[PE]],MATCH(QM$1,PortfolioRef[Reference '#]),0),AssetMonthlyReturns[[#This Row],[SPY]:[PE]])</f>
        <v>-6.9798360696664381E-3</v>
      </c>
      <c r="QN32" s="27">
        <f>IF(ISNUMBER(QN31),QN31*(1+PortfolioFrontier[[#This Row],[P114 Return]]),1+PortfolioFrontier[[#This Row],[P114 Return]])</f>
        <v>1.120856520747562</v>
      </c>
      <c r="QO32" s="27">
        <f>MAX(QO31,PortfolioFrontier[[#This Row],[P114 Growth]])</f>
        <v>1.1287349053530367</v>
      </c>
      <c r="QP32" s="27">
        <f>PortfolioFrontier[[#This Row],[P114 Growth]]/PortfolioFrontier[[#This Row],[P114 HWM]]-1</f>
        <v>-6.9798360696664563E-3</v>
      </c>
      <c r="QQ32" s="28">
        <f>SUMPRODUCT(INDEX(PortfolioRef[[SPY]:[PE]],MATCH(QQ$1,PortfolioRef[Reference '#]),0),AssetMonthlyReturns[[#This Row],[SPY]:[PE]])</f>
        <v>-9.9176970701038876E-3</v>
      </c>
      <c r="QR32" s="27">
        <f>IF(ISNUMBER(QR31),QR31*(1+PortfolioFrontier[[#This Row],[P115 Return]]),1+PortfolioFrontier[[#This Row],[P115 Return]])</f>
        <v>1.1123070090391096</v>
      </c>
      <c r="QS32" s="27">
        <f>MAX(QS31,PortfolioFrontier[[#This Row],[P115 Growth]])</f>
        <v>1.1234490362543808</v>
      </c>
      <c r="QT32" s="27">
        <f>PortfolioFrontier[[#This Row],[P115 Growth]]/PortfolioFrontier[[#This Row],[P115 HWM]]-1</f>
        <v>-9.9176970701039258E-3</v>
      </c>
      <c r="QU32" s="28">
        <f>SUMPRODUCT(INDEX(PortfolioRef[[SPY]:[PE]],MATCH(QU$1,PortfolioRef[Reference '#]),0),AssetMonthlyReturns[[#This Row],[SPY]:[PE]])</f>
        <v>-7.6264481982508351E-3</v>
      </c>
      <c r="QV32" s="27">
        <f>IF(ISNUMBER(QV31),QV31*(1+PortfolioFrontier[[#This Row],[P116 Return]]),1+PortfolioFrontier[[#This Row],[P116 Return]])</f>
        <v>1.1093442381128451</v>
      </c>
      <c r="QW32" s="27">
        <f>MAX(QW31,PortfolioFrontier[[#This Row],[P116 Growth]])</f>
        <v>1.1178696128073189</v>
      </c>
      <c r="QX32" s="27">
        <f>PortfolioFrontier[[#This Row],[P116 Growth]]/PortfolioFrontier[[#This Row],[P116 HWM]]-1</f>
        <v>-7.6264481982508681E-3</v>
      </c>
      <c r="QY32" s="28">
        <f>SUMPRODUCT(INDEX(PortfolioRef[[SPY]:[PE]],MATCH(QY$1,PortfolioRef[Reference '#]),0),AssetMonthlyReturns[[#This Row],[SPY]:[PE]])</f>
        <v>-5.3351993263977826E-3</v>
      </c>
      <c r="QZ32" s="27">
        <f>IF(ISNUMBER(QZ31),QZ31*(1+PortfolioFrontier[[#This Row],[P117 Return]]),1+PortfolioFrontier[[#This Row],[P117 Return]])</f>
        <v>1.1062828693872231</v>
      </c>
      <c r="RA32" s="27">
        <f>MAX(RA31,PortfolioFrontier[[#This Row],[P117 Growth]])</f>
        <v>1.1122167675361905</v>
      </c>
      <c r="RB32" s="27">
        <f>PortfolioFrontier[[#This Row],[P117 Growth]]/PortfolioFrontier[[#This Row],[P117 HWM]]-1</f>
        <v>-5.3351993263978104E-3</v>
      </c>
      <c r="RC32" s="28">
        <f>SUMPRODUCT(INDEX(PortfolioRef[[SPY]:[PE]],MATCH(RC$1,PortfolioRef[Reference '#]),0),AssetMonthlyReturns[[#This Row],[SPY]:[PE]])</f>
        <v>-1.1592075822529463E-2</v>
      </c>
      <c r="RD32" s="27">
        <f>IF(ISNUMBER(RD31),RD31*(1+PortfolioFrontier[[#This Row],[P118 Return]]),1+PortfolioFrontier[[#This Row],[P118 Return]])</f>
        <v>1.1218582745678529</v>
      </c>
      <c r="RE32" s="27">
        <f>MAX(RE31,PortfolioFrontier[[#This Row],[P118 Growth]])</f>
        <v>1.1350154598380386</v>
      </c>
      <c r="RF32" s="27">
        <f>PortfolioFrontier[[#This Row],[P118 Growth]]/PortfolioFrontier[[#This Row],[P118 HWM]]-1</f>
        <v>-1.1592075822529524E-2</v>
      </c>
      <c r="RG32" s="28">
        <f>SUMPRODUCT(INDEX(PortfolioRef[[SPY]:[PE]],MATCH(RG$1,PortfolioRef[Reference '#]),0),AssetMonthlyReturns[[#This Row],[SPY]:[PE]])</f>
        <v>-9.3008269506764107E-3</v>
      </c>
      <c r="RH32" s="27">
        <f>IF(ISNUMBER(RH31),RH31*(1+PortfolioFrontier[[#This Row],[P119 Return]]),1+PortfolioFrontier[[#This Row],[P119 Return]])</f>
        <v>1.1189120808532214</v>
      </c>
      <c r="RI32" s="27">
        <f>MAX(RI31,PortfolioFrontier[[#This Row],[P119 Growth]])</f>
        <v>1.129416589103698</v>
      </c>
      <c r="RJ32" s="27">
        <f>PortfolioFrontier[[#This Row],[P119 Growth]]/PortfolioFrontier[[#This Row],[P119 HWM]]-1</f>
        <v>-9.3008269506763552E-3</v>
      </c>
      <c r="RK32" s="28">
        <f>SUMPRODUCT(INDEX(PortfolioRef[[SPY]:[PE]],MATCH(RK$1,PortfolioRef[Reference '#]),0),AssetMonthlyReturns[[#This Row],[SPY]:[PE]])</f>
        <v>-7.0095780788233591E-3</v>
      </c>
      <c r="RL32" s="27">
        <f>IF(ISNUMBER(RL31),RL31*(1+PortfolioFrontier[[#This Row],[P120 Return]]),1+PortfolioFrontier[[#This Row],[P120 Return]])</f>
        <v>1.1158661029761019</v>
      </c>
      <c r="RM32" s="27">
        <f>MAX(RM31,PortfolioFrontier[[#This Row],[P120 Growth]])</f>
        <v>1.1237430677500322</v>
      </c>
      <c r="RN32" s="27">
        <f>PortfolioFrontier[[#This Row],[P120 Growth]]/PortfolioFrontier[[#This Row],[P120 HWM]]-1</f>
        <v>-7.0095780788232975E-3</v>
      </c>
      <c r="RO32" s="28">
        <f>SUMPRODUCT(INDEX(PortfolioRef[[SPY]:[PE]],MATCH(RO$1,PortfolioRef[Reference '#]),0),AssetMonthlyReturns[[#This Row],[SPY]:[PE]])</f>
        <v>-1.3266454574955039E-2</v>
      </c>
      <c r="RP32" s="27">
        <f>IF(ISNUMBER(RP31),RP31*(1+PortfolioFrontier[[#This Row],[P121 Return]]),1+PortfolioFrontier[[#This Row],[P121 Return]])</f>
        <v>1.1313656017116582</v>
      </c>
      <c r="RQ32" s="27">
        <f>MAX(RQ31,PortfolioFrontier[[#This Row],[P121 Growth]])</f>
        <v>1.1465766082010636</v>
      </c>
      <c r="RR32" s="27">
        <f>PortfolioFrontier[[#This Row],[P121 Growth]]/PortfolioFrontier[[#This Row],[P121 HWM]]-1</f>
        <v>-1.32664545749549E-2</v>
      </c>
      <c r="RS32" s="28">
        <f>SUMPRODUCT(INDEX(PortfolioRef[[SPY]:[PE]],MATCH(RS$1,PortfolioRef[Reference '#]),0),AssetMonthlyReturns[[#This Row],[SPY]:[PE]])</f>
        <v>-1.0975205703101986E-2</v>
      </c>
      <c r="RT32" s="27">
        <f>IF(ISNUMBER(RT31),RT31*(1+PortfolioFrontier[[#This Row],[P122 Return]]),1+PortfolioFrontier[[#This Row],[P122 Return]])</f>
        <v>1.1284368057164436</v>
      </c>
      <c r="RU32" s="27">
        <f>MAX(RU31,PortfolioFrontier[[#This Row],[P122 Growth]])</f>
        <v>1.1409590661664393</v>
      </c>
      <c r="RV32" s="27">
        <f>PortfolioFrontier[[#This Row],[P122 Growth]]/PortfolioFrontier[[#This Row],[P122 HWM]]-1</f>
        <v>-1.0975205703101842E-2</v>
      </c>
      <c r="RW32" s="28">
        <f>SUMPRODUCT(INDEX(PortfolioRef[[SPY]:[PE]],MATCH(RW$1,PortfolioRef[Reference '#]),0),AssetMonthlyReturns[[#This Row],[SPY]:[PE]])</f>
        <v>-8.6839568312489356E-3</v>
      </c>
      <c r="RX32" s="27">
        <f>IF(ISNUMBER(RX31),RX31*(1+PortfolioFrontier[[#This Row],[P123 Return]]),1+PortfolioFrontier[[#This Row],[P123 Return]])</f>
        <v>1.125407038216701</v>
      </c>
      <c r="RY32" s="27">
        <f>MAX(RY31,PortfolioFrontier[[#This Row],[P123 Growth]])</f>
        <v>1.1352656359916529</v>
      </c>
      <c r="RZ32" s="27">
        <f>PortfolioFrontier[[#This Row],[P123 Growth]]/PortfolioFrontier[[#This Row],[P123 HWM]]-1</f>
        <v>-8.6839568312490067E-3</v>
      </c>
      <c r="SA32" s="28">
        <f>SUMPRODUCT(INDEX(PortfolioRef[[SPY]:[PE]],MATCH(SA$1,PortfolioRef[Reference '#]),0),AssetMonthlyReturns[[#This Row],[SPY]:[PE]])</f>
        <v>-1.1621817831686383E-2</v>
      </c>
      <c r="SB32" s="27">
        <f>IF(ISNUMBER(SB31),SB31*(1+PortfolioFrontier[[#This Row],[P124 Return]]),1+PortfolioFrontier[[#This Row],[P124 Return]])</f>
        <v>1.1167437908096984</v>
      </c>
      <c r="SC32" s="27">
        <f>MAX(SC31,PortfolioFrontier[[#This Row],[P124 Growth]])</f>
        <v>1.1298749921409386</v>
      </c>
      <c r="SD32" s="27">
        <f>PortfolioFrontier[[#This Row],[P124 Growth]]/PortfolioFrontier[[#This Row],[P124 HWM]]-1</f>
        <v>-1.1621817831686476E-2</v>
      </c>
      <c r="SE32" s="28">
        <f>SUMPRODUCT(INDEX(PortfolioRef[[SPY]:[PE]],MATCH(SE$1,PortfolioRef[Reference '#]),0),AssetMonthlyReturns[[#This Row],[SPY]:[PE]])</f>
        <v>-9.33056895983333E-3</v>
      </c>
      <c r="SF32" s="27">
        <f>IF(ISNUMBER(SF31),SF31*(1+PortfolioFrontier[[#This Row],[P125 Return]]),1+PortfolioFrontier[[#This Row],[P125 Return]])</f>
        <v>1.1138362741801262</v>
      </c>
      <c r="SG32" s="27">
        <f>MAX(SG31,PortfolioFrontier[[#This Row],[P125 Growth]])</f>
        <v>1.1243268837019014</v>
      </c>
      <c r="SH32" s="27">
        <f>PortfolioFrontier[[#This Row],[P125 Growth]]/PortfolioFrontier[[#This Row],[P125 HWM]]-1</f>
        <v>-9.3305689598334185E-3</v>
      </c>
      <c r="SI32" s="28">
        <f>SUMPRODUCT(INDEX(PortfolioRef[[SPY]:[PE]],MATCH(SI$1,PortfolioRef[Reference '#]),0),AssetMonthlyReturns[[#This Row],[SPY]:[PE]])</f>
        <v>-7.0393200879802767E-3</v>
      </c>
      <c r="SJ32" s="27">
        <f>IF(ISNUMBER(SJ31),SJ31*(1+PortfolioFrontier[[#This Row],[P126 Return]]),1+PortfolioFrontier[[#This Row],[P126 Return]])</f>
        <v>1.110829268368356</v>
      </c>
      <c r="SK32" s="27">
        <f>MAX(SK31,PortfolioFrontier[[#This Row],[P126 Growth]])</f>
        <v>1.1187041852118251</v>
      </c>
      <c r="SL32" s="27">
        <f>PortfolioFrontier[[#This Row],[P126 Growth]]/PortfolioFrontier[[#This Row],[P126 HWM]]-1</f>
        <v>-7.0393200879801388E-3</v>
      </c>
      <c r="SM32" s="28">
        <f>SUMPRODUCT(INDEX(PortfolioRef[[SPY]:[PE]],MATCH(SM$1,PortfolioRef[Reference '#]),0),AssetMonthlyReturns[[#This Row],[SPY]:[PE]])</f>
        <v>-1.3296196584111958E-2</v>
      </c>
      <c r="SN32" s="27">
        <f>IF(ISNUMBER(SN31),SN31*(1+PortfolioFrontier[[#This Row],[P127 Return]]),1+PortfolioFrontier[[#This Row],[P127 Return]])</f>
        <v>1.1262733935748837</v>
      </c>
      <c r="SO32" s="27">
        <f>MAX(SO31,PortfolioFrontier[[#This Row],[P127 Growth]])</f>
        <v>1.1414503417092516</v>
      </c>
      <c r="SP32" s="27">
        <f>PortfolioFrontier[[#This Row],[P127 Growth]]/PortfolioFrontier[[#This Row],[P127 HWM]]-1</f>
        <v>-1.3296196584111963E-2</v>
      </c>
      <c r="SQ32" s="28">
        <f>SUMPRODUCT(INDEX(PortfolioRef[[SPY]:[PE]],MATCH(SQ$1,PortfolioRef[Reference '#]),0),AssetMonthlyReturns[[#This Row],[SPY]:[PE]])</f>
        <v>-1.1004947712258906E-2</v>
      </c>
      <c r="SR32" s="27">
        <f>IF(ISNUMBER(SR31),SR31*(1+PortfolioFrontier[[#This Row],[P128 Return]]),1+PortfolioFrontier[[#This Row],[P128 Return]])</f>
        <v>1.1233833375056994</v>
      </c>
      <c r="SS32" s="27">
        <f>MAX(SS31,PortfolioFrontier[[#This Row],[P128 Growth]])</f>
        <v>1.1358836779891786</v>
      </c>
      <c r="ST32" s="27">
        <f>PortfolioFrontier[[#This Row],[P128 Growth]]/PortfolioFrontier[[#This Row],[P128 HWM]]-1</f>
        <v>-1.1004947712258795E-2</v>
      </c>
      <c r="SU32" s="28">
        <f>SUMPRODUCT(INDEX(PortfolioRef[[SPY]:[PE]],MATCH(SU$1,PortfolioRef[Reference '#]),0),AssetMonthlyReturns[[#This Row],[SPY]:[PE]])</f>
        <v>-8.7136988404058549E-3</v>
      </c>
      <c r="SV32" s="27">
        <f>IF(ISNUMBER(SV31),SV31*(1+PortfolioFrontier[[#This Row],[P129 Return]]),1+PortfolioFrontier[[#This Row],[P129 Return]])</f>
        <v>1.1203926049648447</v>
      </c>
      <c r="SW32" s="27">
        <f>MAX(SW31,PortfolioFrontier[[#This Row],[P129 Growth]])</f>
        <v>1.130241186279104</v>
      </c>
      <c r="SX32" s="27">
        <f>PortfolioFrontier[[#This Row],[P129 Growth]]/PortfolioFrontier[[#This Row],[P129 HWM]]-1</f>
        <v>-8.713698840405959E-3</v>
      </c>
      <c r="SY32" s="28">
        <f>SUMPRODUCT(INDEX(PortfolioRef[[SPY]:[PE]],MATCH(SY$1,PortfolioRef[Reference '#]),0),AssetMonthlyReturns[[#This Row],[SPY]:[PE]])</f>
        <v>-1.4970575336537534E-2</v>
      </c>
      <c r="SZ32" s="27">
        <f>IF(ISNUMBER(SZ31),SZ31*(1+PortfolioFrontier[[#This Row],[P130 Return]]),1+PortfolioFrontier[[#This Row],[P130 Return]])</f>
        <v>1.1357579362618013</v>
      </c>
      <c r="TA32" s="27">
        <f>MAX(TA31,PortfolioFrontier[[#This Row],[P130 Growth]])</f>
        <v>1.1530192985350012</v>
      </c>
      <c r="TB32" s="27">
        <f>PortfolioFrontier[[#This Row],[P130 Growth]]/PortfolioFrontier[[#This Row],[P130 HWM]]-1</f>
        <v>-1.4970575336537451E-2</v>
      </c>
      <c r="TC32" s="28">
        <f>SUMPRODUCT(INDEX(PortfolioRef[[SPY]:[PE]],MATCH(TC$1,PortfolioRef[Reference '#]),0),AssetMonthlyReturns[[#This Row],[SPY]:[PE]])</f>
        <v>-1.2679326464684481E-2</v>
      </c>
      <c r="TD32" s="27">
        <f>IF(ISNUMBER(TD31),TD31*(1+PortfolioFrontier[[#This Row],[P131 Return]]),1+PortfolioFrontier[[#This Row],[P131 Return]])</f>
        <v>1.1328861629809746</v>
      </c>
      <c r="TE32" s="27">
        <f>MAX(TE31,PortfolioFrontier[[#This Row],[P131 Growth]])</f>
        <v>1.1474348642213985</v>
      </c>
      <c r="TF32" s="27">
        <f>PortfolioFrontier[[#This Row],[P131 Growth]]/PortfolioFrontier[[#This Row],[P131 HWM]]-1</f>
        <v>-1.2679326464684393E-2</v>
      </c>
      <c r="TG32" s="28">
        <f>SUMPRODUCT(INDEX(PortfolioRef[[SPY]:[PE]],MATCH(TG$1,PortfolioRef[Reference '#]),0),AssetMonthlyReturns[[#This Row],[SPY]:[PE]])</f>
        <v>-1.0388077592831431E-2</v>
      </c>
      <c r="TH32" s="27">
        <f>IF(ISNUMBER(TH31),TH31*(1+PortfolioFrontier[[#This Row],[P132 Return]]),1+PortfolioFrontier[[#This Row],[P132 Return]])</f>
        <v>1.1299125251339661</v>
      </c>
      <c r="TI32" s="27">
        <f>MAX(TI31,PortfolioFrontier[[#This Row],[P132 Growth]])</f>
        <v>1.1417733553426934</v>
      </c>
      <c r="TJ32" s="27">
        <f>PortfolioFrontier[[#This Row],[P132 Growth]]/PortfolioFrontier[[#This Row],[P132 HWM]]-1</f>
        <v>-1.0388077592831335E-2</v>
      </c>
      <c r="TK32" s="28">
        <f>SUMPRODUCT(INDEX(PortfolioRef[[SPY]:[PE]],MATCH(TK$1,PortfolioRef[Reference '#]),0),AssetMonthlyReturns[[#This Row],[SPY]:[PE]])</f>
        <v>-1.3325938593268876E-2</v>
      </c>
      <c r="TL32" s="27">
        <f>IF(ISNUMBER(TL31),TL31*(1+PortfolioFrontier[[#This Row],[P133 Return]]),1+PortfolioFrontier[[#This Row],[P133 Return]])</f>
        <v>1.121135096056868</v>
      </c>
      <c r="TM32" s="27">
        <f>MAX(TM31,PortfolioFrontier[[#This Row],[P133 Growth]])</f>
        <v>1.1362770543075105</v>
      </c>
      <c r="TN32" s="27">
        <f>PortfolioFrontier[[#This Row],[P133 Growth]]/PortfolioFrontier[[#This Row],[P133 HWM]]-1</f>
        <v>-1.3325938593269027E-2</v>
      </c>
      <c r="TO32" s="28">
        <f>SUMPRODUCT(INDEX(PortfolioRef[[SPY]:[PE]],MATCH(TO$1,PortfolioRef[Reference '#]),0),AssetMonthlyReturns[[#This Row],[SPY]:[PE]])</f>
        <v>-1.1034689721415825E-2</v>
      </c>
      <c r="TP32" s="27">
        <f>IF(ISNUMBER(TP31),TP31*(1+PortfolioFrontier[[#This Row],[P134 Return]]),1+PortfolioFrontier[[#This Row],[P134 Return]])</f>
        <v>1.1182835836751204</v>
      </c>
      <c r="TQ32" s="27">
        <f>MAX(TQ31,PortfolioFrontier[[#This Row],[P134 Growth]])</f>
        <v>1.1307611824727282</v>
      </c>
      <c r="TR32" s="27">
        <f>PortfolioFrontier[[#This Row],[P134 Growth]]/PortfolioFrontier[[#This Row],[P134 HWM]]-1</f>
        <v>-1.1034689721415747E-2</v>
      </c>
      <c r="TS32" s="28">
        <f>SUMPRODUCT(INDEX(PortfolioRef[[SPY]:[PE]],MATCH(TS$1,PortfolioRef[Reference '#]),0),AssetMonthlyReturns[[#This Row],[SPY]:[PE]])</f>
        <v>-8.7434408495627725E-3</v>
      </c>
      <c r="TT32" s="27">
        <f>IF(ISNUMBER(TT31),TT31*(1+PortfolioFrontier[[#This Row],[P135 Return]]),1+PortfolioFrontier[[#This Row],[P135 Return]])</f>
        <v>1.1153316956275581</v>
      </c>
      <c r="TU32" s="27">
        <f>MAX(TU31,PortfolioFrontier[[#This Row],[P135 Growth]])</f>
        <v>1.125169549025189</v>
      </c>
      <c r="TV32" s="27">
        <f>PortfolioFrontier[[#This Row],[P135 Growth]]/PortfolioFrontier[[#This Row],[P135 HWM]]-1</f>
        <v>-8.7434408495626892E-3</v>
      </c>
      <c r="TW32" s="28">
        <f>SUMPRODUCT(INDEX(PortfolioRef[[SPY]:[PE]],MATCH(TW$1,PortfolioRef[Reference '#]),0),AssetMonthlyReturns[[#This Row],[SPY]:[PE]])</f>
        <v>-1.5000317345694453E-2</v>
      </c>
      <c r="TX32" s="27">
        <f>IF(ISNUMBER(TX31),TX31*(1+PortfolioFrontier[[#This Row],[P136 Return]]),1+PortfolioFrontier[[#This Row],[P136 Return]])</f>
        <v>1.1306421349352123</v>
      </c>
      <c r="TY32" s="27">
        <f>MAX(TY31,PortfolioFrontier[[#This Row],[P136 Growth]])</f>
        <v>1.1478604052830148</v>
      </c>
      <c r="TZ32" s="27">
        <f>PortfolioFrontier[[#This Row],[P136 Growth]]/PortfolioFrontier[[#This Row],[P136 HWM]]-1</f>
        <v>-1.5000317345694292E-2</v>
      </c>
      <c r="UA32" s="28">
        <f>SUMPRODUCT(INDEX(PortfolioRef[[SPY]:[PE]],MATCH(UA$1,PortfolioRef[Reference '#]),0),AssetMonthlyReturns[[#This Row],[SPY]:[PE]])</f>
        <v>-1.2709068473841399E-2</v>
      </c>
      <c r="UB32" s="27">
        <f>IF(ISNUMBER(UB31),UB31*(1+PortfolioFrontier[[#This Row],[P137 Return]]),1+PortfolioFrontier[[#This Row],[P137 Return]])</f>
        <v>1.1278089673913012</v>
      </c>
      <c r="UC32" s="27">
        <f>MAX(UC31,PortfolioFrontier[[#This Row],[P137 Growth]])</f>
        <v>1.1423268779020681</v>
      </c>
      <c r="UD32" s="27">
        <f>PortfolioFrontier[[#This Row],[P137 Growth]]/PortfolioFrontier[[#This Row],[P137 HWM]]-1</f>
        <v>-1.2709068473841456E-2</v>
      </c>
      <c r="UE32" s="28">
        <f>SUMPRODUCT(INDEX(PortfolioRef[[SPY]:[PE]],MATCH(UE$1,PortfolioRef[Reference '#]),0),AssetMonthlyReturns[[#This Row],[SPY]:[PE]])</f>
        <v>-1.041781960198835E-2</v>
      </c>
      <c r="UF32" s="27">
        <f>IF(ISNUMBER(UF31),UF31*(1+PortfolioFrontier[[#This Row],[P138 Return]]),1+PortfolioFrontier[[#This Row],[P138 Return]])</f>
        <v>1.1248742361439252</v>
      </c>
      <c r="UG32" s="27">
        <f>MAX(UG31,PortfolioFrontier[[#This Row],[P138 Growth]])</f>
        <v>1.1367163419328135</v>
      </c>
      <c r="UH32" s="27">
        <f>PortfolioFrontier[[#This Row],[P138 Growth]]/PortfolioFrontier[[#This Row],[P138 HWM]]-1</f>
        <v>-1.0417819601988398E-2</v>
      </c>
      <c r="UI32" s="28">
        <f>SUMPRODUCT(INDEX(PortfolioRef[[SPY]:[PE]],MATCH(UI$1,PortfolioRef[Reference '#]),0),AssetMonthlyReturns[[#This Row],[SPY]:[PE]])</f>
        <v>-1.6674696098120029E-2</v>
      </c>
      <c r="UJ32" s="27">
        <f>IF(ISNUMBER(UJ31),UJ31*(1+PortfolioFrontier[[#This Row],[P139 Return]]),1+PortfolioFrontier[[#This Row],[P139 Return]])</f>
        <v>1.140102990457831</v>
      </c>
      <c r="UK32" s="27">
        <f>MAX(UK31,PortfolioFrontier[[#This Row],[P139 Growth]])</f>
        <v>1.159436237360973</v>
      </c>
      <c r="UL32" s="27">
        <f>PortfolioFrontier[[#This Row],[P139 Growth]]/PortfolioFrontier[[#This Row],[P139 HWM]]-1</f>
        <v>-1.6674696098120001E-2</v>
      </c>
      <c r="UM32" s="28">
        <f>SUMPRODUCT(INDEX(PortfolioRef[[SPY]:[PE]],MATCH(UM$1,PortfolioRef[Reference '#]),0),AssetMonthlyReturns[[#This Row],[SPY]:[PE]])</f>
        <v>-1.4383447226266976E-2</v>
      </c>
      <c r="UN32" s="27">
        <f>IF(ISNUMBER(UN31),UN31*(1+PortfolioFrontier[[#This Row],[P140 Return]]),1+PortfolioFrontier[[#This Row],[P140 Return]])</f>
        <v>1.1372889915364748</v>
      </c>
      <c r="UO32" s="27">
        <f>MAX(UO31,PortfolioFrontier[[#This Row],[P140 Growth]])</f>
        <v>1.1538858477324712</v>
      </c>
      <c r="UP32" s="27">
        <f>PortfolioFrontier[[#This Row],[P140 Growth]]/PortfolioFrontier[[#This Row],[P140 HWM]]-1</f>
        <v>-1.4383447226267054E-2</v>
      </c>
      <c r="UQ32" s="28">
        <f>SUMPRODUCT(INDEX(PortfolioRef[[SPY]:[PE]],MATCH(UQ$1,PortfolioRef[Reference '#]),0),AssetMonthlyReturns[[#This Row],[SPY]:[PE]])</f>
        <v>-1.2092198354413924E-2</v>
      </c>
      <c r="UR32" s="27">
        <f>IF(ISNUMBER(UR31),UR31*(1+PortfolioFrontier[[#This Row],[P141 Return]]),1+PortfolioFrontier[[#This Row],[P141 Return]])</f>
        <v>1.1343722402443377</v>
      </c>
      <c r="US32" s="27">
        <f>MAX(US31,PortfolioFrontier[[#This Row],[P141 Growth]])</f>
        <v>1.1482571939960202</v>
      </c>
      <c r="UT32" s="27">
        <f>PortfolioFrontier[[#This Row],[P141 Growth]]/PortfolioFrontier[[#This Row],[P141 HWM]]-1</f>
        <v>-1.2092198354413886E-2</v>
      </c>
    </row>
    <row r="33" spans="2:566" x14ac:dyDescent="0.2">
      <c r="B33" s="41">
        <f>AssetMonthlyReturns[[#This Row],[Date]]</f>
        <v>43374</v>
      </c>
      <c r="C33" s="28">
        <f>SUMPRODUCT(INDEX(PortfolioRef[[SPY]:[PE]],MATCH(C$1,PortfolioRef[Reference '#]),0),AssetMonthlyReturns[[#This Row],[SPY]:[PE]])</f>
        <v>-3.7647021570038089E-2</v>
      </c>
      <c r="D33" s="29">
        <f>IF(ISNUMBER(D32),D32*(1+PortfolioFrontier[[#This Row],[P1 Return]]),1+PortfolioFrontier[[#This Row],[P1 Return]])</f>
        <v>1.2005439115148271</v>
      </c>
      <c r="E33" s="29">
        <f>MAX(E32,PortfolioFrontier[[#This Row],[P1 Growth]])</f>
        <v>1.2527991836375723</v>
      </c>
      <c r="F33" s="29">
        <f>PortfolioFrontier[[#This Row],[P1 Growth]]/PortfolioFrontier[[#This Row],[P1 HWM]]-1</f>
        <v>-4.1710812718618651E-2</v>
      </c>
      <c r="G33" s="28">
        <f>SUMPRODUCT(INDEX(PortfolioRef[[SPY]:[PE]],MATCH(G$1,PortfolioRef[Reference '#]),0),AssetMonthlyReturns[[#This Row],[SPY]:[PE]])</f>
        <v>-3.4734913270595844E-2</v>
      </c>
      <c r="H33" s="27">
        <f>IF(ISNUMBER(H32),H32*(1+PortfolioFrontier[[#This Row],[P2 Return]]),1+PortfolioFrontier[[#This Row],[P2 Return]])</f>
        <v>1.1817053023169293</v>
      </c>
      <c r="I33" s="27">
        <f>MAX(I32,PortfolioFrontier[[#This Row],[P2 Growth]])</f>
        <v>1.2298788051556078</v>
      </c>
      <c r="J33" s="27">
        <f>PortfolioFrontier[[#This Row],[P2 Growth]]/PortfolioFrontier[[#This Row],[P2 HWM]]-1</f>
        <v>-3.9169308908110989E-2</v>
      </c>
      <c r="K33" s="28">
        <f>SUMPRODUCT(INDEX(PortfolioRef[[SPY]:[PE]],MATCH(K$1,PortfolioRef[Reference '#]),0),AssetMonthlyReturns[[#This Row],[SPY]:[PE]])</f>
        <v>-3.3342771965215144E-2</v>
      </c>
      <c r="L33" s="27">
        <f>IF(ISNUMBER(L32),L32*(1+PortfolioFrontier[[#This Row],[P3 Return]]),1+PortfolioFrontier[[#This Row],[P3 Return]])</f>
        <v>1.1781512149646651</v>
      </c>
      <c r="M33" s="27">
        <f>MAX(M32,PortfolioFrontier[[#This Row],[P3 Growth]])</f>
        <v>1.2244505218158503</v>
      </c>
      <c r="N33" s="27">
        <f>PortfolioFrontier[[#This Row],[P3 Growth]]/PortfolioFrontier[[#This Row],[P3 HWM]]-1</f>
        <v>-3.7812313381616836E-2</v>
      </c>
      <c r="O33" s="28">
        <f>SUMPRODUCT(INDEX(PortfolioRef[[SPY]:[PE]],MATCH(O$1,PortfolioRef[Reference '#]),0),AssetMonthlyReturns[[#This Row],[SPY]:[PE]])</f>
        <v>-3.5184941201504789E-2</v>
      </c>
      <c r="P33" s="27">
        <f>IF(ISNUMBER(P32),P32*(1+PortfolioFrontier[[#This Row],[P4 Return]]),1+PortfolioFrontier[[#This Row],[P4 Return]])</f>
        <v>1.1859165839262986</v>
      </c>
      <c r="Q33" s="27">
        <f>MAX(Q32,PortfolioFrontier[[#This Row],[P4 Growth]])</f>
        <v>1.2369551220975652</v>
      </c>
      <c r="R33" s="27">
        <f>PortfolioFrontier[[#This Row],[P4 Growth]]/PortfolioFrontier[[#This Row],[P4 HWM]]-1</f>
        <v>-4.1261430798490095E-2</v>
      </c>
      <c r="S33" s="28">
        <f>SUMPRODUCT(INDEX(PortfolioRef[[SPY]:[PE]],MATCH(S$1,PortfolioRef[Reference '#]),0),AssetMonthlyReturns[[#This Row],[SPY]:[PE]])</f>
        <v>-3.516025556284124E-2</v>
      </c>
      <c r="T33" s="27">
        <f>IF(ISNUMBER(T32),T32*(1+PortfolioFrontier[[#This Row],[P5 Return]]),1+PortfolioFrontier[[#This Row],[P5 Return]])</f>
        <v>1.1826920319102738</v>
      </c>
      <c r="U33" s="27">
        <f>MAX(U32,PortfolioFrontier[[#This Row],[P5 Growth]])</f>
        <v>1.230722468694271</v>
      </c>
      <c r="V33" s="27">
        <f>PortfolioFrontier[[#This Row],[P5 Growth]]/PortfolioFrontier[[#This Row],[P5 HWM]]-1</f>
        <v>-3.9026212656176562E-2</v>
      </c>
      <c r="W33" s="28">
        <f>SUMPRODUCT(INDEX(PortfolioRef[[SPY]:[PE]],MATCH(W$1,PortfolioRef[Reference '#]),0),AssetMonthlyReturns[[#This Row],[SPY]:[PE]])</f>
        <v>-3.1822804971153605E-2</v>
      </c>
      <c r="X33" s="27">
        <f>IF(ISNUMBER(X32),X32*(1+PortfolioFrontier[[#This Row],[P6 Return]]),1+PortfolioFrontier[[#This Row],[P6 Return]])</f>
        <v>1.1630930665444095</v>
      </c>
      <c r="Y33" s="27">
        <f>MAX(Y32,PortfolioFrontier[[#This Row],[P6 Growth]])</f>
        <v>1.207317050319489</v>
      </c>
      <c r="Z33" s="27">
        <f>PortfolioFrontier[[#This Row],[P6 Growth]]/PortfolioFrontier[[#This Row],[P6 HWM]]-1</f>
        <v>-3.6629967052462908E-2</v>
      </c>
      <c r="AA33" s="28">
        <f>SUMPRODUCT(INDEX(PortfolioRef[[SPY]:[PE]],MATCH(AA$1,PortfolioRef[Reference '#]),0),AssetMonthlyReturns[[#This Row],[SPY]:[PE]])</f>
        <v>-3.0430663665772906E-2</v>
      </c>
      <c r="AB33" s="27">
        <f>IF(ISNUMBER(AB32),AB32*(1+PortfolioFrontier[[#This Row],[P7 Return]]),1+PortfolioFrontier[[#This Row],[P7 Return]])</f>
        <v>1.1595796699164218</v>
      </c>
      <c r="AC33" s="27">
        <f>MAX(AC32,PortfolioFrontier[[#This Row],[P7 Growth]])</f>
        <v>1.2019777210920481</v>
      </c>
      <c r="AD33" s="27">
        <f>PortfolioFrontier[[#This Row],[P7 Growth]]/PortfolioFrontier[[#This Row],[P7 HWM]]-1</f>
        <v>-3.5273574902125349E-2</v>
      </c>
      <c r="AE33" s="28">
        <f>SUMPRODUCT(INDEX(PortfolioRef[[SPY]:[PE]],MATCH(AE$1,PortfolioRef[Reference '#]),0),AssetMonthlyReturns[[#This Row],[SPY]:[PE]])</f>
        <v>-3.2272832902062551E-2</v>
      </c>
      <c r="AF33" s="27">
        <f>IF(ISNUMBER(AF32),AF32*(1+PortfolioFrontier[[#This Row],[P8 Return]]),1+PortfolioFrontier[[#This Row],[P8 Return]])</f>
        <v>1.1672573818790637</v>
      </c>
      <c r="AG33" s="27">
        <f>MAX(AG32,PortfolioFrontier[[#This Row],[P8 Growth]])</f>
        <v>1.2142827704518531</v>
      </c>
      <c r="AH33" s="27">
        <f>PortfolioFrontier[[#This Row],[P8 Growth]]/PortfolioFrontier[[#This Row],[P8 HWM]]-1</f>
        <v>-3.8726884476249723E-2</v>
      </c>
      <c r="AI33" s="28">
        <f>SUMPRODUCT(INDEX(PortfolioRef[[SPY]:[PE]],MATCH(AI$1,PortfolioRef[Reference '#]),0),AssetMonthlyReturns[[#This Row],[SPY]:[PE]])</f>
        <v>-3.2248147263398995E-2</v>
      </c>
      <c r="AJ33" s="27">
        <f>IF(ISNUMBER(AJ32),AJ32*(1+PortfolioFrontier[[#This Row],[P9 Return]]),1+PortfolioFrontier[[#This Row],[P9 Return]])</f>
        <v>1.1640778260116649</v>
      </c>
      <c r="AK33" s="27">
        <f>MAX(AK32,PortfolioFrontier[[#This Row],[P9 Growth]])</f>
        <v>1.2081574545244378</v>
      </c>
      <c r="AL33" s="27">
        <f>PortfolioFrontier[[#This Row],[P9 Growth]]/PortfolioFrontier[[#This Row],[P9 HWM]]-1</f>
        <v>-3.648500313241354E-2</v>
      </c>
      <c r="AM33" s="28">
        <f>SUMPRODUCT(INDEX(PortfolioRef[[SPY]:[PE]],MATCH(AM$1,PortfolioRef[Reference '#]),0),AssetMonthlyReturns[[#This Row],[SPY]:[PE]])</f>
        <v>-2.9038522360392203E-2</v>
      </c>
      <c r="AN33" s="27">
        <f>IF(ISNUMBER(AN32),AN32*(1+PortfolioFrontier[[#This Row],[P10 Return]]),1+PortfolioFrontier[[#This Row],[P10 Return]])</f>
        <v>1.156003458912936</v>
      </c>
      <c r="AO33" s="27">
        <f>MAX(AO32,PortfolioFrontier[[#This Row],[P10 Growth]])</f>
        <v>1.196588467741694</v>
      </c>
      <c r="AP33" s="27">
        <f>PortfolioFrontier[[#This Row],[P10 Growth]]/PortfolioFrontier[[#This Row],[P10 HWM]]-1</f>
        <v>-3.3917265561946741E-2</v>
      </c>
      <c r="AQ33" s="28">
        <f>SUMPRODUCT(INDEX(PortfolioRef[[SPY]:[PE]],MATCH(AQ$1,PortfolioRef[Reference '#]),0),AssetMonthlyReturns[[#This Row],[SPY]:[PE]])</f>
        <v>-3.0880691596681848E-2</v>
      </c>
      <c r="AR33" s="27">
        <f>IF(ISNUMBER(AR32),AR32*(1+PortfolioFrontier[[#This Row],[P11 Return]]),1+PortfolioFrontier[[#This Row],[P11 Return]])</f>
        <v>1.163728126657172</v>
      </c>
      <c r="AS33" s="27">
        <f>MAX(AS32,PortfolioFrontier[[#This Row],[P11 Growth]])</f>
        <v>1.208908483674711</v>
      </c>
      <c r="AT33" s="27">
        <f>PortfolioFrontier[[#This Row],[P11 Growth]]/PortfolioFrontier[[#This Row],[P11 HWM]]-1</f>
        <v>-3.737285131807877E-2</v>
      </c>
      <c r="AU33" s="28">
        <f>SUMPRODUCT(INDEX(PortfolioRef[[SPY]:[PE]],MATCH(AU$1,PortfolioRef[Reference '#]),0),AssetMonthlyReturns[[#This Row],[SPY]:[PE]])</f>
        <v>-3.0856005958018292E-2</v>
      </c>
      <c r="AV33" s="27">
        <f>IF(ISNUMBER(AV32),AV32*(1+PortfolioFrontier[[#This Row],[P12 Return]]),1+PortfolioFrontier[[#This Row],[P12 Return]])</f>
        <v>1.160584566088807</v>
      </c>
      <c r="AW33" s="27">
        <f>MAX(AW32,PortfolioFrontier[[#This Row],[P12 Growth]])</f>
        <v>1.2028375811784136</v>
      </c>
      <c r="AX33" s="27">
        <f>PortfolioFrontier[[#This Row],[P12 Growth]]/PortfolioFrontier[[#This Row],[P12 HWM]]-1</f>
        <v>-3.512778096624769E-2</v>
      </c>
      <c r="AY33" s="28">
        <f>SUMPRODUCT(INDEX(PortfolioRef[[SPY]:[PE]],MATCH(AY$1,PortfolioRef[Reference '#]),0),AssetMonthlyReturns[[#This Row],[SPY]:[PE]])</f>
        <v>-3.272286083297149E-2</v>
      </c>
      <c r="AZ33" s="27">
        <f>IF(ISNUMBER(AZ32),AZ32*(1+PortfolioFrontier[[#This Row],[P13 Return]]),1+PortfolioFrontier[[#This Row],[P13 Return]])</f>
        <v>1.1713705711079341</v>
      </c>
      <c r="BA33" s="27">
        <f>MAX(BA32,PortfolioFrontier[[#This Row],[P13 Growth]])</f>
        <v>1.2212236920710353</v>
      </c>
      <c r="BB33" s="27">
        <f>PortfolioFrontier[[#This Row],[P13 Growth]]/PortfolioFrontier[[#This Row],[P13 HWM]]-1</f>
        <v>-4.0822268096155967E-2</v>
      </c>
      <c r="BC33" s="28">
        <f>SUMPRODUCT(INDEX(PortfolioRef[[SPY]:[PE]],MATCH(BC$1,PortfolioRef[Reference '#]),0),AssetMonthlyReturns[[#This Row],[SPY]:[PE]])</f>
        <v>-3.2698175194307941E-2</v>
      </c>
      <c r="BD33" s="27">
        <f>IF(ISNUMBER(BD32),BD32*(1+PortfolioFrontier[[#This Row],[P14 Return]]),1+PortfolioFrontier[[#This Row],[P14 Return]])</f>
        <v>1.1682500870156773</v>
      </c>
      <c r="BE33" s="27">
        <f>MAX(BE32,PortfolioFrontier[[#This Row],[P14 Growth]])</f>
        <v>1.2151316397014729</v>
      </c>
      <c r="BF33" s="27">
        <f>PortfolioFrontier[[#This Row],[P14 Growth]]/PortfolioFrontier[[#This Row],[P14 HWM]]-1</f>
        <v>-3.8581459945618013E-2</v>
      </c>
      <c r="BG33" s="28">
        <f>SUMPRODUCT(INDEX(PortfolioRef[[SPY]:[PE]],MATCH(BG$1,PortfolioRef[Reference '#]),0),AssetMonthlyReturns[[#This Row],[SPY]:[PE]])</f>
        <v>-3.2673489555644385E-2</v>
      </c>
      <c r="BH33" s="27">
        <f>IF(ISNUMBER(BH32),BH32*(1+PortfolioFrontier[[#This Row],[P15 Return]]),1+PortfolioFrontier[[#This Row],[P15 Return]])</f>
        <v>1.1650258487801506</v>
      </c>
      <c r="BI33" s="27">
        <f>MAX(BI32,PortfolioFrontier[[#This Row],[P15 Growth]])</f>
        <v>1.208960110427493</v>
      </c>
      <c r="BJ33" s="27">
        <f>PortfolioFrontier[[#This Row],[P15 Growth]]/PortfolioFrontier[[#This Row],[P15 HWM]]-1</f>
        <v>-3.6340538673196643E-2</v>
      </c>
      <c r="BK33" s="28">
        <f>SUMPRODUCT(INDEX(PortfolioRef[[SPY]:[PE]],MATCH(BK$1,PortfolioRef[Reference '#]),0),AssetMonthlyReturns[[#This Row],[SPY]:[PE]])</f>
        <v>-2.8910696671711367E-2</v>
      </c>
      <c r="BL33" s="27">
        <f>IF(ISNUMBER(BL32),BL32*(1+PortfolioFrontier[[#This Row],[P16 Return]]),1+PortfolioFrontier[[#This Row],[P16 Return]])</f>
        <v>1.1447056843452568</v>
      </c>
      <c r="BM33" s="27">
        <f>MAX(BM32,PortfolioFrontier[[#This Row],[P16 Growth]])</f>
        <v>1.1851093657015759</v>
      </c>
      <c r="BN33" s="27">
        <f>PortfolioFrontier[[#This Row],[P16 Growth]]/PortfolioFrontier[[#This Row],[P16 HWM]]-1</f>
        <v>-3.4092787151673964E-2</v>
      </c>
      <c r="BO33" s="28">
        <f>SUMPRODUCT(INDEX(PortfolioRef[[SPY]:[PE]],MATCH(BO$1,PortfolioRef[Reference '#]),0),AssetMonthlyReturns[[#This Row],[SPY]:[PE]])</f>
        <v>-2.7518555366330667E-2</v>
      </c>
      <c r="BP33" s="27">
        <f>IF(ISNUMBER(BP32),BP32*(1+PortfolioFrontier[[#This Row],[P17 Return]]),1+PortfolioFrontier[[#This Row],[P17 Return]])</f>
        <v>1.1412328046938447</v>
      </c>
      <c r="BQ33" s="27">
        <f>MAX(BQ32,PortfolioFrontier[[#This Row],[P17 Growth]])</f>
        <v>1.1798578078345985</v>
      </c>
      <c r="BR33" s="27">
        <f>PortfolioFrontier[[#This Row],[P17 Growth]]/PortfolioFrontier[[#This Row],[P17 HWM]]-1</f>
        <v>-3.2736998377493109E-2</v>
      </c>
      <c r="BS33" s="28">
        <f>SUMPRODUCT(INDEX(PortfolioRef[[SPY]:[PE]],MATCH(BS$1,PortfolioRef[Reference '#]),0),AssetMonthlyReturns[[#This Row],[SPY]:[PE]])</f>
        <v>-2.9360724602620313E-2</v>
      </c>
      <c r="BT33" s="27">
        <f>IF(ISNUMBER(BT32),BT32*(1+PortfolioFrontier[[#This Row],[P18 Return]]),1+PortfolioFrontier[[#This Row],[P18 Return]])</f>
        <v>1.1488232553112356</v>
      </c>
      <c r="BU33" s="27">
        <f>MAX(BU32,PortfolioFrontier[[#This Row],[P18 Growth]])</f>
        <v>1.1919658639020045</v>
      </c>
      <c r="BV33" s="27">
        <f>PortfolioFrontier[[#This Row],[P18 Growth]]/PortfolioFrontier[[#This Row],[P18 HWM]]-1</f>
        <v>-3.619450010886871E-2</v>
      </c>
      <c r="BW33" s="28">
        <f>SUMPRODUCT(INDEX(PortfolioRef[[SPY]:[PE]],MATCH(BW$1,PortfolioRef[Reference '#]),0),AssetMonthlyReturns[[#This Row],[SPY]:[PE]])</f>
        <v>-2.9336038963956756E-2</v>
      </c>
      <c r="BX33" s="27">
        <f>IF(ISNUMBER(BX32),BX32*(1+PortfolioFrontier[[#This Row],[P19 Return]]),1+PortfolioFrontier[[#This Row],[P19 Return]])</f>
        <v>1.1456882548171303</v>
      </c>
      <c r="BY33" s="27">
        <f>MAX(BY32,PortfolioFrontier[[#This Row],[P19 Growth]])</f>
        <v>1.1859463364551437</v>
      </c>
      <c r="BZ33" s="27">
        <f>PortfolioFrontier[[#This Row],[P19 Growth]]/PortfolioFrontier[[#This Row],[P19 HWM]]-1</f>
        <v>-3.3945955563509655E-2</v>
      </c>
      <c r="CA33" s="28">
        <f>SUMPRODUCT(INDEX(PortfolioRef[[SPY]:[PE]],MATCH(CA$1,PortfolioRef[Reference '#]),0),AssetMonthlyReturns[[#This Row],[SPY]:[PE]])</f>
        <v>-2.6126414060949968E-2</v>
      </c>
      <c r="CB33" s="27">
        <f>IF(ISNUMBER(CB32),CB32*(1+PortfolioFrontier[[#This Row],[P20 Return]]),1+PortfolioFrontier[[#This Row],[P20 Return]])</f>
        <v>1.1376980885042798</v>
      </c>
      <c r="CC33" s="27">
        <f>MAX(CC32,PortfolioFrontier[[#This Row],[P20 Growth]])</f>
        <v>1.1745572118249088</v>
      </c>
      <c r="CD33" s="27">
        <f>PortfolioFrontier[[#This Row],[P20 Growth]]/PortfolioFrontier[[#This Row],[P20 HWM]]-1</f>
        <v>-3.1381292413471318E-2</v>
      </c>
      <c r="CE33" s="28">
        <f>SUMPRODUCT(INDEX(PortfolioRef[[SPY]:[PE]],MATCH(CE$1,PortfolioRef[Reference '#]),0),AssetMonthlyReturns[[#This Row],[SPY]:[PE]])</f>
        <v>-2.7968583297239613E-2</v>
      </c>
      <c r="CF33" s="27">
        <f>IF(ISNUMBER(CF32),CF32*(1+PortfolioFrontier[[#This Row],[P21 Return]]),1+PortfolioFrontier[[#This Row],[P21 Return]])</f>
        <v>1.1453346925161521</v>
      </c>
      <c r="CG33" s="27">
        <f>MAX(CG32,PortfolioFrontier[[#This Row],[P21 Growth]])</f>
        <v>1.1866798900197959</v>
      </c>
      <c r="CH33" s="27">
        <f>PortfolioFrontier[[#This Row],[P21 Growth]]/PortfolioFrontier[[#This Row],[P21 HWM]]-1</f>
        <v>-3.4841070326854684E-2</v>
      </c>
      <c r="CI33" s="28">
        <f>SUMPRODUCT(INDEX(PortfolioRef[[SPY]:[PE]],MATCH(CI$1,PortfolioRef[Reference '#]),0),AssetMonthlyReturns[[#This Row],[SPY]:[PE]])</f>
        <v>-2.7943897658576057E-2</v>
      </c>
      <c r="CJ33" s="27">
        <f>IF(ISNUMBER(CJ32),CJ32*(1+PortfolioFrontier[[#This Row],[P22 Return]]),1+PortfolioFrontier[[#This Row],[P22 Return]])</f>
        <v>1.142235163289048</v>
      </c>
      <c r="CK33" s="27">
        <f>MAX(CK32,PortfolioFrontier[[#This Row],[P22 Growth]])</f>
        <v>1.1807138443972445</v>
      </c>
      <c r="CL33" s="27">
        <f>PortfolioFrontier[[#This Row],[P22 Growth]]/PortfolioFrontier[[#This Row],[P22 HWM]]-1</f>
        <v>-3.2589336773500732E-2</v>
      </c>
      <c r="CM33" s="28">
        <f>SUMPRODUCT(INDEX(PortfolioRef[[SPY]:[PE]],MATCH(CM$1,PortfolioRef[Reference '#]),0),AssetMonthlyReturns[[#This Row],[SPY]:[PE]])</f>
        <v>-2.9810752533529255E-2</v>
      </c>
      <c r="CN33" s="27">
        <f>IF(ISNUMBER(CN32),CN32*(1+PortfolioFrontier[[#This Row],[P23 Return]]),1+PortfolioFrontier[[#This Row],[P23 Return]])</f>
        <v>1.152890624113128</v>
      </c>
      <c r="CO33" s="27">
        <f>MAX(CO32,PortfolioFrontier[[#This Row],[P23 Growth]])</f>
        <v>1.1987982173464886</v>
      </c>
      <c r="CP33" s="27">
        <f>PortfolioFrontier[[#This Row],[P23 Growth]]/PortfolioFrontier[[#This Row],[P23 HWM]]-1</f>
        <v>-3.8294679262182996E-2</v>
      </c>
      <c r="CQ33" s="28">
        <f>SUMPRODUCT(INDEX(PortfolioRef[[SPY]:[PE]],MATCH(CQ$1,PortfolioRef[Reference '#]),0),AssetMonthlyReturns[[#This Row],[SPY]:[PE]])</f>
        <v>-2.9786066894865702E-2</v>
      </c>
      <c r="CR33" s="27">
        <f>IF(ISNUMBER(CR32),CR32*(1+PortfolioFrontier[[#This Row],[P24 Return]]),1+PortfolioFrontier[[#This Row],[P24 Return]])</f>
        <v>1.1498136816064097</v>
      </c>
      <c r="CS33" s="27">
        <f>MAX(CS32,PortfolioFrontier[[#This Row],[P24 Growth]])</f>
        <v>1.1928111947407509</v>
      </c>
      <c r="CT33" s="27">
        <f>PortfolioFrontier[[#This Row],[P24 Growth]]/PortfolioFrontier[[#This Row],[P24 HWM]]-1</f>
        <v>-3.6047207910122281E-2</v>
      </c>
      <c r="CU33" s="28">
        <f>SUMPRODUCT(INDEX(PortfolioRef[[SPY]:[PE]],MATCH(CU$1,PortfolioRef[Reference '#]),0),AssetMonthlyReturns[[#This Row],[SPY]:[PE]])</f>
        <v>-2.976138125620215E-2</v>
      </c>
      <c r="CV33" s="27">
        <f>IF(ISNUMBER(CV32),CV32*(1+PortfolioFrontier[[#This Row],[P25 Return]]),1+PortfolioFrontier[[#This Row],[P25 Return]])</f>
        <v>1.1466346465692887</v>
      </c>
      <c r="CW33" s="27">
        <f>MAX(CW32,PortfolioFrontier[[#This Row],[P25 Growth]])</f>
        <v>1.186746221986748</v>
      </c>
      <c r="CX33" s="27">
        <f>PortfolioFrontier[[#This Row],[P25 Growth]]/PortfolioFrontier[[#This Row],[P25 HWM]]-1</f>
        <v>-3.3799623436178261E-2</v>
      </c>
      <c r="CY33" s="28">
        <f>SUMPRODUCT(INDEX(PortfolioRef[[SPY]:[PE]],MATCH(CY$1,PortfolioRef[Reference '#]),0),AssetMonthlyReturns[[#This Row],[SPY]:[PE]])</f>
        <v>-2.657644199185891E-2</v>
      </c>
      <c r="CZ33" s="27">
        <f>IF(ISNUMBER(CZ32),CZ32*(1+PortfolioFrontier[[#This Row],[P26 Return]]),1+PortfolioFrontier[[#This Row],[P26 Return]])</f>
        <v>1.1417841862744762</v>
      </c>
      <c r="DA33" s="27">
        <f>MAX(DA32,PortfolioFrontier[[#This Row],[P26 Growth]])</f>
        <v>1.1813447318412627</v>
      </c>
      <c r="DB33" s="27">
        <f>PortfolioFrontier[[#This Row],[P26 Growth]]/PortfolioFrontier[[#This Row],[P26 HWM]]-1</f>
        <v>-3.348772335499961E-2</v>
      </c>
      <c r="DC33" s="28">
        <f>SUMPRODUCT(INDEX(PortfolioRef[[SPY]:[PE]],MATCH(DC$1,PortfolioRef[Reference '#]),0),AssetMonthlyReturns[[#This Row],[SPY]:[PE]])</f>
        <v>-2.6551756353195354E-2</v>
      </c>
      <c r="DD33" s="27">
        <f>IF(ISNUMBER(DD32),DD32*(1+PortfolioFrontier[[#This Row],[P27 Return]]),1+PortfolioFrontier[[#This Row],[P27 Return]])</f>
        <v>1.138720049139218</v>
      </c>
      <c r="DE33" s="27">
        <f>MAX(DE32,PortfolioFrontier[[#This Row],[P27 Growth]])</f>
        <v>1.1754320853060471</v>
      </c>
      <c r="DF33" s="27">
        <f>PortfolioFrontier[[#This Row],[P27 Growth]]/PortfolioFrontier[[#This Row],[P27 HWM]]-1</f>
        <v>-3.123280079365065E-2</v>
      </c>
      <c r="DG33" s="28">
        <f>SUMPRODUCT(INDEX(PortfolioRef[[SPY]:[PE]],MATCH(DG$1,PortfolioRef[Reference '#]),0),AssetMonthlyReturns[[#This Row],[SPY]:[PE]])</f>
        <v>-2.8418611228148552E-2</v>
      </c>
      <c r="DH33" s="27">
        <f>IF(ISNUMBER(DH32),DH32*(1+PortfolioFrontier[[#This Row],[P28 Return]]),1+PortfolioFrontier[[#This Row],[P28 Return]])</f>
        <v>1.1493864975890977</v>
      </c>
      <c r="DI33" s="27">
        <f>MAX(DI32,PortfolioFrontier[[#This Row],[P28 Growth]])</f>
        <v>1.1934778769972798</v>
      </c>
      <c r="DJ33" s="27">
        <f>PortfolioFrontier[[#This Row],[P28 Growth]]/PortfolioFrontier[[#This Row],[P28 HWM]]-1</f>
        <v>-3.6943608472335798E-2</v>
      </c>
      <c r="DK33" s="28">
        <f>SUMPRODUCT(INDEX(PortfolioRef[[SPY]:[PE]],MATCH(DK$1,PortfolioRef[Reference '#]),0),AssetMonthlyReturns[[#This Row],[SPY]:[PE]])</f>
        <v>-2.8393925589484999E-2</v>
      </c>
      <c r="DL33" s="27">
        <f>IF(ISNUMBER(DL32),DL32*(1+PortfolioFrontier[[#This Row],[P29 Return]]),1+PortfolioFrontier[[#This Row],[P29 Return]])</f>
        <v>1.1463449625996562</v>
      </c>
      <c r="DM33" s="27">
        <f>MAX(DM32,PortfolioFrontier[[#This Row],[P29 Growth]])</f>
        <v>1.1875443780897539</v>
      </c>
      <c r="DN33" s="27">
        <f>PortfolioFrontier[[#This Row],[P29 Growth]]/PortfolioFrontier[[#This Row],[P29 HWM]]-1</f>
        <v>-3.4692948112279964E-2</v>
      </c>
      <c r="DO33" s="28">
        <f>SUMPRODUCT(INDEX(PortfolioRef[[SPY]:[PE]],MATCH(DO$1,PortfolioRef[Reference '#]),0),AssetMonthlyReturns[[#This Row],[SPY]:[PE]])</f>
        <v>-2.8369239950821447E-2</v>
      </c>
      <c r="DP33" s="27">
        <f>IF(ISNUMBER(DP32),DP32*(1+PortfolioFrontier[[#This Row],[P30 Return]]),1+PortfolioFrontier[[#This Row],[P30 Return]])</f>
        <v>1.143201480608528</v>
      </c>
      <c r="DQ33" s="27">
        <f>MAX(DQ32,PortfolioFrontier[[#This Row],[P30 Growth]])</f>
        <v>1.1815329798730776</v>
      </c>
      <c r="DR33" s="27">
        <f>PortfolioFrontier[[#This Row],[P30 Growth]]/PortfolioFrontier[[#This Row],[P30 HWM]]-1</f>
        <v>-3.2442174630341047E-2</v>
      </c>
      <c r="DS33" s="28">
        <f>SUMPRODUCT(INDEX(PortfolioRef[[SPY]:[PE]],MATCH(DS$1,PortfolioRef[Reference '#]),0),AssetMonthlyReturns[[#This Row],[SPY]:[PE]])</f>
        <v>-3.0260780464438194E-2</v>
      </c>
      <c r="DT33" s="27">
        <f>IF(ISNUMBER(DT32),DT32*(1+PortfolioFrontier[[#This Row],[P31 Return]]),1+PortfolioFrontier[[#This Row],[P31 Return]])</f>
        <v>1.1569070981639282</v>
      </c>
      <c r="DU33" s="27">
        <f>MAX(DU32,PortfolioFrontier[[#This Row],[P31 Growth]])</f>
        <v>1.205605513004264</v>
      </c>
      <c r="DV33" s="27">
        <f>PortfolioFrontier[[#This Row],[P31 Growth]]/PortfolioFrontier[[#This Row],[P31 HWM]]-1</f>
        <v>-4.0393324611616599E-2</v>
      </c>
      <c r="DW33" s="28">
        <f>SUMPRODUCT(INDEX(PortfolioRef[[SPY]:[PE]],MATCH(DW$1,PortfolioRef[Reference '#]),0),AssetMonthlyReturns[[#This Row],[SPY]:[PE]])</f>
        <v>-3.0236094825774641E-2</v>
      </c>
      <c r="DX33" s="27">
        <f>IF(ISNUMBER(DX32),DX32*(1+PortfolioFrontier[[#This Row],[P32 Return]]),1+PortfolioFrontier[[#This Row],[P32 Return]])</f>
        <v>1.1538889371631229</v>
      </c>
      <c r="DY33" s="27">
        <f>MAX(DY32,PortfolioFrontier[[#This Row],[P32 Growth]])</f>
        <v>1.1996519727361086</v>
      </c>
      <c r="DZ33" s="27">
        <f>PortfolioFrontier[[#This Row],[P32 Growth]]/PortfolioFrontier[[#This Row],[P32 HWM]]-1</f>
        <v>-3.8146926452854113E-2</v>
      </c>
      <c r="EA33" s="28">
        <f>SUMPRODUCT(INDEX(PortfolioRef[[SPY]:[PE]],MATCH(EA$1,PortfolioRef[Reference '#]),0),AssetMonthlyReturns[[#This Row],[SPY]:[PE]])</f>
        <v>-3.0211409187111092E-2</v>
      </c>
      <c r="EB33" s="27">
        <f>IF(ISNUMBER(EB32),EB32*(1+PortfolioFrontier[[#This Row],[P33 Return]]),1+PortfolioFrontier[[#This Row],[P33 Return]])</f>
        <v>1.1507678110941044</v>
      </c>
      <c r="EC33" s="27">
        <f>MAX(EC32,PortfolioFrontier[[#This Row],[P33 Growth]])</f>
        <v>1.1936192372696184</v>
      </c>
      <c r="ED33" s="27">
        <f>PortfolioFrontier[[#This Row],[P33 Growth]]/PortfolioFrontier[[#This Row],[P33 HWM]]-1</f>
        <v>-3.5900415172208322E-2</v>
      </c>
      <c r="EE33" s="28">
        <f>SUMPRODUCT(INDEX(PortfolioRef[[SPY]:[PE]],MATCH(EE$1,PortfolioRef[Reference '#]),0),AssetMonthlyReturns[[#This Row],[SPY]:[PE]])</f>
        <v>-2.5998588372269125E-2</v>
      </c>
      <c r="EF33" s="27">
        <f>IF(ISNUMBER(EF32),EF32*(1+PortfolioFrontier[[#This Row],[P34 Return]]),1+PortfolioFrontier[[#This Row],[P34 Return]])</f>
        <v>1.1265416246448134</v>
      </c>
      <c r="EG33" s="27">
        <f>MAX(EG32,PortfolioFrontier[[#This Row],[P34 Growth]])</f>
        <v>1.1632512387660898</v>
      </c>
      <c r="EH33" s="27">
        <f>PortfolioFrontier[[#This Row],[P34 Growth]]/PortfolioFrontier[[#This Row],[P34 HWM]]-1</f>
        <v>-3.1557769205744268E-2</v>
      </c>
      <c r="EI33" s="28">
        <f>SUMPRODUCT(INDEX(PortfolioRef[[SPY]:[PE]],MATCH(EI$1,PortfolioRef[Reference '#]),0),AssetMonthlyReturns[[#This Row],[SPY]:[PE]])</f>
        <v>-2.4606447066888422E-2</v>
      </c>
      <c r="EJ33" s="27">
        <f>IF(ISNUMBER(EJ32),EJ32*(1+PortfolioFrontier[[#This Row],[P35 Return]]),1+PortfolioFrontier[[#This Row],[P35 Return]])</f>
        <v>1.1231090827523809</v>
      </c>
      <c r="EK33" s="27">
        <f>MAX(EK32,PortfolioFrontier[[#This Row],[P35 Growth]])</f>
        <v>1.1580862807018495</v>
      </c>
      <c r="EL33" s="27">
        <f>PortfolioFrontier[[#This Row],[P35 Growth]]/PortfolioFrontier[[#This Row],[P35 HWM]]-1</f>
        <v>-3.0202583807720229E-2</v>
      </c>
      <c r="EM33" s="28">
        <f>SUMPRODUCT(INDEX(PortfolioRef[[SPY]:[PE]],MATCH(EM$1,PortfolioRef[Reference '#]),0),AssetMonthlyReturns[[#This Row],[SPY]:[PE]])</f>
        <v>-2.6448616303178067E-2</v>
      </c>
      <c r="EN33" s="27">
        <f>IF(ISNUMBER(EN32),EN32*(1+PortfolioFrontier[[#This Row],[P36 Return]]),1+PortfolioFrontier[[#This Row],[P36 Return]])</f>
        <v>1.1306126774409762</v>
      </c>
      <c r="EO33" s="27">
        <f>MAX(EO32,PortfolioFrontier[[#This Row],[P36 Growth]])</f>
        <v>1.1699998782469747</v>
      </c>
      <c r="EP33" s="27">
        <f>PortfolioFrontier[[#This Row],[P36 Growth]]/PortfolioFrontier[[#This Row],[P36 HWM]]-1</f>
        <v>-3.3664277696347167E-2</v>
      </c>
      <c r="EQ33" s="28">
        <f>SUMPRODUCT(INDEX(PortfolioRef[[SPY]:[PE]],MATCH(EQ$1,PortfolioRef[Reference '#]),0),AssetMonthlyReturns[[#This Row],[SPY]:[PE]])</f>
        <v>-2.6423930664514511E-2</v>
      </c>
      <c r="ER33" s="27">
        <f>IF(ISNUMBER(ER32),ER32*(1+PortfolioFrontier[[#This Row],[P37 Return]]),1+PortfolioFrontier[[#This Row],[P37 Return]])</f>
        <v>1.1275217931715127</v>
      </c>
      <c r="ES33" s="27">
        <f>MAX(ES32,PortfolioFrontier[[#This Row],[P37 Growth]])</f>
        <v>1.1640846080529437</v>
      </c>
      <c r="ET33" s="27">
        <f>PortfolioFrontier[[#This Row],[P37 Growth]]/PortfolioFrontier[[#This Row],[P37 HWM]]-1</f>
        <v>-3.1409069949465462E-2</v>
      </c>
      <c r="EU33" s="28">
        <f>SUMPRODUCT(INDEX(PortfolioRef[[SPY]:[PE]],MATCH(EU$1,PortfolioRef[Reference '#]),0),AssetMonthlyReturns[[#This Row],[SPY]:[PE]])</f>
        <v>-2.3214305761507723E-2</v>
      </c>
      <c r="EV33" s="27">
        <f>IF(ISNUMBER(EV32),EV32*(1+PortfolioFrontier[[#This Row],[P38 Return]]),1+PortfolioFrontier[[#This Row],[P38 Return]])</f>
        <v>1.1196156695583142</v>
      </c>
      <c r="EW33" s="27">
        <f>MAX(EW32,PortfolioFrontier[[#This Row],[P38 Growth]])</f>
        <v>1.1528731562830647</v>
      </c>
      <c r="EX33" s="27">
        <f>PortfolioFrontier[[#This Row],[P38 Growth]]/PortfolioFrontier[[#This Row],[P38 HWM]]-1</f>
        <v>-2.884748121985492E-2</v>
      </c>
      <c r="EY33" s="28">
        <f>SUMPRODUCT(INDEX(PortfolioRef[[SPY]:[PE]],MATCH(EY$1,PortfolioRef[Reference '#]),0),AssetMonthlyReturns[[#This Row],[SPY]:[PE]])</f>
        <v>-2.5056474997797368E-2</v>
      </c>
      <c r="EZ33" s="27">
        <f>IF(ISNUMBER(EZ32),EZ32*(1+PortfolioFrontier[[#This Row],[P39 Return]]),1+PortfolioFrontier[[#This Row],[P39 Return]])</f>
        <v>1.1271646268578961</v>
      </c>
      <c r="FA33" s="27">
        <f>MAX(FA32,PortfolioFrontier[[#This Row],[P39 Growth]])</f>
        <v>1.1648010388890722</v>
      </c>
      <c r="FB33" s="27">
        <f>PortfolioFrontier[[#This Row],[P39 Growth]]/PortfolioFrontier[[#This Row],[P39 HWM]]-1</f>
        <v>-3.2311451290489734E-2</v>
      </c>
      <c r="FC33" s="28">
        <f>SUMPRODUCT(INDEX(PortfolioRef[[SPY]:[PE]],MATCH(FC$1,PortfolioRef[Reference '#]),0),AssetMonthlyReturns[[#This Row],[SPY]:[PE]])</f>
        <v>-2.5031789359133812E-2</v>
      </c>
      <c r="FD33" s="27">
        <f>IF(ISNUMBER(FD32),FD32*(1+PortfolioFrontier[[#This Row],[P40 Return]]),1+PortfolioFrontier[[#This Row],[P40 Return]])</f>
        <v>1.1241086955649351</v>
      </c>
      <c r="FE33" s="27">
        <f>MAX(FE32,PortfolioFrontier[[#This Row],[P40 Growth]])</f>
        <v>1.1589383324741944</v>
      </c>
      <c r="FF33" s="27">
        <f>PortfolioFrontier[[#This Row],[P40 Growth]]/PortfolioFrontier[[#This Row],[P40 HWM]]-1</f>
        <v>-3.0053054535613022E-2</v>
      </c>
      <c r="FG33" s="28">
        <f>SUMPRODUCT(INDEX(PortfolioRef[[SPY]:[PE]],MATCH(FG$1,PortfolioRef[Reference '#]),0),AssetMonthlyReturns[[#This Row],[SPY]:[PE]])</f>
        <v>-2.689864423408701E-2</v>
      </c>
      <c r="FH33" s="27">
        <f>IF(ISNUMBER(FH32),FH32*(1+PortfolioFrontier[[#This Row],[P41 Return]]),1+PortfolioFrontier[[#This Row],[P41 Return]])</f>
        <v>1.1346344388494178</v>
      </c>
      <c r="FI33" s="27">
        <f>MAX(FI32,PortfolioFrontier[[#This Row],[P41 Growth]])</f>
        <v>1.1767250128183893</v>
      </c>
      <c r="FJ33" s="27">
        <f>PortfolioFrontier[[#This Row],[P41 Growth]]/PortfolioFrontier[[#This Row],[P41 HWM]]-1</f>
        <v>-3.5769252383069272E-2</v>
      </c>
      <c r="FK33" s="28">
        <f>SUMPRODUCT(INDEX(PortfolioRef[[SPY]:[PE]],MATCH(FK$1,PortfolioRef[Reference '#]),0),AssetMonthlyReturns[[#This Row],[SPY]:[PE]])</f>
        <v>-2.6873958595423457E-2</v>
      </c>
      <c r="FL33" s="27">
        <f>IF(ISNUMBER(FL32),FL32*(1+PortfolioFrontier[[#This Row],[P42 Return]]),1+PortfolioFrontier[[#This Row],[P42 Return]])</f>
        <v>1.1316006128942449</v>
      </c>
      <c r="FM33" s="27">
        <f>MAX(FM32,PortfolioFrontier[[#This Row],[P42 Growth]])</f>
        <v>1.1708415038556184</v>
      </c>
      <c r="FN33" s="27">
        <f>PortfolioFrontier[[#This Row],[P42 Growth]]/PortfolioFrontier[[#This Row],[P42 HWM]]-1</f>
        <v>-3.3515117829485908E-2</v>
      </c>
      <c r="FO33" s="28">
        <f>SUMPRODUCT(INDEX(PortfolioRef[[SPY]:[PE]],MATCH(FO$1,PortfolioRef[Reference '#]),0),AssetMonthlyReturns[[#This Row],[SPY]:[PE]])</f>
        <v>-2.6849272956759904E-2</v>
      </c>
      <c r="FP33" s="27">
        <f>IF(ISNUMBER(FP32),FP32*(1+PortfolioFrontier[[#This Row],[P43 Return]]),1+PortfolioFrontier[[#This Row],[P43 Return]])</f>
        <v>1.1284663346100061</v>
      </c>
      <c r="FQ33" s="27">
        <f>MAX(FQ32,PortfolioFrontier[[#This Row],[P43 Growth]])</f>
        <v>1.1648815453438119</v>
      </c>
      <c r="FR33" s="27">
        <f>PortfolioFrontier[[#This Row],[P43 Growth]]/PortfolioFrontier[[#This Row],[P43 HWM]]-1</f>
        <v>-3.1260870154018905E-2</v>
      </c>
      <c r="FS33" s="28">
        <f>SUMPRODUCT(INDEX(PortfolioRef[[SPY]:[PE]],MATCH(FS$1,PortfolioRef[Reference '#]),0),AssetMonthlyReturns[[#This Row],[SPY]:[PE]])</f>
        <v>-2.3664333692416668E-2</v>
      </c>
      <c r="FT33" s="27">
        <f>IF(ISNUMBER(FT32),FT32*(1+PortfolioFrontier[[#This Row],[P44 Return]]),1+PortfolioFrontier[[#This Row],[P44 Return]])</f>
        <v>1.123655598572296</v>
      </c>
      <c r="FU33" s="27">
        <f>MAX(FU32,PortfolioFrontier[[#This Row],[P44 Growth]])</f>
        <v>1.1595538884615353</v>
      </c>
      <c r="FV33" s="27">
        <f>PortfolioFrontier[[#This Row],[P44 Growth]]/PortfolioFrontier[[#This Row],[P44 HWM]]-1</f>
        <v>-3.0958707694791254E-2</v>
      </c>
      <c r="FW33" s="28">
        <f>SUMPRODUCT(INDEX(PortfolioRef[[SPY]:[PE]],MATCH(FW$1,PortfolioRef[Reference '#]),0),AssetMonthlyReturns[[#This Row],[SPY]:[PE]])</f>
        <v>-2.3639648053753112E-2</v>
      </c>
      <c r="FX33" s="27">
        <f>IF(ISNUMBER(FX32),FX32*(1+PortfolioFrontier[[#This Row],[P45 Return]]),1+PortfolioFrontier[[#This Row],[P45 Return]])</f>
        <v>1.120634542406536</v>
      </c>
      <c r="FY33" s="27">
        <f>MAX(FY32,PortfolioFrontier[[#This Row],[P45 Growth]])</f>
        <v>1.1537436650403796</v>
      </c>
      <c r="FZ33" s="27">
        <f>PortfolioFrontier[[#This Row],[P45 Growth]]/PortfolioFrontier[[#This Row],[P45 HWM]]-1</f>
        <v>-2.8697121931919645E-2</v>
      </c>
      <c r="GA33" s="28">
        <f>SUMPRODUCT(INDEX(PortfolioRef[[SPY]:[PE]],MATCH(GA$1,PortfolioRef[Reference '#]),0),AssetMonthlyReturns[[#This Row],[SPY]:[PE]])</f>
        <v>-2.550650292870631E-2</v>
      </c>
      <c r="GB33" s="27">
        <f>IF(ISNUMBER(GB32),GB32*(1+PortfolioFrontier[[#This Row],[P46 Return]]),1+PortfolioFrontier[[#This Row],[P46 Return]])</f>
        <v>1.1311709975464532</v>
      </c>
      <c r="GC33" s="27">
        <f>MAX(GC32,PortfolioFrontier[[#This Row],[P46 Growth]])</f>
        <v>1.1714923405076605</v>
      </c>
      <c r="GD33" s="27">
        <f>PortfolioFrontier[[#This Row],[P46 Growth]]/PortfolioFrontier[[#This Row],[P46 HWM]]-1</f>
        <v>-3.4418784969378668E-2</v>
      </c>
      <c r="GE33" s="28">
        <f>SUMPRODUCT(INDEX(PortfolioRef[[SPY]:[PE]],MATCH(GE$1,PortfolioRef[Reference '#]),0),AssetMonthlyReturns[[#This Row],[SPY]:[PE]])</f>
        <v>-2.5481817290042758E-2</v>
      </c>
      <c r="GF33" s="27">
        <f>IF(ISNUMBER(GF32),GF32*(1+PortfolioFrontier[[#This Row],[P47 Return]]),1+PortfolioFrontier[[#This Row],[P47 Return]])</f>
        <v>1.1281720615780546</v>
      </c>
      <c r="GG33" s="27">
        <f>MAX(GG32,PortfolioFrontier[[#This Row],[P47 Growth]])</f>
        <v>1.1656614368953246</v>
      </c>
      <c r="GH33" s="27">
        <f>PortfolioFrontier[[#This Row],[P47 Growth]]/PortfolioFrontier[[#This Row],[P47 HWM]]-1</f>
        <v>-3.2161461407800296E-2</v>
      </c>
      <c r="GI33" s="28">
        <f>SUMPRODUCT(INDEX(PortfolioRef[[SPY]:[PE]],MATCH(GI$1,PortfolioRef[Reference '#]),0),AssetMonthlyReturns[[#This Row],[SPY]:[PE]])</f>
        <v>-2.5457131651379205E-2</v>
      </c>
      <c r="GJ33" s="27">
        <f>IF(ISNUMBER(GJ32),GJ32*(1+PortfolioFrontier[[#This Row],[P48 Return]]),1+PortfolioFrontier[[#This Row],[P48 Return]])</f>
        <v>1.1250728175379268</v>
      </c>
      <c r="GK33" s="27">
        <f>MAX(GK32,PortfolioFrontier[[#This Row],[P48 Growth]])</f>
        <v>1.1597541338301369</v>
      </c>
      <c r="GL33" s="27">
        <f>PortfolioFrontier[[#This Row],[P48 Growth]]/PortfolioFrontier[[#This Row],[P48 HWM]]-1</f>
        <v>-2.9904024724338507E-2</v>
      </c>
      <c r="GM33" s="28">
        <f>SUMPRODUCT(INDEX(PortfolioRef[[SPY]:[PE]],MATCH(GM$1,PortfolioRef[Reference '#]),0),AssetMonthlyReturns[[#This Row],[SPY]:[PE]])</f>
        <v>-2.7348672164995952E-2</v>
      </c>
      <c r="GN33" s="27">
        <f>IF(ISNUMBER(GN32),GN32*(1+PortfolioFrontier[[#This Row],[P49 Return]]),1+PortfolioFrontier[[#This Row],[P49 Return]])</f>
        <v>1.1386062250802993</v>
      </c>
      <c r="GO33" s="27">
        <f>MAX(GO32,PortfolioFrontier[[#This Row],[P49 Growth]])</f>
        <v>1.1834257453364068</v>
      </c>
      <c r="GP33" s="27">
        <f>PortfolioFrontier[[#This Row],[P49 Growth]]/PortfolioFrontier[[#This Row],[P49 HWM]]-1</f>
        <v>-3.7872693265910695E-2</v>
      </c>
      <c r="GQ33" s="28">
        <f>SUMPRODUCT(INDEX(PortfolioRef[[SPY]:[PE]],MATCH(GQ$1,PortfolioRef[Reference '#]),0),AssetMonthlyReturns[[#This Row],[SPY]:[PE]])</f>
        <v>-2.7323986526332399E-2</v>
      </c>
      <c r="GR33" s="27">
        <f>IF(ISNUMBER(GR32),GR32*(1+PortfolioFrontier[[#This Row],[P50 Return]]),1+PortfolioFrontier[[#This Row],[P50 Return]])</f>
        <v>1.1356301711640688</v>
      </c>
      <c r="GS33" s="27">
        <f>MAX(GS32,PortfolioFrontier[[#This Row],[P50 Growth]])</f>
        <v>1.177574957698575</v>
      </c>
      <c r="GT33" s="27">
        <f>PortfolioFrontier[[#This Row],[P50 Growth]]/PortfolioFrontier[[#This Row],[P50 HWM]]-1</f>
        <v>-3.5619631905625893E-2</v>
      </c>
      <c r="GU33" s="28">
        <f>SUMPRODUCT(INDEX(PortfolioRef[[SPY]:[PE]],MATCH(GU$1,PortfolioRef[Reference '#]),0),AssetMonthlyReturns[[#This Row],[SPY]:[PE]])</f>
        <v>-2.729930088766885E-2</v>
      </c>
      <c r="GV33" s="27">
        <f>IF(ISNUMBER(GV32),GV32*(1+PortfolioFrontier[[#This Row],[P51 Return]]),1+PortfolioFrontier[[#This Row],[P51 Return]])</f>
        <v>1.1325528046038673</v>
      </c>
      <c r="GW33" s="27">
        <f>MAX(GW32,PortfolioFrontier[[#This Row],[P51 Growth]])</f>
        <v>1.1716464975807377</v>
      </c>
      <c r="GX33" s="27">
        <f>PortfolioFrontier[[#This Row],[P51 Growth]]/PortfolioFrontier[[#This Row],[P51 HWM]]-1</f>
        <v>-3.3366457423457119E-2</v>
      </c>
      <c r="GY33" s="28">
        <f>SUMPRODUCT(INDEX(PortfolioRef[[SPY]:[PE]],MATCH(GY$1,PortfolioRef[Reference '#]),0),AssetMonthlyReturns[[#This Row],[SPY]:[PE]])</f>
        <v>-2.4114361623325607E-2</v>
      </c>
      <c r="GZ33" s="27">
        <f>IF(ISNUMBER(GZ32),GZ32*(1+PortfolioFrontier[[#This Row],[P52 Return]]),1+PortfolioFrontier[[#This Row],[P52 Return]])</f>
        <v>1.1276464749797672</v>
      </c>
      <c r="HA33" s="27">
        <f>MAX(HA32,PortfolioFrontier[[#This Row],[P52 Growth]])</f>
        <v>1.166211214326248</v>
      </c>
      <c r="HB33" s="27">
        <f>PortfolioFrontier[[#This Row],[P52 Growth]]/PortfolioFrontier[[#This Row],[P52 HWM]]-1</f>
        <v>-3.3068400365846795E-2</v>
      </c>
      <c r="HC33" s="28">
        <f>SUMPRODUCT(INDEX(PortfolioRef[[SPY]:[PE]],MATCH(HC$1,PortfolioRef[Reference '#]),0),AssetMonthlyReturns[[#This Row],[SPY]:[PE]])</f>
        <v>-2.4089675984662055E-2</v>
      </c>
      <c r="HD33" s="27">
        <f>IF(ISNUMBER(HD32),HD32*(1+PortfolioFrontier[[#This Row],[P53 Return]]),1+PortfolioFrontier[[#This Row],[P53 Return]])</f>
        <v>1.1246823475479932</v>
      </c>
      <c r="HE33" s="27">
        <f>MAX(HE32,PortfolioFrontier[[#This Row],[P53 Growth]])</f>
        <v>1.1604328320323583</v>
      </c>
      <c r="HF33" s="27">
        <f>PortfolioFrontier[[#This Row],[P53 Growth]]/PortfolioFrontier[[#This Row],[P53 HWM]]-1</f>
        <v>-3.0807887796273747E-2</v>
      </c>
      <c r="HG33" s="28">
        <f>SUMPRODUCT(INDEX(PortfolioRef[[SPY]:[PE]],MATCH(HG$1,PortfolioRef[Reference '#]),0),AssetMonthlyReturns[[#This Row],[SPY]:[PE]])</f>
        <v>-2.4064990345998502E-2</v>
      </c>
      <c r="HH33" s="27">
        <f>IF(ISNUMBER(HH32),HH32*(1+PortfolioFrontier[[#This Row],[P54 Return]]),1+PortfolioFrontier[[#This Row],[P54 Return]])</f>
        <v>1.1216180629412567</v>
      </c>
      <c r="HI33" s="27">
        <f>MAX(HI32,PortfolioFrontier[[#This Row],[P54 Growth]])</f>
        <v>1.1545781067758707</v>
      </c>
      <c r="HJ33" s="27">
        <f>PortfolioFrontier[[#This Row],[P54 Growth]]/PortfolioFrontier[[#This Row],[P54 HWM]]-1</f>
        <v>-2.854726210481684E-2</v>
      </c>
      <c r="HK33" s="28">
        <f>SUMPRODUCT(INDEX(PortfolioRef[[SPY]:[PE]],MATCH(HK$1,PortfolioRef[Reference '#]),0),AssetMonthlyReturns[[#This Row],[SPY]:[PE]])</f>
        <v>-2.5956530859615249E-2</v>
      </c>
      <c r="HL33" s="27">
        <f>IF(ISNUMBER(HL32),HL32*(1+PortfolioFrontier[[#This Row],[P55 Return]]),1+PortfolioFrontier[[#This Row],[P55 Return]])</f>
        <v>1.1351275130401288</v>
      </c>
      <c r="HM33" s="27">
        <f>MAX(HM32,PortfolioFrontier[[#This Row],[P55 Growth]])</f>
        <v>1.1781592920632975</v>
      </c>
      <c r="HN33" s="27">
        <f>PortfolioFrontier[[#This Row],[P55 Growth]]/PortfolioFrontier[[#This Row],[P55 HWM]]-1</f>
        <v>-3.652458484438692E-2</v>
      </c>
      <c r="HO33" s="28">
        <f>SUMPRODUCT(INDEX(PortfolioRef[[SPY]:[PE]],MATCH(HO$1,PortfolioRef[Reference '#]),0),AssetMonthlyReturns[[#This Row],[SPY]:[PE]])</f>
        <v>-2.5931845220951696E-2</v>
      </c>
      <c r="HP33" s="27">
        <f>IF(ISNUMBER(HP32),HP32*(1+PortfolioFrontier[[#This Row],[P56 Return]]),1+PortfolioFrontier[[#This Row],[P56 Return]])</f>
        <v>1.1321862832074756</v>
      </c>
      <c r="HQ33" s="27">
        <f>MAX(HQ32,PortfolioFrontier[[#This Row],[P56 Growth]])</f>
        <v>1.1723611471239099</v>
      </c>
      <c r="HR33" s="27">
        <f>PortfolioFrontier[[#This Row],[P56 Growth]]/PortfolioFrontier[[#This Row],[P56 HWM]]-1</f>
        <v>-3.4268334476106777E-2</v>
      </c>
      <c r="HS33" s="28">
        <f>SUMPRODUCT(INDEX(PortfolioRef[[SPY]:[PE]],MATCH(HS$1,PortfolioRef[Reference '#]),0),AssetMonthlyReturns[[#This Row],[SPY]:[PE]])</f>
        <v>-2.5907159582288147E-2</v>
      </c>
      <c r="HT33" s="27">
        <f>IF(ISNUMBER(HT32),HT32*(1+PortfolioFrontier[[#This Row],[P57 Return]]),1+PortfolioFrontier[[#This Row],[P57 Return]])</f>
        <v>1.129143889412803</v>
      </c>
      <c r="HU33" s="27">
        <f>MAX(HU32,PortfolioFrontier[[#This Row],[P57 Growth]])</f>
        <v>1.1664853857365276</v>
      </c>
      <c r="HV33" s="27">
        <f>PortfolioFrontier[[#This Row],[P57 Growth]]/PortfolioFrontier[[#This Row],[P57 HWM]]-1</f>
        <v>-3.2011970985943328E-2</v>
      </c>
      <c r="HW33" s="28">
        <f>SUMPRODUCT(INDEX(PortfolioRef[[SPY]:[PE]],MATCH(HW$1,PortfolioRef[Reference '#]),0),AssetMonthlyReturns[[#This Row],[SPY]:[PE]])</f>
        <v>-2.7798700095904891E-2</v>
      </c>
      <c r="HX33" s="27">
        <f>IF(ISNUMBER(HX32),HX32*(1+PortfolioFrontier[[#This Row],[P58 Return]]),1+PortfolioFrontier[[#This Row],[P58 Return]])</f>
        <v>1.1425273561391245</v>
      </c>
      <c r="HY33" s="27">
        <f>MAX(HY32,PortfolioFrontier[[#This Row],[P58 Growth]])</f>
        <v>1.1901011749788666</v>
      </c>
      <c r="HZ33" s="27">
        <f>PortfolioFrontier[[#This Row],[P58 Growth]]/PortfolioFrontier[[#This Row],[P58 HWM]]-1</f>
        <v>-3.9974600344871436E-2</v>
      </c>
      <c r="IA33" s="28">
        <f>SUMPRODUCT(INDEX(PortfolioRef[[SPY]:[PE]],MATCH(IA$1,PortfolioRef[Reference '#]),0),AssetMonthlyReturns[[#This Row],[SPY]:[PE]])</f>
        <v>-2.7774014457241338E-2</v>
      </c>
      <c r="IB33" s="27">
        <f>IF(ISNUMBER(IB32),IB32*(1+PortfolioFrontier[[#This Row],[P59 Return]]),1+PortfolioFrontier[[#This Row],[P59 Return]])</f>
        <v>1.1396097838117107</v>
      </c>
      <c r="IC33" s="27">
        <f>MAX(IC32,PortfolioFrontier[[#This Row],[P59 Growth]])</f>
        <v>1.1842840725904875</v>
      </c>
      <c r="ID33" s="27">
        <f>PortfolioFrontier[[#This Row],[P59 Growth]]/PortfolioFrontier[[#This Row],[P59 HWM]]-1</f>
        <v>-3.772261217788464E-2</v>
      </c>
      <c r="IE33" s="28">
        <f>SUMPRODUCT(INDEX(PortfolioRef[[SPY]:[PE]],MATCH(IE$1,PortfolioRef[Reference '#]),0),AssetMonthlyReturns[[#This Row],[SPY]:[PE]])</f>
        <v>-2.7749328818577789E-2</v>
      </c>
      <c r="IF33" s="27">
        <f>IF(ISNUMBER(IF32),IF32*(1+PortfolioFrontier[[#This Row],[P60 Return]]),1+PortfolioFrontier[[#This Row],[P60 Return]])</f>
        <v>1.1365900443753436</v>
      </c>
      <c r="IG33" s="27">
        <f>MAX(IG32,PortfolioFrontier[[#This Row],[P60 Growth]])</f>
        <v>1.1783880712895027</v>
      </c>
      <c r="IH33" s="27">
        <f>PortfolioFrontier[[#This Row],[P60 Growth]]/PortfolioFrontier[[#This Row],[P60 HWM]]-1</f>
        <v>-3.5470510889014539E-2</v>
      </c>
      <c r="II33" s="28">
        <f>SUMPRODUCT(INDEX(PortfolioRef[[SPY]:[PE]],MATCH(II$1,PortfolioRef[Reference '#]),0),AssetMonthlyReturns[[#This Row],[SPY]:[PE]])</f>
        <v>-2.3086480072826886E-2</v>
      </c>
      <c r="IJ33" s="27">
        <f>IF(ISNUMBER(IJ32),IJ32*(1+PortfolioFrontier[[#This Row],[P61 Return]]),1+PortfolioFrontier[[#This Row],[P61 Return]])</f>
        <v>1.1085993456589891</v>
      </c>
      <c r="IK33" s="27">
        <f>MAX(IK32,PortfolioFrontier[[#This Row],[P61 Growth]])</f>
        <v>1.1417381977629368</v>
      </c>
      <c r="IL33" s="27">
        <f>PortfolioFrontier[[#This Row],[P61 Growth]]/PortfolioFrontier[[#This Row],[P61 HWM]]-1</f>
        <v>-2.9024913214674153E-2</v>
      </c>
      <c r="IM33" s="28">
        <f>SUMPRODUCT(INDEX(PortfolioRef[[SPY]:[PE]],MATCH(IM$1,PortfolioRef[Reference '#]),0),AssetMonthlyReturns[[#This Row],[SPY]:[PE]])</f>
        <v>-2.1694338767446187E-2</v>
      </c>
      <c r="IN33" s="27">
        <f>IF(ISNUMBER(IN32),IN32*(1+PortfolioFrontier[[#This Row],[P62 Return]]),1+PortfolioFrontier[[#This Row],[P62 Return]])</f>
        <v>1.1052069569993344</v>
      </c>
      <c r="IO33" s="27">
        <f>MAX(IO32,PortfolioFrontier[[#This Row],[P62 Growth]])</f>
        <v>1.1366586791033009</v>
      </c>
      <c r="IP33" s="27">
        <f>PortfolioFrontier[[#This Row],[P62 Growth]]/PortfolioFrontier[[#This Row],[P62 HWM]]-1</f>
        <v>-2.7670331192806707E-2</v>
      </c>
      <c r="IQ33" s="28">
        <f>SUMPRODUCT(INDEX(PortfolioRef[[SPY]:[PE]],MATCH(IQ$1,PortfolioRef[Reference '#]),0),AssetMonthlyReturns[[#This Row],[SPY]:[PE]])</f>
        <v>-2.3536508003735832E-2</v>
      </c>
      <c r="IR33" s="27">
        <f>IF(ISNUMBER(IR32),IR32*(1+PortfolioFrontier[[#This Row],[P63 Return]]),1+PortfolioFrontier[[#This Row],[P63 Return]])</f>
        <v>1.1126241106629065</v>
      </c>
      <c r="IS33" s="27">
        <f>MAX(IS32,PortfolioFrontier[[#This Row],[P63 Growth]])</f>
        <v>1.1483803300933251</v>
      </c>
      <c r="IT33" s="27">
        <f>PortfolioFrontier[[#This Row],[P63 Growth]]/PortfolioFrontier[[#This Row],[P63 HWM]]-1</f>
        <v>-3.1136217238685093E-2</v>
      </c>
      <c r="IU33" s="28">
        <f>SUMPRODUCT(INDEX(PortfolioRef[[SPY]:[PE]],MATCH(IU$1,PortfolioRef[Reference '#]),0),AssetMonthlyReturns[[#This Row],[SPY]:[PE]])</f>
        <v>-2.3511822365072276E-2</v>
      </c>
      <c r="IV33" s="27">
        <f>IF(ISNUMBER(IV32),IV32*(1+PortfolioFrontier[[#This Row],[P64 Return]]),1+PortfolioFrontier[[#This Row],[P64 Return]])</f>
        <v>1.1095769051291777</v>
      </c>
      <c r="IW33" s="27">
        <f>MAX(IW32,PortfolioFrontier[[#This Row],[P64 Growth]])</f>
        <v>1.1425678035489761</v>
      </c>
      <c r="IX33" s="27">
        <f>PortfolioFrontier[[#This Row],[P64 Growth]]/PortfolioFrontier[[#This Row],[P64 HWM]]-1</f>
        <v>-2.8874346290280628E-2</v>
      </c>
      <c r="IY33" s="28">
        <f>SUMPRODUCT(INDEX(PortfolioRef[[SPY]:[PE]],MATCH(IY$1,PortfolioRef[Reference '#]),0),AssetMonthlyReturns[[#This Row],[SPY]:[PE]])</f>
        <v>-2.0302197462065484E-2</v>
      </c>
      <c r="IZ33" s="27">
        <f>IF(ISNUMBER(IZ32),IZ32*(1+PortfolioFrontier[[#This Row],[P65 Return]]),1+PortfolioFrontier[[#This Row],[P65 Return]])</f>
        <v>1.1017546497871247</v>
      </c>
      <c r="JA33" s="27">
        <f>MAX(JA32,PortfolioFrontier[[#This Row],[P65 Growth]])</f>
        <v>1.1320832550752244</v>
      </c>
      <c r="JB33" s="27">
        <f>PortfolioFrontier[[#This Row],[P65 Growth]]/PortfolioFrontier[[#This Row],[P65 HWM]]-1</f>
        <v>-2.679008381418424E-2</v>
      </c>
      <c r="JC33" s="28">
        <f>SUMPRODUCT(INDEX(PortfolioRef[[SPY]:[PE]],MATCH(JC$1,PortfolioRef[Reference '#]),0),AssetMonthlyReturns[[#This Row],[SPY]:[PE]])</f>
        <v>-2.2144366698355129E-2</v>
      </c>
      <c r="JD33" s="27">
        <f>IF(ISNUMBER(JD32),JD32*(1+PortfolioFrontier[[#This Row],[P66 Return]]),1+PortfolioFrontier[[#This Row],[P66 Return]])</f>
        <v>1.109216386762589</v>
      </c>
      <c r="JE33" s="27">
        <f>MAX(JE32,PortfolioFrontier[[#This Row],[P66 Growth]])</f>
        <v>1.143267458114388</v>
      </c>
      <c r="JF33" s="27">
        <f>PortfolioFrontier[[#This Row],[P66 Growth]]/PortfolioFrontier[[#This Row],[P66 HWM]]-1</f>
        <v>-2.9783994208984144E-2</v>
      </c>
      <c r="JG33" s="28">
        <f>SUMPRODUCT(INDEX(PortfolioRef[[SPY]:[PE]],MATCH(JG$1,PortfolioRef[Reference '#]),0),AssetMonthlyReturns[[#This Row],[SPY]:[PE]])</f>
        <v>-2.2119681059691573E-2</v>
      </c>
      <c r="JH33" s="27">
        <f>IF(ISNUMBER(JH32),JH32*(1+PortfolioFrontier[[#This Row],[P67 Return]]),1+PortfolioFrontier[[#This Row],[P67 Return]])</f>
        <v>1.1062036216220126</v>
      </c>
      <c r="JI33" s="27">
        <f>MAX(JI32,PortfolioFrontier[[#This Row],[P67 Growth]])</f>
        <v>1.1375065907034629</v>
      </c>
      <c r="JJ33" s="27">
        <f>PortfolioFrontier[[#This Row],[P67 Growth]]/PortfolioFrontier[[#This Row],[P67 HWM]]-1</f>
        <v>-2.751893425258467E-2</v>
      </c>
      <c r="JK33" s="28">
        <f>SUMPRODUCT(INDEX(PortfolioRef[[SPY]:[PE]],MATCH(JK$1,PortfolioRef[Reference '#]),0),AssetMonthlyReturns[[#This Row],[SPY]:[PE]])</f>
        <v>-2.3986535934644771E-2</v>
      </c>
      <c r="JL33" s="27">
        <f>IF(ISNUMBER(JL32),JL32*(1+PortfolioFrontier[[#This Row],[P68 Return]]),1+PortfolioFrontier[[#This Row],[P68 Return]])</f>
        <v>1.116600482012311</v>
      </c>
      <c r="JM33" s="27">
        <f>MAX(JM32,PortfolioFrontier[[#This Row],[P68 Growth]])</f>
        <v>1.1549995836864886</v>
      </c>
      <c r="JN33" s="27">
        <f>PortfolioFrontier[[#This Row],[P68 Growth]]/PortfolioFrontier[[#This Row],[P68 HWM]]-1</f>
        <v>-3.3245987458815018E-2</v>
      </c>
      <c r="JO33" s="28">
        <f>SUMPRODUCT(INDEX(PortfolioRef[[SPY]:[PE]],MATCH(JO$1,PortfolioRef[Reference '#]),0),AssetMonthlyReturns[[#This Row],[SPY]:[PE]])</f>
        <v>-2.3961850295981219E-2</v>
      </c>
      <c r="JP33" s="27">
        <f>IF(ISNUMBER(JP32),JP32*(1+PortfolioFrontier[[#This Row],[P69 Return]]),1+PortfolioFrontier[[#This Row],[P69 Return]])</f>
        <v>1.1136093490989967</v>
      </c>
      <c r="JQ33" s="27">
        <f>MAX(JQ32,PortfolioFrontier[[#This Row],[P69 Growth]])</f>
        <v>1.1492180896167041</v>
      </c>
      <c r="JR33" s="27">
        <f>PortfolioFrontier[[#This Row],[P69 Growth]]/PortfolioFrontier[[#This Row],[P69 HWM]]-1</f>
        <v>-3.0985189703708893E-2</v>
      </c>
      <c r="JS33" s="28">
        <f>SUMPRODUCT(INDEX(PortfolioRef[[SPY]:[PE]],MATCH(JS$1,PortfolioRef[Reference '#]),0),AssetMonthlyReturns[[#This Row],[SPY]:[PE]])</f>
        <v>-2.3937164657317666E-2</v>
      </c>
      <c r="JT33" s="27">
        <f>IF(ISNUMBER(JT32),JT32*(1+PortfolioFrontier[[#This Row],[P70 Return]]),1+PortfolioFrontier[[#This Row],[P70 Return]])</f>
        <v>1.1105193828318727</v>
      </c>
      <c r="JU33" s="27">
        <f>MAX(JU32,PortfolioFrontier[[#This Row],[P70 Growth]])</f>
        <v>1.1433616208283146</v>
      </c>
      <c r="JV33" s="27">
        <f>PortfolioFrontier[[#This Row],[P70 Growth]]/PortfolioFrontier[[#This Row],[P70 HWM]]-1</f>
        <v>-2.8724278826719019E-2</v>
      </c>
      <c r="JW33" s="28">
        <f>SUMPRODUCT(INDEX(PortfolioRef[[SPY]:[PE]],MATCH(JW$1,PortfolioRef[Reference '#]),0),AssetMonthlyReturns[[#This Row],[SPY]:[PE]])</f>
        <v>-2.075222539297443E-2</v>
      </c>
      <c r="JX33" s="27">
        <f>IF(ISNUMBER(JX32),JX32*(1+PortfolioFrontier[[#This Row],[P71 Return]]),1+PortfolioFrontier[[#This Row],[P71 Return]])</f>
        <v>1.1057486384255029</v>
      </c>
      <c r="JY33" s="27">
        <f>MAX(JY32,PortfolioFrontier[[#This Row],[P71 Growth]])</f>
        <v>1.1381071342920368</v>
      </c>
      <c r="JZ33" s="27">
        <f>PortfolioFrontier[[#This Row],[P71 Growth]]/PortfolioFrontier[[#This Row],[P71 HWM]]-1</f>
        <v>-2.8431853989442479E-2</v>
      </c>
      <c r="KA33" s="28">
        <f>SUMPRODUCT(INDEX(PortfolioRef[[SPY]:[PE]],MATCH(KA$1,PortfolioRef[Reference '#]),0),AssetMonthlyReturns[[#This Row],[SPY]:[PE]])</f>
        <v>-2.0727539754310874E-2</v>
      </c>
      <c r="KB33" s="27">
        <f>IF(ISNUMBER(KB32),KB32*(1+PortfolioFrontier[[#This Row],[P72 Return]]),1+PortfolioFrontier[[#This Row],[P72 Return]])</f>
        <v>1.1027702371424595</v>
      </c>
      <c r="KC33" s="27">
        <f>MAX(KC32,PortfolioFrontier[[#This Row],[P72 Growth]])</f>
        <v>1.1323978471464129</v>
      </c>
      <c r="KD33" s="27">
        <f>PortfolioFrontier[[#This Row],[P72 Growth]]/PortfolioFrontier[[#This Row],[P72 HWM]]-1</f>
        <v>-2.6163605025047998E-2</v>
      </c>
      <c r="KE33" s="28">
        <f>SUMPRODUCT(INDEX(PortfolioRef[[SPY]:[PE]],MATCH(KE$1,PortfolioRef[Reference '#]),0),AssetMonthlyReturns[[#This Row],[SPY]:[PE]])</f>
        <v>-2.2594394629264072E-2</v>
      </c>
      <c r="KF33" s="27">
        <f>IF(ISNUMBER(KF32),KF32*(1+PortfolioFrontier[[#This Row],[P73 Return]]),1+PortfolioFrontier[[#This Row],[P73 Return]])</f>
        <v>1.1131775394066969</v>
      </c>
      <c r="KG33" s="27">
        <f>MAX(KG32,PortfolioFrontier[[#This Row],[P73 Growth]])</f>
        <v>1.1498534055463847</v>
      </c>
      <c r="KH33" s="27">
        <f>PortfolioFrontier[[#This Row],[P73 Growth]]/PortfolioFrontier[[#This Row],[P73 HWM]]-1</f>
        <v>-3.1896123421281009E-2</v>
      </c>
      <c r="KI33" s="28">
        <f>SUMPRODUCT(INDEX(PortfolioRef[[SPY]:[PE]],MATCH(KI$1,PortfolioRef[Reference '#]),0),AssetMonthlyReturns[[#This Row],[SPY]:[PE]])</f>
        <v>-2.2569708990600519E-2</v>
      </c>
      <c r="KJ33" s="27">
        <f>IF(ISNUMBER(KJ32),KJ32*(1+PortfolioFrontier[[#This Row],[P74 Return]]),1+PortfolioFrontier[[#This Row],[P74 Return]])</f>
        <v>1.1102207846529955</v>
      </c>
      <c r="KK33" s="27">
        <f>MAX(KK32,PortfolioFrontier[[#This Row],[P74 Growth]])</f>
        <v>1.1441236118738931</v>
      </c>
      <c r="KL33" s="27">
        <f>PortfolioFrontier[[#This Row],[P74 Growth]]/PortfolioFrontier[[#This Row],[P74 HWM]]-1</f>
        <v>-2.9632136658179986E-2</v>
      </c>
      <c r="KM33" s="28">
        <f>SUMPRODUCT(INDEX(PortfolioRef[[SPY]:[PE]],MATCH(KM$1,PortfolioRef[Reference '#]),0),AssetMonthlyReturns[[#This Row],[SPY]:[PE]])</f>
        <v>-2.2545023351936967E-2</v>
      </c>
      <c r="KN33" s="27">
        <f>IF(ISNUMBER(KN32),KN32*(1+PortfolioFrontier[[#This Row],[P75 Return]]),1+PortfolioFrontier[[#This Row],[P75 Return]])</f>
        <v>1.1071653395275654</v>
      </c>
      <c r="KO33" s="27">
        <f>MAX(KO32,PortfolioFrontier[[#This Row],[P75 Growth]])</f>
        <v>1.1383188928466144</v>
      </c>
      <c r="KP33" s="27">
        <f>PortfolioFrontier[[#This Row],[P75 Growth]]/PortfolioFrontier[[#This Row],[P75 HWM]]-1</f>
        <v>-2.7368036773195215E-2</v>
      </c>
      <c r="KQ33" s="28">
        <f>SUMPRODUCT(INDEX(PortfolioRef[[SPY]:[PE]],MATCH(KQ$1,PortfolioRef[Reference '#]),0),AssetMonthlyReturns[[#This Row],[SPY]:[PE]])</f>
        <v>-2.4436563865553713E-2</v>
      </c>
      <c r="KR33" s="27">
        <f>IF(ISNUMBER(KR32),KR32*(1+PortfolioFrontier[[#This Row],[P76 Return]]),1+PortfolioFrontier[[#This Row],[P76 Return]])</f>
        <v>1.1205277846452473</v>
      </c>
      <c r="KS33" s="27">
        <f>MAX(KS32,PortfolioFrontier[[#This Row],[P76 Growth]])</f>
        <v>1.1615950770514989</v>
      </c>
      <c r="KT33" s="27">
        <f>PortfolioFrontier[[#This Row],[P76 Growth]]/PortfolioFrontier[[#This Row],[P76 HWM]]-1</f>
        <v>-3.5354223875064594E-2</v>
      </c>
      <c r="KU33" s="28">
        <f>SUMPRODUCT(INDEX(PortfolioRef[[SPY]:[PE]],MATCH(KU$1,PortfolioRef[Reference '#]),0),AssetMonthlyReturns[[#This Row],[SPY]:[PE]])</f>
        <v>-2.4411878226890161E-2</v>
      </c>
      <c r="KV33" s="27">
        <f>IF(ISNUMBER(KV32),KV32*(1+PortfolioFrontier[[#This Row],[P77 Return]]),1+PortfolioFrontier[[#This Row],[P77 Return]])</f>
        <v>1.117593428375705</v>
      </c>
      <c r="KW33" s="27">
        <f>MAX(KW32,PortfolioFrontier[[#This Row],[P77 Growth]])</f>
        <v>1.1558455584148977</v>
      </c>
      <c r="KX33" s="27">
        <f>PortfolioFrontier[[#This Row],[P77 Growth]]/PortfolioFrontier[[#This Row],[P77 HWM]]-1</f>
        <v>-3.3094499313256809E-2</v>
      </c>
      <c r="KY33" s="28">
        <f>SUMPRODUCT(INDEX(PortfolioRef[[SPY]:[PE]],MATCH(KY$1,PortfolioRef[Reference '#]),0),AssetMonthlyReturns[[#This Row],[SPY]:[PE]])</f>
        <v>-2.4387192588226612E-2</v>
      </c>
      <c r="KZ33" s="27">
        <f>IF(ISNUMBER(KZ32),KZ32*(1+PortfolioFrontier[[#This Row],[P78 Return]]),1+PortfolioFrontier[[#This Row],[P78 Return]])</f>
        <v>1.1145593905339632</v>
      </c>
      <c r="LA33" s="27">
        <f>MAX(LA32,PortfolioFrontier[[#This Row],[P78 Growth]])</f>
        <v>1.1500198639047448</v>
      </c>
      <c r="LB33" s="27">
        <f>PortfolioFrontier[[#This Row],[P78 Growth]]/PortfolioFrontier[[#This Row],[P78 HWM]]-1</f>
        <v>-3.0834661629565274E-2</v>
      </c>
      <c r="LC33" s="28">
        <f>SUMPRODUCT(INDEX(PortfolioRef[[SPY]:[PE]],MATCH(LC$1,PortfolioRef[Reference '#]),0),AssetMonthlyReturns[[#This Row],[SPY]:[PE]])</f>
        <v>-2.1202253323883372E-2</v>
      </c>
      <c r="LD33" s="27">
        <f>IF(ISNUMBER(LD32),LD32*(1+PortfolioFrontier[[#This Row],[P79 Return]]),1+PortfolioFrontier[[#This Row],[P79 Return]])</f>
        <v>1.1096944692720419</v>
      </c>
      <c r="LE33" s="27">
        <f>MAX(LE32,PortfolioFrontier[[#This Row],[P79 Growth]])</f>
        <v>1.1446596341524125</v>
      </c>
      <c r="LF33" s="27">
        <f>PortfolioFrontier[[#This Row],[P79 Growth]]/PortfolioFrontier[[#This Row],[P79 HWM]]-1</f>
        <v>-3.054634219390584E-2</v>
      </c>
      <c r="LG33" s="28">
        <f>SUMPRODUCT(INDEX(PortfolioRef[[SPY]:[PE]],MATCH(LG$1,PortfolioRef[Reference '#]),0),AssetMonthlyReturns[[#This Row],[SPY]:[PE]])</f>
        <v>-2.117756768521982E-2</v>
      </c>
      <c r="LH33" s="27">
        <f>IF(ISNUMBER(LH32),LH32*(1+PortfolioFrontier[[#This Row],[P80 Return]]),1+PortfolioFrontier[[#This Row],[P80 Return]])</f>
        <v>1.1067720125977629</v>
      </c>
      <c r="LI33" s="27">
        <f>MAX(LI32,PortfolioFrontier[[#This Row],[P80 Growth]])</f>
        <v>1.1389814588243516</v>
      </c>
      <c r="LJ33" s="27">
        <f>PortfolioFrontier[[#This Row],[P80 Growth]]/PortfolioFrontier[[#This Row],[P80 HWM]]-1</f>
        <v>-2.827916642280992E-2</v>
      </c>
      <c r="LK33" s="28">
        <f>SUMPRODUCT(INDEX(PortfolioRef[[SPY]:[PE]],MATCH(LK$1,PortfolioRef[Reference '#]),0),AssetMonthlyReturns[[#This Row],[SPY]:[PE]])</f>
        <v>-2.1152882046556267E-2</v>
      </c>
      <c r="LL33" s="27">
        <f>IF(ISNUMBER(LL32),LL32*(1+PortfolioFrontier[[#This Row],[P81 Return]]),1+PortfolioFrontier[[#This Row],[P81 Return]])</f>
        <v>1.1037510150716254</v>
      </c>
      <c r="LM33" s="27">
        <f>MAX(LM32,PortfolioFrontier[[#This Row],[P81 Growth]])</f>
        <v>1.1332284137843067</v>
      </c>
      <c r="LN33" s="27">
        <f>PortfolioFrontier[[#This Row],[P81 Growth]]/PortfolioFrontier[[#This Row],[P81 HWM]]-1</f>
        <v>-2.6011877529830363E-2</v>
      </c>
      <c r="LO33" s="28">
        <f>SUMPRODUCT(INDEX(PortfolioRef[[SPY]:[PE]],MATCH(LO$1,PortfolioRef[Reference '#]),0),AssetMonthlyReturns[[#This Row],[SPY]:[PE]])</f>
        <v>-2.3044422560173014E-2</v>
      </c>
      <c r="LP33" s="27">
        <f>IF(ISNUMBER(LP32),LP32*(1+PortfolioFrontier[[#This Row],[P82 Return]]),1+PortfolioFrontier[[#This Row],[P82 Return]])</f>
        <v>1.1170897418599197</v>
      </c>
      <c r="LQ33" s="27">
        <f>MAX(LQ32,PortfolioFrontier[[#This Row],[P82 Growth]])</f>
        <v>1.1564156434986412</v>
      </c>
      <c r="LR33" s="27">
        <f>PortfolioFrontier[[#This Row],[P82 Growth]]/PortfolioFrontier[[#This Row],[P82 HWM]]-1</f>
        <v>-3.400671882969708E-2</v>
      </c>
      <c r="LS33" s="28">
        <f>SUMPRODUCT(INDEX(PortfolioRef[[SPY]:[PE]],MATCH(LS$1,PortfolioRef[Reference '#]),0),AssetMonthlyReturns[[#This Row],[SPY]:[PE]])</f>
        <v>-2.3019736921509461E-2</v>
      </c>
      <c r="LT33" s="27">
        <f>IF(ISNUMBER(LT32),LT32*(1+PortfolioFrontier[[#This Row],[P83 Return]]),1+PortfolioFrontier[[#This Row],[P83 Return]])</f>
        <v>1.1141896986408699</v>
      </c>
      <c r="LU33" s="27">
        <f>MAX(LU32,PortfolioFrontier[[#This Row],[P83 Growth]])</f>
        <v>1.1507178623731242</v>
      </c>
      <c r="LV33" s="27">
        <f>PortfolioFrontier[[#This Row],[P83 Growth]]/PortfolioFrontier[[#This Row],[P83 HWM]]-1</f>
        <v>-3.1743805259894287E-2</v>
      </c>
      <c r="LW33" s="28">
        <f>SUMPRODUCT(INDEX(PortfolioRef[[SPY]:[PE]],MATCH(LW$1,PortfolioRef[Reference '#]),0),AssetMonthlyReturns[[#This Row],[SPY]:[PE]])</f>
        <v>-2.2995051282845912E-2</v>
      </c>
      <c r="LX33" s="27">
        <f>IF(ISNUMBER(LX32),LX32*(1+PortfolioFrontier[[#This Row],[P84 Return]]),1+PortfolioFrontier[[#This Row],[P84 Return]])</f>
        <v>1.1111901211953263</v>
      </c>
      <c r="LY33" s="27">
        <f>MAX(LY32,PortfolioFrontier[[#This Row],[P84 Growth]])</f>
        <v>1.1449439605698946</v>
      </c>
      <c r="LZ33" s="27">
        <f>PortfolioFrontier[[#This Row],[P84 Growth]]/PortfolioFrontier[[#This Row],[P84 HWM]]-1</f>
        <v>-2.9480778568208077E-2</v>
      </c>
      <c r="MA33" s="28">
        <f>SUMPRODUCT(INDEX(PortfolioRef[[SPY]:[PE]],MATCH(MA$1,PortfolioRef[Reference '#]),0),AssetMonthlyReturns[[#This Row],[SPY]:[PE]])</f>
        <v>-2.4886591796462656E-2</v>
      </c>
      <c r="MB33" s="27">
        <f>IF(ISNUMBER(MB32),MB32*(1+PortfolioFrontier[[#This Row],[P85 Return]]),1+PortfolioFrontier[[#This Row],[P85 Return]])</f>
        <v>1.1244053472047062</v>
      </c>
      <c r="MC33" s="27">
        <f>MAX(MC32,PortfolioFrontier[[#This Row],[P85 Growth]])</f>
        <v>1.1681659250480558</v>
      </c>
      <c r="MD33" s="27">
        <f>PortfolioFrontier[[#This Row],[P85 Growth]]/PortfolioFrontier[[#This Row],[P85 HWM]]-1</f>
        <v>-3.7460926487433266E-2</v>
      </c>
      <c r="ME33" s="28">
        <f>SUMPRODUCT(INDEX(PortfolioRef[[SPY]:[PE]],MATCH(ME$1,PortfolioRef[Reference '#]),0),AssetMonthlyReturns[[#This Row],[SPY]:[PE]])</f>
        <v>-2.4861906157799103E-2</v>
      </c>
      <c r="MF33" s="27">
        <f>IF(ISNUMBER(MF32),MF32*(1+PortfolioFrontier[[#This Row],[P86 Return]]),1+PortfolioFrontier[[#This Row],[P86 Return]])</f>
        <v>1.1215284675192885</v>
      </c>
      <c r="MG33" s="27">
        <f>MAX(MG32,PortfolioFrontier[[#This Row],[P86 Growth]])</f>
        <v>1.1624493285963451</v>
      </c>
      <c r="MH33" s="27">
        <f>PortfolioFrontier[[#This Row],[P86 Growth]]/PortfolioFrontier[[#This Row],[P86 HWM]]-1</f>
        <v>-3.5202275118923598E-2</v>
      </c>
      <c r="MI33" s="28">
        <f>SUMPRODUCT(INDEX(PortfolioRef[[SPY]:[PE]],MATCH(MI$1,PortfolioRef[Reference '#]),0),AssetMonthlyReturns[[#This Row],[SPY]:[PE]])</f>
        <v>-2.4837220519135554E-2</v>
      </c>
      <c r="MJ33" s="27">
        <f>IF(ISNUMBER(MJ32),MJ32*(1+PortfolioFrontier[[#This Row],[P87 Return]]),1+PortfolioFrontier[[#This Row],[P87 Return]])</f>
        <v>1.1185510637788925</v>
      </c>
      <c r="MK33" s="27">
        <f>MAX(MK32,PortfolioFrontier[[#This Row],[P87 Growth]])</f>
        <v>1.1566553516495048</v>
      </c>
      <c r="ML33" s="27">
        <f>PortfolioFrontier[[#This Row],[P87 Growth]]/PortfolioFrontier[[#This Row],[P87 HWM]]-1</f>
        <v>-3.2943510628530737E-2</v>
      </c>
      <c r="MM33" s="28">
        <f>SUMPRODUCT(INDEX(PortfolioRef[[SPY]:[PE]],MATCH(MM$1,PortfolioRef[Reference '#]),0),AssetMonthlyReturns[[#This Row],[SPY]:[PE]])</f>
        <v>-2.1652281254792311E-2</v>
      </c>
      <c r="MN33" s="27">
        <f>IF(ISNUMBER(MN32),MN32*(1+PortfolioFrontier[[#This Row],[P88 Return]]),1+PortfolioFrontier[[#This Row],[P88 Return]])</f>
        <v>1.1135914712655401</v>
      </c>
      <c r="MO33" s="27">
        <f>MAX(MO32,PortfolioFrontier[[#This Row],[P88 Growth]])</f>
        <v>1.1511884771778493</v>
      </c>
      <c r="MP33" s="27">
        <f>PortfolioFrontier[[#This Row],[P88 Growth]]/PortfolioFrontier[[#This Row],[P88 HWM]]-1</f>
        <v>-3.265929659448874E-2</v>
      </c>
      <c r="MQ33" s="28">
        <f>SUMPRODUCT(INDEX(PortfolioRef[[SPY]:[PE]],MATCH(MQ$1,PortfolioRef[Reference '#]),0),AssetMonthlyReturns[[#This Row],[SPY]:[PE]])</f>
        <v>-2.1627595616128759E-2</v>
      </c>
      <c r="MR33" s="27">
        <f>IF(ISNUMBER(MR32),MR32*(1+PortfolioFrontier[[#This Row],[P89 Return]]),1+PortfolioFrontier[[#This Row],[P89 Return]])</f>
        <v>1.1107256574548412</v>
      </c>
      <c r="MS33" s="27">
        <f>MAX(MS32,PortfolioFrontier[[#This Row],[P89 Growth]])</f>
        <v>1.145542348301092</v>
      </c>
      <c r="MT33" s="27">
        <f>PortfolioFrontier[[#This Row],[P89 Growth]]/PortfolioFrontier[[#This Row],[P89 HWM]]-1</f>
        <v>-3.0393194016690939E-2</v>
      </c>
      <c r="MU33" s="28">
        <f>SUMPRODUCT(INDEX(PortfolioRef[[SPY]:[PE]],MATCH(MU$1,PortfolioRef[Reference '#]),0),AssetMonthlyReturns[[#This Row],[SPY]:[PE]])</f>
        <v>-2.1602909977465209E-2</v>
      </c>
      <c r="MV33" s="27">
        <f>IF(ISNUMBER(MV32),MV32*(1+PortfolioFrontier[[#This Row],[P90 Return]]),1+PortfolioFrontier[[#This Row],[P90 Return]])</f>
        <v>1.1077604633200147</v>
      </c>
      <c r="MW33" s="27">
        <f>MAX(MW32,PortfolioFrontier[[#This Row],[P90 Growth]])</f>
        <v>1.139820160252734</v>
      </c>
      <c r="MX33" s="27">
        <f>PortfolioFrontier[[#This Row],[P90 Growth]]/PortfolioFrontier[[#This Row],[P90 HWM]]-1</f>
        <v>-2.8126978317009832E-2</v>
      </c>
      <c r="MY33" s="28">
        <f>SUMPRODUCT(INDEX(PortfolioRef[[SPY]:[PE]],MATCH(MY$1,PortfolioRef[Reference '#]),0),AssetMonthlyReturns[[#This Row],[SPY]:[PE]])</f>
        <v>-2.3494450491081953E-2</v>
      </c>
      <c r="MZ33" s="27">
        <f>IF(ISNUMBER(MZ32),MZ32*(1+PortfolioFrontier[[#This Row],[P91 Return]]),1+PortfolioFrontier[[#This Row],[P91 Return]])</f>
        <v>1.1209523247479345</v>
      </c>
      <c r="NA33" s="27">
        <f>MAX(NA32,PortfolioFrontier[[#This Row],[P91 Growth]])</f>
        <v>1.1629532904407611</v>
      </c>
      <c r="NB33" s="27">
        <f>PortfolioFrontier[[#This Row],[P91 Growth]]/PortfolioFrontier[[#This Row],[P91 HWM]]-1</f>
        <v>-3.6115780434232359E-2</v>
      </c>
      <c r="NC33" s="28">
        <f>SUMPRODUCT(INDEX(PortfolioRef[[SPY]:[PE]],MATCH(NC$1,PortfolioRef[Reference '#]),0),AssetMonthlyReturns[[#This Row],[SPY]:[PE]])</f>
        <v>-2.34697648524184E-2</v>
      </c>
      <c r="ND33" s="27">
        <f>IF(ISNUMBER(ND32),ND32*(1+PortfolioFrontier[[#This Row],[P92 Return]]),1+PortfolioFrontier[[#This Row],[P92 Return]])</f>
        <v>1.1181096901256342</v>
      </c>
      <c r="NE33" s="27">
        <f>MAX(NE32,PortfolioFrontier[[#This Row],[P92 Growth]])</f>
        <v>1.1572884644299457</v>
      </c>
      <c r="NF33" s="27">
        <f>PortfolioFrontier[[#This Row],[P92 Growth]]/PortfolioFrontier[[#This Row],[P92 HWM]]-1</f>
        <v>-3.3853940057728016E-2</v>
      </c>
      <c r="NG33" s="28">
        <f>SUMPRODUCT(INDEX(PortfolioRef[[SPY]:[PE]],MATCH(NG$1,PortfolioRef[Reference '#]),0),AssetMonthlyReturns[[#This Row],[SPY]:[PE]])</f>
        <v>-2.3445079213754851E-2</v>
      </c>
      <c r="NH33" s="27">
        <f>IF(ISNUMBER(NH32),NH32*(1+PortfolioFrontier[[#This Row],[P93 Return]]),1+PortfolioFrontier[[#This Row],[P93 Return]])</f>
        <v>1.115166683168932</v>
      </c>
      <c r="NI33" s="27">
        <f>MAX(NI32,PortfolioFrontier[[#This Row],[P93 Growth]])</f>
        <v>1.151546319001278</v>
      </c>
      <c r="NJ33" s="27">
        <f>PortfolioFrontier[[#This Row],[P93 Growth]]/PortfolioFrontier[[#This Row],[P93 HWM]]-1</f>
        <v>-3.1591986559340146E-2</v>
      </c>
      <c r="NK33" s="28">
        <f>SUMPRODUCT(INDEX(PortfolioRef[[SPY]:[PE]],MATCH(NK$1,PortfolioRef[Reference '#]),0),AssetMonthlyReturns[[#This Row],[SPY]:[PE]])</f>
        <v>-2.5336619727371595E-2</v>
      </c>
      <c r="NL33" s="27">
        <f>IF(ISNUMBER(NL32),NL32*(1+PortfolioFrontier[[#This Row],[P94 Return]]),1+PortfolioFrontier[[#This Row],[P94 Return]])</f>
        <v>1.1282325021843829</v>
      </c>
      <c r="NM33" s="27">
        <f>MAX(NM32,PortfolioFrontier[[#This Row],[P94 Growth]])</f>
        <v>1.1747112390123344</v>
      </c>
      <c r="NN33" s="27">
        <f>PortfolioFrontier[[#This Row],[P94 Growth]]/PortfolioFrontier[[#This Row],[P94 HWM]]-1</f>
        <v>-3.9566095295921144E-2</v>
      </c>
      <c r="NO33" s="28">
        <f>SUMPRODUCT(INDEX(PortfolioRef[[SPY]:[PE]],MATCH(NO$1,PortfolioRef[Reference '#]),0),AssetMonthlyReturns[[#This Row],[SPY]:[PE]])</f>
        <v>-2.5311934088708042E-2</v>
      </c>
      <c r="NP33" s="27">
        <f>IF(ISNUMBER(NP32),NP32*(1+PortfolioFrontier[[#This Row],[P95 Return]]),1+PortfolioFrontier[[#This Row],[P95 Return]])</f>
        <v>1.1254137947861027</v>
      </c>
      <c r="NQ33" s="27">
        <f>MAX(NQ32,PortfolioFrontier[[#This Row],[P95 Growth]])</f>
        <v>1.1690285151584914</v>
      </c>
      <c r="NR33" s="27">
        <f>PortfolioFrontier[[#This Row],[P95 Growth]]/PortfolioFrontier[[#This Row],[P95 HWM]]-1</f>
        <v>-3.7308517120709928E-2</v>
      </c>
      <c r="NS33" s="28">
        <f>SUMPRODUCT(INDEX(PortfolioRef[[SPY]:[PE]],MATCH(NS$1,PortfolioRef[Reference '#]),0),AssetMonthlyReturns[[#This Row],[SPY]:[PE]])</f>
        <v>-2.5287248450044493E-2</v>
      </c>
      <c r="NT33" s="27">
        <f>IF(ISNUMBER(NT32),NT32*(1+PortfolioFrontier[[#This Row],[P96 Return]]),1+PortfolioFrontier[[#This Row],[P96 Return]])</f>
        <v>1.122493726765613</v>
      </c>
      <c r="NU33" s="27">
        <f>MAX(NU32,PortfolioFrontier[[#This Row],[P96 Growth]])</f>
        <v>1.1632672028800872</v>
      </c>
      <c r="NV33" s="27">
        <f>PortfolioFrontier[[#This Row],[P96 Growth]]/PortfolioFrontier[[#This Row],[P96 HWM]]-1</f>
        <v>-3.5050825823615406E-2</v>
      </c>
      <c r="NW33" s="28">
        <f>SUMPRODUCT(INDEX(PortfolioRef[[SPY]:[PE]],MATCH(NW$1,PortfolioRef[Reference '#]),0),AssetMonthlyReturns[[#This Row],[SPY]:[PE]])</f>
        <v>-2.0174371773384648E-2</v>
      </c>
      <c r="NX33" s="27">
        <f>IF(ISNUMBER(NX32),NX32*(1+PortfolioFrontier[[#This Row],[P97 Return]]),1+PortfolioFrontier[[#This Row],[P97 Return]])</f>
        <v>1.0908772954002806</v>
      </c>
      <c r="NY33" s="27">
        <f>MAX(NY32,PortfolioFrontier[[#This Row],[P97 Growth]])</f>
        <v>1.1205658116171582</v>
      </c>
      <c r="NZ33" s="27">
        <f>PortfolioFrontier[[#This Row],[P97 Growth]]/PortfolioFrontier[[#This Row],[P97 HWM]]-1</f>
        <v>-2.6494219178463285E-2</v>
      </c>
      <c r="OA33" s="28">
        <f>SUMPRODUCT(INDEX(PortfolioRef[[SPY]:[PE]],MATCH(OA$1,PortfolioRef[Reference '#]),0),AssetMonthlyReturns[[#This Row],[SPY]:[PE]])</f>
        <v>-1.8782230468003945E-2</v>
      </c>
      <c r="OB33" s="27">
        <f>IF(ISNUMBER(OB32),OB32*(1+PortfolioFrontier[[#This Row],[P98 Return]]),1+PortfolioFrontier[[#This Row],[P98 Return]])</f>
        <v>1.0875248702977853</v>
      </c>
      <c r="OC33" s="27">
        <f>MAX(OC32,PortfolioFrontier[[#This Row],[P98 Growth]])</f>
        <v>1.1155705830878779</v>
      </c>
      <c r="OD33" s="27">
        <f>PortfolioFrontier[[#This Row],[P98 Growth]]/PortfolioFrontier[[#This Row],[P98 HWM]]-1</f>
        <v>-2.5140240532752878E-2</v>
      </c>
      <c r="OE33" s="28">
        <f>SUMPRODUCT(INDEX(PortfolioRef[[SPY]:[PE]],MATCH(OE$1,PortfolioRef[Reference '#]),0),AssetMonthlyReturns[[#This Row],[SPY]:[PE]])</f>
        <v>-2.062439970429359E-2</v>
      </c>
      <c r="OF33" s="27">
        <f>IF(ISNUMBER(OF32),OF32*(1+PortfolioFrontier[[#This Row],[P99 Return]]),1+PortfolioFrontier[[#This Row],[P99 Return]])</f>
        <v>1.0948560070550202</v>
      </c>
      <c r="OG33" s="27">
        <f>MAX(OG32,PortfolioFrontier[[#This Row],[P99 Growth]])</f>
        <v>1.1271027767458159</v>
      </c>
      <c r="OH33" s="27">
        <f>PortfolioFrontier[[#This Row],[P99 Growth]]/PortfolioFrontier[[#This Row],[P99 HWM]]-1</f>
        <v>-2.8610318735882267E-2</v>
      </c>
      <c r="OI33" s="28">
        <f>SUMPRODUCT(INDEX(PortfolioRef[[SPY]:[PE]],MATCH(OI$1,PortfolioRef[Reference '#]),0),AssetMonthlyReturns[[#This Row],[SPY]:[PE]])</f>
        <v>-2.0599714065630034E-2</v>
      </c>
      <c r="OJ33" s="27">
        <f>IF(ISNUMBER(OJ32),OJ32*(1+PortfolioFrontier[[#This Row],[P100 Return]]),1+PortfolioFrontier[[#This Row],[P100 Return]])</f>
        <v>1.0918520444603199</v>
      </c>
      <c r="OK33" s="27">
        <f>MAX(OK32,PortfolioFrontier[[#This Row],[P100 Growth]])</f>
        <v>1.1213914977300461</v>
      </c>
      <c r="OL33" s="27">
        <f>PortfolioFrontier[[#This Row],[P100 Growth]]/PortfolioFrontier[[#This Row],[P100 HWM]]-1</f>
        <v>-2.6341784585954819E-2</v>
      </c>
      <c r="OM33" s="28">
        <f>SUMPRODUCT(INDEX(PortfolioRef[[SPY]:[PE]],MATCH(OM$1,PortfolioRef[Reference '#]),0),AssetMonthlyReturns[[#This Row],[SPY]:[PE]])</f>
        <v>-1.7390089162623246E-2</v>
      </c>
      <c r="ON33" s="27">
        <f>IF(ISNUMBER(ON32),ON32*(1+PortfolioFrontier[[#This Row],[P101 Return]]),1+PortfolioFrontier[[#This Row],[P101 Return]])</f>
        <v>1.0841134670176464</v>
      </c>
      <c r="OO33" s="27">
        <f>MAX(OO32,PortfolioFrontier[[#This Row],[P101 Growth]])</f>
        <v>1.1133618200783288</v>
      </c>
      <c r="OP33" s="27">
        <f>PortfolioFrontier[[#This Row],[P101 Growth]]/PortfolioFrontier[[#This Row],[P101 HWM]]-1</f>
        <v>-2.6270303627462854E-2</v>
      </c>
      <c r="OQ33" s="28">
        <f>SUMPRODUCT(INDEX(PortfolioRef[[SPY]:[PE]],MATCH(OQ$1,PortfolioRef[Reference '#]),0),AssetMonthlyReturns[[#This Row],[SPY]:[PE]])</f>
        <v>-1.9232258398912891E-2</v>
      </c>
      <c r="OR33" s="27">
        <f>IF(ISNUMBER(OR32),OR32*(1+PortfolioFrontier[[#This Row],[P102 Return]]),1+PortfolioFrontier[[#This Row],[P102 Return]])</f>
        <v>1.0914884191531429</v>
      </c>
      <c r="OS33" s="27">
        <f>MAX(OS32,PortfolioFrontier[[#This Row],[P102 Growth]])</f>
        <v>1.1220747161896565</v>
      </c>
      <c r="OT33" s="27">
        <f>PortfolioFrontier[[#This Row],[P102 Growth]]/PortfolioFrontier[[#This Row],[P102 HWM]]-1</f>
        <v>-2.7258699082337912E-2</v>
      </c>
      <c r="OU33" s="28">
        <f>SUMPRODUCT(INDEX(PortfolioRef[[SPY]:[PE]],MATCH(OU$1,PortfolioRef[Reference '#]),0),AssetMonthlyReturns[[#This Row],[SPY]:[PE]])</f>
        <v>-1.9207572760249335E-2</v>
      </c>
      <c r="OV33" s="27">
        <f>IF(ISNUMBER(OV32),OV32*(1+PortfolioFrontier[[#This Row],[P103 Return]]),1+PortfolioFrontier[[#This Row],[P103 Return]])</f>
        <v>1.0885183900407296</v>
      </c>
      <c r="OW33" s="27">
        <f>MAX(OW32,PortfolioFrontier[[#This Row],[P103 Growth]])</f>
        <v>1.1164142049002479</v>
      </c>
      <c r="OX33" s="27">
        <f>PortfolioFrontier[[#This Row],[P103 Growth]]/PortfolioFrontier[[#This Row],[P103 HWM]]-1</f>
        <v>-2.4986975924415789E-2</v>
      </c>
      <c r="OY33" s="28">
        <f>SUMPRODUCT(INDEX(PortfolioRef[[SPY]:[PE]],MATCH(OY$1,PortfolioRef[Reference '#]),0),AssetMonthlyReturns[[#This Row],[SPY]:[PE]])</f>
        <v>-2.1074427635202533E-2</v>
      </c>
      <c r="OZ33" s="27">
        <f>IF(ISNUMBER(OZ32),OZ32*(1+PortfolioFrontier[[#This Row],[P104 Return]]),1+PortfolioFrontier[[#This Row],[P104 Return]])</f>
        <v>1.0987872098674907</v>
      </c>
      <c r="PA33" s="27">
        <f>MAX(PA32,PortfolioFrontier[[#This Row],[P104 Growth]])</f>
        <v>1.1336174758687461</v>
      </c>
      <c r="PB33" s="27">
        <f>PortfolioFrontier[[#This Row],[P104 Growth]]/PortfolioFrontier[[#This Row],[P104 HWM]]-1</f>
        <v>-3.0724884489420234E-2</v>
      </c>
      <c r="PC33" s="28">
        <f>SUMPRODUCT(INDEX(PortfolioRef[[SPY]:[PE]],MATCH(PC$1,PortfolioRef[Reference '#]),0),AssetMonthlyReturns[[#This Row],[SPY]:[PE]])</f>
        <v>-2.104974199653898E-2</v>
      </c>
      <c r="PD33" s="27">
        <f>IF(ISNUMBER(PD32),PD32*(1+PortfolioFrontier[[#This Row],[P105 Return]]),1+PortfolioFrontier[[#This Row],[P105 Return]])</f>
        <v>1.0958383480433282</v>
      </c>
      <c r="PE33" s="27">
        <f>MAX(PE32,PortfolioFrontier[[#This Row],[P105 Growth]])</f>
        <v>1.1279365151737275</v>
      </c>
      <c r="PF33" s="27">
        <f>PortfolioFrontier[[#This Row],[P105 Growth]]/PortfolioFrontier[[#This Row],[P105 HWM]]-1</f>
        <v>-2.8457423532791126E-2</v>
      </c>
      <c r="PG33" s="28">
        <f>SUMPRODUCT(INDEX(PortfolioRef[[SPY]:[PE]],MATCH(PG$1,PortfolioRef[Reference '#]),0),AssetMonthlyReturns[[#This Row],[SPY]:[PE]])</f>
        <v>-2.1025056357875428E-2</v>
      </c>
      <c r="PH33" s="27">
        <f>IF(ISNUMBER(PH32),PH32*(1+PortfolioFrontier[[#This Row],[P106 Return]]),1+PortfolioFrontier[[#This Row],[P106 Return]])</f>
        <v>1.0927922507999399</v>
      </c>
      <c r="PI33" s="27">
        <f>MAX(PI32,PortfolioFrontier[[#This Row],[P106 Growth]])</f>
        <v>1.122182029205119</v>
      </c>
      <c r="PJ33" s="27">
        <f>PortfolioFrontier[[#This Row],[P106 Growth]]/PortfolioFrontier[[#This Row],[P106 HWM]]-1</f>
        <v>-2.6189849454278713E-2</v>
      </c>
      <c r="PK33" s="28">
        <f>SUMPRODUCT(INDEX(PortfolioRef[[SPY]:[PE]],MATCH(PK$1,PortfolioRef[Reference '#]),0),AssetMonthlyReturns[[#This Row],[SPY]:[PE]])</f>
        <v>-1.7840117093532188E-2</v>
      </c>
      <c r="PL33" s="27">
        <f>IF(ISNUMBER(PL32),PL32*(1+PortfolioFrontier[[#This Row],[P107 Return]]),1+PortfolioFrontier[[#This Row],[P107 Return]])</f>
        <v>1.0880617477148966</v>
      </c>
      <c r="PM33" s="27">
        <f>MAX(PM32,PortfolioFrontier[[#This Row],[P107 Growth]])</f>
        <v>1.117000049210717</v>
      </c>
      <c r="PN33" s="27">
        <f>PortfolioFrontier[[#This Row],[P107 Growth]]/PortfolioFrontier[[#This Row],[P107 HWM]]-1</f>
        <v>-2.5907162238952952E-2</v>
      </c>
      <c r="PO33" s="28">
        <f>SUMPRODUCT(INDEX(PortfolioRef[[SPY]:[PE]],MATCH(PO$1,PortfolioRef[Reference '#]),0),AssetMonthlyReturns[[#This Row],[SPY]:[PE]])</f>
        <v>-1.7815431454868635E-2</v>
      </c>
      <c r="PP33" s="27">
        <f>IF(ISNUMBER(PP32),PP32*(1+PortfolioFrontier[[#This Row],[P108 Return]]),1+PortfolioFrontier[[#This Row],[P108 Return]])</f>
        <v>1.0851255768506103</v>
      </c>
      <c r="PQ33" s="27">
        <f>MAX(PQ32,PortfolioFrontier[[#This Row],[P108 Growth]])</f>
        <v>1.1121091386149522</v>
      </c>
      <c r="PR33" s="27">
        <f>PortfolioFrontier[[#This Row],[P108 Growth]]/PortfolioFrontier[[#This Row],[P108 HWM]]-1</f>
        <v>-2.4263411591013306E-2</v>
      </c>
      <c r="PS33" s="28">
        <f>SUMPRODUCT(INDEX(PortfolioRef[[SPY]:[PE]],MATCH(PS$1,PortfolioRef[Reference '#]),0),AssetMonthlyReturns[[#This Row],[SPY]:[PE]])</f>
        <v>-1.968228632982183E-2</v>
      </c>
      <c r="PT33" s="27">
        <f>IF(ISNUMBER(PT32),PT32*(1+PortfolioFrontier[[#This Row],[P109 Return]]),1+PortfolioFrontier[[#This Row],[P109 Return]])</f>
        <v>1.0954045742749183</v>
      </c>
      <c r="PU33" s="27">
        <f>MAX(PU32,PortfolioFrontier[[#This Row],[P109 Growth]])</f>
        <v>1.1285566292854516</v>
      </c>
      <c r="PV33" s="27">
        <f>PortfolioFrontier[[#This Row],[P109 Growth]]/PortfolioFrontier[[#This Row],[P109 HWM]]-1</f>
        <v>-2.9375623828042707E-2</v>
      </c>
      <c r="PW33" s="28">
        <f>SUMPRODUCT(INDEX(PortfolioRef[[SPY]:[PE]],MATCH(PW$1,PortfolioRef[Reference '#]),0),AssetMonthlyReturns[[#This Row],[SPY]:[PE]])</f>
        <v>-1.9657600691158277E-2</v>
      </c>
      <c r="PX33" s="27">
        <f>IF(ISNUMBER(PX32),PX32*(1+PortfolioFrontier[[#This Row],[P110 Return]]),1+PortfolioFrontier[[#This Row],[P110 Return]])</f>
        <v>1.0924895844517473</v>
      </c>
      <c r="PY33" s="27">
        <f>MAX(PY32,PortfolioFrontier[[#This Row],[P110 Growth]])</f>
        <v>1.1229264772686551</v>
      </c>
      <c r="PZ33" s="27">
        <f>PortfolioFrontier[[#This Row],[P110 Growth]]/PortfolioFrontier[[#This Row],[P110 HWM]]-1</f>
        <v>-2.7104973863418813E-2</v>
      </c>
      <c r="QA33" s="28">
        <f>SUMPRODUCT(INDEX(PortfolioRef[[SPY]:[PE]],MATCH(QA$1,PortfolioRef[Reference '#]),0),AssetMonthlyReturns[[#This Row],[SPY]:[PE]])</f>
        <v>-1.9632915052494725E-2</v>
      </c>
      <c r="QB33" s="27">
        <f>IF(ISNUMBER(QB32),QB32*(1+PortfolioFrontier[[#This Row],[P111 Return]]),1+PortfolioFrontier[[#This Row],[P111 Return]])</f>
        <v>1.0894775009127617</v>
      </c>
      <c r="QC33" s="27">
        <f>MAX(QC32,PortfolioFrontier[[#This Row],[P111 Growth]])</f>
        <v>1.117222848620177</v>
      </c>
      <c r="QD33" s="27">
        <f>PortfolioFrontier[[#This Row],[P111 Growth]]/PortfolioFrontier[[#This Row],[P111 HWM]]-1</f>
        <v>-2.4834210776911725E-2</v>
      </c>
      <c r="QE33" s="28">
        <f>SUMPRODUCT(INDEX(PortfolioRef[[SPY]:[PE]],MATCH(QE$1,PortfolioRef[Reference '#]),0),AssetMonthlyReturns[[#This Row],[SPY]:[PE]])</f>
        <v>-2.1524455566111472E-2</v>
      </c>
      <c r="QF33" s="27">
        <f>IF(ISNUMBER(QF32),QF32*(1+PortfolioFrontier[[#This Row],[P112 Return]]),1+PortfolioFrontier[[#This Row],[P112 Return]])</f>
        <v>1.1026702374341868</v>
      </c>
      <c r="QG33" s="27">
        <f>MAX(QG32,PortfolioFrontier[[#This Row],[P112 Growth]])</f>
        <v>1.1401090429169298</v>
      </c>
      <c r="QH33" s="27">
        <f>PortfolioFrontier[[#This Row],[P112 Growth]]/PortfolioFrontier[[#This Row],[P112 HWM]]-1</f>
        <v>-3.2837916439077741E-2</v>
      </c>
      <c r="QI33" s="28">
        <f>SUMPRODUCT(INDEX(PortfolioRef[[SPY]:[PE]],MATCH(QI$1,PortfolioRef[Reference '#]),0),AssetMonthlyReturns[[#This Row],[SPY]:[PE]])</f>
        <v>-2.1499769927447919E-2</v>
      </c>
      <c r="QJ33" s="27">
        <f>IF(ISNUMBER(QJ32),QJ32*(1+PortfolioFrontier[[#This Row],[P113 Return]]),1+PortfolioFrontier[[#This Row],[P113 Return]])</f>
        <v>1.0997771707949635</v>
      </c>
      <c r="QK33" s="27">
        <f>MAX(QK32,PortfolioFrontier[[#This Row],[P113 Growth]])</f>
        <v>1.134459326630517</v>
      </c>
      <c r="QL33" s="27">
        <f>PortfolioFrontier[[#This Row],[P113 Growth]]/PortfolioFrontier[[#This Row],[P113 HWM]]-1</f>
        <v>-3.0571528675746973E-2</v>
      </c>
      <c r="QM33" s="28">
        <f>SUMPRODUCT(INDEX(PortfolioRef[[SPY]:[PE]],MATCH(QM$1,PortfolioRef[Reference '#]),0),AssetMonthlyReturns[[#This Row],[SPY]:[PE]])</f>
        <v>-2.147508428878437E-2</v>
      </c>
      <c r="QN33" s="27">
        <f>IF(ISNUMBER(QN32),QN32*(1+PortfolioFrontier[[#This Row],[P114 Return]]),1+PortfolioFrontier[[#This Row],[P114 Return]])</f>
        <v>1.0967860324888745</v>
      </c>
      <c r="QO33" s="27">
        <f>MAX(QO32,PortfolioFrontier[[#This Row],[P114 Growth]])</f>
        <v>1.1287349053530367</v>
      </c>
      <c r="QP33" s="27">
        <f>PortfolioFrontier[[#This Row],[P114 Growth]]/PortfolioFrontier[[#This Row],[P114 HWM]]-1</f>
        <v>-2.8305027790532789E-2</v>
      </c>
      <c r="QQ33" s="28">
        <f>SUMPRODUCT(INDEX(PortfolioRef[[SPY]:[PE]],MATCH(QQ$1,PortfolioRef[Reference '#]),0),AssetMonthlyReturns[[#This Row],[SPY]:[PE]])</f>
        <v>-1.829014502444113E-2</v>
      </c>
      <c r="QR33" s="27">
        <f>IF(ISNUMBER(QR32),QR32*(1+PortfolioFrontier[[#This Row],[P115 Return]]),1+PortfolioFrontier[[#This Row],[P115 Return]])</f>
        <v>1.0919627525320819</v>
      </c>
      <c r="QS33" s="27">
        <f>MAX(QS32,PortfolioFrontier[[#This Row],[P115 Growth]])</f>
        <v>1.1234490362543808</v>
      </c>
      <c r="QT33" s="27">
        <f>PortfolioFrontier[[#This Row],[P115 Growth]]/PortfolioFrontier[[#This Row],[P115 HWM]]-1</f>
        <v>-2.8026445976824466E-2</v>
      </c>
      <c r="QU33" s="28">
        <f>SUMPRODUCT(INDEX(PortfolioRef[[SPY]:[PE]],MATCH(QU$1,PortfolioRef[Reference '#]),0),AssetMonthlyReturns[[#This Row],[SPY]:[PE]])</f>
        <v>-1.8265459385777578E-2</v>
      </c>
      <c r="QV33" s="27">
        <f>IF(ISNUMBER(QV32),QV32*(1+PortfolioFrontier[[#This Row],[P116 Return]]),1+PortfolioFrontier[[#This Row],[P116 Return]])</f>
        <v>1.0890815559867486</v>
      </c>
      <c r="QW33" s="27">
        <f>MAX(QW32,PortfolioFrontier[[#This Row],[P116 Growth]])</f>
        <v>1.1178696128073189</v>
      </c>
      <c r="QX33" s="27">
        <f>PortfolioFrontier[[#This Row],[P116 Growth]]/PortfolioFrontier[[#This Row],[P116 HWM]]-1</f>
        <v>-2.5752607004205563E-2</v>
      </c>
      <c r="QY33" s="28">
        <f>SUMPRODUCT(INDEX(PortfolioRef[[SPY]:[PE]],MATCH(QY$1,PortfolioRef[Reference '#]),0),AssetMonthlyReturns[[#This Row],[SPY]:[PE]])</f>
        <v>-1.8240773747114025E-2</v>
      </c>
      <c r="QZ33" s="27">
        <f>IF(ISNUMBER(QZ32),QZ32*(1+PortfolioFrontier[[#This Row],[P117 Return]]),1+PortfolioFrontier[[#This Row],[P117 Return]])</f>
        <v>1.0861034138664227</v>
      </c>
      <c r="RA33" s="27">
        <f>MAX(RA32,PortfolioFrontier[[#This Row],[P117 Growth]])</f>
        <v>1.1122167675361905</v>
      </c>
      <c r="RB33" s="27">
        <f>PortfolioFrontier[[#This Row],[P117 Growth]]/PortfolioFrontier[[#This Row],[P117 HWM]]-1</f>
        <v>-2.3478654909703134E-2</v>
      </c>
      <c r="RC33" s="28">
        <f>SUMPRODUCT(INDEX(PortfolioRef[[SPY]:[PE]],MATCH(RC$1,PortfolioRef[Reference '#]),0),AssetMonthlyReturns[[#This Row],[SPY]:[PE]])</f>
        <v>-2.0132314260730772E-2</v>
      </c>
      <c r="RD33" s="27">
        <f>IF(ISNUMBER(RD32),RD32*(1+PortfolioFrontier[[#This Row],[P118 Return]]),1+PortfolioFrontier[[#This Row],[P118 Return]])</f>
        <v>1.0992726712282517</v>
      </c>
      <c r="RE33" s="27">
        <f>MAX(RE32,PortfolioFrontier[[#This Row],[P118 Growth]])</f>
        <v>1.1350154598380386</v>
      </c>
      <c r="RF33" s="27">
        <f>PortfolioFrontier[[#This Row],[P118 Growth]]/PortfolioFrontier[[#This Row],[P118 HWM]]-1</f>
        <v>-3.1491014769866932E-2</v>
      </c>
      <c r="RG33" s="28">
        <f>SUMPRODUCT(INDEX(PortfolioRef[[SPY]:[PE]],MATCH(RG$1,PortfolioRef[Reference '#]),0),AssetMonthlyReturns[[#This Row],[SPY]:[PE]])</f>
        <v>-2.010762862206722E-2</v>
      </c>
      <c r="RH33" s="27">
        <f>IF(ISNUMBER(RH32),RH32*(1+PortfolioFrontier[[#This Row],[P119 Return]]),1+PortfolioFrontier[[#This Row],[P119 Return]])</f>
        <v>1.0964134122706803</v>
      </c>
      <c r="RI33" s="27">
        <f>MAX(RI32,PortfolioFrontier[[#This Row],[P119 Growth]])</f>
        <v>1.129416589103698</v>
      </c>
      <c r="RJ33" s="27">
        <f>PortfolioFrontier[[#This Row],[P119 Growth]]/PortfolioFrontier[[#This Row],[P119 HWM]]-1</f>
        <v>-2.9221437998541266E-2</v>
      </c>
      <c r="RK33" s="28">
        <f>SUMPRODUCT(INDEX(PortfolioRef[[SPY]:[PE]],MATCH(RK$1,PortfolioRef[Reference '#]),0),AssetMonthlyReturns[[#This Row],[SPY]:[PE]])</f>
        <v>-2.008294298340367E-2</v>
      </c>
      <c r="RL33" s="27">
        <f>IF(ISNUMBER(RL32),RL32*(1+PortfolioFrontier[[#This Row],[P120 Return]]),1+PortfolioFrontier[[#This Row],[P120 Return]])</f>
        <v>1.0934562276529201</v>
      </c>
      <c r="RM33" s="27">
        <f>MAX(RM32,PortfolioFrontier[[#This Row],[P120 Growth]])</f>
        <v>1.1237430677500322</v>
      </c>
      <c r="RN33" s="27">
        <f>PortfolioFrontier[[#This Row],[P120 Growth]]/PortfolioFrontier[[#This Row],[P120 HWM]]-1</f>
        <v>-2.6951748105332185E-2</v>
      </c>
      <c r="RO33" s="28">
        <f>SUMPRODUCT(INDEX(PortfolioRef[[SPY]:[PE]],MATCH(RO$1,PortfolioRef[Reference '#]),0),AssetMonthlyReturns[[#This Row],[SPY]:[PE]])</f>
        <v>-2.1974483497020414E-2</v>
      </c>
      <c r="RP33" s="27">
        <f>IF(ISNUMBER(RP32),RP32*(1+PortfolioFrontier[[#This Row],[P121 Return]]),1+PortfolioFrontier[[#This Row],[P121 Return]])</f>
        <v>1.1065044269677489</v>
      </c>
      <c r="RQ33" s="27">
        <f>MAX(RQ32,PortfolioFrontier[[#This Row],[P121 Growth]])</f>
        <v>1.1465766082010636</v>
      </c>
      <c r="RR33" s="27">
        <f>PortfolioFrontier[[#This Row],[P121 Growth]]/PortfolioFrontier[[#This Row],[P121 HWM]]-1</f>
        <v>-3.4949414584854011E-2</v>
      </c>
      <c r="RS33" s="28">
        <f>SUMPRODUCT(INDEX(PortfolioRef[[SPY]:[PE]],MATCH(RS$1,PortfolioRef[Reference '#]),0),AssetMonthlyReturns[[#This Row],[SPY]:[PE]])</f>
        <v>-2.1949797858356861E-2</v>
      </c>
      <c r="RT33" s="27">
        <f>IF(ISNUMBER(RT32),RT32*(1+PortfolioFrontier[[#This Row],[P122 Return]]),1+PortfolioFrontier[[#This Row],[P122 Return]])</f>
        <v>1.1036678459350378</v>
      </c>
      <c r="RU33" s="27">
        <f>MAX(RU32,PortfolioFrontier[[#This Row],[P122 Growth]])</f>
        <v>1.1409590661664393</v>
      </c>
      <c r="RV33" s="27">
        <f>PortfolioFrontier[[#This Row],[P122 Growth]]/PortfolioFrontier[[#This Row],[P122 HWM]]-1</f>
        <v>-3.2684100014821693E-2</v>
      </c>
      <c r="RW33" s="28">
        <f>SUMPRODUCT(INDEX(PortfolioRef[[SPY]:[PE]],MATCH(RW$1,PortfolioRef[Reference '#]),0),AssetMonthlyReturns[[#This Row],[SPY]:[PE]])</f>
        <v>-2.1925112219693312E-2</v>
      </c>
      <c r="RX33" s="27">
        <f>IF(ISNUMBER(RX32),RX32*(1+PortfolioFrontier[[#This Row],[P123 Return]]),1+PortfolioFrontier[[#This Row],[P123 Return]])</f>
        <v>1.1007323626109671</v>
      </c>
      <c r="RY33" s="27">
        <f>MAX(RY32,PortfolioFrontier[[#This Row],[P123 Growth]])</f>
        <v>1.1352656359916529</v>
      </c>
      <c r="RZ33" s="27">
        <f>PortfolioFrontier[[#This Row],[P123 Growth]]/PortfolioFrontier[[#This Row],[P123 HWM]]-1</f>
        <v>-3.0418672322906182E-2</v>
      </c>
      <c r="SA33" s="28">
        <f>SUMPRODUCT(INDEX(PortfolioRef[[SPY]:[PE]],MATCH(SA$1,PortfolioRef[Reference '#]),0),AssetMonthlyReturns[[#This Row],[SPY]:[PE]])</f>
        <v>-1.8740172955350073E-2</v>
      </c>
      <c r="SB33" s="27">
        <f>IF(ISNUMBER(SB32),SB32*(1+PortfolioFrontier[[#This Row],[P124 Return]]),1+PortfolioFrontier[[#This Row],[P124 Return]])</f>
        <v>1.0958158190231115</v>
      </c>
      <c r="SC33" s="27">
        <f>MAX(SC32,PortfolioFrontier[[#This Row],[P124 Growth]])</f>
        <v>1.1298749921409386</v>
      </c>
      <c r="SD33" s="27">
        <f>PortfolioFrontier[[#This Row],[P124 Growth]]/PortfolioFrontier[[#This Row],[P124 HWM]]-1</f>
        <v>-3.0144195910814964E-2</v>
      </c>
      <c r="SE33" s="28">
        <f>SUMPRODUCT(INDEX(PortfolioRef[[SPY]:[PE]],MATCH(SE$1,PortfolioRef[Reference '#]),0),AssetMonthlyReturns[[#This Row],[SPY]:[PE]])</f>
        <v>-1.871548731668652E-2</v>
      </c>
      <c r="SF33" s="27">
        <f>IF(ISNUMBER(SF32),SF32*(1+PortfolioFrontier[[#This Row],[P125 Return]]),1+PortfolioFrontier[[#This Row],[P125 Return]])</f>
        <v>1.0929902855178428</v>
      </c>
      <c r="SG33" s="27">
        <f>MAX(SG32,PortfolioFrontier[[#This Row],[P125 Growth]])</f>
        <v>1.1243268837019014</v>
      </c>
      <c r="SH33" s="27">
        <f>PortfolioFrontier[[#This Row],[P125 Growth]]/PortfolioFrontier[[#This Row],[P125 HWM]]-1</f>
        <v>-2.7871430131494512E-2</v>
      </c>
      <c r="SI33" s="28">
        <f>SUMPRODUCT(INDEX(PortfolioRef[[SPY]:[PE]],MATCH(SI$1,PortfolioRef[Reference '#]),0),AssetMonthlyReturns[[#This Row],[SPY]:[PE]])</f>
        <v>-1.8690801678022971E-2</v>
      </c>
      <c r="SJ33" s="27">
        <f>IF(ISNUMBER(SJ32),SJ32*(1+PortfolioFrontier[[#This Row],[P126 Return]]),1+PortfolioFrontier[[#This Row],[P126 Return]])</f>
        <v>1.0900669788151398</v>
      </c>
      <c r="SK33" s="27">
        <f>MAX(SK32,PortfolioFrontier[[#This Row],[P126 Growth]])</f>
        <v>1.1187041852118251</v>
      </c>
      <c r="SL33" s="27">
        <f>PortfolioFrontier[[#This Row],[P126 Growth]]/PortfolioFrontier[[#This Row],[P126 HWM]]-1</f>
        <v>-2.5598551230290534E-2</v>
      </c>
      <c r="SM33" s="28">
        <f>SUMPRODUCT(INDEX(PortfolioRef[[SPY]:[PE]],MATCH(SM$1,PortfolioRef[Reference '#]),0),AssetMonthlyReturns[[#This Row],[SPY]:[PE]])</f>
        <v>-2.0582342191639715E-2</v>
      </c>
      <c r="SN33" s="27">
        <f>IF(ISNUMBER(SN32),SN32*(1+PortfolioFrontier[[#This Row],[P127 Return]]),1+PortfolioFrontier[[#This Row],[P127 Return]])</f>
        <v>1.1030920491869862</v>
      </c>
      <c r="SO33" s="27">
        <f>MAX(SO32,PortfolioFrontier[[#This Row],[P127 Growth]])</f>
        <v>1.1414503417092516</v>
      </c>
      <c r="SP33" s="27">
        <f>PortfolioFrontier[[#This Row],[P127 Growth]]/PortfolioFrontier[[#This Row],[P127 HWM]]-1</f>
        <v>-3.360487190781003E-2</v>
      </c>
      <c r="SQ33" s="28">
        <f>SUMPRODUCT(INDEX(PortfolioRef[[SPY]:[PE]],MATCH(SQ$1,PortfolioRef[Reference '#]),0),AssetMonthlyReturns[[#This Row],[SPY]:[PE]])</f>
        <v>-2.0557656552976162E-2</v>
      </c>
      <c r="SR33" s="27">
        <f>IF(ISNUMBER(SR32),SR32*(1+PortfolioFrontier[[#This Row],[P128 Return]]),1+PortfolioFrontier[[#This Row],[P128 Return]])</f>
        <v>1.1002892086759211</v>
      </c>
      <c r="SS33" s="27">
        <f>MAX(SS32,PortfolioFrontier[[#This Row],[P128 Growth]])</f>
        <v>1.1358836779891786</v>
      </c>
      <c r="ST33" s="27">
        <f>PortfolioFrontier[[#This Row],[P128 Growth]]/PortfolioFrontier[[#This Row],[P128 HWM]]-1</f>
        <v>-3.1336368329782927E-2</v>
      </c>
      <c r="SU33" s="28">
        <f>SUMPRODUCT(INDEX(PortfolioRef[[SPY]:[PE]],MATCH(SU$1,PortfolioRef[Reference '#]),0),AssetMonthlyReturns[[#This Row],[SPY]:[PE]])</f>
        <v>-2.0532970914312613E-2</v>
      </c>
      <c r="SV33" s="27">
        <f>IF(ISNUMBER(SV32),SV32*(1+PortfolioFrontier[[#This Row],[P129 Return]]),1+PortfolioFrontier[[#This Row],[P129 Return]])</f>
        <v>1.0973876161944907</v>
      </c>
      <c r="SW33" s="27">
        <f>MAX(SW32,PortfolioFrontier[[#This Row],[P129 Growth]])</f>
        <v>1.130241186279104</v>
      </c>
      <c r="SX33" s="27">
        <f>PortfolioFrontier[[#This Row],[P129 Growth]]/PortfolioFrontier[[#This Row],[P129 HWM]]-1</f>
        <v>-2.9067751629872407E-2</v>
      </c>
      <c r="SY33" s="28">
        <f>SUMPRODUCT(INDEX(PortfolioRef[[SPY]:[PE]],MATCH(SY$1,PortfolioRef[Reference '#]),0),AssetMonthlyReturns[[#This Row],[SPY]:[PE]])</f>
        <v>-2.2424511427929356E-2</v>
      </c>
      <c r="SZ33" s="27">
        <f>IF(ISNUMBER(SZ32),SZ32*(1+PortfolioFrontier[[#This Row],[P130 Return]]),1+PortfolioFrontier[[#This Row],[P130 Return]])</f>
        <v>1.1102891194407372</v>
      </c>
      <c r="TA33" s="27">
        <f>MAX(TA32,PortfolioFrontier[[#This Row],[P130 Growth]])</f>
        <v>1.1530192985350012</v>
      </c>
      <c r="TB33" s="27">
        <f>PortfolioFrontier[[#This Row],[P130 Growth]]/PortfolioFrontier[[#This Row],[P130 HWM]]-1</f>
        <v>-3.7059378926749931E-2</v>
      </c>
      <c r="TC33" s="28">
        <f>SUMPRODUCT(INDEX(PortfolioRef[[SPY]:[PE]],MATCH(TC$1,PortfolioRef[Reference '#]),0),AssetMonthlyReturns[[#This Row],[SPY]:[PE]])</f>
        <v>-2.2399825789265804E-2</v>
      </c>
      <c r="TD33" s="27">
        <f>IF(ISNUMBER(TD32),TD32*(1+PortfolioFrontier[[#This Row],[P131 Return]]),1+PortfolioFrontier[[#This Row],[P131 Return]])</f>
        <v>1.1075097102911309</v>
      </c>
      <c r="TE33" s="27">
        <f>MAX(TE32,PortfolioFrontier[[#This Row],[P131 Growth]])</f>
        <v>1.1474348642213985</v>
      </c>
      <c r="TF33" s="27">
        <f>PortfolioFrontier[[#This Row],[P131 Growth]]/PortfolioFrontier[[#This Row],[P131 HWM]]-1</f>
        <v>-3.4795137550016175E-2</v>
      </c>
      <c r="TG33" s="28">
        <f>SUMPRODUCT(INDEX(PortfolioRef[[SPY]:[PE]],MATCH(TG$1,PortfolioRef[Reference '#]),0),AssetMonthlyReturns[[#This Row],[SPY]:[PE]])</f>
        <v>-2.2375140150602255E-2</v>
      </c>
      <c r="TH33" s="27">
        <f>IF(ISNUMBER(TH32),TH32*(1+PortfolioFrontier[[#This Row],[P132 Return]]),1+PortfolioFrontier[[#This Row],[P132 Return]])</f>
        <v>1.1046305740261728</v>
      </c>
      <c r="TI33" s="27">
        <f>MAX(TI32,PortfolioFrontier[[#This Row],[P132 Growth]])</f>
        <v>1.1417733553426934</v>
      </c>
      <c r="TJ33" s="27">
        <f>PortfolioFrontier[[#This Row],[P132 Growth]]/PortfolioFrontier[[#This Row],[P132 HWM]]-1</f>
        <v>-3.253078305139856E-2</v>
      </c>
      <c r="TK33" s="28">
        <f>SUMPRODUCT(INDEX(PortfolioRef[[SPY]:[PE]],MATCH(TK$1,PortfolioRef[Reference '#]),0),AssetMonthlyReturns[[#This Row],[SPY]:[PE]])</f>
        <v>-1.9190200886259012E-2</v>
      </c>
      <c r="TL33" s="27">
        <f>IF(ISNUMBER(TL32),TL32*(1+PortfolioFrontier[[#This Row],[P133 Return]]),1+PortfolioFrontier[[#This Row],[P133 Return]])</f>
        <v>1.0996202883429014</v>
      </c>
      <c r="TM33" s="27">
        <f>MAX(TM32,PortfolioFrontier[[#This Row],[P133 Growth]])</f>
        <v>1.1362770543075105</v>
      </c>
      <c r="TN33" s="27">
        <f>PortfolioFrontier[[#This Row],[P133 Growth]]/PortfolioFrontier[[#This Row],[P133 HWM]]-1</f>
        <v>-3.2260412040925224E-2</v>
      </c>
      <c r="TO33" s="28">
        <f>SUMPRODUCT(INDEX(PortfolioRef[[SPY]:[PE]],MATCH(TO$1,PortfolioRef[Reference '#]),0),AssetMonthlyReturns[[#This Row],[SPY]:[PE]])</f>
        <v>-1.9165515247595459E-2</v>
      </c>
      <c r="TP33" s="27">
        <f>IF(ISNUMBER(TP32),TP32*(1+PortfolioFrontier[[#This Row],[P134 Return]]),1+PortfolioFrontier[[#This Row],[P134 Return]])</f>
        <v>1.0968511026010592</v>
      </c>
      <c r="TQ33" s="27">
        <f>MAX(TQ32,PortfolioFrontier[[#This Row],[P134 Growth]])</f>
        <v>1.1307611824727282</v>
      </c>
      <c r="TR33" s="27">
        <f>PortfolioFrontier[[#This Row],[P134 Growth]]/PortfolioFrontier[[#This Row],[P134 HWM]]-1</f>
        <v>-2.998871945490289E-2</v>
      </c>
      <c r="TS33" s="28">
        <f>SUMPRODUCT(INDEX(PortfolioRef[[SPY]:[PE]],MATCH(TS$1,PortfolioRef[Reference '#]),0),AssetMonthlyReturns[[#This Row],[SPY]:[PE]])</f>
        <v>-1.914082960893191E-2</v>
      </c>
      <c r="TT33" s="27">
        <f>IF(ISNUMBER(TT32),TT32*(1+PortfolioFrontier[[#This Row],[P135 Return]]),1+PortfolioFrontier[[#This Row],[P135 Return]])</f>
        <v>1.0939833216841099</v>
      </c>
      <c r="TU33" s="27">
        <f>MAX(TU32,PortfolioFrontier[[#This Row],[P135 Growth]])</f>
        <v>1.125169549025189</v>
      </c>
      <c r="TV33" s="27">
        <f>PortfolioFrontier[[#This Row],[P135 Growth]]/PortfolioFrontier[[#This Row],[P135 HWM]]-1</f>
        <v>-2.7716913746997252E-2</v>
      </c>
      <c r="TW33" s="28">
        <f>SUMPRODUCT(INDEX(PortfolioRef[[SPY]:[PE]],MATCH(TW$1,PortfolioRef[Reference '#]),0),AssetMonthlyReturns[[#This Row],[SPY]:[PE]])</f>
        <v>-2.1032370122548653E-2</v>
      </c>
      <c r="TX33" s="27">
        <f>IF(ISNUMBER(TX32),TX32*(1+PortfolioFrontier[[#This Row],[P136 Return]]),1+PortfolioFrontier[[#This Row],[P136 Return]])</f>
        <v>1.1068620510771063</v>
      </c>
      <c r="TY33" s="27">
        <f>MAX(TY32,PortfolioFrontier[[#This Row],[P136 Growth]])</f>
        <v>1.1478604052830148</v>
      </c>
      <c r="TZ33" s="27">
        <f>PortfolioFrontier[[#This Row],[P136 Growth]]/PortfolioFrontier[[#This Row],[P136 HWM]]-1</f>
        <v>-3.5717195241872668E-2</v>
      </c>
      <c r="UA33" s="28">
        <f>SUMPRODUCT(INDEX(PortfolioRef[[SPY]:[PE]],MATCH(UA$1,PortfolioRef[Reference '#]),0),AssetMonthlyReturns[[#This Row],[SPY]:[PE]])</f>
        <v>-2.1007684483885101E-2</v>
      </c>
      <c r="UB33" s="27">
        <f>IF(ISNUMBER(UB32),UB32*(1+PortfolioFrontier[[#This Row],[P137 Return]]),1+PortfolioFrontier[[#This Row],[P137 Return]])</f>
        <v>1.1041163124462485</v>
      </c>
      <c r="UC33" s="27">
        <f>MAX(UC32,PortfolioFrontier[[#This Row],[P137 Growth]])</f>
        <v>1.1423268779020681</v>
      </c>
      <c r="UD33" s="27">
        <f>PortfolioFrontier[[#This Row],[P137 Growth]]/PortfolioFrontier[[#This Row],[P137 HWM]]-1</f>
        <v>-3.3449764857144015E-2</v>
      </c>
      <c r="UE33" s="28">
        <f>SUMPRODUCT(INDEX(PortfolioRef[[SPY]:[PE]],MATCH(UE$1,PortfolioRef[Reference '#]),0),AssetMonthlyReturns[[#This Row],[SPY]:[PE]])</f>
        <v>-2.0982998845221552E-2</v>
      </c>
      <c r="UF33" s="27">
        <f>IF(ISNUMBER(UF32),UF32*(1+PortfolioFrontier[[#This Row],[P138 Return]]),1+PortfolioFrontier[[#This Row],[P138 Return]])</f>
        <v>1.1012710013458977</v>
      </c>
      <c r="UG33" s="27">
        <f>MAX(UG32,PortfolioFrontier[[#This Row],[P138 Growth]])</f>
        <v>1.1367163419328135</v>
      </c>
      <c r="UH33" s="27">
        <f>PortfolioFrontier[[#This Row],[P138 Growth]]/PortfolioFrontier[[#This Row],[P138 HWM]]-1</f>
        <v>-3.1182221350531725E-2</v>
      </c>
      <c r="UI33" s="28">
        <f>SUMPRODUCT(INDEX(PortfolioRef[[SPY]:[PE]],MATCH(UI$1,PortfolioRef[Reference '#]),0),AssetMonthlyReturns[[#This Row],[SPY]:[PE]])</f>
        <v>-2.2874539358838299E-2</v>
      </c>
      <c r="UJ33" s="27">
        <f>IF(ISNUMBER(UJ32),UJ32*(1+PortfolioFrontier[[#This Row],[P139 Return]]),1+PortfolioFrontier[[#This Row],[P139 Return]])</f>
        <v>1.1140236597294741</v>
      </c>
      <c r="UK33" s="27">
        <f>MAX(UK32,PortfolioFrontier[[#This Row],[P139 Growth]])</f>
        <v>1.159436237360973</v>
      </c>
      <c r="UL33" s="27">
        <f>PortfolioFrontier[[#This Row],[P139 Growth]]/PortfolioFrontier[[#This Row],[P139 HWM]]-1</f>
        <v>-3.9167809464765169E-2</v>
      </c>
      <c r="UM33" s="28">
        <f>SUMPRODUCT(INDEX(PortfolioRef[[SPY]:[PE]],MATCH(UM$1,PortfolioRef[Reference '#]),0),AssetMonthlyReturns[[#This Row],[SPY]:[PE]])</f>
        <v>-2.2849853720174743E-2</v>
      </c>
      <c r="UN33" s="27">
        <f>IF(ISNUMBER(UN32),UN32*(1+PortfolioFrontier[[#This Row],[P140 Return]]),1+PortfolioFrontier[[#This Row],[P140 Return]])</f>
        <v>1.1113021044423013</v>
      </c>
      <c r="UO33" s="27">
        <f>MAX(UO32,PortfolioFrontier[[#This Row],[P140 Growth]])</f>
        <v>1.1538858477324712</v>
      </c>
      <c r="UP33" s="27">
        <f>PortfolioFrontier[[#This Row],[P140 Growth]]/PortfolioFrontier[[#This Row],[P140 HWM]]-1</f>
        <v>-3.6904641281329753E-2</v>
      </c>
      <c r="UQ33" s="28">
        <f>SUMPRODUCT(INDEX(PortfolioRef[[SPY]:[PE]],MATCH(UQ$1,PortfolioRef[Reference '#]),0),AssetMonthlyReturns[[#This Row],[SPY]:[PE]])</f>
        <v>-2.2825168081511193E-2</v>
      </c>
      <c r="UR33" s="27">
        <f>IF(ISNUMBER(UR32),UR32*(1+PortfolioFrontier[[#This Row],[P141 Return]]),1+PortfolioFrontier[[#This Row],[P141 Return]])</f>
        <v>1.1084800031937603</v>
      </c>
      <c r="US33" s="27">
        <f>MAX(US32,PortfolioFrontier[[#This Row],[P141 Growth]])</f>
        <v>1.1482571939960202</v>
      </c>
      <c r="UT33" s="27">
        <f>PortfolioFrontier[[#This Row],[P141 Growth]]/PortfolioFrontier[[#This Row],[P141 HWM]]-1</f>
        <v>-3.4641359976010588E-2</v>
      </c>
    </row>
    <row r="34" spans="2:566" x14ac:dyDescent="0.2">
      <c r="B34" s="41">
        <f>AssetMonthlyReturns[[#This Row],[Date]]</f>
        <v>43405</v>
      </c>
      <c r="C34" s="28">
        <f>SUMPRODUCT(INDEX(PortfolioRef[[SPY]:[PE]],MATCH(C$1,PortfolioRef[Reference '#]),0),AssetMonthlyReturns[[#This Row],[SPY]:[PE]])</f>
        <v>1.8235005659439377E-2</v>
      </c>
      <c r="D34" s="29">
        <f>IF(ISNUMBER(D33),D33*(1+PortfolioFrontier[[#This Row],[P1 Return]]),1+PortfolioFrontier[[#This Row],[P1 Return]])</f>
        <v>1.2224358365357055</v>
      </c>
      <c r="E34" s="29">
        <f>MAX(E33,PortfolioFrontier[[#This Row],[P1 Growth]])</f>
        <v>1.2527991836375723</v>
      </c>
      <c r="F34" s="29">
        <f>PortfolioFrontier[[#This Row],[P1 Growth]]/PortfolioFrontier[[#This Row],[P1 HWM]]-1</f>
        <v>-2.4236403965163023E-2</v>
      </c>
      <c r="G34" s="28">
        <f>SUMPRODUCT(INDEX(PortfolioRef[[SPY]:[PE]],MATCH(G$1,PortfolioRef[Reference '#]),0),AssetMonthlyReturns[[#This Row],[SPY]:[PE]])</f>
        <v>1.7566202027524968E-2</v>
      </c>
      <c r="H34" s="27">
        <f>IF(ISNUMBER(H33),H33*(1+PortfolioFrontier[[#This Row],[P2 Return]]),1+PortfolioFrontier[[#This Row],[P2 Return]])</f>
        <v>1.2024633763944259</v>
      </c>
      <c r="I34" s="27">
        <f>MAX(I33,PortfolioFrontier[[#This Row],[P2 Growth]])</f>
        <v>1.2298788051556078</v>
      </c>
      <c r="J34" s="27">
        <f>PortfolioFrontier[[#This Row],[P2 Growth]]/PortfolioFrontier[[#This Row],[P2 HWM]]-1</f>
        <v>-2.2291162874144455E-2</v>
      </c>
      <c r="K34" s="28">
        <f>SUMPRODUCT(INDEX(PortfolioRef[[SPY]:[PE]],MATCH(K$1,PortfolioRef[Reference '#]),0),AssetMonthlyReturns[[#This Row],[SPY]:[PE]])</f>
        <v>1.7476885863121596E-2</v>
      </c>
      <c r="L34" s="27">
        <f>IF(ISNUMBER(L33),L33*(1+PortfolioFrontier[[#This Row],[P3 Return]]),1+PortfolioFrontier[[#This Row],[P3 Return]])</f>
        <v>1.1987416292781006</v>
      </c>
      <c r="M34" s="27">
        <f>MAX(M33,PortfolioFrontier[[#This Row],[P3 Growth]])</f>
        <v>1.2244505218158503</v>
      </c>
      <c r="N34" s="27">
        <f>PortfolioFrontier[[#This Row],[P3 Growth]]/PortfolioFrontier[[#This Row],[P3 HWM]]-1</f>
        <v>-2.0996269003686452E-2</v>
      </c>
      <c r="O34" s="28">
        <f>SUMPRODUCT(INDEX(PortfolioRef[[SPY]:[PE]],MATCH(O$1,PortfolioRef[Reference '#]),0),AssetMonthlyReturns[[#This Row],[SPY]:[PE]])</f>
        <v>1.9644114048172512E-2</v>
      </c>
      <c r="P34" s="27">
        <f>IF(ISNUMBER(P33),P33*(1+PortfolioFrontier[[#This Row],[P4 Return]]),1+PortfolioFrontier[[#This Row],[P4 Return]])</f>
        <v>1.2092128645525659</v>
      </c>
      <c r="Q34" s="27">
        <f>MAX(Q33,PortfolioFrontier[[#This Row],[P4 Growth]])</f>
        <v>1.2369551220975652</v>
      </c>
      <c r="R34" s="27">
        <f>PortfolioFrontier[[#This Row],[P4 Growth]]/PortfolioFrontier[[#This Row],[P4 HWM]]-1</f>
        <v>-2.2427861002713989E-2</v>
      </c>
      <c r="S34" s="28">
        <f>SUMPRODUCT(INDEX(PortfolioRef[[SPY]:[PE]],MATCH(S$1,PortfolioRef[Reference '#]),0),AssetMonthlyReturns[[#This Row],[SPY]:[PE]])</f>
        <v>1.8430086674013791E-2</v>
      </c>
      <c r="T34" s="27">
        <f>IF(ISNUMBER(T33),T33*(1+PortfolioFrontier[[#This Row],[P5 Return]]),1+PortfolioFrontier[[#This Row],[P5 Return]])</f>
        <v>1.2044891485670455</v>
      </c>
      <c r="U34" s="27">
        <f>MAX(U33,PortfolioFrontier[[#This Row],[P5 Growth]])</f>
        <v>1.230722468694271</v>
      </c>
      <c r="V34" s="27">
        <f>PortfolioFrontier[[#This Row],[P5 Growth]]/PortfolioFrontier[[#This Row],[P5 HWM]]-1</f>
        <v>-2.1315382463974797E-2</v>
      </c>
      <c r="W34" s="28">
        <f>SUMPRODUCT(INDEX(PortfolioRef[[SPY]:[PE]],MATCH(W$1,PortfolioRef[Reference '#]),0),AssetMonthlyReturns[[#This Row],[SPY]:[PE]])</f>
        <v>1.6897398395610566E-2</v>
      </c>
      <c r="X34" s="27">
        <f>IF(ISNUMBER(X33),X33*(1+PortfolioFrontier[[#This Row],[P6 Return]]),1+PortfolioFrontier[[#This Row],[P6 Return]])</f>
        <v>1.1827463134609828</v>
      </c>
      <c r="Y34" s="27">
        <f>MAX(Y33,PortfolioFrontier[[#This Row],[P6 Growth]])</f>
        <v>1.207317050319489</v>
      </c>
      <c r="Z34" s="27">
        <f>PortfolioFrontier[[#This Row],[P6 Growth]]/PortfolioFrontier[[#This Row],[P6 HWM]]-1</f>
        <v>-2.0351519803355811E-2</v>
      </c>
      <c r="AA34" s="28">
        <f>SUMPRODUCT(INDEX(PortfolioRef[[SPY]:[PE]],MATCH(AA$1,PortfolioRef[Reference '#]),0),AssetMonthlyReturns[[#This Row],[SPY]:[PE]])</f>
        <v>1.6808082231207191E-2</v>
      </c>
      <c r="AB34" s="27">
        <f>IF(ISNUMBER(AB33),AB33*(1+PortfolioFrontier[[#This Row],[P7 Return]]),1+PortfolioFrontier[[#This Row],[P7 Return]])</f>
        <v>1.179069980362013</v>
      </c>
      <c r="AC34" s="27">
        <f>MAX(AC33,PortfolioFrontier[[#This Row],[P7 Growth]])</f>
        <v>1.2019777210920481</v>
      </c>
      <c r="AD34" s="27">
        <f>PortfolioFrontier[[#This Row],[P7 Growth]]/PortfolioFrontier[[#This Row],[P7 HWM]]-1</f>
        <v>-1.9058373818461871E-2</v>
      </c>
      <c r="AE34" s="28">
        <f>SUMPRODUCT(INDEX(PortfolioRef[[SPY]:[PE]],MATCH(AE$1,PortfolioRef[Reference '#]),0),AssetMonthlyReturns[[#This Row],[SPY]:[PE]])</f>
        <v>1.8975310416258107E-2</v>
      </c>
      <c r="AF34" s="27">
        <f>IF(ISNUMBER(AF33),AF33*(1+PortfolioFrontier[[#This Row],[P8 Return]]),1+PortfolioFrontier[[#This Row],[P8 Return]])</f>
        <v>1.1894064530358879</v>
      </c>
      <c r="AG34" s="27">
        <f>MAX(AG33,PortfolioFrontier[[#This Row],[P8 Growth]])</f>
        <v>1.2142827704518531</v>
      </c>
      <c r="AH34" s="27">
        <f>PortfolioFrontier[[#This Row],[P8 Growth]]/PortfolioFrontier[[#This Row],[P8 HWM]]-1</f>
        <v>-2.0486428714382887E-2</v>
      </c>
      <c r="AI34" s="28">
        <f>SUMPRODUCT(INDEX(PortfolioRef[[SPY]:[PE]],MATCH(AI$1,PortfolioRef[Reference '#]),0),AssetMonthlyReturns[[#This Row],[SPY]:[PE]])</f>
        <v>1.7761283042099386E-2</v>
      </c>
      <c r="AJ34" s="27">
        <f>IF(ISNUMBER(AJ33),AJ33*(1+PortfolioFrontier[[#This Row],[P9 Return]]),1+PortfolioFrontier[[#This Row],[P9 Return]])</f>
        <v>1.1847533417624898</v>
      </c>
      <c r="AK34" s="27">
        <f>MAX(AK33,PortfolioFrontier[[#This Row],[P9 Growth]])</f>
        <v>1.2081574545244378</v>
      </c>
      <c r="AL34" s="27">
        <f>PortfolioFrontier[[#This Row],[P9 Growth]]/PortfolioFrontier[[#This Row],[P9 HWM]]-1</f>
        <v>-1.9371740557740824E-2</v>
      </c>
      <c r="AM34" s="28">
        <f>SUMPRODUCT(INDEX(PortfolioRef[[SPY]:[PE]],MATCH(AM$1,PortfolioRef[Reference '#]),0),AssetMonthlyReturns[[#This Row],[SPY]:[PE]])</f>
        <v>1.6718766066803815E-2</v>
      </c>
      <c r="AN34" s="27">
        <f>IF(ISNUMBER(AN33),AN33*(1+PortfolioFrontier[[#This Row],[P10 Return]]),1+PortfolioFrontier[[#This Row],[P10 Return]])</f>
        <v>1.1753304103149174</v>
      </c>
      <c r="AO34" s="27">
        <f>MAX(AO33,PortfolioFrontier[[#This Row],[P10 Growth]])</f>
        <v>1.196588467741694</v>
      </c>
      <c r="AP34" s="27">
        <f>PortfolioFrontier[[#This Row],[P10 Growth]]/PortfolioFrontier[[#This Row],[P10 HWM]]-1</f>
        <v>-1.7765554323698862E-2</v>
      </c>
      <c r="AQ34" s="28">
        <f>SUMPRODUCT(INDEX(PortfolioRef[[SPY]:[PE]],MATCH(AQ$1,PortfolioRef[Reference '#]),0),AssetMonthlyReturns[[#This Row],[SPY]:[PE]])</f>
        <v>1.8885994251854735E-2</v>
      </c>
      <c r="AR34" s="27">
        <f>IF(ISNUMBER(AR33),AR33*(1+PortfolioFrontier[[#This Row],[P11 Return]]),1+PortfolioFrontier[[#This Row],[P11 Return]])</f>
        <v>1.1857062893679409</v>
      </c>
      <c r="AS34" s="27">
        <f>MAX(AS33,PortfolioFrontier[[#This Row],[P11 Growth]])</f>
        <v>1.208908483674711</v>
      </c>
      <c r="AT34" s="27">
        <f>PortfolioFrontier[[#This Row],[P11 Growth]]/PortfolioFrontier[[#This Row],[P11 HWM]]-1</f>
        <v>-1.919268052139278E-2</v>
      </c>
      <c r="AU34" s="28">
        <f>SUMPRODUCT(INDEX(PortfolioRef[[SPY]:[PE]],MATCH(AU$1,PortfolioRef[Reference '#]),0),AssetMonthlyReturns[[#This Row],[SPY]:[PE]])</f>
        <v>1.767196687769601E-2</v>
      </c>
      <c r="AV34" s="27">
        <f>IF(ISNUMBER(AV33),AV33*(1+PortfolioFrontier[[#This Row],[P12 Return]]),1+PortfolioFrontier[[#This Row],[P12 Return]])</f>
        <v>1.1810943780994938</v>
      </c>
      <c r="AW34" s="27">
        <f>MAX(AW33,PortfolioFrontier[[#This Row],[P12 Growth]])</f>
        <v>1.2028375811784136</v>
      </c>
      <c r="AX34" s="27">
        <f>PortfolioFrontier[[#This Row],[P12 Growth]]/PortfolioFrontier[[#This Row],[P12 HWM]]-1</f>
        <v>-1.807659107027404E-2</v>
      </c>
      <c r="AY34" s="28">
        <f>SUMPRODUCT(INDEX(PortfolioRef[[SPY]:[PE]],MATCH(AY$1,PortfolioRef[Reference '#]),0),AssetMonthlyReturns[[#This Row],[SPY]:[PE]])</f>
        <v>2.105322243690565E-2</v>
      </c>
      <c r="AZ34" s="27">
        <f>IF(ISNUMBER(AZ33),AZ33*(1+PortfolioFrontier[[#This Row],[P13 Return]]),1+PortfolioFrontier[[#This Row],[P13 Return]])</f>
        <v>1.1960316962975146</v>
      </c>
      <c r="BA34" s="27">
        <f>MAX(BA33,PortfolioFrontier[[#This Row],[P13 Growth]])</f>
        <v>1.2212236920710353</v>
      </c>
      <c r="BB34" s="27">
        <f>PortfolioFrontier[[#This Row],[P13 Growth]]/PortfolioFrontier[[#This Row],[P13 HWM]]-1</f>
        <v>-2.0628485949857667E-2</v>
      </c>
      <c r="BC34" s="28">
        <f>SUMPRODUCT(INDEX(PortfolioRef[[SPY]:[PE]],MATCH(BC$1,PortfolioRef[Reference '#]),0),AssetMonthlyReturns[[#This Row],[SPY]:[PE]])</f>
        <v>1.983919506274693E-2</v>
      </c>
      <c r="BD34" s="27">
        <f>IF(ISNUMBER(BD33),BD33*(1+PortfolioFrontier[[#This Row],[P14 Return]]),1+PortfolioFrontier[[#This Row],[P14 Return]])</f>
        <v>1.1914272283740526</v>
      </c>
      <c r="BE34" s="27">
        <f>MAX(BE33,PortfolioFrontier[[#This Row],[P14 Growth]])</f>
        <v>1.2151316397014729</v>
      </c>
      <c r="BF34" s="27">
        <f>PortfolioFrontier[[#This Row],[P14 Growth]]/PortfolioFrontier[[#This Row],[P14 HWM]]-1</f>
        <v>-1.9507689992537602E-2</v>
      </c>
      <c r="BG34" s="28">
        <f>SUMPRODUCT(INDEX(PortfolioRef[[SPY]:[PE]],MATCH(BG$1,PortfolioRef[Reference '#]),0),AssetMonthlyReturns[[#This Row],[SPY]:[PE]])</f>
        <v>1.8625167688588209E-2</v>
      </c>
      <c r="BH34" s="27">
        <f>IF(ISNUMBER(BH33),BH33*(1+PortfolioFrontier[[#This Row],[P15 Return]]),1+PortfolioFrontier[[#This Row],[P15 Return]])</f>
        <v>1.1867246505752207</v>
      </c>
      <c r="BI34" s="27">
        <f>MAX(BI33,PortfolioFrontier[[#This Row],[P15 Growth]])</f>
        <v>1.208960110427493</v>
      </c>
      <c r="BJ34" s="27">
        <f>PortfolioFrontier[[#This Row],[P15 Growth]]/PortfolioFrontier[[#This Row],[P15 HWM]]-1</f>
        <v>-1.8392219611290339E-2</v>
      </c>
      <c r="BK34" s="28">
        <f>SUMPRODUCT(INDEX(PortfolioRef[[SPY]:[PE]],MATCH(BK$1,PortfolioRef[Reference '#]),0),AssetMonthlyReturns[[#This Row],[SPY]:[PE]])</f>
        <v>1.6228594763696161E-2</v>
      </c>
      <c r="BL34" s="27">
        <f>IF(ISNUMBER(BL33),BL33*(1+PortfolioFrontier[[#This Row],[P16 Return]]),1+PortfolioFrontier[[#This Row],[P16 Return]])</f>
        <v>1.1632826490201955</v>
      </c>
      <c r="BM34" s="27">
        <f>MAX(BM33,PortfolioFrontier[[#This Row],[P16 Growth]])</f>
        <v>1.1851093657015759</v>
      </c>
      <c r="BN34" s="27">
        <f>PortfolioFrontier[[#This Row],[P16 Growth]]/PortfolioFrontier[[#This Row],[P16 HWM]]-1</f>
        <v>-1.8417470415027171E-2</v>
      </c>
      <c r="BO34" s="28">
        <f>SUMPRODUCT(INDEX(PortfolioRef[[SPY]:[PE]],MATCH(BO$1,PortfolioRef[Reference '#]),0),AssetMonthlyReturns[[#This Row],[SPY]:[PE]])</f>
        <v>1.6139278599292785E-2</v>
      </c>
      <c r="BP34" s="27">
        <f>IF(ISNUMBER(BP33),BP33*(1+PortfolioFrontier[[#This Row],[P17 Return]]),1+PortfolioFrontier[[#This Row],[P17 Return]])</f>
        <v>1.1596514788754511</v>
      </c>
      <c r="BQ34" s="27">
        <f>MAX(BQ33,PortfolioFrontier[[#This Row],[P17 Growth]])</f>
        <v>1.1798578078345985</v>
      </c>
      <c r="BR34" s="27">
        <f>PortfolioFrontier[[#This Row],[P17 Growth]]/PortfolioFrontier[[#This Row],[P17 HWM]]-1</f>
        <v>-1.7126071315519131E-2</v>
      </c>
      <c r="BS34" s="28">
        <f>SUMPRODUCT(INDEX(PortfolioRef[[SPY]:[PE]],MATCH(BS$1,PortfolioRef[Reference '#]),0),AssetMonthlyReturns[[#This Row],[SPY]:[PE]])</f>
        <v>1.8306506784343701E-2</v>
      </c>
      <c r="BT34" s="27">
        <f>IF(ISNUMBER(BT33),BT33*(1+PortfolioFrontier[[#This Row],[P18 Return]]),1+PortfolioFrontier[[#This Row],[P18 Return]])</f>
        <v>1.1698541960286026</v>
      </c>
      <c r="BU34" s="27">
        <f>MAX(BU33,PortfolioFrontier[[#This Row],[P18 Growth]])</f>
        <v>1.1919658639020045</v>
      </c>
      <c r="BV34" s="27">
        <f>PortfolioFrontier[[#This Row],[P18 Growth]]/PortfolioFrontier[[#This Row],[P18 HWM]]-1</f>
        <v>-1.8550588186323935E-2</v>
      </c>
      <c r="BW34" s="28">
        <f>SUMPRODUCT(INDEX(PortfolioRef[[SPY]:[PE]],MATCH(BW$1,PortfolioRef[Reference '#]),0),AssetMonthlyReturns[[#This Row],[SPY]:[PE]])</f>
        <v>1.709247941018498E-2</v>
      </c>
      <c r="BX34" s="27">
        <f>IF(ISNUMBER(BX33),BX33*(1+PortfolioFrontier[[#This Row],[P19 Return]]),1+PortfolioFrontier[[#This Row],[P19 Return]])</f>
        <v>1.1652709077230829</v>
      </c>
      <c r="BY34" s="27">
        <f>MAX(BY33,PortfolioFrontier[[#This Row],[P19 Growth]])</f>
        <v>1.1859463364551437</v>
      </c>
      <c r="BZ34" s="27">
        <f>PortfolioFrontier[[#This Row],[P19 Growth]]/PortfolioFrontier[[#This Row],[P19 HWM]]-1</f>
        <v>-1.7433696699852952E-2</v>
      </c>
      <c r="CA34" s="28">
        <f>SUMPRODUCT(INDEX(PortfolioRef[[SPY]:[PE]],MATCH(CA$1,PortfolioRef[Reference '#]),0),AssetMonthlyReturns[[#This Row],[SPY]:[PE]])</f>
        <v>1.604996243488941E-2</v>
      </c>
      <c r="CB34" s="27">
        <f>IF(ISNUMBER(CB33),CB33*(1+PortfolioFrontier[[#This Row],[P20 Return]]),1+PortfolioFrontier[[#This Row],[P20 Return]])</f>
        <v>1.1559581000870189</v>
      </c>
      <c r="CC34" s="27">
        <f>MAX(CC33,PortfolioFrontier[[#This Row],[P20 Growth]])</f>
        <v>1.1745572118249088</v>
      </c>
      <c r="CD34" s="27">
        <f>PortfolioFrontier[[#This Row],[P20 Growth]]/PortfolioFrontier[[#This Row],[P20 HWM]]-1</f>
        <v>-1.5834998542976431E-2</v>
      </c>
      <c r="CE34" s="28">
        <f>SUMPRODUCT(INDEX(PortfolioRef[[SPY]:[PE]],MATCH(CE$1,PortfolioRef[Reference '#]),0),AssetMonthlyReturns[[#This Row],[SPY]:[PE]])</f>
        <v>1.8217190619940326E-2</v>
      </c>
      <c r="CF34" s="27">
        <f>IF(ISNUMBER(CF33),CF33*(1+PortfolioFrontier[[#This Row],[P21 Return]]),1+PortfolioFrontier[[#This Row],[P21 Return]])</f>
        <v>1.1661994729333496</v>
      </c>
      <c r="CG34" s="27">
        <f>MAX(CG33,PortfolioFrontier[[#This Row],[P21 Growth]])</f>
        <v>1.1866798900197959</v>
      </c>
      <c r="CH34" s="27">
        <f>PortfolioFrontier[[#This Row],[P21 Growth]]/PortfolioFrontier[[#This Row],[P21 HWM]]-1</f>
        <v>-1.7258586126461362E-2</v>
      </c>
      <c r="CI34" s="28">
        <f>SUMPRODUCT(INDEX(PortfolioRef[[SPY]:[PE]],MATCH(CI$1,PortfolioRef[Reference '#]),0),AssetMonthlyReturns[[#This Row],[SPY]:[PE]])</f>
        <v>1.7003163245781605E-2</v>
      </c>
      <c r="CJ34" s="27">
        <f>IF(ISNUMBER(CJ33),CJ33*(1+PortfolioFrontier[[#This Row],[P22 Return]]),1+PortfolioFrontier[[#This Row],[P22 Return]])</f>
        <v>1.1616567742355237</v>
      </c>
      <c r="CK34" s="27">
        <f>MAX(CK33,PortfolioFrontier[[#This Row],[P22 Growth]])</f>
        <v>1.1807138443972445</v>
      </c>
      <c r="CL34" s="27">
        <f>PortfolioFrontier[[#This Row],[P22 Growth]]/PortfolioFrontier[[#This Row],[P22 HWM]]-1</f>
        <v>-1.6140295340950628E-2</v>
      </c>
      <c r="CM34" s="28">
        <f>SUMPRODUCT(INDEX(PortfolioRef[[SPY]:[PE]],MATCH(CM$1,PortfolioRef[Reference '#]),0),AssetMonthlyReturns[[#This Row],[SPY]:[PE]])</f>
        <v>2.0384418804991245E-2</v>
      </c>
      <c r="CN34" s="27">
        <f>IF(ISNUMBER(CN33),CN33*(1+PortfolioFrontier[[#This Row],[P23 Return]]),1+PortfolioFrontier[[#This Row],[P23 Return]])</f>
        <v>1.1763916294313979</v>
      </c>
      <c r="CO34" s="27">
        <f>MAX(CO33,PortfolioFrontier[[#This Row],[P23 Growth]])</f>
        <v>1.1987982173464886</v>
      </c>
      <c r="CP34" s="27">
        <f>PortfolioFrontier[[#This Row],[P23 Growth]]/PortfolioFrontier[[#This Row],[P23 HWM]]-1</f>
        <v>-1.8690875237274862E-2</v>
      </c>
      <c r="CQ34" s="28">
        <f>SUMPRODUCT(INDEX(PortfolioRef[[SPY]:[PE]],MATCH(CQ$1,PortfolioRef[Reference '#]),0),AssetMonthlyReturns[[#This Row],[SPY]:[PE]])</f>
        <v>1.9170391430832521E-2</v>
      </c>
      <c r="CR34" s="27">
        <f>IF(ISNUMBER(CR33),CR33*(1+PortfolioFrontier[[#This Row],[P24 Return]]),1+PortfolioFrontier[[#This Row],[P24 Return]])</f>
        <v>1.1718560599553314</v>
      </c>
      <c r="CS34" s="27">
        <f>MAX(CS33,PortfolioFrontier[[#This Row],[P24 Growth]])</f>
        <v>1.1928111947407509</v>
      </c>
      <c r="CT34" s="27">
        <f>PortfolioFrontier[[#This Row],[P24 Growth]]/PortfolioFrontier[[#This Row],[P24 HWM]]-1</f>
        <v>-1.7567855564915247E-2</v>
      </c>
      <c r="CU34" s="28">
        <f>SUMPRODUCT(INDEX(PortfolioRef[[SPY]:[PE]],MATCH(CU$1,PortfolioRef[Reference '#]),0),AssetMonthlyReturns[[#This Row],[SPY]:[PE]])</f>
        <v>1.7956364056673804E-2</v>
      </c>
      <c r="CV34" s="27">
        <f>IF(ISNUMBER(CV33),CV33*(1+PortfolioFrontier[[#This Row],[P25 Return]]),1+PortfolioFrontier[[#This Row],[P25 Return]])</f>
        <v>1.1672240357230823</v>
      </c>
      <c r="CW34" s="27">
        <f>MAX(CW33,PortfolioFrontier[[#This Row],[P25 Growth]])</f>
        <v>1.186746221986748</v>
      </c>
      <c r="CX34" s="27">
        <f>PortfolioFrontier[[#This Row],[P25 Growth]]/PortfolioFrontier[[#This Row],[P25 HWM]]-1</f>
        <v>-1.6450177722902914E-2</v>
      </c>
      <c r="CY34" s="28">
        <f>SUMPRODUCT(INDEX(PortfolioRef[[SPY]:[PE]],MATCH(CY$1,PortfolioRef[Reference '#]),0),AssetMonthlyReturns[[#This Row],[SPY]:[PE]])</f>
        <v>1.8127874455536954E-2</v>
      </c>
      <c r="CZ34" s="27">
        <f>IF(ISNUMBER(CZ33),CZ33*(1+PortfolioFrontier[[#This Row],[P26 Return]]),1+PortfolioFrontier[[#This Row],[P26 Return]])</f>
        <v>1.1624823066585772</v>
      </c>
      <c r="DA34" s="27">
        <f>MAX(DA33,PortfolioFrontier[[#This Row],[P26 Growth]])</f>
        <v>1.1813447318412627</v>
      </c>
      <c r="DB34" s="27">
        <f>PortfolioFrontier[[#This Row],[P26 Growth]]/PortfolioFrontier[[#This Row],[P26 HWM]]-1</f>
        <v>-1.5966910144244006E-2</v>
      </c>
      <c r="DC34" s="28">
        <f>SUMPRODUCT(INDEX(PortfolioRef[[SPY]:[PE]],MATCH(DC$1,PortfolioRef[Reference '#]),0),AssetMonthlyReturns[[#This Row],[SPY]:[PE]])</f>
        <v>1.691384708137823E-2</v>
      </c>
      <c r="DD34" s="27">
        <f>IF(ISNUMBER(DD33),DD33*(1+PortfolioFrontier[[#This Row],[P27 Return]]),1+PortfolioFrontier[[#This Row],[P27 Return]])</f>
        <v>1.1579801859188583</v>
      </c>
      <c r="DE34" s="27">
        <f>MAX(DE33,PortfolioFrontier[[#This Row],[P27 Growth]])</f>
        <v>1.1754320853060471</v>
      </c>
      <c r="DF34" s="27">
        <f>PortfolioFrontier[[#This Row],[P27 Growth]]/PortfolioFrontier[[#This Row],[P27 HWM]]-1</f>
        <v>-1.484722052881926E-2</v>
      </c>
      <c r="DG34" s="28">
        <f>SUMPRODUCT(INDEX(PortfolioRef[[SPY]:[PE]],MATCH(DG$1,PortfolioRef[Reference '#]),0),AssetMonthlyReturns[[#This Row],[SPY]:[PE]])</f>
        <v>2.0295102640587873E-2</v>
      </c>
      <c r="DH34" s="27">
        <f>IF(ISNUMBER(DH33),DH33*(1+PortfolioFrontier[[#This Row],[P28 Return]]),1+PortfolioFrontier[[#This Row],[P28 Return]])</f>
        <v>1.1727134145313745</v>
      </c>
      <c r="DI34" s="27">
        <f>MAX(DI33,PortfolioFrontier[[#This Row],[P28 Growth]])</f>
        <v>1.1934778769972798</v>
      </c>
      <c r="DJ34" s="27">
        <f>PortfolioFrontier[[#This Row],[P28 Growth]]/PortfolioFrontier[[#This Row],[P28 HWM]]-1</f>
        <v>-1.7398280157607582E-2</v>
      </c>
      <c r="DK34" s="28">
        <f>SUMPRODUCT(INDEX(PortfolioRef[[SPY]:[PE]],MATCH(DK$1,PortfolioRef[Reference '#]),0),AssetMonthlyReturns[[#This Row],[SPY]:[PE]])</f>
        <v>1.9081075266429149E-2</v>
      </c>
      <c r="DL34" s="27">
        <f>IF(ISNUMBER(DL33),DL33*(1+PortfolioFrontier[[#This Row],[P29 Return]]),1+PortfolioFrontier[[#This Row],[P29 Return]])</f>
        <v>1.1682184571123122</v>
      </c>
      <c r="DM34" s="27">
        <f>MAX(DM33,PortfolioFrontier[[#This Row],[P29 Growth]])</f>
        <v>1.1875443780897539</v>
      </c>
      <c r="DN34" s="27">
        <f>PortfolioFrontier[[#This Row],[P29 Growth]]/PortfolioFrontier[[#This Row],[P29 HWM]]-1</f>
        <v>-1.6273851599995615E-2</v>
      </c>
      <c r="DO34" s="28">
        <f>SUMPRODUCT(INDEX(PortfolioRef[[SPY]:[PE]],MATCH(DO$1,PortfolioRef[Reference '#]),0),AssetMonthlyReturns[[#This Row],[SPY]:[PE]])</f>
        <v>1.7867047892270428E-2</v>
      </c>
      <c r="DP34" s="27">
        <f>IF(ISNUMBER(DP33),DP33*(1+PortfolioFrontier[[#This Row],[P30 Return]]),1+PortfolioFrontier[[#This Row],[P30 Return]])</f>
        <v>1.1636271162130751</v>
      </c>
      <c r="DQ34" s="27">
        <f>MAX(DQ33,PortfolioFrontier[[#This Row],[P30 Growth]])</f>
        <v>1.1815329798730776</v>
      </c>
      <c r="DR34" s="27">
        <f>PortfolioFrontier[[#This Row],[P30 Growth]]/PortfolioFrontier[[#This Row],[P30 HWM]]-1</f>
        <v>-1.5154772625920243E-2</v>
      </c>
      <c r="DS34" s="28">
        <f>SUMPRODUCT(INDEX(PortfolioRef[[SPY]:[PE]],MATCH(DS$1,PortfolioRef[Reference '#]),0),AssetMonthlyReturns[[#This Row],[SPY]:[PE]])</f>
        <v>2.2462330825638789E-2</v>
      </c>
      <c r="DT34" s="27">
        <f>IF(ISNUMBER(DT33),DT33*(1+PortfolioFrontier[[#This Row],[P31 Return]]),1+PortfolioFrontier[[#This Row],[P31 Return]])</f>
        <v>1.1828939281374162</v>
      </c>
      <c r="DU34" s="27">
        <f>MAX(DU33,PortfolioFrontier[[#This Row],[P31 Growth]])</f>
        <v>1.205605513004264</v>
      </c>
      <c r="DV34" s="27">
        <f>PortfolioFrontier[[#This Row],[P31 Growth]]/PortfolioFrontier[[#This Row],[P31 HWM]]-1</f>
        <v>-1.8838322006551222E-2</v>
      </c>
      <c r="DW34" s="28">
        <f>SUMPRODUCT(INDEX(PortfolioRef[[SPY]:[PE]],MATCH(DW$1,PortfolioRef[Reference '#]),0),AssetMonthlyReturns[[#This Row],[SPY]:[PE]])</f>
        <v>2.1248303451480068E-2</v>
      </c>
      <c r="DX34" s="27">
        <f>IF(ISNUMBER(DX33),DX33*(1+PortfolioFrontier[[#This Row],[P32 Return]]),1+PortfolioFrontier[[#This Row],[P32 Return]])</f>
        <v>1.1784071194492709</v>
      </c>
      <c r="DY34" s="27">
        <f>MAX(DY33,PortfolioFrontier[[#This Row],[P32 Growth]])</f>
        <v>1.1996519727361086</v>
      </c>
      <c r="DZ34" s="27">
        <f>PortfolioFrontier[[#This Row],[P32 Growth]]/PortfolioFrontier[[#This Row],[P32 HWM]]-1</f>
        <v>-1.7709180470385499E-2</v>
      </c>
      <c r="EA34" s="28">
        <f>SUMPRODUCT(INDEX(PortfolioRef[[SPY]:[PE]],MATCH(EA$1,PortfolioRef[Reference '#]),0),AssetMonthlyReturns[[#This Row],[SPY]:[PE]])</f>
        <v>2.0034276077321347E-2</v>
      </c>
      <c r="EB34" s="27">
        <f>IF(ISNUMBER(EB33),EB33*(1+PortfolioFrontier[[#This Row],[P33 Return]]),1+PortfolioFrontier[[#This Row],[P33 Return]])</f>
        <v>1.1738226111224586</v>
      </c>
      <c r="EC34" s="27">
        <f>MAX(EC33,PortfolioFrontier[[#This Row],[P33 Growth]])</f>
        <v>1.1936192372696184</v>
      </c>
      <c r="ED34" s="27">
        <f>PortfolioFrontier[[#This Row],[P33 Growth]]/PortfolioFrontier[[#This Row],[P33 HWM]]-1</f>
        <v>-1.6585377923737377E-2</v>
      </c>
      <c r="EE34" s="28">
        <f>SUMPRODUCT(INDEX(PortfolioRef[[SPY]:[PE]],MATCH(EE$1,PortfolioRef[Reference '#]),0),AssetMonthlyReturns[[#This Row],[SPY]:[PE]])</f>
        <v>1.5559791131781752E-2</v>
      </c>
      <c r="EF34" s="27">
        <f>IF(ISNUMBER(EF33),EF33*(1+PortfolioFrontier[[#This Row],[P34 Return]]),1+PortfolioFrontier[[#This Row],[P34 Return]])</f>
        <v>1.1440703770255447</v>
      </c>
      <c r="EG34" s="27">
        <f>MAX(EG33,PortfolioFrontier[[#This Row],[P34 Growth]])</f>
        <v>1.1632512387660898</v>
      </c>
      <c r="EH34" s="27">
        <f>PortfolioFrontier[[#This Row],[P34 Growth]]/PortfolioFrontier[[#This Row],[P34 HWM]]-1</f>
        <v>-1.6489010371388946E-2</v>
      </c>
      <c r="EI34" s="28">
        <f>SUMPRODUCT(INDEX(PortfolioRef[[SPY]:[PE]],MATCH(EI$1,PortfolioRef[Reference '#]),0),AssetMonthlyReturns[[#This Row],[SPY]:[PE]])</f>
        <v>1.547047496737838E-2</v>
      </c>
      <c r="EJ34" s="27">
        <f>IF(ISNUMBER(EJ33),EJ33*(1+PortfolioFrontier[[#This Row],[P35 Return]]),1+PortfolioFrontier[[#This Row],[P35 Return]])</f>
        <v>1.1404841137027368</v>
      </c>
      <c r="EK34" s="27">
        <f>MAX(EK33,PortfolioFrontier[[#This Row],[P35 Growth]])</f>
        <v>1.1580862807018495</v>
      </c>
      <c r="EL34" s="27">
        <f>PortfolioFrontier[[#This Row],[P35 Growth]]/PortfolioFrontier[[#This Row],[P35 HWM]]-1</f>
        <v>-1.519935715708931E-2</v>
      </c>
      <c r="EM34" s="28">
        <f>SUMPRODUCT(INDEX(PortfolioRef[[SPY]:[PE]],MATCH(EM$1,PortfolioRef[Reference '#]),0),AssetMonthlyReturns[[#This Row],[SPY]:[PE]])</f>
        <v>1.7637703152429296E-2</v>
      </c>
      <c r="EN34" s="27">
        <f>IF(ISNUMBER(EN33),EN33*(1+PortfolioFrontier[[#This Row],[P36 Return]]),1+PortfolioFrontier[[#This Row],[P36 Return]])</f>
        <v>1.1505540882260534</v>
      </c>
      <c r="EO34" s="27">
        <f>MAX(EO33,PortfolioFrontier[[#This Row],[P36 Growth]])</f>
        <v>1.1699998782469747</v>
      </c>
      <c r="EP34" s="27">
        <f>PortfolioFrontier[[#This Row],[P36 Growth]]/PortfolioFrontier[[#This Row],[P36 HWM]]-1</f>
        <v>-1.662033508076699E-2</v>
      </c>
      <c r="EQ34" s="28">
        <f>SUMPRODUCT(INDEX(PortfolioRef[[SPY]:[PE]],MATCH(EQ$1,PortfolioRef[Reference '#]),0),AssetMonthlyReturns[[#This Row],[SPY]:[PE]])</f>
        <v>1.6423675778270575E-2</v>
      </c>
      <c r="ER34" s="27">
        <f>IF(ISNUMBER(ER33),ER33*(1+PortfolioFrontier[[#This Row],[P37 Return]]),1+PortfolioFrontier[[#This Row],[P37 Return]])</f>
        <v>1.1460398455354959</v>
      </c>
      <c r="ES34" s="27">
        <f>MAX(ES33,PortfolioFrontier[[#This Row],[P37 Growth]])</f>
        <v>1.1640846080529437</v>
      </c>
      <c r="ET34" s="27">
        <f>PortfolioFrontier[[#This Row],[P37 Growth]]/PortfolioFrontier[[#This Row],[P37 HWM]]-1</f>
        <v>-1.5501246552541925E-2</v>
      </c>
      <c r="EU34" s="28">
        <f>SUMPRODUCT(INDEX(PortfolioRef[[SPY]:[PE]],MATCH(EU$1,PortfolioRef[Reference '#]),0),AssetMonthlyReturns[[#This Row],[SPY]:[PE]])</f>
        <v>1.5381158802975005E-2</v>
      </c>
      <c r="EV34" s="27">
        <f>IF(ISNUMBER(EV33),EV33*(1+PortfolioFrontier[[#This Row],[P38 Return]]),1+PortfolioFrontier[[#This Row],[P38 Return]])</f>
        <v>1.1368366559700898</v>
      </c>
      <c r="EW34" s="27">
        <f>MAX(EW33,PortfolioFrontier[[#This Row],[P38 Growth]])</f>
        <v>1.1528731562830647</v>
      </c>
      <c r="EX34" s="27">
        <f>PortfolioFrontier[[#This Row],[P38 Growth]]/PortfolioFrontier[[#This Row],[P38 HWM]]-1</f>
        <v>-1.3910030106588422E-2</v>
      </c>
      <c r="EY34" s="28">
        <f>SUMPRODUCT(INDEX(PortfolioRef[[SPY]:[PE]],MATCH(EY$1,PortfolioRef[Reference '#]),0),AssetMonthlyReturns[[#This Row],[SPY]:[PE]])</f>
        <v>1.7548386988025921E-2</v>
      </c>
      <c r="EZ34" s="27">
        <f>IF(ISNUMBER(EZ33),EZ33*(1+PortfolioFrontier[[#This Row],[P39 Return]]),1+PortfolioFrontier[[#This Row],[P39 Return]])</f>
        <v>1.1469445479292124</v>
      </c>
      <c r="FA34" s="27">
        <f>MAX(FA33,PortfolioFrontier[[#This Row],[P39 Growth]])</f>
        <v>1.1648010388890722</v>
      </c>
      <c r="FB34" s="27">
        <f>PortfolioFrontier[[#This Row],[P39 Growth]]/PortfolioFrontier[[#This Row],[P39 HWM]]-1</f>
        <v>-1.5330078153853899E-2</v>
      </c>
      <c r="FC34" s="28">
        <f>SUMPRODUCT(INDEX(PortfolioRef[[SPY]:[PE]],MATCH(FC$1,PortfolioRef[Reference '#]),0),AssetMonthlyReturns[[#This Row],[SPY]:[PE]])</f>
        <v>1.63343596138672E-2</v>
      </c>
      <c r="FD34" s="27">
        <f>IF(ISNUMBER(FD33),FD33*(1+PortfolioFrontier[[#This Row],[P40 Return]]),1+PortfolioFrontier[[#This Row],[P40 Return]])</f>
        <v>1.142470291243368</v>
      </c>
      <c r="FE34" s="27">
        <f>MAX(FE33,PortfolioFrontier[[#This Row],[P40 Growth]])</f>
        <v>1.1589383324741944</v>
      </c>
      <c r="FF34" s="27">
        <f>PortfolioFrontier[[#This Row],[P40 Growth]]/PortfolioFrontier[[#This Row],[P40 HWM]]-1</f>
        <v>-1.4209592322025566E-2</v>
      </c>
      <c r="FG34" s="28">
        <f>SUMPRODUCT(INDEX(PortfolioRef[[SPY]:[PE]],MATCH(FG$1,PortfolioRef[Reference '#]),0),AssetMonthlyReturns[[#This Row],[SPY]:[PE]])</f>
        <v>1.971561517307684E-2</v>
      </c>
      <c r="FH34" s="27">
        <f>IF(ISNUMBER(FH33),FH33*(1+PortfolioFrontier[[#This Row],[P41 Return]]),1+PortfolioFrontier[[#This Row],[P41 Return]])</f>
        <v>1.157004454807893</v>
      </c>
      <c r="FI34" s="27">
        <f>MAX(FI33,PortfolioFrontier[[#This Row],[P41 Growth]])</f>
        <v>1.1767250128183893</v>
      </c>
      <c r="FJ34" s="27">
        <f>PortfolioFrontier[[#This Row],[P41 Growth]]/PortfolioFrontier[[#This Row],[P41 HWM]]-1</f>
        <v>-1.6758850025005656E-2</v>
      </c>
      <c r="FK34" s="28">
        <f>SUMPRODUCT(INDEX(PortfolioRef[[SPY]:[PE]],MATCH(FK$1,PortfolioRef[Reference '#]),0),AssetMonthlyReturns[[#This Row],[SPY]:[PE]])</f>
        <v>1.8501587798918116E-2</v>
      </c>
      <c r="FL34" s="27">
        <f>IF(ISNUMBER(FL33),FL33*(1+PortfolioFrontier[[#This Row],[P42 Return]]),1+PortfolioFrontier[[#This Row],[P42 Return]])</f>
        <v>1.1525370209870172</v>
      </c>
      <c r="FM34" s="27">
        <f>MAX(FM33,PortfolioFrontier[[#This Row],[P42 Growth]])</f>
        <v>1.1708415038556184</v>
      </c>
      <c r="FN34" s="27">
        <f>PortfolioFrontier[[#This Row],[P42 Growth]]/PortfolioFrontier[[#This Row],[P42 HWM]]-1</f>
        <v>-1.5633612925681217E-2</v>
      </c>
      <c r="FO34" s="28">
        <f>SUMPRODUCT(INDEX(PortfolioRef[[SPY]:[PE]],MATCH(FO$1,PortfolioRef[Reference '#]),0),AssetMonthlyReturns[[#This Row],[SPY]:[PE]])</f>
        <v>1.7287560424759398E-2</v>
      </c>
      <c r="FP34" s="27">
        <f>IF(ISNUMBER(FP33),FP33*(1+PortfolioFrontier[[#This Row],[P43 Return]]),1+PortfolioFrontier[[#This Row],[P43 Return]])</f>
        <v>1.1479747645568832</v>
      </c>
      <c r="FQ34" s="27">
        <f>MAX(FQ33,PortfolioFrontier[[#This Row],[P43 Growth]])</f>
        <v>1.1648815453438119</v>
      </c>
      <c r="FR34" s="27">
        <f>PortfolioFrontier[[#This Row],[P43 Growth]]/PortfolioFrontier[[#This Row],[P43 HWM]]-1</f>
        <v>-1.4513733910977877E-2</v>
      </c>
      <c r="FS34" s="28">
        <f>SUMPRODUCT(INDEX(PortfolioRef[[SPY]:[PE]],MATCH(FS$1,PortfolioRef[Reference '#]),0),AssetMonthlyReturns[[#This Row],[SPY]:[PE]])</f>
        <v>1.7459070823622549E-2</v>
      </c>
      <c r="FT34" s="27">
        <f>IF(ISNUMBER(FT33),FT33*(1+PortfolioFrontier[[#This Row],[P44 Return]]),1+PortfolioFrontier[[#This Row],[P44 Return]])</f>
        <v>1.1432735812491299</v>
      </c>
      <c r="FU34" s="27">
        <f>MAX(FU33,PortfolioFrontier[[#This Row],[P44 Growth]])</f>
        <v>1.1595538884615353</v>
      </c>
      <c r="FV34" s="27">
        <f>PortfolioFrontier[[#This Row],[P44 Growth]]/PortfolioFrontier[[#This Row],[P44 HWM]]-1</f>
        <v>-1.4040147141419768E-2</v>
      </c>
      <c r="FW34" s="28">
        <f>SUMPRODUCT(INDEX(PortfolioRef[[SPY]:[PE]],MATCH(FW$1,PortfolioRef[Reference '#]),0),AssetMonthlyReturns[[#This Row],[SPY]:[PE]])</f>
        <v>1.6245043449463824E-2</v>
      </c>
      <c r="FX34" s="27">
        <f>IF(ISNUMBER(FX33),FX33*(1+PortfolioFrontier[[#This Row],[P45 Return]]),1+PortfolioFrontier[[#This Row],[P45 Return]])</f>
        <v>1.1388392992389003</v>
      </c>
      <c r="FY34" s="27">
        <f>MAX(FY33,PortfolioFrontier[[#This Row],[P45 Growth]])</f>
        <v>1.1537436650403796</v>
      </c>
      <c r="FZ34" s="27">
        <f>PortfolioFrontier[[#This Row],[P45 Growth]]/PortfolioFrontier[[#This Row],[P45 HWM]]-1</f>
        <v>-1.2918264475114349E-2</v>
      </c>
      <c r="GA34" s="28">
        <f>SUMPRODUCT(INDEX(PortfolioRef[[SPY]:[PE]],MATCH(GA$1,PortfolioRef[Reference '#]),0),AssetMonthlyReturns[[#This Row],[SPY]:[PE]])</f>
        <v>1.9626299008673468E-2</v>
      </c>
      <c r="GB34" s="27">
        <f>IF(ISNUMBER(GB33),GB33*(1+PortfolioFrontier[[#This Row],[P46 Return]]),1+PortfolioFrontier[[#This Row],[P46 Return]])</f>
        <v>1.1533716977742394</v>
      </c>
      <c r="GC34" s="27">
        <f>MAX(GC33,PortfolioFrontier[[#This Row],[P46 Growth]])</f>
        <v>1.1714923405076605</v>
      </c>
      <c r="GD34" s="27">
        <f>PortfolioFrontier[[#This Row],[P46 Growth]]/PortfolioFrontier[[#This Row],[P46 HWM]]-1</f>
        <v>-1.546799932602938E-2</v>
      </c>
      <c r="GE34" s="28">
        <f>SUMPRODUCT(INDEX(PortfolioRef[[SPY]:[PE]],MATCH(GE$1,PortfolioRef[Reference '#]),0),AssetMonthlyReturns[[#This Row],[SPY]:[PE]])</f>
        <v>1.8412271634514744E-2</v>
      </c>
      <c r="GF34" s="27">
        <f>IF(ISNUMBER(GF33),GF33*(1+PortfolioFrontier[[#This Row],[P47 Return]]),1+PortfolioFrontier[[#This Row],[P47 Return]])</f>
        <v>1.1489442720263003</v>
      </c>
      <c r="GG34" s="27">
        <f>MAX(GG33,PortfolioFrontier[[#This Row],[P47 Growth]])</f>
        <v>1.1656614368953246</v>
      </c>
      <c r="GH34" s="27">
        <f>PortfolioFrontier[[#This Row],[P47 Growth]]/PortfolioFrontier[[#This Row],[P47 HWM]]-1</f>
        <v>-1.434135533688885E-2</v>
      </c>
      <c r="GI34" s="28">
        <f>SUMPRODUCT(INDEX(PortfolioRef[[SPY]:[PE]],MATCH(GI$1,PortfolioRef[Reference '#]),0),AssetMonthlyReturns[[#This Row],[SPY]:[PE]])</f>
        <v>1.7198244260356023E-2</v>
      </c>
      <c r="GJ34" s="27">
        <f>IF(ISNUMBER(GJ33),GJ33*(1+PortfolioFrontier[[#This Row],[P48 Return]]),1+PortfolioFrontier[[#This Row],[P48 Return]])</f>
        <v>1.1444220946646309</v>
      </c>
      <c r="GK34" s="27">
        <f>MAX(GK33,PortfolioFrontier[[#This Row],[P48 Growth]])</f>
        <v>1.1597541338301369</v>
      </c>
      <c r="GL34" s="27">
        <f>PortfolioFrontier[[#This Row],[P48 Growth]]/PortfolioFrontier[[#This Row],[P48 HWM]]-1</f>
        <v>-1.3220077185559509E-2</v>
      </c>
      <c r="GM34" s="28">
        <f>SUMPRODUCT(INDEX(PortfolioRef[[SPY]:[PE]],MATCH(GM$1,PortfolioRef[Reference '#]),0),AssetMonthlyReturns[[#This Row],[SPY]:[PE]])</f>
        <v>2.1793527193724384E-2</v>
      </c>
      <c r="GN34" s="27">
        <f>IF(ISNUMBER(GN33),GN33*(1+PortfolioFrontier[[#This Row],[P49 Return]]),1+PortfolioFrontier[[#This Row],[P49 Return]])</f>
        <v>1.1634204708095306</v>
      </c>
      <c r="GO34" s="27">
        <f>MAX(GO33,PortfolioFrontier[[#This Row],[P49 Growth]])</f>
        <v>1.1834257453364068</v>
      </c>
      <c r="GP34" s="27">
        <f>PortfolioFrontier[[#This Row],[P49 Growth]]/PortfolioFrontier[[#This Row],[P49 HWM]]-1</f>
        <v>-1.6904545642776547E-2</v>
      </c>
      <c r="GQ34" s="28">
        <f>SUMPRODUCT(INDEX(PortfolioRef[[SPY]:[PE]],MATCH(GQ$1,PortfolioRef[Reference '#]),0),AssetMonthlyReturns[[#This Row],[SPY]:[PE]])</f>
        <v>2.0579499819565663E-2</v>
      </c>
      <c r="GR34" s="27">
        <f>IF(ISNUMBER(GR33),GR33*(1+PortfolioFrontier[[#This Row],[P50 Return]]),1+PortfolioFrontier[[#This Row],[P50 Return]])</f>
        <v>1.1590008720666332</v>
      </c>
      <c r="GS34" s="27">
        <f>MAX(GS33,PortfolioFrontier[[#This Row],[P50 Growth]])</f>
        <v>1.177574957698575</v>
      </c>
      <c r="GT34" s="27">
        <f>PortfolioFrontier[[#This Row],[P50 Growth]]/PortfolioFrontier[[#This Row],[P50 HWM]]-1</f>
        <v>-1.5773166294434926E-2</v>
      </c>
      <c r="GU34" s="28">
        <f>SUMPRODUCT(INDEX(PortfolioRef[[SPY]:[PE]],MATCH(GU$1,PortfolioRef[Reference '#]),0),AssetMonthlyReturns[[#This Row],[SPY]:[PE]])</f>
        <v>1.9365472445406942E-2</v>
      </c>
      <c r="GV34" s="27">
        <f>IF(ISNUMBER(GV33),GV33*(1+PortfolioFrontier[[#This Row],[P51 Return]]),1+PortfolioFrontier[[#This Row],[P51 Return]])</f>
        <v>1.1544852247343917</v>
      </c>
      <c r="GW34" s="27">
        <f>MAX(GW33,PortfolioFrontier[[#This Row],[P51 Growth]])</f>
        <v>1.1716464975807377</v>
      </c>
      <c r="GX34" s="27">
        <f>PortfolioFrontier[[#This Row],[P51 Growth]]/PortfolioFrontier[[#This Row],[P51 HWM]]-1</f>
        <v>-1.4647142189885054E-2</v>
      </c>
      <c r="GY34" s="28">
        <f>SUMPRODUCT(INDEX(PortfolioRef[[SPY]:[PE]],MATCH(GY$1,PortfolioRef[Reference '#]),0),AssetMonthlyReturns[[#This Row],[SPY]:[PE]])</f>
        <v>1.9536982844270089E-2</v>
      </c>
      <c r="GZ34" s="27">
        <f>IF(ISNUMBER(GZ33),GZ33*(1+PortfolioFrontier[[#This Row],[P52 Return]]),1+PortfolioFrontier[[#This Row],[P52 Return]])</f>
        <v>1.1496772848158487</v>
      </c>
      <c r="HA34" s="27">
        <f>MAX(HA33,PortfolioFrontier[[#This Row],[P52 Growth]])</f>
        <v>1.166211214326248</v>
      </c>
      <c r="HB34" s="27">
        <f>PortfolioFrontier[[#This Row],[P52 Growth]]/PortfolioFrontier[[#This Row],[P52 HWM]]-1</f>
        <v>-1.4177474292211611E-2</v>
      </c>
      <c r="HC34" s="28">
        <f>SUMPRODUCT(INDEX(PortfolioRef[[SPY]:[PE]],MATCH(HC$1,PortfolioRef[Reference '#]),0),AssetMonthlyReturns[[#This Row],[SPY]:[PE]])</f>
        <v>1.8322955470111368E-2</v>
      </c>
      <c r="HD34" s="27">
        <f>IF(ISNUMBER(HD33),HD33*(1+PortfolioFrontier[[#This Row],[P53 Return]]),1+PortfolioFrontier[[#This Row],[P53 Return]])</f>
        <v>1.1452898521201356</v>
      </c>
      <c r="HE34" s="27">
        <f>MAX(HE33,PortfolioFrontier[[#This Row],[P53 Growth]])</f>
        <v>1.1604328320323583</v>
      </c>
      <c r="HF34" s="27">
        <f>PortfolioFrontier[[#This Row],[P53 Growth]]/PortfolioFrontier[[#This Row],[P53 HWM]]-1</f>
        <v>-1.3049423882381506E-2</v>
      </c>
      <c r="HG34" s="28">
        <f>SUMPRODUCT(INDEX(PortfolioRef[[SPY]:[PE]],MATCH(HG$1,PortfolioRef[Reference '#]),0),AssetMonthlyReturns[[#This Row],[SPY]:[PE]])</f>
        <v>1.7108928095952648E-2</v>
      </c>
      <c r="HH34" s="27">
        <f>IF(ISNUMBER(HH33),HH33*(1+PortfolioFrontier[[#This Row],[P54 Return]]),1+PortfolioFrontier[[#This Row],[P54 Return]])</f>
        <v>1.1408077457312402</v>
      </c>
      <c r="HI34" s="27">
        <f>MAX(HI33,PortfolioFrontier[[#This Row],[P54 Growth]])</f>
        <v>1.1545781067758707</v>
      </c>
      <c r="HJ34" s="27">
        <f>PortfolioFrontier[[#This Row],[P54 Growth]]/PortfolioFrontier[[#This Row],[P54 HWM]]-1</f>
        <v>-1.1926747063551901E-2</v>
      </c>
      <c r="HK34" s="28">
        <f>SUMPRODUCT(INDEX(PortfolioRef[[SPY]:[PE]],MATCH(HK$1,PortfolioRef[Reference '#]),0),AssetMonthlyReturns[[#This Row],[SPY]:[PE]])</f>
        <v>2.1704211029321008E-2</v>
      </c>
      <c r="HL34" s="27">
        <f>IF(ISNUMBER(HL33),HL33*(1+PortfolioFrontier[[#This Row],[P55 Return]]),1+PortfolioFrontier[[#This Row],[P55 Return]])</f>
        <v>1.1597645601283402</v>
      </c>
      <c r="HM34" s="27">
        <f>MAX(HM33,PortfolioFrontier[[#This Row],[P55 Growth]])</f>
        <v>1.1781592920632975</v>
      </c>
      <c r="HN34" s="27">
        <f>PortfolioFrontier[[#This Row],[P55 Growth]]/PortfolioFrontier[[#This Row],[P55 HWM]]-1</f>
        <v>-1.5613111112286693E-2</v>
      </c>
      <c r="HO34" s="28">
        <f>SUMPRODUCT(INDEX(PortfolioRef[[SPY]:[PE]],MATCH(HO$1,PortfolioRef[Reference '#]),0),AssetMonthlyReturns[[#This Row],[SPY]:[PE]])</f>
        <v>2.0490183655162284E-2</v>
      </c>
      <c r="HP34" s="27">
        <f>IF(ISNUMBER(HP33),HP33*(1+PortfolioFrontier[[#This Row],[P56 Return]]),1+PortfolioFrontier[[#This Row],[P56 Return]])</f>
        <v>1.1553849880822524</v>
      </c>
      <c r="HQ34" s="27">
        <f>MAX(HQ33,PortfolioFrontier[[#This Row],[P56 Growth]])</f>
        <v>1.1723611471239099</v>
      </c>
      <c r="HR34" s="27">
        <f>PortfolioFrontier[[#This Row],[P56 Growth]]/PortfolioFrontier[[#This Row],[P56 HWM]]-1</f>
        <v>-1.4480315287916379E-2</v>
      </c>
      <c r="HS34" s="28">
        <f>SUMPRODUCT(INDEX(PortfolioRef[[SPY]:[PE]],MATCH(HS$1,PortfolioRef[Reference '#]),0),AssetMonthlyReturns[[#This Row],[SPY]:[PE]])</f>
        <v>1.9276156281003567E-2</v>
      </c>
      <c r="HT34" s="27">
        <f>IF(ISNUMBER(HT33),HT33*(1+PortfolioFrontier[[#This Row],[P57 Return]]),1+PortfolioFrontier[[#This Row],[P57 Return]])</f>
        <v>1.1509094434888643</v>
      </c>
      <c r="HU34" s="27">
        <f>MAX(HU33,PortfolioFrontier[[#This Row],[P57 Growth]])</f>
        <v>1.1664853857365276</v>
      </c>
      <c r="HV34" s="27">
        <f>PortfolioFrontier[[#This Row],[P57 Growth]]/PortfolioFrontier[[#This Row],[P57 HWM]]-1</f>
        <v>-1.3352882460527904E-2</v>
      </c>
      <c r="HW34" s="28">
        <f>SUMPRODUCT(INDEX(PortfolioRef[[SPY]:[PE]],MATCH(HW$1,PortfolioRef[Reference '#]),0),AssetMonthlyReturns[[#This Row],[SPY]:[PE]])</f>
        <v>2.3871439214371928E-2</v>
      </c>
      <c r="HX34" s="27">
        <f>IF(ISNUMBER(HX33),HX33*(1+PortfolioFrontier[[#This Row],[P58 Return]]),1+PortfolioFrontier[[#This Row],[P58 Return]])</f>
        <v>1.1698011284719567</v>
      </c>
      <c r="HY34" s="27">
        <f>MAX(HY33,PortfolioFrontier[[#This Row],[P58 Growth]])</f>
        <v>1.1901011749788666</v>
      </c>
      <c r="HZ34" s="27">
        <f>PortfolioFrontier[[#This Row],[P58 Growth]]/PortfolioFrontier[[#This Row],[P58 HWM]]-1</f>
        <v>-1.7057412372750824E-2</v>
      </c>
      <c r="IA34" s="28">
        <f>SUMPRODUCT(INDEX(PortfolioRef[[SPY]:[PE]],MATCH(IA$1,PortfolioRef[Reference '#]),0),AssetMonthlyReturns[[#This Row],[SPY]:[PE]])</f>
        <v>2.2657411840213203E-2</v>
      </c>
      <c r="IB34" s="27">
        <f>IF(ISNUMBER(IB33),IB33*(1+PortfolioFrontier[[#This Row],[P59 Return]]),1+PortfolioFrontier[[#This Row],[P59 Return]])</f>
        <v>1.165430392020669</v>
      </c>
      <c r="IC34" s="27">
        <f>MAX(IC33,PortfolioFrontier[[#This Row],[P59 Growth]])</f>
        <v>1.1842840725904875</v>
      </c>
      <c r="ID34" s="27">
        <f>PortfolioFrontier[[#This Row],[P59 Growth]]/PortfolioFrontier[[#This Row],[P59 HWM]]-1</f>
        <v>-1.5919897097474434E-2</v>
      </c>
      <c r="IE34" s="28">
        <f>SUMPRODUCT(INDEX(PortfolioRef[[SPY]:[PE]],MATCH(IE$1,PortfolioRef[Reference '#]),0),AssetMonthlyReturns[[#This Row],[SPY]:[PE]])</f>
        <v>2.1443384466054483E-2</v>
      </c>
      <c r="IF34" s="27">
        <f>IF(ISNUMBER(IF33),IF33*(1+PortfolioFrontier[[#This Row],[P60 Return]]),1+PortfolioFrontier[[#This Row],[P60 Return]])</f>
        <v>1.1609623816771739</v>
      </c>
      <c r="IG34" s="27">
        <f>MAX(IG33,PortfolioFrontier[[#This Row],[P60 Growth]])</f>
        <v>1.1783880712895027</v>
      </c>
      <c r="IH34" s="27">
        <f>PortfolioFrontier[[#This Row],[P60 Growth]]/PortfolioFrontier[[#This Row],[P60 HWM]]-1</f>
        <v>-1.4787734225160665E-2</v>
      </c>
      <c r="II34" s="28">
        <f>SUMPRODUCT(INDEX(PortfolioRef[[SPY]:[PE]],MATCH(II$1,PortfolioRef[Reference '#]),0),AssetMonthlyReturns[[#This Row],[SPY]:[PE]])</f>
        <v>1.4890987499867347E-2</v>
      </c>
      <c r="IJ34" s="27">
        <f>IF(ISNUMBER(IJ33),IJ33*(1+PortfolioFrontier[[#This Row],[P61 Return]]),1+PortfolioFrontier[[#This Row],[P61 Return]])</f>
        <v>1.1251074846575582</v>
      </c>
      <c r="IK34" s="27">
        <f>MAX(IK33,PortfolioFrontier[[#This Row],[P61 Growth]])</f>
        <v>1.1417381977629368</v>
      </c>
      <c r="IL34" s="27">
        <f>PortfolioFrontier[[#This Row],[P61 Growth]]/PortfolioFrontier[[#This Row],[P61 HWM]]-1</f>
        <v>-1.4566135334671326E-2</v>
      </c>
      <c r="IM34" s="28">
        <f>SUMPRODUCT(INDEX(PortfolioRef[[SPY]:[PE]],MATCH(IM$1,PortfolioRef[Reference '#]),0),AssetMonthlyReturns[[#This Row],[SPY]:[PE]])</f>
        <v>1.4801671335463971E-2</v>
      </c>
      <c r="IN34" s="27">
        <f>IF(ISNUMBER(IN33),IN33*(1+PortfolioFrontier[[#This Row],[P62 Return]]),1+PortfolioFrontier[[#This Row],[P62 Return]])</f>
        <v>1.1215658671345068</v>
      </c>
      <c r="IO34" s="27">
        <f>MAX(IO33,PortfolioFrontier[[#This Row],[P62 Growth]])</f>
        <v>1.1366586791033009</v>
      </c>
      <c r="IP34" s="27">
        <f>PortfolioFrontier[[#This Row],[P62 Growth]]/PortfolioFrontier[[#This Row],[P62 HWM]]-1</f>
        <v>-1.3278227005402043E-2</v>
      </c>
      <c r="IQ34" s="28">
        <f>SUMPRODUCT(INDEX(PortfolioRef[[SPY]:[PE]],MATCH(IQ$1,PortfolioRef[Reference '#]),0),AssetMonthlyReturns[[#This Row],[SPY]:[PE]])</f>
        <v>1.6968899520514891E-2</v>
      </c>
      <c r="IR34" s="27">
        <f>IF(ISNUMBER(IR33),IR33*(1+PortfolioFrontier[[#This Row],[P63 Return]]),1+PortfolioFrontier[[#This Row],[P63 Return]])</f>
        <v>1.1315041174008476</v>
      </c>
      <c r="IS34" s="27">
        <f>MAX(IS33,PortfolioFrontier[[#This Row],[P63 Growth]])</f>
        <v>1.1483803300933251</v>
      </c>
      <c r="IT34" s="27">
        <f>PortfolioFrontier[[#This Row],[P63 Growth]]/PortfolioFrontier[[#This Row],[P63 HWM]]-1</f>
        <v>-1.4695665059942353E-2</v>
      </c>
      <c r="IU34" s="28">
        <f>SUMPRODUCT(INDEX(PortfolioRef[[SPY]:[PE]],MATCH(IU$1,PortfolioRef[Reference '#]),0),AssetMonthlyReturns[[#This Row],[SPY]:[PE]])</f>
        <v>1.575487214635617E-2</v>
      </c>
      <c r="IV34" s="27">
        <f>IF(ISNUMBER(IV33),IV33*(1+PortfolioFrontier[[#This Row],[P64 Return]]),1+PortfolioFrontier[[#This Row],[P64 Return]])</f>
        <v>1.1270581474060373</v>
      </c>
      <c r="IW34" s="27">
        <f>MAX(IW33,PortfolioFrontier[[#This Row],[P64 Growth]])</f>
        <v>1.1425678035489761</v>
      </c>
      <c r="IX34" s="27">
        <f>PortfolioFrontier[[#This Row],[P64 Growth]]/PortfolioFrontier[[#This Row],[P64 HWM]]-1</f>
        <v>-1.3574385778037601E-2</v>
      </c>
      <c r="IY34" s="28">
        <f>SUMPRODUCT(INDEX(PortfolioRef[[SPY]:[PE]],MATCH(IY$1,PortfolioRef[Reference '#]),0),AssetMonthlyReturns[[#This Row],[SPY]:[PE]])</f>
        <v>1.47123551710606E-2</v>
      </c>
      <c r="IZ34" s="27">
        <f>IF(ISNUMBER(IZ33),IZ33*(1+PortfolioFrontier[[#This Row],[P65 Return]]),1+PortfolioFrontier[[#This Row],[P65 Return]])</f>
        <v>1.1179640555061603</v>
      </c>
      <c r="JA34" s="27">
        <f>MAX(JA33,PortfolioFrontier[[#This Row],[P65 Growth]])</f>
        <v>1.1320832550752244</v>
      </c>
      <c r="JB34" s="27">
        <f>PortfolioFrontier[[#This Row],[P65 Growth]]/PortfolioFrontier[[#This Row],[P65 HWM]]-1</f>
        <v>-1.2471873871260475E-2</v>
      </c>
      <c r="JC34" s="28">
        <f>SUMPRODUCT(INDEX(PortfolioRef[[SPY]:[PE]],MATCH(JC$1,PortfolioRef[Reference '#]),0),AssetMonthlyReturns[[#This Row],[SPY]:[PE]])</f>
        <v>1.6879583356111515E-2</v>
      </c>
      <c r="JD34" s="27">
        <f>IF(ISNUMBER(JD33),JD33*(1+PortfolioFrontier[[#This Row],[P66 Return]]),1+PortfolioFrontier[[#This Row],[P66 Return]])</f>
        <v>1.1279394972229131</v>
      </c>
      <c r="JE34" s="27">
        <f>MAX(JE33,PortfolioFrontier[[#This Row],[P66 Growth]])</f>
        <v>1.143267458114388</v>
      </c>
      <c r="JF34" s="27">
        <f>PortfolioFrontier[[#This Row],[P66 Growth]]/PortfolioFrontier[[#This Row],[P66 HWM]]-1</f>
        <v>-1.3407152265801026E-2</v>
      </c>
      <c r="JG34" s="28">
        <f>SUMPRODUCT(INDEX(PortfolioRef[[SPY]:[PE]],MATCH(JG$1,PortfolioRef[Reference '#]),0),AssetMonthlyReturns[[#This Row],[SPY]:[PE]])</f>
        <v>1.5665555981952795E-2</v>
      </c>
      <c r="JH34" s="27">
        <f>IF(ISNUMBER(JH33),JH33*(1+PortfolioFrontier[[#This Row],[P67 Return]]),1+PortfolioFrontier[[#This Row],[P67 Return]])</f>
        <v>1.1235329163839711</v>
      </c>
      <c r="JI34" s="27">
        <f>MAX(JI33,PortfolioFrontier[[#This Row],[P67 Growth]])</f>
        <v>1.1375065907034629</v>
      </c>
      <c r="JJ34" s="27">
        <f>PortfolioFrontier[[#This Row],[P67 Growth]]/PortfolioFrontier[[#This Row],[P67 HWM]]-1</f>
        <v>-1.2284477675729488E-2</v>
      </c>
      <c r="JK34" s="28">
        <f>SUMPRODUCT(INDEX(PortfolioRef[[SPY]:[PE]],MATCH(JK$1,PortfolioRef[Reference '#]),0),AssetMonthlyReturns[[#This Row],[SPY]:[PE]])</f>
        <v>1.9046811541162435E-2</v>
      </c>
      <c r="JL34" s="27">
        <f>IF(ISNUMBER(JL33),JL33*(1+PortfolioFrontier[[#This Row],[P68 Return]]),1+PortfolioFrontier[[#This Row],[P68 Return]])</f>
        <v>1.1378681609599706</v>
      </c>
      <c r="JM34" s="27">
        <f>MAX(JM33,PortfolioFrontier[[#This Row],[P68 Growth]])</f>
        <v>1.1549995836864886</v>
      </c>
      <c r="JN34" s="27">
        <f>PortfolioFrontier[[#This Row],[P68 Growth]]/PortfolioFrontier[[#This Row],[P68 HWM]]-1</f>
        <v>-1.4832405975280571E-2</v>
      </c>
      <c r="JO34" s="28">
        <f>SUMPRODUCT(INDEX(PortfolioRef[[SPY]:[PE]],MATCH(JO$1,PortfolioRef[Reference '#]),0),AssetMonthlyReturns[[#This Row],[SPY]:[PE]])</f>
        <v>1.783278416700371E-2</v>
      </c>
      <c r="JP34" s="27">
        <f>IF(ISNUMBER(JP33),JP33*(1+PortfolioFrontier[[#This Row],[P69 Return]]),1+PortfolioFrontier[[#This Row],[P69 Return]])</f>
        <v>1.1334681042678365</v>
      </c>
      <c r="JQ34" s="27">
        <f>MAX(JQ33,PortfolioFrontier[[#This Row],[P69 Growth]])</f>
        <v>1.1492180896167041</v>
      </c>
      <c r="JR34" s="27">
        <f>PortfolioFrontier[[#This Row],[P69 Growth]]/PortfolioFrontier[[#This Row],[P69 HWM]]-1</f>
        <v>-1.3704957737065149E-2</v>
      </c>
      <c r="JS34" s="28">
        <f>SUMPRODUCT(INDEX(PortfolioRef[[SPY]:[PE]],MATCH(JS$1,PortfolioRef[Reference '#]),0),AssetMonthlyReturns[[#This Row],[SPY]:[PE]])</f>
        <v>1.6618756792844993E-2</v>
      </c>
      <c r="JT34" s="27">
        <f>IF(ISNUMBER(JT33),JT33*(1+PortfolioFrontier[[#This Row],[P70 Return]]),1+PortfolioFrontier[[#This Row],[P70 Return]])</f>
        <v>1.1289748343688959</v>
      </c>
      <c r="JU34" s="27">
        <f>MAX(JU33,PortfolioFrontier[[#This Row],[P70 Growth]])</f>
        <v>1.1433616208283146</v>
      </c>
      <c r="JV34" s="27">
        <f>PortfolioFrontier[[#This Row],[P70 Growth]]/PortfolioFrontier[[#This Row],[P70 HWM]]-1</f>
        <v>-1.2582883837745196E-2</v>
      </c>
      <c r="JW34" s="28">
        <f>SUMPRODUCT(INDEX(PortfolioRef[[SPY]:[PE]],MATCH(JW$1,PortfolioRef[Reference '#]),0),AssetMonthlyReturns[[#This Row],[SPY]:[PE]])</f>
        <v>1.679026719170814E-2</v>
      </c>
      <c r="JX34" s="27">
        <f>IF(ISNUMBER(JX33),JX33*(1+PortfolioFrontier[[#This Row],[P71 Return]]),1+PortfolioFrontier[[#This Row],[P71 Return]])</f>
        <v>1.1243144535115346</v>
      </c>
      <c r="JY34" s="27">
        <f>MAX(JY33,PortfolioFrontier[[#This Row],[P71 Growth]])</f>
        <v>1.1381071342920368</v>
      </c>
      <c r="JZ34" s="27">
        <f>PortfolioFrontier[[#This Row],[P71 Growth]]/PortfolioFrontier[[#This Row],[P71 HWM]]-1</f>
        <v>-1.2118965222972622E-2</v>
      </c>
      <c r="KA34" s="28">
        <f>SUMPRODUCT(INDEX(PortfolioRef[[SPY]:[PE]],MATCH(KA$1,PortfolioRef[Reference '#]),0),AssetMonthlyReturns[[#This Row],[SPY]:[PE]])</f>
        <v>1.5576239817549419E-2</v>
      </c>
      <c r="KB34" s="27">
        <f>IF(ISNUMBER(KB33),KB33*(1+PortfolioFrontier[[#This Row],[P72 Return]]),1+PortfolioFrontier[[#This Row],[P72 Return]])</f>
        <v>1.1199472508198463</v>
      </c>
      <c r="KC34" s="27">
        <f>MAX(KC33,PortfolioFrontier[[#This Row],[P72 Growth]])</f>
        <v>1.1323978471464129</v>
      </c>
      <c r="KD34" s="27">
        <f>PortfolioFrontier[[#This Row],[P72 Growth]]/PortfolioFrontier[[#This Row],[P72 HWM]]-1</f>
        <v>-1.0994895793860371E-2</v>
      </c>
      <c r="KE34" s="28">
        <f>SUMPRODUCT(INDEX(PortfolioRef[[SPY]:[PE]],MATCH(KE$1,PortfolioRef[Reference '#]),0),AssetMonthlyReturns[[#This Row],[SPY]:[PE]])</f>
        <v>1.8957495376759059E-2</v>
      </c>
      <c r="KF34" s="27">
        <f>IF(ISNUMBER(KF33),KF33*(1+PortfolioFrontier[[#This Row],[P73 Return]]),1+PortfolioFrontier[[#This Row],[P73 Return]])</f>
        <v>1.1342805974635115</v>
      </c>
      <c r="KG34" s="27">
        <f>MAX(KG33,PortfolioFrontier[[#This Row],[P73 Growth]])</f>
        <v>1.1498534055463847</v>
      </c>
      <c r="KH34" s="27">
        <f>PortfolioFrontier[[#This Row],[P73 Growth]]/PortfolioFrontier[[#This Row],[P73 HWM]]-1</f>
        <v>-1.354329865681736E-2</v>
      </c>
      <c r="KI34" s="28">
        <f>SUMPRODUCT(INDEX(PortfolioRef[[SPY]:[PE]],MATCH(KI$1,PortfolioRef[Reference '#]),0),AssetMonthlyReturns[[#This Row],[SPY]:[PE]])</f>
        <v>1.7743468002600338E-2</v>
      </c>
      <c r="KJ34" s="27">
        <f>IF(ISNUMBER(KJ33),KJ33*(1+PortfolioFrontier[[#This Row],[P74 Return]]),1+PortfolioFrontier[[#This Row],[P74 Return]])</f>
        <v>1.1299199516213076</v>
      </c>
      <c r="KK34" s="27">
        <f>MAX(KK33,PortfolioFrontier[[#This Row],[P74 Growth]])</f>
        <v>1.1441236118738931</v>
      </c>
      <c r="KL34" s="27">
        <f>PortfolioFrontier[[#This Row],[P74 Growth]]/PortfolioFrontier[[#This Row],[P74 HWM]]-1</f>
        <v>-1.2414445524222772E-2</v>
      </c>
      <c r="KM34" s="28">
        <f>SUMPRODUCT(INDEX(PortfolioRef[[SPY]:[PE]],MATCH(KM$1,PortfolioRef[Reference '#]),0),AssetMonthlyReturns[[#This Row],[SPY]:[PE]])</f>
        <v>1.6529440628441618E-2</v>
      </c>
      <c r="KN34" s="27">
        <f>IF(ISNUMBER(KN33),KN33*(1+PortfolioFrontier[[#This Row],[P75 Return]]),1+PortfolioFrontier[[#This Row],[P75 Return]])</f>
        <v>1.1254661632731546</v>
      </c>
      <c r="KO34" s="27">
        <f>MAX(KO33,PortfolioFrontier[[#This Row],[P75 Growth]])</f>
        <v>1.1383188928466144</v>
      </c>
      <c r="KP34" s="27">
        <f>PortfolioFrontier[[#This Row],[P75 Growth]]/PortfolioFrontier[[#This Row],[P75 HWM]]-1</f>
        <v>-1.129097448371319E-2</v>
      </c>
      <c r="KQ34" s="28">
        <f>SUMPRODUCT(INDEX(PortfolioRef[[SPY]:[PE]],MATCH(KQ$1,PortfolioRef[Reference '#]),0),AssetMonthlyReturns[[#This Row],[SPY]:[PE]])</f>
        <v>2.1124723561809979E-2</v>
      </c>
      <c r="KR34" s="27">
        <f>IF(ISNUMBER(KR33),KR33*(1+PortfolioFrontier[[#This Row],[P76 Return]]),1+PortfolioFrontier[[#This Row],[P76 Return]])</f>
        <v>1.1441986243392055</v>
      </c>
      <c r="KS34" s="27">
        <f>MAX(KS33,PortfolioFrontier[[#This Row],[P76 Growth]])</f>
        <v>1.1615950770514989</v>
      </c>
      <c r="KT34" s="27">
        <f>PortfolioFrontier[[#This Row],[P76 Growth]]/PortfolioFrontier[[#This Row],[P76 HWM]]-1</f>
        <v>-1.4976348519357696E-2</v>
      </c>
      <c r="KU34" s="28">
        <f>SUMPRODUCT(INDEX(PortfolioRef[[SPY]:[PE]],MATCH(KU$1,PortfolioRef[Reference '#]),0),AssetMonthlyReturns[[#This Row],[SPY]:[PE]])</f>
        <v>1.9910696187651254E-2</v>
      </c>
      <c r="KV34" s="27">
        <f>IF(ISNUMBER(KV33),KV33*(1+PortfolioFrontier[[#This Row],[P77 Return]]),1+PortfolioFrontier[[#This Row],[P77 Return]])</f>
        <v>1.1398454915894092</v>
      </c>
      <c r="KW34" s="27">
        <f>MAX(KW33,PortfolioFrontier[[#This Row],[P77 Growth]])</f>
        <v>1.1558455584148977</v>
      </c>
      <c r="KX34" s="27">
        <f>PortfolioFrontier[[#This Row],[P77 Growth]]/PortfolioFrontier[[#This Row],[P77 HWM]]-1</f>
        <v>-1.3842737646914238E-2</v>
      </c>
      <c r="KY34" s="28">
        <f>SUMPRODUCT(INDEX(PortfolioRef[[SPY]:[PE]],MATCH(KY$1,PortfolioRef[Reference '#]),0),AssetMonthlyReturns[[#This Row],[SPY]:[PE]])</f>
        <v>1.8696668813492533E-2</v>
      </c>
      <c r="KZ34" s="27">
        <f>IF(ISNUMBER(KZ33),KZ33*(1+PortfolioFrontier[[#This Row],[P78 Return]]),1+PortfolioFrontier[[#This Row],[P78 Return]])</f>
        <v>1.135397938331745</v>
      </c>
      <c r="LA34" s="27">
        <f>MAX(LA33,PortfolioFrontier[[#This Row],[P78 Growth]])</f>
        <v>1.1500198639047448</v>
      </c>
      <c r="LB34" s="27">
        <f>PortfolioFrontier[[#This Row],[P78 Growth]]/PortfolioFrontier[[#This Row],[P78 HWM]]-1</f>
        <v>-1.2714498272536678E-2</v>
      </c>
      <c r="LC34" s="28">
        <f>SUMPRODUCT(INDEX(PortfolioRef[[SPY]:[PE]],MATCH(LC$1,PortfolioRef[Reference '#]),0),AssetMonthlyReturns[[#This Row],[SPY]:[PE]])</f>
        <v>1.8868179212355684E-2</v>
      </c>
      <c r="LD34" s="27">
        <f>IF(ISNUMBER(LD33),LD33*(1+PortfolioFrontier[[#This Row],[P79 Return]]),1+PortfolioFrontier[[#This Row],[P79 Return]])</f>
        <v>1.1306323833892267</v>
      </c>
      <c r="LE34" s="27">
        <f>MAX(LE33,PortfolioFrontier[[#This Row],[P79 Growth]])</f>
        <v>1.1446596341524125</v>
      </c>
      <c r="LF34" s="27">
        <f>PortfolioFrontier[[#This Row],[P79 Growth]]/PortfolioFrontier[[#This Row],[P79 HWM]]-1</f>
        <v>-1.2254516840346619E-2</v>
      </c>
      <c r="LG34" s="28">
        <f>SUMPRODUCT(INDEX(PortfolioRef[[SPY]:[PE]],MATCH(LG$1,PortfolioRef[Reference '#]),0),AssetMonthlyReturns[[#This Row],[SPY]:[PE]])</f>
        <v>1.7654151838196963E-2</v>
      </c>
      <c r="LH34" s="27">
        <f>IF(ISNUMBER(LH33),LH33*(1+PortfolioFrontier[[#This Row],[P80 Return]]),1+PortfolioFrontier[[#This Row],[P80 Return]])</f>
        <v>1.1263111337584306</v>
      </c>
      <c r="LI34" s="27">
        <f>MAX(LI33,PortfolioFrontier[[#This Row],[P80 Growth]])</f>
        <v>1.1389814588243516</v>
      </c>
      <c r="LJ34" s="27">
        <f>PortfolioFrontier[[#This Row],[P80 Growth]]/PortfolioFrontier[[#This Row],[P80 HWM]]-1</f>
        <v>-1.1124259282498938E-2</v>
      </c>
      <c r="LK34" s="28">
        <f>SUMPRODUCT(INDEX(PortfolioRef[[SPY]:[PE]],MATCH(LK$1,PortfolioRef[Reference '#]),0),AssetMonthlyReturns[[#This Row],[SPY]:[PE]])</f>
        <v>1.6440124464038242E-2</v>
      </c>
      <c r="LL34" s="27">
        <f>IF(ISNUMBER(LL33),LL33*(1+PortfolioFrontier[[#This Row],[P81 Return]]),1+PortfolioFrontier[[#This Row],[P81 Return]])</f>
        <v>1.1218968191367114</v>
      </c>
      <c r="LM34" s="27">
        <f>MAX(LM33,PortfolioFrontier[[#This Row],[P81 Growth]])</f>
        <v>1.1332284137843067</v>
      </c>
      <c r="LN34" s="27">
        <f>PortfolioFrontier[[#This Row],[P81 Growth]]/PortfolioFrontier[[#This Row],[P81 HWM]]-1</f>
        <v>-9.9993915699259084E-3</v>
      </c>
      <c r="LO34" s="28">
        <f>SUMPRODUCT(INDEX(PortfolioRef[[SPY]:[PE]],MATCH(LO$1,PortfolioRef[Reference '#]),0),AssetMonthlyReturns[[#This Row],[SPY]:[PE]])</f>
        <v>2.1035407397406603E-2</v>
      </c>
      <c r="LP34" s="27">
        <f>IF(ISNUMBER(LP33),LP33*(1+PortfolioFrontier[[#This Row],[P82 Return]]),1+PortfolioFrontier[[#This Row],[P82 Return]])</f>
        <v>1.1405881796794068</v>
      </c>
      <c r="LQ34" s="27">
        <f>MAX(LQ33,PortfolioFrontier[[#This Row],[P82 Growth]])</f>
        <v>1.1564156434986412</v>
      </c>
      <c r="LR34" s="27">
        <f>PortfolioFrontier[[#This Row],[P82 Growth]]/PortfolioFrontier[[#This Row],[P82 HWM]]-1</f>
        <v>-1.3686656617122317E-2</v>
      </c>
      <c r="LS34" s="28">
        <f>SUMPRODUCT(INDEX(PortfolioRef[[SPY]:[PE]],MATCH(LS$1,PortfolioRef[Reference '#]),0),AssetMonthlyReturns[[#This Row],[SPY]:[PE]])</f>
        <v>1.9821380023247879E-2</v>
      </c>
      <c r="LT34" s="27">
        <f>IF(ISNUMBER(LT33),LT33*(1+PortfolioFrontier[[#This Row],[P83 Return]]),1+PortfolioFrontier[[#This Row],[P83 Return]])</f>
        <v>1.1362744760756185</v>
      </c>
      <c r="LU34" s="27">
        <f>MAX(LU33,PortfolioFrontier[[#This Row],[P83 Growth]])</f>
        <v>1.1507178623731242</v>
      </c>
      <c r="LV34" s="27">
        <f>PortfolioFrontier[[#This Row],[P83 Growth]]/PortfolioFrontier[[#This Row],[P83 HWM]]-1</f>
        <v>-1.2551631264086871E-2</v>
      </c>
      <c r="LW34" s="28">
        <f>SUMPRODUCT(INDEX(PortfolioRef[[SPY]:[PE]],MATCH(LW$1,PortfolioRef[Reference '#]),0),AssetMonthlyReturns[[#This Row],[SPY]:[PE]])</f>
        <v>1.8607352649089162E-2</v>
      </c>
      <c r="LX34" s="27">
        <f>IF(ISNUMBER(LX33),LX33*(1+PortfolioFrontier[[#This Row],[P84 Return]]),1+PortfolioFrontier[[#This Row],[P84 Return]])</f>
        <v>1.1318664276405919</v>
      </c>
      <c r="LY34" s="27">
        <f>MAX(LY33,PortfolioFrontier[[#This Row],[P84 Growth]])</f>
        <v>1.1449439605698946</v>
      </c>
      <c r="LZ34" s="27">
        <f>PortfolioFrontier[[#This Row],[P84 Growth]]/PortfolioFrontier[[#This Row],[P84 HWM]]-1</f>
        <v>-1.1421985162307302E-2</v>
      </c>
      <c r="MA34" s="28">
        <f>SUMPRODUCT(INDEX(PortfolioRef[[SPY]:[PE]],MATCH(MA$1,PortfolioRef[Reference '#]),0),AssetMonthlyReturns[[#This Row],[SPY]:[PE]])</f>
        <v>2.3202635582457522E-2</v>
      </c>
      <c r="MB34" s="27">
        <f>IF(ISNUMBER(MB33),MB33*(1+PortfolioFrontier[[#This Row],[P85 Return]]),1+PortfolioFrontier[[#This Row],[P85 Return]])</f>
        <v>1.1504945147228636</v>
      </c>
      <c r="MC34" s="27">
        <f>MAX(MC33,PortfolioFrontier[[#This Row],[P85 Growth]])</f>
        <v>1.1681659250480558</v>
      </c>
      <c r="MD34" s="27">
        <f>PortfolioFrontier[[#This Row],[P85 Growth]]/PortfolioFrontier[[#This Row],[P85 HWM]]-1</f>
        <v>-1.5127483130844888E-2</v>
      </c>
      <c r="ME34" s="28">
        <f>SUMPRODUCT(INDEX(PortfolioRef[[SPY]:[PE]],MATCH(ME$1,PortfolioRef[Reference '#]),0),AssetMonthlyReturns[[#This Row],[SPY]:[PE]])</f>
        <v>2.1988608208298798E-2</v>
      </c>
      <c r="MF34" s="27">
        <f>IF(ISNUMBER(MF33),MF33*(1+PortfolioFrontier[[#This Row],[P86 Return]]),1+PortfolioFrontier[[#This Row],[P86 Return]])</f>
        <v>1.1461893175860238</v>
      </c>
      <c r="MG34" s="27">
        <f>MAX(MG33,PortfolioFrontier[[#This Row],[P86 Growth]])</f>
        <v>1.1624493285963451</v>
      </c>
      <c r="MH34" s="27">
        <f>PortfolioFrontier[[#This Row],[P86 Growth]]/PortfolioFrontier[[#This Row],[P86 HWM]]-1</f>
        <v>-1.3987715946255697E-2</v>
      </c>
      <c r="MI34" s="28">
        <f>SUMPRODUCT(INDEX(PortfolioRef[[SPY]:[PE]],MATCH(MI$1,PortfolioRef[Reference '#]),0),AssetMonthlyReturns[[#This Row],[SPY]:[PE]])</f>
        <v>2.0774580834140077E-2</v>
      </c>
      <c r="MJ34" s="27">
        <f>IF(ISNUMBER(MJ33),MJ33*(1+PortfolioFrontier[[#This Row],[P87 Return]]),1+PortfolioFrontier[[#This Row],[P87 Return]])</f>
        <v>1.1417884932704805</v>
      </c>
      <c r="MK34" s="27">
        <f>MAX(MK33,PortfolioFrontier[[#This Row],[P87 Growth]])</f>
        <v>1.1566553516495048</v>
      </c>
      <c r="ML34" s="27">
        <f>PortfolioFrontier[[#This Row],[P87 Growth]]/PortfolioFrontier[[#This Row],[P87 HWM]]-1</f>
        <v>-1.2853317418903387E-2</v>
      </c>
      <c r="MM34" s="28">
        <f>SUMPRODUCT(INDEX(PortfolioRef[[SPY]:[PE]],MATCH(MM$1,PortfolioRef[Reference '#]),0),AssetMonthlyReturns[[#This Row],[SPY]:[PE]])</f>
        <v>2.0946091233003228E-2</v>
      </c>
      <c r="MN34" s="27">
        <f>IF(ISNUMBER(MN33),MN33*(1+PortfolioFrontier[[#This Row],[P88 Return]]),1+PortfolioFrontier[[#This Row],[P88 Return]])</f>
        <v>1.1369168598189625</v>
      </c>
      <c r="MO34" s="27">
        <f>MAX(MO33,PortfolioFrontier[[#This Row],[P88 Growth]])</f>
        <v>1.1511884771778493</v>
      </c>
      <c r="MP34" s="27">
        <f>PortfolioFrontier[[#This Row],[P88 Growth]]/PortfolioFrontier[[#This Row],[P88 HWM]]-1</f>
        <v>-1.2397289967559288E-2</v>
      </c>
      <c r="MQ34" s="28">
        <f>SUMPRODUCT(INDEX(PortfolioRef[[SPY]:[PE]],MATCH(MQ$1,PortfolioRef[Reference '#]),0),AssetMonthlyReturns[[#This Row],[SPY]:[PE]])</f>
        <v>1.9732063858844507E-2</v>
      </c>
      <c r="MR34" s="27">
        <f>IF(ISNUMBER(MR33),MR33*(1+PortfolioFrontier[[#This Row],[P89 Return]]),1+PortfolioFrontier[[#This Row],[P89 Return]])</f>
        <v>1.1326425670573972</v>
      </c>
      <c r="MS34" s="27">
        <f>MAX(MS33,PortfolioFrontier[[#This Row],[P89 Growth]])</f>
        <v>1.145542348301092</v>
      </c>
      <c r="MT34" s="27">
        <f>PortfolioFrontier[[#This Row],[P89 Growth]]/PortfolioFrontier[[#This Row],[P89 HWM]]-1</f>
        <v>-1.1260850603058037E-2</v>
      </c>
      <c r="MU34" s="28">
        <f>SUMPRODUCT(INDEX(PortfolioRef[[SPY]:[PE]],MATCH(MU$1,PortfolioRef[Reference '#]),0),AssetMonthlyReturns[[#This Row],[SPY]:[PE]])</f>
        <v>1.8518036484685786E-2</v>
      </c>
      <c r="MV34" s="27">
        <f>IF(ISNUMBER(MV33),MV33*(1+PortfolioFrontier[[#This Row],[P90 Return]]),1+PortfolioFrontier[[#This Row],[P90 Return]])</f>
        <v>1.128274011996067</v>
      </c>
      <c r="MW34" s="27">
        <f>MAX(MW33,PortfolioFrontier[[#This Row],[P90 Growth]])</f>
        <v>1.139820160252734</v>
      </c>
      <c r="MX34" s="27">
        <f>PortfolioFrontier[[#This Row],[P90 Growth]]/PortfolioFrontier[[#This Row],[P90 HWM]]-1</f>
        <v>-1.012979824300253E-2</v>
      </c>
      <c r="MY34" s="28">
        <f>SUMPRODUCT(INDEX(PortfolioRef[[SPY]:[PE]],MATCH(MY$1,PortfolioRef[Reference '#]),0),AssetMonthlyReturns[[#This Row],[SPY]:[PE]])</f>
        <v>2.3113319418054147E-2</v>
      </c>
      <c r="MZ34" s="27">
        <f>IF(ISNUMBER(MZ33),MZ33*(1+PortfolioFrontier[[#This Row],[P91 Return]]),1+PortfolioFrontier[[#This Row],[P91 Return]])</f>
        <v>1.1468612538822438</v>
      </c>
      <c r="NA34" s="27">
        <f>MAX(NA33,PortfolioFrontier[[#This Row],[P91 Growth]])</f>
        <v>1.1629532904407611</v>
      </c>
      <c r="NB34" s="27">
        <f>PortfolioFrontier[[#This Row],[P91 Growth]]/PortfolioFrontier[[#This Row],[P91 HWM]]-1</f>
        <v>-1.3837216585387058E-2</v>
      </c>
      <c r="NC34" s="28">
        <f>SUMPRODUCT(INDEX(PortfolioRef[[SPY]:[PE]],MATCH(NC$1,PortfolioRef[Reference '#]),0),AssetMonthlyReturns[[#This Row],[SPY]:[PE]])</f>
        <v>2.1899292043895423E-2</v>
      </c>
      <c r="ND34" s="27">
        <f>IF(ISNUMBER(ND33),ND33*(1+PortfolioFrontier[[#This Row],[P92 Return]]),1+PortfolioFrontier[[#This Row],[P92 Return]])</f>
        <v>1.1425955007668049</v>
      </c>
      <c r="NE34" s="27">
        <f>MAX(NE33,PortfolioFrontier[[#This Row],[P92 Growth]])</f>
        <v>1.1572884644299457</v>
      </c>
      <c r="NF34" s="27">
        <f>PortfolioFrontier[[#This Row],[P92 Growth]]/PortfolioFrontier[[#This Row],[P92 HWM]]-1</f>
        <v>-1.2696025333993277E-2</v>
      </c>
      <c r="NG34" s="28">
        <f>SUMPRODUCT(INDEX(PortfolioRef[[SPY]:[PE]],MATCH(NG$1,PortfolioRef[Reference '#]),0),AssetMonthlyReturns[[#This Row],[SPY]:[PE]])</f>
        <v>2.0685264669736705E-2</v>
      </c>
      <c r="NH34" s="27">
        <f>IF(ISNUMBER(NH33),NH33*(1+PortfolioFrontier[[#This Row],[P93 Return]]),1+PortfolioFrontier[[#This Row],[P93 Return]])</f>
        <v>1.1382342011611537</v>
      </c>
      <c r="NI34" s="27">
        <f>MAX(NI33,PortfolioFrontier[[#This Row],[P93 Growth]])</f>
        <v>1.151546319001278</v>
      </c>
      <c r="NJ34" s="27">
        <f>PortfolioFrontier[[#This Row],[P93 Growth]]/PortfolioFrontier[[#This Row],[P93 HWM]]-1</f>
        <v>-1.1560210493026246E-2</v>
      </c>
      <c r="NK34" s="28">
        <f>SUMPRODUCT(INDEX(PortfolioRef[[SPY]:[PE]],MATCH(NK$1,PortfolioRef[Reference '#]),0),AssetMonthlyReturns[[#This Row],[SPY]:[PE]])</f>
        <v>2.5280547603105063E-2</v>
      </c>
      <c r="NL34" s="27">
        <f>IF(ISNUMBER(NL33),NL33*(1+PortfolioFrontier[[#This Row],[P94 Return]]),1+PortfolioFrontier[[#This Row],[P94 Return]])</f>
        <v>1.1567548376632255</v>
      </c>
      <c r="NM34" s="27">
        <f>MAX(NM33,PortfolioFrontier[[#This Row],[P94 Growth]])</f>
        <v>1.1747112390123344</v>
      </c>
      <c r="NN34" s="27">
        <f>PortfolioFrontier[[#This Row],[P94 Growth]]/PortfolioFrontier[[#This Row],[P94 HWM]]-1</f>
        <v>-1.5285800248413528E-2</v>
      </c>
      <c r="NO34" s="28">
        <f>SUMPRODUCT(INDEX(PortfolioRef[[SPY]:[PE]],MATCH(NO$1,PortfolioRef[Reference '#]),0),AssetMonthlyReturns[[#This Row],[SPY]:[PE]])</f>
        <v>2.4066520228946342E-2</v>
      </c>
      <c r="NP34" s="27">
        <f>IF(ISNUMBER(NP33),NP33*(1+PortfolioFrontier[[#This Row],[P95 Return]]),1+PortfolioFrontier[[#This Row],[P95 Return]])</f>
        <v>1.1524985886442576</v>
      </c>
      <c r="NQ34" s="27">
        <f>MAX(NQ33,PortfolioFrontier[[#This Row],[P95 Growth]])</f>
        <v>1.1690285151584914</v>
      </c>
      <c r="NR34" s="27">
        <f>PortfolioFrontier[[#This Row],[P95 Growth]]/PortfolioFrontier[[#This Row],[P95 HWM]]-1</f>
        <v>-1.4139883073761239E-2</v>
      </c>
      <c r="NS34" s="28">
        <f>SUMPRODUCT(INDEX(PortfolioRef[[SPY]:[PE]],MATCH(NS$1,PortfolioRef[Reference '#]),0),AssetMonthlyReturns[[#This Row],[SPY]:[PE]])</f>
        <v>2.2852492854787621E-2</v>
      </c>
      <c r="NT34" s="27">
        <f>IF(ISNUMBER(NT33),NT33*(1+PortfolioFrontier[[#This Row],[P96 Return]]),1+PortfolioFrontier[[#This Row],[P96 Return]])</f>
        <v>1.148145506636068</v>
      </c>
      <c r="NU34" s="27">
        <f>MAX(NU33,PortfolioFrontier[[#This Row],[P96 Growth]])</f>
        <v>1.1632672028800872</v>
      </c>
      <c r="NV34" s="27">
        <f>PortfolioFrontier[[#This Row],[P96 Growth]]/PortfolioFrontier[[#This Row],[P96 HWM]]-1</f>
        <v>-1.2999331715516482E-2</v>
      </c>
      <c r="NW34" s="28">
        <f>SUMPRODUCT(INDEX(PortfolioRef[[SPY]:[PE]],MATCH(NW$1,PortfolioRef[Reference '#]),0),AssetMonthlyReturns[[#This Row],[SPY]:[PE]])</f>
        <v>1.4222183867952943E-2</v>
      </c>
      <c r="NX34" s="27">
        <f>IF(ISNUMBER(NX33),NX33*(1+PortfolioFrontier[[#This Row],[P97 Return]]),1+PortfolioFrontier[[#This Row],[P97 Return]])</f>
        <v>1.1063919528728388</v>
      </c>
      <c r="NY34" s="27">
        <f>MAX(NY33,PortfolioFrontier[[#This Row],[P97 Growth]])</f>
        <v>1.1205658116171582</v>
      </c>
      <c r="NZ34" s="27">
        <f>PortfolioFrontier[[#This Row],[P97 Growth]]/PortfolioFrontier[[#This Row],[P97 HWM]]-1</f>
        <v>-1.2648840967104169E-2</v>
      </c>
      <c r="OA34" s="28">
        <f>SUMPRODUCT(INDEX(PortfolioRef[[SPY]:[PE]],MATCH(OA$1,PortfolioRef[Reference '#]),0),AssetMonthlyReturns[[#This Row],[SPY]:[PE]])</f>
        <v>1.413286770354957E-2</v>
      </c>
      <c r="OB34" s="27">
        <f>IF(ISNUMBER(OB33),OB33*(1+PortfolioFrontier[[#This Row],[P98 Return]]),1+PortfolioFrontier[[#This Row],[P98 Return]])</f>
        <v>1.1028947154140238</v>
      </c>
      <c r="OC34" s="27">
        <f>MAX(OC33,PortfolioFrontier[[#This Row],[P98 Growth]])</f>
        <v>1.1155705830878779</v>
      </c>
      <c r="OD34" s="27">
        <f>PortfolioFrontier[[#This Row],[P98 Growth]]/PortfolioFrontier[[#This Row],[P98 HWM]]-1</f>
        <v>-1.1362676522688075E-2</v>
      </c>
      <c r="OE34" s="28">
        <f>SUMPRODUCT(INDEX(PortfolioRef[[SPY]:[PE]],MATCH(OE$1,PortfolioRef[Reference '#]),0),AssetMonthlyReturns[[#This Row],[SPY]:[PE]])</f>
        <v>1.6300095888600485E-2</v>
      </c>
      <c r="OF34" s="27">
        <f>IF(ISNUMBER(OF33),OF33*(1+PortfolioFrontier[[#This Row],[P99 Return]]),1+PortfolioFrontier[[#This Row],[P99 Return]])</f>
        <v>1.1127022649542271</v>
      </c>
      <c r="OG34" s="27">
        <f>MAX(OG33,PortfolioFrontier[[#This Row],[P99 Growth]])</f>
        <v>1.1271027767458159</v>
      </c>
      <c r="OH34" s="27">
        <f>PortfolioFrontier[[#This Row],[P99 Growth]]/PortfolioFrontier[[#This Row],[P99 HWM]]-1</f>
        <v>-1.2776573786080214E-2</v>
      </c>
      <c r="OI34" s="28">
        <f>SUMPRODUCT(INDEX(PortfolioRef[[SPY]:[PE]],MATCH(OI$1,PortfolioRef[Reference '#]),0),AssetMonthlyReturns[[#This Row],[SPY]:[PE]])</f>
        <v>1.5086068514441765E-2</v>
      </c>
      <c r="OJ34" s="27">
        <f>IF(ISNUMBER(OJ33),OJ33*(1+PortfolioFrontier[[#This Row],[P100 Return]]),1+PortfolioFrontier[[#This Row],[P100 Return]])</f>
        <v>1.1083237992106816</v>
      </c>
      <c r="OK34" s="27">
        <f>MAX(OK33,PortfolioFrontier[[#This Row],[P100 Growth]])</f>
        <v>1.1213914977300461</v>
      </c>
      <c r="OL34" s="27">
        <f>PortfolioFrontier[[#This Row],[P100 Growth]]/PortfolioFrontier[[#This Row],[P100 HWM]]-1</f>
        <v>-1.1653110038569503E-2</v>
      </c>
      <c r="OM34" s="28">
        <f>SUMPRODUCT(INDEX(PortfolioRef[[SPY]:[PE]],MATCH(OM$1,PortfolioRef[Reference '#]),0),AssetMonthlyReturns[[#This Row],[SPY]:[PE]])</f>
        <v>1.4043551539146194E-2</v>
      </c>
      <c r="ON34" s="27">
        <f>IF(ISNUMBER(ON33),ON33*(1+PortfolioFrontier[[#This Row],[P101 Return]]),1+PortfolioFrontier[[#This Row],[P101 Return]])</f>
        <v>1.0993382703659911</v>
      </c>
      <c r="OO34" s="27">
        <f>MAX(OO33,PortfolioFrontier[[#This Row],[P101 Growth]])</f>
        <v>1.1133618200783288</v>
      </c>
      <c r="OP34" s="27">
        <f>PortfolioFrontier[[#This Row],[P101 Growth]]/PortfolioFrontier[[#This Row],[P101 HWM]]-1</f>
        <v>-1.259568045125814E-2</v>
      </c>
      <c r="OQ34" s="28">
        <f>SUMPRODUCT(INDEX(PortfolioRef[[SPY]:[PE]],MATCH(OQ$1,PortfolioRef[Reference '#]),0),AssetMonthlyReturns[[#This Row],[SPY]:[PE]])</f>
        <v>1.621077972419711E-2</v>
      </c>
      <c r="OR34" s="27">
        <f>IF(ISNUMBER(OR33),OR33*(1+PortfolioFrontier[[#This Row],[P102 Return]]),1+PortfolioFrontier[[#This Row],[P102 Return]])</f>
        <v>1.1091822974875465</v>
      </c>
      <c r="OS34" s="27">
        <f>MAX(OS33,PortfolioFrontier[[#This Row],[P102 Growth]])</f>
        <v>1.1220747161896565</v>
      </c>
      <c r="OT34" s="27">
        <f>PortfolioFrontier[[#This Row],[P102 Growth]]/PortfolioFrontier[[#This Row],[P102 HWM]]-1</f>
        <v>-1.1489804124532932E-2</v>
      </c>
      <c r="OU34" s="28">
        <f>SUMPRODUCT(INDEX(PortfolioRef[[SPY]:[PE]],MATCH(OU$1,PortfolioRef[Reference '#]),0),AssetMonthlyReturns[[#This Row],[SPY]:[PE]])</f>
        <v>1.4996752350038389E-2</v>
      </c>
      <c r="OV34" s="27">
        <f>IF(ISNUMBER(OV33),OV33*(1+PortfolioFrontier[[#This Row],[P103 Return]]),1+PortfolioFrontier[[#This Row],[P103 Return]])</f>
        <v>1.1048426307646328</v>
      </c>
      <c r="OW34" s="27">
        <f>MAX(OW33,PortfolioFrontier[[#This Row],[P103 Growth]])</f>
        <v>1.1164142049002479</v>
      </c>
      <c r="OX34" s="27">
        <f>PortfolioFrontier[[#This Row],[P103 Growth]]/PortfolioFrontier[[#This Row],[P103 HWM]]-1</f>
        <v>-1.0364947064292251E-2</v>
      </c>
      <c r="OY34" s="28">
        <f>SUMPRODUCT(INDEX(PortfolioRef[[SPY]:[PE]],MATCH(OY$1,PortfolioRef[Reference '#]),0),AssetMonthlyReturns[[#This Row],[SPY]:[PE]])</f>
        <v>1.8378007909248029E-2</v>
      </c>
      <c r="OZ34" s="27">
        <f>IF(ISNUMBER(OZ33),OZ33*(1+PortfolioFrontier[[#This Row],[P104 Return]]),1+PortfolioFrontier[[#This Row],[P104 Return]])</f>
        <v>1.1189807299010159</v>
      </c>
      <c r="PA34" s="27">
        <f>MAX(PA33,PortfolioFrontier[[#This Row],[P104 Growth]])</f>
        <v>1.1336174758687461</v>
      </c>
      <c r="PB34" s="27">
        <f>PortfolioFrontier[[#This Row],[P104 Growth]]/PortfolioFrontier[[#This Row],[P104 HWM]]-1</f>
        <v>-1.2911538750329576E-2</v>
      </c>
      <c r="PC34" s="28">
        <f>SUMPRODUCT(INDEX(PortfolioRef[[SPY]:[PE]],MATCH(PC$1,PortfolioRef[Reference '#]),0),AssetMonthlyReturns[[#This Row],[SPY]:[PE]])</f>
        <v>1.7163980535089305E-2</v>
      </c>
      <c r="PD34" s="27">
        <f>IF(ISNUMBER(PD33),PD33*(1+PortfolioFrontier[[#This Row],[P105 Return]]),1+PortfolioFrontier[[#This Row],[P105 Return]])</f>
        <v>1.1146472961187484</v>
      </c>
      <c r="PE34" s="27">
        <f>MAX(PE33,PortfolioFrontier[[#This Row],[P105 Growth]])</f>
        <v>1.1279365151737275</v>
      </c>
      <c r="PF34" s="27">
        <f>PortfolioFrontier[[#This Row],[P105 Growth]]/PortfolioFrontier[[#This Row],[P105 HWM]]-1</f>
        <v>-1.1781885661297453E-2</v>
      </c>
      <c r="PG34" s="28">
        <f>SUMPRODUCT(INDEX(PortfolioRef[[SPY]:[PE]],MATCH(PG$1,PortfolioRef[Reference '#]),0),AssetMonthlyReturns[[#This Row],[SPY]:[PE]])</f>
        <v>1.5949953160930588E-2</v>
      </c>
      <c r="PH34" s="27">
        <f>IF(ISNUMBER(PH33),PH33*(1+PortfolioFrontier[[#This Row],[P106 Return]]),1+PortfolioFrontier[[#This Row],[P106 Return]])</f>
        <v>1.1102222360148268</v>
      </c>
      <c r="PI34" s="27">
        <f>MAX(PI33,PortfolioFrontier[[#This Row],[P106 Growth]])</f>
        <v>1.122182029205119</v>
      </c>
      <c r="PJ34" s="27">
        <f>PortfolioFrontier[[#This Row],[P106 Growth]]/PortfolioFrontier[[#This Row],[P106 HWM]]-1</f>
        <v>-1.0657623165435726E-2</v>
      </c>
      <c r="PK34" s="28">
        <f>SUMPRODUCT(INDEX(PortfolioRef[[SPY]:[PE]],MATCH(PK$1,PortfolioRef[Reference '#]),0),AssetMonthlyReturns[[#This Row],[SPY]:[PE]])</f>
        <v>1.6121463559793735E-2</v>
      </c>
      <c r="PL34" s="27">
        <f>IF(ISNUMBER(PL33),PL33*(1+PortfolioFrontier[[#This Row],[P107 Return]]),1+PortfolioFrontier[[#This Row],[P107 Return]])</f>
        <v>1.1056028955314878</v>
      </c>
      <c r="PM34" s="27">
        <f>MAX(PM33,PortfolioFrontier[[#This Row],[P107 Growth]])</f>
        <v>1.117000049210717</v>
      </c>
      <c r="PN34" s="27">
        <f>PortfolioFrontier[[#This Row],[P107 Growth]]/PortfolioFrontier[[#This Row],[P107 HWM]]-1</f>
        <v>-1.0203360051132093E-2</v>
      </c>
      <c r="PO34" s="28">
        <f>SUMPRODUCT(INDEX(PortfolioRef[[SPY]:[PE]],MATCH(PO$1,PortfolioRef[Reference '#]),0),AssetMonthlyReturns[[#This Row],[SPY]:[PE]])</f>
        <v>1.4907436185635014E-2</v>
      </c>
      <c r="PP34" s="27">
        <f>IF(ISNUMBER(PP33),PP33*(1+PortfolioFrontier[[#This Row],[P108 Return]]),1+PortfolioFrontier[[#This Row],[P108 Return]])</f>
        <v>1.1013020171409111</v>
      </c>
      <c r="PQ34" s="27">
        <f>MAX(PQ33,PortfolioFrontier[[#This Row],[P108 Growth]])</f>
        <v>1.1121091386149522</v>
      </c>
      <c r="PR34" s="27">
        <f>PortfolioFrontier[[#This Row],[P108 Growth]]/PortfolioFrontier[[#This Row],[P108 HWM]]-1</f>
        <v>-9.7176806653171965E-3</v>
      </c>
      <c r="PS34" s="28">
        <f>SUMPRODUCT(INDEX(PortfolioRef[[SPY]:[PE]],MATCH(PS$1,PortfolioRef[Reference '#]),0),AssetMonthlyReturns[[#This Row],[SPY]:[PE]])</f>
        <v>1.8288691744844654E-2</v>
      </c>
      <c r="PT34" s="27">
        <f>IF(ISNUMBER(PT33),PT33*(1+PortfolioFrontier[[#This Row],[P109 Return]]),1+PortfolioFrontier[[#This Row],[P109 Return]])</f>
        <v>1.115438090869725</v>
      </c>
      <c r="PU34" s="27">
        <f>MAX(PU33,PortfolioFrontier[[#This Row],[P109 Growth]])</f>
        <v>1.1285566292854516</v>
      </c>
      <c r="PV34" s="27">
        <f>PortfolioFrontier[[#This Row],[P109 Growth]]/PortfolioFrontier[[#This Row],[P109 HWM]]-1</f>
        <v>-1.162417381220171E-2</v>
      </c>
      <c r="PW34" s="28">
        <f>SUMPRODUCT(INDEX(PortfolioRef[[SPY]:[PE]],MATCH(PW$1,PortfolioRef[Reference '#]),0),AssetMonthlyReturns[[#This Row],[SPY]:[PE]])</f>
        <v>1.7074664370685933E-2</v>
      </c>
      <c r="PX34" s="27">
        <f>IF(ISNUMBER(PX33),PX33*(1+PortfolioFrontier[[#This Row],[P110 Return]]),1+PortfolioFrontier[[#This Row],[P110 Return]])</f>
        <v>1.1111434774347309</v>
      </c>
      <c r="PY34" s="27">
        <f>MAX(PY33,PortfolioFrontier[[#This Row],[P110 Growth]])</f>
        <v>1.1229264772686551</v>
      </c>
      <c r="PZ34" s="27">
        <f>PortfolioFrontier[[#This Row],[P110 Growth]]/PortfolioFrontier[[#This Row],[P110 HWM]]-1</f>
        <v>-1.0493117824227127E-2</v>
      </c>
      <c r="QA34" s="28">
        <f>SUMPRODUCT(INDEX(PortfolioRef[[SPY]:[PE]],MATCH(QA$1,PortfolioRef[Reference '#]),0),AssetMonthlyReturns[[#This Row],[SPY]:[PE]])</f>
        <v>1.5860636996527212E-2</v>
      </c>
      <c r="QB34" s="27">
        <f>IF(ISNUMBER(QB33),QB33*(1+PortfolioFrontier[[#This Row],[P111 Return]]),1+PortfolioFrontier[[#This Row],[P111 Return]])</f>
        <v>1.1067573080706228</v>
      </c>
      <c r="QC34" s="27">
        <f>MAX(QC33,PortfolioFrontier[[#This Row],[P111 Growth]])</f>
        <v>1.117222848620177</v>
      </c>
      <c r="QD34" s="27">
        <f>PortfolioFrontier[[#This Row],[P111 Growth]]/PortfolioFrontier[[#This Row],[P111 HWM]]-1</f>
        <v>-9.3674601826122528E-3</v>
      </c>
      <c r="QE34" s="28">
        <f>SUMPRODUCT(INDEX(PortfolioRef[[SPY]:[PE]],MATCH(QE$1,PortfolioRef[Reference '#]),0),AssetMonthlyReturns[[#This Row],[SPY]:[PE]])</f>
        <v>2.0455919929895573E-2</v>
      </c>
      <c r="QF34" s="27">
        <f>IF(ISNUMBER(QF33),QF33*(1+PortfolioFrontier[[#This Row],[P112 Return]]),1+PortfolioFrontier[[#This Row],[P112 Return]])</f>
        <v>1.1252263715202193</v>
      </c>
      <c r="QG34" s="27">
        <f>MAX(QG33,PortfolioFrontier[[#This Row],[P112 Growth]])</f>
        <v>1.1401090429169298</v>
      </c>
      <c r="QH34" s="27">
        <f>PortfolioFrontier[[#This Row],[P112 Growth]]/PortfolioFrontier[[#This Row],[P112 HWM]]-1</f>
        <v>-1.3053726298524637E-2</v>
      </c>
      <c r="QI34" s="28">
        <f>SUMPRODUCT(INDEX(PortfolioRef[[SPY]:[PE]],MATCH(QI$1,PortfolioRef[Reference '#]),0),AssetMonthlyReturns[[#This Row],[SPY]:[PE]])</f>
        <v>1.9241892555736849E-2</v>
      </c>
      <c r="QJ34" s="27">
        <f>IF(ISNUMBER(QJ33),QJ33*(1+PortfolioFrontier[[#This Row],[P113 Return]]),1+PortfolioFrontier[[#This Row],[P113 Return]])</f>
        <v>1.1209389649506525</v>
      </c>
      <c r="QK34" s="27">
        <f>MAX(QK33,PortfolioFrontier[[#This Row],[P113 Growth]])</f>
        <v>1.134459326630517</v>
      </c>
      <c r="QL34" s="27">
        <f>PortfolioFrontier[[#This Row],[P113 Growth]]/PortfolioFrontier[[#This Row],[P113 HWM]]-1</f>
        <v>-1.1917890190053404E-2</v>
      </c>
      <c r="QM34" s="28">
        <f>SUMPRODUCT(INDEX(PortfolioRef[[SPY]:[PE]],MATCH(QM$1,PortfolioRef[Reference '#]),0),AssetMonthlyReturns[[#This Row],[SPY]:[PE]])</f>
        <v>1.8027865181578128E-2</v>
      </c>
      <c r="QN34" s="27">
        <f>IF(ISNUMBER(QN33),QN33*(1+PortfolioFrontier[[#This Row],[P114 Return]]),1+PortfolioFrontier[[#This Row],[P114 Return]])</f>
        <v>1.1165587432156219</v>
      </c>
      <c r="QO34" s="27">
        <f>MAX(QO33,PortfolioFrontier[[#This Row],[P114 Growth]])</f>
        <v>1.1287349053530367</v>
      </c>
      <c r="QP34" s="27">
        <f>PortfolioFrontier[[#This Row],[P114 Growth]]/PortfolioFrontier[[#This Row],[P114 HWM]]-1</f>
        <v>-1.0787441833923328E-2</v>
      </c>
      <c r="QQ34" s="28">
        <f>SUMPRODUCT(INDEX(PortfolioRef[[SPY]:[PE]],MATCH(QQ$1,PortfolioRef[Reference '#]),0),AssetMonthlyReturns[[#This Row],[SPY]:[PE]])</f>
        <v>1.8199375580441279E-2</v>
      </c>
      <c r="QR34" s="27">
        <f>IF(ISNUMBER(QR33),QR33*(1+PortfolioFrontier[[#This Row],[P115 Return]]),1+PortfolioFrontier[[#This Row],[P115 Return]])</f>
        <v>1.1118357927852656</v>
      </c>
      <c r="QS34" s="27">
        <f>MAX(QS33,PortfolioFrontier[[#This Row],[P115 Growth]])</f>
        <v>1.1234490362543808</v>
      </c>
      <c r="QT34" s="27">
        <f>PortfolioFrontier[[#This Row],[P115 Growth]]/PortfolioFrontier[[#This Row],[P115 HWM]]-1</f>
        <v>-1.033713421290039E-2</v>
      </c>
      <c r="QU34" s="28">
        <f>SUMPRODUCT(INDEX(PortfolioRef[[SPY]:[PE]],MATCH(QU$1,PortfolioRef[Reference '#]),0),AssetMonthlyReturns[[#This Row],[SPY]:[PE]])</f>
        <v>1.6985348206282558E-2</v>
      </c>
      <c r="QV34" s="27">
        <f>IF(ISNUMBER(QV33),QV33*(1+PortfolioFrontier[[#This Row],[P116 Return]]),1+PortfolioFrontier[[#This Row],[P116 Return]])</f>
        <v>1.1075799854402235</v>
      </c>
      <c r="QW34" s="27">
        <f>MAX(QW33,PortfolioFrontier[[#This Row],[P116 Growth]])</f>
        <v>1.1178696128073189</v>
      </c>
      <c r="QX34" s="27">
        <f>PortfolioFrontier[[#This Row],[P116 Growth]]/PortfolioFrontier[[#This Row],[P116 HWM]]-1</f>
        <v>-9.2046757951089742E-3</v>
      </c>
      <c r="QY34" s="28">
        <f>SUMPRODUCT(INDEX(PortfolioRef[[SPY]:[PE]],MATCH(QY$1,PortfolioRef[Reference '#]),0),AssetMonthlyReturns[[#This Row],[SPY]:[PE]])</f>
        <v>1.5771320832123837E-2</v>
      </c>
      <c r="QZ34" s="27">
        <f>IF(ISNUMBER(QZ33),QZ33*(1+PortfolioFrontier[[#This Row],[P117 Return]]),1+PortfolioFrontier[[#This Row],[P117 Return]])</f>
        <v>1.103232699263375</v>
      </c>
      <c r="RA34" s="27">
        <f>MAX(RA33,PortfolioFrontier[[#This Row],[P117 Growth]])</f>
        <v>1.1122167675361905</v>
      </c>
      <c r="RB34" s="27">
        <f>PortfolioFrontier[[#This Row],[P117 Growth]]/PortfolioFrontier[[#This Row],[P117 HWM]]-1</f>
        <v>-8.0776234768670241E-3</v>
      </c>
      <c r="RC34" s="28">
        <f>SUMPRODUCT(INDEX(PortfolioRef[[SPY]:[PE]],MATCH(RC$1,PortfolioRef[Reference '#]),0),AssetMonthlyReturns[[#This Row],[SPY]:[PE]])</f>
        <v>2.0366603765492198E-2</v>
      </c>
      <c r="RD34" s="27">
        <f>IF(ISNUMBER(RD33),RD33*(1+PortfolioFrontier[[#This Row],[P118 Return]]),1+PortfolioFrontier[[#This Row],[P118 Return]])</f>
        <v>1.1216611221533916</v>
      </c>
      <c r="RE34" s="27">
        <f>MAX(RE33,PortfolioFrontier[[#This Row],[P118 Growth]])</f>
        <v>1.1350154598380386</v>
      </c>
      <c r="RF34" s="27">
        <f>PortfolioFrontier[[#This Row],[P118 Growth]]/PortfolioFrontier[[#This Row],[P118 HWM]]-1</f>
        <v>-1.1765776024365904E-2</v>
      </c>
      <c r="RG34" s="28">
        <f>SUMPRODUCT(INDEX(PortfolioRef[[SPY]:[PE]],MATCH(RG$1,PortfolioRef[Reference '#]),0),AssetMonthlyReturns[[#This Row],[SPY]:[PE]])</f>
        <v>1.9152576391333474E-2</v>
      </c>
      <c r="RH34" s="27">
        <f>IF(ISNUMBER(RH33),RH33*(1+PortfolioFrontier[[#This Row],[P119 Return]]),1+PortfolioFrontier[[#This Row],[P119 Return]])</f>
        <v>1.117412553905677</v>
      </c>
      <c r="RI34" s="27">
        <f>MAX(RI33,PortfolioFrontier[[#This Row],[P119 Growth]])</f>
        <v>1.129416589103698</v>
      </c>
      <c r="RJ34" s="27">
        <f>PortfolioFrontier[[#This Row],[P119 Growth]]/PortfolioFrontier[[#This Row],[P119 HWM]]-1</f>
        <v>-1.0628527430739609E-2</v>
      </c>
      <c r="RK34" s="28">
        <f>SUMPRODUCT(INDEX(PortfolioRef[[SPY]:[PE]],MATCH(RK$1,PortfolioRef[Reference '#]),0),AssetMonthlyReturns[[#This Row],[SPY]:[PE]])</f>
        <v>1.7938549017174756E-2</v>
      </c>
      <c r="RL34" s="27">
        <f>IF(ISNUMBER(RL33),RL33*(1+PortfolioFrontier[[#This Row],[P120 Return]]),1+PortfolioFrontier[[#This Row],[P120 Return]])</f>
        <v>1.113071245790807</v>
      </c>
      <c r="RM34" s="27">
        <f>MAX(RM33,PortfolioFrontier[[#This Row],[P120 Growth]])</f>
        <v>1.1237430677500322</v>
      </c>
      <c r="RN34" s="27">
        <f>PortfolioFrontier[[#This Row],[P120 Growth]]/PortfolioFrontier[[#This Row],[P120 HWM]]-1</f>
        <v>-9.4966743426434519E-3</v>
      </c>
      <c r="RO34" s="28">
        <f>SUMPRODUCT(INDEX(PortfolioRef[[SPY]:[PE]],MATCH(RO$1,PortfolioRef[Reference '#]),0),AssetMonthlyReturns[[#This Row],[SPY]:[PE]])</f>
        <v>2.2533831950543117E-2</v>
      </c>
      <c r="RP34" s="27">
        <f>IF(ISNUMBER(RP33),RP33*(1+PortfolioFrontier[[#This Row],[P121 Return]]),1+PortfolioFrontier[[#This Row],[P121 Return]])</f>
        <v>1.1314382117775721</v>
      </c>
      <c r="RQ34" s="27">
        <f>MAX(RQ33,PortfolioFrontier[[#This Row],[P121 Growth]])</f>
        <v>1.1465766082010636</v>
      </c>
      <c r="RR34" s="27">
        <f>PortfolioFrontier[[#This Row],[P121 Growth]]/PortfolioFrontier[[#This Row],[P121 HWM]]-1</f>
        <v>-1.3203126869335891E-2</v>
      </c>
      <c r="RS34" s="28">
        <f>SUMPRODUCT(INDEX(PortfolioRef[[SPY]:[PE]],MATCH(RS$1,PortfolioRef[Reference '#]),0),AssetMonthlyReturns[[#This Row],[SPY]:[PE]])</f>
        <v>2.1319804576384393E-2</v>
      </c>
      <c r="RT34" s="27">
        <f>IF(ISNUMBER(RT33),RT33*(1+PortfolioFrontier[[#This Row],[P122 Return]]),1+PortfolioFrontier[[#This Row],[P122 Return]])</f>
        <v>1.1271978287276121</v>
      </c>
      <c r="RU34" s="27">
        <f>MAX(RU33,PortfolioFrontier[[#This Row],[P122 Growth]])</f>
        <v>1.1409590661664393</v>
      </c>
      <c r="RV34" s="27">
        <f>PortfolioFrontier[[#This Row],[P122 Growth]]/PortfolioFrontier[[#This Row],[P122 HWM]]-1</f>
        <v>-1.2061114063508183E-2</v>
      </c>
      <c r="RW34" s="28">
        <f>SUMPRODUCT(INDEX(PortfolioRef[[SPY]:[PE]],MATCH(RW$1,PortfolioRef[Reference '#]),0),AssetMonthlyReturns[[#This Row],[SPY]:[PE]])</f>
        <v>2.0105777202225672E-2</v>
      </c>
      <c r="RX34" s="27">
        <f>IF(ISNUMBER(RX33),RX33*(1+PortfolioFrontier[[#This Row],[P123 Return]]),1+PortfolioFrontier[[#This Row],[P123 Return]])</f>
        <v>1.1228634422529027</v>
      </c>
      <c r="RY34" s="27">
        <f>MAX(RY33,PortfolioFrontier[[#This Row],[P123 Growth]])</f>
        <v>1.1352656359916529</v>
      </c>
      <c r="RZ34" s="27">
        <f>PortfolioFrontier[[#This Row],[P123 Growth]]/PortfolioFrontier[[#This Row],[P123 HWM]]-1</f>
        <v>-1.0924486169192393E-2</v>
      </c>
      <c r="SA34" s="28">
        <f>SUMPRODUCT(INDEX(PortfolioRef[[SPY]:[PE]],MATCH(SA$1,PortfolioRef[Reference '#]),0),AssetMonthlyReturns[[#This Row],[SPY]:[PE]])</f>
        <v>2.0277287601088823E-2</v>
      </c>
      <c r="SB34" s="27">
        <f>IF(ISNUMBER(SB33),SB33*(1+PortfolioFrontier[[#This Row],[P124 Return]]),1+PortfolioFrontier[[#This Row],[P124 Return]])</f>
        <v>1.1180359915432658</v>
      </c>
      <c r="SC34" s="27">
        <f>MAX(SC33,PortfolioFrontier[[#This Row],[P124 Growth]])</f>
        <v>1.1298749921409386</v>
      </c>
      <c r="SD34" s="27">
        <f>PortfolioFrontier[[#This Row],[P124 Growth]]/PortfolioFrontier[[#This Row],[P124 HWM]]-1</f>
        <v>-1.0478150839713374E-2</v>
      </c>
      <c r="SE34" s="28">
        <f>SUMPRODUCT(INDEX(PortfolioRef[[SPY]:[PE]],MATCH(SE$1,PortfolioRef[Reference '#]),0),AssetMonthlyReturns[[#This Row],[SPY]:[PE]])</f>
        <v>1.9063260226930102E-2</v>
      </c>
      <c r="SF34" s="27">
        <f>IF(ISNUMBER(SF33),SF33*(1+PortfolioFrontier[[#This Row],[P125 Return]]),1+PortfolioFrontier[[#This Row],[P125 Return]])</f>
        <v>1.1138262437561761</v>
      </c>
      <c r="SG34" s="27">
        <f>MAX(SG33,PortfolioFrontier[[#This Row],[P125 Growth]])</f>
        <v>1.1243268837019014</v>
      </c>
      <c r="SH34" s="27">
        <f>PortfolioFrontier[[#This Row],[P125 Growth]]/PortfolioFrontier[[#This Row],[P125 HWM]]-1</f>
        <v>-9.3394902300578675E-3</v>
      </c>
      <c r="SI34" s="28">
        <f>SUMPRODUCT(INDEX(PortfolioRef[[SPY]:[PE]],MATCH(SI$1,PortfolioRef[Reference '#]),0),AssetMonthlyReturns[[#This Row],[SPY]:[PE]])</f>
        <v>1.7849232852771381E-2</v>
      </c>
      <c r="SJ34" s="27">
        <f>IF(ISNUMBER(SJ33),SJ33*(1+PortfolioFrontier[[#This Row],[P126 Return]]),1+PortfolioFrontier[[#This Row],[P126 Return]])</f>
        <v>1.1095238381451282</v>
      </c>
      <c r="SK34" s="27">
        <f>MAX(SK33,PortfolioFrontier[[#This Row],[P126 Growth]])</f>
        <v>1.1187041852118251</v>
      </c>
      <c r="SL34" s="27">
        <f>PortfolioFrontier[[#This Row],[P126 Growth]]/PortfolioFrontier[[#This Row],[P126 HWM]]-1</f>
        <v>-8.206232879122255E-3</v>
      </c>
      <c r="SM34" s="28">
        <f>SUMPRODUCT(INDEX(PortfolioRef[[SPY]:[PE]],MATCH(SM$1,PortfolioRef[Reference '#]),0),AssetMonthlyReturns[[#This Row],[SPY]:[PE]])</f>
        <v>2.2444515786139742E-2</v>
      </c>
      <c r="SN34" s="27">
        <f>IF(ISNUMBER(SN33),SN33*(1+PortfolioFrontier[[#This Row],[P127 Return]]),1+PortfolioFrontier[[#This Row],[P127 Return]])</f>
        <v>1.1278504160985288</v>
      </c>
      <c r="SO34" s="27">
        <f>MAX(SO33,PortfolioFrontier[[#This Row],[P127 Growth]])</f>
        <v>1.1414503417092516</v>
      </c>
      <c r="SP34" s="27">
        <f>PortfolioFrontier[[#This Row],[P127 Growth]]/PortfolioFrontier[[#This Row],[P127 HWM]]-1</f>
        <v>-1.191460119969634E-2</v>
      </c>
      <c r="SQ34" s="28">
        <f>SUMPRODUCT(INDEX(PortfolioRef[[SPY]:[PE]],MATCH(SQ$1,PortfolioRef[Reference '#]),0),AssetMonthlyReturns[[#This Row],[SPY]:[PE]])</f>
        <v>2.1230488411981017E-2</v>
      </c>
      <c r="SR34" s="27">
        <f>IF(ISNUMBER(SR33),SR33*(1+PortfolioFrontier[[#This Row],[P128 Return]]),1+PortfolioFrontier[[#This Row],[P128 Return]])</f>
        <v>1.1236488859705429</v>
      </c>
      <c r="SS34" s="27">
        <f>MAX(SS33,PortfolioFrontier[[#This Row],[P128 Growth]])</f>
        <v>1.1358836779891786</v>
      </c>
      <c r="ST34" s="27">
        <f>PortfolioFrontier[[#This Row],[P128 Growth]]/PortfolioFrontier[[#This Row],[P128 HWM]]-1</f>
        <v>-1.077116632250108E-2</v>
      </c>
      <c r="SU34" s="28">
        <f>SUMPRODUCT(INDEX(PortfolioRef[[SPY]:[PE]],MATCH(SU$1,PortfolioRef[Reference '#]),0),AssetMonthlyReturns[[#This Row],[SPY]:[PE]])</f>
        <v>2.00164610378223E-2</v>
      </c>
      <c r="SV34" s="27">
        <f>IF(ISNUMBER(SV33),SV33*(1+PortfolioFrontier[[#This Row],[P129 Return]]),1+PortfolioFrontier[[#This Row],[P129 Return]])</f>
        <v>1.1193534326574366</v>
      </c>
      <c r="SW34" s="27">
        <f>MAX(SW33,PortfolioFrontier[[#This Row],[P129 Growth]])</f>
        <v>1.130241186279104</v>
      </c>
      <c r="SX34" s="27">
        <f>PortfolioFrontier[[#This Row],[P129 Growth]]/PortfolioFrontier[[#This Row],[P129 HWM]]-1</f>
        <v>-9.6331241100062748E-3</v>
      </c>
      <c r="SY34" s="28">
        <f>SUMPRODUCT(INDEX(PortfolioRef[[SPY]:[PE]],MATCH(SY$1,PortfolioRef[Reference '#]),0),AssetMonthlyReturns[[#This Row],[SPY]:[PE]])</f>
        <v>2.4611743971190658E-2</v>
      </c>
      <c r="SZ34" s="27">
        <f>IF(ISNUMBER(SZ33),SZ33*(1+PortfolioFrontier[[#This Row],[P130 Return]]),1+PortfolioFrontier[[#This Row],[P130 Return]])</f>
        <v>1.1376152709824112</v>
      </c>
      <c r="TA34" s="27">
        <f>MAX(TA33,PortfolioFrontier[[#This Row],[P130 Growth]])</f>
        <v>1.1530192985350012</v>
      </c>
      <c r="TB34" s="27">
        <f>PortfolioFrontier[[#This Row],[P130 Growth]]/PortfolioFrontier[[#This Row],[P130 HWM]]-1</f>
        <v>-1.3359730901435829E-2</v>
      </c>
      <c r="TC34" s="28">
        <f>SUMPRODUCT(INDEX(PortfolioRef[[SPY]:[PE]],MATCH(TC$1,PortfolioRef[Reference '#]),0),AssetMonthlyReturns[[#This Row],[SPY]:[PE]])</f>
        <v>2.3397716597031937E-2</v>
      </c>
      <c r="TD34" s="27">
        <f>IF(ISNUMBER(TD33),TD33*(1+PortfolioFrontier[[#This Row],[P131 Return]]),1+PortfolioFrontier[[#This Row],[P131 Return]])</f>
        <v>1.1334229086209837</v>
      </c>
      <c r="TE34" s="27">
        <f>MAX(TE33,PortfolioFrontier[[#This Row],[P131 Growth]])</f>
        <v>1.1474348642213985</v>
      </c>
      <c r="TF34" s="27">
        <f>PortfolioFrontier[[#This Row],[P131 Growth]]/PortfolioFrontier[[#This Row],[P131 HWM]]-1</f>
        <v>-1.221154772033417E-2</v>
      </c>
      <c r="TG34" s="28">
        <f>SUMPRODUCT(INDEX(PortfolioRef[[SPY]:[PE]],MATCH(TG$1,PortfolioRef[Reference '#]),0),AssetMonthlyReturns[[#This Row],[SPY]:[PE]])</f>
        <v>2.2183689222873216E-2</v>
      </c>
      <c r="TH34" s="27">
        <f>IF(ISNUMBER(TH33),TH33*(1+PortfolioFrontier[[#This Row],[P132 Return]]),1+PortfolioFrontier[[#This Row],[P132 Return]])</f>
        <v>1.1291353553864536</v>
      </c>
      <c r="TI34" s="27">
        <f>MAX(TI33,PortfolioFrontier[[#This Row],[P132 Growth]])</f>
        <v>1.1417733553426934</v>
      </c>
      <c r="TJ34" s="27">
        <f>PortfolioFrontier[[#This Row],[P132 Growth]]/PortfolioFrontier[[#This Row],[P132 HWM]]-1</f>
        <v>-1.1068746609914193E-2</v>
      </c>
      <c r="TK34" s="28">
        <f>SUMPRODUCT(INDEX(PortfolioRef[[SPY]:[PE]],MATCH(TK$1,PortfolioRef[Reference '#]),0),AssetMonthlyReturns[[#This Row],[SPY]:[PE]])</f>
        <v>2.2355199621736366E-2</v>
      </c>
      <c r="TL34" s="27">
        <f>IF(ISNUMBER(TL33),TL33*(1+PortfolioFrontier[[#This Row],[P133 Return]]),1+PortfolioFrontier[[#This Row],[P133 Return]])</f>
        <v>1.1242025193969183</v>
      </c>
      <c r="TM34" s="27">
        <f>MAX(TM33,PortfolioFrontier[[#This Row],[P133 Growth]])</f>
        <v>1.1362770543075105</v>
      </c>
      <c r="TN34" s="27">
        <f>PortfolioFrontier[[#This Row],[P133 Growth]]/PortfolioFrontier[[#This Row],[P133 HWM]]-1</f>
        <v>-1.0626400370243205E-2</v>
      </c>
      <c r="TO34" s="28">
        <f>SUMPRODUCT(INDEX(PortfolioRef[[SPY]:[PE]],MATCH(TO$1,PortfolioRef[Reference '#]),0),AssetMonthlyReturns[[#This Row],[SPY]:[PE]])</f>
        <v>2.1141172247577642E-2</v>
      </c>
      <c r="TP34" s="27">
        <f>IF(ISNUMBER(TP33),TP33*(1+PortfolioFrontier[[#This Row],[P134 Return]]),1+PortfolioFrontier[[#This Row],[P134 Return]])</f>
        <v>1.1200398206910935</v>
      </c>
      <c r="TQ34" s="27">
        <f>MAX(TQ33,PortfolioFrontier[[#This Row],[P134 Growth]])</f>
        <v>1.1307611824727282</v>
      </c>
      <c r="TR34" s="27">
        <f>PortfolioFrontier[[#This Row],[P134 Growth]]/PortfolioFrontier[[#This Row],[P134 HWM]]-1</f>
        <v>-9.4815438908057992E-3</v>
      </c>
      <c r="TS34" s="28">
        <f>SUMPRODUCT(INDEX(PortfolioRef[[SPY]:[PE]],MATCH(TS$1,PortfolioRef[Reference '#]),0),AssetMonthlyReturns[[#This Row],[SPY]:[PE]])</f>
        <v>1.9927144873418925E-2</v>
      </c>
      <c r="TT34" s="27">
        <f>IF(ISNUMBER(TT33),TT33*(1+PortfolioFrontier[[#This Row],[P135 Return]]),1+PortfolioFrontier[[#This Row],[P135 Return]])</f>
        <v>1.1157832858244132</v>
      </c>
      <c r="TU34" s="27">
        <f>MAX(TU33,PortfolioFrontier[[#This Row],[P135 Growth]])</f>
        <v>1.125169549025189</v>
      </c>
      <c r="TV34" s="27">
        <f>PortfolioFrontier[[#This Row],[P135 Growth]]/PortfolioFrontier[[#This Row],[P135 HWM]]-1</f>
        <v>-8.3420878292589373E-3</v>
      </c>
      <c r="TW34" s="28">
        <f>SUMPRODUCT(INDEX(PortfolioRef[[SPY]:[PE]],MATCH(TW$1,PortfolioRef[Reference '#]),0),AssetMonthlyReturns[[#This Row],[SPY]:[PE]])</f>
        <v>2.4522427806787286E-2</v>
      </c>
      <c r="TX34" s="27">
        <f>IF(ISNUMBER(TX33),TX33*(1+PortfolioFrontier[[#This Row],[P136 Return]]),1+PortfolioFrontier[[#This Row],[P136 Return]])</f>
        <v>1.1340049958167171</v>
      </c>
      <c r="TY34" s="27">
        <f>MAX(TY33,PortfolioFrontier[[#This Row],[P136 Growth]])</f>
        <v>1.1478604052830148</v>
      </c>
      <c r="TZ34" s="27">
        <f>PortfolioFrontier[[#This Row],[P136 Growth]]/PortfolioFrontier[[#This Row],[P136 HWM]]-1</f>
        <v>-1.2070639776865177E-2</v>
      </c>
      <c r="UA34" s="28">
        <f>SUMPRODUCT(INDEX(PortfolioRef[[SPY]:[PE]],MATCH(UA$1,PortfolioRef[Reference '#]),0),AssetMonthlyReturns[[#This Row],[SPY]:[PE]])</f>
        <v>2.3308400432628561E-2</v>
      </c>
      <c r="UB34" s="27">
        <f>IF(ISNUMBER(UB33),UB33*(1+PortfolioFrontier[[#This Row],[P137 Return]]),1+PortfolioFrontier[[#This Row],[P137 Return]])</f>
        <v>1.1298514975809428</v>
      </c>
      <c r="UC34" s="27">
        <f>MAX(UC33,PortfolioFrontier[[#This Row],[P137 Growth]])</f>
        <v>1.1423268779020681</v>
      </c>
      <c r="UD34" s="27">
        <f>PortfolioFrontier[[#This Row],[P137 Growth]]/PortfolioFrontier[[#This Row],[P137 HWM]]-1</f>
        <v>-1.0921024938183033E-2</v>
      </c>
      <c r="UE34" s="28">
        <f>SUMPRODUCT(INDEX(PortfolioRef[[SPY]:[PE]],MATCH(UE$1,PortfolioRef[Reference '#]),0),AssetMonthlyReturns[[#This Row],[SPY]:[PE]])</f>
        <v>2.2094373058469841E-2</v>
      </c>
      <c r="UF34" s="27">
        <f>IF(ISNUMBER(UF33),UF33*(1+PortfolioFrontier[[#This Row],[P138 Return]]),1+PortfolioFrontier[[#This Row],[P138 Return]])</f>
        <v>1.1256028936881088</v>
      </c>
      <c r="UG34" s="27">
        <f>MAX(UG33,PortfolioFrontier[[#This Row],[P138 Growth]])</f>
        <v>1.1367163419328135</v>
      </c>
      <c r="UH34" s="27">
        <f>PortfolioFrontier[[#This Row],[P138 Growth]]/PortfolioFrontier[[#This Row],[P138 HWM]]-1</f>
        <v>-9.7767999233722147E-3</v>
      </c>
      <c r="UI34" s="28">
        <f>SUMPRODUCT(INDEX(PortfolioRef[[SPY]:[PE]],MATCH(UI$1,PortfolioRef[Reference '#]),0),AssetMonthlyReturns[[#This Row],[SPY]:[PE]])</f>
        <v>2.6689655991838205E-2</v>
      </c>
      <c r="UJ34" s="27">
        <f>IF(ISNUMBER(UJ33),UJ33*(1+PortfolioFrontier[[#This Row],[P139 Return]]),1+PortfolioFrontier[[#This Row],[P139 Return]])</f>
        <v>1.1437565679744224</v>
      </c>
      <c r="UK34" s="27">
        <f>MAX(UK33,PortfolioFrontier[[#This Row],[P139 Growth]])</f>
        <v>1.159436237360973</v>
      </c>
      <c r="UL34" s="27">
        <f>PortfolioFrontier[[#This Row],[P139 Growth]]/PortfolioFrontier[[#This Row],[P139 HWM]]-1</f>
        <v>-1.3523528833495502E-2</v>
      </c>
      <c r="UM34" s="28">
        <f>SUMPRODUCT(INDEX(PortfolioRef[[SPY]:[PE]],MATCH(UM$1,PortfolioRef[Reference '#]),0),AssetMonthlyReturns[[#This Row],[SPY]:[PE]])</f>
        <v>2.5475628617679481E-2</v>
      </c>
      <c r="UN34" s="27">
        <f>IF(ISNUMBER(UN33),UN33*(1+PortfolioFrontier[[#This Row],[P140 Return]]),1+PortfolioFrontier[[#This Row],[P140 Return]])</f>
        <v>1.1396132241371189</v>
      </c>
      <c r="UO34" s="27">
        <f>MAX(UO33,PortfolioFrontier[[#This Row],[P140 Growth]])</f>
        <v>1.1538858477324712</v>
      </c>
      <c r="UP34" s="27">
        <f>PortfolioFrontier[[#This Row],[P140 Growth]]/PortfolioFrontier[[#This Row],[P140 HWM]]-1</f>
        <v>-1.2369181599202195E-2</v>
      </c>
      <c r="UQ34" s="28">
        <f>SUMPRODUCT(INDEX(PortfolioRef[[SPY]:[PE]],MATCH(UQ$1,PortfolioRef[Reference '#]),0),AssetMonthlyReturns[[#This Row],[SPY]:[PE]])</f>
        <v>2.426160124352076E-2</v>
      </c>
      <c r="UR34" s="27">
        <f>IF(ISNUMBER(UR33),UR33*(1+PortfolioFrontier[[#This Row],[P141 Return]]),1+PortfolioFrontier[[#This Row],[P141 Return]])</f>
        <v>1.1353735030176639</v>
      </c>
      <c r="US34" s="27">
        <f>MAX(US33,PortfolioFrontier[[#This Row],[P141 Growth]])</f>
        <v>1.1482571939960202</v>
      </c>
      <c r="UT34" s="27">
        <f>PortfolioFrontier[[#This Row],[P141 Growth]]/PortfolioFrontier[[#This Row],[P141 HWM]]-1</f>
        <v>-1.1220213594760997E-2</v>
      </c>
    </row>
    <row r="35" spans="2:566" x14ac:dyDescent="0.2">
      <c r="B35" s="41">
        <f>AssetMonthlyReturns[[#This Row],[Date]]</f>
        <v>43435</v>
      </c>
      <c r="C35" s="28">
        <f>SUMPRODUCT(INDEX(PortfolioRef[[SPY]:[PE]],MATCH(C$1,PortfolioRef[Reference '#]),0),AssetMonthlyReturns[[#This Row],[SPY]:[PE]])</f>
        <v>-5.422367058366994E-2</v>
      </c>
      <c r="D35" s="29">
        <f>IF(ISNUMBER(D34),D34*(1+PortfolioFrontier[[#This Row],[P1 Return]]),1+PortfolioFrontier[[#This Row],[P1 Return]])</f>
        <v>1.1561508784257204</v>
      </c>
      <c r="E35" s="29">
        <f>MAX(E34,PortfolioFrontier[[#This Row],[P1 Growth]])</f>
        <v>1.2527991836375723</v>
      </c>
      <c r="F35" s="29">
        <f>PortfolioFrontier[[#This Row],[P1 Growth]]/PortfolioFrontier[[#This Row],[P1 HWM]]-1</f>
        <v>-7.7145887764093257E-2</v>
      </c>
      <c r="G35" s="28">
        <f>SUMPRODUCT(INDEX(PortfolioRef[[SPY]:[PE]],MATCH(G$1,PortfolioRef[Reference '#]),0),AssetMonthlyReturns[[#This Row],[SPY]:[PE]])</f>
        <v>-4.8538728967179146E-2</v>
      </c>
      <c r="H35" s="27">
        <f>IF(ISNUMBER(H34),H34*(1+PortfolioFrontier[[#This Row],[P2 Return]]),1+PortfolioFrontier[[#This Row],[P2 Return]])</f>
        <v>1.1440973324746577</v>
      </c>
      <c r="I35" s="27">
        <f>MAX(I34,PortfolioFrontier[[#This Row],[P2 Growth]])</f>
        <v>1.2298788051556078</v>
      </c>
      <c r="J35" s="27">
        <f>PortfolioFrontier[[#This Row],[P2 Growth]]/PortfolioFrontier[[#This Row],[P2 HWM]]-1</f>
        <v>-6.9747907128212328E-2</v>
      </c>
      <c r="K35" s="28">
        <f>SUMPRODUCT(INDEX(PortfolioRef[[SPY]:[PE]],MATCH(K$1,PortfolioRef[Reference '#]),0),AssetMonthlyReturns[[#This Row],[SPY]:[PE]])</f>
        <v>-4.7085520759986864E-2</v>
      </c>
      <c r="L35" s="27">
        <f>IF(ISNUMBER(L34),L34*(1+PortfolioFrontier[[#This Row],[P3 Return]]),1+PortfolioFrontier[[#This Row],[P3 Return]])</f>
        <v>1.1422982554068661</v>
      </c>
      <c r="M35" s="27">
        <f>MAX(M34,PortfolioFrontier[[#This Row],[P3 Growth]])</f>
        <v>1.2244505218158503</v>
      </c>
      <c r="N35" s="27">
        <f>PortfolioFrontier[[#This Row],[P3 Growth]]/PortfolioFrontier[[#This Row],[P3 HWM]]-1</f>
        <v>-6.7093169503617878E-2</v>
      </c>
      <c r="O35" s="28">
        <f>SUMPRODUCT(INDEX(PortfolioRef[[SPY]:[PE]],MATCH(O$1,PortfolioRef[Reference '#]),0),AssetMonthlyReturns[[#This Row],[SPY]:[PE]])</f>
        <v>-5.4075923789787157E-2</v>
      </c>
      <c r="P35" s="27">
        <f>IF(ISNUMBER(P34),P34*(1+PortfolioFrontier[[#This Row],[P4 Return]]),1+PortfolioFrontier[[#This Row],[P4 Return]])</f>
        <v>1.1438235618433912</v>
      </c>
      <c r="Q35" s="27">
        <f>MAX(Q34,PortfolioFrontier[[#This Row],[P4 Growth]])</f>
        <v>1.2369551220975652</v>
      </c>
      <c r="R35" s="27">
        <f>PortfolioFrontier[[#This Row],[P4 Growth]]/PortfolioFrontier[[#This Row],[P4 HWM]]-1</f>
        <v>-7.5290977490150346E-2</v>
      </c>
      <c r="S35" s="28">
        <f>SUMPRODUCT(INDEX(PortfolioRef[[SPY]:[PE]],MATCH(S$1,PortfolioRef[Reference '#]),0),AssetMonthlyReturns[[#This Row],[SPY]:[PE]])</f>
        <v>-5.047736971681626E-2</v>
      </c>
      <c r="T35" s="27">
        <f>IF(ISNUMBER(T34),T34*(1+PortfolioFrontier[[#This Row],[P5 Return]]),1+PortfolioFrontier[[#This Row],[P5 Return]])</f>
        <v>1.1436897044949335</v>
      </c>
      <c r="U35" s="27">
        <f>MAX(U34,PortfolioFrontier[[#This Row],[P5 Growth]])</f>
        <v>1.230722468694271</v>
      </c>
      <c r="V35" s="27">
        <f>PortfolioFrontier[[#This Row],[P5 Growth]]/PortfolioFrontier[[#This Row],[P5 HWM]]-1</f>
        <v>-7.0716807739501619E-2</v>
      </c>
      <c r="W35" s="28">
        <f>SUMPRODUCT(INDEX(PortfolioRef[[SPY]:[PE]],MATCH(W$1,PortfolioRef[Reference '#]),0),AssetMonthlyReturns[[#This Row],[SPY]:[PE]])</f>
        <v>-4.2853787350688351E-2</v>
      </c>
      <c r="X35" s="27">
        <f>IF(ISNUMBER(X34),X34*(1+PortfolioFrontier[[#This Row],[P6 Return]]),1+PortfolioFrontier[[#This Row],[P6 Return]])</f>
        <v>1.1320611544541153</v>
      </c>
      <c r="Y35" s="27">
        <f>MAX(Y34,PortfolioFrontier[[#This Row],[P6 Growth]])</f>
        <v>1.207317050319489</v>
      </c>
      <c r="Z35" s="27">
        <f>PortfolioFrontier[[#This Row],[P6 Growth]]/PortfolioFrontier[[#This Row],[P6 HWM]]-1</f>
        <v>-6.2333167452127802E-2</v>
      </c>
      <c r="AA35" s="28">
        <f>SUMPRODUCT(INDEX(PortfolioRef[[SPY]:[PE]],MATCH(AA$1,PortfolioRef[Reference '#]),0),AssetMonthlyReturns[[#This Row],[SPY]:[PE]])</f>
        <v>-4.1400579143496076E-2</v>
      </c>
      <c r="AB35" s="27">
        <f>IF(ISNUMBER(AB34),AB34*(1+PortfolioFrontier[[#This Row],[P7 Return]]),1+PortfolioFrontier[[#This Row],[P7 Return]])</f>
        <v>1.1302558003243153</v>
      </c>
      <c r="AC35" s="27">
        <f>MAX(AC34,PortfolioFrontier[[#This Row],[P7 Growth]])</f>
        <v>1.2019777210920481</v>
      </c>
      <c r="AD35" s="27">
        <f>PortfolioFrontier[[#This Row],[P7 Growth]]/PortfolioFrontier[[#This Row],[P7 HWM]]-1</f>
        <v>-5.966992524834025E-2</v>
      </c>
      <c r="AE35" s="28">
        <f>SUMPRODUCT(INDEX(PortfolioRef[[SPY]:[PE]],MATCH(AE$1,PortfolioRef[Reference '#]),0),AssetMonthlyReturns[[#This Row],[SPY]:[PE]])</f>
        <v>-4.8390982173296369E-2</v>
      </c>
      <c r="AF35" s="27">
        <f>IF(ISNUMBER(AF34),AF34*(1+PortfolioFrontier[[#This Row],[P8 Return]]),1+PortfolioFrontier[[#This Row],[P8 Return]])</f>
        <v>1.1318499065702246</v>
      </c>
      <c r="AG35" s="27">
        <f>MAX(AG34,PortfolioFrontier[[#This Row],[P8 Growth]])</f>
        <v>1.2142827704518531</v>
      </c>
      <c r="AH35" s="27">
        <f>PortfolioFrontier[[#This Row],[P8 Growth]]/PortfolioFrontier[[#This Row],[P8 HWM]]-1</f>
        <v>-6.7886052480967018E-2</v>
      </c>
      <c r="AI35" s="28">
        <f>SUMPRODUCT(INDEX(PortfolioRef[[SPY]:[PE]],MATCH(AI$1,PortfolioRef[Reference '#]),0),AssetMonthlyReturns[[#This Row],[SPY]:[PE]])</f>
        <v>-4.4792428100325472E-2</v>
      </c>
      <c r="AJ35" s="27">
        <f>IF(ISNUMBER(AJ34),AJ34*(1+PortfolioFrontier[[#This Row],[P9 Return]]),1+PortfolioFrontier[[#This Row],[P9 Return]])</f>
        <v>1.1316853628849732</v>
      </c>
      <c r="AK35" s="27">
        <f>MAX(AK34,PortfolioFrontier[[#This Row],[P9 Growth]])</f>
        <v>1.2081574545244378</v>
      </c>
      <c r="AL35" s="27">
        <f>PortfolioFrontier[[#This Row],[P9 Growth]]/PortfolioFrontier[[#This Row],[P9 HWM]]-1</f>
        <v>-6.3296461361955436E-2</v>
      </c>
      <c r="AM35" s="28">
        <f>SUMPRODUCT(INDEX(PortfolioRef[[SPY]:[PE]],MATCH(AM$1,PortfolioRef[Reference '#]),0),AssetMonthlyReturns[[#This Row],[SPY]:[PE]])</f>
        <v>-3.9947370936303787E-2</v>
      </c>
      <c r="AN35" s="27">
        <f>IF(ISNUMBER(AN34),AN34*(1+PortfolioFrontier[[#This Row],[P10 Return]]),1+PortfolioFrontier[[#This Row],[P10 Return]])</f>
        <v>1.1283790504413493</v>
      </c>
      <c r="AO35" s="27">
        <f>MAX(AO34,PortfolioFrontier[[#This Row],[P10 Growth]])</f>
        <v>1.196588467741694</v>
      </c>
      <c r="AP35" s="27">
        <f>PortfolioFrontier[[#This Row],[P10 Growth]]/PortfolioFrontier[[#This Row],[P10 HWM]]-1</f>
        <v>-5.7003238071544726E-2</v>
      </c>
      <c r="AQ35" s="28">
        <f>SUMPRODUCT(INDEX(PortfolioRef[[SPY]:[PE]],MATCH(AQ$1,PortfolioRef[Reference '#]),0),AssetMonthlyReturns[[#This Row],[SPY]:[PE]])</f>
        <v>-4.6937773966104088E-2</v>
      </c>
      <c r="AR35" s="27">
        <f>IF(ISNUMBER(AR34),AR34*(1+PortfolioFrontier[[#This Row],[P11 Return]]),1+PortfolioFrontier[[#This Row],[P11 Return]])</f>
        <v>1.1300518755674005</v>
      </c>
      <c r="AS35" s="27">
        <f>MAX(AS34,PortfolioFrontier[[#This Row],[P11 Growth]])</f>
        <v>1.208908483674711</v>
      </c>
      <c r="AT35" s="27">
        <f>PortfolioFrontier[[#This Row],[P11 Growth]]/PortfolioFrontier[[#This Row],[P11 HWM]]-1</f>
        <v>-6.5229592787380053E-2</v>
      </c>
      <c r="AU35" s="28">
        <f>SUMPRODUCT(INDEX(PortfolioRef[[SPY]:[PE]],MATCH(AU$1,PortfolioRef[Reference '#]),0),AssetMonthlyReturns[[#This Row],[SPY]:[PE]])</f>
        <v>-4.3339219893133191E-2</v>
      </c>
      <c r="AV35" s="27">
        <f>IF(ISNUMBER(AV34),AV34*(1+PortfolioFrontier[[#This Row],[P12 Return]]),1+PortfolioFrontier[[#This Row],[P12 Return]])</f>
        <v>1.1299066691324964</v>
      </c>
      <c r="AW35" s="27">
        <f>MAX(AW34,PortfolioFrontier[[#This Row],[P12 Growth]])</f>
        <v>1.2028375811784136</v>
      </c>
      <c r="AX35" s="27">
        <f>PortfolioFrontier[[#This Row],[P12 Growth]]/PortfolioFrontier[[#This Row],[P12 HWM]]-1</f>
        <v>-6.0632385608094475E-2</v>
      </c>
      <c r="AY35" s="28">
        <f>SUMPRODUCT(INDEX(PortfolioRef[[SPY]:[PE]],MATCH(AY$1,PortfolioRef[Reference '#]),0),AssetMonthlyReturns[[#This Row],[SPY]:[PE]])</f>
        <v>-5.3928176995904381E-2</v>
      </c>
      <c r="AZ35" s="27">
        <f>IF(ISNUMBER(AZ34),AZ34*(1+PortfolioFrontier[[#This Row],[P13 Return]]),1+PortfolioFrontier[[#This Row],[P13 Return]])</f>
        <v>1.1315318872868705</v>
      </c>
      <c r="BA35" s="27">
        <f>MAX(BA34,PortfolioFrontier[[#This Row],[P13 Growth]])</f>
        <v>1.2212236920710353</v>
      </c>
      <c r="BB35" s="27">
        <f>PortfolioFrontier[[#This Row],[P13 Growth]]/PortfolioFrontier[[#This Row],[P13 HWM]]-1</f>
        <v>-7.3444206304300597E-2</v>
      </c>
      <c r="BC35" s="28">
        <f>SUMPRODUCT(INDEX(PortfolioRef[[SPY]:[PE]],MATCH(BC$1,PortfolioRef[Reference '#]),0),AssetMonthlyReturns[[#This Row],[SPY]:[PE]])</f>
        <v>-5.0329622922933484E-2</v>
      </c>
      <c r="BD35" s="27">
        <f>IF(ISNUMBER(BD34),BD34*(1+PortfolioFrontier[[#This Row],[P14 Return]]),1+PortfolioFrontier[[#This Row],[P14 Return]])</f>
        <v>1.1314631452298707</v>
      </c>
      <c r="BE35" s="27">
        <f>MAX(BE34,PortfolioFrontier[[#This Row],[P14 Growth]])</f>
        <v>1.2151316397014729</v>
      </c>
      <c r="BF35" s="27">
        <f>PortfolioFrontier[[#This Row],[P14 Growth]]/PortfolioFrontier[[#This Row],[P14 HWM]]-1</f>
        <v>-6.8855498234049239E-2</v>
      </c>
      <c r="BG35" s="28">
        <f>SUMPRODUCT(INDEX(PortfolioRef[[SPY]:[PE]],MATCH(BG$1,PortfolioRef[Reference '#]),0),AssetMonthlyReturns[[#This Row],[SPY]:[PE]])</f>
        <v>-4.673106884996258E-2</v>
      </c>
      <c r="BH35" s="27">
        <f>IF(ISNUMBER(BH34),BH34*(1+PortfolioFrontier[[#This Row],[P15 Return]]),1+PortfolioFrontier[[#This Row],[P15 Return]])</f>
        <v>1.1312677392232422</v>
      </c>
      <c r="BI35" s="27">
        <f>MAX(BI34,PortfolioFrontier[[#This Row],[P15 Growth]])</f>
        <v>1.208960110427493</v>
      </c>
      <c r="BJ35" s="27">
        <f>PortfolioFrontier[[#This Row],[P15 Growth]]/PortfolioFrontier[[#This Row],[P15 HWM]]-1</f>
        <v>-6.4263800380294112E-2</v>
      </c>
      <c r="BK35" s="28">
        <f>SUMPRODUCT(INDEX(PortfolioRef[[SPY]:[PE]],MATCH(BK$1,PortfolioRef[Reference '#]),0),AssetMonthlyReturns[[#This Row],[SPY]:[PE]])</f>
        <v>-3.7168845734197549E-2</v>
      </c>
      <c r="BL35" s="27">
        <f>IF(ISNUMBER(BL34),BL34*(1+PortfolioFrontier[[#This Row],[P16 Return]]),1+PortfolioFrontier[[#This Row],[P16 Return]])</f>
        <v>1.1200447756934953</v>
      </c>
      <c r="BM35" s="27">
        <f>MAX(BM34,PortfolioFrontier[[#This Row],[P16 Growth]])</f>
        <v>1.1851093657015759</v>
      </c>
      <c r="BN35" s="27">
        <f>PortfolioFrontier[[#This Row],[P16 Growth]]/PortfolioFrontier[[#This Row],[P16 HWM]]-1</f>
        <v>-5.4901760032554314E-2</v>
      </c>
      <c r="BO35" s="28">
        <f>SUMPRODUCT(INDEX(PortfolioRef[[SPY]:[PE]],MATCH(BO$1,PortfolioRef[Reference '#]),0),AssetMonthlyReturns[[#This Row],[SPY]:[PE]])</f>
        <v>-3.5715637527005274E-2</v>
      </c>
      <c r="BP35" s="27">
        <f>IF(ISNUMBER(BP34),BP34*(1+PortfolioFrontier[[#This Row],[P17 Return]]),1+PortfolioFrontier[[#This Row],[P17 Return]])</f>
        <v>1.1182337869982799</v>
      </c>
      <c r="BQ35" s="27">
        <f>MAX(BQ34,PortfolioFrontier[[#This Row],[P17 Growth]])</f>
        <v>1.1798578078345985</v>
      </c>
      <c r="BR35" s="27">
        <f>PortfolioFrontier[[#This Row],[P17 Growth]]/PortfolioFrontier[[#This Row],[P17 HWM]]-1</f>
        <v>-5.2230040287157609E-2</v>
      </c>
      <c r="BS35" s="28">
        <f>SUMPRODUCT(INDEX(PortfolioRef[[SPY]:[PE]],MATCH(BS$1,PortfolioRef[Reference '#]),0),AssetMonthlyReturns[[#This Row],[SPY]:[PE]])</f>
        <v>-4.2706040556805568E-2</v>
      </c>
      <c r="BT35" s="27">
        <f>IF(ISNUMBER(BT34),BT34*(1+PortfolioFrontier[[#This Row],[P18 Return]]),1+PortfolioFrontier[[#This Row],[P18 Return]])</f>
        <v>1.1198943552874558</v>
      </c>
      <c r="BU35" s="27">
        <f>MAX(BU34,PortfolioFrontier[[#This Row],[P18 Growth]])</f>
        <v>1.1919658639020045</v>
      </c>
      <c r="BV35" s="27">
        <f>PortfolioFrontier[[#This Row],[P18 Growth]]/PortfolioFrontier[[#This Row],[P18 HWM]]-1</f>
        <v>-6.0464406571691831E-2</v>
      </c>
      <c r="BW35" s="28">
        <f>SUMPRODUCT(INDEX(PortfolioRef[[SPY]:[PE]],MATCH(BW$1,PortfolioRef[Reference '#]),0),AssetMonthlyReturns[[#This Row],[SPY]:[PE]])</f>
        <v>-3.9107486483834671E-2</v>
      </c>
      <c r="BX35" s="27">
        <f>IF(ISNUMBER(BX34),BX34*(1+PortfolioFrontier[[#This Row],[P19 Return]]),1+PortfolioFrontier[[#This Row],[P19 Return]])</f>
        <v>1.1197000914492967</v>
      </c>
      <c r="BY35" s="27">
        <f>MAX(BY34,PortfolioFrontier[[#This Row],[P19 Growth]])</f>
        <v>1.1859463364551437</v>
      </c>
      <c r="BZ35" s="27">
        <f>PortfolioFrontier[[#This Row],[P19 Growth]]/PortfolioFrontier[[#This Row],[P19 HWM]]-1</f>
        <v>-5.585939512563487E-2</v>
      </c>
      <c r="CA35" s="28">
        <f>SUMPRODUCT(INDEX(PortfolioRef[[SPY]:[PE]],MATCH(CA$1,PortfolioRef[Reference '#]),0),AssetMonthlyReturns[[#This Row],[SPY]:[PE]])</f>
        <v>-3.4262429319812993E-2</v>
      </c>
      <c r="CB35" s="27">
        <f>IF(ISNUMBER(CB34),CB34*(1+PortfolioFrontier[[#This Row],[P20 Return]]),1+PortfolioFrontier[[#This Row],[P20 Return]])</f>
        <v>1.1163521673861221</v>
      </c>
      <c r="CC35" s="27">
        <f>MAX(CC34,PortfolioFrontier[[#This Row],[P20 Growth]])</f>
        <v>1.1745572118249088</v>
      </c>
      <c r="CD35" s="27">
        <f>PortfolioFrontier[[#This Row],[P20 Growth]]/PortfolioFrontier[[#This Row],[P20 HWM]]-1</f>
        <v>-4.9554882344431395E-2</v>
      </c>
      <c r="CE35" s="28">
        <f>SUMPRODUCT(INDEX(PortfolioRef[[SPY]:[PE]],MATCH(CE$1,PortfolioRef[Reference '#]),0),AssetMonthlyReturns[[#This Row],[SPY]:[PE]])</f>
        <v>-4.1252832349613293E-2</v>
      </c>
      <c r="CF35" s="27">
        <f>IF(ISNUMBER(CF34),CF34*(1+PortfolioFrontier[[#This Row],[P21 Return]]),1+PortfolioFrontier[[#This Row],[P21 Return]])</f>
        <v>1.1180904415902226</v>
      </c>
      <c r="CG35" s="27">
        <f>MAX(CG34,PortfolioFrontier[[#This Row],[P21 Growth]])</f>
        <v>1.1866798900197959</v>
      </c>
      <c r="CH35" s="27">
        <f>PortfolioFrontier[[#This Row],[P21 Growth]]/PortfolioFrontier[[#This Row],[P21 HWM]]-1</f>
        <v>-5.7799452916008409E-2</v>
      </c>
      <c r="CI35" s="28">
        <f>SUMPRODUCT(INDEX(PortfolioRef[[SPY]:[PE]],MATCH(CI$1,PortfolioRef[Reference '#]),0),AssetMonthlyReturns[[#This Row],[SPY]:[PE]])</f>
        <v>-3.7654278276642396E-2</v>
      </c>
      <c r="CJ35" s="27">
        <f>IF(ISNUMBER(CJ34),CJ34*(1+PortfolioFrontier[[#This Row],[P22 Return]]),1+PortfolioFrontier[[#This Row],[P22 Return]])</f>
        <v>1.1179154267965126</v>
      </c>
      <c r="CK35" s="27">
        <f>MAX(CK34,PortfolioFrontier[[#This Row],[P22 Growth]])</f>
        <v>1.1807138443972445</v>
      </c>
      <c r="CL35" s="27">
        <f>PortfolioFrontier[[#This Row],[P22 Growth]]/PortfolioFrontier[[#This Row],[P22 HWM]]-1</f>
        <v>-5.3186822445357662E-2</v>
      </c>
      <c r="CM35" s="28">
        <f>SUMPRODUCT(INDEX(PortfolioRef[[SPY]:[PE]],MATCH(CM$1,PortfolioRef[Reference '#]),0),AssetMonthlyReturns[[#This Row],[SPY]:[PE]])</f>
        <v>-4.8243235379413586E-2</v>
      </c>
      <c r="CN35" s="27">
        <f>IF(ISNUMBER(CN34),CN34*(1+PortfolioFrontier[[#This Row],[P23 Return]]),1+PortfolioFrontier[[#This Row],[P23 Return]])</f>
        <v>1.119638691154367</v>
      </c>
      <c r="CO35" s="27">
        <f>MAX(CO34,PortfolioFrontier[[#This Row],[P23 Growth]])</f>
        <v>1.1987982173464886</v>
      </c>
      <c r="CP35" s="27">
        <f>PortfolioFrontier[[#This Row],[P23 Growth]]/PortfolioFrontier[[#This Row],[P23 HWM]]-1</f>
        <v>-6.6032402323169426E-2</v>
      </c>
      <c r="CQ35" s="28">
        <f>SUMPRODUCT(INDEX(PortfolioRef[[SPY]:[PE]],MATCH(CQ$1,PortfolioRef[Reference '#]),0),AssetMonthlyReturns[[#This Row],[SPY]:[PE]])</f>
        <v>-4.4644681306442689E-2</v>
      </c>
      <c r="CR35" s="27">
        <f>IF(ISNUMBER(CR34),CR34*(1+PortfolioFrontier[[#This Row],[P24 Return]]),1+PortfolioFrontier[[#This Row],[P24 Return]])</f>
        <v>1.1195389196216019</v>
      </c>
      <c r="CS35" s="27">
        <f>MAX(CS34,PortfolioFrontier[[#This Row],[P24 Growth]])</f>
        <v>1.1928111947407509</v>
      </c>
      <c r="CT35" s="27">
        <f>PortfolioFrontier[[#This Row],[P24 Growth]]/PortfolioFrontier[[#This Row],[P24 HWM]]-1</f>
        <v>-6.1428225558424754E-2</v>
      </c>
      <c r="CU35" s="28">
        <f>SUMPRODUCT(INDEX(PortfolioRef[[SPY]:[PE]],MATCH(CU$1,PortfolioRef[Reference '#]),0),AssetMonthlyReturns[[#This Row],[SPY]:[PE]])</f>
        <v>-4.1046127233471785E-2</v>
      </c>
      <c r="CV35" s="27">
        <f>IF(ISNUMBER(CV34),CV34*(1+PortfolioFrontier[[#This Row],[P25 Return]]),1+PortfolioFrontier[[#This Row],[P25 Return]])</f>
        <v>1.1193140094428262</v>
      </c>
      <c r="CW35" s="27">
        <f>MAX(CW34,PortfolioFrontier[[#This Row],[P25 Growth]])</f>
        <v>1.186746221986748</v>
      </c>
      <c r="CX35" s="27">
        <f>PortfolioFrontier[[#This Row],[P25 Growth]]/PortfolioFrontier[[#This Row],[P25 HWM]]-1</f>
        <v>-5.6821088868547309E-2</v>
      </c>
      <c r="CY35" s="28">
        <f>SUMPRODUCT(INDEX(PortfolioRef[[SPY]:[PE]],MATCH(CY$1,PortfolioRef[Reference '#]),0),AssetMonthlyReturns[[#This Row],[SPY]:[PE]])</f>
        <v>-3.9799624142421004E-2</v>
      </c>
      <c r="CZ35" s="27">
        <f>IF(ISNUMBER(CZ34),CZ34*(1+PortfolioFrontier[[#This Row],[P26 Return]]),1+PortfolioFrontier[[#This Row],[P26 Return]])</f>
        <v>1.1162159477813514</v>
      </c>
      <c r="DA35" s="27">
        <f>MAX(DA34,PortfolioFrontier[[#This Row],[P26 Growth]])</f>
        <v>1.1813447318412627</v>
      </c>
      <c r="DB35" s="27">
        <f>PortfolioFrontier[[#This Row],[P26 Growth]]/PortfolioFrontier[[#This Row],[P26 HWM]]-1</f>
        <v>-5.5131057264208194E-2</v>
      </c>
      <c r="DC35" s="28">
        <f>SUMPRODUCT(INDEX(PortfolioRef[[SPY]:[PE]],MATCH(DC$1,PortfolioRef[Reference '#]),0),AssetMonthlyReturns[[#This Row],[SPY]:[PE]])</f>
        <v>-3.6201070069450107E-2</v>
      </c>
      <c r="DD35" s="27">
        <f>IF(ISNUMBER(DD34),DD34*(1+PortfolioFrontier[[#This Row],[P27 Return]]),1+PortfolioFrontier[[#This Row],[P27 Return]])</f>
        <v>1.116060064069375</v>
      </c>
      <c r="DE35" s="27">
        <f>MAX(DE34,PortfolioFrontier[[#This Row],[P27 Growth]])</f>
        <v>1.1754320853060471</v>
      </c>
      <c r="DF35" s="27">
        <f>PortfolioFrontier[[#This Row],[P27 Growth]]/PortfolioFrontier[[#This Row],[P27 HWM]]-1</f>
        <v>-5.0510805327568908E-2</v>
      </c>
      <c r="DG35" s="28">
        <f>SUMPRODUCT(INDEX(PortfolioRef[[SPY]:[PE]],MATCH(DG$1,PortfolioRef[Reference '#]),0),AssetMonthlyReturns[[#This Row],[SPY]:[PE]])</f>
        <v>-4.6790027172221305E-2</v>
      </c>
      <c r="DH35" s="27">
        <f>IF(ISNUMBER(DH34),DH34*(1+PortfolioFrontier[[#This Row],[P28 Return]]),1+PortfolioFrontier[[#This Row],[P28 Return]])</f>
        <v>1.117842122000223</v>
      </c>
      <c r="DI35" s="27">
        <f>MAX(DI34,PortfolioFrontier[[#This Row],[P28 Growth]])</f>
        <v>1.1934778769972798</v>
      </c>
      <c r="DJ35" s="27">
        <f>PortfolioFrontier[[#This Row],[P28 Growth]]/PortfolioFrontier[[#This Row],[P28 HWM]]-1</f>
        <v>-6.3374241328504444E-2</v>
      </c>
      <c r="DK35" s="28">
        <f>SUMPRODUCT(INDEX(PortfolioRef[[SPY]:[PE]],MATCH(DK$1,PortfolioRef[Reference '#]),0),AssetMonthlyReturns[[#This Row],[SPY]:[PE]])</f>
        <v>-4.3191473099250408E-2</v>
      </c>
      <c r="DL35" s="27">
        <f>IF(ISNUMBER(DL34),DL34*(1+PortfolioFrontier[[#This Row],[P29 Return]]),1+PortfolioFrontier[[#This Row],[P29 Return]])</f>
        <v>1.1177613810478979</v>
      </c>
      <c r="DM35" s="27">
        <f>MAX(DM34,PortfolioFrontier[[#This Row],[P29 Growth]])</f>
        <v>1.1875443780897539</v>
      </c>
      <c r="DN35" s="27">
        <f>PortfolioFrontier[[#This Row],[P29 Growth]]/PortfolioFrontier[[#This Row],[P29 HWM]]-1</f>
        <v>-5.8762433075643661E-2</v>
      </c>
      <c r="DO35" s="28">
        <f>SUMPRODUCT(INDEX(PortfolioRef[[SPY]:[PE]],MATCH(DO$1,PortfolioRef[Reference '#]),0),AssetMonthlyReturns[[#This Row],[SPY]:[PE]])</f>
        <v>-3.9592919026279504E-2</v>
      </c>
      <c r="DP35" s="27">
        <f>IF(ISNUMBER(DP34),DP34*(1+PortfolioFrontier[[#This Row],[P30 Return]]),1+PortfolioFrontier[[#This Row],[P30 Return]])</f>
        <v>1.1175557220240677</v>
      </c>
      <c r="DQ35" s="27">
        <f>MAX(DQ34,PortfolioFrontier[[#This Row],[P30 Growth]])</f>
        <v>1.1815329798730776</v>
      </c>
      <c r="DR35" s="27">
        <f>PortfolioFrontier[[#This Row],[P30 Growth]]/PortfolioFrontier[[#This Row],[P30 HWM]]-1</f>
        <v>-5.4147669966760015E-2</v>
      </c>
      <c r="DS35" s="28">
        <f>SUMPRODUCT(INDEX(PortfolioRef[[SPY]:[PE]],MATCH(DS$1,PortfolioRef[Reference '#]),0),AssetMonthlyReturns[[#This Row],[SPY]:[PE]])</f>
        <v>-5.3780430202021598E-2</v>
      </c>
      <c r="DT35" s="27">
        <f>IF(ISNUMBER(DT34),DT34*(1+PortfolioFrontier[[#This Row],[P31 Return]]),1+PortfolioFrontier[[#This Row],[P31 Return]])</f>
        <v>1.1192773837988268</v>
      </c>
      <c r="DU35" s="27">
        <f>MAX(DU34,PortfolioFrontier[[#This Row],[P31 Growth]])</f>
        <v>1.205605513004264</v>
      </c>
      <c r="DV35" s="27">
        <f>PortfolioFrontier[[#This Row],[P31 Growth]]/PortfolioFrontier[[#This Row],[P31 HWM]]-1</f>
        <v>-7.1605619146776323E-2</v>
      </c>
      <c r="DW35" s="28">
        <f>SUMPRODUCT(INDEX(PortfolioRef[[SPY]:[PE]],MATCH(DW$1,PortfolioRef[Reference '#]),0),AssetMonthlyReturns[[#This Row],[SPY]:[PE]])</f>
        <v>-5.0181876129050701E-2</v>
      </c>
      <c r="DX35" s="27">
        <f>IF(ISNUMBER(DX34),DX34*(1+PortfolioFrontier[[#This Row],[P32 Return]]),1+PortfolioFrontier[[#This Row],[P32 Return]])</f>
        <v>1.1192724393514761</v>
      </c>
      <c r="DY35" s="27">
        <f>MAX(DY34,PortfolioFrontier[[#This Row],[P32 Growth]])</f>
        <v>1.1996519727361086</v>
      </c>
      <c r="DZ35" s="27">
        <f>PortfolioFrontier[[#This Row],[P32 Growth]]/PortfolioFrontier[[#This Row],[P32 HWM]]-1</f>
        <v>-6.700237669872422E-2</v>
      </c>
      <c r="EA35" s="28">
        <f>SUMPRODUCT(INDEX(PortfolioRef[[SPY]:[PE]],MATCH(EA$1,PortfolioRef[Reference '#]),0),AssetMonthlyReturns[[#This Row],[SPY]:[PE]])</f>
        <v>-4.6583322056079797E-2</v>
      </c>
      <c r="EB35" s="27">
        <f>IF(ISNUMBER(EB34),EB34*(1+PortfolioFrontier[[#This Row],[P33 Return]]),1+PortfolioFrontier[[#This Row],[P33 Return]])</f>
        <v>1.1191420543918325</v>
      </c>
      <c r="EC35" s="27">
        <f>MAX(EC34,PortfolioFrontier[[#This Row],[P33 Growth]])</f>
        <v>1.1936192372696184</v>
      </c>
      <c r="ED35" s="27">
        <f>PortfolioFrontier[[#This Row],[P33 Growth]]/PortfolioFrontier[[#This Row],[P33 HWM]]-1</f>
        <v>-6.2396097978574039E-2</v>
      </c>
      <c r="EE35" s="28">
        <f>SUMPRODUCT(INDEX(PortfolioRef[[SPY]:[PE]],MATCH(EE$1,PortfolioRef[Reference '#]),0),AssetMonthlyReturns[[#This Row],[SPY]:[PE]])</f>
        <v>-3.1483904117706754E-2</v>
      </c>
      <c r="EF35" s="27">
        <f>IF(ISNUMBER(EF34),EF34*(1+PortfolioFrontier[[#This Row],[P34 Return]]),1+PortfolioFrontier[[#This Row],[P34 Return]])</f>
        <v>1.1080505749713638</v>
      </c>
      <c r="EG35" s="27">
        <f>MAX(EG34,PortfolioFrontier[[#This Row],[P34 Growth]])</f>
        <v>1.1632512387660898</v>
      </c>
      <c r="EH35" s="27">
        <f>PortfolioFrontier[[#This Row],[P34 Growth]]/PortfolioFrontier[[#This Row],[P34 HWM]]-1</f>
        <v>-4.7453776067567066E-2</v>
      </c>
      <c r="EI35" s="28">
        <f>SUMPRODUCT(INDEX(PortfolioRef[[SPY]:[PE]],MATCH(EI$1,PortfolioRef[Reference '#]),0),AssetMonthlyReturns[[#This Row],[SPY]:[PE]])</f>
        <v>-3.0030695910514476E-2</v>
      </c>
      <c r="EJ35" s="27">
        <f>IF(ISNUMBER(EJ34),EJ34*(1+PortfolioFrontier[[#This Row],[P35 Return]]),1+PortfolioFrontier[[#This Row],[P35 Return]])</f>
        <v>1.1062345820933575</v>
      </c>
      <c r="EK35" s="27">
        <f>MAX(EK34,PortfolioFrontier[[#This Row],[P35 Growth]])</f>
        <v>1.1580862807018495</v>
      </c>
      <c r="EL35" s="27">
        <f>PortfolioFrontier[[#This Row],[P35 Growth]]/PortfolioFrontier[[#This Row],[P35 HWM]]-1</f>
        <v>-4.4773605794783844E-2</v>
      </c>
      <c r="EM35" s="28">
        <f>SUMPRODUCT(INDEX(PortfolioRef[[SPY]:[PE]],MATCH(EM$1,PortfolioRef[Reference '#]),0),AssetMonthlyReturns[[#This Row],[SPY]:[PE]])</f>
        <v>-3.7021098940314766E-2</v>
      </c>
      <c r="EN35" s="27">
        <f>IF(ISNUMBER(EN34),EN34*(1+PortfolioFrontier[[#This Row],[P36 Return]]),1+PortfolioFrontier[[#This Row],[P36 Return]])</f>
        <v>1.1079593114896531</v>
      </c>
      <c r="EO35" s="27">
        <f>MAX(EO34,PortfolioFrontier[[#This Row],[P36 Growth]])</f>
        <v>1.1699998782469747</v>
      </c>
      <c r="EP35" s="27">
        <f>PortfolioFrontier[[#This Row],[P36 Growth]]/PortfolioFrontier[[#This Row],[P36 HWM]]-1</f>
        <v>-5.3026130951635442E-2</v>
      </c>
      <c r="EQ35" s="28">
        <f>SUMPRODUCT(INDEX(PortfolioRef[[SPY]:[PE]],MATCH(EQ$1,PortfolioRef[Reference '#]),0),AssetMonthlyReturns[[#This Row],[SPY]:[PE]])</f>
        <v>-3.3422544867343869E-2</v>
      </c>
      <c r="ER35" s="27">
        <f>IF(ISNUMBER(ER34),ER34*(1+PortfolioFrontier[[#This Row],[P37 Return]]),1+PortfolioFrontier[[#This Row],[P37 Return]])</f>
        <v>1.1077362773783219</v>
      </c>
      <c r="ES35" s="27">
        <f>MAX(ES34,PortfolioFrontier[[#This Row],[P37 Growth]])</f>
        <v>1.1640846080529437</v>
      </c>
      <c r="ET35" s="27">
        <f>PortfolioFrontier[[#This Row],[P37 Growth]]/PortfolioFrontier[[#This Row],[P37 HWM]]-1</f>
        <v>-4.8405700311483724E-2</v>
      </c>
      <c r="EU35" s="28">
        <f>SUMPRODUCT(INDEX(PortfolioRef[[SPY]:[PE]],MATCH(EU$1,PortfolioRef[Reference '#]),0),AssetMonthlyReturns[[#This Row],[SPY]:[PE]])</f>
        <v>-2.8577487703322191E-2</v>
      </c>
      <c r="EV35" s="27">
        <f>IF(ISNUMBER(EV34),EV34*(1+PortfolioFrontier[[#This Row],[P38 Return]]),1+PortfolioFrontier[[#This Row],[P38 Return]])</f>
        <v>1.1043487204134186</v>
      </c>
      <c r="EW35" s="27">
        <f>MAX(EW34,PortfolioFrontier[[#This Row],[P38 Growth]])</f>
        <v>1.1528731562830647</v>
      </c>
      <c r="EX35" s="27">
        <f>PortfolioFrontier[[#This Row],[P38 Growth]]/PortfolioFrontier[[#This Row],[P38 HWM]]-1</f>
        <v>-4.2090004095586719E-2</v>
      </c>
      <c r="EY35" s="28">
        <f>SUMPRODUCT(INDEX(PortfolioRef[[SPY]:[PE]],MATCH(EY$1,PortfolioRef[Reference '#]),0),AssetMonthlyReturns[[#This Row],[SPY]:[PE]])</f>
        <v>-3.5567890733122491E-2</v>
      </c>
      <c r="EZ35" s="27">
        <f>IF(ISNUMBER(EZ34),EZ34*(1+PortfolioFrontier[[#This Row],[P39 Return]]),1+PortfolioFrontier[[#This Row],[P39 Return]])</f>
        <v>1.1061501495715156</v>
      </c>
      <c r="FA35" s="27">
        <f>MAX(FA34,PortfolioFrontier[[#This Row],[P39 Growth]])</f>
        <v>1.1648010388890722</v>
      </c>
      <c r="FB35" s="27">
        <f>PortfolioFrontier[[#This Row],[P39 Growth]]/PortfolioFrontier[[#This Row],[P39 HWM]]-1</f>
        <v>-5.0352710342269957E-2</v>
      </c>
      <c r="FC35" s="28">
        <f>SUMPRODUCT(INDEX(PortfolioRef[[SPY]:[PE]],MATCH(FC$1,PortfolioRef[Reference '#]),0),AssetMonthlyReturns[[#This Row],[SPY]:[PE]])</f>
        <v>-3.1969336660151594E-2</v>
      </c>
      <c r="FD35" s="27">
        <f>IF(ISNUMBER(FD34),FD34*(1+PortfolioFrontier[[#This Row],[P40 Return]]),1+PortfolioFrontier[[#This Row],[P40 Return]])</f>
        <v>1.1059462738783874</v>
      </c>
      <c r="FE35" s="27">
        <f>MAX(FE34,PortfolioFrontier[[#This Row],[P40 Growth]])</f>
        <v>1.1589383324741944</v>
      </c>
      <c r="FF35" s="27">
        <f>PortfolioFrontier[[#This Row],[P40 Growth]]/PortfolioFrontier[[#This Row],[P40 HWM]]-1</f>
        <v>-4.5724657741430752E-2</v>
      </c>
      <c r="FG35" s="28">
        <f>SUMPRODUCT(INDEX(PortfolioRef[[SPY]:[PE]],MATCH(FG$1,PortfolioRef[Reference '#]),0),AssetMonthlyReturns[[#This Row],[SPY]:[PE]])</f>
        <v>-4.2558293762922784E-2</v>
      </c>
      <c r="FH35" s="27">
        <f>IF(ISNUMBER(FH34),FH34*(1+PortfolioFrontier[[#This Row],[P41 Return]]),1+PortfolioFrontier[[#This Row],[P41 Return]])</f>
        <v>1.1077643193351685</v>
      </c>
      <c r="FI35" s="27">
        <f>MAX(FI34,PortfolioFrontier[[#This Row],[P41 Growth]])</f>
        <v>1.1767250128183893</v>
      </c>
      <c r="FJ35" s="27">
        <f>PortfolioFrontier[[#This Row],[P41 Growth]]/PortfolioFrontier[[#This Row],[P41 HWM]]-1</f>
        <v>-5.860391572543544E-2</v>
      </c>
      <c r="FK35" s="28">
        <f>SUMPRODUCT(INDEX(PortfolioRef[[SPY]:[PE]],MATCH(FK$1,PortfolioRef[Reference '#]),0),AssetMonthlyReturns[[#This Row],[SPY]:[PE]])</f>
        <v>-3.8959739689951887E-2</v>
      </c>
      <c r="FL35" s="27">
        <f>IF(ISNUMBER(FL34),FL34*(1+PortfolioFrontier[[#This Row],[P42 Return]]),1+PortfolioFrontier[[#This Row],[P42 Return]])</f>
        <v>1.1076344786663304</v>
      </c>
      <c r="FM35" s="27">
        <f>MAX(FM34,PortfolioFrontier[[#This Row],[P42 Growth]])</f>
        <v>1.1708415038556184</v>
      </c>
      <c r="FN35" s="27">
        <f>PortfolioFrontier[[#This Row],[P42 Growth]]/PortfolioFrontier[[#This Row],[P42 HWM]]-1</f>
        <v>-5.3984271125635086E-2</v>
      </c>
      <c r="FO35" s="28">
        <f>SUMPRODUCT(INDEX(PortfolioRef[[SPY]:[PE]],MATCH(FO$1,PortfolioRef[Reference '#]),0),AssetMonthlyReturns[[#This Row],[SPY]:[PE]])</f>
        <v>-3.5361185616980984E-2</v>
      </c>
      <c r="FP35" s="27">
        <f>IF(ISNUMBER(FP34),FP34*(1+PortfolioFrontier[[#This Row],[P43 Return]]),1+PortfolioFrontier[[#This Row],[P43 Return]])</f>
        <v>1.1073810158237771</v>
      </c>
      <c r="FQ35" s="27">
        <f>MAX(FQ34,PortfolioFrontier[[#This Row],[P43 Growth]])</f>
        <v>1.1648815453438119</v>
      </c>
      <c r="FR35" s="27">
        <f>PortfolioFrontier[[#This Row],[P43 Growth]]/PortfolioFrontier[[#This Row],[P43 HWM]]-1</f>
        <v>-4.9361696689137369E-2</v>
      </c>
      <c r="FS35" s="28">
        <f>SUMPRODUCT(INDEX(PortfolioRef[[SPY]:[PE]],MATCH(FS$1,PortfolioRef[Reference '#]),0),AssetMonthlyReturns[[#This Row],[SPY]:[PE]])</f>
        <v>-3.4114682525930209E-2</v>
      </c>
      <c r="FT35" s="27">
        <f>IF(ISNUMBER(FT34),FT34*(1+PortfolioFrontier[[#This Row],[P44 Return]]),1+PortfolioFrontier[[#This Row],[P44 Return]])</f>
        <v>1.1042711659845326</v>
      </c>
      <c r="FU35" s="27">
        <f>MAX(FU34,PortfolioFrontier[[#This Row],[P44 Growth]])</f>
        <v>1.1595538884615353</v>
      </c>
      <c r="FV35" s="27">
        <f>PortfolioFrontier[[#This Row],[P44 Growth]]/PortfolioFrontier[[#This Row],[P44 HWM]]-1</f>
        <v>-4.7675854505003112E-2</v>
      </c>
      <c r="FW35" s="28">
        <f>SUMPRODUCT(INDEX(PortfolioRef[[SPY]:[PE]],MATCH(FW$1,PortfolioRef[Reference '#]),0),AssetMonthlyReturns[[#This Row],[SPY]:[PE]])</f>
        <v>-3.0516128452959312E-2</v>
      </c>
      <c r="FX35" s="27">
        <f>IF(ISNUMBER(FX34),FX34*(1+PortfolioFrontier[[#This Row],[P45 Return]]),1+PortfolioFrontier[[#This Row],[P45 Return]])</f>
        <v>1.1040863328960477</v>
      </c>
      <c r="FY35" s="27">
        <f>MAX(FY34,PortfolioFrontier[[#This Row],[P45 Growth]])</f>
        <v>1.1537436650403796</v>
      </c>
      <c r="FZ35" s="27">
        <f>PortfolioFrontier[[#This Row],[P45 Growth]]/PortfolioFrontier[[#This Row],[P45 HWM]]-1</f>
        <v>-4.3040177509961808E-2</v>
      </c>
      <c r="GA35" s="28">
        <f>SUMPRODUCT(INDEX(PortfolioRef[[SPY]:[PE]],MATCH(GA$1,PortfolioRef[Reference '#]),0),AssetMonthlyReturns[[#This Row],[SPY]:[PE]])</f>
        <v>-4.110508555573051E-2</v>
      </c>
      <c r="GB35" s="27">
        <f>IF(ISNUMBER(GB34),GB34*(1+PortfolioFrontier[[#This Row],[P46 Return]]),1+PortfolioFrontier[[#This Row],[P46 Return]])</f>
        <v>1.1059622554596711</v>
      </c>
      <c r="GC35" s="27">
        <f>MAX(GC34,PortfolioFrontier[[#This Row],[P46 Growth]])</f>
        <v>1.1714923405076605</v>
      </c>
      <c r="GD35" s="27">
        <f>PortfolioFrontier[[#This Row],[P46 Growth]]/PortfolioFrontier[[#This Row],[P46 HWM]]-1</f>
        <v>-5.5937271446087511E-2</v>
      </c>
      <c r="GE35" s="28">
        <f>SUMPRODUCT(INDEX(PortfolioRef[[SPY]:[PE]],MATCH(GE$1,PortfolioRef[Reference '#]),0),AssetMonthlyReturns[[#This Row],[SPY]:[PE]])</f>
        <v>-3.7506531482759613E-2</v>
      </c>
      <c r="GF35" s="27">
        <f>IF(ISNUMBER(GF34),GF34*(1+PortfolioFrontier[[#This Row],[P47 Return]]),1+PortfolioFrontier[[#This Row],[P47 Return]])</f>
        <v>1.1058513575156095</v>
      </c>
      <c r="GG35" s="27">
        <f>MAX(GG34,PortfolioFrontier[[#This Row],[P47 Growth]])</f>
        <v>1.1656614368953246</v>
      </c>
      <c r="GH35" s="27">
        <f>PortfolioFrontier[[#This Row],[P47 Growth]]/PortfolioFrontier[[#This Row],[P47 HWM]]-1</f>
        <v>-5.1309992324200082E-2</v>
      </c>
      <c r="GI35" s="28">
        <f>SUMPRODUCT(INDEX(PortfolioRef[[SPY]:[PE]],MATCH(GI$1,PortfolioRef[Reference '#]),0),AssetMonthlyReturns[[#This Row],[SPY]:[PE]])</f>
        <v>-3.3907977409788709E-2</v>
      </c>
      <c r="GJ35" s="27">
        <f>IF(ISNUMBER(GJ34),GJ34*(1+PortfolioFrontier[[#This Row],[P48 Return]]),1+PortfolioFrontier[[#This Row],[P48 Return]])</f>
        <v>1.1056170561314795</v>
      </c>
      <c r="GK35" s="27">
        <f>MAX(GK34,PortfolioFrontier[[#This Row],[P48 Growth]])</f>
        <v>1.1597541338301369</v>
      </c>
      <c r="GL35" s="27">
        <f>PortfolioFrontier[[#This Row],[P48 Growth]]/PortfolioFrontier[[#This Row],[P48 HWM]]-1</f>
        <v>-4.6679788516784559E-2</v>
      </c>
      <c r="GM35" s="28">
        <f>SUMPRODUCT(INDEX(PortfolioRef[[SPY]:[PE]],MATCH(GM$1,PortfolioRef[Reference '#]),0),AssetMonthlyReturns[[#This Row],[SPY]:[PE]])</f>
        <v>-4.8095488585530803E-2</v>
      </c>
      <c r="GN35" s="27">
        <f>IF(ISNUMBER(GN34),GN34*(1+PortfolioFrontier[[#This Row],[P49 Return]]),1+PortfolioFrontier[[#This Row],[P49 Return]])</f>
        <v>1.1074651948355378</v>
      </c>
      <c r="GO35" s="27">
        <f>MAX(GO34,PortfolioFrontier[[#This Row],[P49 Growth]])</f>
        <v>1.1834257453364068</v>
      </c>
      <c r="GP35" s="27">
        <f>PortfolioFrontier[[#This Row],[P49 Growth]]/PortfolioFrontier[[#This Row],[P49 HWM]]-1</f>
        <v>-6.4187001846301661E-2</v>
      </c>
      <c r="GQ35" s="28">
        <f>SUMPRODUCT(INDEX(PortfolioRef[[SPY]:[PE]],MATCH(GQ$1,PortfolioRef[Reference '#]),0),AssetMonthlyReturns[[#This Row],[SPY]:[PE]])</f>
        <v>-4.4496934512559906E-2</v>
      </c>
      <c r="GR35" s="27">
        <f>IF(ISNUMBER(GR34),GR34*(1+PortfolioFrontier[[#This Row],[P50 Return]]),1+PortfolioFrontier[[#This Row],[P50 Return]])</f>
        <v>1.1074288861622843</v>
      </c>
      <c r="GS35" s="27">
        <f>MAX(GS34,PortfolioFrontier[[#This Row],[P50 Growth]])</f>
        <v>1.177574957698575</v>
      </c>
      <c r="GT35" s="27">
        <f>PortfolioFrontier[[#This Row],[P50 Growth]]/PortfolioFrontier[[#This Row],[P50 HWM]]-1</f>
        <v>-5.956824325933574E-2</v>
      </c>
      <c r="GU35" s="28">
        <f>SUMPRODUCT(INDEX(PortfolioRef[[SPY]:[PE]],MATCH(GU$1,PortfolioRef[Reference '#]),0),AssetMonthlyReturns[[#This Row],[SPY]:[PE]])</f>
        <v>-4.0898380439589002E-2</v>
      </c>
      <c r="GV35" s="27">
        <f>IF(ISNUMBER(GV34),GV34*(1+PortfolioFrontier[[#This Row],[P51 Return]]),1+PortfolioFrontier[[#This Row],[P51 Return]])</f>
        <v>1.1072686488013201</v>
      </c>
      <c r="GW35" s="27">
        <f>MAX(GW34,PortfolioFrontier[[#This Row],[P51 Growth]])</f>
        <v>1.1716464975807377</v>
      </c>
      <c r="GX35" s="27">
        <f>PortfolioFrontier[[#This Row],[P51 Growth]]/PortfolioFrontier[[#This Row],[P51 HWM]]-1</f>
        <v>-5.4946478235839424E-2</v>
      </c>
      <c r="GY35" s="28">
        <f>SUMPRODUCT(INDEX(PortfolioRef[[SPY]:[PE]],MATCH(GY$1,PortfolioRef[Reference '#]),0),AssetMonthlyReturns[[#This Row],[SPY]:[PE]])</f>
        <v>-3.9651877348538221E-2</v>
      </c>
      <c r="GZ35" s="27">
        <f>IF(ISNUMBER(GZ34),GZ34*(1+PortfolioFrontier[[#This Row],[P52 Return]]),1+PortfolioFrontier[[#This Row],[P52 Return]])</f>
        <v>1.1040904221279302</v>
      </c>
      <c r="HA35" s="27">
        <f>MAX(HA34,PortfolioFrontier[[#This Row],[P52 Growth]])</f>
        <v>1.166211214326248</v>
      </c>
      <c r="HB35" s="27">
        <f>PortfolioFrontier[[#This Row],[P52 Growth]]/PortfolioFrontier[[#This Row],[P52 HWM]]-1</f>
        <v>-5.3267188169002999E-2</v>
      </c>
      <c r="HC35" s="28">
        <f>SUMPRODUCT(INDEX(PortfolioRef[[SPY]:[PE]],MATCH(HC$1,PortfolioRef[Reference '#]),0),AssetMonthlyReturns[[#This Row],[SPY]:[PE]])</f>
        <v>-3.6053323275567324E-2</v>
      </c>
      <c r="HD35" s="27">
        <f>IF(ISNUMBER(HD34),HD34*(1+PortfolioFrontier[[#This Row],[P53 Return]]),1+PortfolioFrontier[[#This Row],[P53 Return]])</f>
        <v>1.1039983468374217</v>
      </c>
      <c r="HE35" s="27">
        <f>MAX(HE34,PortfolioFrontier[[#This Row],[P53 Growth]])</f>
        <v>1.1604328320323583</v>
      </c>
      <c r="HF35" s="27">
        <f>PortfolioFrontier[[#This Row],[P53 Growth]]/PortfolioFrontier[[#This Row],[P53 HWM]]-1</f>
        <v>-4.8632272060157411E-2</v>
      </c>
      <c r="HG35" s="28">
        <f>SUMPRODUCT(INDEX(PortfolioRef[[SPY]:[PE]],MATCH(HG$1,PortfolioRef[Reference '#]),0),AssetMonthlyReturns[[#This Row],[SPY]:[PE]])</f>
        <v>-3.245476920259642E-2</v>
      </c>
      <c r="HH35" s="27">
        <f>IF(ISNUMBER(HH34),HH34*(1+PortfolioFrontier[[#This Row],[P54 Return]]),1+PortfolioFrontier[[#This Row],[P54 Return]])</f>
        <v>1.1037830936389985</v>
      </c>
      <c r="HI35" s="27">
        <f>MAX(HI34,PortfolioFrontier[[#This Row],[P54 Growth]])</f>
        <v>1.1545781067758707</v>
      </c>
      <c r="HJ35" s="27">
        <f>PortfolioFrontier[[#This Row],[P54 Growth]]/PortfolioFrontier[[#This Row],[P54 HWM]]-1</f>
        <v>-4.399443644286305E-2</v>
      </c>
      <c r="HK35" s="28">
        <f>SUMPRODUCT(INDEX(PortfolioRef[[SPY]:[PE]],MATCH(HK$1,PortfolioRef[Reference '#]),0),AssetMonthlyReturns[[#This Row],[SPY]:[PE]])</f>
        <v>-4.6642280378338521E-2</v>
      </c>
      <c r="HL35" s="27">
        <f>IF(ISNUMBER(HL34),HL34*(1+PortfolioFrontier[[#This Row],[P55 Return]]),1+PortfolioFrontier[[#This Row],[P55 Return]])</f>
        <v>1.1056704963419737</v>
      </c>
      <c r="HM35" s="27">
        <f>MAX(HM34,PortfolioFrontier[[#This Row],[P55 Growth]])</f>
        <v>1.1781592920632975</v>
      </c>
      <c r="HN35" s="27">
        <f>PortfolioFrontier[[#This Row],[P55 Growth]]/PortfolioFrontier[[#This Row],[P55 HWM]]-1</f>
        <v>-6.1527160384547863E-2</v>
      </c>
      <c r="HO35" s="28">
        <f>SUMPRODUCT(INDEX(PortfolioRef[[SPY]:[PE]],MATCH(HO$1,PortfolioRef[Reference '#]),0),AssetMonthlyReturns[[#This Row],[SPY]:[PE]])</f>
        <v>-4.3043726305367624E-2</v>
      </c>
      <c r="HP35" s="27">
        <f>IF(ISNUMBER(HP34),HP34*(1+PortfolioFrontier[[#This Row],[P56 Return]]),1+PortfolioFrontier[[#This Row],[P56 Return]])</f>
        <v>1.1056529128779096</v>
      </c>
      <c r="HQ35" s="27">
        <f>MAX(HQ34,PortfolioFrontier[[#This Row],[P56 Growth]])</f>
        <v>1.1723611471239099</v>
      </c>
      <c r="HR35" s="27">
        <f>PortfolioFrontier[[#This Row],[P56 Growth]]/PortfolioFrontier[[#This Row],[P56 HWM]]-1</f>
        <v>-5.6900754865215397E-2</v>
      </c>
      <c r="HS35" s="28">
        <f>SUMPRODUCT(INDEX(PortfolioRef[[SPY]:[PE]],MATCH(HS$1,PortfolioRef[Reference '#]),0),AssetMonthlyReturns[[#This Row],[SPY]:[PE]])</f>
        <v>-3.944517223239672E-2</v>
      </c>
      <c r="HT35" s="27">
        <f>IF(ISNUMBER(HT34),HT34*(1+PortfolioFrontier[[#This Row],[P57 Return]]),1+PortfolioFrontier[[#This Row],[P57 Return]])</f>
        <v>1.1055116222665542</v>
      </c>
      <c r="HU35" s="27">
        <f>MAX(HU34,PortfolioFrontier[[#This Row],[P57 Growth]])</f>
        <v>1.1664853857365276</v>
      </c>
      <c r="HV35" s="27">
        <f>PortfolioFrontier[[#This Row],[P57 Growth]]/PortfolioFrontier[[#This Row],[P57 HWM]]-1</f>
        <v>-5.2271347944470081E-2</v>
      </c>
      <c r="HW35" s="28">
        <f>SUMPRODUCT(INDEX(PortfolioRef[[SPY]:[PE]],MATCH(HW$1,PortfolioRef[Reference '#]),0),AssetMonthlyReturns[[#This Row],[SPY]:[PE]])</f>
        <v>-5.3632683408138815E-2</v>
      </c>
      <c r="HX35" s="27">
        <f>IF(ISNUMBER(HX34),HX34*(1+PortfolioFrontier[[#This Row],[P58 Return]]),1+PortfolioFrontier[[#This Row],[P58 Return]])</f>
        <v>1.1070615548981366</v>
      </c>
      <c r="HY35" s="27">
        <f>MAX(HY34,PortfolioFrontier[[#This Row],[P58 Growth]])</f>
        <v>1.1901011749788666</v>
      </c>
      <c r="HZ35" s="27">
        <f>PortfolioFrontier[[#This Row],[P58 Growth]]/PortfolioFrontier[[#This Row],[P58 HWM]]-1</f>
        <v>-6.9775260983339971E-2</v>
      </c>
      <c r="IA35" s="28">
        <f>SUMPRODUCT(INDEX(PortfolioRef[[SPY]:[PE]],MATCH(IA$1,PortfolioRef[Reference '#]),0),AssetMonthlyReturns[[#This Row],[SPY]:[PE]])</f>
        <v>-5.0034129335167918E-2</v>
      </c>
      <c r="IB35" s="27">
        <f>IF(ISNUMBER(IB34),IB34*(1+PortfolioFrontier[[#This Row],[P59 Return]]),1+PortfolioFrontier[[#This Row],[P59 Return]])</f>
        <v>1.1071190970551714</v>
      </c>
      <c r="IC35" s="27">
        <f>MAX(IC34,PortfolioFrontier[[#This Row],[P59 Growth]])</f>
        <v>1.1842840725904875</v>
      </c>
      <c r="ID35" s="27">
        <f>PortfolioFrontier[[#This Row],[P59 Growth]]/PortfolioFrontier[[#This Row],[P59 HWM]]-1</f>
        <v>-6.5157488242264749E-2</v>
      </c>
      <c r="IE35" s="28">
        <f>SUMPRODUCT(INDEX(PortfolioRef[[SPY]:[PE]],MATCH(IE$1,PortfolioRef[Reference '#]),0),AssetMonthlyReturns[[#This Row],[SPY]:[PE]])</f>
        <v>-4.6435575262197014E-2</v>
      </c>
      <c r="IF35" s="27">
        <f>IF(ISNUMBER(IF34),IF34*(1+PortfolioFrontier[[#This Row],[P60 Return]]),1+PortfolioFrontier[[#This Row],[P60 Return]])</f>
        <v>1.107052425626224</v>
      </c>
      <c r="IG35" s="27">
        <f>MAX(IG34,PortfolioFrontier[[#This Row],[P60 Growth]])</f>
        <v>1.1783880712895027</v>
      </c>
      <c r="IH35" s="27">
        <f>PortfolioFrontier[[#This Row],[P60 Growth]]/PortfolioFrontier[[#This Row],[P60 HWM]]-1</f>
        <v>-6.0536632541787871E-2</v>
      </c>
      <c r="II35" s="28">
        <f>SUMPRODUCT(INDEX(PortfolioRef[[SPY]:[PE]],MATCH(II$1,PortfolioRef[Reference '#]),0),AssetMonthlyReturns[[#This Row],[SPY]:[PE]])</f>
        <v>-2.5798962501215959E-2</v>
      </c>
      <c r="IJ35" s="27">
        <f>IF(ISNUMBER(IJ34),IJ34*(1+PortfolioFrontier[[#This Row],[P61 Return]]),1+PortfolioFrontier[[#This Row],[P61 Return]])</f>
        <v>1.0960808788510403</v>
      </c>
      <c r="IK35" s="27">
        <f>MAX(IK34,PortfolioFrontier[[#This Row],[P61 Growth]])</f>
        <v>1.1417381977629368</v>
      </c>
      <c r="IL35" s="27">
        <f>PortfolioFrontier[[#This Row],[P61 Growth]]/PortfolioFrontier[[#This Row],[P61 HWM]]-1</f>
        <v>-3.9989306656600498E-2</v>
      </c>
      <c r="IM35" s="28">
        <f>SUMPRODUCT(INDEX(PortfolioRef[[SPY]:[PE]],MATCH(IM$1,PortfolioRef[Reference '#]),0),AssetMonthlyReturns[[#This Row],[SPY]:[PE]])</f>
        <v>-2.4345754294023681E-2</v>
      </c>
      <c r="IN35" s="27">
        <f>IF(ISNUMBER(IN34),IN34*(1+PortfolioFrontier[[#This Row],[P62 Return]]),1+PortfolioFrontier[[#This Row],[P62 Return]])</f>
        <v>1.0942605001086865</v>
      </c>
      <c r="IO35" s="27">
        <f>MAX(IO34,PortfolioFrontier[[#This Row],[P62 Growth]])</f>
        <v>1.1366586791033009</v>
      </c>
      <c r="IP35" s="27">
        <f>PortfolioFrontier[[#This Row],[P62 Growth]]/PortfolioFrontier[[#This Row],[P62 HWM]]-1</f>
        <v>-3.7300712847291972E-2</v>
      </c>
      <c r="IQ35" s="28">
        <f>SUMPRODUCT(INDEX(PortfolioRef[[SPY]:[PE]],MATCH(IQ$1,PortfolioRef[Reference '#]),0),AssetMonthlyReturns[[#This Row],[SPY]:[PE]])</f>
        <v>-3.1336157323823978E-2</v>
      </c>
      <c r="IR35" s="27">
        <f>IF(ISNUMBER(IR34),IR34*(1+PortfolioFrontier[[#This Row],[P63 Return]]),1+PortfolioFrontier[[#This Row],[P63 Return]])</f>
        <v>1.0960471263654199</v>
      </c>
      <c r="IS35" s="27">
        <f>MAX(IS34,PortfolioFrontier[[#This Row],[P63 Growth]])</f>
        <v>1.1483803300933251</v>
      </c>
      <c r="IT35" s="27">
        <f>PortfolioFrontier[[#This Row],[P63 Growth]]/PortfolioFrontier[[#This Row],[P63 HWM]]-1</f>
        <v>-4.5571316711469856E-2</v>
      </c>
      <c r="IU35" s="28">
        <f>SUMPRODUCT(INDEX(PortfolioRef[[SPY]:[PE]],MATCH(IU$1,PortfolioRef[Reference '#]),0),AssetMonthlyReturns[[#This Row],[SPY]:[PE]])</f>
        <v>-2.7737603250853077E-2</v>
      </c>
      <c r="IV35" s="27">
        <f>IF(ISNUMBER(IV34),IV34*(1+PortfolioFrontier[[#This Row],[P64 Return]]),1+PortfolioFrontier[[#This Row],[P64 Return]])</f>
        <v>1.095796255672647</v>
      </c>
      <c r="IW35" s="27">
        <f>MAX(IW34,PortfolioFrontier[[#This Row],[P64 Growth]])</f>
        <v>1.1425678035489761</v>
      </c>
      <c r="IX35" s="27">
        <f>PortfolioFrontier[[#This Row],[P64 Growth]]/PortfolioFrontier[[#This Row],[P64 HWM]]-1</f>
        <v>-4.0935468101805483E-2</v>
      </c>
      <c r="IY35" s="28">
        <f>SUMPRODUCT(INDEX(PortfolioRef[[SPY]:[PE]],MATCH(IY$1,PortfolioRef[Reference '#]),0),AssetMonthlyReturns[[#This Row],[SPY]:[PE]])</f>
        <v>-2.2892546086831396E-2</v>
      </c>
      <c r="IZ35" s="27">
        <f>IF(ISNUMBER(IZ34),IZ34*(1+PortfolioFrontier[[#This Row],[P65 Return]]),1+PortfolioFrontier[[#This Row],[P65 Return]])</f>
        <v>1.0923710118420644</v>
      </c>
      <c r="JA35" s="27">
        <f>MAX(JA34,PortfolioFrontier[[#This Row],[P65 Growth]])</f>
        <v>1.1320832550752244</v>
      </c>
      <c r="JB35" s="27">
        <f>PortfolioFrontier[[#This Row],[P65 Growth]]/PortfolioFrontier[[#This Row],[P65 HWM]]-1</f>
        <v>-3.507890701070504E-2</v>
      </c>
      <c r="JC35" s="28">
        <f>SUMPRODUCT(INDEX(PortfolioRef[[SPY]:[PE]],MATCH(JC$1,PortfolioRef[Reference '#]),0),AssetMonthlyReturns[[#This Row],[SPY]:[PE]])</f>
        <v>-2.9882949116631696E-2</v>
      </c>
      <c r="JD35" s="27">
        <f>IF(ISNUMBER(JD34),JD34*(1+PortfolioFrontier[[#This Row],[P66 Return]]),1+PortfolioFrontier[[#This Row],[P66 Return]])</f>
        <v>1.0942333386207617</v>
      </c>
      <c r="JE35" s="27">
        <f>MAX(JE34,PortfolioFrontier[[#This Row],[P66 Growth]])</f>
        <v>1.143267458114388</v>
      </c>
      <c r="JF35" s="27">
        <f>PortfolioFrontier[[#This Row],[P66 Growth]]/PortfolioFrontier[[#This Row],[P66 HWM]]-1</f>
        <v>-4.2889456133474835E-2</v>
      </c>
      <c r="JG35" s="28">
        <f>SUMPRODUCT(INDEX(PortfolioRef[[SPY]:[PE]],MATCH(JG$1,PortfolioRef[Reference '#]),0),AssetMonthlyReturns[[#This Row],[SPY]:[PE]])</f>
        <v>-2.6284395043660799E-2</v>
      </c>
      <c r="JH35" s="27">
        <f>IF(ISNUMBER(JH34),JH34*(1+PortfolioFrontier[[#This Row],[P67 Return]]),1+PortfolioFrontier[[#This Row],[P67 Return]])</f>
        <v>1.0940015333651785</v>
      </c>
      <c r="JI35" s="27">
        <f>MAX(JI34,PortfolioFrontier[[#This Row],[P67 Growth]])</f>
        <v>1.1375065907034629</v>
      </c>
      <c r="JJ35" s="27">
        <f>PortfolioFrontier[[#This Row],[P67 Growth]]/PortfolioFrontier[[#This Row],[P67 HWM]]-1</f>
        <v>-3.8245982655256361E-2</v>
      </c>
      <c r="JK35" s="28">
        <f>SUMPRODUCT(INDEX(PortfolioRef[[SPY]:[PE]],MATCH(JK$1,PortfolioRef[Reference '#]),0),AssetMonthlyReturns[[#This Row],[SPY]:[PE]])</f>
        <v>-3.687335214643199E-2</v>
      </c>
      <c r="JL35" s="27">
        <f>IF(ISNUMBER(JL34),JL34*(1+PortfolioFrontier[[#This Row],[P68 Return]]),1+PortfolioFrontier[[#This Row],[P68 Return]])</f>
        <v>1.0959111475646806</v>
      </c>
      <c r="JM35" s="27">
        <f>MAX(JM34,PortfolioFrontier[[#This Row],[P68 Growth]])</f>
        <v>1.1549995836864886</v>
      </c>
      <c r="JN35" s="27">
        <f>PortfolioFrontier[[#This Row],[P68 Growth]]/PortfolioFrontier[[#This Row],[P68 HWM]]-1</f>
        <v>-5.1158837593007211E-2</v>
      </c>
      <c r="JO35" s="28">
        <f>SUMPRODUCT(INDEX(PortfolioRef[[SPY]:[PE]],MATCH(JO$1,PortfolioRef[Reference '#]),0),AssetMonthlyReturns[[#This Row],[SPY]:[PE]])</f>
        <v>-3.3274798073461093E-2</v>
      </c>
      <c r="JP35" s="27">
        <f>IF(ISNUMBER(JP34),JP34*(1+PortfolioFrontier[[#This Row],[P69 Return]]),1+PortfolioFrontier[[#This Row],[P69 Return]])</f>
        <v>1.0957521819756155</v>
      </c>
      <c r="JQ35" s="27">
        <f>MAX(JQ34,PortfolioFrontier[[#This Row],[P69 Growth]])</f>
        <v>1.1492180896167041</v>
      </c>
      <c r="JR35" s="27">
        <f>PortfolioFrontier[[#This Row],[P69 Growth]]/PortfolioFrontier[[#This Row],[P69 HWM]]-1</f>
        <v>-4.6523726109220065E-2</v>
      </c>
      <c r="JS35" s="28">
        <f>SUMPRODUCT(INDEX(PortfolioRef[[SPY]:[PE]],MATCH(JS$1,PortfolioRef[Reference '#]),0),AssetMonthlyReturns[[#This Row],[SPY]:[PE]])</f>
        <v>-2.9676244000490192E-2</v>
      </c>
      <c r="JT35" s="27">
        <f>IF(ISNUMBER(JT34),JT34*(1+PortfolioFrontier[[#This Row],[P70 Return]]),1+PortfolioFrontier[[#This Row],[P70 Return]])</f>
        <v>1.0954711017137515</v>
      </c>
      <c r="JU35" s="27">
        <f>MAX(JU34,PortfolioFrontier[[#This Row],[P70 Growth]])</f>
        <v>1.1433616208283146</v>
      </c>
      <c r="JV35" s="27">
        <f>PortfolioFrontier[[#This Row],[P70 Growth]]/PortfolioFrontier[[#This Row],[P70 HWM]]-1</f>
        <v>-4.1885715107236599E-2</v>
      </c>
      <c r="JW35" s="28">
        <f>SUMPRODUCT(INDEX(PortfolioRef[[SPY]:[PE]],MATCH(JW$1,PortfolioRef[Reference '#]),0),AssetMonthlyReturns[[#This Row],[SPY]:[PE]])</f>
        <v>-2.8429740909439415E-2</v>
      </c>
      <c r="JX35" s="27">
        <f>IF(ISNUMBER(JX34),JX34*(1+PortfolioFrontier[[#This Row],[P71 Return]]),1+PortfolioFrontier[[#This Row],[P71 Return]])</f>
        <v>1.0923504848974637</v>
      </c>
      <c r="JY35" s="27">
        <f>MAX(JY34,PortfolioFrontier[[#This Row],[P71 Growth]])</f>
        <v>1.1381071342920368</v>
      </c>
      <c r="JZ35" s="27">
        <f>PortfolioFrontier[[#This Row],[P71 Growth]]/PortfolioFrontier[[#This Row],[P71 HWM]]-1</f>
        <v>-4.0204167091032472E-2</v>
      </c>
      <c r="KA35" s="28">
        <f>SUMPRODUCT(INDEX(PortfolioRef[[SPY]:[PE]],MATCH(KA$1,PortfolioRef[Reference '#]),0),AssetMonthlyReturns[[#This Row],[SPY]:[PE]])</f>
        <v>-2.4831186836468518E-2</v>
      </c>
      <c r="KB35" s="27">
        <f>IF(ISNUMBER(KB34),KB34*(1+PortfolioFrontier[[#This Row],[P72 Return]]),1+PortfolioFrontier[[#This Row],[P72 Return]])</f>
        <v>1.0921376313877493</v>
      </c>
      <c r="KC35" s="27">
        <f>MAX(KC34,PortfolioFrontier[[#This Row],[P72 Growth]])</f>
        <v>1.1323978471464129</v>
      </c>
      <c r="KD35" s="27">
        <f>PortfolioFrontier[[#This Row],[P72 Growth]]/PortfolioFrontier[[#This Row],[P72 HWM]]-1</f>
        <v>-3.5553066318624094E-2</v>
      </c>
      <c r="KE35" s="28">
        <f>SUMPRODUCT(INDEX(PortfolioRef[[SPY]:[PE]],MATCH(KE$1,PortfolioRef[Reference '#]),0),AssetMonthlyReturns[[#This Row],[SPY]:[PE]])</f>
        <v>-3.5420143939239708E-2</v>
      </c>
      <c r="KF35" s="27">
        <f>IF(ISNUMBER(KF34),KF34*(1+PortfolioFrontier[[#This Row],[P73 Return]]),1+PortfolioFrontier[[#This Row],[P73 Return]])</f>
        <v>1.0941042154338672</v>
      </c>
      <c r="KG35" s="27">
        <f>MAX(KG34,PortfolioFrontier[[#This Row],[P73 Growth]])</f>
        <v>1.1498534055463847</v>
      </c>
      <c r="KH35" s="27">
        <f>PortfolioFrontier[[#This Row],[P73 Growth]]/PortfolioFrontier[[#This Row],[P73 HWM]]-1</f>
        <v>-4.8483737008220396E-2</v>
      </c>
      <c r="KI35" s="28">
        <f>SUMPRODUCT(INDEX(PortfolioRef[[SPY]:[PE]],MATCH(KI$1,PortfolioRef[Reference '#]),0),AssetMonthlyReturns[[#This Row],[SPY]:[PE]])</f>
        <v>-3.1821589866268811E-2</v>
      </c>
      <c r="KJ35" s="27">
        <f>IF(ISNUMBER(KJ34),KJ34*(1+PortfolioFrontier[[#This Row],[P74 Return]]),1+PortfolioFrontier[[#This Row],[P74 Return]])</f>
        <v>1.0939641023391</v>
      </c>
      <c r="KK35" s="27">
        <f>MAX(KK34,PortfolioFrontier[[#This Row],[P74 Growth]])</f>
        <v>1.1441236118738931</v>
      </c>
      <c r="KL35" s="27">
        <f>PortfolioFrontier[[#This Row],[P74 Growth]]/PortfolioFrontier[[#This Row],[P74 HWM]]-1</f>
        <v>-4.3840987996602743E-2</v>
      </c>
      <c r="KM35" s="28">
        <f>SUMPRODUCT(INDEX(PortfolioRef[[SPY]:[PE]],MATCH(KM$1,PortfolioRef[Reference '#]),0),AssetMonthlyReturns[[#This Row],[SPY]:[PE]])</f>
        <v>-2.8223035793297914E-2</v>
      </c>
      <c r="KN35" s="27">
        <f>IF(ISNUMBER(KN34),KN34*(1+PortfolioFrontier[[#This Row],[P75 Return]]),1+PortfolioFrontier[[#This Row],[P75 Return]])</f>
        <v>1.0937020914629507</v>
      </c>
      <c r="KO35" s="27">
        <f>MAX(KO34,PortfolioFrontier[[#This Row],[P75 Growth]])</f>
        <v>1.1383188928466144</v>
      </c>
      <c r="KP35" s="27">
        <f>PortfolioFrontier[[#This Row],[P75 Growth]]/PortfolioFrontier[[#This Row],[P75 HWM]]-1</f>
        <v>-3.9195344700016066E-2</v>
      </c>
      <c r="KQ35" s="28">
        <f>SUMPRODUCT(INDEX(PortfolioRef[[SPY]:[PE]],MATCH(KQ$1,PortfolioRef[Reference '#]),0),AssetMonthlyReturns[[#This Row],[SPY]:[PE]])</f>
        <v>-4.2410546969040001E-2</v>
      </c>
      <c r="KR35" s="27">
        <f>IF(ISNUMBER(KR34),KR34*(1+PortfolioFrontier[[#This Row],[P76 Return]]),1+PortfolioFrontier[[#This Row],[P76 Return]])</f>
        <v>1.0956725348397567</v>
      </c>
      <c r="KS35" s="27">
        <f>MAX(KS34,PortfolioFrontier[[#This Row],[P76 Growth]])</f>
        <v>1.1615950770514989</v>
      </c>
      <c r="KT35" s="27">
        <f>PortfolioFrontier[[#This Row],[P76 Growth]]/PortfolioFrontier[[#This Row],[P76 HWM]]-1</f>
        <v>-5.6751740356092761E-2</v>
      </c>
      <c r="KU35" s="28">
        <f>SUMPRODUCT(INDEX(PortfolioRef[[SPY]:[PE]],MATCH(KU$1,PortfolioRef[Reference '#]),0),AssetMonthlyReturns[[#This Row],[SPY]:[PE]])</f>
        <v>-3.8811992896069104E-2</v>
      </c>
      <c r="KV35" s="27">
        <f>IF(ISNUMBER(KV34),KV34*(1+PortfolioFrontier[[#This Row],[P77 Return]]),1+PortfolioFrontier[[#This Row],[P77 Return]])</f>
        <v>1.0956058164672247</v>
      </c>
      <c r="KW35" s="27">
        <f>MAX(KW34,PortfolioFrontier[[#This Row],[P77 Growth]])</f>
        <v>1.1558455584148977</v>
      </c>
      <c r="KX35" s="27">
        <f>PortfolioFrontier[[#This Row],[P77 Growth]]/PortfolioFrontier[[#This Row],[P77 HWM]]-1</f>
        <v>-5.2117466307769145E-2</v>
      </c>
      <c r="KY35" s="28">
        <f>SUMPRODUCT(INDEX(PortfolioRef[[SPY]:[PE]],MATCH(KY$1,PortfolioRef[Reference '#]),0),AssetMonthlyReturns[[#This Row],[SPY]:[PE]])</f>
        <v>-3.52134388230982E-2</v>
      </c>
      <c r="KZ35" s="27">
        <f>IF(ISNUMBER(KZ34),KZ34*(1+PortfolioFrontier[[#This Row],[P78 Return]]),1+PortfolioFrontier[[#This Row],[P78 Return]])</f>
        <v>1.0954166724904282</v>
      </c>
      <c r="LA35" s="27">
        <f>MAX(LA34,PortfolioFrontier[[#This Row],[P78 Growth]])</f>
        <v>1.1500198639047448</v>
      </c>
      <c r="LB35" s="27">
        <f>PortfolioFrontier[[#This Row],[P78 Growth]]/PortfolioFrontier[[#This Row],[P78 HWM]]-1</f>
        <v>-4.748021588854856E-2</v>
      </c>
      <c r="LC35" s="28">
        <f>SUMPRODUCT(INDEX(PortfolioRef[[SPY]:[PE]],MATCH(LC$1,PortfolioRef[Reference '#]),0),AssetMonthlyReturns[[#This Row],[SPY]:[PE]])</f>
        <v>-3.3966935732047426E-2</v>
      </c>
      <c r="LD35" s="27">
        <f>IF(ISNUMBER(LD34),LD34*(1+PortfolioFrontier[[#This Row],[P79 Return]]),1+PortfolioFrontier[[#This Row],[P79 Return]])</f>
        <v>1.0922282658860731</v>
      </c>
      <c r="LE35" s="27">
        <f>MAX(LE34,PortfolioFrontier[[#This Row],[P79 Growth]])</f>
        <v>1.1446596341524125</v>
      </c>
      <c r="LF35" s="27">
        <f>PortfolioFrontier[[#This Row],[P79 Growth]]/PortfolioFrontier[[#This Row],[P79 HWM]]-1</f>
        <v>-4.5805204186450843E-2</v>
      </c>
      <c r="LG35" s="28">
        <f>SUMPRODUCT(INDEX(PortfolioRef[[SPY]:[PE]],MATCH(LG$1,PortfolioRef[Reference '#]),0),AssetMonthlyReturns[[#This Row],[SPY]:[PE]])</f>
        <v>-3.0368381659076529E-2</v>
      </c>
      <c r="LH35" s="27">
        <f>IF(ISNUMBER(LH34),LH34*(1+PortfolioFrontier[[#This Row],[P80 Return]]),1+PortfolioFrontier[[#This Row],[P80 Return]])</f>
        <v>1.0921068873815873</v>
      </c>
      <c r="LI35" s="27">
        <f>MAX(LI34,PortfolioFrontier[[#This Row],[P80 Growth]])</f>
        <v>1.1389814588243516</v>
      </c>
      <c r="LJ35" s="27">
        <f>PortfolioFrontier[[#This Row],[P80 Growth]]/PortfolioFrontier[[#This Row],[P80 HWM]]-1</f>
        <v>-4.1154815190010074E-2</v>
      </c>
      <c r="LK35" s="28">
        <f>SUMPRODUCT(INDEX(PortfolioRef[[SPY]:[PE]],MATCH(LK$1,PortfolioRef[Reference '#]),0),AssetMonthlyReturns[[#This Row],[SPY]:[PE]])</f>
        <v>-2.6769827586105629E-2</v>
      </c>
      <c r="LL35" s="27">
        <f>IF(ISNUMBER(LL34),LL34*(1+PortfolioFrontier[[#This Row],[P81 Return]]),1+PortfolioFrontier[[#This Row],[P81 Return]])</f>
        <v>1.0918638347190213</v>
      </c>
      <c r="LM35" s="27">
        <f>MAX(LM34,PortfolioFrontier[[#This Row],[P81 Growth]])</f>
        <v>1.1332284137843067</v>
      </c>
      <c r="LN35" s="27">
        <f>PortfolioFrontier[[#This Row],[P81 Growth]]/PortfolioFrontier[[#This Row],[P81 HWM]]-1</f>
        <v>-3.650153716773874E-2</v>
      </c>
      <c r="LO35" s="28">
        <f>SUMPRODUCT(INDEX(PortfolioRef[[SPY]:[PE]],MATCH(LO$1,PortfolioRef[Reference '#]),0),AssetMonthlyReturns[[#This Row],[SPY]:[PE]])</f>
        <v>-4.0957338761847727E-2</v>
      </c>
      <c r="LP35" s="27">
        <f>IF(ISNUMBER(LP34),LP34*(1+PortfolioFrontier[[#This Row],[P82 Return]]),1+PortfolioFrontier[[#This Row],[P82 Return]])</f>
        <v>1.0938727232165182</v>
      </c>
      <c r="LQ35" s="27">
        <f>MAX(LQ34,PortfolioFrontier[[#This Row],[P82 Growth]])</f>
        <v>1.1564156434986412</v>
      </c>
      <c r="LR35" s="27">
        <f>PortfolioFrontier[[#This Row],[P82 Growth]]/PortfolioFrontier[[#This Row],[P82 HWM]]-1</f>
        <v>-5.4083426347385388E-2</v>
      </c>
      <c r="LS35" s="28">
        <f>SUMPRODUCT(INDEX(PortfolioRef[[SPY]:[PE]],MATCH(LS$1,PortfolioRef[Reference '#]),0),AssetMonthlyReturns[[#This Row],[SPY]:[PE]])</f>
        <v>-3.735878468887683E-2</v>
      </c>
      <c r="LT35" s="27">
        <f>IF(ISNUMBER(LT34),LT34*(1+PortfolioFrontier[[#This Row],[P83 Return]]),1+PortfolioFrontier[[#This Row],[P83 Return]])</f>
        <v>1.0938246425764431</v>
      </c>
      <c r="LU35" s="27">
        <f>MAX(LU34,PortfolioFrontier[[#This Row],[P83 Growth]])</f>
        <v>1.1507178623731242</v>
      </c>
      <c r="LV35" s="27">
        <f>PortfolioFrontier[[#This Row],[P83 Growth]]/PortfolioFrontier[[#This Row],[P83 HWM]]-1</f>
        <v>-4.9441502263074533E-2</v>
      </c>
      <c r="LW35" s="28">
        <f>SUMPRODUCT(INDEX(PortfolioRef[[SPY]:[PE]],MATCH(LW$1,PortfolioRef[Reference '#]),0),AssetMonthlyReturns[[#This Row],[SPY]:[PE]])</f>
        <v>-3.3760230615905926E-2</v>
      </c>
      <c r="LX35" s="27">
        <f>IF(ISNUMBER(LX34),LX34*(1+PortfolioFrontier[[#This Row],[P84 Return]]),1+PortfolioFrontier[[#This Row],[P84 Return]])</f>
        <v>1.093654356017044</v>
      </c>
      <c r="LY35" s="27">
        <f>MAX(LY34,PortfolioFrontier[[#This Row],[P84 Growth]])</f>
        <v>1.1449439605698946</v>
      </c>
      <c r="LZ35" s="27">
        <f>PortfolioFrontier[[#This Row],[P84 Growth]]/PortfolioFrontier[[#This Row],[P84 HWM]]-1</f>
        <v>-4.4796606925042171E-2</v>
      </c>
      <c r="MA35" s="28">
        <f>SUMPRODUCT(INDEX(PortfolioRef[[SPY]:[PE]],MATCH(MA$1,PortfolioRef[Reference '#]),0),AssetMonthlyReturns[[#This Row],[SPY]:[PE]])</f>
        <v>-4.794774179164802E-2</v>
      </c>
      <c r="MB35" s="27">
        <f>IF(ISNUMBER(MB34),MB34*(1+PortfolioFrontier[[#This Row],[P85 Return]]),1+PortfolioFrontier[[#This Row],[P85 Return]])</f>
        <v>1.0953309007982244</v>
      </c>
      <c r="MC35" s="27">
        <f>MAX(MC34,PortfolioFrontier[[#This Row],[P85 Growth]])</f>
        <v>1.1681659250480558</v>
      </c>
      <c r="MD35" s="27">
        <f>PortfolioFrontier[[#This Row],[P85 Growth]]/PortfolioFrontier[[#This Row],[P85 HWM]]-1</f>
        <v>-6.2349896267377636E-2</v>
      </c>
      <c r="ME35" s="28">
        <f>SUMPRODUCT(INDEX(PortfolioRef[[SPY]:[PE]],MATCH(ME$1,PortfolioRef[Reference '#]),0),AssetMonthlyReturns[[#This Row],[SPY]:[PE]])</f>
        <v>-4.4349187718677123E-2</v>
      </c>
      <c r="MF35" s="27">
        <f>IF(ISNUMBER(MF34),MF34*(1+PortfolioFrontier[[#This Row],[P86 Return]]),1+PortfolioFrontier[[#This Row],[P86 Return]])</f>
        <v>1.0953567523792589</v>
      </c>
      <c r="MG35" s="27">
        <f>MAX(MG34,PortfolioFrontier[[#This Row],[P86 Growth]])</f>
        <v>1.1624493285963451</v>
      </c>
      <c r="MH35" s="27">
        <f>PortfolioFrontier[[#This Row],[P86 Growth]]/PortfolioFrontier[[#This Row],[P86 HWM]]-1</f>
        <v>-5.7716559824676716E-2</v>
      </c>
      <c r="MI35" s="28">
        <f>SUMPRODUCT(INDEX(PortfolioRef[[SPY]:[PE]],MATCH(MI$1,PortfolioRef[Reference '#]),0),AssetMonthlyReturns[[#This Row],[SPY]:[PE]])</f>
        <v>-4.0750633645706219E-2</v>
      </c>
      <c r="MJ35" s="27">
        <f>IF(ISNUMBER(MJ34),MJ34*(1+PortfolioFrontier[[#This Row],[P87 Return]]),1+PortfolioFrontier[[#This Row],[P87 Return]])</f>
        <v>1.0952598886803322</v>
      </c>
      <c r="MK35" s="27">
        <f>MAX(MK34,PortfolioFrontier[[#This Row],[P87 Growth]])</f>
        <v>1.1566553516495048</v>
      </c>
      <c r="ML35" s="27">
        <f>PortfolioFrontier[[#This Row],[P87 Growth]]/PortfolioFrontier[[#This Row],[P87 HWM]]-1</f>
        <v>-5.3080170235339841E-2</v>
      </c>
      <c r="MM35" s="28">
        <f>SUMPRODUCT(INDEX(PortfolioRef[[SPY]:[PE]],MATCH(MM$1,PortfolioRef[Reference '#]),0),AssetMonthlyReturns[[#This Row],[SPY]:[PE]])</f>
        <v>-3.9504130554655445E-2</v>
      </c>
      <c r="MN35" s="27">
        <f>IF(ISNUMBER(MN34),MN34*(1+PortfolioFrontier[[#This Row],[P88 Return]]),1+PortfolioFrontier[[#This Row],[P88 Return]])</f>
        <v>1.0920039477588854</v>
      </c>
      <c r="MO35" s="27">
        <f>MAX(MO34,PortfolioFrontier[[#This Row],[P88 Growth]])</f>
        <v>1.1511884771778493</v>
      </c>
      <c r="MP35" s="27">
        <f>PortfolioFrontier[[#This Row],[P88 Growth]]/PortfolioFrontier[[#This Row],[P88 HWM]]-1</f>
        <v>-5.1411676360812231E-2</v>
      </c>
      <c r="MQ35" s="28">
        <f>SUMPRODUCT(INDEX(PortfolioRef[[SPY]:[PE]],MATCH(MQ$1,PortfolioRef[Reference '#]),0),AssetMonthlyReturns[[#This Row],[SPY]:[PE]])</f>
        <v>-3.5905576481684548E-2</v>
      </c>
      <c r="MR35" s="27">
        <f>IF(ISNUMBER(MR34),MR34*(1+PortfolioFrontier[[#This Row],[P89 Return]]),1+PortfolioFrontier[[#This Row],[P89 Return]])</f>
        <v>1.0919743827395063</v>
      </c>
      <c r="MS35" s="27">
        <f>MAX(MS34,PortfolioFrontier[[#This Row],[P89 Growth]])</f>
        <v>1.145542348301092</v>
      </c>
      <c r="MT35" s="27">
        <f>PortfolioFrontier[[#This Row],[P89 Growth]]/PortfolioFrontier[[#This Row],[P89 HWM]]-1</f>
        <v>-4.6762099752165609E-2</v>
      </c>
      <c r="MU35" s="28">
        <f>SUMPRODUCT(INDEX(PortfolioRef[[SPY]:[PE]],MATCH(MU$1,PortfolioRef[Reference '#]),0),AssetMonthlyReturns[[#This Row],[SPY]:[PE]])</f>
        <v>-3.2307022408713644E-2</v>
      </c>
      <c r="MV35" s="27">
        <f>IF(ISNUMBER(MV34),MV34*(1+PortfolioFrontier[[#This Row],[P90 Return]]),1+PortfolioFrontier[[#This Row],[P90 Return]])</f>
        <v>1.0918228382073409</v>
      </c>
      <c r="MW35" s="27">
        <f>MAX(MW34,PortfolioFrontier[[#This Row],[P90 Growth]])</f>
        <v>1.139820160252734</v>
      </c>
      <c r="MX35" s="27">
        <f>PortfolioFrontier[[#This Row],[P90 Growth]]/PortfolioFrontier[[#This Row],[P90 HWM]]-1</f>
        <v>-4.210955703288366E-2</v>
      </c>
      <c r="MY35" s="28">
        <f>SUMPRODUCT(INDEX(PortfolioRef[[SPY]:[PE]],MATCH(MY$1,PortfolioRef[Reference '#]),0),AssetMonthlyReturns[[#This Row],[SPY]:[PE]])</f>
        <v>-4.6494533584455745E-2</v>
      </c>
      <c r="MZ35" s="27">
        <f>IF(ISNUMBER(MZ34),MZ34*(1+PortfolioFrontier[[#This Row],[P91 Return]]),1+PortfolioFrontier[[#This Row],[P91 Return]])</f>
        <v>1.0935384747969048</v>
      </c>
      <c r="NA35" s="27">
        <f>MAX(NA34,PortfolioFrontier[[#This Row],[P91 Growth]])</f>
        <v>1.1629532904407611</v>
      </c>
      <c r="NB35" s="27">
        <f>PortfolioFrontier[[#This Row],[P91 Growth]]/PortfolioFrontier[[#This Row],[P91 HWM]]-1</f>
        <v>-5.9688395238598146E-2</v>
      </c>
      <c r="NC35" s="28">
        <f>SUMPRODUCT(INDEX(PortfolioRef[[SPY]:[PE]],MATCH(NC$1,PortfolioRef[Reference '#]),0),AssetMonthlyReturns[[#This Row],[SPY]:[PE]])</f>
        <v>-4.2895979511484848E-2</v>
      </c>
      <c r="ND35" s="27">
        <f>IF(ISNUMBER(ND34),ND34*(1+PortfolioFrontier[[#This Row],[P92 Return]]),1+PortfolioFrontier[[#This Row],[P92 Return]])</f>
        <v>1.0935827475759974</v>
      </c>
      <c r="NE35" s="27">
        <f>MAX(NE34,PortfolioFrontier[[#This Row],[P92 Growth]])</f>
        <v>1.1572884644299457</v>
      </c>
      <c r="NF35" s="27">
        <f>PortfolioFrontier[[#This Row],[P92 Growth]]/PortfolioFrontier[[#This Row],[P92 HWM]]-1</f>
        <v>-5.5047396402873816E-2</v>
      </c>
      <c r="NG35" s="28">
        <f>SUMPRODUCT(INDEX(PortfolioRef[[SPY]:[PE]],MATCH(NG$1,PortfolioRef[Reference '#]),0),AssetMonthlyReturns[[#This Row],[SPY]:[PE]])</f>
        <v>-3.9297425438513944E-2</v>
      </c>
      <c r="NH35" s="27">
        <f>IF(ISNUMBER(NH34),NH34*(1+PortfolioFrontier[[#This Row],[P93 Return]]),1+PortfolioFrontier[[#This Row],[P93 Return]])</f>
        <v>1.0935045275094568</v>
      </c>
      <c r="NI35" s="27">
        <f>MAX(NI34,PortfolioFrontier[[#This Row],[P93 Growth]])</f>
        <v>1.151546319001278</v>
      </c>
      <c r="NJ35" s="27">
        <f>PortfolioFrontier[[#This Row],[P93 Growth]]/PortfolioFrontier[[#This Row],[P93 HWM]]-1</f>
        <v>-5.0403349421636934E-2</v>
      </c>
      <c r="NK35" s="28">
        <f>SUMPRODUCT(INDEX(PortfolioRef[[SPY]:[PE]],MATCH(NK$1,PortfolioRef[Reference '#]),0),AssetMonthlyReturns[[#This Row],[SPY]:[PE]])</f>
        <v>-5.3484936614256039E-2</v>
      </c>
      <c r="NL35" s="27">
        <f>IF(ISNUMBER(NL34),NL34*(1+PortfolioFrontier[[#This Row],[P94 Return]]),1+PortfolioFrontier[[#This Row],[P94 Return]])</f>
        <v>1.0948858784925739</v>
      </c>
      <c r="NM35" s="27">
        <f>MAX(NM34,PortfolioFrontier[[#This Row],[P94 Growth]])</f>
        <v>1.1747112390123344</v>
      </c>
      <c r="NN35" s="27">
        <f>PortfolioFrontier[[#This Row],[P94 Growth]]/PortfolioFrontier[[#This Row],[P94 HWM]]-1</f>
        <v>-6.7953176805285009E-2</v>
      </c>
      <c r="NO35" s="28">
        <f>SUMPRODUCT(INDEX(PortfolioRef[[SPY]:[PE]],MATCH(NO$1,PortfolioRef[Reference '#]),0),AssetMonthlyReturns[[#This Row],[SPY]:[PE]])</f>
        <v>-4.9886382541285142E-2</v>
      </c>
      <c r="NP35" s="27">
        <f>IF(ISNUMBER(NP34),NP34*(1+PortfolioFrontier[[#This Row],[P95 Return]]),1+PortfolioFrontier[[#This Row],[P95 Return]])</f>
        <v>1.0950046031728589</v>
      </c>
      <c r="NQ35" s="27">
        <f>MAX(NQ34,PortfolioFrontier[[#This Row],[P95 Growth]])</f>
        <v>1.1690285151584914</v>
      </c>
      <c r="NR35" s="27">
        <f>PortfolioFrontier[[#This Row],[P95 Growth]]/PortfolioFrontier[[#This Row],[P95 HWM]]-1</f>
        <v>-6.3320877998939706E-2</v>
      </c>
      <c r="NS35" s="28">
        <f>SUMPRODUCT(INDEX(PortfolioRef[[SPY]:[PE]],MATCH(NS$1,PortfolioRef[Reference '#]),0),AssetMonthlyReturns[[#This Row],[SPY]:[PE]])</f>
        <v>-4.6287828468314238E-2</v>
      </c>
      <c r="NT35" s="27">
        <f>IF(ISNUMBER(NT34),NT34*(1+PortfolioFrontier[[#This Row],[P96 Return]]),1+PortfolioFrontier[[#This Row],[P96 Return]])</f>
        <v>1.0950003443682319</v>
      </c>
      <c r="NU35" s="27">
        <f>MAX(NU34,PortfolioFrontier[[#This Row],[P96 Growth]])</f>
        <v>1.1632672028800872</v>
      </c>
      <c r="NV35" s="27">
        <f>PortfolioFrontier[[#This Row],[P96 Growth]]/PortfolioFrontier[[#This Row],[P96 HWM]]-1</f>
        <v>-5.8685449347180119E-2</v>
      </c>
      <c r="NW35" s="28">
        <f>SUMPRODUCT(INDEX(PortfolioRef[[SPY]:[PE]],MATCH(NW$1,PortfolioRef[Reference '#]),0),AssetMonthlyReturns[[#This Row],[SPY]:[PE]])</f>
        <v>-2.0114020884725161E-2</v>
      </c>
      <c r="NX35" s="27">
        <f>IF(ISNUMBER(NX34),NX34*(1+PortfolioFrontier[[#This Row],[P97 Return]]),1+PortfolioFrontier[[#This Row],[P97 Return]])</f>
        <v>1.0841379620260627</v>
      </c>
      <c r="NY35" s="27">
        <f>MAX(NY34,PortfolioFrontier[[#This Row],[P97 Growth]])</f>
        <v>1.1205658116171582</v>
      </c>
      <c r="NZ35" s="27">
        <f>PortfolioFrontier[[#This Row],[P97 Growth]]/PortfolioFrontier[[#This Row],[P97 HWM]]-1</f>
        <v>-3.2508442800449289E-2</v>
      </c>
      <c r="OA35" s="28">
        <f>SUMPRODUCT(INDEX(PortfolioRef[[SPY]:[PE]],MATCH(OA$1,PortfolioRef[Reference '#]),0),AssetMonthlyReturns[[#This Row],[SPY]:[PE]])</f>
        <v>-1.8660812677532883E-2</v>
      </c>
      <c r="OB35" s="27">
        <f>IF(ISNUMBER(OB34),OB34*(1+PortfolioFrontier[[#This Row],[P98 Return]]),1+PortfolioFrontier[[#This Row],[P98 Return]])</f>
        <v>1.0823138037266418</v>
      </c>
      <c r="OC35" s="27">
        <f>MAX(OC34,PortfolioFrontier[[#This Row],[P98 Growth]])</f>
        <v>1.1155705830878779</v>
      </c>
      <c r="OD35" s="27">
        <f>PortfolioFrontier[[#This Row],[P98 Growth]]/PortfolioFrontier[[#This Row],[P98 HWM]]-1</f>
        <v>-2.9811452422115692E-2</v>
      </c>
      <c r="OE35" s="28">
        <f>SUMPRODUCT(INDEX(PortfolioRef[[SPY]:[PE]],MATCH(OE$1,PortfolioRef[Reference '#]),0),AssetMonthlyReturns[[#This Row],[SPY]:[PE]])</f>
        <v>-2.565121570733318E-2</v>
      </c>
      <c r="OF35" s="27">
        <f>IF(ISNUMBER(OF34),OF34*(1+PortfolioFrontier[[#This Row],[P99 Return]]),1+PortfolioFrontier[[#This Row],[P99 Return]])</f>
        <v>1.0841600991378479</v>
      </c>
      <c r="OG35" s="27">
        <f>MAX(OG34,PortfolioFrontier[[#This Row],[P99 Growth]])</f>
        <v>1.1271027767458159</v>
      </c>
      <c r="OH35" s="27">
        <f>PortfolioFrontier[[#This Row],[P99 Growth]]/PortfolioFrontier[[#This Row],[P99 HWM]]-1</f>
        <v>-3.8100054843226094E-2</v>
      </c>
      <c r="OI35" s="28">
        <f>SUMPRODUCT(INDEX(PortfolioRef[[SPY]:[PE]],MATCH(OI$1,PortfolioRef[Reference '#]),0),AssetMonthlyReturns[[#This Row],[SPY]:[PE]])</f>
        <v>-2.2052661634362283E-2</v>
      </c>
      <c r="OJ35" s="27">
        <f>IF(ISNUMBER(OJ34),OJ34*(1+PortfolioFrontier[[#This Row],[P100 Return]]),1+PortfolioFrontier[[#This Row],[P100 Return]])</f>
        <v>1.0838823094853776</v>
      </c>
      <c r="OK35" s="27">
        <f>MAX(OK34,PortfolioFrontier[[#This Row],[P100 Growth]])</f>
        <v>1.1213914977300461</v>
      </c>
      <c r="OL35" s="27">
        <f>PortfolioFrontier[[#This Row],[P100 Growth]]/PortfolioFrontier[[#This Row],[P100 HWM]]-1</f>
        <v>-3.3448789580263205E-2</v>
      </c>
      <c r="OM35" s="28">
        <f>SUMPRODUCT(INDEX(PortfolioRef[[SPY]:[PE]],MATCH(OM$1,PortfolioRef[Reference '#]),0),AssetMonthlyReturns[[#This Row],[SPY]:[PE]])</f>
        <v>-1.7207604470340605E-2</v>
      </c>
      <c r="ON35" s="27">
        <f>IF(ISNUMBER(ON34),ON34*(1+PortfolioFrontier[[#This Row],[P101 Return]]),1+PortfolioFrontier[[#This Row],[P101 Return]])</f>
        <v>1.0804212922304246</v>
      </c>
      <c r="OO35" s="27">
        <f>MAX(OO34,PortfolioFrontier[[#This Row],[P101 Growth]])</f>
        <v>1.1133618200783288</v>
      </c>
      <c r="OP35" s="27">
        <f>PortfolioFrontier[[#This Row],[P101 Growth]]/PortfolioFrontier[[#This Row],[P101 HWM]]-1</f>
        <v>-2.9586543434358847E-2</v>
      </c>
      <c r="OQ35" s="28">
        <f>SUMPRODUCT(INDEX(PortfolioRef[[SPY]:[PE]],MATCH(OQ$1,PortfolioRef[Reference '#]),0),AssetMonthlyReturns[[#This Row],[SPY]:[PE]])</f>
        <v>-2.4198007500140901E-2</v>
      </c>
      <c r="OR35" s="27">
        <f>IF(ISNUMBER(OR34),OR34*(1+PortfolioFrontier[[#This Row],[P102 Return]]),1+PortfolioFrontier[[#This Row],[P102 Return]])</f>
        <v>1.0823422959339193</v>
      </c>
      <c r="OS35" s="27">
        <f>MAX(OS34,PortfolioFrontier[[#This Row],[P102 Growth]])</f>
        <v>1.1220747161896565</v>
      </c>
      <c r="OT35" s="27">
        <f>PortfolioFrontier[[#This Row],[P102 Growth]]/PortfolioFrontier[[#This Row],[P102 HWM]]-1</f>
        <v>-3.5409781258293194E-2</v>
      </c>
      <c r="OU35" s="28">
        <f>SUMPRODUCT(INDEX(PortfolioRef[[SPY]:[PE]],MATCH(OU$1,PortfolioRef[Reference '#]),0),AssetMonthlyReturns[[#This Row],[SPY]:[PE]])</f>
        <v>-2.0599453427170004E-2</v>
      </c>
      <c r="OV35" s="27">
        <f>IF(ISNUMBER(OV34),OV34*(1+PortfolioFrontier[[#This Row],[P103 Return]]),1+PortfolioFrontier[[#This Row],[P103 Return]])</f>
        <v>1.0820834764478449</v>
      </c>
      <c r="OW35" s="27">
        <f>MAX(OW34,PortfolioFrontier[[#This Row],[P103 Growth]])</f>
        <v>1.1164142049002479</v>
      </c>
      <c r="OX35" s="27">
        <f>PortfolioFrontier[[#This Row],[P103 Growth]]/PortfolioFrontier[[#This Row],[P103 HWM]]-1</f>
        <v>-3.0750888247136343E-2</v>
      </c>
      <c r="OY35" s="28">
        <f>SUMPRODUCT(INDEX(PortfolioRef[[SPY]:[PE]],MATCH(OY$1,PortfolioRef[Reference '#]),0),AssetMonthlyReturns[[#This Row],[SPY]:[PE]])</f>
        <v>-3.1188410529941195E-2</v>
      </c>
      <c r="OZ35" s="27">
        <f>IF(ISNUMBER(OZ34),OZ34*(1+PortfolioFrontier[[#This Row],[P104 Return]]),1+PortfolioFrontier[[#This Row],[P104 Return]])</f>
        <v>1.0840814995217698</v>
      </c>
      <c r="PA35" s="27">
        <f>MAX(PA34,PortfolioFrontier[[#This Row],[P104 Growth]])</f>
        <v>1.1336174758687461</v>
      </c>
      <c r="PB35" s="27">
        <f>PortfolioFrontier[[#This Row],[P104 Growth]]/PortfolioFrontier[[#This Row],[P104 HWM]]-1</f>
        <v>-4.3697258909152215E-2</v>
      </c>
      <c r="PC35" s="28">
        <f>SUMPRODUCT(INDEX(PortfolioRef[[SPY]:[PE]],MATCH(PC$1,PortfolioRef[Reference '#]),0),AssetMonthlyReturns[[#This Row],[SPY]:[PE]])</f>
        <v>-2.7589856456970298E-2</v>
      </c>
      <c r="PD35" s="27">
        <f>IF(ISNUMBER(PD34),PD34*(1+PortfolioFrontier[[#This Row],[P105 Return]]),1+PortfolioFrontier[[#This Row],[P105 Return]])</f>
        <v>1.083894337218682</v>
      </c>
      <c r="PE35" s="27">
        <f>MAX(PE34,PortfolioFrontier[[#This Row],[P105 Growth]])</f>
        <v>1.1279365151737275</v>
      </c>
      <c r="PF35" s="27">
        <f>PortfolioFrontier[[#This Row],[P105 Growth]]/PortfolioFrontier[[#This Row],[P105 HWM]]-1</f>
        <v>-3.904668158408009E-2</v>
      </c>
      <c r="PG35" s="28">
        <f>SUMPRODUCT(INDEX(PortfolioRef[[SPY]:[PE]],MATCH(PG$1,PortfolioRef[Reference '#]),0),AssetMonthlyReturns[[#This Row],[SPY]:[PE]])</f>
        <v>-2.3991302383999397E-2</v>
      </c>
      <c r="PH35" s="27">
        <f>IF(ISNUMBER(PH34),PH34*(1+PortfolioFrontier[[#This Row],[P106 Return]]),1+PortfolioFrontier[[#This Row],[P106 Return]])</f>
        <v>1.0835865586371551</v>
      </c>
      <c r="PI35" s="27">
        <f>MAX(PI34,PortfolioFrontier[[#This Row],[P106 Growth]])</f>
        <v>1.122182029205119</v>
      </c>
      <c r="PJ35" s="27">
        <f>PortfolioFrontier[[#This Row],[P106 Growth]]/PortfolioFrontier[[#This Row],[P106 HWM]]-1</f>
        <v>-3.4393235289378543E-2</v>
      </c>
      <c r="PK35" s="28">
        <f>SUMPRODUCT(INDEX(PortfolioRef[[SPY]:[PE]],MATCH(PK$1,PortfolioRef[Reference '#]),0),AssetMonthlyReturns[[#This Row],[SPY]:[PE]])</f>
        <v>-2.274479929294862E-2</v>
      </c>
      <c r="PL35" s="27">
        <f>IF(ISNUMBER(PL34),PL34*(1+PortfolioFrontier[[#This Row],[P107 Return]]),1+PortfolioFrontier[[#This Row],[P107 Return]])</f>
        <v>1.0804561795749212</v>
      </c>
      <c r="PM35" s="27">
        <f>MAX(PM34,PortfolioFrontier[[#This Row],[P107 Growth]])</f>
        <v>1.117000049210717</v>
      </c>
      <c r="PN35" s="27">
        <f>PortfolioFrontier[[#This Row],[P107 Growth]]/PortfolioFrontier[[#This Row],[P107 HWM]]-1</f>
        <v>-3.2716085967604114E-2</v>
      </c>
      <c r="PO35" s="28">
        <f>SUMPRODUCT(INDEX(PortfolioRef[[SPY]:[PE]],MATCH(PO$1,PortfolioRef[Reference '#]),0),AssetMonthlyReturns[[#This Row],[SPY]:[PE]])</f>
        <v>-1.9146245219977723E-2</v>
      </c>
      <c r="PP35" s="27">
        <f>IF(ISNUMBER(PP34),PP34*(1+PortfolioFrontier[[#This Row],[P108 Return]]),1+PortfolioFrontier[[#This Row],[P108 Return]])</f>
        <v>1.080216218659475</v>
      </c>
      <c r="PQ35" s="27">
        <f>MAX(PQ34,PortfolioFrontier[[#This Row],[P108 Growth]])</f>
        <v>1.1121091386149522</v>
      </c>
      <c r="PR35" s="27">
        <f>PortfolioFrontier[[#This Row],[P108 Growth]]/PortfolioFrontier[[#This Row],[P108 HWM]]-1</f>
        <v>-2.8677868788307359E-2</v>
      </c>
      <c r="PS35" s="28">
        <f>SUMPRODUCT(INDEX(PortfolioRef[[SPY]:[PE]],MATCH(PS$1,PortfolioRef[Reference '#]),0),AssetMonthlyReturns[[#This Row],[SPY]:[PE]])</f>
        <v>-2.9735202322748917E-2</v>
      </c>
      <c r="PT35" s="27">
        <f>IF(ISNUMBER(PT34),PT34*(1+PortfolioFrontier[[#This Row],[P109 Return]]),1+PortfolioFrontier[[#This Row],[P109 Return]])</f>
        <v>1.0822703135592129</v>
      </c>
      <c r="PU35" s="27">
        <f>MAX(PU34,PortfolioFrontier[[#This Row],[P109 Growth]])</f>
        <v>1.1285566292854516</v>
      </c>
      <c r="PV35" s="27">
        <f>PortfolioFrontier[[#This Row],[P109 Growth]]/PortfolioFrontier[[#This Row],[P109 HWM]]-1</f>
        <v>-4.1013728974810149E-2</v>
      </c>
      <c r="PW35" s="28">
        <f>SUMPRODUCT(INDEX(PortfolioRef[[SPY]:[PE]],MATCH(PW$1,PortfolioRef[Reference '#]),0),AssetMonthlyReturns[[#This Row],[SPY]:[PE]])</f>
        <v>-2.613664824977802E-2</v>
      </c>
      <c r="PX35" s="27">
        <f>IF(ISNUMBER(PX34),PX34*(1+PortfolioFrontier[[#This Row],[P110 Return]]),1+PortfolioFrontier[[#This Row],[P110 Return]])</f>
        <v>1.0821019112099841</v>
      </c>
      <c r="PY35" s="27">
        <f>MAX(PY34,PortfolioFrontier[[#This Row],[P110 Growth]])</f>
        <v>1.1229264772686551</v>
      </c>
      <c r="PZ35" s="27">
        <f>PortfolioFrontier[[#This Row],[P110 Growth]]/PortfolioFrontier[[#This Row],[P110 HWM]]-1</f>
        <v>-3.635551114438984E-2</v>
      </c>
      <c r="QA35" s="28">
        <f>SUMPRODUCT(INDEX(PortfolioRef[[SPY]:[PE]],MATCH(QA$1,PortfolioRef[Reference '#]),0),AssetMonthlyReturns[[#This Row],[SPY]:[PE]])</f>
        <v>-2.2538094176807119E-2</v>
      </c>
      <c r="QB35" s="27">
        <f>IF(ISNUMBER(QB34),QB34*(1+PortfolioFrontier[[#This Row],[P111 Return]]),1+PortfolioFrontier[[#This Row],[P111 Return]])</f>
        <v>1.0818131076304576</v>
      </c>
      <c r="QC35" s="27">
        <f>MAX(QC34,PortfolioFrontier[[#This Row],[P111 Growth]])</f>
        <v>1.117222848620177</v>
      </c>
      <c r="QD35" s="27">
        <f>PortfolioFrontier[[#This Row],[P111 Growth]]/PortfolioFrontier[[#This Row],[P111 HWM]]-1</f>
        <v>-3.1694429659626211E-2</v>
      </c>
      <c r="QE35" s="28">
        <f>SUMPRODUCT(INDEX(PortfolioRef[[SPY]:[PE]],MATCH(QE$1,PortfolioRef[Reference '#]),0),AssetMonthlyReturns[[#This Row],[SPY]:[PE]])</f>
        <v>-3.6725605352549213E-2</v>
      </c>
      <c r="QF35" s="27">
        <f>IF(ISNUMBER(QF34),QF34*(1+PortfolioFrontier[[#This Row],[P112 Return]]),1+PortfolioFrontier[[#This Row],[P112 Return]])</f>
        <v>1.0839017518674867</v>
      </c>
      <c r="QG35" s="27">
        <f>MAX(QG34,PortfolioFrontier[[#This Row],[P112 Growth]])</f>
        <v>1.1401090429169298</v>
      </c>
      <c r="QH35" s="27">
        <f>PortfolioFrontier[[#This Row],[P112 Growth]]/PortfolioFrontier[[#This Row],[P112 HWM]]-1</f>
        <v>-4.9299925650654108E-2</v>
      </c>
      <c r="QI35" s="28">
        <f>SUMPRODUCT(INDEX(PortfolioRef[[SPY]:[PE]],MATCH(QI$1,PortfolioRef[Reference '#]),0),AssetMonthlyReturns[[#This Row],[SPY]:[PE]])</f>
        <v>-3.312705127957831E-2</v>
      </c>
      <c r="QJ35" s="27">
        <f>IF(ISNUMBER(QJ34),QJ34*(1+PortfolioFrontier[[#This Row],[P113 Return]]),1+PortfolioFrontier[[#This Row],[P113 Return]])</f>
        <v>1.0838055623774547</v>
      </c>
      <c r="QK35" s="27">
        <f>MAX(QK34,PortfolioFrontier[[#This Row],[P113 Growth]])</f>
        <v>1.134459326630517</v>
      </c>
      <c r="QL35" s="27">
        <f>PortfolioFrontier[[#This Row],[P113 Growth]]/PortfolioFrontier[[#This Row],[P113 HWM]]-1</f>
        <v>-4.4650136910161509E-2</v>
      </c>
      <c r="QM35" s="28">
        <f>SUMPRODUCT(INDEX(PortfolioRef[[SPY]:[PE]],MATCH(QM$1,PortfolioRef[Reference '#]),0),AssetMonthlyReturns[[#This Row],[SPY]:[PE]])</f>
        <v>-2.9528497206607413E-2</v>
      </c>
      <c r="QN35" s="27">
        <f>IF(ISNUMBER(QN34),QN34*(1+PortfolioFrontier[[#This Row],[P114 Return]]),1+PortfolioFrontier[[#This Row],[P114 Return]])</f>
        <v>1.0835884414855663</v>
      </c>
      <c r="QO35" s="27">
        <f>MAX(QO34,PortfolioFrontier[[#This Row],[P114 Growth]])</f>
        <v>1.1287349053530367</v>
      </c>
      <c r="QP35" s="27">
        <f>PortfolioFrontier[[#This Row],[P114 Growth]]/PortfolioFrontier[[#This Row],[P114 HWM]]-1</f>
        <v>-3.9997402094471224E-2</v>
      </c>
      <c r="QQ35" s="28">
        <f>SUMPRODUCT(INDEX(PortfolioRef[[SPY]:[PE]],MATCH(QQ$1,PortfolioRef[Reference '#]),0),AssetMonthlyReturns[[#This Row],[SPY]:[PE]])</f>
        <v>-2.8281994115556632E-2</v>
      </c>
      <c r="QR35" s="27">
        <f>IF(ISNUMBER(QR34),QR34*(1+PortfolioFrontier[[#This Row],[P115 Return]]),1+PortfolioFrontier[[#This Row],[P115 Return]])</f>
        <v>1.0803908594362475</v>
      </c>
      <c r="QS35" s="27">
        <f>MAX(QS34,PortfolioFrontier[[#This Row],[P115 Growth]])</f>
        <v>1.1234490362543808</v>
      </c>
      <c r="QT35" s="27">
        <f>PortfolioFrontier[[#This Row],[P115 Growth]]/PortfolioFrontier[[#This Row],[P115 HWM]]-1</f>
        <v>-3.8326773559476113E-2</v>
      </c>
      <c r="QU35" s="28">
        <f>SUMPRODUCT(INDEX(PortfolioRef[[SPY]:[PE]],MATCH(QU$1,PortfolioRef[Reference '#]),0),AssetMonthlyReturns[[#This Row],[SPY]:[PE]])</f>
        <v>-2.4683440042585734E-2</v>
      </c>
      <c r="QV35" s="27">
        <f>IF(ISNUMBER(QV34),QV34*(1+PortfolioFrontier[[#This Row],[P116 Return]]),1+PortfolioFrontier[[#This Row],[P116 Return]])</f>
        <v>1.0802411012772417</v>
      </c>
      <c r="QW35" s="27">
        <f>MAX(QW34,PortfolioFrontier[[#This Row],[P116 Growth]])</f>
        <v>1.1178696128073189</v>
      </c>
      <c r="QX35" s="27">
        <f>PortfolioFrontier[[#This Row],[P116 Growth]]/PortfolioFrontier[[#This Row],[P116 HWM]]-1</f>
        <v>-3.3660912774594709E-2</v>
      </c>
      <c r="QY35" s="28">
        <f>SUMPRODUCT(INDEX(PortfolioRef[[SPY]:[PE]],MATCH(QY$1,PortfolioRef[Reference '#]),0),AssetMonthlyReturns[[#This Row],[SPY]:[PE]])</f>
        <v>-2.1084885969614834E-2</v>
      </c>
      <c r="QZ35" s="27">
        <f>IF(ISNUMBER(QZ34),QZ34*(1+PortfolioFrontier[[#This Row],[P117 Return]]),1+PortfolioFrontier[[#This Row],[P117 Return]])</f>
        <v>1.0799711636014562</v>
      </c>
      <c r="RA35" s="27">
        <f>MAX(RA34,PortfolioFrontier[[#This Row],[P117 Growth]])</f>
        <v>1.1122167675361905</v>
      </c>
      <c r="RB35" s="27">
        <f>PortfolioFrontier[[#This Row],[P117 Growth]]/PortfolioFrontier[[#This Row],[P117 HWM]]-1</f>
        <v>-2.8992193676566802E-2</v>
      </c>
      <c r="RC35" s="28">
        <f>SUMPRODUCT(INDEX(PortfolioRef[[SPY]:[PE]],MATCH(RC$1,PortfolioRef[Reference '#]),0),AssetMonthlyReturns[[#This Row],[SPY]:[PE]])</f>
        <v>-3.5272397145356932E-2</v>
      </c>
      <c r="RD35" s="27">
        <f>IF(ISNUMBER(RD34),RD34*(1+PortfolioFrontier[[#This Row],[P118 Return]]),1+PortfolioFrontier[[#This Row],[P118 Return]])</f>
        <v>1.0820974455902905</v>
      </c>
      <c r="RE35" s="27">
        <f>MAX(RE34,PortfolioFrontier[[#This Row],[P118 Growth]])</f>
        <v>1.1350154598380386</v>
      </c>
      <c r="RF35" s="27">
        <f>PortfolioFrontier[[#This Row],[P118 Growth]]/PortfolioFrontier[[#This Row],[P118 HWM]]-1</f>
        <v>-4.6623166045067999E-2</v>
      </c>
      <c r="RG35" s="28">
        <f>SUMPRODUCT(INDEX(PortfolioRef[[SPY]:[PE]],MATCH(RG$1,PortfolioRef[Reference '#]),0),AssetMonthlyReturns[[#This Row],[SPY]:[PE]])</f>
        <v>-3.1673843072386035E-2</v>
      </c>
      <c r="RH35" s="27">
        <f>IF(ISNUMBER(RH34),RH34*(1+PortfolioFrontier[[#This Row],[P119 Return]]),1+PortfolioFrontier[[#This Row],[P119 Return]])</f>
        <v>1.0820198040261544</v>
      </c>
      <c r="RI35" s="27">
        <f>MAX(RI34,PortfolioFrontier[[#This Row],[P119 Growth]])</f>
        <v>1.129416589103698</v>
      </c>
      <c r="RJ35" s="27">
        <f>PortfolioFrontier[[#This Row],[P119 Growth]]/PortfolioFrontier[[#This Row],[P119 HWM]]-1</f>
        <v>-4.1965724193193887E-2</v>
      </c>
      <c r="RK35" s="28">
        <f>SUMPRODUCT(INDEX(PortfolioRef[[SPY]:[PE]],MATCH(RK$1,PortfolioRef[Reference '#]),0),AssetMonthlyReturns[[#This Row],[SPY]:[PE]])</f>
        <v>-2.8075288999415134E-2</v>
      </c>
      <c r="RL35" s="27">
        <f>IF(ISNUMBER(RL34),RL34*(1+PortfolioFrontier[[#This Row],[P120 Return]]),1+PortfolioFrontier[[#This Row],[P120 Return]])</f>
        <v>1.0818214488882911</v>
      </c>
      <c r="RM35" s="27">
        <f>MAX(RM34,PortfolioFrontier[[#This Row],[P120 Growth]])</f>
        <v>1.1237430677500322</v>
      </c>
      <c r="RN35" s="27">
        <f>PortfolioFrontier[[#This Row],[P120 Growth]]/PortfolioFrontier[[#This Row],[P120 HWM]]-1</f>
        <v>-3.7305341465355468E-2</v>
      </c>
      <c r="RO35" s="28">
        <f>SUMPRODUCT(INDEX(PortfolioRef[[SPY]:[PE]],MATCH(RO$1,PortfolioRef[Reference '#]),0),AssetMonthlyReturns[[#This Row],[SPY]:[PE]])</f>
        <v>-4.2262800175157225E-2</v>
      </c>
      <c r="RP35" s="27">
        <f>IF(ISNUMBER(RP34),RP34*(1+PortfolioFrontier[[#This Row],[P121 Return]]),1+PortfolioFrontier[[#This Row],[P121 Return]])</f>
        <v>1.0836204647226793</v>
      </c>
      <c r="RQ35" s="27">
        <f>MAX(RQ34,PortfolioFrontier[[#This Row],[P121 Growth]])</f>
        <v>1.1465766082010636</v>
      </c>
      <c r="RR35" s="27">
        <f>PortfolioFrontier[[#This Row],[P121 Growth]]/PortfolioFrontier[[#This Row],[P121 HWM]]-1</f>
        <v>-5.4907925931927171E-2</v>
      </c>
      <c r="RS35" s="28">
        <f>SUMPRODUCT(INDEX(PortfolioRef[[SPY]:[PE]],MATCH(RS$1,PortfolioRef[Reference '#]),0),AssetMonthlyReturns[[#This Row],[SPY]:[PE]])</f>
        <v>-3.8664246102186328E-2</v>
      </c>
      <c r="RT35" s="27">
        <f>IF(ISNUMBER(RT34),RT34*(1+PortfolioFrontier[[#This Row],[P122 Return]]),1+PortfolioFrontier[[#This Row],[P122 Return]])</f>
        <v>1.0836155744718377</v>
      </c>
      <c r="RU35" s="27">
        <f>MAX(RU34,PortfolioFrontier[[#This Row],[P122 Growth]])</f>
        <v>1.1409590661664393</v>
      </c>
      <c r="RV35" s="27">
        <f>PortfolioFrontier[[#This Row],[P122 Growth]]/PortfolioFrontier[[#This Row],[P122 HWM]]-1</f>
        <v>-5.0259026283276498E-2</v>
      </c>
      <c r="RW35" s="28">
        <f>SUMPRODUCT(INDEX(PortfolioRef[[SPY]:[PE]],MATCH(RW$1,PortfolioRef[Reference '#]),0),AssetMonthlyReturns[[#This Row],[SPY]:[PE]])</f>
        <v>-3.5065692029215424E-2</v>
      </c>
      <c r="RX35" s="27">
        <f>IF(ISNUMBER(RX34),RX34*(1+PortfolioFrontier[[#This Row],[P123 Return]]),1+PortfolioFrontier[[#This Row],[P123 Return]])</f>
        <v>1.0834894585959978</v>
      </c>
      <c r="RY35" s="27">
        <f>MAX(RY34,PortfolioFrontier[[#This Row],[P123 Growth]])</f>
        <v>1.1352656359916529</v>
      </c>
      <c r="RZ35" s="27">
        <f>PortfolioFrontier[[#This Row],[P123 Growth]]/PortfolioFrontier[[#This Row],[P123 HWM]]-1</f>
        <v>-4.5607103530821425E-2</v>
      </c>
      <c r="SA35" s="28">
        <f>SUMPRODUCT(INDEX(PortfolioRef[[SPY]:[PE]],MATCH(SA$1,PortfolioRef[Reference '#]),0),AssetMonthlyReturns[[#This Row],[SPY]:[PE]])</f>
        <v>-3.381918893816465E-2</v>
      </c>
      <c r="SB35" s="27">
        <f>IF(ISNUMBER(SB34),SB34*(1+PortfolioFrontier[[#This Row],[P124 Return]]),1+PortfolioFrontier[[#This Row],[P124 Return]])</f>
        <v>1.0802249211055959</v>
      </c>
      <c r="SC35" s="27">
        <f>MAX(SC34,PortfolioFrontier[[#This Row],[P124 Growth]])</f>
        <v>1.1298749921409386</v>
      </c>
      <c r="SD35" s="27">
        <f>PortfolioFrontier[[#This Row],[P124 Growth]]/PortfolioFrontier[[#This Row],[P124 HWM]]-1</f>
        <v>-4.3942977214907142E-2</v>
      </c>
      <c r="SE35" s="28">
        <f>SUMPRODUCT(INDEX(PortfolioRef[[SPY]:[PE]],MATCH(SE$1,PortfolioRef[Reference '#]),0),AssetMonthlyReturns[[#This Row],[SPY]:[PE]])</f>
        <v>-3.0220634865193753E-2</v>
      </c>
      <c r="SF35" s="27">
        <f>IF(ISNUMBER(SF34),SF34*(1+PortfolioFrontier[[#This Row],[P125 Return]]),1+PortfolioFrontier[[#This Row],[P125 Return]])</f>
        <v>1.0801657075403504</v>
      </c>
      <c r="SG35" s="27">
        <f>MAX(SG34,PortfolioFrontier[[#This Row],[P125 Growth]])</f>
        <v>1.1243268837019014</v>
      </c>
      <c r="SH35" s="27">
        <f>PortfolioFrontier[[#This Row],[P125 Growth]]/PortfolioFrontier[[#This Row],[P125 HWM]]-1</f>
        <v>-3.9277879771182023E-2</v>
      </c>
      <c r="SI35" s="28">
        <f>SUMPRODUCT(INDEX(PortfolioRef[[SPY]:[PE]],MATCH(SI$1,PortfolioRef[Reference '#]),0),AssetMonthlyReturns[[#This Row],[SPY]:[PE]])</f>
        <v>-2.6622080792222853E-2</v>
      </c>
      <c r="SJ35" s="27">
        <f>IF(ISNUMBER(SJ34),SJ34*(1+PortfolioFrontier[[#This Row],[P126 Return]]),1+PortfolioFrontier[[#This Row],[P126 Return]])</f>
        <v>1.0799860048851315</v>
      </c>
      <c r="SK35" s="27">
        <f>MAX(SK34,PortfolioFrontier[[#This Row],[P126 Growth]])</f>
        <v>1.1187041852118251</v>
      </c>
      <c r="SL35" s="27">
        <f>PortfolioFrontier[[#This Row],[P126 Growth]]/PortfolioFrontier[[#This Row],[P126 HWM]]-1</f>
        <v>-3.4609846676637246E-2</v>
      </c>
      <c r="SM35" s="28">
        <f>SUMPRODUCT(INDEX(PortfolioRef[[SPY]:[PE]],MATCH(SM$1,PortfolioRef[Reference '#]),0),AssetMonthlyReturns[[#This Row],[SPY]:[PE]])</f>
        <v>-4.0809591967964944E-2</v>
      </c>
      <c r="SN35" s="27">
        <f>IF(ISNUMBER(SN34),SN34*(1+PortfolioFrontier[[#This Row],[P127 Return]]),1+PortfolioFrontier[[#This Row],[P127 Return]])</f>
        <v>1.0818233008166482</v>
      </c>
      <c r="SO35" s="27">
        <f>MAX(SO34,PortfolioFrontier[[#This Row],[P127 Growth]])</f>
        <v>1.1414503417092516</v>
      </c>
      <c r="SP35" s="27">
        <f>PortfolioFrontier[[#This Row],[P127 Growth]]/PortfolioFrontier[[#This Row],[P127 HWM]]-1</f>
        <v>-5.2237963154240785E-2</v>
      </c>
      <c r="SQ35" s="28">
        <f>SUMPRODUCT(INDEX(PortfolioRef[[SPY]:[PE]],MATCH(SQ$1,PortfolioRef[Reference '#]),0),AssetMonthlyReturns[[#This Row],[SPY]:[PE]])</f>
        <v>-3.7211037894994047E-2</v>
      </c>
      <c r="SR35" s="27">
        <f>IF(ISNUMBER(SR34),SR34*(1+PortfolioFrontier[[#This Row],[P128 Return]]),1+PortfolioFrontier[[#This Row],[P128 Return]])</f>
        <v>1.0818367446940251</v>
      </c>
      <c r="SS35" s="27">
        <f>MAX(SS34,PortfolioFrontier[[#This Row],[P128 Growth]])</f>
        <v>1.1358836779891786</v>
      </c>
      <c r="ST35" s="27">
        <f>PortfolioFrontier[[#This Row],[P128 Growth]]/PortfolioFrontier[[#This Row],[P128 HWM]]-1</f>
        <v>-4.7581397939295278E-2</v>
      </c>
      <c r="SU35" s="28">
        <f>SUMPRODUCT(INDEX(PortfolioRef[[SPY]:[PE]],MATCH(SU$1,PortfolioRef[Reference '#]),0),AssetMonthlyReturns[[#This Row],[SPY]:[PE]])</f>
        <v>-3.3612483822023149E-2</v>
      </c>
      <c r="SV35" s="27">
        <f>IF(ISNUMBER(SV34),SV34*(1+PortfolioFrontier[[#This Row],[P129 Return]]),1+PortfolioFrontier[[#This Row],[P129 Return]])</f>
        <v>1.0817291835111125</v>
      </c>
      <c r="SW35" s="27">
        <f>MAX(SW34,PortfolioFrontier[[#This Row],[P129 Growth]])</f>
        <v>1.130241186279104</v>
      </c>
      <c r="SX35" s="27">
        <f>PortfolioFrontier[[#This Row],[P129 Growth]]/PortfolioFrontier[[#This Row],[P129 HWM]]-1</f>
        <v>-4.2921814703726247E-2</v>
      </c>
      <c r="SY35" s="28">
        <f>SUMPRODUCT(INDEX(PortfolioRef[[SPY]:[PE]],MATCH(SY$1,PortfolioRef[Reference '#]),0),AssetMonthlyReturns[[#This Row],[SPY]:[PE]])</f>
        <v>-4.7799994997765237E-2</v>
      </c>
      <c r="SZ35" s="27">
        <f>IF(ISNUMBER(SZ34),SZ34*(1+PortfolioFrontier[[#This Row],[P130 Return]]),1+PortfolioFrontier[[#This Row],[P130 Return]])</f>
        <v>1.0832372667200707</v>
      </c>
      <c r="TA35" s="27">
        <f>MAX(TA34,PortfolioFrontier[[#This Row],[P130 Growth]])</f>
        <v>1.1530192985350012</v>
      </c>
      <c r="TB35" s="27">
        <f>PortfolioFrontier[[#This Row],[P130 Growth]]/PortfolioFrontier[[#This Row],[P130 HWM]]-1</f>
        <v>-6.052113082894095E-2</v>
      </c>
      <c r="TC35" s="28">
        <f>SUMPRODUCT(INDEX(PortfolioRef[[SPY]:[PE]],MATCH(TC$1,PortfolioRef[Reference '#]),0),AssetMonthlyReturns[[#This Row],[SPY]:[PE]])</f>
        <v>-4.420144092479434E-2</v>
      </c>
      <c r="TD35" s="27">
        <f>IF(ISNUMBER(TD34),TD34*(1+PortfolioFrontier[[#This Row],[P131 Return]]),1+PortfolioFrontier[[#This Row],[P131 Return]])</f>
        <v>1.0833239828827648</v>
      </c>
      <c r="TE35" s="27">
        <f>MAX(TE34,PortfolioFrontier[[#This Row],[P131 Growth]])</f>
        <v>1.1474348642213985</v>
      </c>
      <c r="TF35" s="27">
        <f>PortfolioFrontier[[#This Row],[P131 Growth]]/PortfolioFrontier[[#This Row],[P131 HWM]]-1</f>
        <v>-5.5873220639967802E-2</v>
      </c>
      <c r="TG35" s="28">
        <f>SUMPRODUCT(INDEX(PortfolioRef[[SPY]:[PE]],MATCH(TG$1,PortfolioRef[Reference '#]),0),AssetMonthlyReturns[[#This Row],[SPY]:[PE]])</f>
        <v>-4.0602886851823436E-2</v>
      </c>
      <c r="TH35" s="27">
        <f>IF(ISNUMBER(TH34),TH34*(1+PortfolioFrontier[[#This Row],[P132 Return]]),1+PortfolioFrontier[[#This Row],[P132 Return]])</f>
        <v>1.0832892003113039</v>
      </c>
      <c r="TI35" s="27">
        <f>MAX(TI34,PortfolioFrontier[[#This Row],[P132 Growth]])</f>
        <v>1.1417733553426934</v>
      </c>
      <c r="TJ35" s="27">
        <f>PortfolioFrontier[[#This Row],[P132 Growth]]/PortfolioFrontier[[#This Row],[P132 HWM]]-1</f>
        <v>-5.1222210395543866E-2</v>
      </c>
      <c r="TK35" s="28">
        <f>SUMPRODUCT(INDEX(PortfolioRef[[SPY]:[PE]],MATCH(TK$1,PortfolioRef[Reference '#]),0),AssetMonthlyReturns[[#This Row],[SPY]:[PE]])</f>
        <v>-3.9356383760772662E-2</v>
      </c>
      <c r="TL35" s="27">
        <f>IF(ISNUMBER(TL34),TL34*(1+PortfolioFrontier[[#This Row],[P133 Return]]),1+PortfolioFrontier[[#This Row],[P133 Return]])</f>
        <v>1.0799579736187057</v>
      </c>
      <c r="TM35" s="27">
        <f>MAX(TM34,PortfolioFrontier[[#This Row],[P133 Growth]])</f>
        <v>1.1362770543075105</v>
      </c>
      <c r="TN35" s="27">
        <f>PortfolioFrontier[[#This Row],[P133 Growth]]/PortfolioFrontier[[#This Row],[P133 HWM]]-1</f>
        <v>-4.956456744004889E-2</v>
      </c>
      <c r="TO35" s="28">
        <f>SUMPRODUCT(INDEX(PortfolioRef[[SPY]:[PE]],MATCH(TO$1,PortfolioRef[Reference '#]),0),AssetMonthlyReturns[[#This Row],[SPY]:[PE]])</f>
        <v>-3.5757829687801765E-2</v>
      </c>
      <c r="TP35" s="27">
        <f>IF(ISNUMBER(TP34),TP34*(1+PortfolioFrontier[[#This Row],[P134 Return]]),1+PortfolioFrontier[[#This Row],[P134 Return]])</f>
        <v>1.0799896275392655</v>
      </c>
      <c r="TQ35" s="27">
        <f>MAX(TQ34,PortfolioFrontier[[#This Row],[P134 Growth]])</f>
        <v>1.1307611824727282</v>
      </c>
      <c r="TR35" s="27">
        <f>PortfolioFrontier[[#This Row],[P134 Growth]]/PortfolioFrontier[[#This Row],[P134 HWM]]-1</f>
        <v>-4.4900334146982579E-2</v>
      </c>
      <c r="TS35" s="28">
        <f>SUMPRODUCT(INDEX(PortfolioRef[[SPY]:[PE]],MATCH(TS$1,PortfolioRef[Reference '#]),0),AssetMonthlyReturns[[#This Row],[SPY]:[PE]])</f>
        <v>-3.2159275614830861E-2</v>
      </c>
      <c r="TT35" s="27">
        <f>IF(ISNUMBER(TT34),TT34*(1+PortfolioFrontier[[#This Row],[P135 Return]]),1+PortfolioFrontier[[#This Row],[P135 Return]])</f>
        <v>1.0799005036091642</v>
      </c>
      <c r="TU35" s="27">
        <f>MAX(TU34,PortfolioFrontier[[#This Row],[P135 Growth]])</f>
        <v>1.125169549025189</v>
      </c>
      <c r="TV35" s="27">
        <f>PortfolioFrontier[[#This Row],[P135 Growth]]/PortfolioFrontier[[#This Row],[P135 HWM]]-1</f>
        <v>-4.0233087942385559E-2</v>
      </c>
      <c r="TW35" s="28">
        <f>SUMPRODUCT(INDEX(PortfolioRef[[SPY]:[PE]],MATCH(TW$1,PortfolioRef[Reference '#]),0),AssetMonthlyReturns[[#This Row],[SPY]:[PE]])</f>
        <v>-4.6346786790572962E-2</v>
      </c>
      <c r="TX35" s="27">
        <f>IF(ISNUMBER(TX34),TX34*(1+PortfolioFrontier[[#This Row],[P136 Return]]),1+PortfolioFrontier[[#This Row],[P136 Return]])</f>
        <v>1.0814475080561552</v>
      </c>
      <c r="TY35" s="27">
        <f>MAX(TY34,PortfolioFrontier[[#This Row],[P136 Growth]])</f>
        <v>1.1478604052830148</v>
      </c>
      <c r="TZ35" s="27">
        <f>PortfolioFrontier[[#This Row],[P136 Growth]]/PortfolioFrontier[[#This Row],[P136 HWM]]-1</f>
        <v>-5.7857991199273928E-2</v>
      </c>
      <c r="UA35" s="28">
        <f>SUMPRODUCT(INDEX(PortfolioRef[[SPY]:[PE]],MATCH(UA$1,PortfolioRef[Reference '#]),0),AssetMonthlyReturns[[#This Row],[SPY]:[PE]])</f>
        <v>-4.2748232717602065E-2</v>
      </c>
      <c r="UB35" s="27">
        <f>IF(ISNUMBER(UB34),UB34*(1+PortfolioFrontier[[#This Row],[P137 Return]]),1+PortfolioFrontier[[#This Row],[P137 Return]])</f>
        <v>1.0815523428260214</v>
      </c>
      <c r="UC35" s="27">
        <f>MAX(UC34,PortfolioFrontier[[#This Row],[P137 Growth]])</f>
        <v>1.1423268779020681</v>
      </c>
      <c r="UD35" s="27">
        <f>PortfolioFrontier[[#This Row],[P137 Growth]]/PortfolioFrontier[[#This Row],[P137 HWM]]-1</f>
        <v>-5.3202403140212962E-2</v>
      </c>
      <c r="UE35" s="28">
        <f>SUMPRODUCT(INDEX(PortfolioRef[[SPY]:[PE]],MATCH(UE$1,PortfolioRef[Reference '#]),0),AssetMonthlyReturns[[#This Row],[SPY]:[PE]])</f>
        <v>-3.9149678644631161E-2</v>
      </c>
      <c r="UF35" s="27">
        <f>IF(ISNUMBER(UF34),UF34*(1+PortfolioFrontier[[#This Row],[P138 Return]]),1+PortfolioFrontier[[#This Row],[P138 Return]])</f>
        <v>1.0815359021187525</v>
      </c>
      <c r="UG35" s="27">
        <f>MAX(UG34,PortfolioFrontier[[#This Row],[P138 Growth]])</f>
        <v>1.1367163419328135</v>
      </c>
      <c r="UH35" s="27">
        <f>PortfolioFrontier[[#This Row],[P138 Growth]]/PortfolioFrontier[[#This Row],[P138 HWM]]-1</f>
        <v>-4.8543719992830359E-2</v>
      </c>
      <c r="UI35" s="28">
        <f>SUMPRODUCT(INDEX(PortfolioRef[[SPY]:[PE]],MATCH(UI$1,PortfolioRef[Reference '#]),0),AssetMonthlyReturns[[#This Row],[SPY]:[PE]])</f>
        <v>-5.3337189820373256E-2</v>
      </c>
      <c r="UJ35" s="27">
        <f>IF(ISNUMBER(UJ34),UJ34*(1+PortfolioFrontier[[#This Row],[P139 Return]]),1+PortfolioFrontier[[#This Row],[P139 Return]])</f>
        <v>1.0827518068000719</v>
      </c>
      <c r="UK35" s="27">
        <f>MAX(UK34,PortfolioFrontier[[#This Row],[P139 Growth]])</f>
        <v>1.159436237360973</v>
      </c>
      <c r="UL35" s="27">
        <f>PortfolioFrontier[[#This Row],[P139 Growth]]/PortfolioFrontier[[#This Row],[P139 HWM]]-1</f>
        <v>-6.6139411629435374E-2</v>
      </c>
      <c r="UM35" s="28">
        <f>SUMPRODUCT(INDEX(PortfolioRef[[SPY]:[PE]],MATCH(UM$1,PortfolioRef[Reference '#]),0),AssetMonthlyReturns[[#This Row],[SPY]:[PE]])</f>
        <v>-4.9738635747402359E-2</v>
      </c>
      <c r="UN35" s="27">
        <f>IF(ISNUMBER(UN34),UN34*(1+PortfolioFrontier[[#This Row],[P140 Return]]),1+PortfolioFrontier[[#This Row],[P140 Return]])</f>
        <v>1.0829304170888399</v>
      </c>
      <c r="UO35" s="27">
        <f>MAX(UO34,PortfolioFrontier[[#This Row],[P140 Growth]])</f>
        <v>1.1538858477324712</v>
      </c>
      <c r="UP35" s="27">
        <f>PortfolioFrontier[[#This Row],[P140 Growth]]/PortfolioFrontier[[#This Row],[P140 HWM]]-1</f>
        <v>-6.1492591128548435E-2</v>
      </c>
      <c r="UQ35" s="28">
        <f>SUMPRODUCT(INDEX(PortfolioRef[[SPY]:[PE]],MATCH(UQ$1,PortfolioRef[Reference '#]),0),AssetMonthlyReturns[[#This Row],[SPY]:[PE]])</f>
        <v>-4.6140081674431455E-2</v>
      </c>
      <c r="UR35" s="27">
        <f>IF(ISNUMBER(UR34),UR34*(1+PortfolioFrontier[[#This Row],[P141 Return]]),1+PortfolioFrontier[[#This Row],[P141 Return]])</f>
        <v>1.0829872768574436</v>
      </c>
      <c r="US35" s="27">
        <f>MAX(US34,PortfolioFrontier[[#This Row],[P141 Growth]])</f>
        <v>1.1482571939960202</v>
      </c>
      <c r="UT35" s="27">
        <f>PortfolioFrontier[[#This Row],[P141 Growth]]/PortfolioFrontier[[#This Row],[P141 HWM]]-1</f>
        <v>-5.6842593697525645E-2</v>
      </c>
    </row>
    <row r="36" spans="2:566" x14ac:dyDescent="0.2">
      <c r="B36" s="41">
        <f>AssetMonthlyReturns[[#This Row],[Date]]</f>
        <v>43466</v>
      </c>
      <c r="C36" s="28">
        <f>SUMPRODUCT(INDEX(PortfolioRef[[SPY]:[PE]],MATCH(C$1,PortfolioRef[Reference '#]),0),AssetMonthlyReturns[[#This Row],[SPY]:[PE]])</f>
        <v>6.6631943996744741E-2</v>
      </c>
      <c r="D36" s="29">
        <f>IF(ISNUMBER(D35),D35*(1+PortfolioFrontier[[#This Row],[P1 Return]]),1+PortfolioFrontier[[#This Row],[P1 Return]])</f>
        <v>1.2331874590087701</v>
      </c>
      <c r="E36" s="29">
        <f>MAX(E35,PortfolioFrontier[[#This Row],[P1 Growth]])</f>
        <v>1.2527991836375723</v>
      </c>
      <c r="F36" s="29">
        <f>PortfolioFrontier[[#This Row],[P1 Growth]]/PortfolioFrontier[[#This Row],[P1 HWM]]-1</f>
        <v>-1.5654324240424899E-2</v>
      </c>
      <c r="G36" s="28">
        <f>SUMPRODUCT(INDEX(PortfolioRef[[SPY]:[PE]],MATCH(G$1,PortfolioRef[Reference '#]),0),AssetMonthlyReturns[[#This Row],[SPY]:[PE]])</f>
        <v>6.2990405497422255E-2</v>
      </c>
      <c r="H36" s="27">
        <f>IF(ISNUMBER(H35),H35*(1+PortfolioFrontier[[#This Row],[P2 Return]]),1+PortfolioFrontier[[#This Row],[P2 Return]])</f>
        <v>1.2161644873757556</v>
      </c>
      <c r="I36" s="27">
        <f>MAX(I35,PortfolioFrontier[[#This Row],[P2 Growth]])</f>
        <v>1.2298788051556078</v>
      </c>
      <c r="J36" s="27">
        <f>PortfolioFrontier[[#This Row],[P2 Growth]]/PortfolioFrontier[[#This Row],[P2 HWM]]-1</f>
        <v>-1.115095058339266E-2</v>
      </c>
      <c r="K36" s="28">
        <f>SUMPRODUCT(INDEX(PortfolioRef[[SPY]:[PE]],MATCH(K$1,PortfolioRef[Reference '#]),0),AssetMonthlyReturns[[#This Row],[SPY]:[PE]])</f>
        <v>6.3756597002629742E-2</v>
      </c>
      <c r="L36" s="27">
        <f>IF(ISNUMBER(L35),L35*(1+PortfolioFrontier[[#This Row],[P3 Return]]),1+PortfolioFrontier[[#This Row],[P3 Return]])</f>
        <v>1.2151273049336486</v>
      </c>
      <c r="M36" s="27">
        <f>MAX(M35,PortfolioFrontier[[#This Row],[P3 Growth]])</f>
        <v>1.2244505218158503</v>
      </c>
      <c r="N36" s="27">
        <f>PortfolioFrontier[[#This Row],[P3 Growth]]/PortfolioFrontier[[#This Row],[P3 HWM]]-1</f>
        <v>-7.6142046706595412E-3</v>
      </c>
      <c r="O36" s="28">
        <f>SUMPRODUCT(INDEX(PortfolioRef[[SPY]:[PE]],MATCH(O$1,PortfolioRef[Reference '#]),0),AssetMonthlyReturns[[#This Row],[SPY]:[PE]])</f>
        <v>6.8908893464895149E-2</v>
      </c>
      <c r="P36" s="27">
        <f>IF(ISNUMBER(P35),P35*(1+PortfolioFrontier[[#This Row],[P4 Return]]),1+PortfolioFrontier[[#This Row],[P4 Return]])</f>
        <v>1.2226431778090943</v>
      </c>
      <c r="Q36" s="27">
        <f>MAX(Q35,PortfolioFrontier[[#This Row],[P4 Growth]])</f>
        <v>1.2369551220975652</v>
      </c>
      <c r="R36" s="27">
        <f>PortfolioFrontier[[#This Row],[P4 Growth]]/PortfolioFrontier[[#This Row],[P4 HWM]]-1</f>
        <v>-1.1570301971991936E-2</v>
      </c>
      <c r="S36" s="28">
        <f>SUMPRODUCT(INDEX(PortfolioRef[[SPY]:[PE]],MATCH(S$1,PortfolioRef[Reference '#]),0),AssetMonthlyReturns[[#This Row],[SPY]:[PE]])</f>
        <v>6.2822161638193902E-2</v>
      </c>
      <c r="T36" s="27">
        <f>IF(ISNUMBER(T35),T35*(1+PortfolioFrontier[[#This Row],[P5 Return]]),1+PortfolioFrontier[[#This Row],[P5 Return]])</f>
        <v>1.2155387639746524</v>
      </c>
      <c r="U36" s="27">
        <f>MAX(U35,PortfolioFrontier[[#This Row],[P5 Growth]])</f>
        <v>1.230722468694271</v>
      </c>
      <c r="V36" s="27">
        <f>PortfolioFrontier[[#This Row],[P5 Growth]]/PortfolioFrontier[[#This Row],[P5 HWM]]-1</f>
        <v>-1.2337228827655755E-2</v>
      </c>
      <c r="W36" s="28">
        <f>SUMPRODUCT(INDEX(PortfolioRef[[SPY]:[PE]],MATCH(W$1,PortfolioRef[Reference '#]),0),AssetMonthlyReturns[[#This Row],[SPY]:[PE]])</f>
        <v>5.934886699809977E-2</v>
      </c>
      <c r="X36" s="27">
        <f>IF(ISNUMBER(X35),X35*(1+PortfolioFrontier[[#This Row],[P6 Return]]),1+PortfolioFrontier[[#This Row],[P6 Return]])</f>
        <v>1.1992477013435279</v>
      </c>
      <c r="Y36" s="27">
        <f>MAX(Y35,PortfolioFrontier[[#This Row],[P6 Growth]])</f>
        <v>1.207317050319489</v>
      </c>
      <c r="Z36" s="27">
        <f>PortfolioFrontier[[#This Row],[P6 Growth]]/PortfolioFrontier[[#This Row],[P6 HWM]]-1</f>
        <v>-6.6837033187145956E-3</v>
      </c>
      <c r="AA36" s="28">
        <f>SUMPRODUCT(INDEX(PortfolioRef[[SPY]:[PE]],MATCH(AA$1,PortfolioRef[Reference '#]),0),AssetMonthlyReturns[[#This Row],[SPY]:[PE]])</f>
        <v>6.011505850330727E-2</v>
      </c>
      <c r="AB36" s="27">
        <f>IF(ISNUMBER(AB35),AB35*(1+PortfolioFrontier[[#This Row],[P7 Return]]),1+PortfolioFrontier[[#This Row],[P7 Return]])</f>
        <v>1.1982011938845138</v>
      </c>
      <c r="AC36" s="27">
        <f>MAX(AC35,PortfolioFrontier[[#This Row],[P7 Growth]])</f>
        <v>1.2019777210920481</v>
      </c>
      <c r="AD36" s="27">
        <f>PortfolioFrontier[[#This Row],[P7 Growth]]/PortfolioFrontier[[#This Row],[P7 HWM]]-1</f>
        <v>-3.1419277922248856E-3</v>
      </c>
      <c r="AE36" s="28">
        <f>SUMPRODUCT(INDEX(PortfolioRef[[SPY]:[PE]],MATCH(AE$1,PortfolioRef[Reference '#]),0),AssetMonthlyReturns[[#This Row],[SPY]:[PE]])</f>
        <v>6.5267354965572663E-2</v>
      </c>
      <c r="AF36" s="27">
        <f>IF(ISNUMBER(AF35),AF35*(1+PortfolioFrontier[[#This Row],[P8 Return]]),1+PortfolioFrontier[[#This Row],[P8 Return]])</f>
        <v>1.2057227561900936</v>
      </c>
      <c r="AG36" s="27">
        <f>MAX(AG35,PortfolioFrontier[[#This Row],[P8 Growth]])</f>
        <v>1.2142827704518531</v>
      </c>
      <c r="AH36" s="27">
        <f>PortfolioFrontier[[#This Row],[P8 Growth]]/PortfolioFrontier[[#This Row],[P8 HWM]]-1</f>
        <v>-7.0494405998811072E-3</v>
      </c>
      <c r="AI36" s="28">
        <f>SUMPRODUCT(INDEX(PortfolioRef[[SPY]:[PE]],MATCH(AI$1,PortfolioRef[Reference '#]),0),AssetMonthlyReturns[[#This Row],[SPY]:[PE]])</f>
        <v>5.9180623138871416E-2</v>
      </c>
      <c r="AJ36" s="27">
        <f>IF(ISNUMBER(AJ35),AJ35*(1+PortfolioFrontier[[#This Row],[P9 Return]]),1+PortfolioFrontier[[#This Row],[P9 Return]])</f>
        <v>1.1986592078576457</v>
      </c>
      <c r="AK36" s="27">
        <f>MAX(AK35,PortfolioFrontier[[#This Row],[P9 Growth]])</f>
        <v>1.2081574545244378</v>
      </c>
      <c r="AL36" s="27">
        <f>PortfolioFrontier[[#This Row],[P9 Growth]]/PortfolioFrontier[[#This Row],[P9 HWM]]-1</f>
        <v>-7.8617622489701722E-3</v>
      </c>
      <c r="AM36" s="28">
        <f>SUMPRODUCT(INDEX(PortfolioRef[[SPY]:[PE]],MATCH(AM$1,PortfolioRef[Reference '#]),0),AssetMonthlyReturns[[#This Row],[SPY]:[PE]])</f>
        <v>6.0881250008514756E-2</v>
      </c>
      <c r="AN36" s="27">
        <f>IF(ISNUMBER(AN35),AN35*(1+PortfolioFrontier[[#This Row],[P10 Return]]),1+PortfolioFrontier[[#This Row],[P10 Return]])</f>
        <v>1.1970761775156396</v>
      </c>
      <c r="AO36" s="27">
        <f>MAX(AO35,PortfolioFrontier[[#This Row],[P10 Growth]])</f>
        <v>1.1970761775156396</v>
      </c>
      <c r="AP36" s="27">
        <f>PortfolioFrontier[[#This Row],[P10 Growth]]/PortfolioFrontier[[#This Row],[P10 HWM]]-1</f>
        <v>0</v>
      </c>
      <c r="AQ36" s="28">
        <f>SUMPRODUCT(INDEX(PortfolioRef[[SPY]:[PE]],MATCH(AQ$1,PortfolioRef[Reference '#]),0),AssetMonthlyReturns[[#This Row],[SPY]:[PE]])</f>
        <v>6.6033546470780163E-2</v>
      </c>
      <c r="AR36" s="27">
        <f>IF(ISNUMBER(AR35),AR35*(1+PortfolioFrontier[[#This Row],[P11 Return]]),1+PortfolioFrontier[[#This Row],[P11 Return]])</f>
        <v>1.2046732086070728</v>
      </c>
      <c r="AS36" s="27">
        <f>MAX(AS35,PortfolioFrontier[[#This Row],[P11 Growth]])</f>
        <v>1.208908483674711</v>
      </c>
      <c r="AT36" s="27">
        <f>PortfolioFrontier[[#This Row],[P11 Growth]]/PortfolioFrontier[[#This Row],[P11 HWM]]-1</f>
        <v>-3.5033876631953564E-3</v>
      </c>
      <c r="AU36" s="28">
        <f>SUMPRODUCT(INDEX(PortfolioRef[[SPY]:[PE]],MATCH(AU$1,PortfolioRef[Reference '#]),0),AssetMonthlyReturns[[#This Row],[SPY]:[PE]])</f>
        <v>5.9946814644078909E-2</v>
      </c>
      <c r="AV36" s="27">
        <f>IF(ISNUMBER(AV35),AV35*(1+PortfolioFrontier[[#This Row],[P12 Return]]),1+PortfolioFrontier[[#This Row],[P12 Return]])</f>
        <v>1.1976409747920906</v>
      </c>
      <c r="AW36" s="27">
        <f>MAX(AW35,PortfolioFrontier[[#This Row],[P12 Growth]])</f>
        <v>1.2028375811784136</v>
      </c>
      <c r="AX36" s="27">
        <f>PortfolioFrontier[[#This Row],[P12 Growth]]/PortfolioFrontier[[#This Row],[P12 HWM]]-1</f>
        <v>-4.3202893454923341E-3</v>
      </c>
      <c r="AY36" s="28">
        <f>SUMPRODUCT(INDEX(PortfolioRef[[SPY]:[PE]],MATCH(AY$1,PortfolioRef[Reference '#]),0),AssetMonthlyReturns[[#This Row],[SPY]:[PE]])</f>
        <v>7.1185842933045557E-2</v>
      </c>
      <c r="AZ36" s="27">
        <f>IF(ISNUMBER(AZ35),AZ35*(1+PortfolioFrontier[[#This Row],[P13 Return]]),1+PortfolioFrontier[[#This Row],[P13 Return]])</f>
        <v>1.2120809384890063</v>
      </c>
      <c r="BA36" s="27">
        <f>MAX(BA35,PortfolioFrontier[[#This Row],[P13 Growth]])</f>
        <v>1.2212236920710353</v>
      </c>
      <c r="BB36" s="27">
        <f>PortfolioFrontier[[#This Row],[P13 Growth]]/PortfolioFrontier[[#This Row],[P13 HWM]]-1</f>
        <v>-7.4865511055751677E-3</v>
      </c>
      <c r="BC36" s="28">
        <f>SUMPRODUCT(INDEX(PortfolioRef[[SPY]:[PE]],MATCH(BC$1,PortfolioRef[Reference '#]),0),AssetMonthlyReturns[[#This Row],[SPY]:[PE]])</f>
        <v>6.509911110634431E-2</v>
      </c>
      <c r="BD36" s="27">
        <f>IF(ISNUMBER(BD35),BD35*(1+PortfolioFrontier[[#This Row],[P14 Return]]),1+PortfolioFrontier[[#This Row],[P14 Return]])</f>
        <v>1.2051203902339238</v>
      </c>
      <c r="BE36" s="27">
        <f>MAX(BE35,PortfolioFrontier[[#This Row],[P14 Growth]])</f>
        <v>1.2151316397014729</v>
      </c>
      <c r="BF36" s="27">
        <f>PortfolioFrontier[[#This Row],[P14 Growth]]/PortfolioFrontier[[#This Row],[P14 HWM]]-1</f>
        <v>-8.2388188575260868E-3</v>
      </c>
      <c r="BG36" s="28">
        <f>SUMPRODUCT(INDEX(PortfolioRef[[SPY]:[PE]],MATCH(BG$1,PortfolioRef[Reference '#]),0),AssetMonthlyReturns[[#This Row],[SPY]:[PE]])</f>
        <v>5.9012379279643055E-2</v>
      </c>
      <c r="BH36" s="27">
        <f>IF(ISNUMBER(BH35),BH35*(1+PortfolioFrontier[[#This Row],[P15 Return]]),1+PortfolioFrontier[[#This Row],[P15 Return]])</f>
        <v>1.1980265401171086</v>
      </c>
      <c r="BI36" s="27">
        <f>MAX(BI35,PortfolioFrontier[[#This Row],[P15 Growth]])</f>
        <v>1.208960110427493</v>
      </c>
      <c r="BJ36" s="27">
        <f>PortfolioFrontier[[#This Row],[P15 Growth]]/PortfolioFrontier[[#This Row],[P15 HWM]]-1</f>
        <v>-9.0437808626441241E-3</v>
      </c>
      <c r="BK36" s="28">
        <f>SUMPRODUCT(INDEX(PortfolioRef[[SPY]:[PE]],MATCH(BK$1,PortfolioRef[Reference '#]),0),AssetMonthlyReturns[[#This Row],[SPY]:[PE]])</f>
        <v>5.5707328498777284E-2</v>
      </c>
      <c r="BL36" s="27">
        <f>IF(ISNUMBER(BL35),BL35*(1+PortfolioFrontier[[#This Row],[P16 Return]]),1+PortfolioFrontier[[#This Row],[P16 Return]])</f>
        <v>1.182439477946392</v>
      </c>
      <c r="BM36" s="27">
        <f>MAX(BM35,PortfolioFrontier[[#This Row],[P16 Growth]])</f>
        <v>1.1851093657015759</v>
      </c>
      <c r="BN36" s="27">
        <f>PortfolioFrontier[[#This Row],[P16 Growth]]/PortfolioFrontier[[#This Row],[P16 HWM]]-1</f>
        <v>-2.25286191507168E-3</v>
      </c>
      <c r="BO36" s="28">
        <f>SUMPRODUCT(INDEX(PortfolioRef[[SPY]:[PE]],MATCH(BO$1,PortfolioRef[Reference '#]),0),AssetMonthlyReturns[[#This Row],[SPY]:[PE]])</f>
        <v>5.6473520003984784E-2</v>
      </c>
      <c r="BP36" s="27">
        <f>IF(ISNUMBER(BP35),BP35*(1+PortfolioFrontier[[#This Row],[P17 Return]]),1+PortfolioFrontier[[#This Row],[P17 Return]])</f>
        <v>1.1813843851374588</v>
      </c>
      <c r="BQ36" s="27">
        <f>MAX(BQ35,PortfolioFrontier[[#This Row],[P17 Growth]])</f>
        <v>1.1813843851374588</v>
      </c>
      <c r="BR36" s="27">
        <f>PortfolioFrontier[[#This Row],[P17 Growth]]/PortfolioFrontier[[#This Row],[P17 HWM]]-1</f>
        <v>0</v>
      </c>
      <c r="BS36" s="28">
        <f>SUMPRODUCT(INDEX(PortfolioRef[[SPY]:[PE]],MATCH(BS$1,PortfolioRef[Reference '#]),0),AssetMonthlyReturns[[#This Row],[SPY]:[PE]])</f>
        <v>6.1625816466250177E-2</v>
      </c>
      <c r="BT36" s="27">
        <f>IF(ISNUMBER(BT35),BT35*(1+PortfolioFrontier[[#This Row],[P18 Return]]),1+PortfolioFrontier[[#This Row],[P18 Return]])</f>
        <v>1.1889087592879901</v>
      </c>
      <c r="BU36" s="27">
        <f>MAX(BU35,PortfolioFrontier[[#This Row],[P18 Growth]])</f>
        <v>1.1919658639020045</v>
      </c>
      <c r="BV36" s="27">
        <f>PortfolioFrontier[[#This Row],[P18 Growth]]/PortfolioFrontier[[#This Row],[P18 HWM]]-1</f>
        <v>-2.5647585275695439E-3</v>
      </c>
      <c r="BW36" s="28">
        <f>SUMPRODUCT(INDEX(PortfolioRef[[SPY]:[PE]],MATCH(BW$1,PortfolioRef[Reference '#]),0),AssetMonthlyReturns[[#This Row],[SPY]:[PE]])</f>
        <v>5.553908463954893E-2</v>
      </c>
      <c r="BX36" s="27">
        <f>IF(ISNUMBER(BX35),BX35*(1+PortfolioFrontier[[#This Row],[P19 Return]]),1+PortfolioFrontier[[#This Row],[P19 Return]])</f>
        <v>1.1818872095992099</v>
      </c>
      <c r="BY36" s="27">
        <f>MAX(BY35,PortfolioFrontier[[#This Row],[P19 Growth]])</f>
        <v>1.1859463364551437</v>
      </c>
      <c r="BZ36" s="27">
        <f>PortfolioFrontier[[#This Row],[P19 Growth]]/PortfolioFrontier[[#This Row],[P19 HWM]]-1</f>
        <v>-3.4226901598826132E-3</v>
      </c>
      <c r="CA36" s="28">
        <f>SUMPRODUCT(INDEX(PortfolioRef[[SPY]:[PE]],MATCH(CA$1,PortfolioRef[Reference '#]),0),AssetMonthlyReturns[[#This Row],[SPY]:[PE]])</f>
        <v>5.7239711509192277E-2</v>
      </c>
      <c r="CB36" s="27">
        <f>IF(ISNUMBER(CB35),CB35*(1+PortfolioFrontier[[#This Row],[P20 Return]]),1+PortfolioFrontier[[#This Row],[P20 Return]])</f>
        <v>1.1802518433899651</v>
      </c>
      <c r="CC36" s="27">
        <f>MAX(CC35,PortfolioFrontier[[#This Row],[P20 Growth]])</f>
        <v>1.1802518433899651</v>
      </c>
      <c r="CD36" s="27">
        <f>PortfolioFrontier[[#This Row],[P20 Growth]]/PortfolioFrontier[[#This Row],[P20 HWM]]-1</f>
        <v>0</v>
      </c>
      <c r="CE36" s="28">
        <f>SUMPRODUCT(INDEX(PortfolioRef[[SPY]:[PE]],MATCH(CE$1,PortfolioRef[Reference '#]),0),AssetMonthlyReturns[[#This Row],[SPY]:[PE]])</f>
        <v>6.2392007971457678E-2</v>
      </c>
      <c r="CF36" s="27">
        <f>IF(ISNUMBER(CF35),CF35*(1+PortfolioFrontier[[#This Row],[P21 Return]]),1+PortfolioFrontier[[#This Row],[P21 Return]])</f>
        <v>1.1878503493347305</v>
      </c>
      <c r="CG36" s="27">
        <f>MAX(CG35,PortfolioFrontier[[#This Row],[P21 Growth]])</f>
        <v>1.1878503493347305</v>
      </c>
      <c r="CH36" s="27">
        <f>PortfolioFrontier[[#This Row],[P21 Growth]]/PortfolioFrontier[[#This Row],[P21 HWM]]-1</f>
        <v>0</v>
      </c>
      <c r="CI36" s="28">
        <f>SUMPRODUCT(INDEX(PortfolioRef[[SPY]:[PE]],MATCH(CI$1,PortfolioRef[Reference '#]),0),AssetMonthlyReturns[[#This Row],[SPY]:[PE]])</f>
        <v>5.630527614475643E-2</v>
      </c>
      <c r="CJ36" s="27">
        <f>IF(ISNUMBER(CJ35),CJ35*(1+PortfolioFrontier[[#This Row],[P22 Return]]),1+PortfolioFrontier[[#This Row],[P22 Return]])</f>
        <v>1.1808599636087735</v>
      </c>
      <c r="CK36" s="27">
        <f>MAX(CK35,PortfolioFrontier[[#This Row],[P22 Growth]])</f>
        <v>1.1808599636087735</v>
      </c>
      <c r="CL36" s="27">
        <f>PortfolioFrontier[[#This Row],[P22 Growth]]/PortfolioFrontier[[#This Row],[P22 HWM]]-1</f>
        <v>0</v>
      </c>
      <c r="CM36" s="28">
        <f>SUMPRODUCT(INDEX(PortfolioRef[[SPY]:[PE]],MATCH(CM$1,PortfolioRef[Reference '#]),0),AssetMonthlyReturns[[#This Row],[SPY]:[PE]])</f>
        <v>6.7544304433723085E-2</v>
      </c>
      <c r="CN36" s="27">
        <f>IF(ISNUMBER(CN35),CN35*(1+PortfolioFrontier[[#This Row],[P23 Return]]),1+PortfolioFrontier[[#This Row],[P23 Return]])</f>
        <v>1.195263907765473</v>
      </c>
      <c r="CO36" s="27">
        <f>MAX(CO35,PortfolioFrontier[[#This Row],[P23 Growth]])</f>
        <v>1.1987982173464886</v>
      </c>
      <c r="CP36" s="27">
        <f>PortfolioFrontier[[#This Row],[P23 Growth]]/PortfolioFrontier[[#This Row],[P23 HWM]]-1</f>
        <v>-2.9482105744523812E-3</v>
      </c>
      <c r="CQ36" s="28">
        <f>SUMPRODUCT(INDEX(PortfolioRef[[SPY]:[PE]],MATCH(CQ$1,PortfolioRef[Reference '#]),0),AssetMonthlyReturns[[#This Row],[SPY]:[PE]])</f>
        <v>6.1457572607021824E-2</v>
      </c>
      <c r="CR36" s="27">
        <f>IF(ISNUMBER(CR35),CR35*(1+PortfolioFrontier[[#This Row],[P24 Return]]),1+PortfolioFrontier[[#This Row],[P24 Return]])</f>
        <v>1.1883430640606334</v>
      </c>
      <c r="CS36" s="27">
        <f>MAX(CS35,PortfolioFrontier[[#This Row],[P24 Growth]])</f>
        <v>1.1928111947407509</v>
      </c>
      <c r="CT36" s="27">
        <f>PortfolioFrontier[[#This Row],[P24 Growth]]/PortfolioFrontier[[#This Row],[P24 HWM]]-1</f>
        <v>-3.7458825837802801E-3</v>
      </c>
      <c r="CU36" s="28">
        <f>SUMPRODUCT(INDEX(PortfolioRef[[SPY]:[PE]],MATCH(CU$1,PortfolioRef[Reference '#]),0),AssetMonthlyReturns[[#This Row],[SPY]:[PE]])</f>
        <v>5.5370840780320577E-2</v>
      </c>
      <c r="CV36" s="27">
        <f>IF(ISNUMBER(CV35),CV35*(1+PortfolioFrontier[[#This Row],[P25 Return]]),1+PortfolioFrontier[[#This Row],[P25 Return]])</f>
        <v>1.1812913672428673</v>
      </c>
      <c r="CW36" s="27">
        <f>MAX(CW35,PortfolioFrontier[[#This Row],[P25 Growth]])</f>
        <v>1.186746221986748</v>
      </c>
      <c r="CX36" s="27">
        <f>PortfolioFrontier[[#This Row],[P25 Growth]]/PortfolioFrontier[[#This Row],[P25 HWM]]-1</f>
        <v>-4.5964795529314095E-3</v>
      </c>
      <c r="CY36" s="28">
        <f>SUMPRODUCT(INDEX(PortfolioRef[[SPY]:[PE]],MATCH(CY$1,PortfolioRef[Reference '#]),0),AssetMonthlyReturns[[#This Row],[SPY]:[PE]])</f>
        <v>6.3158199476665164E-2</v>
      </c>
      <c r="CZ36" s="27">
        <f>IF(ISNUMBER(CZ35),CZ35*(1+PortfolioFrontier[[#This Row],[P26 Return]]),1+PortfolioFrontier[[#This Row],[P26 Return]])</f>
        <v>1.1867141372703609</v>
      </c>
      <c r="DA36" s="27">
        <f>MAX(DA35,PortfolioFrontier[[#This Row],[P26 Growth]])</f>
        <v>1.1867141372703609</v>
      </c>
      <c r="DB36" s="27">
        <f>PortfolioFrontier[[#This Row],[P26 Growth]]/PortfolioFrontier[[#This Row],[P26 HWM]]-1</f>
        <v>0</v>
      </c>
      <c r="DC36" s="28">
        <f>SUMPRODUCT(INDEX(PortfolioRef[[SPY]:[PE]],MATCH(DC$1,PortfolioRef[Reference '#]),0),AssetMonthlyReturns[[#This Row],[SPY]:[PE]])</f>
        <v>5.7071467649963917E-2</v>
      </c>
      <c r="DD36" s="27">
        <f>IF(ISNUMBER(DD35),DD35*(1+PortfolioFrontier[[#This Row],[P27 Return]]),1+PortfolioFrontier[[#This Row],[P27 Return]])</f>
        <v>1.1797552499113271</v>
      </c>
      <c r="DE36" s="27">
        <f>MAX(DE35,PortfolioFrontier[[#This Row],[P27 Growth]])</f>
        <v>1.1797552499113271</v>
      </c>
      <c r="DF36" s="27">
        <f>PortfolioFrontier[[#This Row],[P27 Growth]]/PortfolioFrontier[[#This Row],[P27 HWM]]-1</f>
        <v>0</v>
      </c>
      <c r="DG36" s="28">
        <f>SUMPRODUCT(INDEX(PortfolioRef[[SPY]:[PE]],MATCH(DG$1,PortfolioRef[Reference '#]),0),AssetMonthlyReturns[[#This Row],[SPY]:[PE]])</f>
        <v>6.8310495938930571E-2</v>
      </c>
      <c r="DH36" s="27">
        <f>IF(ISNUMBER(DH35),DH35*(1+PortfolioFrontier[[#This Row],[P28 Return]]),1+PortfolioFrontier[[#This Row],[P28 Return]])</f>
        <v>1.1942024717354849</v>
      </c>
      <c r="DI36" s="27">
        <f>MAX(DI35,PortfolioFrontier[[#This Row],[P28 Growth]])</f>
        <v>1.1942024717354849</v>
      </c>
      <c r="DJ36" s="27">
        <f>PortfolioFrontier[[#This Row],[P28 Growth]]/PortfolioFrontier[[#This Row],[P28 HWM]]-1</f>
        <v>0</v>
      </c>
      <c r="DK36" s="28">
        <f>SUMPRODUCT(INDEX(PortfolioRef[[SPY]:[PE]],MATCH(DK$1,PortfolioRef[Reference '#]),0),AssetMonthlyReturns[[#This Row],[SPY]:[PE]])</f>
        <v>6.2223764112229324E-2</v>
      </c>
      <c r="DL36" s="27">
        <f>IF(ISNUMBER(DL35),DL35*(1+PortfolioFrontier[[#This Row],[P29 Return]]),1+PortfolioFrontier[[#This Row],[P29 Return]])</f>
        <v>1.1873127015559821</v>
      </c>
      <c r="DM36" s="27">
        <f>MAX(DM35,PortfolioFrontier[[#This Row],[P29 Growth]])</f>
        <v>1.1875443780897539</v>
      </c>
      <c r="DN36" s="27">
        <f>PortfolioFrontier[[#This Row],[P29 Growth]]/PortfolioFrontier[[#This Row],[P29 HWM]]-1</f>
        <v>-1.9508873777362989E-4</v>
      </c>
      <c r="DO36" s="28">
        <f>SUMPRODUCT(INDEX(PortfolioRef[[SPY]:[PE]],MATCH(DO$1,PortfolioRef[Reference '#]),0),AssetMonthlyReturns[[#This Row],[SPY]:[PE]])</f>
        <v>5.613703228552807E-2</v>
      </c>
      <c r="DP36" s="27">
        <f>IF(ISNUMBER(DP35),DP35*(1+PortfolioFrontier[[#This Row],[P30 Return]]),1+PortfolioFrontier[[#This Row],[P30 Return]])</f>
        <v>1.1802919836722094</v>
      </c>
      <c r="DQ36" s="27">
        <f>MAX(DQ35,PortfolioFrontier[[#This Row],[P30 Growth]])</f>
        <v>1.1815329798730776</v>
      </c>
      <c r="DR36" s="27">
        <f>PortfolioFrontier[[#This Row],[P30 Growth]]/PortfolioFrontier[[#This Row],[P30 HWM]]-1</f>
        <v>-1.0503271783420809E-3</v>
      </c>
      <c r="DS36" s="28">
        <f>SUMPRODUCT(INDEX(PortfolioRef[[SPY]:[PE]],MATCH(DS$1,PortfolioRef[Reference '#]),0),AssetMonthlyReturns[[#This Row],[SPY]:[PE]])</f>
        <v>7.3462792401195964E-2</v>
      </c>
      <c r="DT36" s="27">
        <f>IF(ISNUMBER(DT35),DT35*(1+PortfolioFrontier[[#This Row],[P31 Return]]),1+PortfolioFrontier[[#This Row],[P31 Return]])</f>
        <v>1.2015026258841937</v>
      </c>
      <c r="DU36" s="27">
        <f>MAX(DU35,PortfolioFrontier[[#This Row],[P31 Growth]])</f>
        <v>1.205605513004264</v>
      </c>
      <c r="DV36" s="27">
        <f>PortfolioFrontier[[#This Row],[P31 Growth]]/PortfolioFrontier[[#This Row],[P31 HWM]]-1</f>
        <v>-3.4031754797191338E-3</v>
      </c>
      <c r="DW36" s="28">
        <f>SUMPRODUCT(INDEX(PortfolioRef[[SPY]:[PE]],MATCH(DW$1,PortfolioRef[Reference '#]),0),AssetMonthlyReturns[[#This Row],[SPY]:[PE]])</f>
        <v>6.7376060574494717E-2</v>
      </c>
      <c r="DX36" s="27">
        <f>IF(ISNUMBER(DX35),DX35*(1+PortfolioFrontier[[#This Row],[P32 Return]]),1+PortfolioFrontier[[#This Row],[P32 Return]])</f>
        <v>1.1946846070245836</v>
      </c>
      <c r="DY36" s="27">
        <f>MAX(DY35,PortfolioFrontier[[#This Row],[P32 Growth]])</f>
        <v>1.1996519727361086</v>
      </c>
      <c r="DZ36" s="27">
        <f>PortfolioFrontier[[#This Row],[P32 Growth]]/PortfolioFrontier[[#This Row],[P32 HWM]]-1</f>
        <v>-4.1406723153180058E-3</v>
      </c>
      <c r="EA36" s="28">
        <f>SUMPRODUCT(INDEX(PortfolioRef[[SPY]:[PE]],MATCH(EA$1,PortfolioRef[Reference '#]),0),AssetMonthlyReturns[[#This Row],[SPY]:[PE]])</f>
        <v>6.128932874779347E-2</v>
      </c>
      <c r="EB36" s="27">
        <f>IF(ISNUMBER(EB35),EB35*(1+PortfolioFrontier[[#This Row],[P33 Return]]),1+PortfolioFrontier[[#This Row],[P33 Return]])</f>
        <v>1.1877335196789343</v>
      </c>
      <c r="EC36" s="27">
        <f>MAX(EC35,PortfolioFrontier[[#This Row],[P33 Growth]])</f>
        <v>1.1936192372696184</v>
      </c>
      <c r="ED36" s="27">
        <f>PortfolioFrontier[[#This Row],[P33 Growth]]/PortfolioFrontier[[#This Row],[P33 HWM]]-1</f>
        <v>-4.9309841923690367E-3</v>
      </c>
      <c r="EE36" s="28">
        <f>SUMPRODUCT(INDEX(PortfolioRef[[SPY]:[PE]],MATCH(EE$1,PortfolioRef[Reference '#]),0),AssetMonthlyReturns[[#This Row],[SPY]:[PE]])</f>
        <v>5.2065789999454798E-2</v>
      </c>
      <c r="EF36" s="27">
        <f>IF(ISNUMBER(EF35),EF35*(1+PortfolioFrontier[[#This Row],[P34 Return]]),1+PortfolioFrontier[[#This Row],[P34 Return]])</f>
        <v>1.165742103516598</v>
      </c>
      <c r="EG36" s="27">
        <f>MAX(EG35,PortfolioFrontier[[#This Row],[P34 Growth]])</f>
        <v>1.165742103516598</v>
      </c>
      <c r="EH36" s="27">
        <f>PortfolioFrontier[[#This Row],[P34 Growth]]/PortfolioFrontier[[#This Row],[P34 HWM]]-1</f>
        <v>0</v>
      </c>
      <c r="EI36" s="28">
        <f>SUMPRODUCT(INDEX(PortfolioRef[[SPY]:[PE]],MATCH(EI$1,PortfolioRef[Reference '#]),0),AssetMonthlyReturns[[#This Row],[SPY]:[PE]])</f>
        <v>5.2831981504662298E-2</v>
      </c>
      <c r="EJ36" s="27">
        <f>IF(ISNUMBER(EJ35),EJ35*(1+PortfolioFrontier[[#This Row],[P35 Return]]),1+PortfolioFrontier[[#This Row],[P35 Return]])</f>
        <v>1.1646791470743316</v>
      </c>
      <c r="EK36" s="27">
        <f>MAX(EK35,PortfolioFrontier[[#This Row],[P35 Growth]])</f>
        <v>1.1646791470743316</v>
      </c>
      <c r="EL36" s="27">
        <f>PortfolioFrontier[[#This Row],[P35 Growth]]/PortfolioFrontier[[#This Row],[P35 HWM]]-1</f>
        <v>0</v>
      </c>
      <c r="EM36" s="28">
        <f>SUMPRODUCT(INDEX(PortfolioRef[[SPY]:[PE]],MATCH(EM$1,PortfolioRef[Reference '#]),0),AssetMonthlyReturns[[#This Row],[SPY]:[PE]])</f>
        <v>5.7984277966927691E-2</v>
      </c>
      <c r="EN36" s="27">
        <f>IF(ISNUMBER(EN35),EN35*(1+PortfolioFrontier[[#This Row],[P36 Return]]),1+PortfolioFrontier[[#This Row],[P36 Return]])</f>
        <v>1.172203532183115</v>
      </c>
      <c r="EO36" s="27">
        <f>MAX(EO35,PortfolioFrontier[[#This Row],[P36 Growth]])</f>
        <v>1.172203532183115</v>
      </c>
      <c r="EP36" s="27">
        <f>PortfolioFrontier[[#This Row],[P36 Growth]]/PortfolioFrontier[[#This Row],[P36 HWM]]-1</f>
        <v>0</v>
      </c>
      <c r="EQ36" s="28">
        <f>SUMPRODUCT(INDEX(PortfolioRef[[SPY]:[PE]],MATCH(EQ$1,PortfolioRef[Reference '#]),0),AssetMonthlyReturns[[#This Row],[SPY]:[PE]])</f>
        <v>5.1897546140226444E-2</v>
      </c>
      <c r="ER36" s="27">
        <f>IF(ISNUMBER(ER35),ER35*(1+PortfolioFrontier[[#This Row],[P37 Return]]),1+PortfolioFrontier[[#This Row],[P37 Return]])</f>
        <v>1.1652250719447661</v>
      </c>
      <c r="ES36" s="27">
        <f>MAX(ES35,PortfolioFrontier[[#This Row],[P37 Growth]])</f>
        <v>1.1652250719447661</v>
      </c>
      <c r="ET36" s="27">
        <f>PortfolioFrontier[[#This Row],[P37 Growth]]/PortfolioFrontier[[#This Row],[P37 HWM]]-1</f>
        <v>0</v>
      </c>
      <c r="EU36" s="28">
        <f>SUMPRODUCT(INDEX(PortfolioRef[[SPY]:[PE]],MATCH(EU$1,PortfolioRef[Reference '#]),0),AssetMonthlyReturns[[#This Row],[SPY]:[PE]])</f>
        <v>5.3598173009869791E-2</v>
      </c>
      <c r="EV36" s="27">
        <f>IF(ISNUMBER(EV35),EV35*(1+PortfolioFrontier[[#This Row],[P38 Return]]),1+PortfolioFrontier[[#This Row],[P38 Return]])</f>
        <v>1.1635397941933654</v>
      </c>
      <c r="EW36" s="27">
        <f>MAX(EW35,PortfolioFrontier[[#This Row],[P38 Growth]])</f>
        <v>1.1635397941933654</v>
      </c>
      <c r="EX36" s="27">
        <f>PortfolioFrontier[[#This Row],[P38 Growth]]/PortfolioFrontier[[#This Row],[P38 HWM]]-1</f>
        <v>0</v>
      </c>
      <c r="EY36" s="28">
        <f>SUMPRODUCT(INDEX(PortfolioRef[[SPY]:[PE]],MATCH(EY$1,PortfolioRef[Reference '#]),0),AssetMonthlyReturns[[#This Row],[SPY]:[PE]])</f>
        <v>5.8750469472135192E-2</v>
      </c>
      <c r="EZ36" s="27">
        <f>IF(ISNUMBER(EZ35),EZ35*(1+PortfolioFrontier[[#This Row],[P39 Return]]),1+PortfolioFrontier[[#This Row],[P39 Return]])</f>
        <v>1.1711369901655146</v>
      </c>
      <c r="FA36" s="27">
        <f>MAX(FA35,PortfolioFrontier[[#This Row],[P39 Growth]])</f>
        <v>1.1711369901655146</v>
      </c>
      <c r="FB36" s="27">
        <f>PortfolioFrontier[[#This Row],[P39 Growth]]/PortfolioFrontier[[#This Row],[P39 HWM]]-1</f>
        <v>0</v>
      </c>
      <c r="FC36" s="28">
        <f>SUMPRODUCT(INDEX(PortfolioRef[[SPY]:[PE]],MATCH(FC$1,PortfolioRef[Reference '#]),0),AssetMonthlyReturns[[#This Row],[SPY]:[PE]])</f>
        <v>5.2663737645433945E-2</v>
      </c>
      <c r="FD36" s="27">
        <f>IF(ISNUMBER(FD35),FD35*(1+PortfolioFrontier[[#This Row],[P40 Return]]),1+PortfolioFrontier[[#This Row],[P40 Return]])</f>
        <v>1.164189538295864</v>
      </c>
      <c r="FE36" s="27">
        <f>MAX(FE35,PortfolioFrontier[[#This Row],[P40 Growth]])</f>
        <v>1.164189538295864</v>
      </c>
      <c r="FF36" s="27">
        <f>PortfolioFrontier[[#This Row],[P40 Growth]]/PortfolioFrontier[[#This Row],[P40 HWM]]-1</f>
        <v>0</v>
      </c>
      <c r="FG36" s="28">
        <f>SUMPRODUCT(INDEX(PortfolioRef[[SPY]:[PE]],MATCH(FG$1,PortfolioRef[Reference '#]),0),AssetMonthlyReturns[[#This Row],[SPY]:[PE]])</f>
        <v>6.3902765934400599E-2</v>
      </c>
      <c r="FH36" s="27">
        <f>IF(ISNUMBER(FH35),FH35*(1+PortfolioFrontier[[#This Row],[P41 Return]]),1+PortfolioFrontier[[#This Row],[P41 Return]])</f>
        <v>1.1785535233441244</v>
      </c>
      <c r="FI36" s="27">
        <f>MAX(FI35,PortfolioFrontier[[#This Row],[P41 Growth]])</f>
        <v>1.1785535233441244</v>
      </c>
      <c r="FJ36" s="27">
        <f>PortfolioFrontier[[#This Row],[P41 Growth]]/PortfolioFrontier[[#This Row],[P41 HWM]]-1</f>
        <v>0</v>
      </c>
      <c r="FK36" s="28">
        <f>SUMPRODUCT(INDEX(PortfolioRef[[SPY]:[PE]],MATCH(FK$1,PortfolioRef[Reference '#]),0),AssetMonthlyReturns[[#This Row],[SPY]:[PE]])</f>
        <v>5.7816034107699338E-2</v>
      </c>
      <c r="FL36" s="27">
        <f>IF(ISNUMBER(FL35),FL35*(1+PortfolioFrontier[[#This Row],[P42 Return]]),1+PortfolioFrontier[[#This Row],[P42 Return]])</f>
        <v>1.1716735114637669</v>
      </c>
      <c r="FM36" s="27">
        <f>MAX(FM35,PortfolioFrontier[[#This Row],[P42 Growth]])</f>
        <v>1.1716735114637669</v>
      </c>
      <c r="FN36" s="27">
        <f>PortfolioFrontier[[#This Row],[P42 Growth]]/PortfolioFrontier[[#This Row],[P42 HWM]]-1</f>
        <v>0</v>
      </c>
      <c r="FO36" s="28">
        <f>SUMPRODUCT(INDEX(PortfolioRef[[SPY]:[PE]],MATCH(FO$1,PortfolioRef[Reference '#]),0),AssetMonthlyReturns[[#This Row],[SPY]:[PE]])</f>
        <v>5.1729302280998091E-2</v>
      </c>
      <c r="FP36" s="27">
        <f>IF(ISNUMBER(FP35),FP35*(1+PortfolioFrontier[[#This Row],[P43 Return]]),1+PortfolioFrontier[[#This Row],[P43 Return]])</f>
        <v>1.164665063131564</v>
      </c>
      <c r="FQ36" s="27">
        <f>MAX(FQ35,PortfolioFrontier[[#This Row],[P43 Growth]])</f>
        <v>1.1648815453438119</v>
      </c>
      <c r="FR36" s="27">
        <f>PortfolioFrontier[[#This Row],[P43 Growth]]/PortfolioFrontier[[#This Row],[P43 HWM]]-1</f>
        <v>-1.8584053727455085E-4</v>
      </c>
      <c r="FS36" s="28">
        <f>SUMPRODUCT(INDEX(PortfolioRef[[SPY]:[PE]],MATCH(FS$1,PortfolioRef[Reference '#]),0),AssetMonthlyReturns[[#This Row],[SPY]:[PE]])</f>
        <v>5.9516660977342678E-2</v>
      </c>
      <c r="FT36" s="27">
        <f>IF(ISNUMBER(FT35),FT35*(1+PortfolioFrontier[[#This Row],[P44 Return]]),1+PortfolioFrontier[[#This Row],[P44 Return]])</f>
        <v>1.169993698597489</v>
      </c>
      <c r="FU36" s="27">
        <f>MAX(FU35,PortfolioFrontier[[#This Row],[P44 Growth]])</f>
        <v>1.169993698597489</v>
      </c>
      <c r="FV36" s="27">
        <f>PortfolioFrontier[[#This Row],[P44 Growth]]/PortfolioFrontier[[#This Row],[P44 HWM]]-1</f>
        <v>0</v>
      </c>
      <c r="FW36" s="28">
        <f>SUMPRODUCT(INDEX(PortfolioRef[[SPY]:[PE]],MATCH(FW$1,PortfolioRef[Reference '#]),0),AssetMonthlyReturns[[#This Row],[SPY]:[PE]])</f>
        <v>5.3429929150641431E-2</v>
      </c>
      <c r="FX36" s="27">
        <f>IF(ISNUMBER(FX35),FX35*(1+PortfolioFrontier[[#This Row],[P45 Return]]),1+PortfolioFrontier[[#This Row],[P45 Return]])</f>
        <v>1.1630775874388752</v>
      </c>
      <c r="FY36" s="27">
        <f>MAX(FY35,PortfolioFrontier[[#This Row],[P45 Growth]])</f>
        <v>1.1630775874388752</v>
      </c>
      <c r="FZ36" s="27">
        <f>PortfolioFrontier[[#This Row],[P45 Growth]]/PortfolioFrontier[[#This Row],[P45 HWM]]-1</f>
        <v>0</v>
      </c>
      <c r="GA36" s="28">
        <f>SUMPRODUCT(INDEX(PortfolioRef[[SPY]:[PE]],MATCH(GA$1,PortfolioRef[Reference '#]),0),AssetMonthlyReturns[[#This Row],[SPY]:[PE]])</f>
        <v>6.4668957439608085E-2</v>
      </c>
      <c r="GB36" s="27">
        <f>IF(ISNUMBER(GB35),GB35*(1+PortfolioFrontier[[#This Row],[P46 Return]]),1+PortfolioFrontier[[#This Row],[P46 Return]])</f>
        <v>1.1774836814878054</v>
      </c>
      <c r="GC36" s="27">
        <f>MAX(GC35,PortfolioFrontier[[#This Row],[P46 Growth]])</f>
        <v>1.1774836814878054</v>
      </c>
      <c r="GD36" s="27">
        <f>PortfolioFrontier[[#This Row],[P46 Growth]]/PortfolioFrontier[[#This Row],[P46 HWM]]-1</f>
        <v>0</v>
      </c>
      <c r="GE36" s="28">
        <f>SUMPRODUCT(INDEX(PortfolioRef[[SPY]:[PE]],MATCH(GE$1,PortfolioRef[Reference '#]),0),AssetMonthlyReturns[[#This Row],[SPY]:[PE]])</f>
        <v>5.8582225612906838E-2</v>
      </c>
      <c r="GF36" s="27">
        <f>IF(ISNUMBER(GF35),GF35*(1+PortfolioFrontier[[#This Row],[P47 Return]]),1+PortfolioFrontier[[#This Row],[P47 Return]])</f>
        <v>1.1706345912359284</v>
      </c>
      <c r="GG36" s="27">
        <f>MAX(GG35,PortfolioFrontier[[#This Row],[P47 Growth]])</f>
        <v>1.1706345912359284</v>
      </c>
      <c r="GH36" s="27">
        <f>PortfolioFrontier[[#This Row],[P47 Growth]]/PortfolioFrontier[[#This Row],[P47 HWM]]-1</f>
        <v>0</v>
      </c>
      <c r="GI36" s="28">
        <f>SUMPRODUCT(INDEX(PortfolioRef[[SPY]:[PE]],MATCH(GI$1,PortfolioRef[Reference '#]),0),AssetMonthlyReturns[[#This Row],[SPY]:[PE]])</f>
        <v>5.2495493786205584E-2</v>
      </c>
      <c r="GJ36" s="27">
        <f>IF(ISNUMBER(GJ35),GJ35*(1+PortfolioFrontier[[#This Row],[P48 Return]]),1+PortfolioFrontier[[#This Row],[P48 Return]])</f>
        <v>1.1636569694315526</v>
      </c>
      <c r="GK36" s="27">
        <f>MAX(GK35,PortfolioFrontier[[#This Row],[P48 Growth]])</f>
        <v>1.1636569694315526</v>
      </c>
      <c r="GL36" s="27">
        <f>PortfolioFrontier[[#This Row],[P48 Growth]]/PortfolioFrontier[[#This Row],[P48 HWM]]-1</f>
        <v>0</v>
      </c>
      <c r="GM36" s="28">
        <f>SUMPRODUCT(INDEX(PortfolioRef[[SPY]:[PE]],MATCH(GM$1,PortfolioRef[Reference '#]),0),AssetMonthlyReturns[[#This Row],[SPY]:[PE]])</f>
        <v>6.9821253901873492E-2</v>
      </c>
      <c r="GN36" s="27">
        <f>IF(ISNUMBER(GN35),GN35*(1+PortfolioFrontier[[#This Row],[P49 Return]]),1+PortfolioFrontier[[#This Row],[P49 Return]])</f>
        <v>1.1847898033916378</v>
      </c>
      <c r="GO36" s="27">
        <f>MAX(GO35,PortfolioFrontier[[#This Row],[P49 Growth]])</f>
        <v>1.1847898033916378</v>
      </c>
      <c r="GP36" s="27">
        <f>PortfolioFrontier[[#This Row],[P49 Growth]]/PortfolioFrontier[[#This Row],[P49 HWM]]-1</f>
        <v>0</v>
      </c>
      <c r="GQ36" s="28">
        <f>SUMPRODUCT(INDEX(PortfolioRef[[SPY]:[PE]],MATCH(GQ$1,PortfolioRef[Reference '#]),0),AssetMonthlyReturns[[#This Row],[SPY]:[PE]])</f>
        <v>6.3734522075172231E-2</v>
      </c>
      <c r="GR36" s="27">
        <f>IF(ISNUMBER(GR35),GR35*(1+PortfolioFrontier[[#This Row],[P50 Return]]),1+PortfolioFrontier[[#This Row],[P50 Return]])</f>
        <v>1.1780103369540778</v>
      </c>
      <c r="GS36" s="27">
        <f>MAX(GS35,PortfolioFrontier[[#This Row],[P50 Growth]])</f>
        <v>1.1780103369540778</v>
      </c>
      <c r="GT36" s="27">
        <f>PortfolioFrontier[[#This Row],[P50 Growth]]/PortfolioFrontier[[#This Row],[P50 HWM]]-1</f>
        <v>0</v>
      </c>
      <c r="GU36" s="28">
        <f>SUMPRODUCT(INDEX(PortfolioRef[[SPY]:[PE]],MATCH(GU$1,PortfolioRef[Reference '#]),0),AssetMonthlyReturns[[#This Row],[SPY]:[PE]])</f>
        <v>5.7647790248470984E-2</v>
      </c>
      <c r="GV36" s="27">
        <f>IF(ISNUMBER(GV35),GV35*(1+PortfolioFrontier[[#This Row],[P51 Return]]),1+PortfolioFrontier[[#This Row],[P51 Return]])</f>
        <v>1.1711002396161265</v>
      </c>
      <c r="GW36" s="27">
        <f>MAX(GW35,PortfolioFrontier[[#This Row],[P51 Growth]])</f>
        <v>1.1716464975807377</v>
      </c>
      <c r="GX36" s="27">
        <f>PortfolioFrontier[[#This Row],[P51 Growth]]/PortfolioFrontier[[#This Row],[P51 HWM]]-1</f>
        <v>-4.6623103960030665E-4</v>
      </c>
      <c r="GY36" s="28">
        <f>SUMPRODUCT(INDEX(PortfolioRef[[SPY]:[PE]],MATCH(GY$1,PortfolioRef[Reference '#]),0),AssetMonthlyReturns[[#This Row],[SPY]:[PE]])</f>
        <v>6.5435148944815585E-2</v>
      </c>
      <c r="GZ36" s="27">
        <f>IF(ISNUMBER(GZ35),GZ35*(1+PortfolioFrontier[[#This Row],[P52 Return]]),1+PortfolioFrontier[[#This Row],[P52 Return]])</f>
        <v>1.1763367433484155</v>
      </c>
      <c r="HA36" s="27">
        <f>MAX(HA35,PortfolioFrontier[[#This Row],[P52 Growth]])</f>
        <v>1.1763367433484155</v>
      </c>
      <c r="HB36" s="27">
        <f>PortfolioFrontier[[#This Row],[P52 Growth]]/PortfolioFrontier[[#This Row],[P52 HWM]]-1</f>
        <v>0</v>
      </c>
      <c r="HC36" s="28">
        <f>SUMPRODUCT(INDEX(PortfolioRef[[SPY]:[PE]],MATCH(HC$1,PortfolioRef[Reference '#]),0),AssetMonthlyReturns[[#This Row],[SPY]:[PE]])</f>
        <v>5.9348417118114324E-2</v>
      </c>
      <c r="HD36" s="27">
        <f>IF(ISNUMBER(HD35),HD35*(1+PortfolioFrontier[[#This Row],[P53 Return]]),1+PortfolioFrontier[[#This Row],[P53 Return]])</f>
        <v>1.1695189012232377</v>
      </c>
      <c r="HE36" s="27">
        <f>MAX(HE35,PortfolioFrontier[[#This Row],[P53 Growth]])</f>
        <v>1.1695189012232377</v>
      </c>
      <c r="HF36" s="27">
        <f>PortfolioFrontier[[#This Row],[P53 Growth]]/PortfolioFrontier[[#This Row],[P53 HWM]]-1</f>
        <v>0</v>
      </c>
      <c r="HG36" s="28">
        <f>SUMPRODUCT(INDEX(PortfolioRef[[SPY]:[PE]],MATCH(HG$1,PortfolioRef[Reference '#]),0),AssetMonthlyReturns[[#This Row],[SPY]:[PE]])</f>
        <v>5.3261685291413077E-2</v>
      </c>
      <c r="HH36" s="27">
        <f>IF(ISNUMBER(HH35),HH35*(1+PortfolioFrontier[[#This Row],[P54 Return]]),1+PortfolioFrontier[[#This Row],[P54 Return]])</f>
        <v>1.1625724414023813</v>
      </c>
      <c r="HI36" s="27">
        <f>MAX(HI35,PortfolioFrontier[[#This Row],[P54 Growth]])</f>
        <v>1.1625724414023813</v>
      </c>
      <c r="HJ36" s="27">
        <f>PortfolioFrontier[[#This Row],[P54 Growth]]/PortfolioFrontier[[#This Row],[P54 HWM]]-1</f>
        <v>0</v>
      </c>
      <c r="HK36" s="28">
        <f>SUMPRODUCT(INDEX(PortfolioRef[[SPY]:[PE]],MATCH(HK$1,PortfolioRef[Reference '#]),0),AssetMonthlyReturns[[#This Row],[SPY]:[PE]])</f>
        <v>7.0587445407080979E-2</v>
      </c>
      <c r="HL36" s="27">
        <f>IF(ISNUMBER(HL35),HL35*(1+PortfolioFrontier[[#This Row],[P55 Return]]),1+PortfolioFrontier[[#This Row],[P55 Return]])</f>
        <v>1.1837169521407329</v>
      </c>
      <c r="HM36" s="27">
        <f>MAX(HM35,PortfolioFrontier[[#This Row],[P55 Growth]])</f>
        <v>1.1837169521407329</v>
      </c>
      <c r="HN36" s="27">
        <f>PortfolioFrontier[[#This Row],[P55 Growth]]/PortfolioFrontier[[#This Row],[P55 HWM]]-1</f>
        <v>0</v>
      </c>
      <c r="HO36" s="28">
        <f>SUMPRODUCT(INDEX(PortfolioRef[[SPY]:[PE]],MATCH(HO$1,PortfolioRef[Reference '#]),0),AssetMonthlyReturns[[#This Row],[SPY]:[PE]])</f>
        <v>6.4500713580379732E-2</v>
      </c>
      <c r="HP36" s="27">
        <f>IF(ISNUMBER(HP35),HP35*(1+PortfolioFrontier[[#This Row],[P56 Return]]),1+PortfolioFrontier[[#This Row],[P56 Return]])</f>
        <v>1.1769683147307601</v>
      </c>
      <c r="HQ36" s="27">
        <f>MAX(HQ35,PortfolioFrontier[[#This Row],[P56 Growth]])</f>
        <v>1.1769683147307601</v>
      </c>
      <c r="HR36" s="27">
        <f>PortfolioFrontier[[#This Row],[P56 Growth]]/PortfolioFrontier[[#This Row],[P56 HWM]]-1</f>
        <v>0</v>
      </c>
      <c r="HS36" s="28">
        <f>SUMPRODUCT(INDEX(PortfolioRef[[SPY]:[PE]],MATCH(HS$1,PortfolioRef[Reference '#]),0),AssetMonthlyReturns[[#This Row],[SPY]:[PE]])</f>
        <v>5.8413981753678484E-2</v>
      </c>
      <c r="HT36" s="27">
        <f>IF(ISNUMBER(HT35),HT35*(1+PortfolioFrontier[[#This Row],[P57 Return]]),1+PortfolioFrontier[[#This Row],[P57 Return]])</f>
        <v>1.1700889579981122</v>
      </c>
      <c r="HU36" s="27">
        <f>MAX(HU35,PortfolioFrontier[[#This Row],[P57 Growth]])</f>
        <v>1.1700889579981122</v>
      </c>
      <c r="HV36" s="27">
        <f>PortfolioFrontier[[#This Row],[P57 Growth]]/PortfolioFrontier[[#This Row],[P57 HWM]]-1</f>
        <v>0</v>
      </c>
      <c r="HW36" s="28">
        <f>SUMPRODUCT(INDEX(PortfolioRef[[SPY]:[PE]],MATCH(HW$1,PortfolioRef[Reference '#]),0),AssetMonthlyReturns[[#This Row],[SPY]:[PE]])</f>
        <v>7.5739741869346386E-2</v>
      </c>
      <c r="HX36" s="27">
        <f>IF(ISNUMBER(HX35),HX35*(1+PortfolioFrontier[[#This Row],[P58 Return]]),1+PortfolioFrontier[[#This Row],[P58 Return]])</f>
        <v>1.1909101112995988</v>
      </c>
      <c r="HY36" s="27">
        <f>MAX(HY35,PortfolioFrontier[[#This Row],[P58 Growth]])</f>
        <v>1.1909101112995988</v>
      </c>
      <c r="HZ36" s="27">
        <f>PortfolioFrontier[[#This Row],[P58 Growth]]/PortfolioFrontier[[#This Row],[P58 HWM]]-1</f>
        <v>0</v>
      </c>
      <c r="IA36" s="28">
        <f>SUMPRODUCT(INDEX(PortfolioRef[[SPY]:[PE]],MATCH(IA$1,PortfolioRef[Reference '#]),0),AssetMonthlyReturns[[#This Row],[SPY]:[PE]])</f>
        <v>6.9653010042645125E-2</v>
      </c>
      <c r="IB36" s="27">
        <f>IF(ISNUMBER(IB35),IB35*(1+PortfolioFrontier[[#This Row],[P59 Return]]),1+PortfolioFrontier[[#This Row],[P59 Return]])</f>
        <v>1.1842332746407596</v>
      </c>
      <c r="IC36" s="27">
        <f>MAX(IC35,PortfolioFrontier[[#This Row],[P59 Growth]])</f>
        <v>1.1842840725904875</v>
      </c>
      <c r="ID36" s="27">
        <f>PortfolioFrontier[[#This Row],[P59 Growth]]/PortfolioFrontier[[#This Row],[P59 HWM]]-1</f>
        <v>-4.2893382511510758E-5</v>
      </c>
      <c r="IE36" s="28">
        <f>SUMPRODUCT(INDEX(PortfolioRef[[SPY]:[PE]],MATCH(IE$1,PortfolioRef[Reference '#]),0),AssetMonthlyReturns[[#This Row],[SPY]:[PE]])</f>
        <v>6.3566278215943878E-2</v>
      </c>
      <c r="IF36" s="27">
        <f>IF(ISNUMBER(IF35),IF35*(1+PortfolioFrontier[[#This Row],[P60 Return]]),1+PortfolioFrontier[[#This Row],[P60 Return]])</f>
        <v>1.177423628113216</v>
      </c>
      <c r="IG36" s="27">
        <f>MAX(IG35,PortfolioFrontier[[#This Row],[P60 Growth]])</f>
        <v>1.1783880712895027</v>
      </c>
      <c r="IH36" s="27">
        <f>PortfolioFrontier[[#This Row],[P60 Growth]]/PortfolioFrontier[[#This Row],[P60 HWM]]-1</f>
        <v>-8.1844275225173568E-4</v>
      </c>
      <c r="II36" s="28">
        <f>SUMPRODUCT(INDEX(PortfolioRef[[SPY]:[PE]],MATCH(II$1,PortfolioRef[Reference '#]),0),AssetMonthlyReturns[[#This Row],[SPY]:[PE]])</f>
        <v>4.8424251500132319E-2</v>
      </c>
      <c r="IJ36" s="27">
        <f>IF(ISNUMBER(IJ35),IJ35*(1+PortfolioFrontier[[#This Row],[P61 Return]]),1+PortfolioFrontier[[#This Row],[P61 Return]])</f>
        <v>1.1491577749930091</v>
      </c>
      <c r="IK36" s="27">
        <f>MAX(IK35,PortfolioFrontier[[#This Row],[P61 Growth]])</f>
        <v>1.1491577749930091</v>
      </c>
      <c r="IL36" s="27">
        <f>PortfolioFrontier[[#This Row],[P61 Growth]]/PortfolioFrontier[[#This Row],[P61 HWM]]-1</f>
        <v>0</v>
      </c>
      <c r="IM36" s="28">
        <f>SUMPRODUCT(INDEX(PortfolioRef[[SPY]:[PE]],MATCH(IM$1,PortfolioRef[Reference '#]),0),AssetMonthlyReturns[[#This Row],[SPY]:[PE]])</f>
        <v>4.9190443005339819E-2</v>
      </c>
      <c r="IN36" s="27">
        <f>IF(ISNUMBER(IN35),IN35*(1+PortfolioFrontier[[#This Row],[P62 Return]]),1+PortfolioFrontier[[#This Row],[P62 Return]])</f>
        <v>1.1480876588722775</v>
      </c>
      <c r="IO36" s="27">
        <f>MAX(IO35,PortfolioFrontier[[#This Row],[P62 Growth]])</f>
        <v>1.1480876588722775</v>
      </c>
      <c r="IP36" s="27">
        <f>PortfolioFrontier[[#This Row],[P62 Growth]]/PortfolioFrontier[[#This Row],[P62 HWM]]-1</f>
        <v>0</v>
      </c>
      <c r="IQ36" s="28">
        <f>SUMPRODUCT(INDEX(PortfolioRef[[SPY]:[PE]],MATCH(IQ$1,PortfolioRef[Reference '#]),0),AssetMonthlyReturns[[#This Row],[SPY]:[PE]])</f>
        <v>5.4342739467605219E-2</v>
      </c>
      <c r="IR36" s="27">
        <f>IF(ISNUMBER(IR35),IR35*(1+PortfolioFrontier[[#This Row],[P63 Return]]),1+PortfolioFrontier[[#This Row],[P63 Return]])</f>
        <v>1.1556093297977132</v>
      </c>
      <c r="IS36" s="27">
        <f>MAX(IS35,PortfolioFrontier[[#This Row],[P63 Growth]])</f>
        <v>1.1556093297977132</v>
      </c>
      <c r="IT36" s="27">
        <f>PortfolioFrontier[[#This Row],[P63 Growth]]/PortfolioFrontier[[#This Row],[P63 HWM]]-1</f>
        <v>0</v>
      </c>
      <c r="IU36" s="28">
        <f>SUMPRODUCT(INDEX(PortfolioRef[[SPY]:[PE]],MATCH(IU$1,PortfolioRef[Reference '#]),0),AssetMonthlyReturns[[#This Row],[SPY]:[PE]])</f>
        <v>4.8256007640903965E-2</v>
      </c>
      <c r="IV36" s="27">
        <f>IF(ISNUMBER(IV35),IV35*(1+PortfolioFrontier[[#This Row],[P64 Return]]),1+PortfolioFrontier[[#This Row],[P64 Return]])</f>
        <v>1.1486750081592603</v>
      </c>
      <c r="IW36" s="27">
        <f>MAX(IW35,PortfolioFrontier[[#This Row],[P64 Growth]])</f>
        <v>1.1486750081592603</v>
      </c>
      <c r="IX36" s="27">
        <f>PortfolioFrontier[[#This Row],[P64 Growth]]/PortfolioFrontier[[#This Row],[P64 HWM]]-1</f>
        <v>0</v>
      </c>
      <c r="IY36" s="28">
        <f>SUMPRODUCT(INDEX(PortfolioRef[[SPY]:[PE]],MATCH(IY$1,PortfolioRef[Reference '#]),0),AssetMonthlyReturns[[#This Row],[SPY]:[PE]])</f>
        <v>4.9956634510547306E-2</v>
      </c>
      <c r="IZ36" s="27">
        <f>IF(ISNUMBER(IZ35),IZ35*(1+PortfolioFrontier[[#This Row],[P65 Return]]),1+PortfolioFrontier[[#This Row],[P65 Return]])</f>
        <v>1.1469421912305753</v>
      </c>
      <c r="JA36" s="27">
        <f>MAX(JA35,PortfolioFrontier[[#This Row],[P65 Growth]])</f>
        <v>1.1469421912305753</v>
      </c>
      <c r="JB36" s="27">
        <f>PortfolioFrontier[[#This Row],[P65 Growth]]/PortfolioFrontier[[#This Row],[P65 HWM]]-1</f>
        <v>0</v>
      </c>
      <c r="JC36" s="28">
        <f>SUMPRODUCT(INDEX(PortfolioRef[[SPY]:[PE]],MATCH(JC$1,PortfolioRef[Reference '#]),0),AssetMonthlyReturns[[#This Row],[SPY]:[PE]])</f>
        <v>5.5108930972812706E-2</v>
      </c>
      <c r="JD36" s="27">
        <f>IF(ISNUMBER(JD35),JD35*(1+PortfolioFrontier[[#This Row],[P66 Return]]),1+PortfolioFrontier[[#This Row],[P66 Return]])</f>
        <v>1.1545353681469637</v>
      </c>
      <c r="JE36" s="27">
        <f>MAX(JE35,PortfolioFrontier[[#This Row],[P66 Growth]])</f>
        <v>1.1545353681469637</v>
      </c>
      <c r="JF36" s="27">
        <f>PortfolioFrontier[[#This Row],[P66 Growth]]/PortfolioFrontier[[#This Row],[P66 HWM]]-1</f>
        <v>0</v>
      </c>
      <c r="JG36" s="28">
        <f>SUMPRODUCT(INDEX(PortfolioRef[[SPY]:[PE]],MATCH(JG$1,PortfolioRef[Reference '#]),0),AssetMonthlyReturns[[#This Row],[SPY]:[PE]])</f>
        <v>4.9022199146111459E-2</v>
      </c>
      <c r="JH36" s="27">
        <f>IF(ISNUMBER(JH35),JH35*(1+PortfolioFrontier[[#This Row],[P67 Return]]),1+PortfolioFrontier[[#This Row],[P67 Return]])</f>
        <v>1.1476318943999575</v>
      </c>
      <c r="JI36" s="27">
        <f>MAX(JI35,PortfolioFrontier[[#This Row],[P67 Growth]])</f>
        <v>1.1476318943999575</v>
      </c>
      <c r="JJ36" s="27">
        <f>PortfolioFrontier[[#This Row],[P67 Growth]]/PortfolioFrontier[[#This Row],[P67 HWM]]-1</f>
        <v>0</v>
      </c>
      <c r="JK36" s="28">
        <f>SUMPRODUCT(INDEX(PortfolioRef[[SPY]:[PE]],MATCH(JK$1,PortfolioRef[Reference '#]),0),AssetMonthlyReturns[[#This Row],[SPY]:[PE]])</f>
        <v>6.0261227435078113E-2</v>
      </c>
      <c r="JL36" s="27">
        <f>IF(ISNUMBER(JL35),JL35*(1+PortfolioFrontier[[#This Row],[P68 Return]]),1+PortfolioFrontier[[#This Row],[P68 Return]])</f>
        <v>1.1619520984767131</v>
      </c>
      <c r="JM36" s="27">
        <f>MAX(JM35,PortfolioFrontier[[#This Row],[P68 Growth]])</f>
        <v>1.1619520984767131</v>
      </c>
      <c r="JN36" s="27">
        <f>PortfolioFrontier[[#This Row],[P68 Growth]]/PortfolioFrontier[[#This Row],[P68 HWM]]-1</f>
        <v>0</v>
      </c>
      <c r="JO36" s="28">
        <f>SUMPRODUCT(INDEX(PortfolioRef[[SPY]:[PE]],MATCH(JO$1,PortfolioRef[Reference '#]),0),AssetMonthlyReturns[[#This Row],[SPY]:[PE]])</f>
        <v>5.4174495608376866E-2</v>
      </c>
      <c r="JP36" s="27">
        <f>IF(ISNUMBER(JP35),JP35*(1+PortfolioFrontier[[#This Row],[P69 Return]]),1+PortfolioFrontier[[#This Row],[P69 Return]])</f>
        <v>1.1551140037459229</v>
      </c>
      <c r="JQ36" s="27">
        <f>MAX(JQ35,PortfolioFrontier[[#This Row],[P69 Growth]])</f>
        <v>1.1551140037459229</v>
      </c>
      <c r="JR36" s="27">
        <f>PortfolioFrontier[[#This Row],[P69 Growth]]/PortfolioFrontier[[#This Row],[P69 HWM]]-1</f>
        <v>0</v>
      </c>
      <c r="JS36" s="28">
        <f>SUMPRODUCT(INDEX(PortfolioRef[[SPY]:[PE]],MATCH(JS$1,PortfolioRef[Reference '#]),0),AssetMonthlyReturns[[#This Row],[SPY]:[PE]])</f>
        <v>4.8087763781675612E-2</v>
      </c>
      <c r="JT36" s="27">
        <f>IF(ISNUMBER(JT35),JT35*(1+PortfolioFrontier[[#This Row],[P70 Return]]),1+PortfolioFrontier[[#This Row],[P70 Return]])</f>
        <v>1.1481498572826143</v>
      </c>
      <c r="JU36" s="27">
        <f>MAX(JU35,PortfolioFrontier[[#This Row],[P70 Growth]])</f>
        <v>1.1481498572826143</v>
      </c>
      <c r="JV36" s="27">
        <f>PortfolioFrontier[[#This Row],[P70 Growth]]/PortfolioFrontier[[#This Row],[P70 HWM]]-1</f>
        <v>0</v>
      </c>
      <c r="JW36" s="28">
        <f>SUMPRODUCT(INDEX(PortfolioRef[[SPY]:[PE]],MATCH(JW$1,PortfolioRef[Reference '#]),0),AssetMonthlyReturns[[#This Row],[SPY]:[PE]])</f>
        <v>5.5875122478020206E-2</v>
      </c>
      <c r="JX36" s="27">
        <f>IF(ISNUMBER(JX35),JX35*(1+PortfolioFrontier[[#This Row],[P71 Return]]),1+PortfolioFrontier[[#This Row],[P71 Return]])</f>
        <v>1.1533857020300342</v>
      </c>
      <c r="JY36" s="27">
        <f>MAX(JY35,PortfolioFrontier[[#This Row],[P71 Growth]])</f>
        <v>1.1533857020300342</v>
      </c>
      <c r="JZ36" s="27">
        <f>PortfolioFrontier[[#This Row],[P71 Growth]]/PortfolioFrontier[[#This Row],[P71 HWM]]-1</f>
        <v>0</v>
      </c>
      <c r="KA36" s="28">
        <f>SUMPRODUCT(INDEX(PortfolioRef[[SPY]:[PE]],MATCH(KA$1,PortfolioRef[Reference '#]),0),AssetMonthlyReturns[[#This Row],[SPY]:[PE]])</f>
        <v>4.9788390651318952E-2</v>
      </c>
      <c r="KB36" s="27">
        <f>IF(ISNUMBER(KB35),KB35*(1+PortfolioFrontier[[#This Row],[P72 Return]]),1+PortfolioFrontier[[#This Row],[P72 Return]])</f>
        <v>1.1465134064242888</v>
      </c>
      <c r="KC36" s="27">
        <f>MAX(KC35,PortfolioFrontier[[#This Row],[P72 Growth]])</f>
        <v>1.1465134064242888</v>
      </c>
      <c r="KD36" s="27">
        <f>PortfolioFrontier[[#This Row],[P72 Growth]]/PortfolioFrontier[[#This Row],[P72 HWM]]-1</f>
        <v>0</v>
      </c>
      <c r="KE36" s="28">
        <f>SUMPRODUCT(INDEX(PortfolioRef[[SPY]:[PE]],MATCH(KE$1,PortfolioRef[Reference '#]),0),AssetMonthlyReturns[[#This Row],[SPY]:[PE]])</f>
        <v>6.1027418940285613E-2</v>
      </c>
      <c r="KF36" s="27">
        <f>IF(ISNUMBER(KF35),KF35*(1+PortfolioFrontier[[#This Row],[P73 Return]]),1+PortfolioFrontier[[#This Row],[P73 Return]])</f>
        <v>1.1608745717534821</v>
      </c>
      <c r="KG36" s="27">
        <f>MAX(KG35,PortfolioFrontier[[#This Row],[P73 Growth]])</f>
        <v>1.1608745717534821</v>
      </c>
      <c r="KH36" s="27">
        <f>PortfolioFrontier[[#This Row],[P73 Growth]]/PortfolioFrontier[[#This Row],[P73 HWM]]-1</f>
        <v>0</v>
      </c>
      <c r="KI36" s="28">
        <f>SUMPRODUCT(INDEX(PortfolioRef[[SPY]:[PE]],MATCH(KI$1,PortfolioRef[Reference '#]),0),AssetMonthlyReturns[[#This Row],[SPY]:[PE]])</f>
        <v>5.4940687113584352E-2</v>
      </c>
      <c r="KJ36" s="27">
        <f>IF(ISNUMBER(KJ35),KJ35*(1+PortfolioFrontier[[#This Row],[P74 Return]]),1+PortfolioFrontier[[#This Row],[P74 Return]])</f>
        <v>1.1540672417992057</v>
      </c>
      <c r="KK36" s="27">
        <f>MAX(KK35,PortfolioFrontier[[#This Row],[P74 Growth]])</f>
        <v>1.1540672417992057</v>
      </c>
      <c r="KL36" s="27">
        <f>PortfolioFrontier[[#This Row],[P74 Growth]]/PortfolioFrontier[[#This Row],[P74 HWM]]-1</f>
        <v>0</v>
      </c>
      <c r="KM36" s="28">
        <f>SUMPRODUCT(INDEX(PortfolioRef[[SPY]:[PE]],MATCH(KM$1,PortfolioRef[Reference '#]),0),AssetMonthlyReturns[[#This Row],[SPY]:[PE]])</f>
        <v>4.8853955286883105E-2</v>
      </c>
      <c r="KN36" s="27">
        <f>IF(ISNUMBER(KN35),KN35*(1+PortfolioFrontier[[#This Row],[P75 Return]]),1+PortfolioFrontier[[#This Row],[P75 Return]])</f>
        <v>1.1471337645364523</v>
      </c>
      <c r="KO36" s="27">
        <f>MAX(KO35,PortfolioFrontier[[#This Row],[P75 Growth]])</f>
        <v>1.1471337645364523</v>
      </c>
      <c r="KP36" s="27">
        <f>PortfolioFrontier[[#This Row],[P75 Growth]]/PortfolioFrontier[[#This Row],[P75 HWM]]-1</f>
        <v>0</v>
      </c>
      <c r="KQ36" s="28">
        <f>SUMPRODUCT(INDEX(PortfolioRef[[SPY]:[PE]],MATCH(KQ$1,PortfolioRef[Reference '#]),0),AssetMonthlyReturns[[#This Row],[SPY]:[PE]])</f>
        <v>6.6179715402551006E-2</v>
      </c>
      <c r="KR36" s="27">
        <f>IF(ISNUMBER(KR35),KR35*(1+PortfolioFrontier[[#This Row],[P76 Return]]),1+PortfolioFrontier[[#This Row],[P76 Return]])</f>
        <v>1.1681838313698434</v>
      </c>
      <c r="KS36" s="27">
        <f>MAX(KS35,PortfolioFrontier[[#This Row],[P76 Growth]])</f>
        <v>1.1681838313698434</v>
      </c>
      <c r="KT36" s="27">
        <f>PortfolioFrontier[[#This Row],[P76 Growth]]/PortfolioFrontier[[#This Row],[P76 HWM]]-1</f>
        <v>0</v>
      </c>
      <c r="KU36" s="28">
        <f>SUMPRODUCT(INDEX(PortfolioRef[[SPY]:[PE]],MATCH(KU$1,PortfolioRef[Reference '#]),0),AssetMonthlyReturns[[#This Row],[SPY]:[PE]])</f>
        <v>6.0092983575849759E-2</v>
      </c>
      <c r="KV36" s="27">
        <f>IF(ISNUMBER(KV35),KV35*(1+PortfolioFrontier[[#This Row],[P77 Return]]),1+PortfolioFrontier[[#This Row],[P77 Return]])</f>
        <v>1.161444038801795</v>
      </c>
      <c r="KW36" s="27">
        <f>MAX(KW35,PortfolioFrontier[[#This Row],[P77 Growth]])</f>
        <v>1.161444038801795</v>
      </c>
      <c r="KX36" s="27">
        <f>PortfolioFrontier[[#This Row],[P77 Growth]]/PortfolioFrontier[[#This Row],[P77 HWM]]-1</f>
        <v>0</v>
      </c>
      <c r="KY36" s="28">
        <f>SUMPRODUCT(INDEX(PortfolioRef[[SPY]:[PE]],MATCH(KY$1,PortfolioRef[Reference '#]),0),AssetMonthlyReturns[[#This Row],[SPY]:[PE]])</f>
        <v>5.4006251749148498E-2</v>
      </c>
      <c r="KZ36" s="27">
        <f>IF(ISNUMBER(KZ35),KZ35*(1+PortfolioFrontier[[#This Row],[P78 Return]]),1+PortfolioFrontier[[#This Row],[P78 Return]])</f>
        <v>1.1545760210751608</v>
      </c>
      <c r="LA36" s="27">
        <f>MAX(LA35,PortfolioFrontier[[#This Row],[P78 Growth]])</f>
        <v>1.1545760210751608</v>
      </c>
      <c r="LB36" s="27">
        <f>PortfolioFrontier[[#This Row],[P78 Growth]]/PortfolioFrontier[[#This Row],[P78 HWM]]-1</f>
        <v>0</v>
      </c>
      <c r="LC36" s="28">
        <f>SUMPRODUCT(INDEX(PortfolioRef[[SPY]:[PE]],MATCH(LC$1,PortfolioRef[Reference '#]),0),AssetMonthlyReturns[[#This Row],[SPY]:[PE]])</f>
        <v>6.17936104454931E-2</v>
      </c>
      <c r="LD36" s="27">
        <f>IF(ISNUMBER(LD35),LD35*(1+PortfolioFrontier[[#This Row],[P79 Return]]),1+PortfolioFrontier[[#This Row],[P79 Return]])</f>
        <v>1.1597209938657935</v>
      </c>
      <c r="LE36" s="27">
        <f>MAX(LE35,PortfolioFrontier[[#This Row],[P79 Growth]])</f>
        <v>1.1597209938657935</v>
      </c>
      <c r="LF36" s="27">
        <f>PortfolioFrontier[[#This Row],[P79 Growth]]/PortfolioFrontier[[#This Row],[P79 HWM]]-1</f>
        <v>0</v>
      </c>
      <c r="LG36" s="28">
        <f>SUMPRODUCT(INDEX(PortfolioRef[[SPY]:[PE]],MATCH(LG$1,PortfolioRef[Reference '#]),0),AssetMonthlyReturns[[#This Row],[SPY]:[PE]])</f>
        <v>5.5706878618791839E-2</v>
      </c>
      <c r="LH36" s="27">
        <f>IF(ISNUMBER(LH35),LH35*(1+PortfolioFrontier[[#This Row],[P80 Return]]),1+PortfolioFrontier[[#This Row],[P80 Return]])</f>
        <v>1.1529447531957</v>
      </c>
      <c r="LI36" s="27">
        <f>MAX(LI35,PortfolioFrontier[[#This Row],[P80 Growth]])</f>
        <v>1.1529447531957</v>
      </c>
      <c r="LJ36" s="27">
        <f>PortfolioFrontier[[#This Row],[P80 Growth]]/PortfolioFrontier[[#This Row],[P80 HWM]]-1</f>
        <v>0</v>
      </c>
      <c r="LK36" s="28">
        <f>SUMPRODUCT(INDEX(PortfolioRef[[SPY]:[PE]],MATCH(LK$1,PortfolioRef[Reference '#]),0),AssetMonthlyReturns[[#This Row],[SPY]:[PE]])</f>
        <v>4.9620146792090591E-2</v>
      </c>
      <c r="LL36" s="27">
        <f>IF(ISNUMBER(LL35),LL35*(1+PortfolioFrontier[[#This Row],[P81 Return]]),1+PortfolioFrontier[[#This Row],[P81 Return]])</f>
        <v>1.1460422784747539</v>
      </c>
      <c r="LM36" s="27">
        <f>MAX(LM35,PortfolioFrontier[[#This Row],[P81 Growth]])</f>
        <v>1.1460422784747539</v>
      </c>
      <c r="LN36" s="27">
        <f>PortfolioFrontier[[#This Row],[P81 Growth]]/PortfolioFrontier[[#This Row],[P81 HWM]]-1</f>
        <v>0</v>
      </c>
      <c r="LO36" s="28">
        <f>SUMPRODUCT(INDEX(PortfolioRef[[SPY]:[PE]],MATCH(LO$1,PortfolioRef[Reference '#]),0),AssetMonthlyReturns[[#This Row],[SPY]:[PE]])</f>
        <v>6.6945906907758507E-2</v>
      </c>
      <c r="LP36" s="27">
        <f>IF(ISNUMBER(LP35),LP35*(1+PortfolioFrontier[[#This Row],[P82 Return]]),1+PortfolioFrontier[[#This Row],[P82 Return]])</f>
        <v>1.1671030247139074</v>
      </c>
      <c r="LQ36" s="27">
        <f>MAX(LQ35,PortfolioFrontier[[#This Row],[P82 Growth]])</f>
        <v>1.1671030247139074</v>
      </c>
      <c r="LR36" s="27">
        <f>PortfolioFrontier[[#This Row],[P82 Growth]]/PortfolioFrontier[[#This Row],[P82 HWM]]-1</f>
        <v>0</v>
      </c>
      <c r="LS36" s="28">
        <f>SUMPRODUCT(INDEX(PortfolioRef[[SPY]:[PE]],MATCH(LS$1,PortfolioRef[Reference '#]),0),AssetMonthlyReturns[[#This Row],[SPY]:[PE]])</f>
        <v>6.0859175081057246E-2</v>
      </c>
      <c r="LT36" s="27">
        <f>IF(ISNUMBER(LT35),LT35*(1+PortfolioFrontier[[#This Row],[P83 Return]]),1+PortfolioFrontier[[#This Row],[P83 Return]])</f>
        <v>1.1603939080069776</v>
      </c>
      <c r="LU36" s="27">
        <f>MAX(LU35,PortfolioFrontier[[#This Row],[P83 Growth]])</f>
        <v>1.1603939080069776</v>
      </c>
      <c r="LV36" s="27">
        <f>PortfolioFrontier[[#This Row],[P83 Growth]]/PortfolioFrontier[[#This Row],[P83 HWM]]-1</f>
        <v>0</v>
      </c>
      <c r="LW36" s="28">
        <f>SUMPRODUCT(INDEX(PortfolioRef[[SPY]:[PE]],MATCH(LW$1,PortfolioRef[Reference '#]),0),AssetMonthlyReturns[[#This Row],[SPY]:[PE]])</f>
        <v>5.4772443254355999E-2</v>
      </c>
      <c r="LX36" s="27">
        <f>IF(ISNUMBER(LX35),LX35*(1+PortfolioFrontier[[#This Row],[P84 Return]]),1+PortfolioFrontier[[#This Row],[P84 Return]])</f>
        <v>1.1535564771718667</v>
      </c>
      <c r="LY36" s="27">
        <f>MAX(LY35,PortfolioFrontier[[#This Row],[P84 Growth]])</f>
        <v>1.1535564771718667</v>
      </c>
      <c r="LZ36" s="27">
        <f>PortfolioFrontier[[#This Row],[P84 Growth]]/PortfolioFrontier[[#This Row],[P84 HWM]]-1</f>
        <v>0</v>
      </c>
      <c r="MA36" s="28">
        <f>SUMPRODUCT(INDEX(PortfolioRef[[SPY]:[PE]],MATCH(MA$1,PortfolioRef[Reference '#]),0),AssetMonthlyReturns[[#This Row],[SPY]:[PE]])</f>
        <v>7.20982033700239E-2</v>
      </c>
      <c r="MB36" s="27">
        <f>IF(ISNUMBER(MB35),MB35*(1+PortfolioFrontier[[#This Row],[P85 Return]]),1+PortfolioFrontier[[#This Row],[P85 Return]])</f>
        <v>1.1743022908414462</v>
      </c>
      <c r="MC36" s="27">
        <f>MAX(MC35,PortfolioFrontier[[#This Row],[P85 Growth]])</f>
        <v>1.1743022908414462</v>
      </c>
      <c r="MD36" s="27">
        <f>PortfolioFrontier[[#This Row],[P85 Growth]]/PortfolioFrontier[[#This Row],[P85 HWM]]-1</f>
        <v>0</v>
      </c>
      <c r="ME36" s="28">
        <f>SUMPRODUCT(INDEX(PortfolioRef[[SPY]:[PE]],MATCH(ME$1,PortfolioRef[Reference '#]),0),AssetMonthlyReturns[[#This Row],[SPY]:[PE]])</f>
        <v>6.6011471543322653E-2</v>
      </c>
      <c r="MF36" s="27">
        <f>IF(ISNUMBER(MF35),MF35*(1+PortfolioFrontier[[#This Row],[P86 Return]]),1+PortfolioFrontier[[#This Row],[P86 Return]])</f>
        <v>1.1676628634687287</v>
      </c>
      <c r="MG36" s="27">
        <f>MAX(MG35,PortfolioFrontier[[#This Row],[P86 Growth]])</f>
        <v>1.1676628634687287</v>
      </c>
      <c r="MH36" s="27">
        <f>PortfolioFrontier[[#This Row],[P86 Growth]]/PortfolioFrontier[[#This Row],[P86 HWM]]-1</f>
        <v>0</v>
      </c>
      <c r="MI36" s="28">
        <f>SUMPRODUCT(INDEX(PortfolioRef[[SPY]:[PE]],MATCH(MI$1,PortfolioRef[Reference '#]),0),AssetMonthlyReturns[[#This Row],[SPY]:[PE]])</f>
        <v>5.9924739716621406E-2</v>
      </c>
      <c r="MJ36" s="27">
        <f>IF(ISNUMBER(MJ35),MJ35*(1+PortfolioFrontier[[#This Row],[P87 Return]]),1+PortfolioFrontier[[#This Row],[P87 Return]])</f>
        <v>1.1608930524315568</v>
      </c>
      <c r="MK36" s="27">
        <f>MAX(MK35,PortfolioFrontier[[#This Row],[P87 Growth]])</f>
        <v>1.1608930524315568</v>
      </c>
      <c r="ML36" s="27">
        <f>PortfolioFrontier[[#This Row],[P87 Growth]]/PortfolioFrontier[[#This Row],[P87 HWM]]-1</f>
        <v>0</v>
      </c>
      <c r="MM36" s="28">
        <f>SUMPRODUCT(INDEX(PortfolioRef[[SPY]:[PE]],MATCH(MM$1,PortfolioRef[Reference '#]),0),AssetMonthlyReturns[[#This Row],[SPY]:[PE]])</f>
        <v>6.7712098412965993E-2</v>
      </c>
      <c r="MN36" s="27">
        <f>IF(ISNUMBER(MN35),MN35*(1+PortfolioFrontier[[#This Row],[P88 Return]]),1+PortfolioFrontier[[#This Row],[P88 Return]])</f>
        <v>1.1659458265368825</v>
      </c>
      <c r="MO36" s="27">
        <f>MAX(MO35,PortfolioFrontier[[#This Row],[P88 Growth]])</f>
        <v>1.1659458265368825</v>
      </c>
      <c r="MP36" s="27">
        <f>PortfolioFrontier[[#This Row],[P88 Growth]]/PortfolioFrontier[[#This Row],[P88 HWM]]-1</f>
        <v>0</v>
      </c>
      <c r="MQ36" s="28">
        <f>SUMPRODUCT(INDEX(PortfolioRef[[SPY]:[PE]],MATCH(MQ$1,PortfolioRef[Reference '#]),0),AssetMonthlyReturns[[#This Row],[SPY]:[PE]])</f>
        <v>6.1625366586264746E-2</v>
      </c>
      <c r="MR36" s="27">
        <f>IF(ISNUMBER(MR35),MR35*(1+PortfolioFrontier[[#This Row],[P89 Return]]),1+PortfolioFrontier[[#This Row],[P89 Return]])</f>
        <v>1.1592677043786386</v>
      </c>
      <c r="MS36" s="27">
        <f>MAX(MS35,PortfolioFrontier[[#This Row],[P89 Growth]])</f>
        <v>1.1592677043786386</v>
      </c>
      <c r="MT36" s="27">
        <f>PortfolioFrontier[[#This Row],[P89 Growth]]/PortfolioFrontier[[#This Row],[P89 HWM]]-1</f>
        <v>0</v>
      </c>
      <c r="MU36" s="28">
        <f>SUMPRODUCT(INDEX(PortfolioRef[[SPY]:[PE]],MATCH(MU$1,PortfolioRef[Reference '#]),0),AssetMonthlyReturns[[#This Row],[SPY]:[PE]])</f>
        <v>5.5538634759563485E-2</v>
      </c>
      <c r="MV36" s="27">
        <f>IF(ISNUMBER(MV35),MV35*(1+PortfolioFrontier[[#This Row],[P90 Return]]),1+PortfolioFrontier[[#This Row],[P90 Return]])</f>
        <v>1.1524611880406883</v>
      </c>
      <c r="MW36" s="27">
        <f>MAX(MW35,PortfolioFrontier[[#This Row],[P90 Growth]])</f>
        <v>1.1524611880406883</v>
      </c>
      <c r="MX36" s="27">
        <f>PortfolioFrontier[[#This Row],[P90 Growth]]/PortfolioFrontier[[#This Row],[P90 HWM]]-1</f>
        <v>0</v>
      </c>
      <c r="MY36" s="28">
        <f>SUMPRODUCT(INDEX(PortfolioRef[[SPY]:[PE]],MATCH(MY$1,PortfolioRef[Reference '#]),0),AssetMonthlyReturns[[#This Row],[SPY]:[PE]])</f>
        <v>7.28643948752314E-2</v>
      </c>
      <c r="MZ36" s="27">
        <f>IF(ISNUMBER(MZ35),MZ35*(1+PortfolioFrontier[[#This Row],[P91 Return]]),1+PortfolioFrontier[[#This Row],[P91 Return]])</f>
        <v>1.1732184940357648</v>
      </c>
      <c r="NA36" s="27">
        <f>MAX(NA35,PortfolioFrontier[[#This Row],[P91 Growth]])</f>
        <v>1.1732184940357648</v>
      </c>
      <c r="NB36" s="27">
        <f>PortfolioFrontier[[#This Row],[P91 Growth]]/PortfolioFrontier[[#This Row],[P91 HWM]]-1</f>
        <v>0</v>
      </c>
      <c r="NC36" s="28">
        <f>SUMPRODUCT(INDEX(PortfolioRef[[SPY]:[PE]],MATCH(NC$1,PortfolioRef[Reference '#]),0),AssetMonthlyReturns[[#This Row],[SPY]:[PE]])</f>
        <v>6.6777663048530139E-2</v>
      </c>
      <c r="ND36" s="27">
        <f>IF(ISNUMBER(ND35),ND35*(1+PortfolioFrontier[[#This Row],[P92 Return]]),1+PortfolioFrontier[[#This Row],[P92 Return]])</f>
        <v>1.1666096478093131</v>
      </c>
      <c r="NE36" s="27">
        <f>MAX(NE35,PortfolioFrontier[[#This Row],[P92 Growth]])</f>
        <v>1.1666096478093131</v>
      </c>
      <c r="NF36" s="27">
        <f>PortfolioFrontier[[#This Row],[P92 Growth]]/PortfolioFrontier[[#This Row],[P92 HWM]]-1</f>
        <v>0</v>
      </c>
      <c r="NG36" s="28">
        <f>SUMPRODUCT(INDEX(PortfolioRef[[SPY]:[PE]],MATCH(NG$1,PortfolioRef[Reference '#]),0),AssetMonthlyReturns[[#This Row],[SPY]:[PE]])</f>
        <v>6.0690931221828892E-2</v>
      </c>
      <c r="NH36" s="27">
        <f>IF(ISNUMBER(NH35),NH35*(1+PortfolioFrontier[[#This Row],[P93 Return]]),1+PortfolioFrontier[[#This Row],[P93 Return]])</f>
        <v>1.1598703355792919</v>
      </c>
      <c r="NI36" s="27">
        <f>MAX(NI35,PortfolioFrontier[[#This Row],[P93 Growth]])</f>
        <v>1.1598703355792919</v>
      </c>
      <c r="NJ36" s="27">
        <f>PortfolioFrontier[[#This Row],[P93 Growth]]/PortfolioFrontier[[#This Row],[P93 HWM]]-1</f>
        <v>0</v>
      </c>
      <c r="NK36" s="28">
        <f>SUMPRODUCT(INDEX(PortfolioRef[[SPY]:[PE]],MATCH(NK$1,PortfolioRef[Reference '#]),0),AssetMonthlyReturns[[#This Row],[SPY]:[PE]])</f>
        <v>7.8016691337496794E-2</v>
      </c>
      <c r="NL36" s="27">
        <f>IF(ISNUMBER(NL35),NL35*(1+PortfolioFrontier[[#This Row],[P94 Return]]),1+PortfolioFrontier[[#This Row],[P94 Return]])</f>
        <v>1.1803052521247133</v>
      </c>
      <c r="NM36" s="27">
        <f>MAX(NM35,PortfolioFrontier[[#This Row],[P94 Growth]])</f>
        <v>1.1803052521247133</v>
      </c>
      <c r="NN36" s="27">
        <f>PortfolioFrontier[[#This Row],[P94 Growth]]/PortfolioFrontier[[#This Row],[P94 HWM]]-1</f>
        <v>0</v>
      </c>
      <c r="NO36" s="28">
        <f>SUMPRODUCT(INDEX(PortfolioRef[[SPY]:[PE]],MATCH(NO$1,PortfolioRef[Reference '#]),0),AssetMonthlyReturns[[#This Row],[SPY]:[PE]])</f>
        <v>7.1929959510795546E-2</v>
      </c>
      <c r="NP36" s="27">
        <f>IF(ISNUMBER(NP35),NP35*(1+PortfolioFrontier[[#This Row],[P95 Return]]),1+PortfolioFrontier[[#This Row],[P95 Return]])</f>
        <v>1.1737682399432174</v>
      </c>
      <c r="NQ36" s="27">
        <f>MAX(NQ35,PortfolioFrontier[[#This Row],[P95 Growth]])</f>
        <v>1.1737682399432174</v>
      </c>
      <c r="NR36" s="27">
        <f>PortfolioFrontier[[#This Row],[P95 Growth]]/PortfolioFrontier[[#This Row],[P95 HWM]]-1</f>
        <v>0</v>
      </c>
      <c r="NS36" s="28">
        <f>SUMPRODUCT(INDEX(PortfolioRef[[SPY]:[PE]],MATCH(NS$1,PortfolioRef[Reference '#]),0),AssetMonthlyReturns[[#This Row],[SPY]:[PE]])</f>
        <v>6.5843227684094299E-2</v>
      </c>
      <c r="NT36" s="27">
        <f>IF(ISNUMBER(NT35),NT35*(1+PortfolioFrontier[[#This Row],[P96 Return]]),1+PortfolioFrontier[[#This Row],[P96 Return]])</f>
        <v>1.1670987013566312</v>
      </c>
      <c r="NU36" s="27">
        <f>MAX(NU35,PortfolioFrontier[[#This Row],[P96 Growth]])</f>
        <v>1.1670987013566312</v>
      </c>
      <c r="NV36" s="27">
        <f>PortfolioFrontier[[#This Row],[P96 Growth]]/PortfolioFrontier[[#This Row],[P96 HWM]]-1</f>
        <v>0</v>
      </c>
      <c r="NW36" s="28">
        <f>SUMPRODUCT(INDEX(PortfolioRef[[SPY]:[PE]],MATCH(NW$1,PortfolioRef[Reference '#]),0),AssetMonthlyReturns[[#This Row],[SPY]:[PE]])</f>
        <v>4.478271300080984E-2</v>
      </c>
      <c r="NX36" s="27">
        <f>IF(ISNUMBER(NX35),NX35*(1+PortfolioFrontier[[#This Row],[P97 Return]]),1+PortfolioFrontier[[#This Row],[P97 Return]])</f>
        <v>1.1326886012327588</v>
      </c>
      <c r="NY36" s="27">
        <f>MAX(NY35,PortfolioFrontier[[#This Row],[P97 Growth]])</f>
        <v>1.1326886012327588</v>
      </c>
      <c r="NZ36" s="27">
        <f>PortfolioFrontier[[#This Row],[P97 Growth]]/PortfolioFrontier[[#This Row],[P97 HWM]]-1</f>
        <v>0</v>
      </c>
      <c r="OA36" s="28">
        <f>SUMPRODUCT(INDEX(PortfolioRef[[SPY]:[PE]],MATCH(OA$1,PortfolioRef[Reference '#]),0),AssetMonthlyReturns[[#This Row],[SPY]:[PE]])</f>
        <v>4.5548904506017333E-2</v>
      </c>
      <c r="OB36" s="27">
        <f>IF(ISNUMBER(OB35),OB35*(1+PortfolioFrontier[[#This Row],[P98 Return]]),1+PortfolioFrontier[[#This Row],[P98 Return]])</f>
        <v>1.131612011818131</v>
      </c>
      <c r="OC36" s="27">
        <f>MAX(OC35,PortfolioFrontier[[#This Row],[P98 Growth]])</f>
        <v>1.131612011818131</v>
      </c>
      <c r="OD36" s="27">
        <f>PortfolioFrontier[[#This Row],[P98 Growth]]/PortfolioFrontier[[#This Row],[P98 HWM]]-1</f>
        <v>0</v>
      </c>
      <c r="OE36" s="28">
        <f>SUMPRODUCT(INDEX(PortfolioRef[[SPY]:[PE]],MATCH(OE$1,PortfolioRef[Reference '#]),0),AssetMonthlyReturns[[#This Row],[SPY]:[PE]])</f>
        <v>5.0701200968282734E-2</v>
      </c>
      <c r="OF36" s="27">
        <f>IF(ISNUMBER(OF35),OF35*(1+PortfolioFrontier[[#This Row],[P99 Return]]),1+PortfolioFrontier[[#This Row],[P99 Return]])</f>
        <v>1.1391283182060294</v>
      </c>
      <c r="OG36" s="27">
        <f>MAX(OG35,PortfolioFrontier[[#This Row],[P99 Growth]])</f>
        <v>1.1391283182060294</v>
      </c>
      <c r="OH36" s="27">
        <f>PortfolioFrontier[[#This Row],[P99 Growth]]/PortfolioFrontier[[#This Row],[P99 HWM]]-1</f>
        <v>0</v>
      </c>
      <c r="OI36" s="28">
        <f>SUMPRODUCT(INDEX(PortfolioRef[[SPY]:[PE]],MATCH(OI$1,PortfolioRef[Reference '#]),0),AssetMonthlyReturns[[#This Row],[SPY]:[PE]])</f>
        <v>4.461446914158148E-2</v>
      </c>
      <c r="OJ36" s="27">
        <f>IF(ISNUMBER(OJ35),OJ35*(1+PortfolioFrontier[[#This Row],[P100 Return]]),1+PortfolioFrontier[[#This Row],[P100 Return]])</f>
        <v>1.132239143335019</v>
      </c>
      <c r="OK36" s="27">
        <f>MAX(OK35,PortfolioFrontier[[#This Row],[P100 Growth]])</f>
        <v>1.132239143335019</v>
      </c>
      <c r="OL36" s="27">
        <f>PortfolioFrontier[[#This Row],[P100 Growth]]/PortfolioFrontier[[#This Row],[P100 HWM]]-1</f>
        <v>0</v>
      </c>
      <c r="OM36" s="28">
        <f>SUMPRODUCT(INDEX(PortfolioRef[[SPY]:[PE]],MATCH(OM$1,PortfolioRef[Reference '#]),0),AssetMonthlyReturns[[#This Row],[SPY]:[PE]])</f>
        <v>4.6315096011224827E-2</v>
      </c>
      <c r="ON36" s="27">
        <f>IF(ISNUMBER(ON35),ON35*(1+PortfolioFrontier[[#This Row],[P101 Return]]),1+PortfolioFrontier[[#This Row],[P101 Return]])</f>
        <v>1.1304611081126483</v>
      </c>
      <c r="OO36" s="27">
        <f>MAX(OO35,PortfolioFrontier[[#This Row],[P101 Growth]])</f>
        <v>1.1304611081126483</v>
      </c>
      <c r="OP36" s="27">
        <f>PortfolioFrontier[[#This Row],[P101 Growth]]/PortfolioFrontier[[#This Row],[P101 HWM]]-1</f>
        <v>0</v>
      </c>
      <c r="OQ36" s="28">
        <f>SUMPRODUCT(INDEX(PortfolioRef[[SPY]:[PE]],MATCH(OQ$1,PortfolioRef[Reference '#]),0),AssetMonthlyReturns[[#This Row],[SPY]:[PE]])</f>
        <v>5.1467392473490227E-2</v>
      </c>
      <c r="OR36" s="27">
        <f>IF(ISNUMBER(OR35),OR35*(1+PortfolioFrontier[[#This Row],[P102 Return]]),1+PortfolioFrontier[[#This Row],[P102 Return]])</f>
        <v>1.1380476316694088</v>
      </c>
      <c r="OS36" s="27">
        <f>MAX(OS35,PortfolioFrontier[[#This Row],[P102 Growth]])</f>
        <v>1.1380476316694088</v>
      </c>
      <c r="OT36" s="27">
        <f>PortfolioFrontier[[#This Row],[P102 Growth]]/PortfolioFrontier[[#This Row],[P102 HWM]]-1</f>
        <v>0</v>
      </c>
      <c r="OU36" s="28">
        <f>SUMPRODUCT(INDEX(PortfolioRef[[SPY]:[PE]],MATCH(OU$1,PortfolioRef[Reference '#]),0),AssetMonthlyReturns[[#This Row],[SPY]:[PE]])</f>
        <v>4.5380660646788973E-2</v>
      </c>
      <c r="OV36" s="27">
        <f>IF(ISNUMBER(OV35),OV35*(1+PortfolioFrontier[[#This Row],[P103 Return]]),1+PortfolioFrontier[[#This Row],[P103 Return]])</f>
        <v>1.1311891394840223</v>
      </c>
      <c r="OW36" s="27">
        <f>MAX(OW35,PortfolioFrontier[[#This Row],[P103 Growth]])</f>
        <v>1.1311891394840223</v>
      </c>
      <c r="OX36" s="27">
        <f>PortfolioFrontier[[#This Row],[P103 Growth]]/PortfolioFrontier[[#This Row],[P103 HWM]]-1</f>
        <v>0</v>
      </c>
      <c r="OY36" s="28">
        <f>SUMPRODUCT(INDEX(PortfolioRef[[SPY]:[PE]],MATCH(OY$1,PortfolioRef[Reference '#]),0),AssetMonthlyReturns[[#This Row],[SPY]:[PE]])</f>
        <v>5.6619688935755634E-2</v>
      </c>
      <c r="OZ36" s="27">
        <f>IF(ISNUMBER(OZ35),OZ35*(1+PortfolioFrontier[[#This Row],[P104 Return]]),1+PortfolioFrontier[[#This Row],[P104 Return]])</f>
        <v>1.1454618568056998</v>
      </c>
      <c r="PA36" s="27">
        <f>MAX(PA35,PortfolioFrontier[[#This Row],[P104 Growth]])</f>
        <v>1.1454618568056998</v>
      </c>
      <c r="PB36" s="27">
        <f>PortfolioFrontier[[#This Row],[P104 Growth]]/PortfolioFrontier[[#This Row],[P104 HWM]]-1</f>
        <v>0</v>
      </c>
      <c r="PC36" s="28">
        <f>SUMPRODUCT(INDEX(PortfolioRef[[SPY]:[PE]],MATCH(PC$1,PortfolioRef[Reference '#]),0),AssetMonthlyReturns[[#This Row],[SPY]:[PE]])</f>
        <v>5.053295710905438E-2</v>
      </c>
      <c r="PD36" s="27">
        <f>IF(ISNUMBER(PD35),PD35*(1+PortfolioFrontier[[#This Row],[P105 Return]]),1+PortfolioFrontier[[#This Row],[P105 Return]])</f>
        <v>1.1386667232721006</v>
      </c>
      <c r="PE36" s="27">
        <f>MAX(PE35,PortfolioFrontier[[#This Row],[P105 Growth]])</f>
        <v>1.1386667232721006</v>
      </c>
      <c r="PF36" s="27">
        <f>PortfolioFrontier[[#This Row],[P105 Growth]]/PortfolioFrontier[[#This Row],[P105 HWM]]-1</f>
        <v>0</v>
      </c>
      <c r="PG36" s="28">
        <f>SUMPRODUCT(INDEX(PortfolioRef[[SPY]:[PE]],MATCH(PG$1,PortfolioRef[Reference '#]),0),AssetMonthlyReturns[[#This Row],[SPY]:[PE]])</f>
        <v>4.4446225282353126E-2</v>
      </c>
      <c r="PH36" s="27">
        <f>IF(ISNUMBER(PH35),PH35*(1+PortfolioFrontier[[#This Row],[P106 Return]]),1+PortfolioFrontier[[#This Row],[P106 Return]])</f>
        <v>1.1317478909352721</v>
      </c>
      <c r="PI36" s="27">
        <f>MAX(PI35,PortfolioFrontier[[#This Row],[P106 Growth]])</f>
        <v>1.1317478909352721</v>
      </c>
      <c r="PJ36" s="27">
        <f>PortfolioFrontier[[#This Row],[P106 Growth]]/PortfolioFrontier[[#This Row],[P106 HWM]]-1</f>
        <v>0</v>
      </c>
      <c r="PK36" s="28">
        <f>SUMPRODUCT(INDEX(PortfolioRef[[SPY]:[PE]],MATCH(PK$1,PortfolioRef[Reference '#]),0),AssetMonthlyReturns[[#This Row],[SPY]:[PE]])</f>
        <v>5.223358397869772E-2</v>
      </c>
      <c r="PL36" s="27">
        <f>IF(ISNUMBER(PL35),PL35*(1+PortfolioFrontier[[#This Row],[P107 Return]]),1+PortfolioFrontier[[#This Row],[P107 Return]])</f>
        <v>1.1368922781660509</v>
      </c>
      <c r="PM36" s="27">
        <f>MAX(PM35,PortfolioFrontier[[#This Row],[P107 Growth]])</f>
        <v>1.1368922781660509</v>
      </c>
      <c r="PN36" s="27">
        <f>PortfolioFrontier[[#This Row],[P107 Growth]]/PortfolioFrontier[[#This Row],[P107 HWM]]-1</f>
        <v>0</v>
      </c>
      <c r="PO36" s="28">
        <f>SUMPRODUCT(INDEX(PortfolioRef[[SPY]:[PE]],MATCH(PO$1,PortfolioRef[Reference '#]),0),AssetMonthlyReturns[[#This Row],[SPY]:[PE]])</f>
        <v>4.6146852151996466E-2</v>
      </c>
      <c r="PP36" s="27">
        <f>IF(ISNUMBER(PP35),PP35*(1+PortfolioFrontier[[#This Row],[P108 Return]]),1+PortfolioFrontier[[#This Row],[P108 Return]])</f>
        <v>1.1300647967941426</v>
      </c>
      <c r="PQ36" s="27">
        <f>MAX(PQ35,PortfolioFrontier[[#This Row],[P108 Growth]])</f>
        <v>1.1300647967941426</v>
      </c>
      <c r="PR36" s="27">
        <f>PortfolioFrontier[[#This Row],[P108 Growth]]/PortfolioFrontier[[#This Row],[P108 HWM]]-1</f>
        <v>0</v>
      </c>
      <c r="PS36" s="28">
        <f>SUMPRODUCT(INDEX(PortfolioRef[[SPY]:[PE]],MATCH(PS$1,PortfolioRef[Reference '#]),0),AssetMonthlyReturns[[#This Row],[SPY]:[PE]])</f>
        <v>5.7385880440963127E-2</v>
      </c>
      <c r="PT36" s="27">
        <f>IF(ISNUMBER(PT35),PT35*(1+PortfolioFrontier[[#This Row],[P109 Return]]),1+PortfolioFrontier[[#This Row],[P109 Return]])</f>
        <v>1.1443773483779254</v>
      </c>
      <c r="PU36" s="27">
        <f>MAX(PU35,PortfolioFrontier[[#This Row],[P109 Growth]])</f>
        <v>1.1443773483779254</v>
      </c>
      <c r="PV36" s="27">
        <f>PortfolioFrontier[[#This Row],[P109 Growth]]/PortfolioFrontier[[#This Row],[P109 HWM]]-1</f>
        <v>0</v>
      </c>
      <c r="PW36" s="28">
        <f>SUMPRODUCT(INDEX(PortfolioRef[[SPY]:[PE]],MATCH(PW$1,PortfolioRef[Reference '#]),0),AssetMonthlyReturns[[#This Row],[SPY]:[PE]])</f>
        <v>5.1299148614261866E-2</v>
      </c>
      <c r="PX36" s="27">
        <f>IF(ISNUMBER(PX35),PX35*(1+PortfolioFrontier[[#This Row],[P110 Return]]),1+PortfolioFrontier[[#This Row],[P110 Return]])</f>
        <v>1.1376128179689218</v>
      </c>
      <c r="PY36" s="27">
        <f>MAX(PY35,PortfolioFrontier[[#This Row],[P110 Growth]])</f>
        <v>1.1376128179689218</v>
      </c>
      <c r="PZ36" s="27">
        <f>PortfolioFrontier[[#This Row],[P110 Growth]]/PortfolioFrontier[[#This Row],[P110 HWM]]-1</f>
        <v>0</v>
      </c>
      <c r="QA36" s="28">
        <f>SUMPRODUCT(INDEX(PortfolioRef[[SPY]:[PE]],MATCH(QA$1,PortfolioRef[Reference '#]),0),AssetMonthlyReturns[[#This Row],[SPY]:[PE]])</f>
        <v>4.5212416787560619E-2</v>
      </c>
      <c r="QB36" s="27">
        <f>IF(ISNUMBER(QB35),QB35*(1+PortfolioFrontier[[#This Row],[P111 Return]]),1+PortfolioFrontier[[#This Row],[P111 Return]])</f>
        <v>1.1307244927388922</v>
      </c>
      <c r="QC36" s="27">
        <f>MAX(QC35,PortfolioFrontier[[#This Row],[P111 Growth]])</f>
        <v>1.1307244927388922</v>
      </c>
      <c r="QD36" s="27">
        <f>PortfolioFrontier[[#This Row],[P111 Growth]]/PortfolioFrontier[[#This Row],[P111 HWM]]-1</f>
        <v>0</v>
      </c>
      <c r="QE36" s="28">
        <f>SUMPRODUCT(INDEX(PortfolioRef[[SPY]:[PE]],MATCH(QE$1,PortfolioRef[Reference '#]),0),AssetMonthlyReturns[[#This Row],[SPY]:[PE]])</f>
        <v>6.2538176903228521E-2</v>
      </c>
      <c r="QF36" s="27">
        <f>IF(ISNUMBER(QF35),QF35*(1+PortfolioFrontier[[#This Row],[P112 Return]]),1+PortfolioFrontier[[#This Row],[P112 Return]])</f>
        <v>1.1516869913714949</v>
      </c>
      <c r="QG36" s="27">
        <f>MAX(QG35,PortfolioFrontier[[#This Row],[P112 Growth]])</f>
        <v>1.1516869913714949</v>
      </c>
      <c r="QH36" s="27">
        <f>PortfolioFrontier[[#This Row],[P112 Growth]]/PortfolioFrontier[[#This Row],[P112 HWM]]-1</f>
        <v>0</v>
      </c>
      <c r="QI36" s="28">
        <f>SUMPRODUCT(INDEX(PortfolioRef[[SPY]:[PE]],MATCH(QI$1,PortfolioRef[Reference '#]),0),AssetMonthlyReturns[[#This Row],[SPY]:[PE]])</f>
        <v>5.6451445076527274E-2</v>
      </c>
      <c r="QJ36" s="27">
        <f>IF(ISNUMBER(QJ35),QJ35*(1+PortfolioFrontier[[#This Row],[P113 Return]]),1+PortfolioFrontier[[#This Row],[P113 Return]])</f>
        <v>1.1449879525556403</v>
      </c>
      <c r="QK36" s="27">
        <f>MAX(QK35,PortfolioFrontier[[#This Row],[P113 Growth]])</f>
        <v>1.1449879525556403</v>
      </c>
      <c r="QL36" s="27">
        <f>PortfolioFrontier[[#This Row],[P113 Growth]]/PortfolioFrontier[[#This Row],[P113 HWM]]-1</f>
        <v>0</v>
      </c>
      <c r="QM36" s="28">
        <f>SUMPRODUCT(INDEX(PortfolioRef[[SPY]:[PE]],MATCH(QM$1,PortfolioRef[Reference '#]),0),AssetMonthlyReturns[[#This Row],[SPY]:[PE]])</f>
        <v>5.0364713249826026E-2</v>
      </c>
      <c r="QN36" s="27">
        <f>IF(ISNUMBER(QN35),QN35*(1+PortfolioFrontier[[#This Row],[P114 Return]]),1+PortfolioFrontier[[#This Row],[P114 Return]])</f>
        <v>1.1381630626218127</v>
      </c>
      <c r="QO36" s="27">
        <f>MAX(QO35,PortfolioFrontier[[#This Row],[P114 Growth]])</f>
        <v>1.1381630626218127</v>
      </c>
      <c r="QP36" s="27">
        <f>PortfolioFrontier[[#This Row],[P114 Growth]]/PortfolioFrontier[[#This Row],[P114 HWM]]-1</f>
        <v>0</v>
      </c>
      <c r="QQ36" s="28">
        <f>SUMPRODUCT(INDEX(PortfolioRef[[SPY]:[PE]],MATCH(QQ$1,PortfolioRef[Reference '#]),0),AssetMonthlyReturns[[#This Row],[SPY]:[PE]])</f>
        <v>5.8152071946170614E-2</v>
      </c>
      <c r="QR36" s="27">
        <f>IF(ISNUMBER(QR35),QR35*(1+PortfolioFrontier[[#This Row],[P115 Return]]),1+PortfolioFrontier[[#This Row],[P115 Return]])</f>
        <v>1.1432178264241692</v>
      </c>
      <c r="QS36" s="27">
        <f>MAX(QS35,PortfolioFrontier[[#This Row],[P115 Growth]])</f>
        <v>1.1432178264241692</v>
      </c>
      <c r="QT36" s="27">
        <f>PortfolioFrontier[[#This Row],[P115 Growth]]/PortfolioFrontier[[#This Row],[P115 HWM]]-1</f>
        <v>0</v>
      </c>
      <c r="QU36" s="28">
        <f>SUMPRODUCT(INDEX(PortfolioRef[[SPY]:[PE]],MATCH(QU$1,PortfolioRef[Reference '#]),0),AssetMonthlyReturns[[#This Row],[SPY]:[PE]])</f>
        <v>5.2065340119469367E-2</v>
      </c>
      <c r="QV36" s="27">
        <f>IF(ISNUMBER(QV35),QV35*(1+PortfolioFrontier[[#This Row],[P116 Return]]),1+PortfolioFrontier[[#This Row],[P116 Return]])</f>
        <v>1.1364842216262714</v>
      </c>
      <c r="QW36" s="27">
        <f>MAX(QW35,PortfolioFrontier[[#This Row],[P116 Growth]])</f>
        <v>1.1364842216262714</v>
      </c>
      <c r="QX36" s="27">
        <f>PortfolioFrontier[[#This Row],[P116 Growth]]/PortfolioFrontier[[#This Row],[P116 HWM]]-1</f>
        <v>0</v>
      </c>
      <c r="QY36" s="28">
        <f>SUMPRODUCT(INDEX(PortfolioRef[[SPY]:[PE]],MATCH(QY$1,PortfolioRef[Reference '#]),0),AssetMonthlyReturns[[#This Row],[SPY]:[PE]])</f>
        <v>4.5978608292768113E-2</v>
      </c>
      <c r="QZ36" s="27">
        <f>IF(ISNUMBER(QZ35),QZ35*(1+PortfolioFrontier[[#This Row],[P117 Return]]),1+PortfolioFrontier[[#This Row],[P117 Return]])</f>
        <v>1.1296267347001725</v>
      </c>
      <c r="RA36" s="27">
        <f>MAX(RA35,PortfolioFrontier[[#This Row],[P117 Growth]])</f>
        <v>1.1296267347001725</v>
      </c>
      <c r="RB36" s="27">
        <f>PortfolioFrontier[[#This Row],[P117 Growth]]/PortfolioFrontier[[#This Row],[P117 HWM]]-1</f>
        <v>0</v>
      </c>
      <c r="RC36" s="28">
        <f>SUMPRODUCT(INDEX(PortfolioRef[[SPY]:[PE]],MATCH(RC$1,PortfolioRef[Reference '#]),0),AssetMonthlyReturns[[#This Row],[SPY]:[PE]])</f>
        <v>6.3304368408436021E-2</v>
      </c>
      <c r="RD36" s="27">
        <f>IF(ISNUMBER(RD35),RD35*(1+PortfolioFrontier[[#This Row],[P118 Return]]),1+PortfolioFrontier[[#This Row],[P118 Return]])</f>
        <v>1.1505989409397659</v>
      </c>
      <c r="RE36" s="27">
        <f>MAX(RE35,PortfolioFrontier[[#This Row],[P118 Growth]])</f>
        <v>1.1505989409397659</v>
      </c>
      <c r="RF36" s="27">
        <f>PortfolioFrontier[[#This Row],[P118 Growth]]/PortfolioFrontier[[#This Row],[P118 HWM]]-1</f>
        <v>0</v>
      </c>
      <c r="RG36" s="28">
        <f>SUMPRODUCT(INDEX(PortfolioRef[[SPY]:[PE]],MATCH(RG$1,PortfolioRef[Reference '#]),0),AssetMonthlyReturns[[#This Row],[SPY]:[PE]])</f>
        <v>5.7217636581734767E-2</v>
      </c>
      <c r="RH36" s="27">
        <f>IF(ISNUMBER(RH35),RH35*(1+PortfolioFrontier[[#This Row],[P119 Return]]),1+PortfolioFrontier[[#This Row],[P119 Return]])</f>
        <v>1.1439304199471627</v>
      </c>
      <c r="RI36" s="27">
        <f>MAX(RI35,PortfolioFrontier[[#This Row],[P119 Growth]])</f>
        <v>1.1439304199471627</v>
      </c>
      <c r="RJ36" s="27">
        <f>PortfolioFrontier[[#This Row],[P119 Growth]]/PortfolioFrontier[[#This Row],[P119 HWM]]-1</f>
        <v>0</v>
      </c>
      <c r="RK36" s="28">
        <f>SUMPRODUCT(INDEX(PortfolioRef[[SPY]:[PE]],MATCH(RK$1,PortfolioRef[Reference '#]),0),AssetMonthlyReturns[[#This Row],[SPY]:[PE]])</f>
        <v>5.1130904755033513E-2</v>
      </c>
      <c r="RL36" s="27">
        <f>IF(ISNUMBER(RL35),RL35*(1+PortfolioFrontier[[#This Row],[P120 Return]]),1+PortfolioFrontier[[#This Row],[P120 Return]])</f>
        <v>1.1371359583533507</v>
      </c>
      <c r="RM36" s="27">
        <f>MAX(RM35,PortfolioFrontier[[#This Row],[P120 Growth]])</f>
        <v>1.1371359583533507</v>
      </c>
      <c r="RN36" s="27">
        <f>PortfolioFrontier[[#This Row],[P120 Growth]]/PortfolioFrontier[[#This Row],[P120 HWM]]-1</f>
        <v>0</v>
      </c>
      <c r="RO36" s="28">
        <f>SUMPRODUCT(INDEX(PortfolioRef[[SPY]:[PE]],MATCH(RO$1,PortfolioRef[Reference '#]),0),AssetMonthlyReturns[[#This Row],[SPY]:[PE]])</f>
        <v>6.8456664870701428E-2</v>
      </c>
      <c r="RP36" s="27">
        <f>IF(ISNUMBER(RP35),RP35*(1+PortfolioFrontier[[#This Row],[P121 Return]]),1+PortfolioFrontier[[#This Row],[P121 Return]])</f>
        <v>1.1578015077232335</v>
      </c>
      <c r="RQ36" s="27">
        <f>MAX(RQ35,PortfolioFrontier[[#This Row],[P121 Growth]])</f>
        <v>1.1578015077232335</v>
      </c>
      <c r="RR36" s="27">
        <f>PortfolioFrontier[[#This Row],[P121 Growth]]/PortfolioFrontier[[#This Row],[P121 HWM]]-1</f>
        <v>0</v>
      </c>
      <c r="RS36" s="28">
        <f>SUMPRODUCT(INDEX(PortfolioRef[[SPY]:[PE]],MATCH(RS$1,PortfolioRef[Reference '#]),0),AssetMonthlyReturns[[#This Row],[SPY]:[PE]])</f>
        <v>6.2369933044000167E-2</v>
      </c>
      <c r="RT36" s="27">
        <f>IF(ISNUMBER(RT35),RT35*(1+PortfolioFrontier[[#This Row],[P122 Return]]),1+PortfolioFrontier[[#This Row],[P122 Return]])</f>
        <v>1.151200605297082</v>
      </c>
      <c r="RU36" s="27">
        <f>MAX(RU35,PortfolioFrontier[[#This Row],[P122 Growth]])</f>
        <v>1.151200605297082</v>
      </c>
      <c r="RV36" s="27">
        <f>PortfolioFrontier[[#This Row],[P122 Growth]]/PortfolioFrontier[[#This Row],[P122 HWM]]-1</f>
        <v>0</v>
      </c>
      <c r="RW36" s="28">
        <f>SUMPRODUCT(INDEX(PortfolioRef[[SPY]:[PE]],MATCH(RW$1,PortfolioRef[Reference '#]),0),AssetMonthlyReturns[[#This Row],[SPY]:[PE]])</f>
        <v>5.628320121729892E-2</v>
      </c>
      <c r="RX36" s="27">
        <f>IF(ISNUMBER(RX35),RX35*(1+PortfolioFrontier[[#This Row],[P123 Return]]),1+PortfolioFrontier[[#This Row],[P123 Return]])</f>
        <v>1.1444717138109786</v>
      </c>
      <c r="RY36" s="27">
        <f>MAX(RY35,PortfolioFrontier[[#This Row],[P123 Growth]])</f>
        <v>1.1444717138109786</v>
      </c>
      <c r="RZ36" s="27">
        <f>PortfolioFrontier[[#This Row],[P123 Growth]]/PortfolioFrontier[[#This Row],[P123 HWM]]-1</f>
        <v>0</v>
      </c>
      <c r="SA36" s="28">
        <f>SUMPRODUCT(INDEX(PortfolioRef[[SPY]:[PE]],MATCH(SA$1,PortfolioRef[Reference '#]),0),AssetMonthlyReturns[[#This Row],[SPY]:[PE]])</f>
        <v>6.4070559913643507E-2</v>
      </c>
      <c r="SB36" s="27">
        <f>IF(ISNUMBER(SB35),SB35*(1+PortfolioFrontier[[#This Row],[P124 Return]]),1+PortfolioFrontier[[#This Row],[P124 Return]])</f>
        <v>1.1494355366335027</v>
      </c>
      <c r="SC36" s="27">
        <f>MAX(SC35,PortfolioFrontier[[#This Row],[P124 Growth]])</f>
        <v>1.1494355366335027</v>
      </c>
      <c r="SD36" s="27">
        <f>PortfolioFrontier[[#This Row],[P124 Growth]]/PortfolioFrontier[[#This Row],[P124 HWM]]-1</f>
        <v>0</v>
      </c>
      <c r="SE36" s="28">
        <f>SUMPRODUCT(INDEX(PortfolioRef[[SPY]:[PE]],MATCH(SE$1,PortfolioRef[Reference '#]),0),AssetMonthlyReturns[[#This Row],[SPY]:[PE]])</f>
        <v>5.798382808694226E-2</v>
      </c>
      <c r="SF36" s="27">
        <f>IF(ISNUMBER(SF35),SF35*(1+PortfolioFrontier[[#This Row],[P125 Return]]),1+PortfolioFrontier[[#This Row],[P125 Return]])</f>
        <v>1.1427978502317804</v>
      </c>
      <c r="SG36" s="27">
        <f>MAX(SG35,PortfolioFrontier[[#This Row],[P125 Growth]])</f>
        <v>1.1427978502317804</v>
      </c>
      <c r="SH36" s="27">
        <f>PortfolioFrontier[[#This Row],[P125 Growth]]/PortfolioFrontier[[#This Row],[P125 HWM]]-1</f>
        <v>0</v>
      </c>
      <c r="SI36" s="28">
        <f>SUMPRODUCT(INDEX(PortfolioRef[[SPY]:[PE]],MATCH(SI$1,PortfolioRef[Reference '#]),0),AssetMonthlyReturns[[#This Row],[SPY]:[PE]])</f>
        <v>5.1897096260241006E-2</v>
      </c>
      <c r="SJ36" s="27">
        <f>IF(ISNUMBER(SJ35),SJ35*(1+PortfolioFrontier[[#This Row],[P126 Return]]),1+PortfolioFrontier[[#This Row],[P126 Return]])</f>
        <v>1.1360341425403682</v>
      </c>
      <c r="SK36" s="27">
        <f>MAX(SK35,PortfolioFrontier[[#This Row],[P126 Growth]])</f>
        <v>1.1360341425403682</v>
      </c>
      <c r="SL36" s="27">
        <f>PortfolioFrontier[[#This Row],[P126 Growth]]/PortfolioFrontier[[#This Row],[P126 HWM]]-1</f>
        <v>0</v>
      </c>
      <c r="SM36" s="28">
        <f>SUMPRODUCT(INDEX(PortfolioRef[[SPY]:[PE]],MATCH(SM$1,PortfolioRef[Reference '#]),0),AssetMonthlyReturns[[#This Row],[SPY]:[PE]])</f>
        <v>6.9222856375908914E-2</v>
      </c>
      <c r="SN36" s="27">
        <f>IF(ISNUMBER(SN35),SN35*(1+PortfolioFrontier[[#This Row],[P127 Return]]),1+PortfolioFrontier[[#This Row],[P127 Return]])</f>
        <v>1.1567101997931908</v>
      </c>
      <c r="SO36" s="27">
        <f>MAX(SO35,PortfolioFrontier[[#This Row],[P127 Growth]])</f>
        <v>1.1567101997931908</v>
      </c>
      <c r="SP36" s="27">
        <f>PortfolioFrontier[[#This Row],[P127 Growth]]/PortfolioFrontier[[#This Row],[P127 HWM]]-1</f>
        <v>0</v>
      </c>
      <c r="SQ36" s="28">
        <f>SUMPRODUCT(INDEX(PortfolioRef[[SPY]:[PE]],MATCH(SQ$1,PortfolioRef[Reference '#]),0),AssetMonthlyReturns[[#This Row],[SPY]:[PE]])</f>
        <v>6.3136124549207667E-2</v>
      </c>
      <c r="SR36" s="27">
        <f>IF(ISNUMBER(SR35),SR35*(1+PortfolioFrontier[[#This Row],[P128 Return]]),1+PortfolioFrontier[[#This Row],[P128 Return]])</f>
        <v>1.1501397241489366</v>
      </c>
      <c r="SS36" s="27">
        <f>MAX(SS35,PortfolioFrontier[[#This Row],[P128 Growth]])</f>
        <v>1.1501397241489366</v>
      </c>
      <c r="ST36" s="27">
        <f>PortfolioFrontier[[#This Row],[P128 Growth]]/PortfolioFrontier[[#This Row],[P128 HWM]]-1</f>
        <v>0</v>
      </c>
      <c r="SU36" s="28">
        <f>SUMPRODUCT(INDEX(PortfolioRef[[SPY]:[PE]],MATCH(SU$1,PortfolioRef[Reference '#]),0),AssetMonthlyReturns[[#This Row],[SPY]:[PE]])</f>
        <v>5.7049392722506406E-2</v>
      </c>
      <c r="SV36" s="27">
        <f>IF(ISNUMBER(SV35),SV35*(1+PortfolioFrontier[[#This Row],[P129 Return]]),1+PortfolioFrontier[[#This Row],[P129 Return]])</f>
        <v>1.143441176520634</v>
      </c>
      <c r="SW36" s="27">
        <f>MAX(SW35,PortfolioFrontier[[#This Row],[P129 Growth]])</f>
        <v>1.143441176520634</v>
      </c>
      <c r="SX36" s="27">
        <f>PortfolioFrontier[[#This Row],[P129 Growth]]/PortfolioFrontier[[#This Row],[P129 HWM]]-1</f>
        <v>0</v>
      </c>
      <c r="SY36" s="28">
        <f>SUMPRODUCT(INDEX(PortfolioRef[[SPY]:[PE]],MATCH(SY$1,PortfolioRef[Reference '#]),0),AssetMonthlyReturns[[#This Row],[SPY]:[PE]])</f>
        <v>7.4375152838174308E-2</v>
      </c>
      <c r="SZ36" s="27">
        <f>IF(ISNUMBER(SZ35),SZ35*(1+PortfolioFrontier[[#This Row],[P130 Return]]),1+PortfolioFrontier[[#This Row],[P130 Return]])</f>
        <v>1.1638032039923822</v>
      </c>
      <c r="TA36" s="27">
        <f>MAX(TA35,PortfolioFrontier[[#This Row],[P130 Growth]])</f>
        <v>1.1638032039923822</v>
      </c>
      <c r="TB36" s="27">
        <f>PortfolioFrontier[[#This Row],[P130 Growth]]/PortfolioFrontier[[#This Row],[P130 HWM]]-1</f>
        <v>0</v>
      </c>
      <c r="TC36" s="28">
        <f>SUMPRODUCT(INDEX(PortfolioRef[[SPY]:[PE]],MATCH(TC$1,PortfolioRef[Reference '#]),0),AssetMonthlyReturns[[#This Row],[SPY]:[PE]])</f>
        <v>6.8288421011473061E-2</v>
      </c>
      <c r="TD36" s="27">
        <f>IF(ISNUMBER(TD35),TD35*(1+PortfolioFrontier[[#This Row],[P131 Return]]),1+PortfolioFrontier[[#This Row],[P131 Return]])</f>
        <v>1.157302467117689</v>
      </c>
      <c r="TE36" s="27">
        <f>MAX(TE35,PortfolioFrontier[[#This Row],[P131 Growth]])</f>
        <v>1.157302467117689</v>
      </c>
      <c r="TF36" s="27">
        <f>PortfolioFrontier[[#This Row],[P131 Growth]]/PortfolioFrontier[[#This Row],[P131 HWM]]-1</f>
        <v>0</v>
      </c>
      <c r="TG36" s="28">
        <f>SUMPRODUCT(INDEX(PortfolioRef[[SPY]:[PE]],MATCH(TG$1,PortfolioRef[Reference '#]),0),AssetMonthlyReturns[[#This Row],[SPY]:[PE]])</f>
        <v>6.2201689184771813E-2</v>
      </c>
      <c r="TH36" s="27">
        <f>IF(ISNUMBER(TH35),TH35*(1+PortfolioFrontier[[#This Row],[P132 Return]]),1+PortfolioFrontier[[#This Row],[P132 Return]])</f>
        <v>1.1506716184462877</v>
      </c>
      <c r="TI36" s="27">
        <f>MAX(TI35,PortfolioFrontier[[#This Row],[P132 Growth]])</f>
        <v>1.1506716184462877</v>
      </c>
      <c r="TJ36" s="27">
        <f>PortfolioFrontier[[#This Row],[P132 Growth]]/PortfolioFrontier[[#This Row],[P132 HWM]]-1</f>
        <v>0</v>
      </c>
      <c r="TK36" s="28">
        <f>SUMPRODUCT(INDEX(PortfolioRef[[SPY]:[PE]],MATCH(TK$1,PortfolioRef[Reference '#]),0),AssetMonthlyReturns[[#This Row],[SPY]:[PE]])</f>
        <v>6.9989047881116401E-2</v>
      </c>
      <c r="TL36" s="27">
        <f>IF(ISNUMBER(TL35),TL35*(1+PortfolioFrontier[[#This Row],[P133 Return]]),1+PortfolioFrontier[[#This Row],[P133 Return]])</f>
        <v>1.1555432039438989</v>
      </c>
      <c r="TM36" s="27">
        <f>MAX(TM35,PortfolioFrontier[[#This Row],[P133 Growth]])</f>
        <v>1.1555432039438989</v>
      </c>
      <c r="TN36" s="27">
        <f>PortfolioFrontier[[#This Row],[P133 Growth]]/PortfolioFrontier[[#This Row],[P133 HWM]]-1</f>
        <v>0</v>
      </c>
      <c r="TO36" s="28">
        <f>SUMPRODUCT(INDEX(PortfolioRef[[SPY]:[PE]],MATCH(TO$1,PortfolioRef[Reference '#]),0),AssetMonthlyReturns[[#This Row],[SPY]:[PE]])</f>
        <v>6.3902316054415154E-2</v>
      </c>
      <c r="TP36" s="27">
        <f>IF(ISNUMBER(TP35),TP35*(1+PortfolioFrontier[[#This Row],[P134 Return]]),1+PortfolioFrontier[[#This Row],[P134 Return]])</f>
        <v>1.1490034660537698</v>
      </c>
      <c r="TQ36" s="27">
        <f>MAX(TQ35,PortfolioFrontier[[#This Row],[P134 Growth]])</f>
        <v>1.1490034660537698</v>
      </c>
      <c r="TR36" s="27">
        <f>PortfolioFrontier[[#This Row],[P134 Growth]]/PortfolioFrontier[[#This Row],[P134 HWM]]-1</f>
        <v>0</v>
      </c>
      <c r="TS36" s="28">
        <f>SUMPRODUCT(INDEX(PortfolioRef[[SPY]:[PE]],MATCH(TS$1,PortfolioRef[Reference '#]),0),AssetMonthlyReturns[[#This Row],[SPY]:[PE]])</f>
        <v>5.7815584227713906E-2</v>
      </c>
      <c r="TT36" s="27">
        <f>IF(ISNUMBER(TT35),TT35*(1+PortfolioFrontier[[#This Row],[P135 Return]]),1+PortfolioFrontier[[#This Row],[P135 Return]])</f>
        <v>1.1423355821331305</v>
      </c>
      <c r="TU36" s="27">
        <f>MAX(TU35,PortfolioFrontier[[#This Row],[P135 Growth]])</f>
        <v>1.1423355821331305</v>
      </c>
      <c r="TV36" s="27">
        <f>PortfolioFrontier[[#This Row],[P135 Growth]]/PortfolioFrontier[[#This Row],[P135 HWM]]-1</f>
        <v>0</v>
      </c>
      <c r="TW36" s="28">
        <f>SUMPRODUCT(INDEX(PortfolioRef[[SPY]:[PE]],MATCH(TW$1,PortfolioRef[Reference '#]),0),AssetMonthlyReturns[[#This Row],[SPY]:[PE]])</f>
        <v>7.5141344343381808E-2</v>
      </c>
      <c r="TX36" s="27">
        <f>IF(ISNUMBER(TX35),TX35*(1+PortfolioFrontier[[#This Row],[P136 Return]]),1+PortfolioFrontier[[#This Row],[P136 Return]])</f>
        <v>1.1627089276482949</v>
      </c>
      <c r="TY36" s="27">
        <f>MAX(TY35,PortfolioFrontier[[#This Row],[P136 Growth]])</f>
        <v>1.1627089276482949</v>
      </c>
      <c r="TZ36" s="27">
        <f>PortfolioFrontier[[#This Row],[P136 Growth]]/PortfolioFrontier[[#This Row],[P136 HWM]]-1</f>
        <v>0</v>
      </c>
      <c r="UA36" s="28">
        <f>SUMPRODUCT(INDEX(PortfolioRef[[SPY]:[PE]],MATCH(UA$1,PortfolioRef[Reference '#]),0),AssetMonthlyReturns[[#This Row],[SPY]:[PE]])</f>
        <v>6.9054612516680561E-2</v>
      </c>
      <c r="UB36" s="27">
        <f>IF(ISNUMBER(UB35),UB35*(1+PortfolioFrontier[[#This Row],[P137 Return]]),1+PortfolioFrontier[[#This Row],[P137 Return]])</f>
        <v>1.1562385207763806</v>
      </c>
      <c r="UC36" s="27">
        <f>MAX(UC35,PortfolioFrontier[[#This Row],[P137 Growth]])</f>
        <v>1.1562385207763806</v>
      </c>
      <c r="UD36" s="27">
        <f>PortfolioFrontier[[#This Row],[P137 Growth]]/PortfolioFrontier[[#This Row],[P137 HWM]]-1</f>
        <v>0</v>
      </c>
      <c r="UE36" s="28">
        <f>SUMPRODUCT(INDEX(PortfolioRef[[SPY]:[PE]],MATCH(UE$1,PortfolioRef[Reference '#]),0),AssetMonthlyReturns[[#This Row],[SPY]:[PE]])</f>
        <v>6.29678806899793E-2</v>
      </c>
      <c r="UF36" s="27">
        <f>IF(ISNUMBER(UF35),UF35*(1+PortfolioFrontier[[#This Row],[P138 Return]]),1+PortfolioFrontier[[#This Row],[P138 Return]])</f>
        <v>1.1496379257652953</v>
      </c>
      <c r="UG36" s="27">
        <f>MAX(UG35,PortfolioFrontier[[#This Row],[P138 Growth]])</f>
        <v>1.1496379257652953</v>
      </c>
      <c r="UH36" s="27">
        <f>PortfolioFrontier[[#This Row],[P138 Growth]]/PortfolioFrontier[[#This Row],[P138 HWM]]-1</f>
        <v>0</v>
      </c>
      <c r="UI36" s="28">
        <f>SUMPRODUCT(INDEX(PortfolioRef[[SPY]:[PE]],MATCH(UI$1,PortfolioRef[Reference '#]),0),AssetMonthlyReturns[[#This Row],[SPY]:[PE]])</f>
        <v>8.0293640805647215E-2</v>
      </c>
      <c r="UJ36" s="27">
        <f>IF(ISNUMBER(UJ35),UJ35*(1+PortfolioFrontier[[#This Row],[P139 Return]]),1+PortfolioFrontier[[#This Row],[P139 Return]])</f>
        <v>1.1696898914569422</v>
      </c>
      <c r="UK36" s="27">
        <f>MAX(UK35,PortfolioFrontier[[#This Row],[P139 Growth]])</f>
        <v>1.1696898914569422</v>
      </c>
      <c r="UL36" s="27">
        <f>PortfolioFrontier[[#This Row],[P139 Growth]]/PortfolioFrontier[[#This Row],[P139 HWM]]-1</f>
        <v>0</v>
      </c>
      <c r="UM36" s="28">
        <f>SUMPRODUCT(INDEX(PortfolioRef[[SPY]:[PE]],MATCH(UM$1,PortfolioRef[Reference '#]),0),AssetMonthlyReturns[[#This Row],[SPY]:[PE]])</f>
        <v>7.4206908978945954E-2</v>
      </c>
      <c r="UN36" s="27">
        <f>IF(ISNUMBER(UN35),UN35*(1+PortfolioFrontier[[#This Row],[P140 Return]]),1+PortfolioFrontier[[#This Row],[P140 Return]])</f>
        <v>1.1632913359802832</v>
      </c>
      <c r="UO36" s="27">
        <f>MAX(UO35,PortfolioFrontier[[#This Row],[P140 Growth]])</f>
        <v>1.1632913359802832</v>
      </c>
      <c r="UP36" s="27">
        <f>PortfolioFrontier[[#This Row],[P140 Growth]]/PortfolioFrontier[[#This Row],[P140 HWM]]-1</f>
        <v>0</v>
      </c>
      <c r="UQ36" s="28">
        <f>SUMPRODUCT(INDEX(PortfolioRef[[SPY]:[PE]],MATCH(UQ$1,PortfolioRef[Reference '#]),0),AssetMonthlyReturns[[#This Row],[SPY]:[PE]])</f>
        <v>6.8120177152244707E-2</v>
      </c>
      <c r="UR36" s="27">
        <f>IF(ISNUMBER(UR35),UR35*(1+PortfolioFrontier[[#This Row],[P141 Return]]),1+PortfolioFrontier[[#This Row],[P141 Return]])</f>
        <v>1.1567605620105996</v>
      </c>
      <c r="US36" s="27">
        <f>MAX(US35,PortfolioFrontier[[#This Row],[P141 Growth]])</f>
        <v>1.1567605620105996</v>
      </c>
      <c r="UT36" s="27">
        <f>PortfolioFrontier[[#This Row],[P141 Growth]]/PortfolioFrontier[[#This Row],[P141 HWM]]-1</f>
        <v>0</v>
      </c>
    </row>
    <row r="37" spans="2:566" x14ac:dyDescent="0.2">
      <c r="B37" s="41">
        <f>AssetMonthlyReturns[[#This Row],[Date]]</f>
        <v>43497</v>
      </c>
      <c r="C37" s="28">
        <f>SUMPRODUCT(INDEX(PortfolioRef[[SPY]:[PE]],MATCH(C$1,PortfolioRef[Reference '#]),0),AssetMonthlyReturns[[#This Row],[SPY]:[PE]])</f>
        <v>1.4051048109325058E-2</v>
      </c>
      <c r="D37" s="29">
        <f>IF(ISNUMBER(D36),D36*(1+PortfolioFrontier[[#This Row],[P1 Return]]),1+PortfolioFrontier[[#This Row],[P1 Return]])</f>
        <v>1.2505150353231187</v>
      </c>
      <c r="E37" s="29">
        <f>MAX(E36,PortfolioFrontier[[#This Row],[P1 Growth]])</f>
        <v>1.2527991836375723</v>
      </c>
      <c r="F37" s="29">
        <f>PortfolioFrontier[[#This Row],[P1 Growth]]/PortfolioFrontier[[#This Row],[P1 HWM]]-1</f>
        <v>-1.8232357941210253E-3</v>
      </c>
      <c r="G37" s="28">
        <f>SUMPRODUCT(INDEX(PortfolioRef[[SPY]:[PE]],MATCH(G$1,PortfolioRef[Reference '#]),0),AssetMonthlyReturns[[#This Row],[SPY]:[PE]])</f>
        <v>1.2248826597739525E-2</v>
      </c>
      <c r="H37" s="27">
        <f>IF(ISNUMBER(H36),H36*(1+PortfolioFrontier[[#This Row],[P2 Return]]),1+PortfolioFrontier[[#This Row],[P2 Return]])</f>
        <v>1.2310610752959501</v>
      </c>
      <c r="I37" s="27">
        <f>MAX(I36,PortfolioFrontier[[#This Row],[P2 Growth]])</f>
        <v>1.2310610752959501</v>
      </c>
      <c r="J37" s="27">
        <f>PortfolioFrontier[[#This Row],[P2 Growth]]/PortfolioFrontier[[#This Row],[P2 HWM]]-1</f>
        <v>0</v>
      </c>
      <c r="K37" s="28">
        <f>SUMPRODUCT(INDEX(PortfolioRef[[SPY]:[PE]],MATCH(K$1,PortfolioRef[Reference '#]),0),AssetMonthlyReturns[[#This Row],[SPY]:[PE]])</f>
        <v>1.212565512369837E-2</v>
      </c>
      <c r="L37" s="27">
        <f>IF(ISNUMBER(L36),L36*(1+PortfolioFrontier[[#This Row],[P3 Return]]),1+PortfolioFrontier[[#This Row],[P3 Return]])</f>
        <v>1.2298615195646632</v>
      </c>
      <c r="M37" s="27">
        <f>MAX(M36,PortfolioFrontier[[#This Row],[P3 Growth]])</f>
        <v>1.2298615195646632</v>
      </c>
      <c r="N37" s="27">
        <f>PortfolioFrontier[[#This Row],[P3 Growth]]/PortfolioFrontier[[#This Row],[P3 HWM]]-1</f>
        <v>0</v>
      </c>
      <c r="O37" s="28">
        <f>SUMPRODUCT(INDEX(PortfolioRef[[SPY]:[PE]],MATCH(O$1,PortfolioRef[Reference '#]),0),AssetMonthlyReturns[[#This Row],[SPY]:[PE]])</f>
        <v>1.2777921201215776E-2</v>
      </c>
      <c r="P37" s="27">
        <f>IF(ISNUMBER(P36),P36*(1+PortfolioFrontier[[#This Row],[P4 Return]]),1+PortfolioFrontier[[#This Row],[P4 Return]])</f>
        <v>1.2382660159923429</v>
      </c>
      <c r="Q37" s="27">
        <f>MAX(Q36,PortfolioFrontier[[#This Row],[P4 Growth]])</f>
        <v>1.2382660159923429</v>
      </c>
      <c r="R37" s="27">
        <f>PortfolioFrontier[[#This Row],[P4 Growth]]/PortfolioFrontier[[#This Row],[P4 HWM]]-1</f>
        <v>0</v>
      </c>
      <c r="S37" s="28">
        <f>SUMPRODUCT(INDEX(PortfolioRef[[SPY]:[PE]],MATCH(S$1,PortfolioRef[Reference '#]),0),AssetMonthlyReturns[[#This Row],[SPY]:[PE]])</f>
        <v>1.077059507003736E-2</v>
      </c>
      <c r="T37" s="27">
        <f>IF(ISNUMBER(T36),T36*(1+PortfolioFrontier[[#This Row],[P5 Return]]),1+PortfolioFrontier[[#This Row],[P5 Return]])</f>
        <v>1.2286308397933572</v>
      </c>
      <c r="U37" s="27">
        <f>MAX(U36,PortfolioFrontier[[#This Row],[P5 Growth]])</f>
        <v>1.230722468694271</v>
      </c>
      <c r="V37" s="27">
        <f>PortfolioFrontier[[#This Row],[P5 Growth]]/PortfolioFrontier[[#This Row],[P5 HWM]]-1</f>
        <v>-1.6995130536073821E-3</v>
      </c>
      <c r="W37" s="28">
        <f>SUMPRODUCT(INDEX(PortfolioRef[[SPY]:[PE]],MATCH(W$1,PortfolioRef[Reference '#]),0),AssetMonthlyReturns[[#This Row],[SPY]:[PE]])</f>
        <v>1.0446605086153998E-2</v>
      </c>
      <c r="X37" s="27">
        <f>IF(ISNUMBER(X36),X36*(1+PortfolioFrontier[[#This Row],[P6 Return]]),1+PortfolioFrontier[[#This Row],[P6 Return]])</f>
        <v>1.2117757684799417</v>
      </c>
      <c r="Y37" s="27">
        <f>MAX(Y36,PortfolioFrontier[[#This Row],[P6 Growth]])</f>
        <v>1.2117757684799417</v>
      </c>
      <c r="Z37" s="27">
        <f>PortfolioFrontier[[#This Row],[P6 Growth]]/PortfolioFrontier[[#This Row],[P6 HWM]]-1</f>
        <v>0</v>
      </c>
      <c r="AA37" s="28">
        <f>SUMPRODUCT(INDEX(PortfolioRef[[SPY]:[PE]],MATCH(AA$1,PortfolioRef[Reference '#]),0),AssetMonthlyReturns[[#This Row],[SPY]:[PE]])</f>
        <v>1.0323433612112843E-2</v>
      </c>
      <c r="AB37" s="27">
        <f>IF(ISNUMBER(AB36),AB36*(1+PortfolioFrontier[[#This Row],[P7 Return]]),1+PortfolioFrontier[[#This Row],[P7 Return]])</f>
        <v>1.210570744363535</v>
      </c>
      <c r="AC37" s="27">
        <f>MAX(AC36,PortfolioFrontier[[#This Row],[P7 Growth]])</f>
        <v>1.210570744363535</v>
      </c>
      <c r="AD37" s="27">
        <f>PortfolioFrontier[[#This Row],[P7 Growth]]/PortfolioFrontier[[#This Row],[P7 HWM]]-1</f>
        <v>0</v>
      </c>
      <c r="AE37" s="28">
        <f>SUMPRODUCT(INDEX(PortfolioRef[[SPY]:[PE]],MATCH(AE$1,PortfolioRef[Reference '#]),0),AssetMonthlyReturns[[#This Row],[SPY]:[PE]])</f>
        <v>1.0975699689630247E-2</v>
      </c>
      <c r="AF37" s="27">
        <f>IF(ISNUMBER(AF36),AF36*(1+PortfolioFrontier[[#This Row],[P8 Return]]),1+PortfolioFrontier[[#This Row],[P8 Return]])</f>
        <v>1.2189564070709893</v>
      </c>
      <c r="AG37" s="27">
        <f>MAX(AG36,PortfolioFrontier[[#This Row],[P8 Growth]])</f>
        <v>1.2189564070709893</v>
      </c>
      <c r="AH37" s="27">
        <f>PortfolioFrontier[[#This Row],[P8 Growth]]/PortfolioFrontier[[#This Row],[P8 HWM]]-1</f>
        <v>0</v>
      </c>
      <c r="AI37" s="28">
        <f>SUMPRODUCT(INDEX(PortfolioRef[[SPY]:[PE]],MATCH(AI$1,PortfolioRef[Reference '#]),0),AssetMonthlyReturns[[#This Row],[SPY]:[PE]])</f>
        <v>8.9683735584518316E-3</v>
      </c>
      <c r="AJ37" s="27">
        <f>IF(ISNUMBER(AJ36),AJ36*(1+PortfolioFrontier[[#This Row],[P9 Return]]),1+PortfolioFrontier[[#This Row],[P9 Return]])</f>
        <v>1.2094092314029909</v>
      </c>
      <c r="AK37" s="27">
        <f>MAX(AK36,PortfolioFrontier[[#This Row],[P9 Growth]])</f>
        <v>1.2094092314029909</v>
      </c>
      <c r="AL37" s="27">
        <f>PortfolioFrontier[[#This Row],[P9 Growth]]/PortfolioFrontier[[#This Row],[P9 HWM]]-1</f>
        <v>0</v>
      </c>
      <c r="AM37" s="28">
        <f>SUMPRODUCT(INDEX(PortfolioRef[[SPY]:[PE]],MATCH(AM$1,PortfolioRef[Reference '#]),0),AssetMonthlyReturns[[#This Row],[SPY]:[PE]])</f>
        <v>1.0200262138071686E-2</v>
      </c>
      <c r="AN37" s="27">
        <f>IF(ISNUMBER(AN36),AN36*(1+PortfolioFrontier[[#This Row],[P10 Return]]),1+PortfolioFrontier[[#This Row],[P10 Return]])</f>
        <v>1.2092866683255399</v>
      </c>
      <c r="AO37" s="27">
        <f>MAX(AO36,PortfolioFrontier[[#This Row],[P10 Growth]])</f>
        <v>1.2092866683255399</v>
      </c>
      <c r="AP37" s="27">
        <f>PortfolioFrontier[[#This Row],[P10 Growth]]/PortfolioFrontier[[#This Row],[P10 HWM]]-1</f>
        <v>0</v>
      </c>
      <c r="AQ37" s="28">
        <f>SUMPRODUCT(INDEX(PortfolioRef[[SPY]:[PE]],MATCH(AQ$1,PortfolioRef[Reference '#]),0),AssetMonthlyReturns[[#This Row],[SPY]:[PE]])</f>
        <v>1.0852528215589092E-2</v>
      </c>
      <c r="AR37" s="27">
        <f>IF(ISNUMBER(AR36),AR36*(1+PortfolioFrontier[[#This Row],[P11 Return]]),1+PortfolioFrontier[[#This Row],[P11 Return]])</f>
        <v>1.2177469585940455</v>
      </c>
      <c r="AS37" s="27">
        <f>MAX(AS36,PortfolioFrontier[[#This Row],[P11 Growth]])</f>
        <v>1.2177469585940455</v>
      </c>
      <c r="AT37" s="27">
        <f>PortfolioFrontier[[#This Row],[P11 Growth]]/PortfolioFrontier[[#This Row],[P11 HWM]]-1</f>
        <v>0</v>
      </c>
      <c r="AU37" s="28">
        <f>SUMPRODUCT(INDEX(PortfolioRef[[SPY]:[PE]],MATCH(AU$1,PortfolioRef[Reference '#]),0),AssetMonthlyReturns[[#This Row],[SPY]:[PE]])</f>
        <v>8.8452020844106763E-3</v>
      </c>
      <c r="AV37" s="27">
        <f>IF(ISNUMBER(AV36),AV36*(1+PortfolioFrontier[[#This Row],[P12 Return]]),1+PortfolioFrontier[[#This Row],[P12 Return]])</f>
        <v>1.2082343512386973</v>
      </c>
      <c r="AW37" s="27">
        <f>MAX(AW36,PortfolioFrontier[[#This Row],[P12 Growth]])</f>
        <v>1.2082343512386973</v>
      </c>
      <c r="AX37" s="27">
        <f>PortfolioFrontier[[#This Row],[P12 Growth]]/PortfolioFrontier[[#This Row],[P12 HWM]]-1</f>
        <v>0</v>
      </c>
      <c r="AY37" s="28">
        <f>SUMPRODUCT(INDEX(PortfolioRef[[SPY]:[PE]],MATCH(AY$1,PortfolioRef[Reference '#]),0),AssetMonthlyReturns[[#This Row],[SPY]:[PE]])</f>
        <v>1.1504794293106496E-2</v>
      </c>
      <c r="AZ37" s="27">
        <f>IF(ISNUMBER(AZ36),AZ36*(1+PortfolioFrontier[[#This Row],[P13 Return]]),1+PortfolioFrontier[[#This Row],[P13 Return]])</f>
        <v>1.2260256803529179</v>
      </c>
      <c r="BA37" s="27">
        <f>MAX(BA36,PortfolioFrontier[[#This Row],[P13 Growth]])</f>
        <v>1.2260256803529179</v>
      </c>
      <c r="BB37" s="27">
        <f>PortfolioFrontier[[#This Row],[P13 Growth]]/PortfolioFrontier[[#This Row],[P13 HWM]]-1</f>
        <v>0</v>
      </c>
      <c r="BC37" s="28">
        <f>SUMPRODUCT(INDEX(PortfolioRef[[SPY]:[PE]],MATCH(BC$1,PortfolioRef[Reference '#]),0),AssetMonthlyReturns[[#This Row],[SPY]:[PE]])</f>
        <v>9.4974681619280805E-3</v>
      </c>
      <c r="BD37" s="27">
        <f>IF(ISNUMBER(BD36),BD36*(1+PortfolioFrontier[[#This Row],[P14 Return]]),1+PortfolioFrontier[[#This Row],[P14 Return]])</f>
        <v>1.2165659827714608</v>
      </c>
      <c r="BE37" s="27">
        <f>MAX(BE36,PortfolioFrontier[[#This Row],[P14 Growth]])</f>
        <v>1.2165659827714608</v>
      </c>
      <c r="BF37" s="27">
        <f>PortfolioFrontier[[#This Row],[P14 Growth]]/PortfolioFrontier[[#This Row],[P14 HWM]]-1</f>
        <v>0</v>
      </c>
      <c r="BG37" s="28">
        <f>SUMPRODUCT(INDEX(PortfolioRef[[SPY]:[PE]],MATCH(BG$1,PortfolioRef[Reference '#]),0),AssetMonthlyReturns[[#This Row],[SPY]:[PE]])</f>
        <v>7.4901420307496632E-3</v>
      </c>
      <c r="BH37" s="27">
        <f>IF(ISNUMBER(BH36),BH36*(1+PortfolioFrontier[[#This Row],[P15 Return]]),1+PortfolioFrontier[[#This Row],[P15 Return]])</f>
        <v>1.2069999290591933</v>
      </c>
      <c r="BI37" s="27">
        <f>MAX(BI36,PortfolioFrontier[[#This Row],[P15 Growth]])</f>
        <v>1.208960110427493</v>
      </c>
      <c r="BJ37" s="27">
        <f>PortfolioFrontier[[#This Row],[P15 Growth]]/PortfolioFrontier[[#This Row],[P15 HWM]]-1</f>
        <v>-1.6213780350508022E-3</v>
      </c>
      <c r="BK37" s="28">
        <f>SUMPRODUCT(INDEX(PortfolioRef[[SPY]:[PE]],MATCH(BK$1,PortfolioRef[Reference '#]),0),AssetMonthlyReturns[[#This Row],[SPY]:[PE]])</f>
        <v>8.6443835745684712E-3</v>
      </c>
      <c r="BL37" s="27">
        <f>IF(ISNUMBER(BL36),BL36*(1+PortfolioFrontier[[#This Row],[P16 Return]]),1+PortfolioFrontier[[#This Row],[P16 Return]])</f>
        <v>1.1926609383474731</v>
      </c>
      <c r="BM37" s="27">
        <f>MAX(BM36,PortfolioFrontier[[#This Row],[P16 Growth]])</f>
        <v>1.1926609383474731</v>
      </c>
      <c r="BN37" s="27">
        <f>PortfolioFrontier[[#This Row],[P16 Growth]]/PortfolioFrontier[[#This Row],[P16 HWM]]-1</f>
        <v>0</v>
      </c>
      <c r="BO37" s="28">
        <f>SUMPRODUCT(INDEX(PortfolioRef[[SPY]:[PE]],MATCH(BO$1,PortfolioRef[Reference '#]),0),AssetMonthlyReturns[[#This Row],[SPY]:[PE]])</f>
        <v>8.5212121005273159E-3</v>
      </c>
      <c r="BP37" s="27">
        <f>IF(ISNUMBER(BP36),BP36*(1+PortfolioFrontier[[#This Row],[P17 Return]]),1+PortfolioFrontier[[#This Row],[P17 Return]])</f>
        <v>1.1914512120554661</v>
      </c>
      <c r="BQ37" s="27">
        <f>MAX(BQ36,PortfolioFrontier[[#This Row],[P17 Growth]])</f>
        <v>1.1914512120554661</v>
      </c>
      <c r="BR37" s="27">
        <f>PortfolioFrontier[[#This Row],[P17 Growth]]/PortfolioFrontier[[#This Row],[P17 HWM]]-1</f>
        <v>0</v>
      </c>
      <c r="BS37" s="28">
        <f>SUMPRODUCT(INDEX(PortfolioRef[[SPY]:[PE]],MATCH(BS$1,PortfolioRef[Reference '#]),0),AssetMonthlyReturns[[#This Row],[SPY]:[PE]])</f>
        <v>9.1734781780447201E-3</v>
      </c>
      <c r="BT37" s="27">
        <f>IF(ISNUMBER(BT36),BT36*(1+PortfolioFrontier[[#This Row],[P18 Return]]),1+PortfolioFrontier[[#This Row],[P18 Return]])</f>
        <v>1.1998151878470049</v>
      </c>
      <c r="BU37" s="27">
        <f>MAX(BU36,PortfolioFrontier[[#This Row],[P18 Growth]])</f>
        <v>1.1998151878470049</v>
      </c>
      <c r="BV37" s="27">
        <f>PortfolioFrontier[[#This Row],[P18 Growth]]/PortfolioFrontier[[#This Row],[P18 HWM]]-1</f>
        <v>0</v>
      </c>
      <c r="BW37" s="28">
        <f>SUMPRODUCT(INDEX(PortfolioRef[[SPY]:[PE]],MATCH(BW$1,PortfolioRef[Reference '#]),0),AssetMonthlyReturns[[#This Row],[SPY]:[PE]])</f>
        <v>7.1661520468663045E-3</v>
      </c>
      <c r="BX37" s="27">
        <f>IF(ISNUMBER(BX36),BX36*(1+PortfolioFrontier[[#This Row],[P19 Return]]),1+PortfolioFrontier[[#This Row],[P19 Return]])</f>
        <v>1.1903567930454442</v>
      </c>
      <c r="BY37" s="27">
        <f>MAX(BY36,PortfolioFrontier[[#This Row],[P19 Growth]])</f>
        <v>1.1903567930454442</v>
      </c>
      <c r="BZ37" s="27">
        <f>PortfolioFrontier[[#This Row],[P19 Growth]]/PortfolioFrontier[[#This Row],[P19 HWM]]-1</f>
        <v>0</v>
      </c>
      <c r="CA37" s="28">
        <f>SUMPRODUCT(INDEX(PortfolioRef[[SPY]:[PE]],MATCH(CA$1,PortfolioRef[Reference '#]),0),AssetMonthlyReturns[[#This Row],[SPY]:[PE]])</f>
        <v>8.3980406264861588E-3</v>
      </c>
      <c r="CB37" s="27">
        <f>IF(ISNUMBER(CB36),CB36*(1+PortfolioFrontier[[#This Row],[P20 Return]]),1+PortfolioFrontier[[#This Row],[P20 Return]])</f>
        <v>1.1901636463202392</v>
      </c>
      <c r="CC37" s="27">
        <f>MAX(CC36,PortfolioFrontier[[#This Row],[P20 Growth]])</f>
        <v>1.1901636463202392</v>
      </c>
      <c r="CD37" s="27">
        <f>PortfolioFrontier[[#This Row],[P20 Growth]]/PortfolioFrontier[[#This Row],[P20 HWM]]-1</f>
        <v>0</v>
      </c>
      <c r="CE37" s="28">
        <f>SUMPRODUCT(INDEX(PortfolioRef[[SPY]:[PE]],MATCH(CE$1,PortfolioRef[Reference '#]),0),AssetMonthlyReturns[[#This Row],[SPY]:[PE]])</f>
        <v>9.0503067040035648E-3</v>
      </c>
      <c r="CF37" s="27">
        <f>IF(ISNUMBER(CF36),CF36*(1+PortfolioFrontier[[#This Row],[P21 Return]]),1+PortfolioFrontier[[#This Row],[P21 Return]])</f>
        <v>1.1986007593146677</v>
      </c>
      <c r="CG37" s="27">
        <f>MAX(CG36,PortfolioFrontier[[#This Row],[P21 Growth]])</f>
        <v>1.1986007593146677</v>
      </c>
      <c r="CH37" s="27">
        <f>PortfolioFrontier[[#This Row],[P21 Growth]]/PortfolioFrontier[[#This Row],[P21 HWM]]-1</f>
        <v>0</v>
      </c>
      <c r="CI37" s="28">
        <f>SUMPRODUCT(INDEX(PortfolioRef[[SPY]:[PE]],MATCH(CI$1,PortfolioRef[Reference '#]),0),AssetMonthlyReturns[[#This Row],[SPY]:[PE]])</f>
        <v>7.0429805728251492E-3</v>
      </c>
      <c r="CJ37" s="27">
        <f>IF(ISNUMBER(CJ36),CJ36*(1+PortfolioFrontier[[#This Row],[P22 Return]]),1+PortfolioFrontier[[#This Row],[P22 Return]])</f>
        <v>1.189176737391697</v>
      </c>
      <c r="CK37" s="27">
        <f>MAX(CK36,PortfolioFrontier[[#This Row],[P22 Growth]])</f>
        <v>1.189176737391697</v>
      </c>
      <c r="CL37" s="27">
        <f>PortfolioFrontier[[#This Row],[P22 Growth]]/PortfolioFrontier[[#This Row],[P22 HWM]]-1</f>
        <v>0</v>
      </c>
      <c r="CM37" s="28">
        <f>SUMPRODUCT(INDEX(PortfolioRef[[SPY]:[PE]],MATCH(CM$1,PortfolioRef[Reference '#]),0),AssetMonthlyReturns[[#This Row],[SPY]:[PE]])</f>
        <v>9.7025727815209691E-3</v>
      </c>
      <c r="CN37" s="27">
        <f>IF(ISNUMBER(CN36),CN36*(1+PortfolioFrontier[[#This Row],[P23 Return]]),1+PortfolioFrontier[[#This Row],[P23 Return]])</f>
        <v>1.2068610428236926</v>
      </c>
      <c r="CO37" s="27">
        <f>MAX(CO36,PortfolioFrontier[[#This Row],[P23 Growth]])</f>
        <v>1.2068610428236926</v>
      </c>
      <c r="CP37" s="27">
        <f>PortfolioFrontier[[#This Row],[P23 Growth]]/PortfolioFrontier[[#This Row],[P23 HWM]]-1</f>
        <v>0</v>
      </c>
      <c r="CQ37" s="28">
        <f>SUMPRODUCT(INDEX(PortfolioRef[[SPY]:[PE]],MATCH(CQ$1,PortfolioRef[Reference '#]),0),AssetMonthlyReturns[[#This Row],[SPY]:[PE]])</f>
        <v>7.6952466503425535E-3</v>
      </c>
      <c r="CR37" s="27">
        <f>IF(ISNUMBER(CR36),CR36*(1+PortfolioFrontier[[#This Row],[P24 Return]]),1+PortfolioFrontier[[#This Row],[P24 Return]])</f>
        <v>1.1974876570438038</v>
      </c>
      <c r="CS37" s="27">
        <f>MAX(CS36,PortfolioFrontier[[#This Row],[P24 Growth]])</f>
        <v>1.1974876570438038</v>
      </c>
      <c r="CT37" s="27">
        <f>PortfolioFrontier[[#This Row],[P24 Growth]]/PortfolioFrontier[[#This Row],[P24 HWM]]-1</f>
        <v>0</v>
      </c>
      <c r="CU37" s="28">
        <f>SUMPRODUCT(INDEX(PortfolioRef[[SPY]:[PE]],MATCH(CU$1,PortfolioRef[Reference '#]),0),AssetMonthlyReturns[[#This Row],[SPY]:[PE]])</f>
        <v>5.6879205191641361E-3</v>
      </c>
      <c r="CV37" s="27">
        <f>IF(ISNUMBER(CV36),CV36*(1+PortfolioFrontier[[#This Row],[P25 Return]]),1+PortfolioFrontier[[#This Row],[P25 Return]])</f>
        <v>1.1880104586497195</v>
      </c>
      <c r="CW37" s="27">
        <f>MAX(CW36,PortfolioFrontier[[#This Row],[P25 Growth]])</f>
        <v>1.1880104586497195</v>
      </c>
      <c r="CX37" s="27">
        <f>PortfolioFrontier[[#This Row],[P25 Growth]]/PortfolioFrontier[[#This Row],[P25 HWM]]-1</f>
        <v>0</v>
      </c>
      <c r="CY37" s="28">
        <f>SUMPRODUCT(INDEX(PortfolioRef[[SPY]:[PE]],MATCH(CY$1,PortfolioRef[Reference '#]),0),AssetMonthlyReturns[[#This Row],[SPY]:[PE]])</f>
        <v>8.9271352299624077E-3</v>
      </c>
      <c r="CZ37" s="27">
        <f>IF(ISNUMBER(CZ36),CZ36*(1+PortfolioFrontier[[#This Row],[P26 Return]]),1+PortfolioFrontier[[#This Row],[P26 Return]])</f>
        <v>1.1973080948530817</v>
      </c>
      <c r="DA37" s="27">
        <f>MAX(DA36,PortfolioFrontier[[#This Row],[P26 Growth]])</f>
        <v>1.1973080948530817</v>
      </c>
      <c r="DB37" s="27">
        <f>PortfolioFrontier[[#This Row],[P26 Growth]]/PortfolioFrontier[[#This Row],[P26 HWM]]-1</f>
        <v>0</v>
      </c>
      <c r="DC37" s="28">
        <f>SUMPRODUCT(INDEX(PortfolioRef[[SPY]:[PE]],MATCH(DC$1,PortfolioRef[Reference '#]),0),AssetMonthlyReturns[[#This Row],[SPY]:[PE]])</f>
        <v>6.9198090987839921E-3</v>
      </c>
      <c r="DD37" s="27">
        <f>IF(ISNUMBER(DD36),DD36*(1+PortfolioFrontier[[#This Row],[P27 Return]]),1+PortfolioFrontier[[#This Row],[P27 Return]])</f>
        <v>1.1879189310240017</v>
      </c>
      <c r="DE37" s="27">
        <f>MAX(DE36,PortfolioFrontier[[#This Row],[P27 Growth]])</f>
        <v>1.1879189310240017</v>
      </c>
      <c r="DF37" s="27">
        <f>PortfolioFrontier[[#This Row],[P27 Growth]]/PortfolioFrontier[[#This Row],[P27 HWM]]-1</f>
        <v>0</v>
      </c>
      <c r="DG37" s="28">
        <f>SUMPRODUCT(INDEX(PortfolioRef[[SPY]:[PE]],MATCH(DG$1,PortfolioRef[Reference '#]),0),AssetMonthlyReturns[[#This Row],[SPY]:[PE]])</f>
        <v>9.5794013074798137E-3</v>
      </c>
      <c r="DH37" s="27">
        <f>IF(ISNUMBER(DH36),DH36*(1+PortfolioFrontier[[#This Row],[P28 Return]]),1+PortfolioFrontier[[#This Row],[P28 Return]])</f>
        <v>1.2056422164546234</v>
      </c>
      <c r="DI37" s="27">
        <f>MAX(DI36,PortfolioFrontier[[#This Row],[P28 Growth]])</f>
        <v>1.2056422164546234</v>
      </c>
      <c r="DJ37" s="27">
        <f>PortfolioFrontier[[#This Row],[P28 Growth]]/PortfolioFrontier[[#This Row],[P28 HWM]]-1</f>
        <v>0</v>
      </c>
      <c r="DK37" s="28">
        <f>SUMPRODUCT(INDEX(PortfolioRef[[SPY]:[PE]],MATCH(DK$1,PortfolioRef[Reference '#]),0),AssetMonthlyReturns[[#This Row],[SPY]:[PE]])</f>
        <v>7.5720751763013981E-3</v>
      </c>
      <c r="DL37" s="27">
        <f>IF(ISNUMBER(DL36),DL36*(1+PortfolioFrontier[[#This Row],[P29 Return]]),1+PortfolioFrontier[[#This Row],[P29 Return]])</f>
        <v>1.1963031225899414</v>
      </c>
      <c r="DM37" s="27">
        <f>MAX(DM36,PortfolioFrontier[[#This Row],[P29 Growth]])</f>
        <v>1.1963031225899414</v>
      </c>
      <c r="DN37" s="27">
        <f>PortfolioFrontier[[#This Row],[P29 Growth]]/PortfolioFrontier[[#This Row],[P29 HWM]]-1</f>
        <v>0</v>
      </c>
      <c r="DO37" s="28">
        <f>SUMPRODUCT(INDEX(PortfolioRef[[SPY]:[PE]],MATCH(DO$1,PortfolioRef[Reference '#]),0),AssetMonthlyReturns[[#This Row],[SPY]:[PE]])</f>
        <v>5.5647490451229808E-3</v>
      </c>
      <c r="DP37" s="27">
        <f>IF(ISNUMBER(DP36),DP36*(1+PortfolioFrontier[[#This Row],[P30 Return]]),1+PortfolioFrontier[[#This Row],[P30 Return]])</f>
        <v>1.1868600123613156</v>
      </c>
      <c r="DQ37" s="27">
        <f>MAX(DQ36,PortfolioFrontier[[#This Row],[P30 Growth]])</f>
        <v>1.1868600123613156</v>
      </c>
      <c r="DR37" s="27">
        <f>PortfolioFrontier[[#This Row],[P30 Growth]]/PortfolioFrontier[[#This Row],[P30 HWM]]-1</f>
        <v>0</v>
      </c>
      <c r="DS37" s="28">
        <f>SUMPRODUCT(INDEX(PortfolioRef[[SPY]:[PE]],MATCH(DS$1,PortfolioRef[Reference '#]),0),AssetMonthlyReturns[[#This Row],[SPY]:[PE]])</f>
        <v>1.0231667384997218E-2</v>
      </c>
      <c r="DT37" s="27">
        <f>IF(ISNUMBER(DT36),DT36*(1+PortfolioFrontier[[#This Row],[P31 Return]]),1+PortfolioFrontier[[#This Row],[P31 Return]])</f>
        <v>1.2137960011144413</v>
      </c>
      <c r="DU37" s="27">
        <f>MAX(DU36,PortfolioFrontier[[#This Row],[P31 Growth]])</f>
        <v>1.2137960011144413</v>
      </c>
      <c r="DV37" s="27">
        <f>PortfolioFrontier[[#This Row],[P31 Growth]]/PortfolioFrontier[[#This Row],[P31 HWM]]-1</f>
        <v>0</v>
      </c>
      <c r="DW37" s="28">
        <f>SUMPRODUCT(INDEX(PortfolioRef[[SPY]:[PE]],MATCH(DW$1,PortfolioRef[Reference '#]),0),AssetMonthlyReturns[[#This Row],[SPY]:[PE]])</f>
        <v>8.2243412538188024E-3</v>
      </c>
      <c r="DX37" s="27">
        <f>IF(ISNUMBER(DX36),DX36*(1+PortfolioFrontier[[#This Row],[P32 Return]]),1+PortfolioFrontier[[#This Row],[P32 Return]])</f>
        <v>1.204510100923438</v>
      </c>
      <c r="DY37" s="27">
        <f>MAX(DY36,PortfolioFrontier[[#This Row],[P32 Growth]])</f>
        <v>1.204510100923438</v>
      </c>
      <c r="DZ37" s="27">
        <f>PortfolioFrontier[[#This Row],[P32 Growth]]/PortfolioFrontier[[#This Row],[P32 HWM]]-1</f>
        <v>0</v>
      </c>
      <c r="EA37" s="28">
        <f>SUMPRODUCT(INDEX(PortfolioRef[[SPY]:[PE]],MATCH(EA$1,PortfolioRef[Reference '#]),0),AssetMonthlyReturns[[#This Row],[SPY]:[PE]])</f>
        <v>6.217015122640385E-3</v>
      </c>
      <c r="EB37" s="27">
        <f>IF(ISNUMBER(EB36),EB36*(1+PortfolioFrontier[[#This Row],[P33 Return]]),1+PortfolioFrontier[[#This Row],[P33 Return]])</f>
        <v>1.1951176769324452</v>
      </c>
      <c r="EC37" s="27">
        <f>MAX(EC36,PortfolioFrontier[[#This Row],[P33 Growth]])</f>
        <v>1.1951176769324452</v>
      </c>
      <c r="ED37" s="27">
        <f>PortfolioFrontier[[#This Row],[P33 Growth]]/PortfolioFrontier[[#This Row],[P33 HWM]]-1</f>
        <v>0</v>
      </c>
      <c r="EE37" s="28">
        <f>SUMPRODUCT(INDEX(PortfolioRef[[SPY]:[PE]],MATCH(EE$1,PortfolioRef[Reference '#]),0),AssetMonthlyReturns[[#This Row],[SPY]:[PE]])</f>
        <v>6.8421620629829406E-3</v>
      </c>
      <c r="EF37" s="27">
        <f>IF(ISNUMBER(EF36),EF36*(1+PortfolioFrontier[[#This Row],[P34 Return]]),1+PortfolioFrontier[[#This Row],[P34 Return]])</f>
        <v>1.1737182999125013</v>
      </c>
      <c r="EG37" s="27">
        <f>MAX(EG36,PortfolioFrontier[[#This Row],[P34 Growth]])</f>
        <v>1.1737182999125013</v>
      </c>
      <c r="EH37" s="27">
        <f>PortfolioFrontier[[#This Row],[P34 Growth]]/PortfolioFrontier[[#This Row],[P34 HWM]]-1</f>
        <v>0</v>
      </c>
      <c r="EI37" s="28">
        <f>SUMPRODUCT(INDEX(PortfolioRef[[SPY]:[PE]],MATCH(EI$1,PortfolioRef[Reference '#]),0),AssetMonthlyReturns[[#This Row],[SPY]:[PE]])</f>
        <v>6.7189905889417853E-3</v>
      </c>
      <c r="EJ37" s="27">
        <f>IF(ISNUMBER(EJ36),EJ36*(1+PortfolioFrontier[[#This Row],[P35 Return]]),1+PortfolioFrontier[[#This Row],[P35 Return]])</f>
        <v>1.1725046153026608</v>
      </c>
      <c r="EK37" s="27">
        <f>MAX(EK36,PortfolioFrontier[[#This Row],[P35 Growth]])</f>
        <v>1.1725046153026608</v>
      </c>
      <c r="EL37" s="27">
        <f>PortfolioFrontier[[#This Row],[P35 Growth]]/PortfolioFrontier[[#This Row],[P35 HWM]]-1</f>
        <v>0</v>
      </c>
      <c r="EM37" s="28">
        <f>SUMPRODUCT(INDEX(PortfolioRef[[SPY]:[PE]],MATCH(EM$1,PortfolioRef[Reference '#]),0),AssetMonthlyReturns[[#This Row],[SPY]:[PE]])</f>
        <v>7.3712566664591896E-3</v>
      </c>
      <c r="EN37" s="27">
        <f>IF(ISNUMBER(EN36),EN36*(1+PortfolioFrontier[[#This Row],[P36 Return]]),1+PortfolioFrontier[[#This Row],[P36 Return]])</f>
        <v>1.1808441452841669</v>
      </c>
      <c r="EO37" s="27">
        <f>MAX(EO36,PortfolioFrontier[[#This Row],[P36 Growth]])</f>
        <v>1.1808441452841669</v>
      </c>
      <c r="EP37" s="27">
        <f>PortfolioFrontier[[#This Row],[P36 Growth]]/PortfolioFrontier[[#This Row],[P36 HWM]]-1</f>
        <v>0</v>
      </c>
      <c r="EQ37" s="28">
        <f>SUMPRODUCT(INDEX(PortfolioRef[[SPY]:[PE]],MATCH(EQ$1,PortfolioRef[Reference '#]),0),AssetMonthlyReturns[[#This Row],[SPY]:[PE]])</f>
        <v>5.363930535280774E-3</v>
      </c>
      <c r="ER37" s="27">
        <f>IF(ISNUMBER(ER36),ER36*(1+PortfolioFrontier[[#This Row],[P37 Return]]),1+PortfolioFrontier[[#This Row],[P37 Return]])</f>
        <v>1.1714752582886454</v>
      </c>
      <c r="ES37" s="27">
        <f>MAX(ES36,PortfolioFrontier[[#This Row],[P37 Growth]])</f>
        <v>1.1714752582886454</v>
      </c>
      <c r="ET37" s="27">
        <f>PortfolioFrontier[[#This Row],[P37 Growth]]/PortfolioFrontier[[#This Row],[P37 HWM]]-1</f>
        <v>0</v>
      </c>
      <c r="EU37" s="28">
        <f>SUMPRODUCT(INDEX(PortfolioRef[[SPY]:[PE]],MATCH(EU$1,PortfolioRef[Reference '#]),0),AssetMonthlyReturns[[#This Row],[SPY]:[PE]])</f>
        <v>6.5958191149006282E-3</v>
      </c>
      <c r="EV37" s="27">
        <f>IF(ISNUMBER(EV36),EV36*(1+PortfolioFrontier[[#This Row],[P38 Return]]),1+PortfolioFrontier[[#This Row],[P38 Return]])</f>
        <v>1.1712142922088535</v>
      </c>
      <c r="EW37" s="27">
        <f>MAX(EW36,PortfolioFrontier[[#This Row],[P38 Growth]])</f>
        <v>1.1712142922088535</v>
      </c>
      <c r="EX37" s="27">
        <f>PortfolioFrontier[[#This Row],[P38 Growth]]/PortfolioFrontier[[#This Row],[P38 HWM]]-1</f>
        <v>0</v>
      </c>
      <c r="EY37" s="28">
        <f>SUMPRODUCT(INDEX(PortfolioRef[[SPY]:[PE]],MATCH(EY$1,PortfolioRef[Reference '#]),0),AssetMonthlyReturns[[#This Row],[SPY]:[PE]])</f>
        <v>7.2480851924180342E-3</v>
      </c>
      <c r="EZ37" s="27">
        <f>IF(ISNUMBER(EZ36),EZ36*(1+PortfolioFrontier[[#This Row],[P39 Return]]),1+PortfolioFrontier[[#This Row],[P39 Return]])</f>
        <v>1.1796254908422261</v>
      </c>
      <c r="FA37" s="27">
        <f>MAX(FA36,PortfolioFrontier[[#This Row],[P39 Growth]])</f>
        <v>1.1796254908422261</v>
      </c>
      <c r="FB37" s="27">
        <f>PortfolioFrontier[[#This Row],[P39 Growth]]/PortfolioFrontier[[#This Row],[P39 HWM]]-1</f>
        <v>0</v>
      </c>
      <c r="FC37" s="28">
        <f>SUMPRODUCT(INDEX(PortfolioRef[[SPY]:[PE]],MATCH(FC$1,PortfolioRef[Reference '#]),0),AssetMonthlyReturns[[#This Row],[SPY]:[PE]])</f>
        <v>5.2407590612396186E-3</v>
      </c>
      <c r="FD37" s="27">
        <f>IF(ISNUMBER(FD36),FD36*(1+PortfolioFrontier[[#This Row],[P40 Return]]),1+PortfolioFrontier[[#This Row],[P40 Return]])</f>
        <v>1.1702907751676883</v>
      </c>
      <c r="FE37" s="27">
        <f>MAX(FE36,PortfolioFrontier[[#This Row],[P40 Growth]])</f>
        <v>1.1702907751676883</v>
      </c>
      <c r="FF37" s="27">
        <f>PortfolioFrontier[[#This Row],[P40 Growth]]/PortfolioFrontier[[#This Row],[P40 HWM]]-1</f>
        <v>0</v>
      </c>
      <c r="FG37" s="28">
        <f>SUMPRODUCT(INDEX(PortfolioRef[[SPY]:[PE]],MATCH(FG$1,PortfolioRef[Reference '#]),0),AssetMonthlyReturns[[#This Row],[SPY]:[PE]])</f>
        <v>7.9003512699354385E-3</v>
      </c>
      <c r="FH37" s="27">
        <f>IF(ISNUMBER(FH36),FH36*(1+PortfolioFrontier[[#This Row],[P41 Return]]),1+PortfolioFrontier[[#This Row],[P41 Return]])</f>
        <v>1.1878645101689631</v>
      </c>
      <c r="FI37" s="27">
        <f>MAX(FI36,PortfolioFrontier[[#This Row],[P41 Growth]])</f>
        <v>1.1878645101689631</v>
      </c>
      <c r="FJ37" s="27">
        <f>PortfolioFrontier[[#This Row],[P41 Growth]]/PortfolioFrontier[[#This Row],[P41 HWM]]-1</f>
        <v>0</v>
      </c>
      <c r="FK37" s="28">
        <f>SUMPRODUCT(INDEX(PortfolioRef[[SPY]:[PE]],MATCH(FK$1,PortfolioRef[Reference '#]),0),AssetMonthlyReturns[[#This Row],[SPY]:[PE]])</f>
        <v>5.8930251387570229E-3</v>
      </c>
      <c r="FL37" s="27">
        <f>IF(ISNUMBER(FL36),FL36*(1+PortfolioFrontier[[#This Row],[P42 Return]]),1+PortfolioFrontier[[#This Row],[P42 Return]])</f>
        <v>1.1785782129212385</v>
      </c>
      <c r="FM37" s="27">
        <f>MAX(FM36,PortfolioFrontier[[#This Row],[P42 Growth]])</f>
        <v>1.1785782129212385</v>
      </c>
      <c r="FN37" s="27">
        <f>PortfolioFrontier[[#This Row],[P42 Growth]]/PortfolioFrontier[[#This Row],[P42 HWM]]-1</f>
        <v>0</v>
      </c>
      <c r="FO37" s="28">
        <f>SUMPRODUCT(INDEX(PortfolioRef[[SPY]:[PE]],MATCH(FO$1,PortfolioRef[Reference '#]),0),AssetMonthlyReturns[[#This Row],[SPY]:[PE]])</f>
        <v>3.8856990075786055E-3</v>
      </c>
      <c r="FP37" s="27">
        <f>IF(ISNUMBER(FP36),FP36*(1+PortfolioFrontier[[#This Row],[P43 Return]]),1+PortfolioFrontier[[#This Row],[P43 Return]])</f>
        <v>1.1691906010115358</v>
      </c>
      <c r="FQ37" s="27">
        <f>MAX(FQ36,PortfolioFrontier[[#This Row],[P43 Growth]])</f>
        <v>1.1691906010115358</v>
      </c>
      <c r="FR37" s="27">
        <f>PortfolioFrontier[[#This Row],[P43 Growth]]/PortfolioFrontier[[#This Row],[P43 HWM]]-1</f>
        <v>0</v>
      </c>
      <c r="FS37" s="28">
        <f>SUMPRODUCT(INDEX(PortfolioRef[[SPY]:[PE]],MATCH(FS$1,PortfolioRef[Reference '#]),0),AssetMonthlyReturns[[#This Row],[SPY]:[PE]])</f>
        <v>7.1249137183768772E-3</v>
      </c>
      <c r="FT37" s="27">
        <f>IF(ISNUMBER(FT36),FT36*(1+PortfolioFrontier[[#This Row],[P44 Return]]),1+PortfolioFrontier[[#This Row],[P44 Return]])</f>
        <v>1.1783298027510407</v>
      </c>
      <c r="FU37" s="27">
        <f>MAX(FU36,PortfolioFrontier[[#This Row],[P44 Growth]])</f>
        <v>1.1783298027510407</v>
      </c>
      <c r="FV37" s="27">
        <f>PortfolioFrontier[[#This Row],[P44 Growth]]/PortfolioFrontier[[#This Row],[P44 HWM]]-1</f>
        <v>0</v>
      </c>
      <c r="FW37" s="28">
        <f>SUMPRODUCT(INDEX(PortfolioRef[[SPY]:[PE]],MATCH(FW$1,PortfolioRef[Reference '#]),0),AssetMonthlyReturns[[#This Row],[SPY]:[PE]])</f>
        <v>5.1175875871984616E-3</v>
      </c>
      <c r="FX37" s="27">
        <f>IF(ISNUMBER(FX36),FX36*(1+PortfolioFrontier[[#This Row],[P45 Return]]),1+PortfolioFrontier[[#This Row],[P45 Return]])</f>
        <v>1.1690297388633013</v>
      </c>
      <c r="FY37" s="27">
        <f>MAX(FY36,PortfolioFrontier[[#This Row],[P45 Growth]])</f>
        <v>1.1690297388633013</v>
      </c>
      <c r="FZ37" s="27">
        <f>PortfolioFrontier[[#This Row],[P45 Growth]]/PortfolioFrontier[[#This Row],[P45 HWM]]-1</f>
        <v>0</v>
      </c>
      <c r="GA37" s="28">
        <f>SUMPRODUCT(INDEX(PortfolioRef[[SPY]:[PE]],MATCH(GA$1,PortfolioRef[Reference '#]),0),AssetMonthlyReturns[[#This Row],[SPY]:[PE]])</f>
        <v>7.7771797958942832E-3</v>
      </c>
      <c r="GB37" s="27">
        <f>IF(ISNUMBER(GB36),GB36*(1+PortfolioFrontier[[#This Row],[P46 Return]]),1+PortfolioFrontier[[#This Row],[P46 Return]])</f>
        <v>1.1866411837854676</v>
      </c>
      <c r="GC37" s="27">
        <f>MAX(GC36,PortfolioFrontier[[#This Row],[P46 Growth]])</f>
        <v>1.1866411837854676</v>
      </c>
      <c r="GD37" s="27">
        <f>PortfolioFrontier[[#This Row],[P46 Growth]]/PortfolioFrontier[[#This Row],[P46 HWM]]-1</f>
        <v>0</v>
      </c>
      <c r="GE37" s="28">
        <f>SUMPRODUCT(INDEX(PortfolioRef[[SPY]:[PE]],MATCH(GE$1,PortfolioRef[Reference '#]),0),AssetMonthlyReturns[[#This Row],[SPY]:[PE]])</f>
        <v>5.7698536647158676E-3</v>
      </c>
      <c r="GF37" s="27">
        <f>IF(ISNUMBER(GF36),GF36*(1+PortfolioFrontier[[#This Row],[P47 Return]]),1+PortfolioFrontier[[#This Row],[P47 Return]])</f>
        <v>1.1773889815222143</v>
      </c>
      <c r="GG37" s="27">
        <f>MAX(GG36,PortfolioFrontier[[#This Row],[P47 Growth]])</f>
        <v>1.1773889815222143</v>
      </c>
      <c r="GH37" s="27">
        <f>PortfolioFrontier[[#This Row],[P47 Growth]]/PortfolioFrontier[[#This Row],[P47 HWM]]-1</f>
        <v>0</v>
      </c>
      <c r="GI37" s="28">
        <f>SUMPRODUCT(INDEX(PortfolioRef[[SPY]:[PE]],MATCH(GI$1,PortfolioRef[Reference '#]),0),AssetMonthlyReturns[[#This Row],[SPY]:[PE]])</f>
        <v>3.7625275335374502E-3</v>
      </c>
      <c r="GJ37" s="27">
        <f>IF(ISNUMBER(GJ36),GJ36*(1+PortfolioFrontier[[#This Row],[P48 Return]]),1+PortfolioFrontier[[#This Row],[P48 Return]])</f>
        <v>1.1680352608186315</v>
      </c>
      <c r="GK37" s="27">
        <f>MAX(GK36,PortfolioFrontier[[#This Row],[P48 Growth]])</f>
        <v>1.1680352608186315</v>
      </c>
      <c r="GL37" s="27">
        <f>PortfolioFrontier[[#This Row],[P48 Growth]]/PortfolioFrontier[[#This Row],[P48 HWM]]-1</f>
        <v>0</v>
      </c>
      <c r="GM37" s="28">
        <f>SUMPRODUCT(INDEX(PortfolioRef[[SPY]:[PE]],MATCH(GM$1,PortfolioRef[Reference '#]),0),AssetMonthlyReturns[[#This Row],[SPY]:[PE]])</f>
        <v>8.4294458734116874E-3</v>
      </c>
      <c r="GN37" s="27">
        <f>IF(ISNUMBER(GN36),GN36*(1+PortfolioFrontier[[#This Row],[P49 Return]]),1+PortfolioFrontier[[#This Row],[P49 Return]])</f>
        <v>1.1947769249106976</v>
      </c>
      <c r="GO37" s="27">
        <f>MAX(GO36,PortfolioFrontier[[#This Row],[P49 Growth]])</f>
        <v>1.1947769249106976</v>
      </c>
      <c r="GP37" s="27">
        <f>PortfolioFrontier[[#This Row],[P49 Growth]]/PortfolioFrontier[[#This Row],[P49 HWM]]-1</f>
        <v>0</v>
      </c>
      <c r="GQ37" s="28">
        <f>SUMPRODUCT(INDEX(PortfolioRef[[SPY]:[PE]],MATCH(GQ$1,PortfolioRef[Reference '#]),0),AssetMonthlyReturns[[#This Row],[SPY]:[PE]])</f>
        <v>6.4221197422332718E-3</v>
      </c>
      <c r="GR37" s="27">
        <f>IF(ISNUMBER(GR36),GR36*(1+PortfolioFrontier[[#This Row],[P50 Return]]),1+PortfolioFrontier[[#This Row],[P50 Return]])</f>
        <v>1.1855756603955854</v>
      </c>
      <c r="GS37" s="27">
        <f>MAX(GS36,PortfolioFrontier[[#This Row],[P50 Growth]])</f>
        <v>1.1855756603955854</v>
      </c>
      <c r="GT37" s="27">
        <f>PortfolioFrontier[[#This Row],[P50 Growth]]/PortfolioFrontier[[#This Row],[P50 HWM]]-1</f>
        <v>0</v>
      </c>
      <c r="GU37" s="28">
        <f>SUMPRODUCT(INDEX(PortfolioRef[[SPY]:[PE]],MATCH(GU$1,PortfolioRef[Reference '#]),0),AssetMonthlyReturns[[#This Row],[SPY]:[PE]])</f>
        <v>4.4147936110548545E-3</v>
      </c>
      <c r="GV37" s="27">
        <f>IF(ISNUMBER(GV36),GV36*(1+PortfolioFrontier[[#This Row],[P51 Return]]),1+PortfolioFrontier[[#This Row],[P51 Return]])</f>
        <v>1.1762704054718884</v>
      </c>
      <c r="GW37" s="27">
        <f>MAX(GW36,PortfolioFrontier[[#This Row],[P51 Growth]])</f>
        <v>1.1762704054718884</v>
      </c>
      <c r="GX37" s="27">
        <f>PortfolioFrontier[[#This Row],[P51 Growth]]/PortfolioFrontier[[#This Row],[P51 HWM]]-1</f>
        <v>0</v>
      </c>
      <c r="GY37" s="28">
        <f>SUMPRODUCT(INDEX(PortfolioRef[[SPY]:[PE]],MATCH(GY$1,PortfolioRef[Reference '#]),0),AssetMonthlyReturns[[#This Row],[SPY]:[PE]])</f>
        <v>7.6540083218531261E-3</v>
      </c>
      <c r="GZ37" s="27">
        <f>IF(ISNUMBER(GZ36),GZ36*(1+PortfolioFrontier[[#This Row],[P52 Return]]),1+PortfolioFrontier[[#This Row],[P52 Return]])</f>
        <v>1.1853404345713059</v>
      </c>
      <c r="HA37" s="27">
        <f>MAX(HA36,PortfolioFrontier[[#This Row],[P52 Growth]])</f>
        <v>1.1853404345713059</v>
      </c>
      <c r="HB37" s="27">
        <f>PortfolioFrontier[[#This Row],[P52 Growth]]/PortfolioFrontier[[#This Row],[P52 HWM]]-1</f>
        <v>0</v>
      </c>
      <c r="HC37" s="28">
        <f>SUMPRODUCT(INDEX(PortfolioRef[[SPY]:[PE]],MATCH(HC$1,PortfolioRef[Reference '#]),0),AssetMonthlyReturns[[#This Row],[SPY]:[PE]])</f>
        <v>5.6466821906747105E-3</v>
      </c>
      <c r="HD37" s="27">
        <f>IF(ISNUMBER(HD36),HD36*(1+PortfolioFrontier[[#This Row],[P53 Return]]),1+PortfolioFrontier[[#This Row],[P53 Return]])</f>
        <v>1.1761228027744324</v>
      </c>
      <c r="HE37" s="27">
        <f>MAX(HE36,PortfolioFrontier[[#This Row],[P53 Growth]])</f>
        <v>1.1761228027744324</v>
      </c>
      <c r="HF37" s="27">
        <f>PortfolioFrontier[[#This Row],[P53 Growth]]/PortfolioFrontier[[#This Row],[P53 HWM]]-1</f>
        <v>0</v>
      </c>
      <c r="HG37" s="28">
        <f>SUMPRODUCT(INDEX(PortfolioRef[[SPY]:[PE]],MATCH(HG$1,PortfolioRef[Reference '#]),0),AssetMonthlyReturns[[#This Row],[SPY]:[PE]])</f>
        <v>3.6393560594962931E-3</v>
      </c>
      <c r="HH37" s="27">
        <f>IF(ISNUMBER(HH36),HH36*(1+PortfolioFrontier[[#This Row],[P54 Return]]),1+PortfolioFrontier[[#This Row],[P54 Return]])</f>
        <v>1.1668034564616023</v>
      </c>
      <c r="HI37" s="27">
        <f>MAX(HI36,PortfolioFrontier[[#This Row],[P54 Growth]])</f>
        <v>1.1668034564616023</v>
      </c>
      <c r="HJ37" s="27">
        <f>PortfolioFrontier[[#This Row],[P54 Growth]]/PortfolioFrontier[[#This Row],[P54 HWM]]-1</f>
        <v>0</v>
      </c>
      <c r="HK37" s="28">
        <f>SUMPRODUCT(INDEX(PortfolioRef[[SPY]:[PE]],MATCH(HK$1,PortfolioRef[Reference '#]),0),AssetMonthlyReturns[[#This Row],[SPY]:[PE]])</f>
        <v>8.3062743993705321E-3</v>
      </c>
      <c r="HL37" s="27">
        <f>IF(ISNUMBER(HL36),HL36*(1+PortfolioFrontier[[#This Row],[P55 Return]]),1+PortfolioFrontier[[#This Row],[P55 Return]])</f>
        <v>1.1935492299564003</v>
      </c>
      <c r="HM37" s="27">
        <f>MAX(HM36,PortfolioFrontier[[#This Row],[P55 Growth]])</f>
        <v>1.1935492299564003</v>
      </c>
      <c r="HN37" s="27">
        <f>PortfolioFrontier[[#This Row],[P55 Growth]]/PortfolioFrontier[[#This Row],[P55 HWM]]-1</f>
        <v>0</v>
      </c>
      <c r="HO37" s="28">
        <f>SUMPRODUCT(INDEX(PortfolioRef[[SPY]:[PE]],MATCH(HO$1,PortfolioRef[Reference '#]),0),AssetMonthlyReturns[[#This Row],[SPY]:[PE]])</f>
        <v>6.2989482681921165E-3</v>
      </c>
      <c r="HP37" s="27">
        <f>IF(ISNUMBER(HP36),HP36*(1+PortfolioFrontier[[#This Row],[P56 Return]]),1+PortfolioFrontier[[#This Row],[P56 Return]])</f>
        <v>1.1843819772585504</v>
      </c>
      <c r="HQ37" s="27">
        <f>MAX(HQ36,PortfolioFrontier[[#This Row],[P56 Growth]])</f>
        <v>1.1843819772585504</v>
      </c>
      <c r="HR37" s="27">
        <f>PortfolioFrontier[[#This Row],[P56 Growth]]/PortfolioFrontier[[#This Row],[P56 HWM]]-1</f>
        <v>0</v>
      </c>
      <c r="HS37" s="28">
        <f>SUMPRODUCT(INDEX(PortfolioRef[[SPY]:[PE]],MATCH(HS$1,PortfolioRef[Reference '#]),0),AssetMonthlyReturns[[#This Row],[SPY]:[PE]])</f>
        <v>4.2916221370136991E-3</v>
      </c>
      <c r="HT37" s="27">
        <f>IF(ISNUMBER(HT36),HT36*(1+PortfolioFrontier[[#This Row],[P57 Return]]),1+PortfolioFrontier[[#This Row],[P57 Return]])</f>
        <v>1.1751105376725322</v>
      </c>
      <c r="HU37" s="27">
        <f>MAX(HU36,PortfolioFrontier[[#This Row],[P57 Growth]])</f>
        <v>1.1751105376725322</v>
      </c>
      <c r="HV37" s="27">
        <f>PortfolioFrontier[[#This Row],[P57 Growth]]/PortfolioFrontier[[#This Row],[P57 HWM]]-1</f>
        <v>0</v>
      </c>
      <c r="HW37" s="28">
        <f>SUMPRODUCT(INDEX(PortfolioRef[[SPY]:[PE]],MATCH(HW$1,PortfolioRef[Reference '#]),0),AssetMonthlyReturns[[#This Row],[SPY]:[PE]])</f>
        <v>8.9585404768879363E-3</v>
      </c>
      <c r="HX37" s="27">
        <f>IF(ISNUMBER(HX36),HX36*(1+PortfolioFrontier[[#This Row],[P58 Return]]),1+PortfolioFrontier[[#This Row],[P58 Return]])</f>
        <v>1.2015789277360114</v>
      </c>
      <c r="HY37" s="27">
        <f>MAX(HY36,PortfolioFrontier[[#This Row],[P58 Growth]])</f>
        <v>1.2015789277360114</v>
      </c>
      <c r="HZ37" s="27">
        <f>PortfolioFrontier[[#This Row],[P58 Growth]]/PortfolioFrontier[[#This Row],[P58 HWM]]-1</f>
        <v>0</v>
      </c>
      <c r="IA37" s="28">
        <f>SUMPRODUCT(INDEX(PortfolioRef[[SPY]:[PE]],MATCH(IA$1,PortfolioRef[Reference '#]),0),AssetMonthlyReturns[[#This Row],[SPY]:[PE]])</f>
        <v>6.9512143457095207E-3</v>
      </c>
      <c r="IB37" s="27">
        <f>IF(ISNUMBER(IB36),IB36*(1+PortfolioFrontier[[#This Row],[P59 Return]]),1+PortfolioFrontier[[#This Row],[P59 Return]])</f>
        <v>1.1924651339681089</v>
      </c>
      <c r="IC37" s="27">
        <f>MAX(IC36,PortfolioFrontier[[#This Row],[P59 Growth]])</f>
        <v>1.1924651339681089</v>
      </c>
      <c r="ID37" s="27">
        <f>PortfolioFrontier[[#This Row],[P59 Growth]]/PortfolioFrontier[[#This Row],[P59 HWM]]-1</f>
        <v>0</v>
      </c>
      <c r="IE37" s="28">
        <f>SUMPRODUCT(INDEX(PortfolioRef[[SPY]:[PE]],MATCH(IE$1,PortfolioRef[Reference '#]),0),AssetMonthlyReturns[[#This Row],[SPY]:[PE]])</f>
        <v>4.9438882145311034E-3</v>
      </c>
      <c r="IF37" s="27">
        <f>IF(ISNUMBER(IF36),IF36*(1+PortfolioFrontier[[#This Row],[P60 Return]]),1+PortfolioFrontier[[#This Row],[P60 Return]])</f>
        <v>1.1832446789117554</v>
      </c>
      <c r="IG37" s="27">
        <f>MAX(IG36,PortfolioFrontier[[#This Row],[P60 Growth]])</f>
        <v>1.1832446789117554</v>
      </c>
      <c r="IH37" s="27">
        <f>PortfolioFrontier[[#This Row],[P60 Growth]]/PortfolioFrontier[[#This Row],[P60 HWM]]-1</f>
        <v>0</v>
      </c>
      <c r="II37" s="28">
        <f>SUMPRODUCT(INDEX(PortfolioRef[[SPY]:[PE]],MATCH(II$1,PortfolioRef[Reference '#]),0),AssetMonthlyReturns[[#This Row],[SPY]:[PE]])</f>
        <v>5.0399405513974135E-3</v>
      </c>
      <c r="IJ37" s="27">
        <f>IF(ISNUMBER(IJ36),IJ36*(1+PortfolioFrontier[[#This Row],[P61 Return]]),1+PortfolioFrontier[[#This Row],[P61 Return]])</f>
        <v>1.15494946186315</v>
      </c>
      <c r="IK37" s="27">
        <f>MAX(IK36,PortfolioFrontier[[#This Row],[P61 Growth]])</f>
        <v>1.15494946186315</v>
      </c>
      <c r="IL37" s="27">
        <f>PortfolioFrontier[[#This Row],[P61 Growth]]/PortfolioFrontier[[#This Row],[P61 HWM]]-1</f>
        <v>0</v>
      </c>
      <c r="IM37" s="28">
        <f>SUMPRODUCT(INDEX(PortfolioRef[[SPY]:[PE]],MATCH(IM$1,PortfolioRef[Reference '#]),0),AssetMonthlyReturns[[#This Row],[SPY]:[PE]])</f>
        <v>4.9167690773562582E-3</v>
      </c>
      <c r="IN37" s="27">
        <f>IF(ISNUMBER(IN36),IN36*(1+PortfolioFrontier[[#This Row],[P62 Return]]),1+PortfolioFrontier[[#This Row],[P62 Return]])</f>
        <v>1.1537325407715149</v>
      </c>
      <c r="IO37" s="27">
        <f>MAX(IO36,PortfolioFrontier[[#This Row],[P62 Growth]])</f>
        <v>1.1537325407715149</v>
      </c>
      <c r="IP37" s="27">
        <f>PortfolioFrontier[[#This Row],[P62 Growth]]/PortfolioFrontier[[#This Row],[P62 HWM]]-1</f>
        <v>0</v>
      </c>
      <c r="IQ37" s="28">
        <f>SUMPRODUCT(INDEX(PortfolioRef[[SPY]:[PE]],MATCH(IQ$1,PortfolioRef[Reference '#]),0),AssetMonthlyReturns[[#This Row],[SPY]:[PE]])</f>
        <v>5.5690351548736625E-3</v>
      </c>
      <c r="IR37" s="27">
        <f>IF(ISNUMBER(IR36),IR36*(1+PortfolioFrontier[[#This Row],[P63 Return]]),1+PortfolioFrontier[[#This Row],[P63 Return]])</f>
        <v>1.1620449587806567</v>
      </c>
      <c r="IS37" s="27">
        <f>MAX(IS36,PortfolioFrontier[[#This Row],[P63 Growth]])</f>
        <v>1.1620449587806567</v>
      </c>
      <c r="IT37" s="27">
        <f>PortfolioFrontier[[#This Row],[P63 Growth]]/PortfolioFrontier[[#This Row],[P63 HWM]]-1</f>
        <v>0</v>
      </c>
      <c r="IU37" s="28">
        <f>SUMPRODUCT(INDEX(PortfolioRef[[SPY]:[PE]],MATCH(IU$1,PortfolioRef[Reference '#]),0),AssetMonthlyReturns[[#This Row],[SPY]:[PE]])</f>
        <v>3.5617090236952469E-3</v>
      </c>
      <c r="IV37" s="27">
        <f>IF(ISNUMBER(IV36),IV36*(1+PortfolioFrontier[[#This Row],[P64 Return]]),1+PortfolioFrontier[[#This Row],[P64 Return]])</f>
        <v>1.1527662543011143</v>
      </c>
      <c r="IW37" s="27">
        <f>MAX(IW36,PortfolioFrontier[[#This Row],[P64 Growth]])</f>
        <v>1.1527662543011143</v>
      </c>
      <c r="IX37" s="27">
        <f>PortfolioFrontier[[#This Row],[P64 Growth]]/PortfolioFrontier[[#This Row],[P64 HWM]]-1</f>
        <v>0</v>
      </c>
      <c r="IY37" s="28">
        <f>SUMPRODUCT(INDEX(PortfolioRef[[SPY]:[PE]],MATCH(IY$1,PortfolioRef[Reference '#]),0),AssetMonthlyReturns[[#This Row],[SPY]:[PE]])</f>
        <v>4.7935976033151011E-3</v>
      </c>
      <c r="IZ37" s="27">
        <f>IF(ISNUMBER(IZ36),IZ36*(1+PortfolioFrontier[[#This Row],[P65 Return]]),1+PortfolioFrontier[[#This Row],[P65 Return]])</f>
        <v>1.1524401705695992</v>
      </c>
      <c r="JA37" s="27">
        <f>MAX(JA36,PortfolioFrontier[[#This Row],[P65 Growth]])</f>
        <v>1.1524401705695992</v>
      </c>
      <c r="JB37" s="27">
        <f>PortfolioFrontier[[#This Row],[P65 Growth]]/PortfolioFrontier[[#This Row],[P65 HWM]]-1</f>
        <v>0</v>
      </c>
      <c r="JC37" s="28">
        <f>SUMPRODUCT(INDEX(PortfolioRef[[SPY]:[PE]],MATCH(JC$1,PortfolioRef[Reference '#]),0),AssetMonthlyReturns[[#This Row],[SPY]:[PE]])</f>
        <v>5.4458636808325071E-3</v>
      </c>
      <c r="JD37" s="27">
        <f>IF(ISNUMBER(JD36),JD36*(1+PortfolioFrontier[[#This Row],[P66 Return]]),1+PortfolioFrontier[[#This Row],[P66 Return]])</f>
        <v>1.1608228103765919</v>
      </c>
      <c r="JE37" s="27">
        <f>MAX(JE36,PortfolioFrontier[[#This Row],[P66 Growth]])</f>
        <v>1.1608228103765919</v>
      </c>
      <c r="JF37" s="27">
        <f>PortfolioFrontier[[#This Row],[P66 Growth]]/PortfolioFrontier[[#This Row],[P66 HWM]]-1</f>
        <v>0</v>
      </c>
      <c r="JG37" s="28">
        <f>SUMPRODUCT(INDEX(PortfolioRef[[SPY]:[PE]],MATCH(JG$1,PortfolioRef[Reference '#]),0),AssetMonthlyReturns[[#This Row],[SPY]:[PE]])</f>
        <v>3.4385375496540915E-3</v>
      </c>
      <c r="JH37" s="27">
        <f>IF(ISNUMBER(JH36),JH36*(1+PortfolioFrontier[[#This Row],[P67 Return]]),1+PortfolioFrontier[[#This Row],[P67 Return]])</f>
        <v>1.1515780697620326</v>
      </c>
      <c r="JI37" s="27">
        <f>MAX(JI36,PortfolioFrontier[[#This Row],[P67 Growth]])</f>
        <v>1.1515780697620326</v>
      </c>
      <c r="JJ37" s="27">
        <f>PortfolioFrontier[[#This Row],[P67 Growth]]/PortfolioFrontier[[#This Row],[P67 HWM]]-1</f>
        <v>0</v>
      </c>
      <c r="JK37" s="28">
        <f>SUMPRODUCT(INDEX(PortfolioRef[[SPY]:[PE]],MATCH(JK$1,PortfolioRef[Reference '#]),0),AssetMonthlyReturns[[#This Row],[SPY]:[PE]])</f>
        <v>6.0981297583499114E-3</v>
      </c>
      <c r="JL37" s="27">
        <f>IF(ISNUMBER(JL36),JL36*(1+PortfolioFrontier[[#This Row],[P68 Return]]),1+PortfolioFrontier[[#This Row],[P68 Return]])</f>
        <v>1.1690378331462112</v>
      </c>
      <c r="JM37" s="27">
        <f>MAX(JM36,PortfolioFrontier[[#This Row],[P68 Growth]])</f>
        <v>1.1690378331462112</v>
      </c>
      <c r="JN37" s="27">
        <f>PortfolioFrontier[[#This Row],[P68 Growth]]/PortfolioFrontier[[#This Row],[P68 HWM]]-1</f>
        <v>0</v>
      </c>
      <c r="JO37" s="28">
        <f>SUMPRODUCT(INDEX(PortfolioRef[[SPY]:[PE]],MATCH(JO$1,PortfolioRef[Reference '#]),0),AssetMonthlyReturns[[#This Row],[SPY]:[PE]])</f>
        <v>4.0908036271714958E-3</v>
      </c>
      <c r="JP37" s="27">
        <f>IF(ISNUMBER(JP36),JP36*(1+PortfolioFrontier[[#This Row],[P69 Return]]),1+PortfolioFrontier[[#This Row],[P69 Return]])</f>
        <v>1.1598393483022431</v>
      </c>
      <c r="JQ37" s="27">
        <f>MAX(JQ36,PortfolioFrontier[[#This Row],[P69 Growth]])</f>
        <v>1.1598393483022431</v>
      </c>
      <c r="JR37" s="27">
        <f>PortfolioFrontier[[#This Row],[P69 Growth]]/PortfolioFrontier[[#This Row],[P69 HWM]]-1</f>
        <v>0</v>
      </c>
      <c r="JS37" s="28">
        <f>SUMPRODUCT(INDEX(PortfolioRef[[SPY]:[PE]],MATCH(JS$1,PortfolioRef[Reference '#]),0),AssetMonthlyReturns[[#This Row],[SPY]:[PE]])</f>
        <v>2.0834774959930785E-3</v>
      </c>
      <c r="JT37" s="27">
        <f>IF(ISNUMBER(JT36),JT36*(1+PortfolioFrontier[[#This Row],[P70 Return]]),1+PortfolioFrontier[[#This Row],[P70 Return]])</f>
        <v>1.1505420016722903</v>
      </c>
      <c r="JU37" s="27">
        <f>MAX(JU36,PortfolioFrontier[[#This Row],[P70 Growth]])</f>
        <v>1.1505420016722903</v>
      </c>
      <c r="JV37" s="27">
        <f>PortfolioFrontier[[#This Row],[P70 Growth]]/PortfolioFrontier[[#This Row],[P70 HWM]]-1</f>
        <v>0</v>
      </c>
      <c r="JW37" s="28">
        <f>SUMPRODUCT(INDEX(PortfolioRef[[SPY]:[PE]],MATCH(JW$1,PortfolioRef[Reference '#]),0),AssetMonthlyReturns[[#This Row],[SPY]:[PE]])</f>
        <v>5.3226922067913501E-3</v>
      </c>
      <c r="JX37" s="27">
        <f>IF(ISNUMBER(JX36),JX36*(1+PortfolioFrontier[[#This Row],[P71 Return]]),1+PortfolioFrontier[[#This Row],[P71 Return]])</f>
        <v>1.1595248191176539</v>
      </c>
      <c r="JY37" s="27">
        <f>MAX(JY36,PortfolioFrontier[[#This Row],[P71 Growth]])</f>
        <v>1.1595248191176539</v>
      </c>
      <c r="JZ37" s="27">
        <f>PortfolioFrontier[[#This Row],[P71 Growth]]/PortfolioFrontier[[#This Row],[P71 HWM]]-1</f>
        <v>0</v>
      </c>
      <c r="KA37" s="28">
        <f>SUMPRODUCT(INDEX(PortfolioRef[[SPY]:[PE]],MATCH(KA$1,PortfolioRef[Reference '#]),0),AssetMonthlyReturns[[#This Row],[SPY]:[PE]])</f>
        <v>3.3153660756129345E-3</v>
      </c>
      <c r="KB37" s="27">
        <f>IF(ISNUMBER(KB36),KB36*(1+PortfolioFrontier[[#This Row],[P72 Return]]),1+PortfolioFrontier[[#This Row],[P72 Return]])</f>
        <v>1.1503145180771832</v>
      </c>
      <c r="KC37" s="27">
        <f>MAX(KC36,PortfolioFrontier[[#This Row],[P72 Growth]])</f>
        <v>1.1503145180771832</v>
      </c>
      <c r="KD37" s="27">
        <f>PortfolioFrontier[[#This Row],[P72 Growth]]/PortfolioFrontier[[#This Row],[P72 HWM]]-1</f>
        <v>0</v>
      </c>
      <c r="KE37" s="28">
        <f>SUMPRODUCT(INDEX(PortfolioRef[[SPY]:[PE]],MATCH(KE$1,PortfolioRef[Reference '#]),0),AssetMonthlyReturns[[#This Row],[SPY]:[PE]])</f>
        <v>5.9749582843087561E-3</v>
      </c>
      <c r="KF37" s="27">
        <f>IF(ISNUMBER(KF36),KF36*(1+PortfolioFrontier[[#This Row],[P73 Return]]),1+PortfolioFrontier[[#This Row],[P73 Return]])</f>
        <v>1.1678107488930238</v>
      </c>
      <c r="KG37" s="27">
        <f>MAX(KG36,PortfolioFrontier[[#This Row],[P73 Growth]])</f>
        <v>1.1678107488930238</v>
      </c>
      <c r="KH37" s="27">
        <f>PortfolioFrontier[[#This Row],[P73 Growth]]/PortfolioFrontier[[#This Row],[P73 HWM]]-1</f>
        <v>0</v>
      </c>
      <c r="KI37" s="28">
        <f>SUMPRODUCT(INDEX(PortfolioRef[[SPY]:[PE]],MATCH(KI$1,PortfolioRef[Reference '#]),0),AssetMonthlyReturns[[#This Row],[SPY]:[PE]])</f>
        <v>3.9676321531303405E-3</v>
      </c>
      <c r="KJ37" s="27">
        <f>IF(ISNUMBER(KJ36),KJ36*(1+PortfolioFrontier[[#This Row],[P74 Return]]),1+PortfolioFrontier[[#This Row],[P74 Return]])</f>
        <v>1.1586461560946426</v>
      </c>
      <c r="KK37" s="27">
        <f>MAX(KK36,PortfolioFrontier[[#This Row],[P74 Growth]])</f>
        <v>1.1586461560946426</v>
      </c>
      <c r="KL37" s="27">
        <f>PortfolioFrontier[[#This Row],[P74 Growth]]/PortfolioFrontier[[#This Row],[P74 HWM]]-1</f>
        <v>0</v>
      </c>
      <c r="KM37" s="28">
        <f>SUMPRODUCT(INDEX(PortfolioRef[[SPY]:[PE]],MATCH(KM$1,PortfolioRef[Reference '#]),0),AssetMonthlyReturns[[#This Row],[SPY]:[PE]])</f>
        <v>1.9603060219519231E-3</v>
      </c>
      <c r="KN37" s="27">
        <f>IF(ISNUMBER(KN36),KN36*(1+PortfolioFrontier[[#This Row],[P75 Return]]),1+PortfolioFrontier[[#This Row],[P75 Return]])</f>
        <v>1.1493824977630576</v>
      </c>
      <c r="KO37" s="27">
        <f>MAX(KO36,PortfolioFrontier[[#This Row],[P75 Growth]])</f>
        <v>1.1493824977630576</v>
      </c>
      <c r="KP37" s="27">
        <f>PortfolioFrontier[[#This Row],[P75 Growth]]/PortfolioFrontier[[#This Row],[P75 HWM]]-1</f>
        <v>0</v>
      </c>
      <c r="KQ37" s="28">
        <f>SUMPRODUCT(INDEX(PortfolioRef[[SPY]:[PE]],MATCH(KQ$1,PortfolioRef[Reference '#]),0),AssetMonthlyReturns[[#This Row],[SPY]:[PE]])</f>
        <v>6.6272243618261603E-3</v>
      </c>
      <c r="KR37" s="27">
        <f>IF(ISNUMBER(KR36),KR36*(1+PortfolioFrontier[[#This Row],[P76 Return]]),1+PortfolioFrontier[[#This Row],[P76 Return]])</f>
        <v>1.175925647716189</v>
      </c>
      <c r="KS37" s="27">
        <f>MAX(KS36,PortfolioFrontier[[#This Row],[P76 Growth]])</f>
        <v>1.175925647716189</v>
      </c>
      <c r="KT37" s="27">
        <f>PortfolioFrontier[[#This Row],[P76 Growth]]/PortfolioFrontier[[#This Row],[P76 HWM]]-1</f>
        <v>0</v>
      </c>
      <c r="KU37" s="28">
        <f>SUMPRODUCT(INDEX(PortfolioRef[[SPY]:[PE]],MATCH(KU$1,PortfolioRef[Reference '#]),0),AssetMonthlyReturns[[#This Row],[SPY]:[PE]])</f>
        <v>4.6198982306477447E-3</v>
      </c>
      <c r="KV37" s="27">
        <f>IF(ISNUMBER(KV36),KV36*(1+PortfolioFrontier[[#This Row],[P77 Return]]),1+PortfolioFrontier[[#This Row],[P77 Return]])</f>
        <v>1.1668097920616518</v>
      </c>
      <c r="KW37" s="27">
        <f>MAX(KW36,PortfolioFrontier[[#This Row],[P77 Growth]])</f>
        <v>1.1668097920616518</v>
      </c>
      <c r="KX37" s="27">
        <f>PortfolioFrontier[[#This Row],[P77 Growth]]/PortfolioFrontier[[#This Row],[P77 HWM]]-1</f>
        <v>0</v>
      </c>
      <c r="KY37" s="28">
        <f>SUMPRODUCT(INDEX(PortfolioRef[[SPY]:[PE]],MATCH(KY$1,PortfolioRef[Reference '#]),0),AssetMonthlyReturns[[#This Row],[SPY]:[PE]])</f>
        <v>2.6125720994693274E-3</v>
      </c>
      <c r="KZ37" s="27">
        <f>IF(ISNUMBER(KZ36),KZ36*(1+PortfolioFrontier[[#This Row],[P78 Return]]),1+PortfolioFrontier[[#This Row],[P78 Return]])</f>
        <v>1.1575924341745381</v>
      </c>
      <c r="LA37" s="27">
        <f>MAX(LA36,PortfolioFrontier[[#This Row],[P78 Growth]])</f>
        <v>1.1575924341745381</v>
      </c>
      <c r="LB37" s="27">
        <f>PortfolioFrontier[[#This Row],[P78 Growth]]/PortfolioFrontier[[#This Row],[P78 HWM]]-1</f>
        <v>0</v>
      </c>
      <c r="LC37" s="28">
        <f>SUMPRODUCT(INDEX(PortfolioRef[[SPY]:[PE]],MATCH(LC$1,PortfolioRef[Reference '#]),0),AssetMonthlyReturns[[#This Row],[SPY]:[PE]])</f>
        <v>5.851786810267599E-3</v>
      </c>
      <c r="LD37" s="27">
        <f>IF(ISNUMBER(LD36),LD36*(1+PortfolioFrontier[[#This Row],[P79 Return]]),1+PortfolioFrontier[[#This Row],[P79 Return]])</f>
        <v>1.166507433881288</v>
      </c>
      <c r="LE37" s="27">
        <f>MAX(LE36,PortfolioFrontier[[#This Row],[P79 Growth]])</f>
        <v>1.166507433881288</v>
      </c>
      <c r="LF37" s="27">
        <f>PortfolioFrontier[[#This Row],[P79 Growth]]/PortfolioFrontier[[#This Row],[P79 HWM]]-1</f>
        <v>0</v>
      </c>
      <c r="LG37" s="28">
        <f>SUMPRODUCT(INDEX(PortfolioRef[[SPY]:[PE]],MATCH(LG$1,PortfolioRef[Reference '#]),0),AssetMonthlyReturns[[#This Row],[SPY]:[PE]])</f>
        <v>3.8444606790891834E-3</v>
      </c>
      <c r="LH37" s="27">
        <f>IF(ISNUMBER(LH36),LH36*(1+PortfolioFrontier[[#This Row],[P80 Return]]),1+PortfolioFrontier[[#This Row],[P80 Return]])</f>
        <v>1.1573772039645231</v>
      </c>
      <c r="LI37" s="27">
        <f>MAX(LI36,PortfolioFrontier[[#This Row],[P80 Growth]])</f>
        <v>1.1573772039645231</v>
      </c>
      <c r="LJ37" s="27">
        <f>PortfolioFrontier[[#This Row],[P80 Growth]]/PortfolioFrontier[[#This Row],[P80 HWM]]-1</f>
        <v>0</v>
      </c>
      <c r="LK37" s="28">
        <f>SUMPRODUCT(INDEX(PortfolioRef[[SPY]:[PE]],MATCH(LK$1,PortfolioRef[Reference '#]),0),AssetMonthlyReturns[[#This Row],[SPY]:[PE]])</f>
        <v>1.8371345479107661E-3</v>
      </c>
      <c r="LL37" s="27">
        <f>IF(ISNUMBER(LL36),LL36*(1+PortfolioFrontier[[#This Row],[P81 Return]]),1+PortfolioFrontier[[#This Row],[P81 Return]])</f>
        <v>1.1481477123379062</v>
      </c>
      <c r="LM37" s="27">
        <f>MAX(LM36,PortfolioFrontier[[#This Row],[P81 Growth]])</f>
        <v>1.1481477123379062</v>
      </c>
      <c r="LN37" s="27">
        <f>PortfolioFrontier[[#This Row],[P81 Growth]]/PortfolioFrontier[[#This Row],[P81 HWM]]-1</f>
        <v>0</v>
      </c>
      <c r="LO37" s="28">
        <f>SUMPRODUCT(INDEX(PortfolioRef[[SPY]:[PE]],MATCH(LO$1,PortfolioRef[Reference '#]),0),AssetMonthlyReturns[[#This Row],[SPY]:[PE]])</f>
        <v>6.504052887785005E-3</v>
      </c>
      <c r="LP37" s="27">
        <f>IF(ISNUMBER(LP36),LP36*(1+PortfolioFrontier[[#This Row],[P82 Return]]),1+PortfolioFrontier[[#This Row],[P82 Return]])</f>
        <v>1.1746939245121406</v>
      </c>
      <c r="LQ37" s="27">
        <f>MAX(LQ36,PortfolioFrontier[[#This Row],[P82 Growth]])</f>
        <v>1.1746939245121406</v>
      </c>
      <c r="LR37" s="27">
        <f>PortfolioFrontier[[#This Row],[P82 Growth]]/PortfolioFrontier[[#This Row],[P82 HWM]]-1</f>
        <v>0</v>
      </c>
      <c r="LS37" s="28">
        <f>SUMPRODUCT(INDEX(PortfolioRef[[SPY]:[PE]],MATCH(LS$1,PortfolioRef[Reference '#]),0),AssetMonthlyReturns[[#This Row],[SPY]:[PE]])</f>
        <v>4.4967267566065894E-3</v>
      </c>
      <c r="LT37" s="27">
        <f>IF(ISNUMBER(LT36),LT36*(1+PortfolioFrontier[[#This Row],[P83 Return]]),1+PortfolioFrontier[[#This Row],[P83 Return]])</f>
        <v>1.1656118823413157</v>
      </c>
      <c r="LU37" s="27">
        <f>MAX(LU36,PortfolioFrontier[[#This Row],[P83 Growth]])</f>
        <v>1.1656118823413157</v>
      </c>
      <c r="LV37" s="27">
        <f>PortfolioFrontier[[#This Row],[P83 Growth]]/PortfolioFrontier[[#This Row],[P83 HWM]]-1</f>
        <v>0</v>
      </c>
      <c r="LW37" s="28">
        <f>SUMPRODUCT(INDEX(PortfolioRef[[SPY]:[PE]],MATCH(LW$1,PortfolioRef[Reference '#]),0),AssetMonthlyReturns[[#This Row],[SPY]:[PE]])</f>
        <v>2.489400625428172E-3</v>
      </c>
      <c r="LX37" s="27">
        <f>IF(ISNUMBER(LX36),LX36*(1+PortfolioFrontier[[#This Row],[P84 Return]]),1+PortfolioFrontier[[#This Row],[P84 Return]])</f>
        <v>1.156428141387605</v>
      </c>
      <c r="LY37" s="27">
        <f>MAX(LY36,PortfolioFrontier[[#This Row],[P84 Growth]])</f>
        <v>1.156428141387605</v>
      </c>
      <c r="LZ37" s="27">
        <f>PortfolioFrontier[[#This Row],[P84 Growth]]/PortfolioFrontier[[#This Row],[P84 HWM]]-1</f>
        <v>0</v>
      </c>
      <c r="MA37" s="28">
        <f>SUMPRODUCT(INDEX(PortfolioRef[[SPY]:[PE]],MATCH(MA$1,PortfolioRef[Reference '#]),0),AssetMonthlyReturns[[#This Row],[SPY]:[PE]])</f>
        <v>7.1563189653024092E-3</v>
      </c>
      <c r="MB37" s="27">
        <f>IF(ISNUMBER(MB36),MB36*(1+PortfolioFrontier[[#This Row],[P85 Return]]),1+PortfolioFrontier[[#This Row],[P85 Return]])</f>
        <v>1.1827059725963929</v>
      </c>
      <c r="MC37" s="27">
        <f>MAX(MC36,PortfolioFrontier[[#This Row],[P85 Growth]])</f>
        <v>1.1827059725963929</v>
      </c>
      <c r="MD37" s="27">
        <f>PortfolioFrontier[[#This Row],[P85 Growth]]/PortfolioFrontier[[#This Row],[P85 HWM]]-1</f>
        <v>0</v>
      </c>
      <c r="ME37" s="28">
        <f>SUMPRODUCT(INDEX(PortfolioRef[[SPY]:[PE]],MATCH(ME$1,PortfolioRef[Reference '#]),0),AssetMonthlyReturns[[#This Row],[SPY]:[PE]])</f>
        <v>5.1489928341239936E-3</v>
      </c>
      <c r="MF37" s="27">
        <f>IF(ISNUMBER(MF36),MF36*(1+PortfolioFrontier[[#This Row],[P86 Return]]),1+PortfolioFrontier[[#This Row],[P86 Return]])</f>
        <v>1.1736751511854018</v>
      </c>
      <c r="MG37" s="27">
        <f>MAX(MG36,PortfolioFrontier[[#This Row],[P86 Growth]])</f>
        <v>1.1736751511854018</v>
      </c>
      <c r="MH37" s="27">
        <f>PortfolioFrontier[[#This Row],[P86 Growth]]/PortfolioFrontier[[#This Row],[P86 HWM]]-1</f>
        <v>0</v>
      </c>
      <c r="MI37" s="28">
        <f>SUMPRODUCT(INDEX(PortfolioRef[[SPY]:[PE]],MATCH(MI$1,PortfolioRef[Reference '#]),0),AssetMonthlyReturns[[#This Row],[SPY]:[PE]])</f>
        <v>3.1416667029455763E-3</v>
      </c>
      <c r="MJ37" s="27">
        <f>IF(ISNUMBER(MJ36),MJ36*(1+PortfolioFrontier[[#This Row],[P87 Return]]),1+PortfolioFrontier[[#This Row],[P87 Return]])</f>
        <v>1.1645401914800619</v>
      </c>
      <c r="MK37" s="27">
        <f>MAX(MK36,PortfolioFrontier[[#This Row],[P87 Growth]])</f>
        <v>1.1645401914800619</v>
      </c>
      <c r="ML37" s="27">
        <f>PortfolioFrontier[[#This Row],[P87 Growth]]/PortfolioFrontier[[#This Row],[P87 HWM]]-1</f>
        <v>0</v>
      </c>
      <c r="MM37" s="28">
        <f>SUMPRODUCT(INDEX(PortfolioRef[[SPY]:[PE]],MATCH(MM$1,PortfolioRef[Reference '#]),0),AssetMonthlyReturns[[#This Row],[SPY]:[PE]])</f>
        <v>6.3808814137438479E-3</v>
      </c>
      <c r="MN37" s="27">
        <f>IF(ISNUMBER(MN36),MN36*(1+PortfolioFrontier[[#This Row],[P88 Return]]),1+PortfolioFrontier[[#This Row],[P88 Return]])</f>
        <v>1.1733855885908639</v>
      </c>
      <c r="MO37" s="27">
        <f>MAX(MO36,PortfolioFrontier[[#This Row],[P88 Growth]])</f>
        <v>1.1733855885908639</v>
      </c>
      <c r="MP37" s="27">
        <f>PortfolioFrontier[[#This Row],[P88 Growth]]/PortfolioFrontier[[#This Row],[P88 HWM]]-1</f>
        <v>0</v>
      </c>
      <c r="MQ37" s="28">
        <f>SUMPRODUCT(INDEX(PortfolioRef[[SPY]:[PE]],MATCH(MQ$1,PortfolioRef[Reference '#]),0),AssetMonthlyReturns[[#This Row],[SPY]:[PE]])</f>
        <v>4.3735552825654323E-3</v>
      </c>
      <c r="MR37" s="27">
        <f>IF(ISNUMBER(MR36),MR36*(1+PortfolioFrontier[[#This Row],[P89 Return]]),1+PortfolioFrontier[[#This Row],[P89 Return]])</f>
        <v>1.1643378257710313</v>
      </c>
      <c r="MS37" s="27">
        <f>MAX(MS36,PortfolioFrontier[[#This Row],[P89 Growth]])</f>
        <v>1.1643378257710313</v>
      </c>
      <c r="MT37" s="27">
        <f>PortfolioFrontier[[#This Row],[P89 Growth]]/PortfolioFrontier[[#This Row],[P89 HWM]]-1</f>
        <v>0</v>
      </c>
      <c r="MU37" s="28">
        <f>SUMPRODUCT(INDEX(PortfolioRef[[SPY]:[PE]],MATCH(MU$1,PortfolioRef[Reference '#]),0),AssetMonthlyReturns[[#This Row],[SPY]:[PE]])</f>
        <v>2.366229151387015E-3</v>
      </c>
      <c r="MV37" s="27">
        <f>IF(ISNUMBER(MV36),MV36*(1+PortfolioFrontier[[#This Row],[P90 Return]]),1+PortfolioFrontier[[#This Row],[P90 Return]])</f>
        <v>1.1551881752996724</v>
      </c>
      <c r="MW37" s="27">
        <f>MAX(MW36,PortfolioFrontier[[#This Row],[P90 Growth]])</f>
        <v>1.1551881752996724</v>
      </c>
      <c r="MX37" s="27">
        <f>PortfolioFrontier[[#This Row],[P90 Growth]]/PortfolioFrontier[[#This Row],[P90 HWM]]-1</f>
        <v>0</v>
      </c>
      <c r="MY37" s="28">
        <f>SUMPRODUCT(INDEX(PortfolioRef[[SPY]:[PE]],MATCH(MY$1,PortfolioRef[Reference '#]),0),AssetMonthlyReturns[[#This Row],[SPY]:[PE]])</f>
        <v>7.0331474912612539E-3</v>
      </c>
      <c r="MZ37" s="27">
        <f>IF(ISNUMBER(MZ36),MZ36*(1+PortfolioFrontier[[#This Row],[P91 Return]]),1+PortfolioFrontier[[#This Row],[P91 Return]])</f>
        <v>1.1814699127437938</v>
      </c>
      <c r="NA37" s="27">
        <f>MAX(NA36,PortfolioFrontier[[#This Row],[P91 Growth]])</f>
        <v>1.1814699127437938</v>
      </c>
      <c r="NB37" s="27">
        <f>PortfolioFrontier[[#This Row],[P91 Growth]]/PortfolioFrontier[[#This Row],[P91 HWM]]-1</f>
        <v>0</v>
      </c>
      <c r="NC37" s="28">
        <f>SUMPRODUCT(INDEX(PortfolioRef[[SPY]:[PE]],MATCH(NC$1,PortfolioRef[Reference '#]),0),AssetMonthlyReturns[[#This Row],[SPY]:[PE]])</f>
        <v>5.0258213600828383E-3</v>
      </c>
      <c r="ND37" s="27">
        <f>IF(ISNUMBER(ND36),ND36*(1+PortfolioFrontier[[#This Row],[P92 Return]]),1+PortfolioFrontier[[#This Row],[P92 Return]])</f>
        <v>1.172472819496152</v>
      </c>
      <c r="NE37" s="27">
        <f>MAX(NE36,PortfolioFrontier[[#This Row],[P92 Growth]])</f>
        <v>1.172472819496152</v>
      </c>
      <c r="NF37" s="27">
        <f>PortfolioFrontier[[#This Row],[P92 Growth]]/PortfolioFrontier[[#This Row],[P92 HWM]]-1</f>
        <v>0</v>
      </c>
      <c r="NG37" s="28">
        <f>SUMPRODUCT(INDEX(PortfolioRef[[SPY]:[PE]],MATCH(NG$1,PortfolioRef[Reference '#]),0),AssetMonthlyReturns[[#This Row],[SPY]:[PE]])</f>
        <v>3.018495228904421E-3</v>
      </c>
      <c r="NH37" s="27">
        <f>IF(ISNUMBER(NH36),NH36*(1+PortfolioFrontier[[#This Row],[P93 Return]]),1+PortfolioFrontier[[#This Row],[P93 Return]])</f>
        <v>1.1633713986533858</v>
      </c>
      <c r="NI37" s="27">
        <f>MAX(NI36,PortfolioFrontier[[#This Row],[P93 Growth]])</f>
        <v>1.1633713986533858</v>
      </c>
      <c r="NJ37" s="27">
        <f>PortfolioFrontier[[#This Row],[P93 Growth]]/PortfolioFrontier[[#This Row],[P93 HWM]]-1</f>
        <v>0</v>
      </c>
      <c r="NK37" s="28">
        <f>SUMPRODUCT(INDEX(PortfolioRef[[SPY]:[PE]],MATCH(NK$1,PortfolioRef[Reference '#]),0),AssetMonthlyReturns[[#This Row],[SPY]:[PE]])</f>
        <v>7.6854135687786582E-3</v>
      </c>
      <c r="NL37" s="27">
        <f>IF(ISNUMBER(NL36),NL36*(1+PortfolioFrontier[[#This Row],[P94 Return]]),1+PortfolioFrontier[[#This Row],[P94 Return]])</f>
        <v>1.1893763861246933</v>
      </c>
      <c r="NM37" s="27">
        <f>MAX(NM36,PortfolioFrontier[[#This Row],[P94 Growth]])</f>
        <v>1.1893763861246933</v>
      </c>
      <c r="NN37" s="27">
        <f>PortfolioFrontier[[#This Row],[P94 Growth]]/PortfolioFrontier[[#This Row],[P94 HWM]]-1</f>
        <v>0</v>
      </c>
      <c r="NO37" s="28">
        <f>SUMPRODUCT(INDEX(PortfolioRef[[SPY]:[PE]],MATCH(NO$1,PortfolioRef[Reference '#]),0),AssetMonthlyReturns[[#This Row],[SPY]:[PE]])</f>
        <v>5.6780874376002426E-3</v>
      </c>
      <c r="NP37" s="27">
        <f>IF(ISNUMBER(NP36),NP36*(1+PortfolioFrontier[[#This Row],[P95 Return]]),1+PortfolioFrontier[[#This Row],[P95 Return]])</f>
        <v>1.1804329986410933</v>
      </c>
      <c r="NQ37" s="27">
        <f>MAX(NQ36,PortfolioFrontier[[#This Row],[P95 Growth]])</f>
        <v>1.1804329986410933</v>
      </c>
      <c r="NR37" s="27">
        <f>PortfolioFrontier[[#This Row],[P95 Growth]]/PortfolioFrontier[[#This Row],[P95 HWM]]-1</f>
        <v>0</v>
      </c>
      <c r="NS37" s="28">
        <f>SUMPRODUCT(INDEX(PortfolioRef[[SPY]:[PE]],MATCH(NS$1,PortfolioRef[Reference '#]),0),AssetMonthlyReturns[[#This Row],[SPY]:[PE]])</f>
        <v>3.6707613064218252E-3</v>
      </c>
      <c r="NT37" s="27">
        <f>IF(ISNUMBER(NT36),NT36*(1+PortfolioFrontier[[#This Row],[P96 Return]]),1+PortfolioFrontier[[#This Row],[P96 Return]])</f>
        <v>1.1713828421103463</v>
      </c>
      <c r="NU37" s="27">
        <f>MAX(NU36,PortfolioFrontier[[#This Row],[P96 Growth]])</f>
        <v>1.1713828421103463</v>
      </c>
      <c r="NV37" s="27">
        <f>PortfolioFrontier[[#This Row],[P96 Growth]]/PortfolioFrontier[[#This Row],[P96 HWM]]-1</f>
        <v>0</v>
      </c>
      <c r="NW37" s="28">
        <f>SUMPRODUCT(INDEX(PortfolioRef[[SPY]:[PE]],MATCH(NW$1,PortfolioRef[Reference '#]),0),AssetMonthlyReturns[[#This Row],[SPY]:[PE]])</f>
        <v>3.2377190398118864E-3</v>
      </c>
      <c r="NX37" s="27">
        <f>IF(ISNUMBER(NX36),NX36*(1+PortfolioFrontier[[#This Row],[P97 Return]]),1+PortfolioFrontier[[#This Row],[P97 Return]])</f>
        <v>1.1363559286831479</v>
      </c>
      <c r="NY37" s="27">
        <f>MAX(NY36,PortfolioFrontier[[#This Row],[P97 Growth]])</f>
        <v>1.1363559286831479</v>
      </c>
      <c r="NZ37" s="27">
        <f>PortfolioFrontier[[#This Row],[P97 Growth]]/PortfolioFrontier[[#This Row],[P97 HWM]]-1</f>
        <v>0</v>
      </c>
      <c r="OA37" s="28">
        <f>SUMPRODUCT(INDEX(PortfolioRef[[SPY]:[PE]],MATCH(OA$1,PortfolioRef[Reference '#]),0),AssetMonthlyReturns[[#This Row],[SPY]:[PE]])</f>
        <v>3.1145475657707311E-3</v>
      </c>
      <c r="OB37" s="27">
        <f>IF(ISNUMBER(OB36),OB36*(1+PortfolioFrontier[[#This Row],[P98 Return]]),1+PortfolioFrontier[[#This Row],[P98 Return]])</f>
        <v>1.1351364712549361</v>
      </c>
      <c r="OC37" s="27">
        <f>MAX(OC36,PortfolioFrontier[[#This Row],[P98 Growth]])</f>
        <v>1.1351364712549361</v>
      </c>
      <c r="OD37" s="27">
        <f>PortfolioFrontier[[#This Row],[P98 Growth]]/PortfolioFrontier[[#This Row],[P98 HWM]]-1</f>
        <v>0</v>
      </c>
      <c r="OE37" s="28">
        <f>SUMPRODUCT(INDEX(PortfolioRef[[SPY]:[PE]],MATCH(OE$1,PortfolioRef[Reference '#]),0),AssetMonthlyReturns[[#This Row],[SPY]:[PE]])</f>
        <v>3.7668136432881354E-3</v>
      </c>
      <c r="OF37" s="27">
        <f>IF(ISNUMBER(OF36),OF36*(1+PortfolioFrontier[[#This Row],[P99 Return]]),1+PortfolioFrontier[[#This Row],[P99 Return]])</f>
        <v>1.143419202296504</v>
      </c>
      <c r="OG37" s="27">
        <f>MAX(OG36,PortfolioFrontier[[#This Row],[P99 Growth]])</f>
        <v>1.143419202296504</v>
      </c>
      <c r="OH37" s="27">
        <f>PortfolioFrontier[[#This Row],[P99 Growth]]/PortfolioFrontier[[#This Row],[P99 HWM]]-1</f>
        <v>0</v>
      </c>
      <c r="OI37" s="28">
        <f>SUMPRODUCT(INDEX(PortfolioRef[[SPY]:[PE]],MATCH(OI$1,PortfolioRef[Reference '#]),0),AssetMonthlyReturns[[#This Row],[SPY]:[PE]])</f>
        <v>1.7594875121097198E-3</v>
      </c>
      <c r="OJ37" s="27">
        <f>IF(ISNUMBER(OJ36),OJ36*(1+PortfolioFrontier[[#This Row],[P100 Return]]),1+PortfolioFrontier[[#This Row],[P100 Return]])</f>
        <v>1.1342313039684386</v>
      </c>
      <c r="OK37" s="27">
        <f>MAX(OK36,PortfolioFrontier[[#This Row],[P100 Growth]])</f>
        <v>1.1342313039684386</v>
      </c>
      <c r="OL37" s="27">
        <f>PortfolioFrontier[[#This Row],[P100 Growth]]/PortfolioFrontier[[#This Row],[P100 HWM]]-1</f>
        <v>0</v>
      </c>
      <c r="OM37" s="28">
        <f>SUMPRODUCT(INDEX(PortfolioRef[[SPY]:[PE]],MATCH(OM$1,PortfolioRef[Reference '#]),0),AssetMonthlyReturns[[#This Row],[SPY]:[PE]])</f>
        <v>2.9913760917295749E-3</v>
      </c>
      <c r="ON37" s="27">
        <f>IF(ISNUMBER(ON36),ON36*(1+PortfolioFrontier[[#This Row],[P101 Return]]),1+PortfolioFrontier[[#This Row],[P101 Return]])</f>
        <v>1.1338427424440864</v>
      </c>
      <c r="OO37" s="27">
        <f>MAX(OO36,PortfolioFrontier[[#This Row],[P101 Growth]])</f>
        <v>1.1338427424440864</v>
      </c>
      <c r="OP37" s="27">
        <f>PortfolioFrontier[[#This Row],[P101 Growth]]/PortfolioFrontier[[#This Row],[P101 HWM]]-1</f>
        <v>0</v>
      </c>
      <c r="OQ37" s="28">
        <f>SUMPRODUCT(INDEX(PortfolioRef[[SPY]:[PE]],MATCH(OQ$1,PortfolioRef[Reference '#]),0),AssetMonthlyReturns[[#This Row],[SPY]:[PE]])</f>
        <v>3.64364216924698E-3</v>
      </c>
      <c r="OR37" s="27">
        <f>IF(ISNUMBER(OR36),OR36*(1+PortfolioFrontier[[#This Row],[P102 Return]]),1+PortfolioFrontier[[#This Row],[P102 Return]])</f>
        <v>1.142194270010771</v>
      </c>
      <c r="OS37" s="27">
        <f>MAX(OS36,PortfolioFrontier[[#This Row],[P102 Growth]])</f>
        <v>1.142194270010771</v>
      </c>
      <c r="OT37" s="27">
        <f>PortfolioFrontier[[#This Row],[P102 Growth]]/PortfolioFrontier[[#This Row],[P102 HWM]]-1</f>
        <v>0</v>
      </c>
      <c r="OU37" s="28">
        <f>SUMPRODUCT(INDEX(PortfolioRef[[SPY]:[PE]],MATCH(OU$1,PortfolioRef[Reference '#]),0),AssetMonthlyReturns[[#This Row],[SPY]:[PE]])</f>
        <v>1.6363160380685644E-3</v>
      </c>
      <c r="OV37" s="27">
        <f>IF(ISNUMBER(OV36),OV36*(1+PortfolioFrontier[[#This Row],[P103 Return]]),1+PortfolioFrontier[[#This Row],[P103 Return]])</f>
        <v>1.133040122415049</v>
      </c>
      <c r="OW37" s="27">
        <f>MAX(OW36,PortfolioFrontier[[#This Row],[P103 Growth]])</f>
        <v>1.133040122415049</v>
      </c>
      <c r="OX37" s="27">
        <f>PortfolioFrontier[[#This Row],[P103 Growth]]/PortfolioFrontier[[#This Row],[P103 HWM]]-1</f>
        <v>0</v>
      </c>
      <c r="OY37" s="28">
        <f>SUMPRODUCT(INDEX(PortfolioRef[[SPY]:[PE]],MATCH(OY$1,PortfolioRef[Reference '#]),0),AssetMonthlyReturns[[#This Row],[SPY]:[PE]])</f>
        <v>4.2959082467643843E-3</v>
      </c>
      <c r="OZ37" s="27">
        <f>IF(ISNUMBER(OZ36),OZ36*(1+PortfolioFrontier[[#This Row],[P104 Return]]),1+PortfolioFrontier[[#This Row],[P104 Return]])</f>
        <v>1.1503826558427055</v>
      </c>
      <c r="PA37" s="27">
        <f>MAX(PA36,PortfolioFrontier[[#This Row],[P104 Growth]])</f>
        <v>1.1503826558427055</v>
      </c>
      <c r="PB37" s="27">
        <f>PortfolioFrontier[[#This Row],[P104 Growth]]/PortfolioFrontier[[#This Row],[P104 HWM]]-1</f>
        <v>0</v>
      </c>
      <c r="PC37" s="28">
        <f>SUMPRODUCT(INDEX(PortfolioRef[[SPY]:[PE]],MATCH(PC$1,PortfolioRef[Reference '#]),0),AssetMonthlyReturns[[#This Row],[SPY]:[PE]])</f>
        <v>2.2885821155859687E-3</v>
      </c>
      <c r="PD37" s="27">
        <f>IF(ISNUMBER(PD36),PD36*(1+PortfolioFrontier[[#This Row],[P105 Return]]),1+PortfolioFrontier[[#This Row],[P105 Return]])</f>
        <v>1.1412726555705941</v>
      </c>
      <c r="PE37" s="27">
        <f>MAX(PE36,PortfolioFrontier[[#This Row],[P105 Growth]])</f>
        <v>1.1412726555705941</v>
      </c>
      <c r="PF37" s="27">
        <f>PortfolioFrontier[[#This Row],[P105 Growth]]/PortfolioFrontier[[#This Row],[P105 HWM]]-1</f>
        <v>0</v>
      </c>
      <c r="PG37" s="28">
        <f>SUMPRODUCT(INDEX(PortfolioRef[[SPY]:[PE]],MATCH(PG$1,PortfolioRef[Reference '#]),0),AssetMonthlyReturns[[#This Row],[SPY]:[PE]])</f>
        <v>2.8125598440755135E-4</v>
      </c>
      <c r="PH37" s="27">
        <f>IF(ISNUMBER(PH36),PH36*(1+PortfolioFrontier[[#This Row],[P106 Return]]),1+PortfolioFrontier[[#This Row],[P106 Return]])</f>
        <v>1.1320662018024383</v>
      </c>
      <c r="PI37" s="27">
        <f>MAX(PI36,PortfolioFrontier[[#This Row],[P106 Growth]])</f>
        <v>1.1320662018024383</v>
      </c>
      <c r="PJ37" s="27">
        <f>PortfolioFrontier[[#This Row],[P106 Growth]]/PortfolioFrontier[[#This Row],[P106 HWM]]-1</f>
        <v>0</v>
      </c>
      <c r="PK37" s="28">
        <f>SUMPRODUCT(INDEX(PortfolioRef[[SPY]:[PE]],MATCH(PK$1,PortfolioRef[Reference '#]),0),AssetMonthlyReturns[[#This Row],[SPY]:[PE]])</f>
        <v>3.5204706952058238E-3</v>
      </c>
      <c r="PL37" s="27">
        <f>IF(ISNUMBER(PL36),PL36*(1+PortfolioFrontier[[#This Row],[P107 Return]]),1+PortfolioFrontier[[#This Row],[P107 Return]])</f>
        <v>1.1408946741149404</v>
      </c>
      <c r="PM37" s="27">
        <f>MAX(PM36,PortfolioFrontier[[#This Row],[P107 Growth]])</f>
        <v>1.1408946741149404</v>
      </c>
      <c r="PN37" s="27">
        <f>PortfolioFrontier[[#This Row],[P107 Growth]]/PortfolioFrontier[[#This Row],[P107 HWM]]-1</f>
        <v>0</v>
      </c>
      <c r="PO37" s="28">
        <f>SUMPRODUCT(INDEX(PortfolioRef[[SPY]:[PE]],MATCH(PO$1,PortfolioRef[Reference '#]),0),AssetMonthlyReturns[[#This Row],[SPY]:[PE]])</f>
        <v>1.5131445640274082E-3</v>
      </c>
      <c r="PP37" s="27">
        <f>IF(ISNUMBER(PP36),PP36*(1+PortfolioFrontier[[#This Row],[P108 Return]]),1+PortfolioFrontier[[#This Row],[P108 Return]])</f>
        <v>1.1317747481984106</v>
      </c>
      <c r="PQ37" s="27">
        <f>MAX(PQ36,PortfolioFrontier[[#This Row],[P108 Growth]])</f>
        <v>1.1317747481984106</v>
      </c>
      <c r="PR37" s="27">
        <f>PortfolioFrontier[[#This Row],[P108 Growth]]/PortfolioFrontier[[#This Row],[P108 HWM]]-1</f>
        <v>0</v>
      </c>
      <c r="PS37" s="28">
        <f>SUMPRODUCT(INDEX(PortfolioRef[[SPY]:[PE]],MATCH(PS$1,PortfolioRef[Reference '#]),0),AssetMonthlyReturns[[#This Row],[SPY]:[PE]])</f>
        <v>4.172736772723229E-3</v>
      </c>
      <c r="PT37" s="27">
        <f>IF(ISNUMBER(PT36),PT36*(1+PortfolioFrontier[[#This Row],[P109 Return]]),1+PortfolioFrontier[[#This Row],[P109 Return]])</f>
        <v>1.1491525338213735</v>
      </c>
      <c r="PU37" s="27">
        <f>MAX(PU36,PortfolioFrontier[[#This Row],[P109 Growth]])</f>
        <v>1.1491525338213735</v>
      </c>
      <c r="PV37" s="27">
        <f>PortfolioFrontier[[#This Row],[P109 Growth]]/PortfolioFrontier[[#This Row],[P109 HWM]]-1</f>
        <v>0</v>
      </c>
      <c r="PW37" s="28">
        <f>SUMPRODUCT(INDEX(PortfolioRef[[SPY]:[PE]],MATCH(PW$1,PortfolioRef[Reference '#]),0),AssetMonthlyReturns[[#This Row],[SPY]:[PE]])</f>
        <v>2.1654106415448134E-3</v>
      </c>
      <c r="PX37" s="27">
        <f>IF(ISNUMBER(PX36),PX36*(1+PortfolioFrontier[[#This Row],[P110 Return]]),1+PortfolioFrontier[[#This Row],[P110 Return]])</f>
        <v>1.1400762168709093</v>
      </c>
      <c r="PY37" s="27">
        <f>MAX(PY36,PortfolioFrontier[[#This Row],[P110 Growth]])</f>
        <v>1.1400762168709093</v>
      </c>
      <c r="PZ37" s="27">
        <f>PortfolioFrontier[[#This Row],[P110 Growth]]/PortfolioFrontier[[#This Row],[P110 HWM]]-1</f>
        <v>0</v>
      </c>
      <c r="QA37" s="28">
        <f>SUMPRODUCT(INDEX(PortfolioRef[[SPY]:[PE]],MATCH(QA$1,PortfolioRef[Reference '#]),0),AssetMonthlyReturns[[#This Row],[SPY]:[PE]])</f>
        <v>1.5808451036639602E-4</v>
      </c>
      <c r="QB37" s="27">
        <f>IF(ISNUMBER(QB36),QB36*(1+PortfolioFrontier[[#This Row],[P111 Return]]),1+PortfolioFrontier[[#This Row],[P111 Return]])</f>
        <v>1.1309032427666861</v>
      </c>
      <c r="QC37" s="27">
        <f>MAX(QC36,PortfolioFrontier[[#This Row],[P111 Growth]])</f>
        <v>1.1309032427666861</v>
      </c>
      <c r="QD37" s="27">
        <f>PortfolioFrontier[[#This Row],[P111 Growth]]/PortfolioFrontier[[#This Row],[P111 HWM]]-1</f>
        <v>0</v>
      </c>
      <c r="QE37" s="28">
        <f>SUMPRODUCT(INDEX(PortfolioRef[[SPY]:[PE]],MATCH(QE$1,PortfolioRef[Reference '#]),0),AssetMonthlyReturns[[#This Row],[SPY]:[PE]])</f>
        <v>4.8250028502406332E-3</v>
      </c>
      <c r="QF37" s="27">
        <f>IF(ISNUMBER(QF36),QF36*(1+PortfolioFrontier[[#This Row],[P112 Return]]),1+PortfolioFrontier[[#This Row],[P112 Return]])</f>
        <v>1.1572438843874473</v>
      </c>
      <c r="QG37" s="27">
        <f>MAX(QG36,PortfolioFrontier[[#This Row],[P112 Growth]])</f>
        <v>1.1572438843874473</v>
      </c>
      <c r="QH37" s="27">
        <f>PortfolioFrontier[[#This Row],[P112 Growth]]/PortfolioFrontier[[#This Row],[P112 HWM]]-1</f>
        <v>0</v>
      </c>
      <c r="QI37" s="28">
        <f>SUMPRODUCT(INDEX(PortfolioRef[[SPY]:[PE]],MATCH(QI$1,PortfolioRef[Reference '#]),0),AssetMonthlyReturns[[#This Row],[SPY]:[PE]])</f>
        <v>2.8176767190622176E-3</v>
      </c>
      <c r="QJ37" s="27">
        <f>IF(ISNUMBER(QJ36),QJ36*(1+PortfolioFrontier[[#This Row],[P113 Return]]),1+PortfolioFrontier[[#This Row],[P113 Return]])</f>
        <v>1.1482141584531631</v>
      </c>
      <c r="QK37" s="27">
        <f>MAX(QK36,PortfolioFrontier[[#This Row],[P113 Growth]])</f>
        <v>1.1482141584531631</v>
      </c>
      <c r="QL37" s="27">
        <f>PortfolioFrontier[[#This Row],[P113 Growth]]/PortfolioFrontier[[#This Row],[P113 HWM]]-1</f>
        <v>0</v>
      </c>
      <c r="QM37" s="28">
        <f>SUMPRODUCT(INDEX(PortfolioRef[[SPY]:[PE]],MATCH(QM$1,PortfolioRef[Reference '#]),0),AssetMonthlyReturns[[#This Row],[SPY]:[PE]])</f>
        <v>8.1035058788380028E-4</v>
      </c>
      <c r="QN37" s="27">
        <f>IF(ISNUMBER(QN36),QN36*(1+PortfolioFrontier[[#This Row],[P114 Return]]),1+PortfolioFrontier[[#This Row],[P114 Return]])</f>
        <v>1.1390853737287159</v>
      </c>
      <c r="QO37" s="27">
        <f>MAX(QO36,PortfolioFrontier[[#This Row],[P114 Growth]])</f>
        <v>1.1390853737287159</v>
      </c>
      <c r="QP37" s="27">
        <f>PortfolioFrontier[[#This Row],[P114 Growth]]/PortfolioFrontier[[#This Row],[P114 HWM]]-1</f>
        <v>0</v>
      </c>
      <c r="QQ37" s="28">
        <f>SUMPRODUCT(INDEX(PortfolioRef[[SPY]:[PE]],MATCH(QQ$1,PortfolioRef[Reference '#]),0),AssetMonthlyReturns[[#This Row],[SPY]:[PE]])</f>
        <v>4.0495652986820728E-3</v>
      </c>
      <c r="QR37" s="27">
        <f>IF(ISNUMBER(QR36),QR36*(1+PortfolioFrontier[[#This Row],[P115 Return]]),1+PortfolioFrontier[[#This Row],[P115 Return]])</f>
        <v>1.1478473616628913</v>
      </c>
      <c r="QS37" s="27">
        <f>MAX(QS36,PortfolioFrontier[[#This Row],[P115 Growth]])</f>
        <v>1.1478473616628913</v>
      </c>
      <c r="QT37" s="27">
        <f>PortfolioFrontier[[#This Row],[P115 Growth]]/PortfolioFrontier[[#This Row],[P115 HWM]]-1</f>
        <v>0</v>
      </c>
      <c r="QU37" s="28">
        <f>SUMPRODUCT(INDEX(PortfolioRef[[SPY]:[PE]],MATCH(QU$1,PortfolioRef[Reference '#]),0),AssetMonthlyReturns[[#This Row],[SPY]:[PE]])</f>
        <v>2.0422391675036572E-3</v>
      </c>
      <c r="QV37" s="27">
        <f>IF(ISNUMBER(QV36),QV36*(1+PortfolioFrontier[[#This Row],[P116 Return]]),1+PortfolioFrontier[[#This Row],[P116 Return]])</f>
        <v>1.1388051942169264</v>
      </c>
      <c r="QW37" s="27">
        <f>MAX(QW36,PortfolioFrontier[[#This Row],[P116 Growth]])</f>
        <v>1.1388051942169264</v>
      </c>
      <c r="QX37" s="27">
        <f>PortfolioFrontier[[#This Row],[P116 Growth]]/PortfolioFrontier[[#This Row],[P116 HWM]]-1</f>
        <v>0</v>
      </c>
      <c r="QY37" s="28">
        <f>SUMPRODUCT(INDEX(PortfolioRef[[SPY]:[PE]],MATCH(QY$1,PortfolioRef[Reference '#]),0),AssetMonthlyReturns[[#This Row],[SPY]:[PE]])</f>
        <v>3.4913036325239823E-5</v>
      </c>
      <c r="QZ37" s="27">
        <f>IF(ISNUMBER(QZ36),QZ36*(1+PortfolioFrontier[[#This Row],[P117 Return]]),1+PortfolioFrontier[[#This Row],[P117 Return]])</f>
        <v>1.1296661733993951</v>
      </c>
      <c r="RA37" s="27">
        <f>MAX(RA36,PortfolioFrontier[[#This Row],[P117 Growth]])</f>
        <v>1.1296661733993951</v>
      </c>
      <c r="RB37" s="27">
        <f>PortfolioFrontier[[#This Row],[P117 Growth]]/PortfolioFrontier[[#This Row],[P117 HWM]]-1</f>
        <v>0</v>
      </c>
      <c r="RC37" s="28">
        <f>SUMPRODUCT(INDEX(PortfolioRef[[SPY]:[PE]],MATCH(RC$1,PortfolioRef[Reference '#]),0),AssetMonthlyReturns[[#This Row],[SPY]:[PE]])</f>
        <v>4.7018313761994779E-3</v>
      </c>
      <c r="RD37" s="27">
        <f>IF(ISNUMBER(RD36),RD36*(1+PortfolioFrontier[[#This Row],[P118 Return]]),1+PortfolioFrontier[[#This Row],[P118 Return]])</f>
        <v>1.1560088631416985</v>
      </c>
      <c r="RE37" s="27">
        <f>MAX(RE36,PortfolioFrontier[[#This Row],[P118 Growth]])</f>
        <v>1.1560088631416985</v>
      </c>
      <c r="RF37" s="27">
        <f>PortfolioFrontier[[#This Row],[P118 Growth]]/PortfolioFrontier[[#This Row],[P118 HWM]]-1</f>
        <v>0</v>
      </c>
      <c r="RG37" s="28">
        <f>SUMPRODUCT(INDEX(PortfolioRef[[SPY]:[PE]],MATCH(RG$1,PortfolioRef[Reference '#]),0),AssetMonthlyReturns[[#This Row],[SPY]:[PE]])</f>
        <v>2.6945052450210623E-3</v>
      </c>
      <c r="RH37" s="27">
        <f>IF(ISNUMBER(RH36),RH36*(1+PortfolioFrontier[[#This Row],[P119 Return]]),1+PortfolioFrontier[[#This Row],[P119 Return]])</f>
        <v>1.1470127464636495</v>
      </c>
      <c r="RI37" s="27">
        <f>MAX(RI36,PortfolioFrontier[[#This Row],[P119 Growth]])</f>
        <v>1.1470127464636495</v>
      </c>
      <c r="RJ37" s="27">
        <f>PortfolioFrontier[[#This Row],[P119 Growth]]/PortfolioFrontier[[#This Row],[P119 HWM]]-1</f>
        <v>0</v>
      </c>
      <c r="RK37" s="28">
        <f>SUMPRODUCT(INDEX(PortfolioRef[[SPY]:[PE]],MATCH(RK$1,PortfolioRef[Reference '#]),0),AssetMonthlyReturns[[#This Row],[SPY]:[PE]])</f>
        <v>6.8717911384264495E-4</v>
      </c>
      <c r="RL37" s="27">
        <f>IF(ISNUMBER(RL36),RL36*(1+PortfolioFrontier[[#This Row],[P120 Return]]),1+PortfolioFrontier[[#This Row],[P120 Return]])</f>
        <v>1.1379173744335307</v>
      </c>
      <c r="RM37" s="27">
        <f>MAX(RM36,PortfolioFrontier[[#This Row],[P120 Growth]])</f>
        <v>1.1379173744335307</v>
      </c>
      <c r="RN37" s="27">
        <f>PortfolioFrontier[[#This Row],[P120 Growth]]/PortfolioFrontier[[#This Row],[P120 HWM]]-1</f>
        <v>0</v>
      </c>
      <c r="RO37" s="28">
        <f>SUMPRODUCT(INDEX(PortfolioRef[[SPY]:[PE]],MATCH(RO$1,PortfolioRef[Reference '#]),0),AssetMonthlyReturns[[#This Row],[SPY]:[PE]])</f>
        <v>5.3540974537168821E-3</v>
      </c>
      <c r="RP37" s="27">
        <f>IF(ISNUMBER(RP36),RP36*(1+PortfolioFrontier[[#This Row],[P121 Return]]),1+PortfolioFrontier[[#This Row],[P121 Return]])</f>
        <v>1.1640004898276441</v>
      </c>
      <c r="RQ37" s="27">
        <f>MAX(RQ36,PortfolioFrontier[[#This Row],[P121 Growth]])</f>
        <v>1.1640004898276441</v>
      </c>
      <c r="RR37" s="27">
        <f>PortfolioFrontier[[#This Row],[P121 Growth]]/PortfolioFrontier[[#This Row],[P121 HWM]]-1</f>
        <v>0</v>
      </c>
      <c r="RS37" s="28">
        <f>SUMPRODUCT(INDEX(PortfolioRef[[SPY]:[PE]],MATCH(RS$1,PortfolioRef[Reference '#]),0),AssetMonthlyReturns[[#This Row],[SPY]:[PE]])</f>
        <v>3.3467713225384665E-3</v>
      </c>
      <c r="RT37" s="27">
        <f>IF(ISNUMBER(RT36),RT36*(1+PortfolioFrontier[[#This Row],[P122 Return]]),1+PortfolioFrontier[[#This Row],[P122 Return]])</f>
        <v>1.155053410469379</v>
      </c>
      <c r="RU37" s="27">
        <f>MAX(RU36,PortfolioFrontier[[#This Row],[P122 Growth]])</f>
        <v>1.155053410469379</v>
      </c>
      <c r="RV37" s="27">
        <f>PortfolioFrontier[[#This Row],[P122 Growth]]/PortfolioFrontier[[#This Row],[P122 HWM]]-1</f>
        <v>0</v>
      </c>
      <c r="RW37" s="28">
        <f>SUMPRODUCT(INDEX(PortfolioRef[[SPY]:[PE]],MATCH(RW$1,PortfolioRef[Reference '#]),0),AssetMonthlyReturns[[#This Row],[SPY]:[PE]])</f>
        <v>1.3394451913600492E-3</v>
      </c>
      <c r="RX37" s="27">
        <f>IF(ISNUMBER(RX36),RX36*(1+PortfolioFrontier[[#This Row],[P123 Return]]),1+PortfolioFrontier[[#This Row],[P123 Return]])</f>
        <v>1.1460046709446903</v>
      </c>
      <c r="RY37" s="27">
        <f>MAX(RY36,PortfolioFrontier[[#This Row],[P123 Growth]])</f>
        <v>1.1460046709446903</v>
      </c>
      <c r="RZ37" s="27">
        <f>PortfolioFrontier[[#This Row],[P123 Growth]]/PortfolioFrontier[[#This Row],[P123 HWM]]-1</f>
        <v>0</v>
      </c>
      <c r="SA37" s="28">
        <f>SUMPRODUCT(INDEX(PortfolioRef[[SPY]:[PE]],MATCH(SA$1,PortfolioRef[Reference '#]),0),AssetMonthlyReturns[[#This Row],[SPY]:[PE]])</f>
        <v>4.5786599021583208E-3</v>
      </c>
      <c r="SB37" s="27">
        <f>IF(ISNUMBER(SB36),SB36*(1+PortfolioFrontier[[#This Row],[P124 Return]]),1+PortfolioFrontier[[#This Row],[P124 Return]])</f>
        <v>1.1546984110352023</v>
      </c>
      <c r="SC37" s="27">
        <f>MAX(SC36,PortfolioFrontier[[#This Row],[P124 Growth]])</f>
        <v>1.1546984110352023</v>
      </c>
      <c r="SD37" s="27">
        <f>PortfolioFrontier[[#This Row],[P124 Growth]]/PortfolioFrontier[[#This Row],[P124 HWM]]-1</f>
        <v>0</v>
      </c>
      <c r="SE37" s="28">
        <f>SUMPRODUCT(INDEX(PortfolioRef[[SPY]:[PE]],MATCH(SE$1,PortfolioRef[Reference '#]),0),AssetMonthlyReturns[[#This Row],[SPY]:[PE]])</f>
        <v>2.5713337709799061E-3</v>
      </c>
      <c r="SF37" s="27">
        <f>IF(ISNUMBER(SF36),SF36*(1+PortfolioFrontier[[#This Row],[P125 Return]]),1+PortfolioFrontier[[#This Row],[P125 Return]])</f>
        <v>1.1457363649374845</v>
      </c>
      <c r="SG37" s="27">
        <f>MAX(SG36,PortfolioFrontier[[#This Row],[P125 Growth]])</f>
        <v>1.1457363649374845</v>
      </c>
      <c r="SH37" s="27">
        <f>PortfolioFrontier[[#This Row],[P125 Growth]]/PortfolioFrontier[[#This Row],[P125 HWM]]-1</f>
        <v>0</v>
      </c>
      <c r="SI37" s="28">
        <f>SUMPRODUCT(INDEX(PortfolioRef[[SPY]:[PE]],MATCH(SI$1,PortfolioRef[Reference '#]),0),AssetMonthlyReturns[[#This Row],[SPY]:[PE]])</f>
        <v>5.6400763980148875E-4</v>
      </c>
      <c r="SJ37" s="27">
        <f>IF(ISNUMBER(SJ36),SJ36*(1+PortfolioFrontier[[#This Row],[P126 Return]]),1+PortfolioFrontier[[#This Row],[P126 Return]])</f>
        <v>1.1366748744758362</v>
      </c>
      <c r="SK37" s="27">
        <f>MAX(SK36,PortfolioFrontier[[#This Row],[P126 Growth]])</f>
        <v>1.1366748744758362</v>
      </c>
      <c r="SL37" s="27">
        <f>PortfolioFrontier[[#This Row],[P126 Growth]]/PortfolioFrontier[[#This Row],[P126 HWM]]-1</f>
        <v>0</v>
      </c>
      <c r="SM37" s="28">
        <f>SUMPRODUCT(INDEX(PortfolioRef[[SPY]:[PE]],MATCH(SM$1,PortfolioRef[Reference '#]),0),AssetMonthlyReturns[[#This Row],[SPY]:[PE]])</f>
        <v>5.2309259796757268E-3</v>
      </c>
      <c r="SN37" s="27">
        <f>IF(ISNUMBER(SN36),SN36*(1+PortfolioFrontier[[#This Row],[P127 Return]]),1+PortfolioFrontier[[#This Row],[P127 Return]])</f>
        <v>1.1627608652282448</v>
      </c>
      <c r="SO37" s="27">
        <f>MAX(SO36,PortfolioFrontier[[#This Row],[P127 Growth]])</f>
        <v>1.1627608652282448</v>
      </c>
      <c r="SP37" s="27">
        <f>PortfolioFrontier[[#This Row],[P127 Growth]]/PortfolioFrontier[[#This Row],[P127 HWM]]-1</f>
        <v>0</v>
      </c>
      <c r="SQ37" s="28">
        <f>SUMPRODUCT(INDEX(PortfolioRef[[SPY]:[PE]],MATCH(SQ$1,PortfolioRef[Reference '#]),0),AssetMonthlyReturns[[#This Row],[SPY]:[PE]])</f>
        <v>3.2235998484973112E-3</v>
      </c>
      <c r="SR37" s="27">
        <f>IF(ISNUMBER(SR36),SR36*(1+PortfolioFrontier[[#This Row],[P128 Return]]),1+PortfolioFrontier[[#This Row],[P128 Return]])</f>
        <v>1.1538473143894539</v>
      </c>
      <c r="SS37" s="27">
        <f>MAX(SS36,PortfolioFrontier[[#This Row],[P128 Growth]])</f>
        <v>1.1538473143894539</v>
      </c>
      <c r="ST37" s="27">
        <f>PortfolioFrontier[[#This Row],[P128 Growth]]/PortfolioFrontier[[#This Row],[P128 HWM]]-1</f>
        <v>0</v>
      </c>
      <c r="SU37" s="28">
        <f>SUMPRODUCT(INDEX(PortfolioRef[[SPY]:[PE]],MATCH(SU$1,PortfolioRef[Reference '#]),0),AssetMonthlyReturns[[#This Row],[SPY]:[PE]])</f>
        <v>1.2162737173188939E-3</v>
      </c>
      <c r="SV37" s="27">
        <f>IF(ISNUMBER(SV36),SV36*(1+PortfolioFrontier[[#This Row],[P129 Return]]),1+PortfolioFrontier[[#This Row],[P129 Return]])</f>
        <v>1.1448319139709362</v>
      </c>
      <c r="SW37" s="27">
        <f>MAX(SW36,PortfolioFrontier[[#This Row],[P129 Growth]])</f>
        <v>1.1448319139709362</v>
      </c>
      <c r="SX37" s="27">
        <f>PortfolioFrontier[[#This Row],[P129 Growth]]/PortfolioFrontier[[#This Row],[P129 HWM]]-1</f>
        <v>0</v>
      </c>
      <c r="SY37" s="28">
        <f>SUMPRODUCT(INDEX(PortfolioRef[[SPY]:[PE]],MATCH(SY$1,PortfolioRef[Reference '#]),0),AssetMonthlyReturns[[#This Row],[SPY]:[PE]])</f>
        <v>5.8831920571931311E-3</v>
      </c>
      <c r="SZ37" s="27">
        <f>IF(ISNUMBER(SZ36),SZ36*(1+PortfolioFrontier[[#This Row],[P130 Return]]),1+PortfolioFrontier[[#This Row],[P130 Return]])</f>
        <v>1.1706500817582461</v>
      </c>
      <c r="TA37" s="27">
        <f>MAX(TA36,PortfolioFrontier[[#This Row],[P130 Growth]])</f>
        <v>1.1706500817582461</v>
      </c>
      <c r="TB37" s="27">
        <f>PortfolioFrontier[[#This Row],[P130 Growth]]/PortfolioFrontier[[#This Row],[P130 HWM]]-1</f>
        <v>0</v>
      </c>
      <c r="TC37" s="28">
        <f>SUMPRODUCT(INDEX(PortfolioRef[[SPY]:[PE]],MATCH(TC$1,PortfolioRef[Reference '#]),0),AssetMonthlyReturns[[#This Row],[SPY]:[PE]])</f>
        <v>3.8758659260147155E-3</v>
      </c>
      <c r="TD37" s="27">
        <f>IF(ISNUMBER(TD36),TD36*(1+PortfolioFrontier[[#This Row],[P131 Return]]),1+PortfolioFrontier[[#This Row],[P131 Return]])</f>
        <v>1.1617880163160832</v>
      </c>
      <c r="TE37" s="27">
        <f>MAX(TE36,PortfolioFrontier[[#This Row],[P131 Growth]])</f>
        <v>1.1617880163160832</v>
      </c>
      <c r="TF37" s="27">
        <f>PortfolioFrontier[[#This Row],[P131 Growth]]/PortfolioFrontier[[#This Row],[P131 HWM]]-1</f>
        <v>0</v>
      </c>
      <c r="TG37" s="28">
        <f>SUMPRODUCT(INDEX(PortfolioRef[[SPY]:[PE]],MATCH(TG$1,PortfolioRef[Reference '#]),0),AssetMonthlyReturns[[#This Row],[SPY]:[PE]])</f>
        <v>1.8685397948362981E-3</v>
      </c>
      <c r="TH37" s="27">
        <f>IF(ISNUMBER(TH36),TH36*(1+PortfolioFrontier[[#This Row],[P132 Return]]),1+PortfolioFrontier[[#This Row],[P132 Return]])</f>
        <v>1.1528216941561433</v>
      </c>
      <c r="TI37" s="27">
        <f>MAX(TI36,PortfolioFrontier[[#This Row],[P132 Growth]])</f>
        <v>1.1528216941561433</v>
      </c>
      <c r="TJ37" s="27">
        <f>PortfolioFrontier[[#This Row],[P132 Growth]]/PortfolioFrontier[[#This Row],[P132 HWM]]-1</f>
        <v>0</v>
      </c>
      <c r="TK37" s="28">
        <f>SUMPRODUCT(INDEX(PortfolioRef[[SPY]:[PE]],MATCH(TK$1,PortfolioRef[Reference '#]),0),AssetMonthlyReturns[[#This Row],[SPY]:[PE]])</f>
        <v>5.1077545056345697E-3</v>
      </c>
      <c r="TL37" s="27">
        <f>IF(ISNUMBER(TL36),TL36*(1+PortfolioFrontier[[#This Row],[P133 Return]]),1+PortfolioFrontier[[#This Row],[P133 Return]])</f>
        <v>1.1614454349502987</v>
      </c>
      <c r="TM37" s="27">
        <f>MAX(TM36,PortfolioFrontier[[#This Row],[P133 Growth]])</f>
        <v>1.1614454349502987</v>
      </c>
      <c r="TN37" s="27">
        <f>PortfolioFrontier[[#This Row],[P133 Growth]]/PortfolioFrontier[[#This Row],[P133 HWM]]-1</f>
        <v>0</v>
      </c>
      <c r="TO37" s="28">
        <f>SUMPRODUCT(INDEX(PortfolioRef[[SPY]:[PE]],MATCH(TO$1,PortfolioRef[Reference '#]),0),AssetMonthlyReturns[[#This Row],[SPY]:[PE]])</f>
        <v>3.1004283744561541E-3</v>
      </c>
      <c r="TP37" s="27">
        <f>IF(ISNUMBER(TP36),TP36*(1+PortfolioFrontier[[#This Row],[P134 Return]]),1+PortfolioFrontier[[#This Row],[P134 Return]])</f>
        <v>1.1525658690022715</v>
      </c>
      <c r="TQ37" s="27">
        <f>MAX(TQ36,PortfolioFrontier[[#This Row],[P134 Growth]])</f>
        <v>1.1525658690022715</v>
      </c>
      <c r="TR37" s="27">
        <f>PortfolioFrontier[[#This Row],[P134 Growth]]/PortfolioFrontier[[#This Row],[P134 HWM]]-1</f>
        <v>0</v>
      </c>
      <c r="TS37" s="28">
        <f>SUMPRODUCT(INDEX(PortfolioRef[[SPY]:[PE]],MATCH(TS$1,PortfolioRef[Reference '#]),0),AssetMonthlyReturns[[#This Row],[SPY]:[PE]])</f>
        <v>1.0931022432777377E-3</v>
      </c>
      <c r="TT37" s="27">
        <f>IF(ISNUMBER(TT36),TT36*(1+PortfolioFrontier[[#This Row],[P135 Return]]),1+PortfolioFrontier[[#This Row],[P135 Return]])</f>
        <v>1.143584271720536</v>
      </c>
      <c r="TU37" s="27">
        <f>MAX(TU36,PortfolioFrontier[[#This Row],[P135 Growth]])</f>
        <v>1.143584271720536</v>
      </c>
      <c r="TV37" s="27">
        <f>PortfolioFrontier[[#This Row],[P135 Growth]]/PortfolioFrontier[[#This Row],[P135 HWM]]-1</f>
        <v>0</v>
      </c>
      <c r="TW37" s="28">
        <f>SUMPRODUCT(INDEX(PortfolioRef[[SPY]:[PE]],MATCH(TW$1,PortfolioRef[Reference '#]),0),AssetMonthlyReturns[[#This Row],[SPY]:[PE]])</f>
        <v>5.7600205831519757E-3</v>
      </c>
      <c r="TX37" s="27">
        <f>IF(ISNUMBER(TX36),TX36*(1+PortfolioFrontier[[#This Row],[P136 Return]]),1+PortfolioFrontier[[#This Row],[P136 Return]])</f>
        <v>1.1694061550037638</v>
      </c>
      <c r="TY37" s="27">
        <f>MAX(TY36,PortfolioFrontier[[#This Row],[P136 Growth]])</f>
        <v>1.1694061550037638</v>
      </c>
      <c r="TZ37" s="27">
        <f>PortfolioFrontier[[#This Row],[P136 Growth]]/PortfolioFrontier[[#This Row],[P136 HWM]]-1</f>
        <v>0</v>
      </c>
      <c r="UA37" s="28">
        <f>SUMPRODUCT(INDEX(PortfolioRef[[SPY]:[PE]],MATCH(UA$1,PortfolioRef[Reference '#]),0),AssetMonthlyReturns[[#This Row],[SPY]:[PE]])</f>
        <v>3.7526944519735601E-3</v>
      </c>
      <c r="UB37" s="27">
        <f>IF(ISNUMBER(UB36),UB36*(1+PortfolioFrontier[[#This Row],[P137 Return]]),1+PortfolioFrontier[[#This Row],[P137 Return]])</f>
        <v>1.160577530658456</v>
      </c>
      <c r="UC37" s="27">
        <f>MAX(UC36,PortfolioFrontier[[#This Row],[P137 Growth]])</f>
        <v>1.160577530658456</v>
      </c>
      <c r="UD37" s="27">
        <f>PortfolioFrontier[[#This Row],[P137 Growth]]/PortfolioFrontier[[#This Row],[P137 HWM]]-1</f>
        <v>0</v>
      </c>
      <c r="UE37" s="28">
        <f>SUMPRODUCT(INDEX(PortfolioRef[[SPY]:[PE]],MATCH(UE$1,PortfolioRef[Reference '#]),0),AssetMonthlyReturns[[#This Row],[SPY]:[PE]])</f>
        <v>1.7453683207951428E-3</v>
      </c>
      <c r="UF37" s="27">
        <f>IF(ISNUMBER(UF36),UF36*(1+PortfolioFrontier[[#This Row],[P138 Return]]),1+PortfolioFrontier[[#This Row],[P138 Return]])</f>
        <v>1.1516444673813107</v>
      </c>
      <c r="UG37" s="27">
        <f>MAX(UG36,PortfolioFrontier[[#This Row],[P138 Growth]])</f>
        <v>1.1516444673813107</v>
      </c>
      <c r="UH37" s="27">
        <f>PortfolioFrontier[[#This Row],[P138 Growth]]/PortfolioFrontier[[#This Row],[P138 HWM]]-1</f>
        <v>0</v>
      </c>
      <c r="UI37" s="28">
        <f>SUMPRODUCT(INDEX(PortfolioRef[[SPY]:[PE]],MATCH(UI$1,PortfolioRef[Reference '#]),0),AssetMonthlyReturns[[#This Row],[SPY]:[PE]])</f>
        <v>6.41228666066938E-3</v>
      </c>
      <c r="UJ37" s="27">
        <f>IF(ISNUMBER(UJ36),UJ36*(1+PortfolioFrontier[[#This Row],[P139 Return]]),1+PortfolioFrontier[[#This Row],[P139 Return]])</f>
        <v>1.1771902783450512</v>
      </c>
      <c r="UK37" s="27">
        <f>MAX(UK36,PortfolioFrontier[[#This Row],[P139 Growth]])</f>
        <v>1.1771902783450512</v>
      </c>
      <c r="UL37" s="27">
        <f>PortfolioFrontier[[#This Row],[P139 Growth]]/PortfolioFrontier[[#This Row],[P139 HWM]]-1</f>
        <v>0</v>
      </c>
      <c r="UM37" s="28">
        <f>SUMPRODUCT(INDEX(PortfolioRef[[SPY]:[PE]],MATCH(UM$1,PortfolioRef[Reference '#]),0),AssetMonthlyReturns[[#This Row],[SPY]:[PE]])</f>
        <v>4.4049605294909644E-3</v>
      </c>
      <c r="UN37" s="27">
        <f>IF(ISNUMBER(UN36),UN36*(1+PortfolioFrontier[[#This Row],[P140 Return]]),1+PortfolioFrontier[[#This Row],[P140 Return]])</f>
        <v>1.168415588399575</v>
      </c>
      <c r="UO37" s="27">
        <f>MAX(UO36,PortfolioFrontier[[#This Row],[P140 Growth]])</f>
        <v>1.168415588399575</v>
      </c>
      <c r="UP37" s="27">
        <f>PortfolioFrontier[[#This Row],[P140 Growth]]/PortfolioFrontier[[#This Row],[P140 HWM]]-1</f>
        <v>0</v>
      </c>
      <c r="UQ37" s="28">
        <f>SUMPRODUCT(INDEX(PortfolioRef[[SPY]:[PE]],MATCH(UQ$1,PortfolioRef[Reference '#]),0),AssetMonthlyReturns[[#This Row],[SPY]:[PE]])</f>
        <v>2.3976343983125471E-3</v>
      </c>
      <c r="UR37" s="27">
        <f>IF(ISNUMBER(UR36),UR36*(1+PortfolioFrontier[[#This Row],[P141 Return]]),1+PortfolioFrontier[[#This Row],[P141 Return]])</f>
        <v>1.1595340509246876</v>
      </c>
      <c r="US37" s="27">
        <f>MAX(US36,PortfolioFrontier[[#This Row],[P141 Growth]])</f>
        <v>1.1595340509246876</v>
      </c>
      <c r="UT37" s="27">
        <f>PortfolioFrontier[[#This Row],[P141 Growth]]/PortfolioFrontier[[#This Row],[P141 HWM]]-1</f>
        <v>0</v>
      </c>
    </row>
    <row r="38" spans="2:566" x14ac:dyDescent="0.2">
      <c r="B38" s="41">
        <f>AssetMonthlyReturns[[#This Row],[Date]]</f>
        <v>43525</v>
      </c>
      <c r="C38" s="28">
        <f>SUMPRODUCT(INDEX(PortfolioRef[[SPY]:[PE]],MATCH(C$1,PortfolioRef[Reference '#]),0),AssetMonthlyReturns[[#This Row],[SPY]:[PE]])</f>
        <v>1.0506934434674153E-2</v>
      </c>
      <c r="D38" s="29">
        <f>IF(ISNUMBER(D37),D37*(1+PortfolioFrontier[[#This Row],[P1 Return]]),1+PortfolioFrontier[[#This Row],[P1 Return]])</f>
        <v>1.2636541148088329</v>
      </c>
      <c r="E38" s="29">
        <f>MAX(E37,PortfolioFrontier[[#This Row],[P1 Growth]])</f>
        <v>1.2636541148088329</v>
      </c>
      <c r="F38" s="29">
        <f>PortfolioFrontier[[#This Row],[P1 Growth]]/PortfolioFrontier[[#This Row],[P1 HWM]]-1</f>
        <v>0</v>
      </c>
      <c r="G38" s="28">
        <f>SUMPRODUCT(INDEX(PortfolioRef[[SPY]:[PE]],MATCH(G$1,PortfolioRef[Reference '#]),0),AssetMonthlyReturns[[#This Row],[SPY]:[PE]])</f>
        <v>1.0886426553214947E-2</v>
      </c>
      <c r="H38" s="27">
        <f>IF(ISNUMBER(H37),H37*(1+PortfolioFrontier[[#This Row],[P2 Return]]),1+PortfolioFrontier[[#This Row],[P2 Return]])</f>
        <v>1.2444629312746813</v>
      </c>
      <c r="I38" s="27">
        <f>MAX(I37,PortfolioFrontier[[#This Row],[P2 Growth]])</f>
        <v>1.2444629312746813</v>
      </c>
      <c r="J38" s="27">
        <f>PortfolioFrontier[[#This Row],[P2 Growth]]/PortfolioFrontier[[#This Row],[P2 HWM]]-1</f>
        <v>0</v>
      </c>
      <c r="K38" s="28">
        <f>SUMPRODUCT(INDEX(PortfolioRef[[SPY]:[PE]],MATCH(K$1,PortfolioRef[Reference '#]),0),AssetMonthlyReturns[[#This Row],[SPY]:[PE]])</f>
        <v>9.0266935840047011E-3</v>
      </c>
      <c r="L38" s="27">
        <f>IF(ISNUMBER(L37),L37*(1+PortfolioFrontier[[#This Row],[P3 Return]]),1+PortfolioFrontier[[#This Row],[P3 Return]])</f>
        <v>1.2409631026525316</v>
      </c>
      <c r="M38" s="27">
        <f>MAX(M37,PortfolioFrontier[[#This Row],[P3 Growth]])</f>
        <v>1.2409631026525316</v>
      </c>
      <c r="N38" s="27">
        <f>PortfolioFrontier[[#This Row],[P3 Growth]]/PortfolioFrontier[[#This Row],[P3 HWM]]-1</f>
        <v>0</v>
      </c>
      <c r="O38" s="28">
        <f>SUMPRODUCT(INDEX(PortfolioRef[[SPY]:[PE]],MATCH(O$1,PortfolioRef[Reference '#]),0),AssetMonthlyReturns[[#This Row],[SPY]:[PE]])</f>
        <v>1.1563471008272562E-2</v>
      </c>
      <c r="P38" s="27">
        <f>IF(ISNUMBER(P37),P37*(1+PortfolioFrontier[[#This Row],[P4 Return]]),1+PortfolioFrontier[[#This Row],[P4 Return]])</f>
        <v>1.2525846691687996</v>
      </c>
      <c r="Q38" s="27">
        <f>MAX(Q37,PortfolioFrontier[[#This Row],[P4 Growth]])</f>
        <v>1.2525846691687996</v>
      </c>
      <c r="R38" s="27">
        <f>PortfolioFrontier[[#This Row],[P4 Growth]]/PortfolioFrontier[[#This Row],[P4 HWM]]-1</f>
        <v>0</v>
      </c>
      <c r="S38" s="28">
        <f>SUMPRODUCT(INDEX(PortfolioRef[[SPY]:[PE]],MATCH(S$1,PortfolioRef[Reference '#]),0),AssetMonthlyReturns[[#This Row],[SPY]:[PE]])</f>
        <v>8.7969573231914192E-3</v>
      </c>
      <c r="T38" s="27">
        <f>IF(ISNUMBER(T37),T37*(1+PortfolioFrontier[[#This Row],[P5 Return]]),1+PortfolioFrontier[[#This Row],[P5 Return]])</f>
        <v>1.2394390528569761</v>
      </c>
      <c r="U38" s="27">
        <f>MAX(U37,PortfolioFrontier[[#This Row],[P5 Growth]])</f>
        <v>1.2394390528569761</v>
      </c>
      <c r="V38" s="27">
        <f>PortfolioFrontier[[#This Row],[P5 Growth]]/PortfolioFrontier[[#This Row],[P5 HWM]]-1</f>
        <v>0</v>
      </c>
      <c r="W38" s="28">
        <f>SUMPRODUCT(INDEX(PortfolioRef[[SPY]:[PE]],MATCH(W$1,PortfolioRef[Reference '#]),0),AssetMonthlyReturns[[#This Row],[SPY]:[PE]])</f>
        <v>1.1265918671755738E-2</v>
      </c>
      <c r="X38" s="27">
        <f>IF(ISNUMBER(X37),X37*(1+PortfolioFrontier[[#This Row],[P6 Return]]),1+PortfolioFrontier[[#This Row],[P6 Return]])</f>
        <v>1.2254275357360409</v>
      </c>
      <c r="Y38" s="27">
        <f>MAX(Y37,PortfolioFrontier[[#This Row],[P6 Growth]])</f>
        <v>1.2254275357360409</v>
      </c>
      <c r="Z38" s="27">
        <f>PortfolioFrontier[[#This Row],[P6 Growth]]/PortfolioFrontier[[#This Row],[P6 HWM]]-1</f>
        <v>0</v>
      </c>
      <c r="AA38" s="28">
        <f>SUMPRODUCT(INDEX(PortfolioRef[[SPY]:[PE]],MATCH(AA$1,PortfolioRef[Reference '#]),0),AssetMonthlyReturns[[#This Row],[SPY]:[PE]])</f>
        <v>9.4061857025454949E-3</v>
      </c>
      <c r="AB38" s="27">
        <f>IF(ISNUMBER(AB37),AB37*(1+PortfolioFrontier[[#This Row],[P7 Return]]),1+PortfolioFrontier[[#This Row],[P7 Return]])</f>
        <v>1.2219575975910872</v>
      </c>
      <c r="AC38" s="27">
        <f>MAX(AC37,PortfolioFrontier[[#This Row],[P7 Growth]])</f>
        <v>1.2219575975910872</v>
      </c>
      <c r="AD38" s="27">
        <f>PortfolioFrontier[[#This Row],[P7 Growth]]/PortfolioFrontier[[#This Row],[P7 HWM]]-1</f>
        <v>0</v>
      </c>
      <c r="AE38" s="28">
        <f>SUMPRODUCT(INDEX(PortfolioRef[[SPY]:[PE]],MATCH(AE$1,PortfolioRef[Reference '#]),0),AssetMonthlyReturns[[#This Row],[SPY]:[PE]])</f>
        <v>1.1942963126813356E-2</v>
      </c>
      <c r="AF38" s="27">
        <f>IF(ISNUMBER(AF37),AF37*(1+PortfolioFrontier[[#This Row],[P8 Return]]),1+PortfolioFrontier[[#This Row],[P8 Return]])</f>
        <v>1.2335143584938308</v>
      </c>
      <c r="AG38" s="27">
        <f>MAX(AG37,PortfolioFrontier[[#This Row],[P8 Growth]])</f>
        <v>1.2335143584938308</v>
      </c>
      <c r="AH38" s="27">
        <f>PortfolioFrontier[[#This Row],[P8 Growth]]/PortfolioFrontier[[#This Row],[P8 HWM]]-1</f>
        <v>0</v>
      </c>
      <c r="AI38" s="28">
        <f>SUMPRODUCT(INDEX(PortfolioRef[[SPY]:[PE]],MATCH(AI$1,PortfolioRef[Reference '#]),0),AssetMonthlyReturns[[#This Row],[SPY]:[PE]])</f>
        <v>9.176449441732213E-3</v>
      </c>
      <c r="AJ38" s="27">
        <f>IF(ISNUMBER(AJ37),AJ37*(1+PortfolioFrontier[[#This Row],[P9 Return]]),1+PortfolioFrontier[[#This Row],[P9 Return]])</f>
        <v>1.2205073140693246</v>
      </c>
      <c r="AK38" s="27">
        <f>MAX(AK37,PortfolioFrontier[[#This Row],[P9 Growth]])</f>
        <v>1.2205073140693246</v>
      </c>
      <c r="AL38" s="27">
        <f>PortfolioFrontier[[#This Row],[P9 Growth]]/PortfolioFrontier[[#This Row],[P9 HWM]]-1</f>
        <v>0</v>
      </c>
      <c r="AM38" s="28">
        <f>SUMPRODUCT(INDEX(PortfolioRef[[SPY]:[PE]],MATCH(AM$1,PortfolioRef[Reference '#]),0),AssetMonthlyReturns[[#This Row],[SPY]:[PE]])</f>
        <v>7.5464527333352505E-3</v>
      </c>
      <c r="AN38" s="27">
        <f>IF(ISNUMBER(AN37),AN37*(1+PortfolioFrontier[[#This Row],[P10 Return]]),1+PortfolioFrontier[[#This Row],[P10 Return]])</f>
        <v>1.2184124930091111</v>
      </c>
      <c r="AO38" s="27">
        <f>MAX(AO37,PortfolioFrontier[[#This Row],[P10 Growth]])</f>
        <v>1.2184124930091111</v>
      </c>
      <c r="AP38" s="27">
        <f>PortfolioFrontier[[#This Row],[P10 Growth]]/PortfolioFrontier[[#This Row],[P10 HWM]]-1</f>
        <v>0</v>
      </c>
      <c r="AQ38" s="28">
        <f>SUMPRODUCT(INDEX(PortfolioRef[[SPY]:[PE]],MATCH(AQ$1,PortfolioRef[Reference '#]),0),AssetMonthlyReturns[[#This Row],[SPY]:[PE]])</f>
        <v>1.0083230157603111E-2</v>
      </c>
      <c r="AR38" s="27">
        <f>IF(ISNUMBER(AR37),AR37*(1+PortfolioFrontier[[#This Row],[P11 Return]]),1+PortfolioFrontier[[#This Row],[P11 Return]])</f>
        <v>1.2300257814512703</v>
      </c>
      <c r="AS38" s="27">
        <f>MAX(AS37,PortfolioFrontier[[#This Row],[P11 Growth]])</f>
        <v>1.2300257814512703</v>
      </c>
      <c r="AT38" s="27">
        <f>PortfolioFrontier[[#This Row],[P11 Growth]]/PortfolioFrontier[[#This Row],[P11 HWM]]-1</f>
        <v>0</v>
      </c>
      <c r="AU38" s="28">
        <f>SUMPRODUCT(INDEX(PortfolioRef[[SPY]:[PE]],MATCH(AU$1,PortfolioRef[Reference '#]),0),AssetMonthlyReturns[[#This Row],[SPY]:[PE]])</f>
        <v>7.3167164725219669E-3</v>
      </c>
      <c r="AV38" s="27">
        <f>IF(ISNUMBER(AV37),AV37*(1+PortfolioFrontier[[#This Row],[P12 Return]]),1+PortfolioFrontier[[#This Row],[P12 Return]])</f>
        <v>1.2170746594190724</v>
      </c>
      <c r="AW38" s="27">
        <f>MAX(AW37,PortfolioFrontier[[#This Row],[P12 Growth]])</f>
        <v>1.2170746594190724</v>
      </c>
      <c r="AX38" s="27">
        <f>PortfolioFrontier[[#This Row],[P12 Growth]]/PortfolioFrontier[[#This Row],[P12 HWM]]-1</f>
        <v>0</v>
      </c>
      <c r="AY38" s="28">
        <f>SUMPRODUCT(INDEX(PortfolioRef[[SPY]:[PE]],MATCH(AY$1,PortfolioRef[Reference '#]),0),AssetMonthlyReturns[[#This Row],[SPY]:[PE]])</f>
        <v>1.2620007581870972E-2</v>
      </c>
      <c r="AZ38" s="27">
        <f>IF(ISNUMBER(AZ37),AZ37*(1+PortfolioFrontier[[#This Row],[P13 Return]]),1+PortfolioFrontier[[#This Row],[P13 Return]])</f>
        <v>1.2414981337345403</v>
      </c>
      <c r="BA38" s="27">
        <f>MAX(BA37,PortfolioFrontier[[#This Row],[P13 Growth]])</f>
        <v>1.2414981337345403</v>
      </c>
      <c r="BB38" s="27">
        <f>PortfolioFrontier[[#This Row],[P13 Growth]]/PortfolioFrontier[[#This Row],[P13 HWM]]-1</f>
        <v>0</v>
      </c>
      <c r="BC38" s="28">
        <f>SUMPRODUCT(INDEX(PortfolioRef[[SPY]:[PE]],MATCH(BC$1,PortfolioRef[Reference '#]),0),AssetMonthlyReturns[[#This Row],[SPY]:[PE]])</f>
        <v>9.8534938967898278E-3</v>
      </c>
      <c r="BD38" s="27">
        <f>IF(ISNUMBER(BD37),BD37*(1+PortfolioFrontier[[#This Row],[P14 Return]]),1+PortfolioFrontier[[#This Row],[P14 Return]])</f>
        <v>1.2285534082577414</v>
      </c>
      <c r="BE38" s="27">
        <f>MAX(BE37,PortfolioFrontier[[#This Row],[P14 Growth]])</f>
        <v>1.2285534082577414</v>
      </c>
      <c r="BF38" s="27">
        <f>PortfolioFrontier[[#This Row],[P14 Growth]]/PortfolioFrontier[[#This Row],[P14 HWM]]-1</f>
        <v>0</v>
      </c>
      <c r="BG38" s="28">
        <f>SUMPRODUCT(INDEX(PortfolioRef[[SPY]:[PE]],MATCH(BG$1,PortfolioRef[Reference '#]),0),AssetMonthlyReturns[[#This Row],[SPY]:[PE]])</f>
        <v>7.0869802117086806E-3</v>
      </c>
      <c r="BH38" s="27">
        <f>IF(ISNUMBER(BH37),BH37*(1+PortfolioFrontier[[#This Row],[P15 Return]]),1+PortfolioFrontier[[#This Row],[P15 Return]])</f>
        <v>1.2155539136719695</v>
      </c>
      <c r="BI38" s="27">
        <f>MAX(BI37,PortfolioFrontier[[#This Row],[P15 Growth]])</f>
        <v>1.2155539136719695</v>
      </c>
      <c r="BJ38" s="27">
        <f>PortfolioFrontier[[#This Row],[P15 Growth]]/PortfolioFrontier[[#This Row],[P15 HWM]]-1</f>
        <v>0</v>
      </c>
      <c r="BK38" s="28">
        <f>SUMPRODUCT(INDEX(PortfolioRef[[SPY]:[PE]],MATCH(BK$1,PortfolioRef[Reference '#]),0),AssetMonthlyReturns[[#This Row],[SPY]:[PE]])</f>
        <v>1.1645410790296528E-2</v>
      </c>
      <c r="BL38" s="27">
        <f>IF(ISNUMBER(BL37),BL37*(1+PortfolioFrontier[[#This Row],[P16 Return]]),1+PortfolioFrontier[[#This Row],[P16 Return]])</f>
        <v>1.20654996490807</v>
      </c>
      <c r="BM38" s="27">
        <f>MAX(BM37,PortfolioFrontier[[#This Row],[P16 Growth]])</f>
        <v>1.20654996490807</v>
      </c>
      <c r="BN38" s="27">
        <f>PortfolioFrontier[[#This Row],[P16 Growth]]/PortfolioFrontier[[#This Row],[P16 HWM]]-1</f>
        <v>0</v>
      </c>
      <c r="BO38" s="28">
        <f>SUMPRODUCT(INDEX(PortfolioRef[[SPY]:[PE]],MATCH(BO$1,PortfolioRef[Reference '#]),0),AssetMonthlyReturns[[#This Row],[SPY]:[PE]])</f>
        <v>9.7856778210862853E-3</v>
      </c>
      <c r="BP38" s="27">
        <f>IF(ISNUMBER(BP37),BP37*(1+PortfolioFrontier[[#This Row],[P17 Return]]),1+PortfolioFrontier[[#This Row],[P17 Return]])</f>
        <v>1.2031103697561836</v>
      </c>
      <c r="BQ38" s="27">
        <f>MAX(BQ37,PortfolioFrontier[[#This Row],[P17 Growth]])</f>
        <v>1.2031103697561836</v>
      </c>
      <c r="BR38" s="27">
        <f>PortfolioFrontier[[#This Row],[P17 Growth]]/PortfolioFrontier[[#This Row],[P17 HWM]]-1</f>
        <v>0</v>
      </c>
      <c r="BS38" s="28">
        <f>SUMPRODUCT(INDEX(PortfolioRef[[SPY]:[PE]],MATCH(BS$1,PortfolioRef[Reference '#]),0),AssetMonthlyReturns[[#This Row],[SPY]:[PE]])</f>
        <v>1.2322455245354146E-2</v>
      </c>
      <c r="BT38" s="27">
        <f>IF(ISNUMBER(BT37),BT37*(1+PortfolioFrontier[[#This Row],[P18 Return]]),1+PortfolioFrontier[[#This Row],[P18 Return]])</f>
        <v>1.214599856801946</v>
      </c>
      <c r="BU38" s="27">
        <f>MAX(BU37,PortfolioFrontier[[#This Row],[P18 Growth]])</f>
        <v>1.214599856801946</v>
      </c>
      <c r="BV38" s="27">
        <f>PortfolioFrontier[[#This Row],[P18 Growth]]/PortfolioFrontier[[#This Row],[P18 HWM]]-1</f>
        <v>0</v>
      </c>
      <c r="BW38" s="28">
        <f>SUMPRODUCT(INDEX(PortfolioRef[[SPY]:[PE]],MATCH(BW$1,PortfolioRef[Reference '#]),0),AssetMonthlyReturns[[#This Row],[SPY]:[PE]])</f>
        <v>9.5559415602730034E-3</v>
      </c>
      <c r="BX38" s="27">
        <f>IF(ISNUMBER(BX37),BX37*(1+PortfolioFrontier[[#This Row],[P19 Return]]),1+PortfolioFrontier[[#This Row],[P19 Return]])</f>
        <v>1.2017317729956605</v>
      </c>
      <c r="BY38" s="27">
        <f>MAX(BY37,PortfolioFrontier[[#This Row],[P19 Growth]])</f>
        <v>1.2017317729956605</v>
      </c>
      <c r="BZ38" s="27">
        <f>PortfolioFrontier[[#This Row],[P19 Growth]]/PortfolioFrontier[[#This Row],[P19 HWM]]-1</f>
        <v>0</v>
      </c>
      <c r="CA38" s="28">
        <f>SUMPRODUCT(INDEX(PortfolioRef[[SPY]:[PE]],MATCH(CA$1,PortfolioRef[Reference '#]),0),AssetMonthlyReturns[[#This Row],[SPY]:[PE]])</f>
        <v>7.9259448518760444E-3</v>
      </c>
      <c r="CB38" s="27">
        <f>IF(ISNUMBER(CB37),CB37*(1+PortfolioFrontier[[#This Row],[P20 Return]]),1+PortfolioFrontier[[#This Row],[P20 Return]])</f>
        <v>1.1995968177456811</v>
      </c>
      <c r="CC38" s="27">
        <f>MAX(CC37,PortfolioFrontier[[#This Row],[P20 Growth]])</f>
        <v>1.1995968177456811</v>
      </c>
      <c r="CD38" s="27">
        <f>PortfolioFrontier[[#This Row],[P20 Growth]]/PortfolioFrontier[[#This Row],[P20 HWM]]-1</f>
        <v>0</v>
      </c>
      <c r="CE38" s="28">
        <f>SUMPRODUCT(INDEX(PortfolioRef[[SPY]:[PE]],MATCH(CE$1,PortfolioRef[Reference '#]),0),AssetMonthlyReturns[[#This Row],[SPY]:[PE]])</f>
        <v>1.0462722276143905E-2</v>
      </c>
      <c r="CF38" s="27">
        <f>IF(ISNUMBER(CF37),CF37*(1+PortfolioFrontier[[#This Row],[P21 Return]]),1+PortfolioFrontier[[#This Row],[P21 Return]])</f>
        <v>1.2111413861793523</v>
      </c>
      <c r="CG38" s="27">
        <f>MAX(CG37,PortfolioFrontier[[#This Row],[P21 Growth]])</f>
        <v>1.2111413861793523</v>
      </c>
      <c r="CH38" s="27">
        <f>PortfolioFrontier[[#This Row],[P21 Growth]]/PortfolioFrontier[[#This Row],[P21 HWM]]-1</f>
        <v>0</v>
      </c>
      <c r="CI38" s="28">
        <f>SUMPRODUCT(INDEX(PortfolioRef[[SPY]:[PE]],MATCH(CI$1,PortfolioRef[Reference '#]),0),AssetMonthlyReturns[[#This Row],[SPY]:[PE]])</f>
        <v>7.6962085910627608E-3</v>
      </c>
      <c r="CJ38" s="27">
        <f>IF(ISNUMBER(CJ37),CJ37*(1+PortfolioFrontier[[#This Row],[P22 Return]]),1+PortfolioFrontier[[#This Row],[P22 Return]])</f>
        <v>1.198328889614303</v>
      </c>
      <c r="CK38" s="27">
        <f>MAX(CK37,PortfolioFrontier[[#This Row],[P22 Growth]])</f>
        <v>1.198328889614303</v>
      </c>
      <c r="CL38" s="27">
        <f>PortfolioFrontier[[#This Row],[P22 Growth]]/PortfolioFrontier[[#This Row],[P22 HWM]]-1</f>
        <v>0</v>
      </c>
      <c r="CM38" s="28">
        <f>SUMPRODUCT(INDEX(PortfolioRef[[SPY]:[PE]],MATCH(CM$1,PortfolioRef[Reference '#]),0),AssetMonthlyReturns[[#This Row],[SPY]:[PE]])</f>
        <v>1.2999499700411768E-2</v>
      </c>
      <c r="CN38" s="27">
        <f>IF(ISNUMBER(CN37),CN37*(1+PortfolioFrontier[[#This Row],[P23 Return]]),1+PortfolioFrontier[[#This Row],[P23 Return]])</f>
        <v>1.2225496325883176</v>
      </c>
      <c r="CO38" s="27">
        <f>MAX(CO37,PortfolioFrontier[[#This Row],[P23 Growth]])</f>
        <v>1.2225496325883176</v>
      </c>
      <c r="CP38" s="27">
        <f>PortfolioFrontier[[#This Row],[P23 Growth]]/PortfolioFrontier[[#This Row],[P23 HWM]]-1</f>
        <v>0</v>
      </c>
      <c r="CQ38" s="28">
        <f>SUMPRODUCT(INDEX(PortfolioRef[[SPY]:[PE]],MATCH(CQ$1,PortfolioRef[Reference '#]),0),AssetMonthlyReturns[[#This Row],[SPY]:[PE]])</f>
        <v>1.0232986015330622E-2</v>
      </c>
      <c r="CR38" s="27">
        <f>IF(ISNUMBER(CR37),CR37*(1+PortfolioFrontier[[#This Row],[P24 Return]]),1+PortfolioFrontier[[#This Row],[P24 Return]])</f>
        <v>1.209741531491864</v>
      </c>
      <c r="CS38" s="27">
        <f>MAX(CS37,PortfolioFrontier[[#This Row],[P24 Growth]])</f>
        <v>1.209741531491864</v>
      </c>
      <c r="CT38" s="27">
        <f>PortfolioFrontier[[#This Row],[P24 Growth]]/PortfolioFrontier[[#This Row],[P24 HWM]]-1</f>
        <v>0</v>
      </c>
      <c r="CU38" s="28">
        <f>SUMPRODUCT(INDEX(PortfolioRef[[SPY]:[PE]],MATCH(CU$1,PortfolioRef[Reference '#]),0),AssetMonthlyReturns[[#This Row],[SPY]:[PE]])</f>
        <v>7.4664723302494762E-3</v>
      </c>
      <c r="CV38" s="27">
        <f>IF(ISNUMBER(CV37),CV37*(1+PortfolioFrontier[[#This Row],[P25 Return]]),1+PortfolioFrontier[[#This Row],[P25 Return]])</f>
        <v>1.1968807058672748</v>
      </c>
      <c r="CW38" s="27">
        <f>MAX(CW37,PortfolioFrontier[[#This Row],[P25 Growth]])</f>
        <v>1.1968807058672748</v>
      </c>
      <c r="CX38" s="27">
        <f>PortfolioFrontier[[#This Row],[P25 Growth]]/PortfolioFrontier[[#This Row],[P25 HWM]]-1</f>
        <v>0</v>
      </c>
      <c r="CY38" s="28">
        <f>SUMPRODUCT(INDEX(PortfolioRef[[SPY]:[PE]],MATCH(CY$1,PortfolioRef[Reference '#]),0),AssetMonthlyReturns[[#This Row],[SPY]:[PE]])</f>
        <v>8.6029893069336609E-3</v>
      </c>
      <c r="CZ38" s="27">
        <f>IF(ISNUMBER(CZ37),CZ37*(1+PortfolioFrontier[[#This Row],[P26 Return]]),1+PortfolioFrontier[[#This Row],[P26 Return]])</f>
        <v>1.2076085235902079</v>
      </c>
      <c r="DA38" s="27">
        <f>MAX(DA37,PortfolioFrontier[[#This Row],[P26 Growth]])</f>
        <v>1.2076085235902079</v>
      </c>
      <c r="DB38" s="27">
        <f>PortfolioFrontier[[#This Row],[P26 Growth]]/PortfolioFrontier[[#This Row],[P26 HWM]]-1</f>
        <v>0</v>
      </c>
      <c r="DC38" s="28">
        <f>SUMPRODUCT(INDEX(PortfolioRef[[SPY]:[PE]],MATCH(DC$1,PortfolioRef[Reference '#]),0),AssetMonthlyReturns[[#This Row],[SPY]:[PE]])</f>
        <v>5.8364756218525164E-3</v>
      </c>
      <c r="DD38" s="27">
        <f>IF(ISNUMBER(DD37),DD37*(1+PortfolioFrontier[[#This Row],[P27 Return]]),1+PortfolioFrontier[[#This Row],[P27 Return]])</f>
        <v>1.1948521909056604</v>
      </c>
      <c r="DE38" s="27">
        <f>MAX(DE37,PortfolioFrontier[[#This Row],[P27 Growth]])</f>
        <v>1.1948521909056604</v>
      </c>
      <c r="DF38" s="27">
        <f>PortfolioFrontier[[#This Row],[P27 Growth]]/PortfolioFrontier[[#This Row],[P27 HWM]]-1</f>
        <v>0</v>
      </c>
      <c r="DG38" s="28">
        <f>SUMPRODUCT(INDEX(PortfolioRef[[SPY]:[PE]],MATCH(DG$1,PortfolioRef[Reference '#]),0),AssetMonthlyReturns[[#This Row],[SPY]:[PE]])</f>
        <v>1.1139766731201522E-2</v>
      </c>
      <c r="DH38" s="27">
        <f>IF(ISNUMBER(DH37),DH37*(1+PortfolioFrontier[[#This Row],[P28 Return]]),1+PortfolioFrontier[[#This Row],[P28 Return]])</f>
        <v>1.2190727895072166</v>
      </c>
      <c r="DI38" s="27">
        <f>MAX(DI37,PortfolioFrontier[[#This Row],[P28 Growth]])</f>
        <v>1.2190727895072166</v>
      </c>
      <c r="DJ38" s="27">
        <f>PortfolioFrontier[[#This Row],[P28 Growth]]/PortfolioFrontier[[#This Row],[P28 HWM]]-1</f>
        <v>0</v>
      </c>
      <c r="DK38" s="28">
        <f>SUMPRODUCT(INDEX(PortfolioRef[[SPY]:[PE]],MATCH(DK$1,PortfolioRef[Reference '#]),0),AssetMonthlyReturns[[#This Row],[SPY]:[PE]])</f>
        <v>8.3732530461203773E-3</v>
      </c>
      <c r="DL38" s="27">
        <f>IF(ISNUMBER(DL37),DL37*(1+PortfolioFrontier[[#This Row],[P29 Return]]),1+PortfolioFrontier[[#This Row],[P29 Return]])</f>
        <v>1.2063200713552511</v>
      </c>
      <c r="DM38" s="27">
        <f>MAX(DM37,PortfolioFrontier[[#This Row],[P29 Growth]])</f>
        <v>1.2063200713552511</v>
      </c>
      <c r="DN38" s="27">
        <f>PortfolioFrontier[[#This Row],[P29 Growth]]/PortfolioFrontier[[#This Row],[P29 HWM]]-1</f>
        <v>0</v>
      </c>
      <c r="DO38" s="28">
        <f>SUMPRODUCT(INDEX(PortfolioRef[[SPY]:[PE]],MATCH(DO$1,PortfolioRef[Reference '#]),0),AssetMonthlyReturns[[#This Row],[SPY]:[PE]])</f>
        <v>5.6067393610392301E-3</v>
      </c>
      <c r="DP38" s="27">
        <f>IF(ISNUMBER(DP37),DP37*(1+PortfolioFrontier[[#This Row],[P30 Return]]),1+PortfolioFrontier[[#This Row],[P30 Return]])</f>
        <v>1.1935144271086653</v>
      </c>
      <c r="DQ38" s="27">
        <f>MAX(DQ37,PortfolioFrontier[[#This Row],[P30 Growth]])</f>
        <v>1.1935144271086653</v>
      </c>
      <c r="DR38" s="27">
        <f>PortfolioFrontier[[#This Row],[P30 Growth]]/PortfolioFrontier[[#This Row],[P30 HWM]]-1</f>
        <v>0</v>
      </c>
      <c r="DS38" s="28">
        <f>SUMPRODUCT(INDEX(PortfolioRef[[SPY]:[PE]],MATCH(DS$1,PortfolioRef[Reference '#]),0),AssetMonthlyReturns[[#This Row],[SPY]:[PE]])</f>
        <v>1.3676544155469383E-2</v>
      </c>
      <c r="DT38" s="27">
        <f>IF(ISNUMBER(DT37),DT37*(1+PortfolioFrontier[[#This Row],[P31 Return]]),1+PortfolioFrontier[[#This Row],[P31 Return]])</f>
        <v>1.2303965357194151</v>
      </c>
      <c r="DU38" s="27">
        <f>MAX(DU37,PortfolioFrontier[[#This Row],[P31 Growth]])</f>
        <v>1.2303965357194151</v>
      </c>
      <c r="DV38" s="27">
        <f>PortfolioFrontier[[#This Row],[P31 Growth]]/PortfolioFrontier[[#This Row],[P31 HWM]]-1</f>
        <v>0</v>
      </c>
      <c r="DW38" s="28">
        <f>SUMPRODUCT(INDEX(PortfolioRef[[SPY]:[PE]],MATCH(DW$1,PortfolioRef[Reference '#]),0),AssetMonthlyReturns[[#This Row],[SPY]:[PE]])</f>
        <v>1.0910030470388238E-2</v>
      </c>
      <c r="DX38" s="27">
        <f>IF(ISNUMBER(DX37),DX37*(1+PortfolioFrontier[[#This Row],[P32 Return]]),1+PortfolioFrontier[[#This Row],[P32 Return]])</f>
        <v>1.2176513428264031</v>
      </c>
      <c r="DY38" s="27">
        <f>MAX(DY37,PortfolioFrontier[[#This Row],[P32 Growth]])</f>
        <v>1.2176513428264031</v>
      </c>
      <c r="DZ38" s="27">
        <f>PortfolioFrontier[[#This Row],[P32 Growth]]/PortfolioFrontier[[#This Row],[P32 HWM]]-1</f>
        <v>0</v>
      </c>
      <c r="EA38" s="28">
        <f>SUMPRODUCT(INDEX(PortfolioRef[[SPY]:[PE]],MATCH(EA$1,PortfolioRef[Reference '#]),0),AssetMonthlyReturns[[#This Row],[SPY]:[PE]])</f>
        <v>8.1435167853070901E-3</v>
      </c>
      <c r="EB38" s="27">
        <f>IF(ISNUMBER(EB37),EB37*(1+PortfolioFrontier[[#This Row],[P33 Return]]),1+PortfolioFrontier[[#This Row],[P33 Return]])</f>
        <v>1.2048501377949616</v>
      </c>
      <c r="EC38" s="27">
        <f>MAX(EC37,PortfolioFrontier[[#This Row],[P33 Growth]])</f>
        <v>1.2048501377949616</v>
      </c>
      <c r="ED38" s="27">
        <f>PortfolioFrontier[[#This Row],[P33 Growth]]/PortfolioFrontier[[#This Row],[P33 HWM]]-1</f>
        <v>0</v>
      </c>
      <c r="EE38" s="28">
        <f>SUMPRODUCT(INDEX(PortfolioRef[[SPY]:[PE]],MATCH(EE$1,PortfolioRef[Reference '#]),0),AssetMonthlyReturns[[#This Row],[SPY]:[PE]])</f>
        <v>1.2024902908837322E-2</v>
      </c>
      <c r="EF38" s="27">
        <f>IF(ISNUMBER(EF37),EF37*(1+PortfolioFrontier[[#This Row],[P34 Return]]),1+PortfolioFrontier[[#This Row],[P34 Return]])</f>
        <v>1.1878321485112746</v>
      </c>
      <c r="EG38" s="27">
        <f>MAX(EG37,PortfolioFrontier[[#This Row],[P34 Growth]])</f>
        <v>1.1878321485112746</v>
      </c>
      <c r="EH38" s="27">
        <f>PortfolioFrontier[[#This Row],[P34 Growth]]/PortfolioFrontier[[#This Row],[P34 HWM]]-1</f>
        <v>0</v>
      </c>
      <c r="EI38" s="28">
        <f>SUMPRODUCT(INDEX(PortfolioRef[[SPY]:[PE]],MATCH(EI$1,PortfolioRef[Reference '#]),0),AssetMonthlyReturns[[#This Row],[SPY]:[PE]])</f>
        <v>1.0165169939627076E-2</v>
      </c>
      <c r="EJ38" s="27">
        <f>IF(ISNUMBER(EJ37),EJ37*(1+PortfolioFrontier[[#This Row],[P35 Return]]),1+PortfolioFrontier[[#This Row],[P35 Return]])</f>
        <v>1.1844233239722093</v>
      </c>
      <c r="EK38" s="27">
        <f>MAX(EK37,PortfolioFrontier[[#This Row],[P35 Growth]])</f>
        <v>1.1844233239722093</v>
      </c>
      <c r="EL38" s="27">
        <f>PortfolioFrontier[[#This Row],[P35 Growth]]/PortfolioFrontier[[#This Row],[P35 HWM]]-1</f>
        <v>0</v>
      </c>
      <c r="EM38" s="28">
        <f>SUMPRODUCT(INDEX(PortfolioRef[[SPY]:[PE]],MATCH(EM$1,PortfolioRef[Reference '#]),0),AssetMonthlyReturns[[#This Row],[SPY]:[PE]])</f>
        <v>1.2701947363894937E-2</v>
      </c>
      <c r="EN38" s="27">
        <f>IF(ISNUMBER(EN37),EN37*(1+PortfolioFrontier[[#This Row],[P36 Return]]),1+PortfolioFrontier[[#This Row],[P36 Return]])</f>
        <v>1.1958431654625299</v>
      </c>
      <c r="EO38" s="27">
        <f>MAX(EO37,PortfolioFrontier[[#This Row],[P36 Growth]])</f>
        <v>1.1958431654625299</v>
      </c>
      <c r="EP38" s="27">
        <f>PortfolioFrontier[[#This Row],[P36 Growth]]/PortfolioFrontier[[#This Row],[P36 HWM]]-1</f>
        <v>0</v>
      </c>
      <c r="EQ38" s="28">
        <f>SUMPRODUCT(INDEX(PortfolioRef[[SPY]:[PE]],MATCH(EQ$1,PortfolioRef[Reference '#]),0),AssetMonthlyReturns[[#This Row],[SPY]:[PE]])</f>
        <v>9.9354336788137938E-3</v>
      </c>
      <c r="ER38" s="27">
        <f>IF(ISNUMBER(ER37),ER37*(1+PortfolioFrontier[[#This Row],[P37 Return]]),1+PortfolioFrontier[[#This Row],[P37 Return]])</f>
        <v>1.1831143730237434</v>
      </c>
      <c r="ES38" s="27">
        <f>MAX(ES37,PortfolioFrontier[[#This Row],[P37 Growth]])</f>
        <v>1.1831143730237434</v>
      </c>
      <c r="ET38" s="27">
        <f>PortfolioFrontier[[#This Row],[P37 Growth]]/PortfolioFrontier[[#This Row],[P37 HWM]]-1</f>
        <v>0</v>
      </c>
      <c r="EU38" s="28">
        <f>SUMPRODUCT(INDEX(PortfolioRef[[SPY]:[PE]],MATCH(EU$1,PortfolioRef[Reference '#]),0),AssetMonthlyReturns[[#This Row],[SPY]:[PE]])</f>
        <v>8.3054369704168348E-3</v>
      </c>
      <c r="EV38" s="27">
        <f>IF(ISNUMBER(EV37),EV37*(1+PortfolioFrontier[[#This Row],[P38 Return]]),1+PortfolioFrontier[[#This Row],[P38 Return]])</f>
        <v>1.1809417386916454</v>
      </c>
      <c r="EW38" s="27">
        <f>MAX(EW37,PortfolioFrontier[[#This Row],[P38 Growth]])</f>
        <v>1.1809417386916454</v>
      </c>
      <c r="EX38" s="27">
        <f>PortfolioFrontier[[#This Row],[P38 Growth]]/PortfolioFrontier[[#This Row],[P38 HWM]]-1</f>
        <v>0</v>
      </c>
      <c r="EY38" s="28">
        <f>SUMPRODUCT(INDEX(PortfolioRef[[SPY]:[PE]],MATCH(EY$1,PortfolioRef[Reference '#]),0),AssetMonthlyReturns[[#This Row],[SPY]:[PE]])</f>
        <v>1.0842214394684696E-2</v>
      </c>
      <c r="EZ38" s="27">
        <f>IF(ISNUMBER(EZ37),EZ37*(1+PortfolioFrontier[[#This Row],[P39 Return]]),1+PortfolioFrontier[[#This Row],[P39 Return]])</f>
        <v>1.1924152433193727</v>
      </c>
      <c r="FA38" s="27">
        <f>MAX(FA37,PortfolioFrontier[[#This Row],[P39 Growth]])</f>
        <v>1.1924152433193727</v>
      </c>
      <c r="FB38" s="27">
        <f>PortfolioFrontier[[#This Row],[P39 Growth]]/PortfolioFrontier[[#This Row],[P39 HWM]]-1</f>
        <v>0</v>
      </c>
      <c r="FC38" s="28">
        <f>SUMPRODUCT(INDEX(PortfolioRef[[SPY]:[PE]],MATCH(FC$1,PortfolioRef[Reference '#]),0),AssetMonthlyReturns[[#This Row],[SPY]:[PE]])</f>
        <v>8.0757007096035512E-3</v>
      </c>
      <c r="FD38" s="27">
        <f>IF(ISNUMBER(FD37),FD37*(1+PortfolioFrontier[[#This Row],[P40 Return]]),1+PortfolioFrontier[[#This Row],[P40 Return]])</f>
        <v>1.1797416932111524</v>
      </c>
      <c r="FE38" s="27">
        <f>MAX(FE37,PortfolioFrontier[[#This Row],[P40 Growth]])</f>
        <v>1.1797416932111524</v>
      </c>
      <c r="FF38" s="27">
        <f>PortfolioFrontier[[#This Row],[P40 Growth]]/PortfolioFrontier[[#This Row],[P40 HWM]]-1</f>
        <v>0</v>
      </c>
      <c r="FG38" s="28">
        <f>SUMPRODUCT(INDEX(PortfolioRef[[SPY]:[PE]],MATCH(FG$1,PortfolioRef[Reference '#]),0),AssetMonthlyReturns[[#This Row],[SPY]:[PE]])</f>
        <v>1.3378991818952558E-2</v>
      </c>
      <c r="FH38" s="27">
        <f>IF(ISNUMBER(FH37),FH37*(1+PortfolioFrontier[[#This Row],[P41 Return]]),1+PortfolioFrontier[[#This Row],[P41 Return]])</f>
        <v>1.2037569397325378</v>
      </c>
      <c r="FI38" s="27">
        <f>MAX(FI37,PortfolioFrontier[[#This Row],[P41 Growth]])</f>
        <v>1.2037569397325378</v>
      </c>
      <c r="FJ38" s="27">
        <f>PortfolioFrontier[[#This Row],[P41 Growth]]/PortfolioFrontier[[#This Row],[P41 HWM]]-1</f>
        <v>0</v>
      </c>
      <c r="FK38" s="28">
        <f>SUMPRODUCT(INDEX(PortfolioRef[[SPY]:[PE]],MATCH(FK$1,PortfolioRef[Reference '#]),0),AssetMonthlyReturns[[#This Row],[SPY]:[PE]])</f>
        <v>1.0612478133871412E-2</v>
      </c>
      <c r="FL38" s="27">
        <f>IF(ISNUMBER(FL37),FL37*(1+PortfolioFrontier[[#This Row],[P42 Return]]),1+PortfolioFrontier[[#This Row],[P42 Return]])</f>
        <v>1.1910858484349225</v>
      </c>
      <c r="FM38" s="27">
        <f>MAX(FM37,PortfolioFrontier[[#This Row],[P42 Growth]])</f>
        <v>1.1910858484349225</v>
      </c>
      <c r="FN38" s="27">
        <f>PortfolioFrontier[[#This Row],[P42 Growth]]/PortfolioFrontier[[#This Row],[P42 HWM]]-1</f>
        <v>0</v>
      </c>
      <c r="FO38" s="28">
        <f>SUMPRODUCT(INDEX(PortfolioRef[[SPY]:[PE]],MATCH(FO$1,PortfolioRef[Reference '#]),0),AssetMonthlyReturns[[#This Row],[SPY]:[PE]])</f>
        <v>7.8459644487902658E-3</v>
      </c>
      <c r="FP38" s="27">
        <f>IF(ISNUMBER(FP37),FP37*(1+PortfolioFrontier[[#This Row],[P43 Return]]),1+PortfolioFrontier[[#This Row],[P43 Return]])</f>
        <v>1.1783640289009321</v>
      </c>
      <c r="FQ38" s="27">
        <f>MAX(FQ37,PortfolioFrontier[[#This Row],[P43 Growth]])</f>
        <v>1.1783640289009321</v>
      </c>
      <c r="FR38" s="27">
        <f>PortfolioFrontier[[#This Row],[P43 Growth]]/PortfolioFrontier[[#This Row],[P43 HWM]]-1</f>
        <v>0</v>
      </c>
      <c r="FS38" s="28">
        <f>SUMPRODUCT(INDEX(PortfolioRef[[SPY]:[PE]],MATCH(FS$1,PortfolioRef[Reference '#]),0),AssetMonthlyReturns[[#This Row],[SPY]:[PE]])</f>
        <v>8.9824814254744548E-3</v>
      </c>
      <c r="FT38" s="27">
        <f>IF(ISNUMBER(FT37),FT37*(1+PortfolioFrontier[[#This Row],[P44 Return]]),1+PortfolioFrontier[[#This Row],[P44 Return]])</f>
        <v>1.1889141283173348</v>
      </c>
      <c r="FU38" s="27">
        <f>MAX(FU37,PortfolioFrontier[[#This Row],[P44 Growth]])</f>
        <v>1.1889141283173348</v>
      </c>
      <c r="FV38" s="27">
        <f>PortfolioFrontier[[#This Row],[P44 Growth]]/PortfolioFrontier[[#This Row],[P44 HWM]]-1</f>
        <v>0</v>
      </c>
      <c r="FW38" s="28">
        <f>SUMPRODUCT(INDEX(PortfolioRef[[SPY]:[PE]],MATCH(FW$1,PortfolioRef[Reference '#]),0),AssetMonthlyReturns[[#This Row],[SPY]:[PE]])</f>
        <v>6.2159677403933102E-3</v>
      </c>
      <c r="FX38" s="27">
        <f>IF(ISNUMBER(FX37),FX37*(1+PortfolioFrontier[[#This Row],[P45 Return]]),1+PortfolioFrontier[[#This Row],[P45 Return]])</f>
        <v>1.176296390007636</v>
      </c>
      <c r="FY38" s="27">
        <f>MAX(FY37,PortfolioFrontier[[#This Row],[P45 Growth]])</f>
        <v>1.176296390007636</v>
      </c>
      <c r="FZ38" s="27">
        <f>PortfolioFrontier[[#This Row],[P45 Growth]]/PortfolioFrontier[[#This Row],[P45 HWM]]-1</f>
        <v>0</v>
      </c>
      <c r="GA38" s="28">
        <f>SUMPRODUCT(INDEX(PortfolioRef[[SPY]:[PE]],MATCH(GA$1,PortfolioRef[Reference '#]),0),AssetMonthlyReturns[[#This Row],[SPY]:[PE]])</f>
        <v>1.1519258849742316E-2</v>
      </c>
      <c r="GB38" s="27">
        <f>IF(ISNUMBER(GB37),GB37*(1+PortfolioFrontier[[#This Row],[P46 Return]]),1+PortfolioFrontier[[#This Row],[P46 Return]])</f>
        <v>1.2003104107432572</v>
      </c>
      <c r="GC38" s="27">
        <f>MAX(GC37,PortfolioFrontier[[#This Row],[P46 Growth]])</f>
        <v>1.2003104107432572</v>
      </c>
      <c r="GD38" s="27">
        <f>PortfolioFrontier[[#This Row],[P46 Growth]]/PortfolioFrontier[[#This Row],[P46 HWM]]-1</f>
        <v>0</v>
      </c>
      <c r="GE38" s="28">
        <f>SUMPRODUCT(INDEX(PortfolioRef[[SPY]:[PE]],MATCH(GE$1,PortfolioRef[Reference '#]),0),AssetMonthlyReturns[[#This Row],[SPY]:[PE]])</f>
        <v>8.7527451646611711E-3</v>
      </c>
      <c r="GF38" s="27">
        <f>IF(ISNUMBER(GF37),GF37*(1+PortfolioFrontier[[#This Row],[P47 Return]]),1+PortfolioFrontier[[#This Row],[P47 Return]])</f>
        <v>1.1876943672371583</v>
      </c>
      <c r="GG38" s="27">
        <f>MAX(GG37,PortfolioFrontier[[#This Row],[P47 Growth]])</f>
        <v>1.1876943672371583</v>
      </c>
      <c r="GH38" s="27">
        <f>PortfolioFrontier[[#This Row],[P47 Growth]]/PortfolioFrontier[[#This Row],[P47 HWM]]-1</f>
        <v>0</v>
      </c>
      <c r="GI38" s="28">
        <f>SUMPRODUCT(INDEX(PortfolioRef[[SPY]:[PE]],MATCH(GI$1,PortfolioRef[Reference '#]),0),AssetMonthlyReturns[[#This Row],[SPY]:[PE]])</f>
        <v>5.986231479580024E-3</v>
      </c>
      <c r="GJ38" s="27">
        <f>IF(ISNUMBER(GJ37),GJ37*(1+PortfolioFrontier[[#This Row],[P48 Return]]),1+PortfolioFrontier[[#This Row],[P48 Return]])</f>
        <v>1.1750273902662034</v>
      </c>
      <c r="GK38" s="27">
        <f>MAX(GK37,PortfolioFrontier[[#This Row],[P48 Growth]])</f>
        <v>1.1750273902662034</v>
      </c>
      <c r="GL38" s="27">
        <f>PortfolioFrontier[[#This Row],[P48 Growth]]/PortfolioFrontier[[#This Row],[P48 HWM]]-1</f>
        <v>0</v>
      </c>
      <c r="GM38" s="28">
        <f>SUMPRODUCT(INDEX(PortfolioRef[[SPY]:[PE]],MATCH(GM$1,PortfolioRef[Reference '#]),0),AssetMonthlyReturns[[#This Row],[SPY]:[PE]])</f>
        <v>1.4056036274010177E-2</v>
      </c>
      <c r="GN38" s="27">
        <f>IF(ISNUMBER(GN37),GN37*(1+PortfolioFrontier[[#This Row],[P49 Return]]),1+PortfolioFrontier[[#This Row],[P49 Return]])</f>
        <v>1.2115707527065926</v>
      </c>
      <c r="GO38" s="27">
        <f>MAX(GO37,PortfolioFrontier[[#This Row],[P49 Growth]])</f>
        <v>1.2115707527065926</v>
      </c>
      <c r="GP38" s="27">
        <f>PortfolioFrontier[[#This Row],[P49 Growth]]/PortfolioFrontier[[#This Row],[P49 HWM]]-1</f>
        <v>0</v>
      </c>
      <c r="GQ38" s="28">
        <f>SUMPRODUCT(INDEX(PortfolioRef[[SPY]:[PE]],MATCH(GQ$1,PortfolioRef[Reference '#]),0),AssetMonthlyReturns[[#This Row],[SPY]:[PE]])</f>
        <v>1.1289522588929032E-2</v>
      </c>
      <c r="GR38" s="27">
        <f>IF(ISNUMBER(GR37),GR37*(1+PortfolioFrontier[[#This Row],[P50 Return]]),1+PortfolioFrontier[[#This Row],[P50 Return]])</f>
        <v>1.1989602435945059</v>
      </c>
      <c r="GS38" s="27">
        <f>MAX(GS37,PortfolioFrontier[[#This Row],[P50 Growth]])</f>
        <v>1.1989602435945059</v>
      </c>
      <c r="GT38" s="27">
        <f>PortfolioFrontier[[#This Row],[P50 Growth]]/PortfolioFrontier[[#This Row],[P50 HWM]]-1</f>
        <v>0</v>
      </c>
      <c r="GU38" s="28">
        <f>SUMPRODUCT(INDEX(PortfolioRef[[SPY]:[PE]],MATCH(GU$1,PortfolioRef[Reference '#]),0),AssetMonthlyReturns[[#This Row],[SPY]:[PE]])</f>
        <v>8.523008903847884E-3</v>
      </c>
      <c r="GV38" s="27">
        <f>IF(ISNUMBER(GV37),GV37*(1+PortfolioFrontier[[#This Row],[P51 Return]]),1+PortfolioFrontier[[#This Row],[P51 Return]])</f>
        <v>1.1862957686110582</v>
      </c>
      <c r="GW38" s="27">
        <f>MAX(GW37,PortfolioFrontier[[#This Row],[P51 Growth]])</f>
        <v>1.1862957686110582</v>
      </c>
      <c r="GX38" s="27">
        <f>PortfolioFrontier[[#This Row],[P51 Growth]]/PortfolioFrontier[[#This Row],[P51 HWM]]-1</f>
        <v>0</v>
      </c>
      <c r="GY38" s="28">
        <f>SUMPRODUCT(INDEX(PortfolioRef[[SPY]:[PE]],MATCH(GY$1,PortfolioRef[Reference '#]),0),AssetMonthlyReturns[[#This Row],[SPY]:[PE]])</f>
        <v>9.6595258805320695E-3</v>
      </c>
      <c r="GZ38" s="27">
        <f>IF(ISNUMBER(GZ37),GZ37*(1+PortfolioFrontier[[#This Row],[P52 Return]]),1+PortfolioFrontier[[#This Row],[P52 Return]])</f>
        <v>1.1967902611762886</v>
      </c>
      <c r="HA38" s="27">
        <f>MAX(HA37,PortfolioFrontier[[#This Row],[P52 Growth]])</f>
        <v>1.1967902611762886</v>
      </c>
      <c r="HB38" s="27">
        <f>PortfolioFrontier[[#This Row],[P52 Growth]]/PortfolioFrontier[[#This Row],[P52 HWM]]-1</f>
        <v>0</v>
      </c>
      <c r="HC38" s="28">
        <f>SUMPRODUCT(INDEX(PortfolioRef[[SPY]:[PE]],MATCH(HC$1,PortfolioRef[Reference '#]),0),AssetMonthlyReturns[[#This Row],[SPY]:[PE]])</f>
        <v>6.8930121954509267E-3</v>
      </c>
      <c r="HD38" s="27">
        <f>IF(ISNUMBER(HD37),HD37*(1+PortfolioFrontier[[#This Row],[P53 Return]]),1+PortfolioFrontier[[#This Row],[P53 Return]])</f>
        <v>1.1842298315973045</v>
      </c>
      <c r="HE38" s="27">
        <f>MAX(HE37,PortfolioFrontier[[#This Row],[P53 Growth]])</f>
        <v>1.1842298315973045</v>
      </c>
      <c r="HF38" s="27">
        <f>PortfolioFrontier[[#This Row],[P53 Growth]]/PortfolioFrontier[[#This Row],[P53 HWM]]-1</f>
        <v>0</v>
      </c>
      <c r="HG38" s="28">
        <f>SUMPRODUCT(INDEX(PortfolioRef[[SPY]:[PE]],MATCH(HG$1,PortfolioRef[Reference '#]),0),AssetMonthlyReturns[[#This Row],[SPY]:[PE]])</f>
        <v>4.1264985103697796E-3</v>
      </c>
      <c r="HH38" s="27">
        <f>IF(ISNUMBER(HH37),HH37*(1+PortfolioFrontier[[#This Row],[P54 Return]]),1+PortfolioFrontier[[#This Row],[P54 Return]])</f>
        <v>1.1716182691865853</v>
      </c>
      <c r="HI38" s="27">
        <f>MAX(HI37,PortfolioFrontier[[#This Row],[P54 Growth]])</f>
        <v>1.1716182691865853</v>
      </c>
      <c r="HJ38" s="27">
        <f>PortfolioFrontier[[#This Row],[P54 Growth]]/PortfolioFrontier[[#This Row],[P54 HWM]]-1</f>
        <v>0</v>
      </c>
      <c r="HK38" s="28">
        <f>SUMPRODUCT(INDEX(PortfolioRef[[SPY]:[PE]],MATCH(HK$1,PortfolioRef[Reference '#]),0),AssetMonthlyReturns[[#This Row],[SPY]:[PE]])</f>
        <v>1.219630330479993E-2</v>
      </c>
      <c r="HL38" s="27">
        <f>IF(ISNUMBER(HL37),HL37*(1+PortfolioFrontier[[#This Row],[P55 Return]]),1+PortfolioFrontier[[#This Row],[P55 Return]])</f>
        <v>1.208106118374159</v>
      </c>
      <c r="HM38" s="27">
        <f>MAX(HM37,PortfolioFrontier[[#This Row],[P55 Growth]])</f>
        <v>1.208106118374159</v>
      </c>
      <c r="HN38" s="27">
        <f>PortfolioFrontier[[#This Row],[P55 Growth]]/PortfolioFrontier[[#This Row],[P55 HWM]]-1</f>
        <v>0</v>
      </c>
      <c r="HO38" s="28">
        <f>SUMPRODUCT(INDEX(PortfolioRef[[SPY]:[PE]],MATCH(HO$1,PortfolioRef[Reference '#]),0),AssetMonthlyReturns[[#This Row],[SPY]:[PE]])</f>
        <v>9.4297896197187876E-3</v>
      </c>
      <c r="HP38" s="27">
        <f>IF(ISNUMBER(HP37),HP37*(1+PortfolioFrontier[[#This Row],[P56 Return]]),1+PortfolioFrontier[[#This Row],[P56 Return]])</f>
        <v>1.1955504501334853</v>
      </c>
      <c r="HQ38" s="27">
        <f>MAX(HQ37,PortfolioFrontier[[#This Row],[P56 Growth]])</f>
        <v>1.1955504501334853</v>
      </c>
      <c r="HR38" s="27">
        <f>PortfolioFrontier[[#This Row],[P56 Growth]]/PortfolioFrontier[[#This Row],[P56 HWM]]-1</f>
        <v>0</v>
      </c>
      <c r="HS38" s="28">
        <f>SUMPRODUCT(INDEX(PortfolioRef[[SPY]:[PE]],MATCH(HS$1,PortfolioRef[Reference '#]),0),AssetMonthlyReturns[[#This Row],[SPY]:[PE]])</f>
        <v>6.6632759346376405E-3</v>
      </c>
      <c r="HT38" s="27">
        <f>IF(ISNUMBER(HT37),HT37*(1+PortfolioFrontier[[#This Row],[P57 Return]]),1+PortfolioFrontier[[#This Row],[P57 Return]])</f>
        <v>1.1829406234387447</v>
      </c>
      <c r="HU38" s="27">
        <f>MAX(HU37,PortfolioFrontier[[#This Row],[P57 Growth]])</f>
        <v>1.1829406234387447</v>
      </c>
      <c r="HV38" s="27">
        <f>PortfolioFrontier[[#This Row],[P57 Growth]]/PortfolioFrontier[[#This Row],[P57 HWM]]-1</f>
        <v>0</v>
      </c>
      <c r="HW38" s="28">
        <f>SUMPRODUCT(INDEX(PortfolioRef[[SPY]:[PE]],MATCH(HW$1,PortfolioRef[Reference '#]),0),AssetMonthlyReturns[[#This Row],[SPY]:[PE]])</f>
        <v>1.4733080729067791E-2</v>
      </c>
      <c r="HX38" s="27">
        <f>IF(ISNUMBER(HX37),HX37*(1+PortfolioFrontier[[#This Row],[P58 Return]]),1+PortfolioFrontier[[#This Row],[P58 Return]])</f>
        <v>1.2192818870806927</v>
      </c>
      <c r="HY38" s="27">
        <f>MAX(HY37,PortfolioFrontier[[#This Row],[P58 Growth]])</f>
        <v>1.2192818870806927</v>
      </c>
      <c r="HZ38" s="27">
        <f>PortfolioFrontier[[#This Row],[P58 Growth]]/PortfolioFrontier[[#This Row],[P58 HWM]]-1</f>
        <v>0</v>
      </c>
      <c r="IA38" s="28">
        <f>SUMPRODUCT(INDEX(PortfolioRef[[SPY]:[PE]],MATCH(IA$1,PortfolioRef[Reference '#]),0),AssetMonthlyReturns[[#This Row],[SPY]:[PE]])</f>
        <v>1.1966567043986649E-2</v>
      </c>
      <c r="IB38" s="27">
        <f>IF(ISNUMBER(IB37),IB37*(1+PortfolioFrontier[[#This Row],[P59 Return]]),1+PortfolioFrontier[[#This Row],[P59 Return]])</f>
        <v>1.2067348479413547</v>
      </c>
      <c r="IC38" s="27">
        <f>MAX(IC37,PortfolioFrontier[[#This Row],[P59 Growth]])</f>
        <v>1.2067348479413547</v>
      </c>
      <c r="ID38" s="27">
        <f>PortfolioFrontier[[#This Row],[P59 Growth]]/PortfolioFrontier[[#This Row],[P59 HWM]]-1</f>
        <v>0</v>
      </c>
      <c r="IE38" s="28">
        <f>SUMPRODUCT(INDEX(PortfolioRef[[SPY]:[PE]],MATCH(IE$1,PortfolioRef[Reference '#]),0),AssetMonthlyReturns[[#This Row],[SPY]:[PE]])</f>
        <v>9.2000533589055022E-3</v>
      </c>
      <c r="IF38" s="27">
        <f>IF(ISNUMBER(IF37),IF37*(1+PortfolioFrontier[[#This Row],[P60 Return]]),1+PortfolioFrontier[[#This Row],[P60 Return]])</f>
        <v>1.1941305930943846</v>
      </c>
      <c r="IG38" s="27">
        <f>MAX(IG37,PortfolioFrontier[[#This Row],[P60 Growth]])</f>
        <v>1.1941305930943846</v>
      </c>
      <c r="IH38" s="27">
        <f>PortfolioFrontier[[#This Row],[P60 Growth]]/PortfolioFrontier[[#This Row],[P60 HWM]]-1</f>
        <v>0</v>
      </c>
      <c r="II38" s="28">
        <f>SUMPRODUCT(INDEX(PortfolioRef[[SPY]:[PE]],MATCH(II$1,PortfolioRef[Reference '#]),0),AssetMonthlyReturns[[#This Row],[SPY]:[PE]])</f>
        <v>1.2404395027378112E-2</v>
      </c>
      <c r="IJ38" s="27">
        <f>IF(ISNUMBER(IJ37),IJ37*(1+PortfolioFrontier[[#This Row],[P61 Return]]),1+PortfolioFrontier[[#This Row],[P61 Return]])</f>
        <v>1.1692759112247582</v>
      </c>
      <c r="IK38" s="27">
        <f>MAX(IK37,PortfolioFrontier[[#This Row],[P61 Growth]])</f>
        <v>1.1692759112247582</v>
      </c>
      <c r="IL38" s="27">
        <f>PortfolioFrontier[[#This Row],[P61 Growth]]/PortfolioFrontier[[#This Row],[P61 HWM]]-1</f>
        <v>0</v>
      </c>
      <c r="IM38" s="28">
        <f>SUMPRODUCT(INDEX(PortfolioRef[[SPY]:[PE]],MATCH(IM$1,PortfolioRef[Reference '#]),0),AssetMonthlyReturns[[#This Row],[SPY]:[PE]])</f>
        <v>1.054466205816787E-2</v>
      </c>
      <c r="IN38" s="27">
        <f>IF(ISNUMBER(IN37),IN37*(1+PortfolioFrontier[[#This Row],[P62 Return]]),1+PortfolioFrontier[[#This Row],[P62 Return]])</f>
        <v>1.1658982605194619</v>
      </c>
      <c r="IO38" s="27">
        <f>MAX(IO37,PortfolioFrontier[[#This Row],[P62 Growth]])</f>
        <v>1.1658982605194619</v>
      </c>
      <c r="IP38" s="27">
        <f>PortfolioFrontier[[#This Row],[P62 Growth]]/PortfolioFrontier[[#This Row],[P62 HWM]]-1</f>
        <v>0</v>
      </c>
      <c r="IQ38" s="28">
        <f>SUMPRODUCT(INDEX(PortfolioRef[[SPY]:[PE]],MATCH(IQ$1,PortfolioRef[Reference '#]),0),AssetMonthlyReturns[[#This Row],[SPY]:[PE]])</f>
        <v>1.3081439482435731E-2</v>
      </c>
      <c r="IR38" s="27">
        <f>IF(ISNUMBER(IR37),IR37*(1+PortfolioFrontier[[#This Row],[P63 Return]]),1+PortfolioFrontier[[#This Row],[P63 Return]])</f>
        <v>1.1772461795848153</v>
      </c>
      <c r="IS38" s="27">
        <f>MAX(IS37,PortfolioFrontier[[#This Row],[P63 Growth]])</f>
        <v>1.1772461795848153</v>
      </c>
      <c r="IT38" s="27">
        <f>PortfolioFrontier[[#This Row],[P63 Growth]]/PortfolioFrontier[[#This Row],[P63 HWM]]-1</f>
        <v>0</v>
      </c>
      <c r="IU38" s="28">
        <f>SUMPRODUCT(INDEX(PortfolioRef[[SPY]:[PE]],MATCH(IU$1,PortfolioRef[Reference '#]),0),AssetMonthlyReturns[[#This Row],[SPY]:[PE]])</f>
        <v>1.0314925797354588E-2</v>
      </c>
      <c r="IV38" s="27">
        <f>IF(ISNUMBER(IV37),IV37*(1+PortfolioFrontier[[#This Row],[P64 Return]]),1+PortfolioFrontier[[#This Row],[P64 Return]])</f>
        <v>1.1646569526759247</v>
      </c>
      <c r="IW38" s="27">
        <f>MAX(IW37,PortfolioFrontier[[#This Row],[P64 Growth]])</f>
        <v>1.1646569526759247</v>
      </c>
      <c r="IX38" s="27">
        <f>PortfolioFrontier[[#This Row],[P64 Growth]]/PortfolioFrontier[[#This Row],[P64 HWM]]-1</f>
        <v>0</v>
      </c>
      <c r="IY38" s="28">
        <f>SUMPRODUCT(INDEX(PortfolioRef[[SPY]:[PE]],MATCH(IY$1,PortfolioRef[Reference '#]),0),AssetMonthlyReturns[[#This Row],[SPY]:[PE]])</f>
        <v>8.6849290889576252E-3</v>
      </c>
      <c r="IZ38" s="27">
        <f>IF(ISNUMBER(IZ37),IZ37*(1+PortfolioFrontier[[#This Row],[P65 Return]]),1+PortfolioFrontier[[#This Row],[P65 Return]])</f>
        <v>1.1624490317302625</v>
      </c>
      <c r="JA38" s="27">
        <f>MAX(JA37,PortfolioFrontier[[#This Row],[P65 Growth]])</f>
        <v>1.1624490317302625</v>
      </c>
      <c r="JB38" s="27">
        <f>PortfolioFrontier[[#This Row],[P65 Growth]]/PortfolioFrontier[[#This Row],[P65 HWM]]-1</f>
        <v>0</v>
      </c>
      <c r="JC38" s="28">
        <f>SUMPRODUCT(INDEX(PortfolioRef[[SPY]:[PE]],MATCH(JC$1,PortfolioRef[Reference '#]),0),AssetMonthlyReturns[[#This Row],[SPY]:[PE]])</f>
        <v>1.1221706513225484E-2</v>
      </c>
      <c r="JD38" s="27">
        <f>IF(ISNUMBER(JD37),JD37*(1+PortfolioFrontier[[#This Row],[P66 Return]]),1+PortfolioFrontier[[#This Row],[P66 Return]])</f>
        <v>1.1738492232684954</v>
      </c>
      <c r="JE38" s="27">
        <f>MAX(JE37,PortfolioFrontier[[#This Row],[P66 Growth]])</f>
        <v>1.1738492232684954</v>
      </c>
      <c r="JF38" s="27">
        <f>PortfolioFrontier[[#This Row],[P66 Growth]]/PortfolioFrontier[[#This Row],[P66 HWM]]-1</f>
        <v>0</v>
      </c>
      <c r="JG38" s="28">
        <f>SUMPRODUCT(INDEX(PortfolioRef[[SPY]:[PE]],MATCH(JG$1,PortfolioRef[Reference '#]),0),AssetMonthlyReturns[[#This Row],[SPY]:[PE]])</f>
        <v>8.4551928281443416E-3</v>
      </c>
      <c r="JH38" s="27">
        <f>IF(ISNUMBER(JH37),JH37*(1+PortfolioFrontier[[#This Row],[P67 Return]]),1+PortfolioFrontier[[#This Row],[P67 Return]])</f>
        <v>1.161314884398533</v>
      </c>
      <c r="JI38" s="27">
        <f>MAX(JI37,PortfolioFrontier[[#This Row],[P67 Growth]])</f>
        <v>1.161314884398533</v>
      </c>
      <c r="JJ38" s="27">
        <f>PortfolioFrontier[[#This Row],[P67 Growth]]/PortfolioFrontier[[#This Row],[P67 HWM]]-1</f>
        <v>0</v>
      </c>
      <c r="JK38" s="28">
        <f>SUMPRODUCT(INDEX(PortfolioRef[[SPY]:[PE]],MATCH(JK$1,PortfolioRef[Reference '#]),0),AssetMonthlyReturns[[#This Row],[SPY]:[PE]])</f>
        <v>1.3758483937493349E-2</v>
      </c>
      <c r="JL38" s="27">
        <f>IF(ISNUMBER(JL37),JL37*(1+PortfolioFrontier[[#This Row],[P68 Return]]),1+PortfolioFrontier[[#This Row],[P68 Return]])</f>
        <v>1.1851220213958753</v>
      </c>
      <c r="JM38" s="27">
        <f>MAX(JM37,PortfolioFrontier[[#This Row],[P68 Growth]])</f>
        <v>1.1851220213958753</v>
      </c>
      <c r="JN38" s="27">
        <f>PortfolioFrontier[[#This Row],[P68 Growth]]/PortfolioFrontier[[#This Row],[P68 HWM]]-1</f>
        <v>0</v>
      </c>
      <c r="JO38" s="28">
        <f>SUMPRODUCT(INDEX(PortfolioRef[[SPY]:[PE]],MATCH(JO$1,PortfolioRef[Reference '#]),0),AssetMonthlyReturns[[#This Row],[SPY]:[PE]])</f>
        <v>1.0991970252412202E-2</v>
      </c>
      <c r="JP38" s="27">
        <f>IF(ISNUMBER(JP37),JP37*(1+PortfolioFrontier[[#This Row],[P69 Return]]),1+PortfolioFrontier[[#This Row],[P69 Return]])</f>
        <v>1.1725882679163584</v>
      </c>
      <c r="JQ38" s="27">
        <f>MAX(JQ37,PortfolioFrontier[[#This Row],[P69 Growth]])</f>
        <v>1.1725882679163584</v>
      </c>
      <c r="JR38" s="27">
        <f>PortfolioFrontier[[#This Row],[P69 Growth]]/PortfolioFrontier[[#This Row],[P69 HWM]]-1</f>
        <v>0</v>
      </c>
      <c r="JS38" s="28">
        <f>SUMPRODUCT(INDEX(PortfolioRef[[SPY]:[PE]],MATCH(JS$1,PortfolioRef[Reference '#]),0),AssetMonthlyReturns[[#This Row],[SPY]:[PE]])</f>
        <v>8.2254565673310562E-3</v>
      </c>
      <c r="JT38" s="27">
        <f>IF(ISNUMBER(JT37),JT37*(1+PortfolioFrontier[[#This Row],[P70 Return]]),1+PortfolioFrontier[[#This Row],[P70 Return]])</f>
        <v>1.1600057349359358</v>
      </c>
      <c r="JU38" s="27">
        <f>MAX(JU37,PortfolioFrontier[[#This Row],[P70 Growth]])</f>
        <v>1.1600057349359358</v>
      </c>
      <c r="JV38" s="27">
        <f>PortfolioFrontier[[#This Row],[P70 Growth]]/PortfolioFrontier[[#This Row],[P70 HWM]]-1</f>
        <v>0</v>
      </c>
      <c r="JW38" s="28">
        <f>SUMPRODUCT(INDEX(PortfolioRef[[SPY]:[PE]],MATCH(JW$1,PortfolioRef[Reference '#]),0),AssetMonthlyReturns[[#This Row],[SPY]:[PE]])</f>
        <v>9.3619735440152452E-3</v>
      </c>
      <c r="JX38" s="27">
        <f>IF(ISNUMBER(JX37),JX37*(1+PortfolioFrontier[[#This Row],[P71 Return]]),1+PortfolioFrontier[[#This Row],[P71 Return]])</f>
        <v>1.1703802597978625</v>
      </c>
      <c r="JY38" s="27">
        <f>MAX(JY37,PortfolioFrontier[[#This Row],[P71 Growth]])</f>
        <v>1.1703802597978625</v>
      </c>
      <c r="JZ38" s="27">
        <f>PortfolioFrontier[[#This Row],[P71 Growth]]/PortfolioFrontier[[#This Row],[P71 HWM]]-1</f>
        <v>0</v>
      </c>
      <c r="KA38" s="28">
        <f>SUMPRODUCT(INDEX(PortfolioRef[[SPY]:[PE]],MATCH(KA$1,PortfolioRef[Reference '#]),0),AssetMonthlyReturns[[#This Row],[SPY]:[PE]])</f>
        <v>6.5954598589341006E-3</v>
      </c>
      <c r="KB38" s="27">
        <f>IF(ISNUMBER(KB37),KB37*(1+PortfolioFrontier[[#This Row],[P72 Return]]),1+PortfolioFrontier[[#This Row],[P72 Return]])</f>
        <v>1.1579013713063104</v>
      </c>
      <c r="KC38" s="27">
        <f>MAX(KC37,PortfolioFrontier[[#This Row],[P72 Growth]])</f>
        <v>1.1579013713063104</v>
      </c>
      <c r="KD38" s="27">
        <f>PortfolioFrontier[[#This Row],[P72 Growth]]/PortfolioFrontier[[#This Row],[P72 HWM]]-1</f>
        <v>0</v>
      </c>
      <c r="KE38" s="28">
        <f>SUMPRODUCT(INDEX(PortfolioRef[[SPY]:[PE]],MATCH(KE$1,PortfolioRef[Reference '#]),0),AssetMonthlyReturns[[#This Row],[SPY]:[PE]])</f>
        <v>1.1898750968283106E-2</v>
      </c>
      <c r="KF38" s="27">
        <f>IF(ISNUMBER(KF37),KF37*(1+PortfolioFrontier[[#This Row],[P73 Return]]),1+PortfolioFrontier[[#This Row],[P73 Return]])</f>
        <v>1.1817062381721861</v>
      </c>
      <c r="KG38" s="27">
        <f>MAX(KG37,PortfolioFrontier[[#This Row],[P73 Growth]])</f>
        <v>1.1817062381721861</v>
      </c>
      <c r="KH38" s="27">
        <f>PortfolioFrontier[[#This Row],[P73 Growth]]/PortfolioFrontier[[#This Row],[P73 HWM]]-1</f>
        <v>0</v>
      </c>
      <c r="KI38" s="28">
        <f>SUMPRODUCT(INDEX(PortfolioRef[[SPY]:[PE]],MATCH(KI$1,PortfolioRef[Reference '#]),0),AssetMonthlyReturns[[#This Row],[SPY]:[PE]])</f>
        <v>9.1322372832019615E-3</v>
      </c>
      <c r="KJ38" s="27">
        <f>IF(ISNUMBER(KJ37),KJ37*(1+PortfolioFrontier[[#This Row],[P74 Return]]),1+PortfolioFrontier[[#This Row],[P74 Return]])</f>
        <v>1.1692271877193687</v>
      </c>
      <c r="KK38" s="27">
        <f>MAX(KK37,PortfolioFrontier[[#This Row],[P74 Growth]])</f>
        <v>1.1692271877193687</v>
      </c>
      <c r="KL38" s="27">
        <f>PortfolioFrontier[[#This Row],[P74 Growth]]/PortfolioFrontier[[#This Row],[P74 HWM]]-1</f>
        <v>0</v>
      </c>
      <c r="KM38" s="28">
        <f>SUMPRODUCT(INDEX(PortfolioRef[[SPY]:[PE]],MATCH(KM$1,PortfolioRef[Reference '#]),0),AssetMonthlyReturns[[#This Row],[SPY]:[PE]])</f>
        <v>6.3657235981208144E-3</v>
      </c>
      <c r="KN38" s="27">
        <f>IF(ISNUMBER(KN37),KN37*(1+PortfolioFrontier[[#This Row],[P75 Return]]),1+PortfolioFrontier[[#This Row],[P75 Return]])</f>
        <v>1.1566991490523348</v>
      </c>
      <c r="KO38" s="27">
        <f>MAX(KO37,PortfolioFrontier[[#This Row],[P75 Growth]])</f>
        <v>1.1566991490523348</v>
      </c>
      <c r="KP38" s="27">
        <f>PortfolioFrontier[[#This Row],[P75 Growth]]/PortfolioFrontier[[#This Row],[P75 HWM]]-1</f>
        <v>0</v>
      </c>
      <c r="KQ38" s="28">
        <f>SUMPRODUCT(INDEX(PortfolioRef[[SPY]:[PE]],MATCH(KQ$1,PortfolioRef[Reference '#]),0),AssetMonthlyReturns[[#This Row],[SPY]:[PE]])</f>
        <v>1.4435528392550967E-2</v>
      </c>
      <c r="KR38" s="27">
        <f>IF(ISNUMBER(KR37),KR37*(1+PortfolioFrontier[[#This Row],[P76 Return]]),1+PortfolioFrontier[[#This Row],[P76 Return]])</f>
        <v>1.1929007557913249</v>
      </c>
      <c r="KS38" s="27">
        <f>MAX(KS37,PortfolioFrontier[[#This Row],[P76 Growth]])</f>
        <v>1.1929007557913249</v>
      </c>
      <c r="KT38" s="27">
        <f>PortfolioFrontier[[#This Row],[P76 Growth]]/PortfolioFrontier[[#This Row],[P76 HWM]]-1</f>
        <v>0</v>
      </c>
      <c r="KU38" s="28">
        <f>SUMPRODUCT(INDEX(PortfolioRef[[SPY]:[PE]],MATCH(KU$1,PortfolioRef[Reference '#]),0),AssetMonthlyReturns[[#This Row],[SPY]:[PE]])</f>
        <v>1.1669014707469822E-2</v>
      </c>
      <c r="KV38" s="27">
        <f>IF(ISNUMBER(KV37),KV37*(1+PortfolioFrontier[[#This Row],[P77 Return]]),1+PortfolioFrontier[[#This Row],[P77 Return]])</f>
        <v>1.1804253126860391</v>
      </c>
      <c r="KW38" s="27">
        <f>MAX(KW37,PortfolioFrontier[[#This Row],[P77 Growth]])</f>
        <v>1.1804253126860391</v>
      </c>
      <c r="KX38" s="27">
        <f>PortfolioFrontier[[#This Row],[P77 Growth]]/PortfolioFrontier[[#This Row],[P77 HWM]]-1</f>
        <v>0</v>
      </c>
      <c r="KY38" s="28">
        <f>SUMPRODUCT(INDEX(PortfolioRef[[SPY]:[PE]],MATCH(KY$1,PortfolioRef[Reference '#]),0),AssetMonthlyReturns[[#This Row],[SPY]:[PE]])</f>
        <v>8.9025010223886744E-3</v>
      </c>
      <c r="KZ38" s="27">
        <f>IF(ISNUMBER(KZ37),KZ37*(1+PortfolioFrontier[[#This Row],[P78 Return]]),1+PortfolioFrontier[[#This Row],[P78 Return]])</f>
        <v>1.1678979020032862</v>
      </c>
      <c r="LA38" s="27">
        <f>MAX(LA37,PortfolioFrontier[[#This Row],[P78 Growth]])</f>
        <v>1.1678979020032862</v>
      </c>
      <c r="LB38" s="27">
        <f>PortfolioFrontier[[#This Row],[P78 Growth]]/PortfolioFrontier[[#This Row],[P78 HWM]]-1</f>
        <v>0</v>
      </c>
      <c r="LC38" s="28">
        <f>SUMPRODUCT(INDEX(PortfolioRef[[SPY]:[PE]],MATCH(LC$1,PortfolioRef[Reference '#]),0),AssetMonthlyReturns[[#This Row],[SPY]:[PE]])</f>
        <v>1.0039017999072863E-2</v>
      </c>
      <c r="LD38" s="27">
        <f>IF(ISNUMBER(LD37),LD37*(1+PortfolioFrontier[[#This Row],[P79 Return]]),1+PortfolioFrontier[[#This Row],[P79 Return]])</f>
        <v>1.1782180230060744</v>
      </c>
      <c r="LE38" s="27">
        <f>MAX(LE37,PortfolioFrontier[[#This Row],[P79 Growth]])</f>
        <v>1.1782180230060744</v>
      </c>
      <c r="LF38" s="27">
        <f>PortfolioFrontier[[#This Row],[P79 Growth]]/PortfolioFrontier[[#This Row],[P79 HWM]]-1</f>
        <v>0</v>
      </c>
      <c r="LG38" s="28">
        <f>SUMPRODUCT(INDEX(PortfolioRef[[SPY]:[PE]],MATCH(LG$1,PortfolioRef[Reference '#]),0),AssetMonthlyReturns[[#This Row],[SPY]:[PE]])</f>
        <v>7.2725043139917206E-3</v>
      </c>
      <c r="LH38" s="27">
        <f>IF(ISNUMBER(LH37),LH37*(1+PortfolioFrontier[[#This Row],[P80 Return]]),1+PortfolioFrontier[[#This Row],[P80 Return]])</f>
        <v>1.1657942346732708</v>
      </c>
      <c r="LI38" s="27">
        <f>MAX(LI37,PortfolioFrontier[[#This Row],[P80 Growth]])</f>
        <v>1.1657942346732708</v>
      </c>
      <c r="LJ38" s="27">
        <f>PortfolioFrontier[[#This Row],[P80 Growth]]/PortfolioFrontier[[#This Row],[P80 HWM]]-1</f>
        <v>0</v>
      </c>
      <c r="LK38" s="28">
        <f>SUMPRODUCT(INDEX(PortfolioRef[[SPY]:[PE]],MATCH(LK$1,PortfolioRef[Reference '#]),0),AssetMonthlyReturns[[#This Row],[SPY]:[PE]])</f>
        <v>4.5059906289105734E-3</v>
      </c>
      <c r="LL38" s="27">
        <f>IF(ISNUMBER(LL37),LL37*(1+PortfolioFrontier[[#This Row],[P81 Return]]),1+PortfolioFrontier[[#This Row],[P81 Return]])</f>
        <v>1.153321255170306</v>
      </c>
      <c r="LM38" s="27">
        <f>MAX(LM37,PortfolioFrontier[[#This Row],[P81 Growth]])</f>
        <v>1.153321255170306</v>
      </c>
      <c r="LN38" s="27">
        <f>PortfolioFrontier[[#This Row],[P81 Growth]]/PortfolioFrontier[[#This Row],[P81 HWM]]-1</f>
        <v>0</v>
      </c>
      <c r="LO38" s="28">
        <f>SUMPRODUCT(INDEX(PortfolioRef[[SPY]:[PE]],MATCH(LO$1,PortfolioRef[Reference '#]),0),AssetMonthlyReturns[[#This Row],[SPY]:[PE]])</f>
        <v>1.2575795423340724E-2</v>
      </c>
      <c r="LP38" s="27">
        <f>IF(ISNUMBER(LP37),LP37*(1+PortfolioFrontier[[#This Row],[P82 Return]]),1+PortfolioFrontier[[#This Row],[P82 Return]])</f>
        <v>1.1894666349918466</v>
      </c>
      <c r="LQ38" s="27">
        <f>MAX(LQ37,PortfolioFrontier[[#This Row],[P82 Growth]])</f>
        <v>1.1894666349918466</v>
      </c>
      <c r="LR38" s="27">
        <f>PortfolioFrontier[[#This Row],[P82 Growth]]/PortfolioFrontier[[#This Row],[P82 HWM]]-1</f>
        <v>0</v>
      </c>
      <c r="LS38" s="28">
        <f>SUMPRODUCT(INDEX(PortfolioRef[[SPY]:[PE]],MATCH(LS$1,PortfolioRef[Reference '#]),0),AssetMonthlyReturns[[#This Row],[SPY]:[PE]])</f>
        <v>9.8092817382595815E-3</v>
      </c>
      <c r="LT38" s="27">
        <f>IF(ISNUMBER(LT37),LT37*(1+PortfolioFrontier[[#This Row],[P83 Return]]),1+PortfolioFrontier[[#This Row],[P83 Return]])</f>
        <v>1.1770456976926649</v>
      </c>
      <c r="LU38" s="27">
        <f>MAX(LU37,PortfolioFrontier[[#This Row],[P83 Growth]])</f>
        <v>1.1770456976926649</v>
      </c>
      <c r="LV38" s="27">
        <f>PortfolioFrontier[[#This Row],[P83 Growth]]/PortfolioFrontier[[#This Row],[P83 HWM]]-1</f>
        <v>0</v>
      </c>
      <c r="LW38" s="28">
        <f>SUMPRODUCT(INDEX(PortfolioRef[[SPY]:[PE]],MATCH(LW$1,PortfolioRef[Reference '#]),0),AssetMonthlyReturns[[#This Row],[SPY]:[PE]])</f>
        <v>7.0427680531784343E-3</v>
      </c>
      <c r="LX38" s="27">
        <f>IF(ISNUMBER(LX37),LX37*(1+PortfolioFrontier[[#This Row],[P84 Return]]),1+PortfolioFrontier[[#This Row],[P84 Return]])</f>
        <v>1.164572596557566</v>
      </c>
      <c r="LY38" s="27">
        <f>MAX(LY37,PortfolioFrontier[[#This Row],[P84 Growth]])</f>
        <v>1.164572596557566</v>
      </c>
      <c r="LZ38" s="27">
        <f>PortfolioFrontier[[#This Row],[P84 Growth]]/PortfolioFrontier[[#This Row],[P84 HWM]]-1</f>
        <v>0</v>
      </c>
      <c r="MA38" s="28">
        <f>SUMPRODUCT(INDEX(PortfolioRef[[SPY]:[PE]],MATCH(MA$1,PortfolioRef[Reference '#]),0),AssetMonthlyReturns[[#This Row],[SPY]:[PE]])</f>
        <v>1.5112572847608585E-2</v>
      </c>
      <c r="MB38" s="27">
        <f>IF(ISNUMBER(MB37),MB37*(1+PortfolioFrontier[[#This Row],[P85 Return]]),1+PortfolioFrontier[[#This Row],[P85 Return]])</f>
        <v>1.2005797027645577</v>
      </c>
      <c r="MC38" s="27">
        <f>MAX(MC37,PortfolioFrontier[[#This Row],[P85 Growth]])</f>
        <v>1.2005797027645577</v>
      </c>
      <c r="MD38" s="27">
        <f>PortfolioFrontier[[#This Row],[P85 Growth]]/PortfolioFrontier[[#This Row],[P85 HWM]]-1</f>
        <v>0</v>
      </c>
      <c r="ME38" s="28">
        <f>SUMPRODUCT(INDEX(PortfolioRef[[SPY]:[PE]],MATCH(ME$1,PortfolioRef[Reference '#]),0),AssetMonthlyReturns[[#This Row],[SPY]:[PE]])</f>
        <v>1.2346059162527442E-2</v>
      </c>
      <c r="MF38" s="27">
        <f>IF(ISNUMBER(MF37),MF37*(1+PortfolioFrontier[[#This Row],[P86 Return]]),1+PortfolioFrontier[[#This Row],[P86 Return]])</f>
        <v>1.1881654140395252</v>
      </c>
      <c r="MG38" s="27">
        <f>MAX(MG37,PortfolioFrontier[[#This Row],[P86 Growth]])</f>
        <v>1.1881654140395252</v>
      </c>
      <c r="MH38" s="27">
        <f>PortfolioFrontier[[#This Row],[P86 Growth]]/PortfolioFrontier[[#This Row],[P86 HWM]]-1</f>
        <v>0</v>
      </c>
      <c r="MI38" s="28">
        <f>SUMPRODUCT(INDEX(PortfolioRef[[SPY]:[PE]],MATCH(MI$1,PortfolioRef[Reference '#]),0),AssetMonthlyReturns[[#This Row],[SPY]:[PE]])</f>
        <v>9.5795454774462961E-3</v>
      </c>
      <c r="MJ38" s="27">
        <f>IF(ISNUMBER(MJ37),MJ37*(1+PortfolioFrontier[[#This Row],[P87 Return]]),1+PortfolioFrontier[[#This Row],[P87 Return]])</f>
        <v>1.1756959572046592</v>
      </c>
      <c r="MK38" s="27">
        <f>MAX(MK37,PortfolioFrontier[[#This Row],[P87 Growth]])</f>
        <v>1.1756959572046592</v>
      </c>
      <c r="ML38" s="27">
        <f>PortfolioFrontier[[#This Row],[P87 Growth]]/PortfolioFrontier[[#This Row],[P87 HWM]]-1</f>
        <v>0</v>
      </c>
      <c r="MM38" s="28">
        <f>SUMPRODUCT(INDEX(PortfolioRef[[SPY]:[PE]],MATCH(MM$1,PortfolioRef[Reference '#]),0),AssetMonthlyReturns[[#This Row],[SPY]:[PE]])</f>
        <v>1.071606245413048E-2</v>
      </c>
      <c r="MN38" s="27">
        <f>IF(ISNUMBER(MN37),MN37*(1+PortfolioFrontier[[#This Row],[P88 Return]]),1+PortfolioFrontier[[#This Row],[P88 Return]])</f>
        <v>1.1859596618409802</v>
      </c>
      <c r="MO38" s="27">
        <f>MAX(MO37,PortfolioFrontier[[#This Row],[P88 Growth]])</f>
        <v>1.1859596618409802</v>
      </c>
      <c r="MP38" s="27">
        <f>PortfolioFrontier[[#This Row],[P88 Growth]]/PortfolioFrontier[[#This Row],[P88 HWM]]-1</f>
        <v>0</v>
      </c>
      <c r="MQ38" s="28">
        <f>SUMPRODUCT(INDEX(PortfolioRef[[SPY]:[PE]],MATCH(MQ$1,PortfolioRef[Reference '#]),0),AssetMonthlyReturns[[#This Row],[SPY]:[PE]])</f>
        <v>7.9495487690493354E-3</v>
      </c>
      <c r="MR38" s="27">
        <f>IF(ISNUMBER(MR37),MR37*(1+PortfolioFrontier[[#This Row],[P89 Return]]),1+PortfolioFrontier[[#This Row],[P89 Return]])</f>
        <v>1.1735937861006469</v>
      </c>
      <c r="MS38" s="27">
        <f>MAX(MS37,PortfolioFrontier[[#This Row],[P89 Growth]])</f>
        <v>1.1735937861006469</v>
      </c>
      <c r="MT38" s="27">
        <f>PortfolioFrontier[[#This Row],[P89 Growth]]/PortfolioFrontier[[#This Row],[P89 HWM]]-1</f>
        <v>0</v>
      </c>
      <c r="MU38" s="28">
        <f>SUMPRODUCT(INDEX(PortfolioRef[[SPY]:[PE]],MATCH(MU$1,PortfolioRef[Reference '#]),0),AssetMonthlyReturns[[#This Row],[SPY]:[PE]])</f>
        <v>5.1830350839681899E-3</v>
      </c>
      <c r="MV38" s="27">
        <f>IF(ISNUMBER(MV37),MV37*(1+PortfolioFrontier[[#This Row],[P90 Return]]),1+PortfolioFrontier[[#This Row],[P90 Return]])</f>
        <v>1.1611755561408357</v>
      </c>
      <c r="MW38" s="27">
        <f>MAX(MW37,PortfolioFrontier[[#This Row],[P90 Growth]])</f>
        <v>1.1611755561408357</v>
      </c>
      <c r="MX38" s="27">
        <f>PortfolioFrontier[[#This Row],[P90 Growth]]/PortfolioFrontier[[#This Row],[P90 HWM]]-1</f>
        <v>0</v>
      </c>
      <c r="MY38" s="28">
        <f>SUMPRODUCT(INDEX(PortfolioRef[[SPY]:[PE]],MATCH(MY$1,PortfolioRef[Reference '#]),0),AssetMonthlyReturns[[#This Row],[SPY]:[PE]])</f>
        <v>1.3252839878398343E-2</v>
      </c>
      <c r="MZ38" s="27">
        <f>IF(ISNUMBER(MZ37),MZ37*(1+PortfolioFrontier[[#This Row],[P91 Return]]),1+PortfolioFrontier[[#This Row],[P91 Return]])</f>
        <v>1.1971277443185326</v>
      </c>
      <c r="NA38" s="27">
        <f>MAX(NA37,PortfolioFrontier[[#This Row],[P91 Growth]])</f>
        <v>1.1971277443185326</v>
      </c>
      <c r="NB38" s="27">
        <f>PortfolioFrontier[[#This Row],[P91 Growth]]/PortfolioFrontier[[#This Row],[P91 HWM]]-1</f>
        <v>0</v>
      </c>
      <c r="NC38" s="28">
        <f>SUMPRODUCT(INDEX(PortfolioRef[[SPY]:[PE]],MATCH(NC$1,PortfolioRef[Reference '#]),0),AssetMonthlyReturns[[#This Row],[SPY]:[PE]])</f>
        <v>1.0486326193317196E-2</v>
      </c>
      <c r="ND38" s="27">
        <f>IF(ISNUMBER(ND37),ND37*(1+PortfolioFrontier[[#This Row],[P92 Return]]),1+PortfolioFrontier[[#This Row],[P92 Return]])</f>
        <v>1.184767751934187</v>
      </c>
      <c r="NE38" s="27">
        <f>MAX(NE37,PortfolioFrontier[[#This Row],[P92 Growth]])</f>
        <v>1.184767751934187</v>
      </c>
      <c r="NF38" s="27">
        <f>PortfolioFrontier[[#This Row],[P92 Growth]]/PortfolioFrontier[[#This Row],[P92 HWM]]-1</f>
        <v>0</v>
      </c>
      <c r="NG38" s="28">
        <f>SUMPRODUCT(INDEX(PortfolioRef[[SPY]:[PE]],MATCH(NG$1,PortfolioRef[Reference '#]),0),AssetMonthlyReturns[[#This Row],[SPY]:[PE]])</f>
        <v>7.7198125082360508E-3</v>
      </c>
      <c r="NH38" s="27">
        <f>IF(ISNUMBER(NH37),NH37*(1+PortfolioFrontier[[#This Row],[P93 Return]]),1+PortfolioFrontier[[#This Row],[P93 Return]])</f>
        <v>1.1723524077284342</v>
      </c>
      <c r="NI38" s="27">
        <f>MAX(NI37,PortfolioFrontier[[#This Row],[P93 Growth]])</f>
        <v>1.1723524077284342</v>
      </c>
      <c r="NJ38" s="27">
        <f>PortfolioFrontier[[#This Row],[P93 Growth]]/PortfolioFrontier[[#This Row],[P93 HWM]]-1</f>
        <v>0</v>
      </c>
      <c r="NK38" s="28">
        <f>SUMPRODUCT(INDEX(PortfolioRef[[SPY]:[PE]],MATCH(NK$1,PortfolioRef[Reference '#]),0),AssetMonthlyReturns[[#This Row],[SPY]:[PE]])</f>
        <v>1.57896173026662E-2</v>
      </c>
      <c r="NL38" s="27">
        <f>IF(ISNUMBER(NL37),NL37*(1+PortfolioFrontier[[#This Row],[P94 Return]]),1+PortfolioFrontier[[#This Row],[P94 Return]])</f>
        <v>1.2081561840904302</v>
      </c>
      <c r="NM38" s="27">
        <f>MAX(NM37,PortfolioFrontier[[#This Row],[P94 Growth]])</f>
        <v>1.2081561840904302</v>
      </c>
      <c r="NN38" s="27">
        <f>PortfolioFrontier[[#This Row],[P94 Growth]]/PortfolioFrontier[[#This Row],[P94 HWM]]-1</f>
        <v>0</v>
      </c>
      <c r="NO38" s="28">
        <f>SUMPRODUCT(INDEX(PortfolioRef[[SPY]:[PE]],MATCH(NO$1,PortfolioRef[Reference '#]),0),AssetMonthlyReturns[[#This Row],[SPY]:[PE]])</f>
        <v>1.3023103617585057E-2</v>
      </c>
      <c r="NP38" s="27">
        <f>IF(ISNUMBER(NP37),NP37*(1+PortfolioFrontier[[#This Row],[P95 Return]]),1+PortfolioFrontier[[#This Row],[P95 Return]])</f>
        <v>1.1958058998960128</v>
      </c>
      <c r="NQ38" s="27">
        <f>MAX(NQ37,PortfolioFrontier[[#This Row],[P95 Growth]])</f>
        <v>1.1958058998960128</v>
      </c>
      <c r="NR38" s="27">
        <f>PortfolioFrontier[[#This Row],[P95 Growth]]/PortfolioFrontier[[#This Row],[P95 HWM]]-1</f>
        <v>0</v>
      </c>
      <c r="NS38" s="28">
        <f>SUMPRODUCT(INDEX(PortfolioRef[[SPY]:[PE]],MATCH(NS$1,PortfolioRef[Reference '#]),0),AssetMonthlyReturns[[#This Row],[SPY]:[PE]])</f>
        <v>1.0256589932503911E-2</v>
      </c>
      <c r="NT38" s="27">
        <f>IF(ISNUMBER(NT37),NT37*(1+PortfolioFrontier[[#This Row],[P96 Return]]),1+PortfolioFrontier[[#This Row],[P96 Return]])</f>
        <v>1.1833972355758431</v>
      </c>
      <c r="NU38" s="27">
        <f>MAX(NU37,PortfolioFrontier[[#This Row],[P96 Growth]])</f>
        <v>1.1833972355758431</v>
      </c>
      <c r="NV38" s="27">
        <f>PortfolioFrontier[[#This Row],[P96 Growth]]/PortfolioFrontier[[#This Row],[P96 HWM]]-1</f>
        <v>0</v>
      </c>
      <c r="NW38" s="28">
        <f>SUMPRODUCT(INDEX(PortfolioRef[[SPY]:[PE]],MATCH(NW$1,PortfolioRef[Reference '#]),0),AssetMonthlyReturns[[#This Row],[SPY]:[PE]])</f>
        <v>1.2783887145918903E-2</v>
      </c>
      <c r="NX38" s="27">
        <f>IF(ISNUMBER(NX37),NX37*(1+PortfolioFrontier[[#This Row],[P97 Return]]),1+PortfolioFrontier[[#This Row],[P97 Return]])</f>
        <v>1.1508829746330291</v>
      </c>
      <c r="NY38" s="27">
        <f>MAX(NY37,PortfolioFrontier[[#This Row],[P97 Growth]])</f>
        <v>1.1508829746330291</v>
      </c>
      <c r="NZ38" s="27">
        <f>PortfolioFrontier[[#This Row],[P97 Growth]]/PortfolioFrontier[[#This Row],[P97 HWM]]-1</f>
        <v>0</v>
      </c>
      <c r="OA38" s="28">
        <f>SUMPRODUCT(INDEX(PortfolioRef[[SPY]:[PE]],MATCH(OA$1,PortfolioRef[Reference '#]),0),AssetMonthlyReturns[[#This Row],[SPY]:[PE]])</f>
        <v>1.0924154176708663E-2</v>
      </c>
      <c r="OB38" s="27">
        <f>IF(ISNUMBER(OB37),OB37*(1+PortfolioFrontier[[#This Row],[P98 Return]]),1+PortfolioFrontier[[#This Row],[P98 Return]])</f>
        <v>1.1475368770785301</v>
      </c>
      <c r="OC38" s="27">
        <f>MAX(OC37,PortfolioFrontier[[#This Row],[P98 Growth]])</f>
        <v>1.1475368770785301</v>
      </c>
      <c r="OD38" s="27">
        <f>PortfolioFrontier[[#This Row],[P98 Growth]]/PortfolioFrontier[[#This Row],[P98 HWM]]-1</f>
        <v>0</v>
      </c>
      <c r="OE38" s="28">
        <f>SUMPRODUCT(INDEX(PortfolioRef[[SPY]:[PE]],MATCH(OE$1,PortfolioRef[Reference '#]),0),AssetMonthlyReturns[[#This Row],[SPY]:[PE]])</f>
        <v>1.3460931600976521E-2</v>
      </c>
      <c r="OF38" s="27">
        <f>IF(ISNUMBER(OF37),OF37*(1+PortfolioFrontier[[#This Row],[P99 Return]]),1+PortfolioFrontier[[#This Row],[P99 Return]])</f>
        <v>1.1588106899698605</v>
      </c>
      <c r="OG38" s="27">
        <f>MAX(OG37,PortfolioFrontier[[#This Row],[P99 Growth]])</f>
        <v>1.1588106899698605</v>
      </c>
      <c r="OH38" s="27">
        <f>PortfolioFrontier[[#This Row],[P99 Growth]]/PortfolioFrontier[[#This Row],[P99 HWM]]-1</f>
        <v>0</v>
      </c>
      <c r="OI38" s="28">
        <f>SUMPRODUCT(INDEX(PortfolioRef[[SPY]:[PE]],MATCH(OI$1,PortfolioRef[Reference '#]),0),AssetMonthlyReturns[[#This Row],[SPY]:[PE]])</f>
        <v>1.0694417915895378E-2</v>
      </c>
      <c r="OJ38" s="27">
        <f>IF(ISNUMBER(OJ37),OJ37*(1+PortfolioFrontier[[#This Row],[P100 Return]]),1+PortfolioFrontier[[#This Row],[P100 Return]])</f>
        <v>1.146361247546368</v>
      </c>
      <c r="OK38" s="27">
        <f>MAX(OK37,PortfolioFrontier[[#This Row],[P100 Growth]])</f>
        <v>1.146361247546368</v>
      </c>
      <c r="OL38" s="27">
        <f>PortfolioFrontier[[#This Row],[P100 Growth]]/PortfolioFrontier[[#This Row],[P100 HWM]]-1</f>
        <v>0</v>
      </c>
      <c r="OM38" s="28">
        <f>SUMPRODUCT(INDEX(PortfolioRef[[SPY]:[PE]],MATCH(OM$1,PortfolioRef[Reference '#]),0),AssetMonthlyReturns[[#This Row],[SPY]:[PE]])</f>
        <v>9.0644212074984191E-3</v>
      </c>
      <c r="ON38" s="27">
        <f>IF(ISNUMBER(ON37),ON37*(1+PortfolioFrontier[[#This Row],[P101 Return]]),1+PortfolioFrontier[[#This Row],[P101 Return]])</f>
        <v>1.1441203706446648</v>
      </c>
      <c r="OO38" s="27">
        <f>MAX(OO37,PortfolioFrontier[[#This Row],[P101 Growth]])</f>
        <v>1.1441203706446648</v>
      </c>
      <c r="OP38" s="27">
        <f>PortfolioFrontier[[#This Row],[P101 Growth]]/PortfolioFrontier[[#This Row],[P101 HWM]]-1</f>
        <v>0</v>
      </c>
      <c r="OQ38" s="28">
        <f>SUMPRODUCT(INDEX(PortfolioRef[[SPY]:[PE]],MATCH(OQ$1,PortfolioRef[Reference '#]),0),AssetMonthlyReturns[[#This Row],[SPY]:[PE]])</f>
        <v>1.1601198631766278E-2</v>
      </c>
      <c r="OR38" s="27">
        <f>IF(ISNUMBER(OR37),OR37*(1+PortfolioFrontier[[#This Row],[P102 Return]]),1+PortfolioFrontier[[#This Row],[P102 Return]])</f>
        <v>1.1554450926132314</v>
      </c>
      <c r="OS38" s="27">
        <f>MAX(OS37,PortfolioFrontier[[#This Row],[P102 Growth]])</f>
        <v>1.1554450926132314</v>
      </c>
      <c r="OT38" s="27">
        <f>PortfolioFrontier[[#This Row],[P102 Growth]]/PortfolioFrontier[[#This Row],[P102 HWM]]-1</f>
        <v>0</v>
      </c>
      <c r="OU38" s="28">
        <f>SUMPRODUCT(INDEX(PortfolioRef[[SPY]:[PE]],MATCH(OU$1,PortfolioRef[Reference '#]),0),AssetMonthlyReturns[[#This Row],[SPY]:[PE]])</f>
        <v>8.8346849466851354E-3</v>
      </c>
      <c r="OV38" s="27">
        <f>IF(ISNUMBER(OV37),OV37*(1+PortfolioFrontier[[#This Row],[P103 Return]]),1+PortfolioFrontier[[#This Row],[P103 Return]])</f>
        <v>1.1430501749285396</v>
      </c>
      <c r="OW38" s="27">
        <f>MAX(OW37,PortfolioFrontier[[#This Row],[P103 Growth]])</f>
        <v>1.1430501749285396</v>
      </c>
      <c r="OX38" s="27">
        <f>PortfolioFrontier[[#This Row],[P103 Growth]]/PortfolioFrontier[[#This Row],[P103 HWM]]-1</f>
        <v>0</v>
      </c>
      <c r="OY38" s="28">
        <f>SUMPRODUCT(INDEX(PortfolioRef[[SPY]:[PE]],MATCH(OY$1,PortfolioRef[Reference '#]),0),AssetMonthlyReturns[[#This Row],[SPY]:[PE]])</f>
        <v>1.4137976056034143E-2</v>
      </c>
      <c r="OZ38" s="27">
        <f>IF(ISNUMBER(OZ37),OZ37*(1+PortfolioFrontier[[#This Row],[P104 Return]]),1+PortfolioFrontier[[#This Row],[P104 Return]])</f>
        <v>1.1666467382862866</v>
      </c>
      <c r="PA38" s="27">
        <f>MAX(PA37,PortfolioFrontier[[#This Row],[P104 Growth]])</f>
        <v>1.1666467382862866</v>
      </c>
      <c r="PB38" s="27">
        <f>PortfolioFrontier[[#This Row],[P104 Growth]]/PortfolioFrontier[[#This Row],[P104 HWM]]-1</f>
        <v>0</v>
      </c>
      <c r="PC38" s="28">
        <f>SUMPRODUCT(INDEX(PortfolioRef[[SPY]:[PE]],MATCH(PC$1,PortfolioRef[Reference '#]),0),AssetMonthlyReturns[[#This Row],[SPY]:[PE]])</f>
        <v>1.1371462370952996E-2</v>
      </c>
      <c r="PD38" s="27">
        <f>IF(ISNUMBER(PD37),PD37*(1+PortfolioFrontier[[#This Row],[P105 Return]]),1+PortfolioFrontier[[#This Row],[P105 Return]])</f>
        <v>1.1542505946284127</v>
      </c>
      <c r="PE38" s="27">
        <f>MAX(PE37,PortfolioFrontier[[#This Row],[P105 Growth]])</f>
        <v>1.1542505946284127</v>
      </c>
      <c r="PF38" s="27">
        <f>PortfolioFrontier[[#This Row],[P105 Growth]]/PortfolioFrontier[[#This Row],[P105 HWM]]-1</f>
        <v>0</v>
      </c>
      <c r="PG38" s="28">
        <f>SUMPRODUCT(INDEX(PortfolioRef[[SPY]:[PE]],MATCH(PG$1,PortfolioRef[Reference '#]),0),AssetMonthlyReturns[[#This Row],[SPY]:[PE]])</f>
        <v>8.6049486858718501E-3</v>
      </c>
      <c r="PH38" s="27">
        <f>IF(ISNUMBER(PH37),PH37*(1+PortfolioFrontier[[#This Row],[P106 Return]]),1+PortfolioFrontier[[#This Row],[P106 Return]])</f>
        <v>1.1418075733779582</v>
      </c>
      <c r="PI38" s="27">
        <f>MAX(PI37,PortfolioFrontier[[#This Row],[P106 Growth]])</f>
        <v>1.1418075733779582</v>
      </c>
      <c r="PJ38" s="27">
        <f>PortfolioFrontier[[#This Row],[P106 Growth]]/PortfolioFrontier[[#This Row],[P106 HWM]]-1</f>
        <v>0</v>
      </c>
      <c r="PK38" s="28">
        <f>SUMPRODUCT(INDEX(PortfolioRef[[SPY]:[PE]],MATCH(PK$1,PortfolioRef[Reference '#]),0),AssetMonthlyReturns[[#This Row],[SPY]:[PE]])</f>
        <v>9.7414656625560356E-3</v>
      </c>
      <c r="PL38" s="27">
        <f>IF(ISNUMBER(PL37),PL37*(1+PortfolioFrontier[[#This Row],[P107 Return]]),1+PortfolioFrontier[[#This Row],[P107 Return]])</f>
        <v>1.1520086604074242</v>
      </c>
      <c r="PM38" s="27">
        <f>MAX(PM37,PortfolioFrontier[[#This Row],[P107 Growth]])</f>
        <v>1.1520086604074242</v>
      </c>
      <c r="PN38" s="27">
        <f>PortfolioFrontier[[#This Row],[P107 Growth]]/PortfolioFrontier[[#This Row],[P107 HWM]]-1</f>
        <v>0</v>
      </c>
      <c r="PO38" s="28">
        <f>SUMPRODUCT(INDEX(PortfolioRef[[SPY]:[PE]],MATCH(PO$1,PortfolioRef[Reference '#]),0),AssetMonthlyReturns[[#This Row],[SPY]:[PE]])</f>
        <v>6.974951977474891E-3</v>
      </c>
      <c r="PP38" s="27">
        <f>IF(ISNUMBER(PP37),PP37*(1+PortfolioFrontier[[#This Row],[P108 Return]]),1+PortfolioFrontier[[#This Row],[P108 Return]])</f>
        <v>1.1396688227164133</v>
      </c>
      <c r="PQ38" s="27">
        <f>MAX(PQ37,PortfolioFrontier[[#This Row],[P108 Growth]])</f>
        <v>1.1396688227164133</v>
      </c>
      <c r="PR38" s="27">
        <f>PortfolioFrontier[[#This Row],[P108 Growth]]/PortfolioFrontier[[#This Row],[P108 HWM]]-1</f>
        <v>0</v>
      </c>
      <c r="PS38" s="28">
        <f>SUMPRODUCT(INDEX(PortfolioRef[[SPY]:[PE]],MATCH(PS$1,PortfolioRef[Reference '#]),0),AssetMonthlyReturns[[#This Row],[SPY]:[PE]])</f>
        <v>1.2278243086823896E-2</v>
      </c>
      <c r="PT38" s="27">
        <f>IF(ISNUMBER(PT37),PT37*(1+PortfolioFrontier[[#This Row],[P109 Return]]),1+PortfolioFrontier[[#This Row],[P109 Return]])</f>
        <v>1.1632621079754719</v>
      </c>
      <c r="PU38" s="27">
        <f>MAX(PU37,PortfolioFrontier[[#This Row],[P109 Growth]])</f>
        <v>1.1632621079754719</v>
      </c>
      <c r="PV38" s="27">
        <f>PortfolioFrontier[[#This Row],[P109 Growth]]/PortfolioFrontier[[#This Row],[P109 HWM]]-1</f>
        <v>0</v>
      </c>
      <c r="PW38" s="28">
        <f>SUMPRODUCT(INDEX(PortfolioRef[[SPY]:[PE]],MATCH(PW$1,PortfolioRef[Reference '#]),0),AssetMonthlyReturns[[#This Row],[SPY]:[PE]])</f>
        <v>9.5117294017427519E-3</v>
      </c>
      <c r="PX38" s="27">
        <f>IF(ISNUMBER(PX37),PX37*(1+PortfolioFrontier[[#This Row],[P110 Return]]),1+PortfolioFrontier[[#This Row],[P110 Return]])</f>
        <v>1.150920313343148</v>
      </c>
      <c r="PY38" s="27">
        <f>MAX(PY37,PortfolioFrontier[[#This Row],[P110 Growth]])</f>
        <v>1.150920313343148</v>
      </c>
      <c r="PZ38" s="27">
        <f>PortfolioFrontier[[#This Row],[P110 Growth]]/PortfolioFrontier[[#This Row],[P110 HWM]]-1</f>
        <v>0</v>
      </c>
      <c r="QA38" s="28">
        <f>SUMPRODUCT(INDEX(PortfolioRef[[SPY]:[PE]],MATCH(QA$1,PortfolioRef[Reference '#]),0),AssetMonthlyReturns[[#This Row],[SPY]:[PE]])</f>
        <v>6.7452157166616048E-3</v>
      </c>
      <c r="QB38" s="27">
        <f>IF(ISNUMBER(QB37),QB37*(1+PortfolioFrontier[[#This Row],[P111 Return]]),1+PortfolioFrontier[[#This Row],[P111 Return]])</f>
        <v>1.1385314290938195</v>
      </c>
      <c r="QC38" s="27">
        <f>MAX(QC37,PortfolioFrontier[[#This Row],[P111 Growth]])</f>
        <v>1.1385314290938195</v>
      </c>
      <c r="QD38" s="27">
        <f>PortfolioFrontier[[#This Row],[P111 Growth]]/PortfolioFrontier[[#This Row],[P111 HWM]]-1</f>
        <v>0</v>
      </c>
      <c r="QE38" s="28">
        <f>SUMPRODUCT(INDEX(PortfolioRef[[SPY]:[PE]],MATCH(QE$1,PortfolioRef[Reference '#]),0),AssetMonthlyReturns[[#This Row],[SPY]:[PE]])</f>
        <v>1.4815020511091757E-2</v>
      </c>
      <c r="QF38" s="27">
        <f>IF(ISNUMBER(QF37),QF37*(1+PortfolioFrontier[[#This Row],[P112 Return]]),1+PortfolioFrontier[[#This Row],[P112 Return]])</f>
        <v>1.1743884762709829</v>
      </c>
      <c r="QG38" s="27">
        <f>MAX(QG37,PortfolioFrontier[[#This Row],[P112 Growth]])</f>
        <v>1.1743884762709829</v>
      </c>
      <c r="QH38" s="27">
        <f>PortfolioFrontier[[#This Row],[P112 Growth]]/PortfolioFrontier[[#This Row],[P112 HWM]]-1</f>
        <v>0</v>
      </c>
      <c r="QI38" s="28">
        <f>SUMPRODUCT(INDEX(PortfolioRef[[SPY]:[PE]],MATCH(QI$1,PortfolioRef[Reference '#]),0),AssetMonthlyReturns[[#This Row],[SPY]:[PE]])</f>
        <v>1.2048506826010615E-2</v>
      </c>
      <c r="QJ38" s="27">
        <f>IF(ISNUMBER(QJ37),QJ37*(1+PortfolioFrontier[[#This Row],[P113 Return]]),1+PortfolioFrontier[[#This Row],[P113 Return]])</f>
        <v>1.1620484245790079</v>
      </c>
      <c r="QK38" s="27">
        <f>MAX(QK37,PortfolioFrontier[[#This Row],[P113 Growth]])</f>
        <v>1.1620484245790079</v>
      </c>
      <c r="QL38" s="27">
        <f>PortfolioFrontier[[#This Row],[P113 Growth]]/PortfolioFrontier[[#This Row],[P113 HWM]]-1</f>
        <v>0</v>
      </c>
      <c r="QM38" s="28">
        <f>SUMPRODUCT(INDEX(PortfolioRef[[SPY]:[PE]],MATCH(QM$1,PortfolioRef[Reference '#]),0),AssetMonthlyReturns[[#This Row],[SPY]:[PE]])</f>
        <v>9.2819931409294648E-3</v>
      </c>
      <c r="QN38" s="27">
        <f>IF(ISNUMBER(QN37),QN37*(1+PortfolioFrontier[[#This Row],[P114 Return]]),1+PortfolioFrontier[[#This Row],[P114 Return]])</f>
        <v>1.1496583563545988</v>
      </c>
      <c r="QO38" s="27">
        <f>MAX(QO37,PortfolioFrontier[[#This Row],[P114 Growth]])</f>
        <v>1.1496583563545988</v>
      </c>
      <c r="QP38" s="27">
        <f>PortfolioFrontier[[#This Row],[P114 Growth]]/PortfolioFrontier[[#This Row],[P114 HWM]]-1</f>
        <v>0</v>
      </c>
      <c r="QQ38" s="28">
        <f>SUMPRODUCT(INDEX(PortfolioRef[[SPY]:[PE]],MATCH(QQ$1,PortfolioRef[Reference '#]),0),AssetMonthlyReturns[[#This Row],[SPY]:[PE]])</f>
        <v>1.0418510117613654E-2</v>
      </c>
      <c r="QR38" s="27">
        <f>IF(ISNUMBER(QR37),QR37*(1+PortfolioFrontier[[#This Row],[P115 Return]]),1+PortfolioFrontier[[#This Row],[P115 Return]])</f>
        <v>1.1598062210138522</v>
      </c>
      <c r="QS38" s="27">
        <f>MAX(QS37,PortfolioFrontier[[#This Row],[P115 Growth]])</f>
        <v>1.1598062210138522</v>
      </c>
      <c r="QT38" s="27">
        <f>PortfolioFrontier[[#This Row],[P115 Growth]]/PortfolioFrontier[[#This Row],[P115 HWM]]-1</f>
        <v>0</v>
      </c>
      <c r="QU38" s="28">
        <f>SUMPRODUCT(INDEX(PortfolioRef[[SPY]:[PE]],MATCH(QU$1,PortfolioRef[Reference '#]),0),AssetMonthlyReturns[[#This Row],[SPY]:[PE]])</f>
        <v>7.651996432532511E-3</v>
      </c>
      <c r="QV38" s="27">
        <f>IF(ISNUMBER(QV37),QV37*(1+PortfolioFrontier[[#This Row],[P116 Return]]),1+PortfolioFrontier[[#This Row],[P116 Return]])</f>
        <v>1.1475193275004238</v>
      </c>
      <c r="QW38" s="27">
        <f>MAX(QW37,PortfolioFrontier[[#This Row],[P116 Growth]])</f>
        <v>1.1475193275004238</v>
      </c>
      <c r="QX38" s="27">
        <f>PortfolioFrontier[[#This Row],[P116 Growth]]/PortfolioFrontier[[#This Row],[P116 HWM]]-1</f>
        <v>0</v>
      </c>
      <c r="QY38" s="28">
        <f>SUMPRODUCT(INDEX(PortfolioRef[[SPY]:[PE]],MATCH(QY$1,PortfolioRef[Reference '#]),0),AssetMonthlyReturns[[#This Row],[SPY]:[PE]])</f>
        <v>4.8854827474513638E-3</v>
      </c>
      <c r="QZ38" s="27">
        <f>IF(ISNUMBER(QZ37),QZ37*(1+PortfolioFrontier[[#This Row],[P117 Return]]),1+PortfolioFrontier[[#This Row],[P117 Return]])</f>
        <v>1.1351851379999174</v>
      </c>
      <c r="RA38" s="27">
        <f>MAX(RA37,PortfolioFrontier[[#This Row],[P117 Growth]])</f>
        <v>1.1351851379999174</v>
      </c>
      <c r="RB38" s="27">
        <f>PortfolioFrontier[[#This Row],[P117 Growth]]/PortfolioFrontier[[#This Row],[P117 HWM]]-1</f>
        <v>0</v>
      </c>
      <c r="RC38" s="28">
        <f>SUMPRODUCT(INDEX(PortfolioRef[[SPY]:[PE]],MATCH(RC$1,PortfolioRef[Reference '#]),0),AssetMonthlyReturns[[#This Row],[SPY]:[PE]])</f>
        <v>1.2955287541881515E-2</v>
      </c>
      <c r="RD38" s="27">
        <f>IF(ISNUMBER(RD37),RD37*(1+PortfolioFrontier[[#This Row],[P118 Return]]),1+PortfolioFrontier[[#This Row],[P118 Return]])</f>
        <v>1.1709852903646627</v>
      </c>
      <c r="RE38" s="27">
        <f>MAX(RE37,PortfolioFrontier[[#This Row],[P118 Growth]])</f>
        <v>1.1709852903646627</v>
      </c>
      <c r="RF38" s="27">
        <f>PortfolioFrontier[[#This Row],[P118 Growth]]/PortfolioFrontier[[#This Row],[P118 HWM]]-1</f>
        <v>0</v>
      </c>
      <c r="RG38" s="28">
        <f>SUMPRODUCT(INDEX(PortfolioRef[[SPY]:[PE]],MATCH(RG$1,PortfolioRef[Reference '#]),0),AssetMonthlyReturns[[#This Row],[SPY]:[PE]])</f>
        <v>1.0188773856800372E-2</v>
      </c>
      <c r="RH38" s="27">
        <f>IF(ISNUMBER(RH37),RH37*(1+PortfolioFrontier[[#This Row],[P119 Return]]),1+PortfolioFrontier[[#This Row],[P119 Return]])</f>
        <v>1.1586993999482349</v>
      </c>
      <c r="RI38" s="27">
        <f>MAX(RI37,PortfolioFrontier[[#This Row],[P119 Growth]])</f>
        <v>1.1586993999482349</v>
      </c>
      <c r="RJ38" s="27">
        <f>PortfolioFrontier[[#This Row],[P119 Growth]]/PortfolioFrontier[[#This Row],[P119 HWM]]-1</f>
        <v>0</v>
      </c>
      <c r="RK38" s="28">
        <f>SUMPRODUCT(INDEX(PortfolioRef[[SPY]:[PE]],MATCH(RK$1,PortfolioRef[Reference '#]),0),AssetMonthlyReturns[[#This Row],[SPY]:[PE]])</f>
        <v>7.4222601717192247E-3</v>
      </c>
      <c r="RL38" s="27">
        <f>IF(ISNUMBER(RL37),RL37*(1+PortfolioFrontier[[#This Row],[P120 Return]]),1+PortfolioFrontier[[#This Row],[P120 Return]])</f>
        <v>1.1463632932404961</v>
      </c>
      <c r="RM38" s="27">
        <f>MAX(RM37,PortfolioFrontier[[#This Row],[P120 Growth]])</f>
        <v>1.1463632932404961</v>
      </c>
      <c r="RN38" s="27">
        <f>PortfolioFrontier[[#This Row],[P120 Growth]]/PortfolioFrontier[[#This Row],[P120 HWM]]-1</f>
        <v>0</v>
      </c>
      <c r="RO38" s="28">
        <f>SUMPRODUCT(INDEX(PortfolioRef[[SPY]:[PE]],MATCH(RO$1,PortfolioRef[Reference '#]),0),AssetMonthlyReturns[[#This Row],[SPY]:[PE]])</f>
        <v>1.5492064966149376E-2</v>
      </c>
      <c r="RP38" s="27">
        <f>IF(ISNUMBER(RP37),RP37*(1+PortfolioFrontier[[#This Row],[P121 Return]]),1+PortfolioFrontier[[#This Row],[P121 Return]])</f>
        <v>1.1820332610366837</v>
      </c>
      <c r="RQ38" s="27">
        <f>MAX(RQ37,PortfolioFrontier[[#This Row],[P121 Growth]])</f>
        <v>1.1820332610366837</v>
      </c>
      <c r="RR38" s="27">
        <f>PortfolioFrontier[[#This Row],[P121 Growth]]/PortfolioFrontier[[#This Row],[P121 HWM]]-1</f>
        <v>0</v>
      </c>
      <c r="RS38" s="28">
        <f>SUMPRODUCT(INDEX(PortfolioRef[[SPY]:[PE]],MATCH(RS$1,PortfolioRef[Reference '#]),0),AssetMonthlyReturns[[#This Row],[SPY]:[PE]])</f>
        <v>1.2725551281068233E-2</v>
      </c>
      <c r="RT38" s="27">
        <f>IF(ISNUMBER(RT37),RT37*(1+PortfolioFrontier[[#This Row],[P122 Return]]),1+PortfolioFrontier[[#This Row],[P122 Return]])</f>
        <v>1.1697521018766799</v>
      </c>
      <c r="RU38" s="27">
        <f>MAX(RU37,PortfolioFrontier[[#This Row],[P122 Growth]])</f>
        <v>1.1697521018766799</v>
      </c>
      <c r="RV38" s="27">
        <f>PortfolioFrontier[[#This Row],[P122 Growth]]/PortfolioFrontier[[#This Row],[P122 HWM]]-1</f>
        <v>0</v>
      </c>
      <c r="RW38" s="28">
        <f>SUMPRODUCT(INDEX(PortfolioRef[[SPY]:[PE]],MATCH(RW$1,PortfolioRef[Reference '#]),0),AssetMonthlyReturns[[#This Row],[SPY]:[PE]])</f>
        <v>9.9590375959870865E-3</v>
      </c>
      <c r="RX38" s="27">
        <f>IF(ISNUMBER(RX37),RX37*(1+PortfolioFrontier[[#This Row],[P123 Return]]),1+PortfolioFrontier[[#This Row],[P123 Return]])</f>
        <v>1.1574177745478051</v>
      </c>
      <c r="RY38" s="27">
        <f>MAX(RY37,PortfolioFrontier[[#This Row],[P123 Growth]])</f>
        <v>1.1574177745478051</v>
      </c>
      <c r="RZ38" s="27">
        <f>PortfolioFrontier[[#This Row],[P123 Growth]]/PortfolioFrontier[[#This Row],[P123 HWM]]-1</f>
        <v>0</v>
      </c>
      <c r="SA38" s="28">
        <f>SUMPRODUCT(INDEX(PortfolioRef[[SPY]:[PE]],MATCH(SA$1,PortfolioRef[Reference '#]),0),AssetMonthlyReturns[[#This Row],[SPY]:[PE]])</f>
        <v>1.1095554572671272E-2</v>
      </c>
      <c r="SB38" s="27">
        <f>IF(ISNUMBER(SB37),SB37*(1+PortfolioFrontier[[#This Row],[P124 Return]]),1+PortfolioFrontier[[#This Row],[P124 Return]])</f>
        <v>1.16751043026982</v>
      </c>
      <c r="SC38" s="27">
        <f>MAX(SC37,PortfolioFrontier[[#This Row],[P124 Growth]])</f>
        <v>1.16751043026982</v>
      </c>
      <c r="SD38" s="27">
        <f>PortfolioFrontier[[#This Row],[P124 Growth]]/PortfolioFrontier[[#This Row],[P124 HWM]]-1</f>
        <v>0</v>
      </c>
      <c r="SE38" s="28">
        <f>SUMPRODUCT(INDEX(PortfolioRef[[SPY]:[PE]],MATCH(SE$1,PortfolioRef[Reference '#]),0),AssetMonthlyReturns[[#This Row],[SPY]:[PE]])</f>
        <v>8.3290408875901292E-3</v>
      </c>
      <c r="SF38" s="27">
        <f>IF(ISNUMBER(SF37),SF37*(1+PortfolioFrontier[[#This Row],[P125 Return]]),1+PortfolioFrontier[[#This Row],[P125 Return]])</f>
        <v>1.1552792499674478</v>
      </c>
      <c r="SG38" s="27">
        <f>MAX(SG37,PortfolioFrontier[[#This Row],[P125 Growth]])</f>
        <v>1.1552792499674478</v>
      </c>
      <c r="SH38" s="27">
        <f>PortfolioFrontier[[#This Row],[P125 Growth]]/PortfolioFrontier[[#This Row],[P125 HWM]]-1</f>
        <v>0</v>
      </c>
      <c r="SI38" s="28">
        <f>SUMPRODUCT(INDEX(PortfolioRef[[SPY]:[PE]],MATCH(SI$1,PortfolioRef[Reference '#]),0),AssetMonthlyReturns[[#This Row],[SPY]:[PE]])</f>
        <v>5.5625272025089821E-3</v>
      </c>
      <c r="SJ38" s="27">
        <f>IF(ISNUMBER(SJ37),SJ37*(1+PortfolioFrontier[[#This Row],[P126 Return]]),1+PortfolioFrontier[[#This Row],[P126 Return]])</f>
        <v>1.1429976593855165</v>
      </c>
      <c r="SK38" s="27">
        <f>MAX(SK37,PortfolioFrontier[[#This Row],[P126 Growth]])</f>
        <v>1.1429976593855165</v>
      </c>
      <c r="SL38" s="27">
        <f>PortfolioFrontier[[#This Row],[P126 Growth]]/PortfolioFrontier[[#This Row],[P126 HWM]]-1</f>
        <v>0</v>
      </c>
      <c r="SM38" s="28">
        <f>SUMPRODUCT(INDEX(PortfolioRef[[SPY]:[PE]],MATCH(SM$1,PortfolioRef[Reference '#]),0),AssetMonthlyReturns[[#This Row],[SPY]:[PE]])</f>
        <v>1.3632331996939136E-2</v>
      </c>
      <c r="SN38" s="27">
        <f>IF(ISNUMBER(SN37),SN37*(1+PortfolioFrontier[[#This Row],[P127 Return]]),1+PortfolioFrontier[[#This Row],[P127 Return]])</f>
        <v>1.1786120073760844</v>
      </c>
      <c r="SO38" s="27">
        <f>MAX(SO37,PortfolioFrontier[[#This Row],[P127 Growth]])</f>
        <v>1.1786120073760844</v>
      </c>
      <c r="SP38" s="27">
        <f>PortfolioFrontier[[#This Row],[P127 Growth]]/PortfolioFrontier[[#This Row],[P127 HWM]]-1</f>
        <v>0</v>
      </c>
      <c r="SQ38" s="28">
        <f>SUMPRODUCT(INDEX(PortfolioRef[[SPY]:[PE]],MATCH(SQ$1,PortfolioRef[Reference '#]),0),AssetMonthlyReturns[[#This Row],[SPY]:[PE]])</f>
        <v>1.086581831185799E-2</v>
      </c>
      <c r="SR38" s="27">
        <f>IF(ISNUMBER(SR37),SR37*(1+PortfolioFrontier[[#This Row],[P128 Return]]),1+PortfolioFrontier[[#This Row],[P128 Return]])</f>
        <v>1.1663848096672349</v>
      </c>
      <c r="SS38" s="27">
        <f>MAX(SS37,PortfolioFrontier[[#This Row],[P128 Growth]])</f>
        <v>1.1663848096672349</v>
      </c>
      <c r="ST38" s="27">
        <f>PortfolioFrontier[[#This Row],[P128 Growth]]/PortfolioFrontier[[#This Row],[P128 HWM]]-1</f>
        <v>0</v>
      </c>
      <c r="SU38" s="28">
        <f>SUMPRODUCT(INDEX(PortfolioRef[[SPY]:[PE]],MATCH(SU$1,PortfolioRef[Reference '#]),0),AssetMonthlyReturns[[#This Row],[SPY]:[PE]])</f>
        <v>8.0993046267768438E-3</v>
      </c>
      <c r="SV38" s="27">
        <f>IF(ISNUMBER(SV37),SV37*(1+PortfolioFrontier[[#This Row],[P129 Return]]),1+PortfolioFrontier[[#This Row],[P129 Return]])</f>
        <v>1.1541042563886428</v>
      </c>
      <c r="SW38" s="27">
        <f>MAX(SW37,PortfolioFrontier[[#This Row],[P129 Growth]])</f>
        <v>1.1541042563886428</v>
      </c>
      <c r="SX38" s="27">
        <f>PortfolioFrontier[[#This Row],[P129 Growth]]/PortfolioFrontier[[#This Row],[P129 HWM]]-1</f>
        <v>0</v>
      </c>
      <c r="SY38" s="28">
        <f>SUMPRODUCT(INDEX(PortfolioRef[[SPY]:[PE]],MATCH(SY$1,PortfolioRef[Reference '#]),0),AssetMonthlyReturns[[#This Row],[SPY]:[PE]])</f>
        <v>1.6169109421206994E-2</v>
      </c>
      <c r="SZ38" s="27">
        <f>IF(ISNUMBER(SZ37),SZ37*(1+PortfolioFrontier[[#This Row],[P130 Return]]),1+PortfolioFrontier[[#This Row],[P130 Return]])</f>
        <v>1.1895784510241403</v>
      </c>
      <c r="TA38" s="27">
        <f>MAX(TA37,PortfolioFrontier[[#This Row],[P130 Growth]])</f>
        <v>1.1895784510241403</v>
      </c>
      <c r="TB38" s="27">
        <f>PortfolioFrontier[[#This Row],[P130 Growth]]/PortfolioFrontier[[#This Row],[P130 HWM]]-1</f>
        <v>0</v>
      </c>
      <c r="TC38" s="28">
        <f>SUMPRODUCT(INDEX(PortfolioRef[[SPY]:[PE]],MATCH(TC$1,PortfolioRef[Reference '#]),0),AssetMonthlyReturns[[#This Row],[SPY]:[PE]])</f>
        <v>1.3402595736125851E-2</v>
      </c>
      <c r="TD38" s="27">
        <f>IF(ISNUMBER(TD37),TD37*(1+PortfolioFrontier[[#This Row],[P131 Return]]),1+PortfolioFrontier[[#This Row],[P131 Return]])</f>
        <v>1.1773589914298432</v>
      </c>
      <c r="TE38" s="27">
        <f>MAX(TE37,PortfolioFrontier[[#This Row],[P131 Growth]])</f>
        <v>1.1773589914298432</v>
      </c>
      <c r="TF38" s="27">
        <f>PortfolioFrontier[[#This Row],[P131 Growth]]/PortfolioFrontier[[#This Row],[P131 HWM]]-1</f>
        <v>0</v>
      </c>
      <c r="TG38" s="28">
        <f>SUMPRODUCT(INDEX(PortfolioRef[[SPY]:[PE]],MATCH(TG$1,PortfolioRef[Reference '#]),0),AssetMonthlyReturns[[#This Row],[SPY]:[PE]])</f>
        <v>1.0636082051044705E-2</v>
      </c>
      <c r="TH38" s="27">
        <f>IF(ISNUMBER(TH37),TH37*(1+PortfolioFrontier[[#This Row],[P132 Return]]),1+PortfolioFrontier[[#This Row],[P132 Return]])</f>
        <v>1.1650832002854123</v>
      </c>
      <c r="TI38" s="27">
        <f>MAX(TI37,PortfolioFrontier[[#This Row],[P132 Growth]])</f>
        <v>1.1650832002854123</v>
      </c>
      <c r="TJ38" s="27">
        <f>PortfolioFrontier[[#This Row],[P132 Growth]]/PortfolioFrontier[[#This Row],[P132 HWM]]-1</f>
        <v>0</v>
      </c>
      <c r="TK38" s="28">
        <f>SUMPRODUCT(INDEX(PortfolioRef[[SPY]:[PE]],MATCH(TK$1,PortfolioRef[Reference '#]),0),AssetMonthlyReturns[[#This Row],[SPY]:[PE]])</f>
        <v>1.177259902772889E-2</v>
      </c>
      <c r="TL38" s="27">
        <f>IF(ISNUMBER(TL37),TL37*(1+PortfolioFrontier[[#This Row],[P133 Return]]),1+PortfolioFrontier[[#This Row],[P133 Return]])</f>
        <v>1.1751186663485547</v>
      </c>
      <c r="TM38" s="27">
        <f>MAX(TM37,PortfolioFrontier[[#This Row],[P133 Growth]])</f>
        <v>1.1751186663485547</v>
      </c>
      <c r="TN38" s="27">
        <f>PortfolioFrontier[[#This Row],[P133 Growth]]/PortfolioFrontier[[#This Row],[P133 HWM]]-1</f>
        <v>0</v>
      </c>
      <c r="TO38" s="28">
        <f>SUMPRODUCT(INDEX(PortfolioRef[[SPY]:[PE]],MATCH(TO$1,PortfolioRef[Reference '#]),0),AssetMonthlyReturns[[#This Row],[SPY]:[PE]])</f>
        <v>9.0060853426477457E-3</v>
      </c>
      <c r="TP38" s="27">
        <f>IF(ISNUMBER(TP37),TP37*(1+PortfolioFrontier[[#This Row],[P134 Return]]),1+PortfolioFrontier[[#This Row],[P134 Return]])</f>
        <v>1.1629459755815288</v>
      </c>
      <c r="TQ38" s="27">
        <f>MAX(TQ37,PortfolioFrontier[[#This Row],[P134 Growth]])</f>
        <v>1.1629459755815288</v>
      </c>
      <c r="TR38" s="27">
        <f>PortfolioFrontier[[#This Row],[P134 Growth]]/PortfolioFrontier[[#This Row],[P134 HWM]]-1</f>
        <v>0</v>
      </c>
      <c r="TS38" s="28">
        <f>SUMPRODUCT(INDEX(PortfolioRef[[SPY]:[PE]],MATCH(TS$1,PortfolioRef[Reference '#]),0),AssetMonthlyReturns[[#This Row],[SPY]:[PE]])</f>
        <v>6.2395716575665986E-3</v>
      </c>
      <c r="TT38" s="27">
        <f>IF(ISNUMBER(TT37),TT37*(1+PortfolioFrontier[[#This Row],[P135 Return]]),1+PortfolioFrontier[[#This Row],[P135 Return]])</f>
        <v>1.1507197477304023</v>
      </c>
      <c r="TU38" s="27">
        <f>MAX(TU37,PortfolioFrontier[[#This Row],[P135 Growth]])</f>
        <v>1.1507197477304023</v>
      </c>
      <c r="TV38" s="27">
        <f>PortfolioFrontier[[#This Row],[P135 Growth]]/PortfolioFrontier[[#This Row],[P135 HWM]]-1</f>
        <v>0</v>
      </c>
      <c r="TW38" s="28">
        <f>SUMPRODUCT(INDEX(PortfolioRef[[SPY]:[PE]],MATCH(TW$1,PortfolioRef[Reference '#]),0),AssetMonthlyReturns[[#This Row],[SPY]:[PE]])</f>
        <v>1.4309376451996751E-2</v>
      </c>
      <c r="TX38" s="27">
        <f>IF(ISNUMBER(TX37),TX37*(1+PortfolioFrontier[[#This Row],[P136 Return]]),1+PortfolioFrontier[[#This Row],[P136 Return]])</f>
        <v>1.1861396279009948</v>
      </c>
      <c r="TY38" s="27">
        <f>MAX(TY37,PortfolioFrontier[[#This Row],[P136 Growth]])</f>
        <v>1.1861396279009948</v>
      </c>
      <c r="TZ38" s="27">
        <f>PortfolioFrontier[[#This Row],[P136 Growth]]/PortfolioFrontier[[#This Row],[P136 HWM]]-1</f>
        <v>0</v>
      </c>
      <c r="UA38" s="28">
        <f>SUMPRODUCT(INDEX(PortfolioRef[[SPY]:[PE]],MATCH(UA$1,PortfolioRef[Reference '#]),0),AssetMonthlyReturns[[#This Row],[SPY]:[PE]])</f>
        <v>1.1542862766915608E-2</v>
      </c>
      <c r="UB38" s="27">
        <f>IF(ISNUMBER(UB37),UB37*(1+PortfolioFrontier[[#This Row],[P137 Return]]),1+PortfolioFrontier[[#This Row],[P137 Return]])</f>
        <v>1.1739739178252124</v>
      </c>
      <c r="UC38" s="27">
        <f>MAX(UC37,PortfolioFrontier[[#This Row],[P137 Growth]])</f>
        <v>1.1739739178252124</v>
      </c>
      <c r="UD38" s="27">
        <f>PortfolioFrontier[[#This Row],[P137 Growth]]/PortfolioFrontier[[#This Row],[P137 HWM]]-1</f>
        <v>0</v>
      </c>
      <c r="UE38" s="28">
        <f>SUMPRODUCT(INDEX(PortfolioRef[[SPY]:[PE]],MATCH(UE$1,PortfolioRef[Reference '#]),0),AssetMonthlyReturns[[#This Row],[SPY]:[PE]])</f>
        <v>8.7763490818344586E-3</v>
      </c>
      <c r="UF38" s="27">
        <f>IF(ISNUMBER(UF37),UF37*(1+PortfolioFrontier[[#This Row],[P138 Return]]),1+PortfolioFrontier[[#This Row],[P138 Return]])</f>
        <v>1.1617517012452123</v>
      </c>
      <c r="UG38" s="27">
        <f>MAX(UG37,PortfolioFrontier[[#This Row],[P138 Growth]])</f>
        <v>1.1617517012452123</v>
      </c>
      <c r="UH38" s="27">
        <f>PortfolioFrontier[[#This Row],[P138 Growth]]/PortfolioFrontier[[#This Row],[P138 HWM]]-1</f>
        <v>0</v>
      </c>
      <c r="UI38" s="28">
        <f>SUMPRODUCT(INDEX(PortfolioRef[[SPY]:[PE]],MATCH(UI$1,PortfolioRef[Reference '#]),0),AssetMonthlyReturns[[#This Row],[SPY]:[PE]])</f>
        <v>1.6846153876264612E-2</v>
      </c>
      <c r="UJ38" s="27">
        <f>IF(ISNUMBER(UJ37),UJ37*(1+PortfolioFrontier[[#This Row],[P139 Return]]),1+PortfolioFrontier[[#This Row],[P139 Return]])</f>
        <v>1.1970214069156946</v>
      </c>
      <c r="UK38" s="27">
        <f>MAX(UK37,PortfolioFrontier[[#This Row],[P139 Growth]])</f>
        <v>1.1970214069156946</v>
      </c>
      <c r="UL38" s="27">
        <f>PortfolioFrontier[[#This Row],[P139 Growth]]/PortfolioFrontier[[#This Row],[P139 HWM]]-1</f>
        <v>0</v>
      </c>
      <c r="UM38" s="28">
        <f>SUMPRODUCT(INDEX(PortfolioRef[[SPY]:[PE]],MATCH(UM$1,PortfolioRef[Reference '#]),0),AssetMonthlyReturns[[#This Row],[SPY]:[PE]])</f>
        <v>1.4079640191183466E-2</v>
      </c>
      <c r="UN38" s="27">
        <f>IF(ISNUMBER(UN37),UN37*(1+PortfolioFrontier[[#This Row],[P140 Return]]),1+PortfolioFrontier[[#This Row],[P140 Return]])</f>
        <v>1.1848664594780112</v>
      </c>
      <c r="UO38" s="27">
        <f>MAX(UO37,PortfolioFrontier[[#This Row],[P140 Growth]])</f>
        <v>1.1848664594780112</v>
      </c>
      <c r="UP38" s="27">
        <f>PortfolioFrontier[[#This Row],[P140 Growth]]/PortfolioFrontier[[#This Row],[P140 HWM]]-1</f>
        <v>0</v>
      </c>
      <c r="UQ38" s="28">
        <f>SUMPRODUCT(INDEX(PortfolioRef[[SPY]:[PE]],MATCH(UQ$1,PortfolioRef[Reference '#]),0),AssetMonthlyReturns[[#This Row],[SPY]:[PE]])</f>
        <v>1.131312650610232E-2</v>
      </c>
      <c r="UR38" s="27">
        <f>IF(ISNUMBER(UR37),UR37*(1+PortfolioFrontier[[#This Row],[P141 Return]]),1+PortfolioFrontier[[#This Row],[P141 Return]])</f>
        <v>1.172652006330932</v>
      </c>
      <c r="US38" s="27">
        <f>MAX(US37,PortfolioFrontier[[#This Row],[P141 Growth]])</f>
        <v>1.172652006330932</v>
      </c>
      <c r="UT38" s="27">
        <f>PortfolioFrontier[[#This Row],[P141 Growth]]/PortfolioFrontier[[#This Row],[P141 HWM]]-1</f>
        <v>0</v>
      </c>
    </row>
    <row r="39" spans="2:566" x14ac:dyDescent="0.2">
      <c r="B39" s="41">
        <f>AssetMonthlyReturns[[#This Row],[Date]]</f>
        <v>43556</v>
      </c>
      <c r="C39" s="28">
        <f>SUMPRODUCT(INDEX(PortfolioRef[[SPY]:[PE]],MATCH(C$1,PortfolioRef[Reference '#]),0),AssetMonthlyReturns[[#This Row],[SPY]:[PE]])</f>
        <v>2.5586443473690941E-2</v>
      </c>
      <c r="D39" s="29">
        <f>IF(ISNUMBER(D38),D38*(1+PortfolioFrontier[[#This Row],[P1 Return]]),1+PortfolioFrontier[[#This Row],[P1 Return]])</f>
        <v>1.2959865293876862</v>
      </c>
      <c r="E39" s="29">
        <f>MAX(E38,PortfolioFrontier[[#This Row],[P1 Growth]])</f>
        <v>1.2959865293876862</v>
      </c>
      <c r="F39" s="29">
        <f>PortfolioFrontier[[#This Row],[P1 Growth]]/PortfolioFrontier[[#This Row],[P1 HWM]]-1</f>
        <v>0</v>
      </c>
      <c r="G39" s="28">
        <f>SUMPRODUCT(INDEX(PortfolioRef[[SPY]:[PE]],MATCH(G$1,PortfolioRef[Reference '#]),0),AssetMonthlyReturns[[#This Row],[SPY]:[PE]])</f>
        <v>2.3218970337950794E-2</v>
      </c>
      <c r="H39" s="27">
        <f>IF(ISNUMBER(H38),H38*(1+PortfolioFrontier[[#This Row],[P2 Return]]),1+PortfolioFrontier[[#This Row],[P2 Return]])</f>
        <v>1.2733580791626276</v>
      </c>
      <c r="I39" s="27">
        <f>MAX(I38,PortfolioFrontier[[#This Row],[P2 Growth]])</f>
        <v>1.2733580791626276</v>
      </c>
      <c r="J39" s="27">
        <f>PortfolioFrontier[[#This Row],[P2 Growth]]/PortfolioFrontier[[#This Row],[P2 HWM]]-1</f>
        <v>0</v>
      </c>
      <c r="K39" s="28">
        <f>SUMPRODUCT(INDEX(PortfolioRef[[SPY]:[PE]],MATCH(K$1,PortfolioRef[Reference '#]),0),AssetMonthlyReturns[[#This Row],[SPY]:[PE]])</f>
        <v>2.2982621227363501E-2</v>
      </c>
      <c r="L39" s="27">
        <f>IF(ISNUMBER(L38),L38*(1+PortfolioFrontier[[#This Row],[P3 Return]]),1+PortfolioFrontier[[#This Row],[P3 Return]])</f>
        <v>1.2694836875979287</v>
      </c>
      <c r="M39" s="27">
        <f>MAX(M38,PortfolioFrontier[[#This Row],[P3 Growth]])</f>
        <v>1.2694836875979287</v>
      </c>
      <c r="N39" s="27">
        <f>PortfolioFrontier[[#This Row],[P3 Growth]]/PortfolioFrontier[[#This Row],[P3 HWM]]-1</f>
        <v>0</v>
      </c>
      <c r="O39" s="28">
        <f>SUMPRODUCT(INDEX(PortfolioRef[[SPY]:[PE]],MATCH(O$1,PortfolioRef[Reference '#]),0),AssetMonthlyReturns[[#This Row],[SPY]:[PE]])</f>
        <v>2.3590914858642783E-2</v>
      </c>
      <c r="P39" s="27">
        <f>IF(ISNUMBER(P38),P38*(1+PortfolioFrontier[[#This Row],[P4 Return]]),1+PortfolioFrontier[[#This Row],[P4 Return]])</f>
        <v>1.282134287452402</v>
      </c>
      <c r="Q39" s="27">
        <f>MAX(Q38,PortfolioFrontier[[#This Row],[P4 Growth]])</f>
        <v>1.282134287452402</v>
      </c>
      <c r="R39" s="27">
        <f>PortfolioFrontier[[#This Row],[P4 Growth]]/PortfolioFrontier[[#This Row],[P4 HWM]]-1</f>
        <v>0</v>
      </c>
      <c r="S39" s="28">
        <f>SUMPRODUCT(INDEX(PortfolioRef[[SPY]:[PE]],MATCH(S$1,PortfolioRef[Reference '#]),0),AssetMonthlyReturns[[#This Row],[SPY]:[PE]])</f>
        <v>2.3811424614019954E-2</v>
      </c>
      <c r="T39" s="27">
        <f>IF(ISNUMBER(T38),T38*(1+PortfolioFrontier[[#This Row],[P5 Return]]),1+PortfolioFrontier[[#This Row],[P5 Return]])</f>
        <v>1.2689518624277523</v>
      </c>
      <c r="U39" s="27">
        <f>MAX(U38,PortfolioFrontier[[#This Row],[P5 Growth]])</f>
        <v>1.2689518624277523</v>
      </c>
      <c r="V39" s="27">
        <f>PortfolioFrontier[[#This Row],[P5 Growth]]/PortfolioFrontier[[#This Row],[P5 HWM]]-1</f>
        <v>0</v>
      </c>
      <c r="W39" s="28">
        <f>SUMPRODUCT(INDEX(PortfolioRef[[SPY]:[PE]],MATCH(W$1,PortfolioRef[Reference '#]),0),AssetMonthlyReturns[[#This Row],[SPY]:[PE]])</f>
        <v>2.0851497202210651E-2</v>
      </c>
      <c r="X39" s="27">
        <f>IF(ISNUMBER(X38),X38*(1+PortfolioFrontier[[#This Row],[P6 Return]]),1+PortfolioFrontier[[#This Row],[P6 Return]])</f>
        <v>1.2509795345689529</v>
      </c>
      <c r="Y39" s="27">
        <f>MAX(Y38,PortfolioFrontier[[#This Row],[P6 Growth]])</f>
        <v>1.2509795345689529</v>
      </c>
      <c r="Z39" s="27">
        <f>PortfolioFrontier[[#This Row],[P6 Growth]]/PortfolioFrontier[[#This Row],[P6 HWM]]-1</f>
        <v>0</v>
      </c>
      <c r="AA39" s="28">
        <f>SUMPRODUCT(INDEX(PortfolioRef[[SPY]:[PE]],MATCH(AA$1,PortfolioRef[Reference '#]),0),AssetMonthlyReturns[[#This Row],[SPY]:[PE]])</f>
        <v>2.0615148091623358E-2</v>
      </c>
      <c r="AB39" s="27">
        <f>IF(ISNUMBER(AB38),AB38*(1+PortfolioFrontier[[#This Row],[P7 Return]]),1+PortfolioFrontier[[#This Row],[P7 Return]])</f>
        <v>1.247148434427112</v>
      </c>
      <c r="AC39" s="27">
        <f>MAX(AC38,PortfolioFrontier[[#This Row],[P7 Growth]])</f>
        <v>1.247148434427112</v>
      </c>
      <c r="AD39" s="27">
        <f>PortfolioFrontier[[#This Row],[P7 Growth]]/PortfolioFrontier[[#This Row],[P7 HWM]]-1</f>
        <v>0</v>
      </c>
      <c r="AE39" s="28">
        <f>SUMPRODUCT(INDEX(PortfolioRef[[SPY]:[PE]],MATCH(AE$1,PortfolioRef[Reference '#]),0),AssetMonthlyReturns[[#This Row],[SPY]:[PE]])</f>
        <v>2.122344172290264E-2</v>
      </c>
      <c r="AF39" s="27">
        <f>IF(ISNUMBER(AF38),AF38*(1+PortfolioFrontier[[#This Row],[P8 Return]]),1+PortfolioFrontier[[#This Row],[P8 Return]])</f>
        <v>1.2596937785956883</v>
      </c>
      <c r="AG39" s="27">
        <f>MAX(AG38,PortfolioFrontier[[#This Row],[P8 Growth]])</f>
        <v>1.2596937785956883</v>
      </c>
      <c r="AH39" s="27">
        <f>PortfolioFrontier[[#This Row],[P8 Growth]]/PortfolioFrontier[[#This Row],[P8 HWM]]-1</f>
        <v>0</v>
      </c>
      <c r="AI39" s="28">
        <f>SUMPRODUCT(INDEX(PortfolioRef[[SPY]:[PE]],MATCH(AI$1,PortfolioRef[Reference '#]),0),AssetMonthlyReturns[[#This Row],[SPY]:[PE]])</f>
        <v>2.1443951478279811E-2</v>
      </c>
      <c r="AJ39" s="27">
        <f>IF(ISNUMBER(AJ38),AJ38*(1+PortfolioFrontier[[#This Row],[P9 Return]]),1+PortfolioFrontier[[#This Row],[P9 Return]])</f>
        <v>1.2466798136911128</v>
      </c>
      <c r="AK39" s="27">
        <f>MAX(AK38,PortfolioFrontier[[#This Row],[P9 Growth]])</f>
        <v>1.2466798136911128</v>
      </c>
      <c r="AL39" s="27">
        <f>PortfolioFrontier[[#This Row],[P9 Growth]]/PortfolioFrontier[[#This Row],[P9 HWM]]-1</f>
        <v>0</v>
      </c>
      <c r="AM39" s="28">
        <f>SUMPRODUCT(INDEX(PortfolioRef[[SPY]:[PE]],MATCH(AM$1,PortfolioRef[Reference '#]),0),AssetMonthlyReturns[[#This Row],[SPY]:[PE]])</f>
        <v>2.0378798981036068E-2</v>
      </c>
      <c r="AN39" s="27">
        <f>IF(ISNUMBER(AN38),AN38*(1+PortfolioFrontier[[#This Row],[P10 Return]]),1+PortfolioFrontier[[#This Row],[P10 Return]])</f>
        <v>1.2432422762801267</v>
      </c>
      <c r="AO39" s="27">
        <f>MAX(AO38,PortfolioFrontier[[#This Row],[P10 Growth]])</f>
        <v>1.2432422762801267</v>
      </c>
      <c r="AP39" s="27">
        <f>PortfolioFrontier[[#This Row],[P10 Growth]]/PortfolioFrontier[[#This Row],[P10 HWM]]-1</f>
        <v>0</v>
      </c>
      <c r="AQ39" s="28">
        <f>SUMPRODUCT(INDEX(PortfolioRef[[SPY]:[PE]],MATCH(AQ$1,PortfolioRef[Reference '#]),0),AssetMonthlyReturns[[#This Row],[SPY]:[PE]])</f>
        <v>2.0987092612315347E-2</v>
      </c>
      <c r="AR39" s="27">
        <f>IF(ISNUMBER(AR38),AR38*(1+PortfolioFrontier[[#This Row],[P11 Return]]),1+PortfolioFrontier[[#This Row],[P11 Return]])</f>
        <v>1.2558404464421236</v>
      </c>
      <c r="AS39" s="27">
        <f>MAX(AS38,PortfolioFrontier[[#This Row],[P11 Growth]])</f>
        <v>1.2558404464421236</v>
      </c>
      <c r="AT39" s="27">
        <f>PortfolioFrontier[[#This Row],[P11 Growth]]/PortfolioFrontier[[#This Row],[P11 HWM]]-1</f>
        <v>0</v>
      </c>
      <c r="AU39" s="28">
        <f>SUMPRODUCT(INDEX(PortfolioRef[[SPY]:[PE]],MATCH(AU$1,PortfolioRef[Reference '#]),0),AssetMonthlyReturns[[#This Row],[SPY]:[PE]])</f>
        <v>2.1207602367692518E-2</v>
      </c>
      <c r="AV39" s="27">
        <f>IF(ISNUMBER(AV38),AV38*(1+PortfolioFrontier[[#This Row],[P12 Return]]),1+PortfolioFrontier[[#This Row],[P12 Return]])</f>
        <v>1.242885894847827</v>
      </c>
      <c r="AW39" s="27">
        <f>MAX(AW38,PortfolioFrontier[[#This Row],[P12 Growth]])</f>
        <v>1.242885894847827</v>
      </c>
      <c r="AX39" s="27">
        <f>PortfolioFrontier[[#This Row],[P12 Growth]]/PortfolioFrontier[[#This Row],[P12 HWM]]-1</f>
        <v>0</v>
      </c>
      <c r="AY39" s="28">
        <f>SUMPRODUCT(INDEX(PortfolioRef[[SPY]:[PE]],MATCH(AY$1,PortfolioRef[Reference '#]),0),AssetMonthlyReturns[[#This Row],[SPY]:[PE]])</f>
        <v>2.1595386243594625E-2</v>
      </c>
      <c r="AZ39" s="27">
        <f>IF(ISNUMBER(AZ38),AZ38*(1+PortfolioFrontier[[#This Row],[P13 Return]]),1+PortfolioFrontier[[#This Row],[P13 Return]])</f>
        <v>1.2683087654532397</v>
      </c>
      <c r="BA39" s="27">
        <f>MAX(BA38,PortfolioFrontier[[#This Row],[P13 Growth]])</f>
        <v>1.2683087654532397</v>
      </c>
      <c r="BB39" s="27">
        <f>PortfolioFrontier[[#This Row],[P13 Growth]]/PortfolioFrontier[[#This Row],[P13 HWM]]-1</f>
        <v>0</v>
      </c>
      <c r="BC39" s="28">
        <f>SUMPRODUCT(INDEX(PortfolioRef[[SPY]:[PE]],MATCH(BC$1,PortfolioRef[Reference '#]),0),AssetMonthlyReturns[[#This Row],[SPY]:[PE]])</f>
        <v>2.1815895998971799E-2</v>
      </c>
      <c r="BD39" s="27">
        <f>IF(ISNUMBER(BD38),BD38*(1+PortfolioFrontier[[#This Row],[P14 Return]]),1+PortfolioFrontier[[#This Row],[P14 Return]])</f>
        <v>1.2553554016414747</v>
      </c>
      <c r="BE39" s="27">
        <f>MAX(BE38,PortfolioFrontier[[#This Row],[P14 Growth]])</f>
        <v>1.2553554016414747</v>
      </c>
      <c r="BF39" s="27">
        <f>PortfolioFrontier[[#This Row],[P14 Growth]]/PortfolioFrontier[[#This Row],[P14 HWM]]-1</f>
        <v>0</v>
      </c>
      <c r="BG39" s="28">
        <f>SUMPRODUCT(INDEX(PortfolioRef[[SPY]:[PE]],MATCH(BG$1,PortfolioRef[Reference '#]),0),AssetMonthlyReturns[[#This Row],[SPY]:[PE]])</f>
        <v>2.2036405754348971E-2</v>
      </c>
      <c r="BH39" s="27">
        <f>IF(ISNUMBER(BH38),BH38*(1+PortfolioFrontier[[#This Row],[P15 Return]]),1+PortfolioFrontier[[#This Row],[P15 Return]])</f>
        <v>1.2423403529299319</v>
      </c>
      <c r="BI39" s="27">
        <f>MAX(BI38,PortfolioFrontier[[#This Row],[P15 Growth]])</f>
        <v>1.2423403529299319</v>
      </c>
      <c r="BJ39" s="27">
        <f>PortfolioFrontier[[#This Row],[P15 Growth]]/PortfolioFrontier[[#This Row],[P15 HWM]]-1</f>
        <v>0</v>
      </c>
      <c r="BK39" s="28">
        <f>SUMPRODUCT(INDEX(PortfolioRef[[SPY]:[PE]],MATCH(BK$1,PortfolioRef[Reference '#]),0),AssetMonthlyReturns[[#This Row],[SPY]:[PE]])</f>
        <v>1.8484024066470504E-2</v>
      </c>
      <c r="BL39" s="27">
        <f>IF(ISNUMBER(BL38),BL38*(1+PortfolioFrontier[[#This Row],[P16 Return]]),1+PortfolioFrontier[[#This Row],[P16 Return]])</f>
        <v>1.22885186349683</v>
      </c>
      <c r="BM39" s="27">
        <f>MAX(BM38,PortfolioFrontier[[#This Row],[P16 Growth]])</f>
        <v>1.22885186349683</v>
      </c>
      <c r="BN39" s="27">
        <f>PortfolioFrontier[[#This Row],[P16 Growth]]/PortfolioFrontier[[#This Row],[P16 HWM]]-1</f>
        <v>0</v>
      </c>
      <c r="BO39" s="28">
        <f>SUMPRODUCT(INDEX(PortfolioRef[[SPY]:[PE]],MATCH(BO$1,PortfolioRef[Reference '#]),0),AssetMonthlyReturns[[#This Row],[SPY]:[PE]])</f>
        <v>1.8247674955883211E-2</v>
      </c>
      <c r="BP39" s="27">
        <f>IF(ISNUMBER(BP38),BP38*(1+PortfolioFrontier[[#This Row],[P17 Return]]),1+PortfolioFrontier[[#This Row],[P17 Return]])</f>
        <v>1.2250643367195471</v>
      </c>
      <c r="BQ39" s="27">
        <f>MAX(BQ38,PortfolioFrontier[[#This Row],[P17 Growth]])</f>
        <v>1.2250643367195471</v>
      </c>
      <c r="BR39" s="27">
        <f>PortfolioFrontier[[#This Row],[P17 Growth]]/PortfolioFrontier[[#This Row],[P17 HWM]]-1</f>
        <v>0</v>
      </c>
      <c r="BS39" s="28">
        <f>SUMPRODUCT(INDEX(PortfolioRef[[SPY]:[PE]],MATCH(BS$1,PortfolioRef[Reference '#]),0),AssetMonthlyReturns[[#This Row],[SPY]:[PE]])</f>
        <v>1.8855968587162493E-2</v>
      </c>
      <c r="BT39" s="27">
        <f>IF(ISNUMBER(BT38),BT38*(1+PortfolioFrontier[[#This Row],[P18 Return]]),1+PortfolioFrontier[[#This Row],[P18 Return]])</f>
        <v>1.2375023135477756</v>
      </c>
      <c r="BU39" s="27">
        <f>MAX(BU38,PortfolioFrontier[[#This Row],[P18 Growth]])</f>
        <v>1.2375023135477756</v>
      </c>
      <c r="BV39" s="27">
        <f>PortfolioFrontier[[#This Row],[P18 Growth]]/PortfolioFrontier[[#This Row],[P18 HWM]]-1</f>
        <v>0</v>
      </c>
      <c r="BW39" s="28">
        <f>SUMPRODUCT(INDEX(PortfolioRef[[SPY]:[PE]],MATCH(BW$1,PortfolioRef[Reference '#]),0),AssetMonthlyReturns[[#This Row],[SPY]:[PE]])</f>
        <v>1.9076478342539664E-2</v>
      </c>
      <c r="BX39" s="27">
        <f>IF(ISNUMBER(BX38),BX38*(1+PortfolioFrontier[[#This Row],[P19 Return]]),1+PortfolioFrontier[[#This Row],[P19 Return]])</f>
        <v>1.224656583136754</v>
      </c>
      <c r="BY39" s="27">
        <f>MAX(BY38,PortfolioFrontier[[#This Row],[P19 Growth]])</f>
        <v>1.224656583136754</v>
      </c>
      <c r="BZ39" s="27">
        <f>PortfolioFrontier[[#This Row],[P19 Growth]]/PortfolioFrontier[[#This Row],[P19 HWM]]-1</f>
        <v>0</v>
      </c>
      <c r="CA39" s="28">
        <f>SUMPRODUCT(INDEX(PortfolioRef[[SPY]:[PE]],MATCH(CA$1,PortfolioRef[Reference '#]),0),AssetMonthlyReturns[[#This Row],[SPY]:[PE]])</f>
        <v>1.8011325845295922E-2</v>
      </c>
      <c r="CB39" s="27">
        <f>IF(ISNUMBER(CB38),CB38*(1+PortfolioFrontier[[#This Row],[P20 Return]]),1+PortfolioFrontier[[#This Row],[P20 Return]])</f>
        <v>1.2212031469130784</v>
      </c>
      <c r="CC39" s="27">
        <f>MAX(CC38,PortfolioFrontier[[#This Row],[P20 Growth]])</f>
        <v>1.2212031469130784</v>
      </c>
      <c r="CD39" s="27">
        <f>PortfolioFrontier[[#This Row],[P20 Growth]]/PortfolioFrontier[[#This Row],[P20 HWM]]-1</f>
        <v>0</v>
      </c>
      <c r="CE39" s="28">
        <f>SUMPRODUCT(INDEX(PortfolioRef[[SPY]:[PE]],MATCH(CE$1,PortfolioRef[Reference '#]),0),AssetMonthlyReturns[[#This Row],[SPY]:[PE]])</f>
        <v>1.86196194765752E-2</v>
      </c>
      <c r="CF39" s="27">
        <f>IF(ISNUMBER(CF38),CF38*(1+PortfolioFrontier[[#This Row],[P21 Return]]),1+PortfolioFrontier[[#This Row],[P21 Return]])</f>
        <v>1.2336923779223434</v>
      </c>
      <c r="CG39" s="27">
        <f>MAX(CG38,PortfolioFrontier[[#This Row],[P21 Growth]])</f>
        <v>1.2336923779223434</v>
      </c>
      <c r="CH39" s="27">
        <f>PortfolioFrontier[[#This Row],[P21 Growth]]/PortfolioFrontier[[#This Row],[P21 HWM]]-1</f>
        <v>0</v>
      </c>
      <c r="CI39" s="28">
        <f>SUMPRODUCT(INDEX(PortfolioRef[[SPY]:[PE]],MATCH(CI$1,PortfolioRef[Reference '#]),0),AssetMonthlyReturns[[#This Row],[SPY]:[PE]])</f>
        <v>1.8840129231952371E-2</v>
      </c>
      <c r="CJ39" s="27">
        <f>IF(ISNUMBER(CJ38),CJ38*(1+PortfolioFrontier[[#This Row],[P22 Return]]),1+PortfolioFrontier[[#This Row],[P22 Return]])</f>
        <v>1.2209055607570185</v>
      </c>
      <c r="CK39" s="27">
        <f>MAX(CK38,PortfolioFrontier[[#This Row],[P22 Growth]])</f>
        <v>1.2209055607570185</v>
      </c>
      <c r="CL39" s="27">
        <f>PortfolioFrontier[[#This Row],[P22 Growth]]/PortfolioFrontier[[#This Row],[P22 HWM]]-1</f>
        <v>0</v>
      </c>
      <c r="CM39" s="28">
        <f>SUMPRODUCT(INDEX(PortfolioRef[[SPY]:[PE]],MATCH(CM$1,PortfolioRef[Reference '#]),0),AssetMonthlyReturns[[#This Row],[SPY]:[PE]])</f>
        <v>1.9227913107854478E-2</v>
      </c>
      <c r="CN39" s="27">
        <f>IF(ISNUMBER(CN38),CN38*(1+PortfolioFrontier[[#This Row],[P23 Return]]),1+PortfolioFrontier[[#This Row],[P23 Return]])</f>
        <v>1.2460567106937652</v>
      </c>
      <c r="CO39" s="27">
        <f>MAX(CO38,PortfolioFrontier[[#This Row],[P23 Growth]])</f>
        <v>1.2460567106937652</v>
      </c>
      <c r="CP39" s="27">
        <f>PortfolioFrontier[[#This Row],[P23 Growth]]/PortfolioFrontier[[#This Row],[P23 HWM]]-1</f>
        <v>0</v>
      </c>
      <c r="CQ39" s="28">
        <f>SUMPRODUCT(INDEX(PortfolioRef[[SPY]:[PE]],MATCH(CQ$1,PortfolioRef[Reference '#]),0),AssetMonthlyReturns[[#This Row],[SPY]:[PE]])</f>
        <v>1.9448422863231653E-2</v>
      </c>
      <c r="CR39" s="27">
        <f>IF(ISNUMBER(CR38),CR38*(1+PortfolioFrontier[[#This Row],[P24 Return]]),1+PortfolioFrontier[[#This Row],[P24 Return]])</f>
        <v>1.2332690963515314</v>
      </c>
      <c r="CS39" s="27">
        <f>MAX(CS38,PortfolioFrontier[[#This Row],[P24 Growth]])</f>
        <v>1.2332690963515314</v>
      </c>
      <c r="CT39" s="27">
        <f>PortfolioFrontier[[#This Row],[P24 Growth]]/PortfolioFrontier[[#This Row],[P24 HWM]]-1</f>
        <v>0</v>
      </c>
      <c r="CU39" s="28">
        <f>SUMPRODUCT(INDEX(PortfolioRef[[SPY]:[PE]],MATCH(CU$1,PortfolioRef[Reference '#]),0),AssetMonthlyReturns[[#This Row],[SPY]:[PE]])</f>
        <v>1.9668932618608824E-2</v>
      </c>
      <c r="CV39" s="27">
        <f>IF(ISNUMBER(CV38),CV38*(1+PortfolioFrontier[[#This Row],[P25 Return]]),1+PortfolioFrontier[[#This Row],[P25 Return]])</f>
        <v>1.2204220718234913</v>
      </c>
      <c r="CW39" s="27">
        <f>MAX(CW38,PortfolioFrontier[[#This Row],[P25 Growth]])</f>
        <v>1.2204220718234913</v>
      </c>
      <c r="CX39" s="27">
        <f>PortfolioFrontier[[#This Row],[P25 Growth]]/PortfolioFrontier[[#This Row],[P25 HWM]]-1</f>
        <v>0</v>
      </c>
      <c r="CY39" s="28">
        <f>SUMPRODUCT(INDEX(PortfolioRef[[SPY]:[PE]],MATCH(CY$1,PortfolioRef[Reference '#]),0),AssetMonthlyReturns[[#This Row],[SPY]:[PE]])</f>
        <v>1.838327036598791E-2</v>
      </c>
      <c r="CZ39" s="27">
        <f>IF(ISNUMBER(CZ38),CZ38*(1+PortfolioFrontier[[#This Row],[P26 Return]]),1+PortfolioFrontier[[#This Row],[P26 Return]])</f>
        <v>1.229808317575638</v>
      </c>
      <c r="DA39" s="27">
        <f>MAX(DA38,PortfolioFrontier[[#This Row],[P26 Growth]])</f>
        <v>1.229808317575638</v>
      </c>
      <c r="DB39" s="27">
        <f>PortfolioFrontier[[#This Row],[P26 Growth]]/PortfolioFrontier[[#This Row],[P26 HWM]]-1</f>
        <v>0</v>
      </c>
      <c r="DC39" s="28">
        <f>SUMPRODUCT(INDEX(PortfolioRef[[SPY]:[PE]],MATCH(DC$1,PortfolioRef[Reference '#]),0),AssetMonthlyReturns[[#This Row],[SPY]:[PE]])</f>
        <v>1.8603780121365081E-2</v>
      </c>
      <c r="DD39" s="27">
        <f>IF(ISNUMBER(DD38),DD38*(1+PortfolioFrontier[[#This Row],[P27 Return]]),1+PortfolioFrontier[[#This Row],[P27 Return]])</f>
        <v>1.2170809583428006</v>
      </c>
      <c r="DE39" s="27">
        <f>MAX(DE38,PortfolioFrontier[[#This Row],[P27 Growth]])</f>
        <v>1.2170809583428006</v>
      </c>
      <c r="DF39" s="27">
        <f>PortfolioFrontier[[#This Row],[P27 Growth]]/PortfolioFrontier[[#This Row],[P27 HWM]]-1</f>
        <v>0</v>
      </c>
      <c r="DG39" s="28">
        <f>SUMPRODUCT(INDEX(PortfolioRef[[SPY]:[PE]],MATCH(DG$1,PortfolioRef[Reference '#]),0),AssetMonthlyReturns[[#This Row],[SPY]:[PE]])</f>
        <v>1.8991563997267185E-2</v>
      </c>
      <c r="DH39" s="27">
        <f>IF(ISNUMBER(DH38),DH38*(1+PortfolioFrontier[[#This Row],[P28 Return]]),1+PortfolioFrontier[[#This Row],[P28 Return]])</f>
        <v>1.2422248884064699</v>
      </c>
      <c r="DI39" s="27">
        <f>MAX(DI38,PortfolioFrontier[[#This Row],[P28 Growth]])</f>
        <v>1.2422248884064699</v>
      </c>
      <c r="DJ39" s="27">
        <f>PortfolioFrontier[[#This Row],[P28 Growth]]/PortfolioFrontier[[#This Row],[P28 HWM]]-1</f>
        <v>0</v>
      </c>
      <c r="DK39" s="28">
        <f>SUMPRODUCT(INDEX(PortfolioRef[[SPY]:[PE]],MATCH(DK$1,PortfolioRef[Reference '#]),0),AssetMonthlyReturns[[#This Row],[SPY]:[PE]])</f>
        <v>1.921207375264436E-2</v>
      </c>
      <c r="DL39" s="27">
        <f>IF(ISNUMBER(DL38),DL38*(1+PortfolioFrontier[[#This Row],[P29 Return]]),1+PortfolioFrontier[[#This Row],[P29 Return]])</f>
        <v>1.2294959815354234</v>
      </c>
      <c r="DM39" s="27">
        <f>MAX(DM38,PortfolioFrontier[[#This Row],[P29 Growth]])</f>
        <v>1.2294959815354234</v>
      </c>
      <c r="DN39" s="27">
        <f>PortfolioFrontier[[#This Row],[P29 Growth]]/PortfolioFrontier[[#This Row],[P29 HWM]]-1</f>
        <v>0</v>
      </c>
      <c r="DO39" s="28">
        <f>SUMPRODUCT(INDEX(PortfolioRef[[SPY]:[PE]],MATCH(DO$1,PortfolioRef[Reference '#]),0),AssetMonthlyReturns[[#This Row],[SPY]:[PE]])</f>
        <v>1.9432583508021531E-2</v>
      </c>
      <c r="DP39" s="27">
        <f>IF(ISNUMBER(DP38),DP38*(1+PortfolioFrontier[[#This Row],[P30 Return]]),1+PortfolioFrontier[[#This Row],[P30 Return]])</f>
        <v>1.216707495881483</v>
      </c>
      <c r="DQ39" s="27">
        <f>MAX(DQ38,PortfolioFrontier[[#This Row],[P30 Growth]])</f>
        <v>1.216707495881483</v>
      </c>
      <c r="DR39" s="27">
        <f>PortfolioFrontier[[#This Row],[P30 Growth]]/PortfolioFrontier[[#This Row],[P30 HWM]]-1</f>
        <v>0</v>
      </c>
      <c r="DS39" s="28">
        <f>SUMPRODUCT(INDEX(PortfolioRef[[SPY]:[PE]],MATCH(DS$1,PortfolioRef[Reference '#]),0),AssetMonthlyReturns[[#This Row],[SPY]:[PE]])</f>
        <v>1.9599857628546463E-2</v>
      </c>
      <c r="DT39" s="27">
        <f>IF(ISNUMBER(DT38),DT38*(1+PortfolioFrontier[[#This Row],[P31 Return]]),1+PortfolioFrontier[[#This Row],[P31 Return]])</f>
        <v>1.2545121326461726</v>
      </c>
      <c r="DU39" s="27">
        <f>MAX(DU38,PortfolioFrontier[[#This Row],[P31 Growth]])</f>
        <v>1.2545121326461726</v>
      </c>
      <c r="DV39" s="27">
        <f>PortfolioFrontier[[#This Row],[P31 Growth]]/PortfolioFrontier[[#This Row],[P31 HWM]]-1</f>
        <v>0</v>
      </c>
      <c r="DW39" s="28">
        <f>SUMPRODUCT(INDEX(PortfolioRef[[SPY]:[PE]],MATCH(DW$1,PortfolioRef[Reference '#]),0),AssetMonthlyReturns[[#This Row],[SPY]:[PE]])</f>
        <v>1.9820367383923638E-2</v>
      </c>
      <c r="DX39" s="27">
        <f>IF(ISNUMBER(DX38),DX38*(1+PortfolioFrontier[[#This Row],[P32 Return]]),1+PortfolioFrontier[[#This Row],[P32 Return]])</f>
        <v>1.2417856397867504</v>
      </c>
      <c r="DY39" s="27">
        <f>MAX(DY38,PortfolioFrontier[[#This Row],[P32 Growth]])</f>
        <v>1.2417856397867504</v>
      </c>
      <c r="DZ39" s="27">
        <f>PortfolioFrontier[[#This Row],[P32 Growth]]/PortfolioFrontier[[#This Row],[P32 HWM]]-1</f>
        <v>0</v>
      </c>
      <c r="EA39" s="28">
        <f>SUMPRODUCT(INDEX(PortfolioRef[[SPY]:[PE]],MATCH(EA$1,PortfolioRef[Reference '#]),0),AssetMonthlyReturns[[#This Row],[SPY]:[PE]])</f>
        <v>2.0040877139300813E-2</v>
      </c>
      <c r="EB39" s="27">
        <f>IF(ISNUMBER(EB38),EB38*(1+PortfolioFrontier[[#This Row],[P33 Return]]),1+PortfolioFrontier[[#This Row],[P33 Return]])</f>
        <v>1.2289963913777802</v>
      </c>
      <c r="EC39" s="27">
        <f>MAX(EC38,PortfolioFrontier[[#This Row],[P33 Growth]])</f>
        <v>1.2289963913777802</v>
      </c>
      <c r="ED39" s="27">
        <f>PortfolioFrontier[[#This Row],[P33 Growth]]/PortfolioFrontier[[#This Row],[P33 HWM]]-1</f>
        <v>0</v>
      </c>
      <c r="EE39" s="28">
        <f>SUMPRODUCT(INDEX(PortfolioRef[[SPY]:[PE]],MATCH(EE$1,PortfolioRef[Reference '#]),0),AssetMonthlyReturns[[#This Row],[SPY]:[PE]])</f>
        <v>1.6116550930730361E-2</v>
      </c>
      <c r="EF39" s="27">
        <f>IF(ISNUMBER(EF38),EF38*(1+PortfolioFrontier[[#This Row],[P34 Return]]),1+PortfolioFrontier[[#This Row],[P34 Return]])</f>
        <v>1.2069759058299154</v>
      </c>
      <c r="EG39" s="27">
        <f>MAX(EG38,PortfolioFrontier[[#This Row],[P34 Growth]])</f>
        <v>1.2069759058299154</v>
      </c>
      <c r="EH39" s="27">
        <f>PortfolioFrontier[[#This Row],[P34 Growth]]/PortfolioFrontier[[#This Row],[P34 HWM]]-1</f>
        <v>0</v>
      </c>
      <c r="EI39" s="28">
        <f>SUMPRODUCT(INDEX(PortfolioRef[[SPY]:[PE]],MATCH(EI$1,PortfolioRef[Reference '#]),0),AssetMonthlyReturns[[#This Row],[SPY]:[PE]])</f>
        <v>1.5880201820143068E-2</v>
      </c>
      <c r="EJ39" s="27">
        <f>IF(ISNUMBER(EJ38),EJ38*(1+PortfolioFrontier[[#This Row],[P35 Return]]),1+PortfolioFrontier[[#This Row],[P35 Return]])</f>
        <v>1.2032322053973727</v>
      </c>
      <c r="EK39" s="27">
        <f>MAX(EK38,PortfolioFrontier[[#This Row],[P35 Growth]])</f>
        <v>1.2032322053973727</v>
      </c>
      <c r="EL39" s="27">
        <f>PortfolioFrontier[[#This Row],[P35 Growth]]/PortfolioFrontier[[#This Row],[P35 HWM]]-1</f>
        <v>0</v>
      </c>
      <c r="EM39" s="28">
        <f>SUMPRODUCT(INDEX(PortfolioRef[[SPY]:[PE]],MATCH(EM$1,PortfolioRef[Reference '#]),0),AssetMonthlyReturns[[#This Row],[SPY]:[PE]])</f>
        <v>1.648849545142235E-2</v>
      </c>
      <c r="EN39" s="27">
        <f>IF(ISNUMBER(EN38),EN38*(1+PortfolioFrontier[[#This Row],[P36 Return]]),1+PortfolioFrontier[[#This Row],[P36 Return]])</f>
        <v>1.2155608200568733</v>
      </c>
      <c r="EO39" s="27">
        <f>MAX(EO38,PortfolioFrontier[[#This Row],[P36 Growth]])</f>
        <v>1.2155608200568733</v>
      </c>
      <c r="EP39" s="27">
        <f>PortfolioFrontier[[#This Row],[P36 Growth]]/PortfolioFrontier[[#This Row],[P36 HWM]]-1</f>
        <v>0</v>
      </c>
      <c r="EQ39" s="28">
        <f>SUMPRODUCT(INDEX(PortfolioRef[[SPY]:[PE]],MATCH(EQ$1,PortfolioRef[Reference '#]),0),AssetMonthlyReturns[[#This Row],[SPY]:[PE]])</f>
        <v>1.6709005206799521E-2</v>
      </c>
      <c r="ER39" s="27">
        <f>IF(ISNUMBER(ER38),ER38*(1+PortfolioFrontier[[#This Row],[P37 Return]]),1+PortfolioFrontier[[#This Row],[P37 Return]])</f>
        <v>1.2028830372428365</v>
      </c>
      <c r="ES39" s="27">
        <f>MAX(ES38,PortfolioFrontier[[#This Row],[P37 Growth]])</f>
        <v>1.2028830372428365</v>
      </c>
      <c r="ET39" s="27">
        <f>PortfolioFrontier[[#This Row],[P37 Growth]]/PortfolioFrontier[[#This Row],[P37 HWM]]-1</f>
        <v>0</v>
      </c>
      <c r="EU39" s="28">
        <f>SUMPRODUCT(INDEX(PortfolioRef[[SPY]:[PE]],MATCH(EU$1,PortfolioRef[Reference '#]),0),AssetMonthlyReturns[[#This Row],[SPY]:[PE]])</f>
        <v>1.5643852709555778E-2</v>
      </c>
      <c r="EV39" s="27">
        <f>IF(ISNUMBER(EV38),EV38*(1+PortfolioFrontier[[#This Row],[P38 Return]]),1+PortfolioFrontier[[#This Row],[P38 Return]])</f>
        <v>1.1994162173103042</v>
      </c>
      <c r="EW39" s="27">
        <f>MAX(EW38,PortfolioFrontier[[#This Row],[P38 Growth]])</f>
        <v>1.1994162173103042</v>
      </c>
      <c r="EX39" s="27">
        <f>PortfolioFrontier[[#This Row],[P38 Growth]]/PortfolioFrontier[[#This Row],[P38 HWM]]-1</f>
        <v>0</v>
      </c>
      <c r="EY39" s="28">
        <f>SUMPRODUCT(INDEX(PortfolioRef[[SPY]:[PE]],MATCH(EY$1,PortfolioRef[Reference '#]),0),AssetMonthlyReturns[[#This Row],[SPY]:[PE]])</f>
        <v>1.6252146340835057E-2</v>
      </c>
      <c r="EZ39" s="27">
        <f>IF(ISNUMBER(EZ38),EZ38*(1+PortfolioFrontier[[#This Row],[P39 Return]]),1+PortfolioFrontier[[#This Row],[P39 Return]])</f>
        <v>1.2117945503528416</v>
      </c>
      <c r="FA39" s="27">
        <f>MAX(FA38,PortfolioFrontier[[#This Row],[P39 Growth]])</f>
        <v>1.2117945503528416</v>
      </c>
      <c r="FB39" s="27">
        <f>PortfolioFrontier[[#This Row],[P39 Growth]]/PortfolioFrontier[[#This Row],[P39 HWM]]-1</f>
        <v>0</v>
      </c>
      <c r="FC39" s="28">
        <f>SUMPRODUCT(INDEX(PortfolioRef[[SPY]:[PE]],MATCH(FC$1,PortfolioRef[Reference '#]),0),AssetMonthlyReturns[[#This Row],[SPY]:[PE]])</f>
        <v>1.6472656096212228E-2</v>
      </c>
      <c r="FD39" s="27">
        <f>IF(ISNUMBER(FD38),FD38*(1+PortfolioFrontier[[#This Row],[P40 Return]]),1+PortfolioFrontier[[#This Row],[P40 Return]])</f>
        <v>1.1991751724057829</v>
      </c>
      <c r="FE39" s="27">
        <f>MAX(FE38,PortfolioFrontier[[#This Row],[P40 Growth]])</f>
        <v>1.1991751724057829</v>
      </c>
      <c r="FF39" s="27">
        <f>PortfolioFrontier[[#This Row],[P40 Growth]]/PortfolioFrontier[[#This Row],[P40 HWM]]-1</f>
        <v>0</v>
      </c>
      <c r="FG39" s="28">
        <f>SUMPRODUCT(INDEX(PortfolioRef[[SPY]:[PE]],MATCH(FG$1,PortfolioRef[Reference '#]),0),AssetMonthlyReturns[[#This Row],[SPY]:[PE]])</f>
        <v>1.6860439972114335E-2</v>
      </c>
      <c r="FH39" s="27">
        <f>IF(ISNUMBER(FH38),FH38*(1+PortfolioFrontier[[#This Row],[P41 Return]]),1+PortfolioFrontier[[#This Row],[P41 Return]])</f>
        <v>1.2240528113559144</v>
      </c>
      <c r="FI39" s="27">
        <f>MAX(FI38,PortfolioFrontier[[#This Row],[P41 Growth]])</f>
        <v>1.2240528113559144</v>
      </c>
      <c r="FJ39" s="27">
        <f>PortfolioFrontier[[#This Row],[P41 Growth]]/PortfolioFrontier[[#This Row],[P41 HWM]]-1</f>
        <v>0</v>
      </c>
      <c r="FK39" s="28">
        <f>SUMPRODUCT(INDEX(PortfolioRef[[SPY]:[PE]],MATCH(FK$1,PortfolioRef[Reference '#]),0),AssetMonthlyReturns[[#This Row],[SPY]:[PE]])</f>
        <v>1.708094972749151E-2</v>
      </c>
      <c r="FL39" s="27">
        <f>IF(ISNUMBER(FL38),FL38*(1+PortfolioFrontier[[#This Row],[P42 Return]]),1+PortfolioFrontier[[#This Row],[P42 Return]])</f>
        <v>1.211430725933166</v>
      </c>
      <c r="FM39" s="27">
        <f>MAX(FM38,PortfolioFrontier[[#This Row],[P42 Growth]])</f>
        <v>1.211430725933166</v>
      </c>
      <c r="FN39" s="27">
        <f>PortfolioFrontier[[#This Row],[P42 Growth]]/PortfolioFrontier[[#This Row],[P42 HWM]]-1</f>
        <v>0</v>
      </c>
      <c r="FO39" s="28">
        <f>SUMPRODUCT(INDEX(PortfolioRef[[SPY]:[PE]],MATCH(FO$1,PortfolioRef[Reference '#]),0),AssetMonthlyReturns[[#This Row],[SPY]:[PE]])</f>
        <v>1.7301459482868681E-2</v>
      </c>
      <c r="FP39" s="27">
        <f>IF(ISNUMBER(FP38),FP38*(1+PortfolioFrontier[[#This Row],[P43 Return]]),1+PortfolioFrontier[[#This Row],[P43 Return]])</f>
        <v>1.1987514464030313</v>
      </c>
      <c r="FQ39" s="27">
        <f>MAX(FQ38,PortfolioFrontier[[#This Row],[P43 Growth]])</f>
        <v>1.1987514464030313</v>
      </c>
      <c r="FR39" s="27">
        <f>PortfolioFrontier[[#This Row],[P43 Growth]]/PortfolioFrontier[[#This Row],[P43 HWM]]-1</f>
        <v>0</v>
      </c>
      <c r="FS39" s="28">
        <f>SUMPRODUCT(INDEX(PortfolioRef[[SPY]:[PE]],MATCH(FS$1,PortfolioRef[Reference '#]),0),AssetMonthlyReturns[[#This Row],[SPY]:[PE]])</f>
        <v>1.6015797230247764E-2</v>
      </c>
      <c r="FT39" s="27">
        <f>IF(ISNUMBER(FT38),FT38*(1+PortfolioFrontier[[#This Row],[P44 Return]]),1+PortfolioFrontier[[#This Row],[P44 Return]])</f>
        <v>1.207955535920642</v>
      </c>
      <c r="FU39" s="27">
        <f>MAX(FU38,PortfolioFrontier[[#This Row],[P44 Growth]])</f>
        <v>1.207955535920642</v>
      </c>
      <c r="FV39" s="27">
        <f>PortfolioFrontier[[#This Row],[P44 Growth]]/PortfolioFrontier[[#This Row],[P44 HWM]]-1</f>
        <v>0</v>
      </c>
      <c r="FW39" s="28">
        <f>SUMPRODUCT(INDEX(PortfolioRef[[SPY]:[PE]],MATCH(FW$1,PortfolioRef[Reference '#]),0),AssetMonthlyReturns[[#This Row],[SPY]:[PE]])</f>
        <v>1.6236306985624938E-2</v>
      </c>
      <c r="FX39" s="27">
        <f>IF(ISNUMBER(FX38),FX38*(1+PortfolioFrontier[[#This Row],[P45 Return]]),1+PortfolioFrontier[[#This Row],[P45 Return]])</f>
        <v>1.1953950993018823</v>
      </c>
      <c r="FY39" s="27">
        <f>MAX(FY38,PortfolioFrontier[[#This Row],[P45 Growth]])</f>
        <v>1.1953950993018823</v>
      </c>
      <c r="FZ39" s="27">
        <f>PortfolioFrontier[[#This Row],[P45 Growth]]/PortfolioFrontier[[#This Row],[P45 HWM]]-1</f>
        <v>0</v>
      </c>
      <c r="GA39" s="28">
        <f>SUMPRODUCT(INDEX(PortfolioRef[[SPY]:[PE]],MATCH(GA$1,PortfolioRef[Reference '#]),0),AssetMonthlyReturns[[#This Row],[SPY]:[PE]])</f>
        <v>1.6624090861527042E-2</v>
      </c>
      <c r="GB39" s="27">
        <f>IF(ISNUMBER(GB38),GB38*(1+PortfolioFrontier[[#This Row],[P46 Return]]),1+PortfolioFrontier[[#This Row],[P46 Return]])</f>
        <v>1.2202644800734899</v>
      </c>
      <c r="GC39" s="27">
        <f>MAX(GC38,PortfolioFrontier[[#This Row],[P46 Growth]])</f>
        <v>1.2202644800734899</v>
      </c>
      <c r="GD39" s="27">
        <f>PortfolioFrontier[[#This Row],[P46 Growth]]/PortfolioFrontier[[#This Row],[P46 HWM]]-1</f>
        <v>0</v>
      </c>
      <c r="GE39" s="28">
        <f>SUMPRODUCT(INDEX(PortfolioRef[[SPY]:[PE]],MATCH(GE$1,PortfolioRef[Reference '#]),0),AssetMonthlyReturns[[#This Row],[SPY]:[PE]])</f>
        <v>1.6844600616904216E-2</v>
      </c>
      <c r="GF39" s="27">
        <f>IF(ISNUMBER(GF38),GF38*(1+PortfolioFrontier[[#This Row],[P47 Return]]),1+PortfolioFrontier[[#This Row],[P47 Return]])</f>
        <v>1.207700604508215</v>
      </c>
      <c r="GG39" s="27">
        <f>MAX(GG38,PortfolioFrontier[[#This Row],[P47 Growth]])</f>
        <v>1.207700604508215</v>
      </c>
      <c r="GH39" s="27">
        <f>PortfolioFrontier[[#This Row],[P47 Growth]]/PortfolioFrontier[[#This Row],[P47 HWM]]-1</f>
        <v>0</v>
      </c>
      <c r="GI39" s="28">
        <f>SUMPRODUCT(INDEX(PortfolioRef[[SPY]:[PE]],MATCH(GI$1,PortfolioRef[Reference '#]),0),AssetMonthlyReturns[[#This Row],[SPY]:[PE]])</f>
        <v>1.7065110372281388E-2</v>
      </c>
      <c r="GJ39" s="27">
        <f>IF(ISNUMBER(GJ38),GJ38*(1+PortfolioFrontier[[#This Row],[P48 Return]]),1+PortfolioFrontier[[#This Row],[P48 Return]])</f>
        <v>1.1950793623715499</v>
      </c>
      <c r="GK39" s="27">
        <f>MAX(GK38,PortfolioFrontier[[#This Row],[P48 Growth]])</f>
        <v>1.1950793623715499</v>
      </c>
      <c r="GL39" s="27">
        <f>PortfolioFrontier[[#This Row],[P48 Growth]]/PortfolioFrontier[[#This Row],[P48 HWM]]-1</f>
        <v>0</v>
      </c>
      <c r="GM39" s="28">
        <f>SUMPRODUCT(INDEX(PortfolioRef[[SPY]:[PE]],MATCH(GM$1,PortfolioRef[Reference '#]),0),AssetMonthlyReturns[[#This Row],[SPY]:[PE]])</f>
        <v>1.723238449280632E-2</v>
      </c>
      <c r="GN39" s="27">
        <f>IF(ISNUMBER(GN38),GN38*(1+PortfolioFrontier[[#This Row],[P49 Return]]),1+PortfolioFrontier[[#This Row],[P49 Return]])</f>
        <v>1.2324490057574715</v>
      </c>
      <c r="GO39" s="27">
        <f>MAX(GO38,PortfolioFrontier[[#This Row],[P49 Growth]])</f>
        <v>1.2324490057574715</v>
      </c>
      <c r="GP39" s="27">
        <f>PortfolioFrontier[[#This Row],[P49 Growth]]/PortfolioFrontier[[#This Row],[P49 HWM]]-1</f>
        <v>0</v>
      </c>
      <c r="GQ39" s="28">
        <f>SUMPRODUCT(INDEX(PortfolioRef[[SPY]:[PE]],MATCH(GQ$1,PortfolioRef[Reference '#]),0),AssetMonthlyReturns[[#This Row],[SPY]:[PE]])</f>
        <v>1.7452894248183495E-2</v>
      </c>
      <c r="GR39" s="27">
        <f>IF(ISNUMBER(GR38),GR38*(1+PortfolioFrontier[[#This Row],[P50 Return]]),1+PortfolioFrontier[[#This Row],[P50 Return]])</f>
        <v>1.2198855699337372</v>
      </c>
      <c r="GS39" s="27">
        <f>MAX(GS38,PortfolioFrontier[[#This Row],[P50 Growth]])</f>
        <v>1.2198855699337372</v>
      </c>
      <c r="GT39" s="27">
        <f>PortfolioFrontier[[#This Row],[P50 Growth]]/PortfolioFrontier[[#This Row],[P50 HWM]]-1</f>
        <v>0</v>
      </c>
      <c r="GU39" s="28">
        <f>SUMPRODUCT(INDEX(PortfolioRef[[SPY]:[PE]],MATCH(GU$1,PortfolioRef[Reference '#]),0),AssetMonthlyReturns[[#This Row],[SPY]:[PE]])</f>
        <v>1.7673404003560669E-2</v>
      </c>
      <c r="GV39" s="27">
        <f>IF(ISNUMBER(GV38),GV38*(1+PortfolioFrontier[[#This Row],[P51 Return]]),1+PortfolioFrontier[[#This Row],[P51 Return]])</f>
        <v>1.207261652997436</v>
      </c>
      <c r="GW39" s="27">
        <f>MAX(GW38,PortfolioFrontier[[#This Row],[P51 Growth]])</f>
        <v>1.207261652997436</v>
      </c>
      <c r="GX39" s="27">
        <f>PortfolioFrontier[[#This Row],[P51 Growth]]/PortfolioFrontier[[#This Row],[P51 HWM]]-1</f>
        <v>0</v>
      </c>
      <c r="GY39" s="28">
        <f>SUMPRODUCT(INDEX(PortfolioRef[[SPY]:[PE]],MATCH(GY$1,PortfolioRef[Reference '#]),0),AssetMonthlyReturns[[#This Row],[SPY]:[PE]])</f>
        <v>1.6387741750939752E-2</v>
      </c>
      <c r="GZ39" s="27">
        <f>IF(ISNUMBER(GZ38),GZ38*(1+PortfolioFrontier[[#This Row],[P52 Return]]),1+PortfolioFrontier[[#This Row],[P52 Return]])</f>
        <v>1.2164029509064853</v>
      </c>
      <c r="HA39" s="27">
        <f>MAX(HA38,PortfolioFrontier[[#This Row],[P52 Growth]])</f>
        <v>1.2164029509064853</v>
      </c>
      <c r="HB39" s="27">
        <f>PortfolioFrontier[[#This Row],[P52 Growth]]/PortfolioFrontier[[#This Row],[P52 HWM]]-1</f>
        <v>0</v>
      </c>
      <c r="HC39" s="28">
        <f>SUMPRODUCT(INDEX(PortfolioRef[[SPY]:[PE]],MATCH(HC$1,PortfolioRef[Reference '#]),0),AssetMonthlyReturns[[#This Row],[SPY]:[PE]])</f>
        <v>1.6608251506316923E-2</v>
      </c>
      <c r="HD39" s="27">
        <f>IF(ISNUMBER(HD38),HD38*(1+PortfolioFrontier[[#This Row],[P53 Return]]),1+PortfolioFrontier[[#This Row],[P53 Return]])</f>
        <v>1.2038978184817559</v>
      </c>
      <c r="HE39" s="27">
        <f>MAX(HE38,PortfolioFrontier[[#This Row],[P53 Growth]])</f>
        <v>1.2038978184817559</v>
      </c>
      <c r="HF39" s="27">
        <f>PortfolioFrontier[[#This Row],[P53 Growth]]/PortfolioFrontier[[#This Row],[P53 HWM]]-1</f>
        <v>0</v>
      </c>
      <c r="HG39" s="28">
        <f>SUMPRODUCT(INDEX(PortfolioRef[[SPY]:[PE]],MATCH(HG$1,PortfolioRef[Reference '#]),0),AssetMonthlyReturns[[#This Row],[SPY]:[PE]])</f>
        <v>1.6828761261694098E-2</v>
      </c>
      <c r="HH39" s="27">
        <f>IF(ISNUMBER(HH38),HH38*(1+PortfolioFrontier[[#This Row],[P54 Return]]),1+PortfolioFrontier[[#This Row],[P54 Return]])</f>
        <v>1.1913351533285657</v>
      </c>
      <c r="HI39" s="27">
        <f>MAX(HI38,PortfolioFrontier[[#This Row],[P54 Growth]])</f>
        <v>1.1913351533285657</v>
      </c>
      <c r="HJ39" s="27">
        <f>PortfolioFrontier[[#This Row],[P54 Growth]]/PortfolioFrontier[[#This Row],[P54 HWM]]-1</f>
        <v>0</v>
      </c>
      <c r="HK39" s="28">
        <f>SUMPRODUCT(INDEX(PortfolioRef[[SPY]:[PE]],MATCH(HK$1,PortfolioRef[Reference '#]),0),AssetMonthlyReturns[[#This Row],[SPY]:[PE]])</f>
        <v>1.6996035382219027E-2</v>
      </c>
      <c r="HL39" s="27">
        <f>IF(ISNUMBER(HL38),HL38*(1+PortfolioFrontier[[#This Row],[P55 Return]]),1+PortfolioFrontier[[#This Row],[P55 Return]])</f>
        <v>1.2286391327075215</v>
      </c>
      <c r="HM39" s="27">
        <f>MAX(HM38,PortfolioFrontier[[#This Row],[P55 Growth]])</f>
        <v>1.2286391327075215</v>
      </c>
      <c r="HN39" s="27">
        <f>PortfolioFrontier[[#This Row],[P55 Growth]]/PortfolioFrontier[[#This Row],[P55 HWM]]-1</f>
        <v>0</v>
      </c>
      <c r="HO39" s="28">
        <f>SUMPRODUCT(INDEX(PortfolioRef[[SPY]:[PE]],MATCH(HO$1,PortfolioRef[Reference '#]),0),AssetMonthlyReturns[[#This Row],[SPY]:[PE]])</f>
        <v>1.7216545137596202E-2</v>
      </c>
      <c r="HP39" s="27">
        <f>IF(ISNUMBER(HP38),HP38*(1+PortfolioFrontier[[#This Row],[P56 Return]]),1+PortfolioFrontier[[#This Row],[P56 Return]])</f>
        <v>1.216133698422482</v>
      </c>
      <c r="HQ39" s="27">
        <f>MAX(HQ38,PortfolioFrontier[[#This Row],[P56 Growth]])</f>
        <v>1.216133698422482</v>
      </c>
      <c r="HR39" s="27">
        <f>PortfolioFrontier[[#This Row],[P56 Growth]]/PortfolioFrontier[[#This Row],[P56 HWM]]-1</f>
        <v>0</v>
      </c>
      <c r="HS39" s="28">
        <f>SUMPRODUCT(INDEX(PortfolioRef[[SPY]:[PE]],MATCH(HS$1,PortfolioRef[Reference '#]),0),AssetMonthlyReturns[[#This Row],[SPY]:[PE]])</f>
        <v>1.7437054892973376E-2</v>
      </c>
      <c r="HT39" s="27">
        <f>IF(ISNUMBER(HT38),HT38*(1+PortfolioFrontier[[#This Row],[P57 Return]]),1+PortfolioFrontier[[#This Row],[P57 Return]])</f>
        <v>1.2035676240247744</v>
      </c>
      <c r="HU39" s="27">
        <f>MAX(HU38,PortfolioFrontier[[#This Row],[P57 Growth]])</f>
        <v>1.2035676240247744</v>
      </c>
      <c r="HV39" s="27">
        <f>PortfolioFrontier[[#This Row],[P57 Growth]]/PortfolioFrontier[[#This Row],[P57 HWM]]-1</f>
        <v>0</v>
      </c>
      <c r="HW39" s="28">
        <f>SUMPRODUCT(INDEX(PortfolioRef[[SPY]:[PE]],MATCH(HW$1,PortfolioRef[Reference '#]),0),AssetMonthlyReturns[[#This Row],[SPY]:[PE]])</f>
        <v>1.7604329013498305E-2</v>
      </c>
      <c r="HX39" s="27">
        <f>IF(ISNUMBER(HX38),HX38*(1+PortfolioFrontier[[#This Row],[P58 Return]]),1+PortfolioFrontier[[#This Row],[P58 Return]])</f>
        <v>1.2407465265810604</v>
      </c>
      <c r="HY39" s="27">
        <f>MAX(HY38,PortfolioFrontier[[#This Row],[P58 Growth]])</f>
        <v>1.2407465265810604</v>
      </c>
      <c r="HZ39" s="27">
        <f>PortfolioFrontier[[#This Row],[P58 Growth]]/PortfolioFrontier[[#This Row],[P58 HWM]]-1</f>
        <v>0</v>
      </c>
      <c r="IA39" s="28">
        <f>SUMPRODUCT(INDEX(PortfolioRef[[SPY]:[PE]],MATCH(IA$1,PortfolioRef[Reference '#]),0),AssetMonthlyReturns[[#This Row],[SPY]:[PE]])</f>
        <v>1.782483876887548E-2</v>
      </c>
      <c r="IB39" s="27">
        <f>IF(ISNUMBER(IB38),IB38*(1+PortfolioFrontier[[#This Row],[P59 Return]]),1+PortfolioFrontier[[#This Row],[P59 Return]])</f>
        <v>1.2282447020426928</v>
      </c>
      <c r="IC39" s="27">
        <f>MAX(IC38,PortfolioFrontier[[#This Row],[P59 Growth]])</f>
        <v>1.2282447020426928</v>
      </c>
      <c r="ID39" s="27">
        <f>PortfolioFrontier[[#This Row],[P59 Growth]]/PortfolioFrontier[[#This Row],[P59 HWM]]-1</f>
        <v>0</v>
      </c>
      <c r="IE39" s="28">
        <f>SUMPRODUCT(INDEX(PortfolioRef[[SPY]:[PE]],MATCH(IE$1,PortfolioRef[Reference '#]),0),AssetMonthlyReturns[[#This Row],[SPY]:[PE]])</f>
        <v>1.8045348524252654E-2</v>
      </c>
      <c r="IF39" s="27">
        <f>IF(ISNUMBER(IF38),IF38*(1+PortfolioFrontier[[#This Row],[P60 Return]]),1+PortfolioFrontier[[#This Row],[P60 Return]])</f>
        <v>1.2156790958302452</v>
      </c>
      <c r="IG39" s="27">
        <f>MAX(IG38,PortfolioFrontier[[#This Row],[P60 Growth]])</f>
        <v>1.2156790958302452</v>
      </c>
      <c r="IH39" s="27">
        <f>PortfolioFrontier[[#This Row],[P60 Growth]]/PortfolioFrontier[[#This Row],[P60 HWM]]-1</f>
        <v>0</v>
      </c>
      <c r="II39" s="28">
        <f>SUMPRODUCT(INDEX(PortfolioRef[[SPY]:[PE]],MATCH(II$1,PortfolioRef[Reference '#]),0),AssetMonthlyReturns[[#This Row],[SPY]:[PE]])</f>
        <v>1.3749077794990218E-2</v>
      </c>
      <c r="IJ39" s="27">
        <f>IF(ISNUMBER(IJ38),IJ38*(1+PortfolioFrontier[[#This Row],[P61 Return]]),1+PortfolioFrontier[[#This Row],[P61 Return]])</f>
        <v>1.1853523766919956</v>
      </c>
      <c r="IK39" s="27">
        <f>MAX(IK38,PortfolioFrontier[[#This Row],[P61 Growth]])</f>
        <v>1.1853523766919956</v>
      </c>
      <c r="IL39" s="27">
        <f>PortfolioFrontier[[#This Row],[P61 Growth]]/PortfolioFrontier[[#This Row],[P61 HWM]]-1</f>
        <v>0</v>
      </c>
      <c r="IM39" s="28">
        <f>SUMPRODUCT(INDEX(PortfolioRef[[SPY]:[PE]],MATCH(IM$1,PortfolioRef[Reference '#]),0),AssetMonthlyReturns[[#This Row],[SPY]:[PE]])</f>
        <v>1.3512728684402925E-2</v>
      </c>
      <c r="IN39" s="27">
        <f>IF(ISNUMBER(IN38),IN38*(1+PortfolioFrontier[[#This Row],[P62 Return]]),1+PortfolioFrontier[[#This Row],[P62 Return]])</f>
        <v>1.1816527273874788</v>
      </c>
      <c r="IO39" s="27">
        <f>MAX(IO38,PortfolioFrontier[[#This Row],[P62 Growth]])</f>
        <v>1.1816527273874788</v>
      </c>
      <c r="IP39" s="27">
        <f>PortfolioFrontier[[#This Row],[P62 Growth]]/PortfolioFrontier[[#This Row],[P62 HWM]]-1</f>
        <v>0</v>
      </c>
      <c r="IQ39" s="28">
        <f>SUMPRODUCT(INDEX(PortfolioRef[[SPY]:[PE]],MATCH(IQ$1,PortfolioRef[Reference '#]),0),AssetMonthlyReturns[[#This Row],[SPY]:[PE]])</f>
        <v>1.4121022315682203E-2</v>
      </c>
      <c r="IR39" s="27">
        <f>IF(ISNUMBER(IR38),IR38*(1+PortfolioFrontier[[#This Row],[P63 Return]]),1+PortfolioFrontier[[#This Row],[P63 Return]])</f>
        <v>1.1938700991577842</v>
      </c>
      <c r="IS39" s="27">
        <f>MAX(IS38,PortfolioFrontier[[#This Row],[P63 Growth]])</f>
        <v>1.1938700991577842</v>
      </c>
      <c r="IT39" s="27">
        <f>PortfolioFrontier[[#This Row],[P63 Growth]]/PortfolioFrontier[[#This Row],[P63 HWM]]-1</f>
        <v>0</v>
      </c>
      <c r="IU39" s="28">
        <f>SUMPRODUCT(INDEX(PortfolioRef[[SPY]:[PE]],MATCH(IU$1,PortfolioRef[Reference '#]),0),AssetMonthlyReturns[[#This Row],[SPY]:[PE]])</f>
        <v>1.4341532071059378E-2</v>
      </c>
      <c r="IV39" s="27">
        <f>IF(ISNUMBER(IV38),IV38*(1+PortfolioFrontier[[#This Row],[P64 Return]]),1+PortfolioFrontier[[#This Row],[P64 Return]])</f>
        <v>1.1813599177145089</v>
      </c>
      <c r="IW39" s="27">
        <f>MAX(IW38,PortfolioFrontier[[#This Row],[P64 Growth]])</f>
        <v>1.1813599177145089</v>
      </c>
      <c r="IX39" s="27">
        <f>PortfolioFrontier[[#This Row],[P64 Growth]]/PortfolioFrontier[[#This Row],[P64 HWM]]-1</f>
        <v>0</v>
      </c>
      <c r="IY39" s="28">
        <f>SUMPRODUCT(INDEX(PortfolioRef[[SPY]:[PE]],MATCH(IY$1,PortfolioRef[Reference '#]),0),AssetMonthlyReturns[[#This Row],[SPY]:[PE]])</f>
        <v>1.3276379573815634E-2</v>
      </c>
      <c r="IZ39" s="27">
        <f>IF(ISNUMBER(IZ38),IZ38*(1+PortfolioFrontier[[#This Row],[P65 Return]]),1+PortfolioFrontier[[#This Row],[P65 Return]])</f>
        <v>1.1778821463107279</v>
      </c>
      <c r="JA39" s="27">
        <f>MAX(JA38,PortfolioFrontier[[#This Row],[P65 Growth]])</f>
        <v>1.1778821463107279</v>
      </c>
      <c r="JB39" s="27">
        <f>PortfolioFrontier[[#This Row],[P65 Growth]]/PortfolioFrontier[[#This Row],[P65 HWM]]-1</f>
        <v>0</v>
      </c>
      <c r="JC39" s="28">
        <f>SUMPRODUCT(INDEX(PortfolioRef[[SPY]:[PE]],MATCH(JC$1,PortfolioRef[Reference '#]),0),AssetMonthlyReturns[[#This Row],[SPY]:[PE]])</f>
        <v>1.388467320509491E-2</v>
      </c>
      <c r="JD39" s="27">
        <f>IF(ISNUMBER(JD38),JD38*(1+PortfolioFrontier[[#This Row],[P66 Return]]),1+PortfolioFrontier[[#This Row],[P66 Return]])</f>
        <v>1.190147736125633</v>
      </c>
      <c r="JE39" s="27">
        <f>MAX(JE38,PortfolioFrontier[[#This Row],[P66 Growth]])</f>
        <v>1.190147736125633</v>
      </c>
      <c r="JF39" s="27">
        <f>PortfolioFrontier[[#This Row],[P66 Growth]]/PortfolioFrontier[[#This Row],[P66 HWM]]-1</f>
        <v>0</v>
      </c>
      <c r="JG39" s="28">
        <f>SUMPRODUCT(INDEX(PortfolioRef[[SPY]:[PE]],MATCH(JG$1,PortfolioRef[Reference '#]),0),AssetMonthlyReturns[[#This Row],[SPY]:[PE]])</f>
        <v>1.4105182960472085E-2</v>
      </c>
      <c r="JH39" s="27">
        <f>IF(ISNUMBER(JH38),JH38*(1+PortfolioFrontier[[#This Row],[P67 Return]]),1+PortfolioFrontier[[#This Row],[P67 Return]])</f>
        <v>1.1776954433176938</v>
      </c>
      <c r="JI39" s="27">
        <f>MAX(JI38,PortfolioFrontier[[#This Row],[P67 Growth]])</f>
        <v>1.1776954433176938</v>
      </c>
      <c r="JJ39" s="27">
        <f>PortfolioFrontier[[#This Row],[P67 Growth]]/PortfolioFrontier[[#This Row],[P67 HWM]]-1</f>
        <v>0</v>
      </c>
      <c r="JK39" s="28">
        <f>SUMPRODUCT(INDEX(PortfolioRef[[SPY]:[PE]],MATCH(JK$1,PortfolioRef[Reference '#]),0),AssetMonthlyReturns[[#This Row],[SPY]:[PE]])</f>
        <v>1.449296683637419E-2</v>
      </c>
      <c r="JL39" s="27">
        <f>IF(ISNUMBER(JL38),JL38*(1+PortfolioFrontier[[#This Row],[P68 Return]]),1+PortfolioFrontier[[#This Row],[P68 Return]])</f>
        <v>1.2022979555490225</v>
      </c>
      <c r="JM39" s="27">
        <f>MAX(JM38,PortfolioFrontier[[#This Row],[P68 Growth]])</f>
        <v>1.2022979555490225</v>
      </c>
      <c r="JN39" s="27">
        <f>PortfolioFrontier[[#This Row],[P68 Growth]]/PortfolioFrontier[[#This Row],[P68 HWM]]-1</f>
        <v>0</v>
      </c>
      <c r="JO39" s="28">
        <f>SUMPRODUCT(INDEX(PortfolioRef[[SPY]:[PE]],MATCH(JO$1,PortfolioRef[Reference '#]),0),AssetMonthlyReturns[[#This Row],[SPY]:[PE]])</f>
        <v>1.4713476591751363E-2</v>
      </c>
      <c r="JP39" s="27">
        <f>IF(ISNUMBER(JP38),JP38*(1+PortfolioFrontier[[#This Row],[P69 Return]]),1+PortfolioFrontier[[#This Row],[P69 Return]])</f>
        <v>1.1898411179481081</v>
      </c>
      <c r="JQ39" s="27">
        <f>MAX(JQ38,PortfolioFrontier[[#This Row],[P69 Growth]])</f>
        <v>1.1898411179481081</v>
      </c>
      <c r="JR39" s="27">
        <f>PortfolioFrontier[[#This Row],[P69 Growth]]/PortfolioFrontier[[#This Row],[P69 HWM]]-1</f>
        <v>0</v>
      </c>
      <c r="JS39" s="28">
        <f>SUMPRODUCT(INDEX(PortfolioRef[[SPY]:[PE]],MATCH(JS$1,PortfolioRef[Reference '#]),0),AssetMonthlyReturns[[#This Row],[SPY]:[PE]])</f>
        <v>1.4933986347128538E-2</v>
      </c>
      <c r="JT39" s="27">
        <f>IF(ISNUMBER(JT38),JT38*(1+PortfolioFrontier[[#This Row],[P70 Return]]),1+PortfolioFrontier[[#This Row],[P70 Return]])</f>
        <v>1.17732924474406</v>
      </c>
      <c r="JU39" s="27">
        <f>MAX(JU38,PortfolioFrontier[[#This Row],[P70 Growth]])</f>
        <v>1.17732924474406</v>
      </c>
      <c r="JV39" s="27">
        <f>PortfolioFrontier[[#This Row],[P70 Growth]]/PortfolioFrontier[[#This Row],[P70 HWM]]-1</f>
        <v>0</v>
      </c>
      <c r="JW39" s="28">
        <f>SUMPRODUCT(INDEX(PortfolioRef[[SPY]:[PE]],MATCH(JW$1,PortfolioRef[Reference '#]),0),AssetMonthlyReturns[[#This Row],[SPY]:[PE]])</f>
        <v>1.3648324094507619E-2</v>
      </c>
      <c r="JX39" s="27">
        <f>IF(ISNUMBER(JX38),JX38*(1+PortfolioFrontier[[#This Row],[P71 Return]]),1+PortfolioFrontier[[#This Row],[P71 Return]])</f>
        <v>1.1863539888973977</v>
      </c>
      <c r="JY39" s="27">
        <f>MAX(JY38,PortfolioFrontier[[#This Row],[P71 Growth]])</f>
        <v>1.1863539888973977</v>
      </c>
      <c r="JZ39" s="27">
        <f>PortfolioFrontier[[#This Row],[P71 Growth]]/PortfolioFrontier[[#This Row],[P71 HWM]]-1</f>
        <v>0</v>
      </c>
      <c r="KA39" s="28">
        <f>SUMPRODUCT(INDEX(PortfolioRef[[SPY]:[PE]],MATCH(KA$1,PortfolioRef[Reference '#]),0),AssetMonthlyReturns[[#This Row],[SPY]:[PE]])</f>
        <v>1.3868833849884793E-2</v>
      </c>
      <c r="KB39" s="27">
        <f>IF(ISNUMBER(KB38),KB38*(1+PortfolioFrontier[[#This Row],[P72 Return]]),1+PortfolioFrontier[[#This Row],[P72 Return]])</f>
        <v>1.1739601130395112</v>
      </c>
      <c r="KC39" s="27">
        <f>MAX(KC38,PortfolioFrontier[[#This Row],[P72 Growth]])</f>
        <v>1.1739601130395112</v>
      </c>
      <c r="KD39" s="27">
        <f>PortfolioFrontier[[#This Row],[P72 Growth]]/PortfolioFrontier[[#This Row],[P72 HWM]]-1</f>
        <v>0</v>
      </c>
      <c r="KE39" s="28">
        <f>SUMPRODUCT(INDEX(PortfolioRef[[SPY]:[PE]],MATCH(KE$1,PortfolioRef[Reference '#]),0),AssetMonthlyReturns[[#This Row],[SPY]:[PE]])</f>
        <v>1.4256617725786897E-2</v>
      </c>
      <c r="KF39" s="27">
        <f>IF(ISNUMBER(KF38),KF38*(1+PortfolioFrontier[[#This Row],[P73 Return]]),1+PortfolioFrontier[[#This Row],[P73 Return]])</f>
        <v>1.1985533722739845</v>
      </c>
      <c r="KG39" s="27">
        <f>MAX(KG38,PortfolioFrontier[[#This Row],[P73 Growth]])</f>
        <v>1.1985533722739845</v>
      </c>
      <c r="KH39" s="27">
        <f>PortfolioFrontier[[#This Row],[P73 Growth]]/PortfolioFrontier[[#This Row],[P73 HWM]]-1</f>
        <v>0</v>
      </c>
      <c r="KI39" s="28">
        <f>SUMPRODUCT(INDEX(PortfolioRef[[SPY]:[PE]],MATCH(KI$1,PortfolioRef[Reference '#]),0),AssetMonthlyReturns[[#This Row],[SPY]:[PE]])</f>
        <v>1.447712748116407E-2</v>
      </c>
      <c r="KJ39" s="27">
        <f>IF(ISNUMBER(KJ38),KJ38*(1+PortfolioFrontier[[#This Row],[P74 Return]]),1+PortfolioFrontier[[#This Row],[P74 Return]])</f>
        <v>1.1861542387704251</v>
      </c>
      <c r="KK39" s="27">
        <f>MAX(KK38,PortfolioFrontier[[#This Row],[P74 Growth]])</f>
        <v>1.1861542387704251</v>
      </c>
      <c r="KL39" s="27">
        <f>PortfolioFrontier[[#This Row],[P74 Growth]]/PortfolioFrontier[[#This Row],[P74 HWM]]-1</f>
        <v>0</v>
      </c>
      <c r="KM39" s="28">
        <f>SUMPRODUCT(INDEX(PortfolioRef[[SPY]:[PE]],MATCH(KM$1,PortfolioRef[Reference '#]),0),AssetMonthlyReturns[[#This Row],[SPY]:[PE]])</f>
        <v>1.4697637236541244E-2</v>
      </c>
      <c r="KN39" s="27">
        <f>IF(ISNUMBER(KN38),KN38*(1+PortfolioFrontier[[#This Row],[P75 Return]]),1+PortfolioFrontier[[#This Row],[P75 Return]])</f>
        <v>1.1736998935369221</v>
      </c>
      <c r="KO39" s="27">
        <f>MAX(KO38,PortfolioFrontier[[#This Row],[P75 Growth]])</f>
        <v>1.1736998935369221</v>
      </c>
      <c r="KP39" s="27">
        <f>PortfolioFrontier[[#This Row],[P75 Growth]]/PortfolioFrontier[[#This Row],[P75 HWM]]-1</f>
        <v>0</v>
      </c>
      <c r="KQ39" s="28">
        <f>SUMPRODUCT(INDEX(PortfolioRef[[SPY]:[PE]],MATCH(KQ$1,PortfolioRef[Reference '#]),0),AssetMonthlyReturns[[#This Row],[SPY]:[PE]])</f>
        <v>1.4864911357066175E-2</v>
      </c>
      <c r="KR39" s="27">
        <f>IF(ISNUMBER(KR38),KR38*(1+PortfolioFrontier[[#This Row],[P76 Return]]),1+PortfolioFrontier[[#This Row],[P76 Return]])</f>
        <v>1.2106331197839404</v>
      </c>
      <c r="KS39" s="27">
        <f>MAX(KS38,PortfolioFrontier[[#This Row],[P76 Growth]])</f>
        <v>1.2106331197839404</v>
      </c>
      <c r="KT39" s="27">
        <f>PortfolioFrontier[[#This Row],[P76 Growth]]/PortfolioFrontier[[#This Row],[P76 HWM]]-1</f>
        <v>0</v>
      </c>
      <c r="KU39" s="28">
        <f>SUMPRODUCT(INDEX(PortfolioRef[[SPY]:[PE]],MATCH(KU$1,PortfolioRef[Reference '#]),0),AssetMonthlyReturns[[#This Row],[SPY]:[PE]])</f>
        <v>1.508542111244335E-2</v>
      </c>
      <c r="KV39" s="27">
        <f>IF(ISNUMBER(KV38),KV38*(1+PortfolioFrontier[[#This Row],[P77 Return]]),1+PortfolioFrontier[[#This Row],[P77 Return]])</f>
        <v>1.1982325256196957</v>
      </c>
      <c r="KW39" s="27">
        <f>MAX(KW38,PortfolioFrontier[[#This Row],[P77 Growth]])</f>
        <v>1.1982325256196957</v>
      </c>
      <c r="KX39" s="27">
        <f>PortfolioFrontier[[#This Row],[P77 Growth]]/PortfolioFrontier[[#This Row],[P77 HWM]]-1</f>
        <v>0</v>
      </c>
      <c r="KY39" s="28">
        <f>SUMPRODUCT(INDEX(PortfolioRef[[SPY]:[PE]],MATCH(KY$1,PortfolioRef[Reference '#]),0),AssetMonthlyReturns[[#This Row],[SPY]:[PE]])</f>
        <v>1.5305930867820523E-2</v>
      </c>
      <c r="KZ39" s="27">
        <f>IF(ISNUMBER(KZ38),KZ38*(1+PortfolioFrontier[[#This Row],[P78 Return]]),1+PortfolioFrontier[[#This Row],[P78 Return]])</f>
        <v>1.1857736665520211</v>
      </c>
      <c r="LA39" s="27">
        <f>MAX(LA38,PortfolioFrontier[[#This Row],[P78 Growth]])</f>
        <v>1.1857736665520211</v>
      </c>
      <c r="LB39" s="27">
        <f>PortfolioFrontier[[#This Row],[P78 Growth]]/PortfolioFrontier[[#This Row],[P78 HWM]]-1</f>
        <v>0</v>
      </c>
      <c r="LC39" s="28">
        <f>SUMPRODUCT(INDEX(PortfolioRef[[SPY]:[PE]],MATCH(LC$1,PortfolioRef[Reference '#]),0),AssetMonthlyReturns[[#This Row],[SPY]:[PE]])</f>
        <v>1.4020268615199605E-2</v>
      </c>
      <c r="LD39" s="27">
        <f>IF(ISNUMBER(LD38),LD38*(1+PortfolioFrontier[[#This Row],[P79 Return]]),1+PortfolioFrontier[[#This Row],[P79 Return]])</f>
        <v>1.1947369561758889</v>
      </c>
      <c r="LE39" s="27">
        <f>MAX(LE38,PortfolioFrontier[[#This Row],[P79 Growth]])</f>
        <v>1.1947369561758889</v>
      </c>
      <c r="LF39" s="27">
        <f>PortfolioFrontier[[#This Row],[P79 Growth]]/PortfolioFrontier[[#This Row],[P79 HWM]]-1</f>
        <v>0</v>
      </c>
      <c r="LG39" s="28">
        <f>SUMPRODUCT(INDEX(PortfolioRef[[SPY]:[PE]],MATCH(LG$1,PortfolioRef[Reference '#]),0),AssetMonthlyReturns[[#This Row],[SPY]:[PE]])</f>
        <v>1.4240778370576778E-2</v>
      </c>
      <c r="LH39" s="27">
        <f>IF(ISNUMBER(LH38),LH38*(1+PortfolioFrontier[[#This Row],[P80 Return]]),1+PortfolioFrontier[[#This Row],[P80 Return]])</f>
        <v>1.182396051994949</v>
      </c>
      <c r="LI39" s="27">
        <f>MAX(LI38,PortfolioFrontier[[#This Row],[P80 Growth]])</f>
        <v>1.182396051994949</v>
      </c>
      <c r="LJ39" s="27">
        <f>PortfolioFrontier[[#This Row],[P80 Growth]]/PortfolioFrontier[[#This Row],[P80 HWM]]-1</f>
        <v>0</v>
      </c>
      <c r="LK39" s="28">
        <f>SUMPRODUCT(INDEX(PortfolioRef[[SPY]:[PE]],MATCH(LK$1,PortfolioRef[Reference '#]),0),AssetMonthlyReturns[[#This Row],[SPY]:[PE]])</f>
        <v>1.4461288125953953E-2</v>
      </c>
      <c r="LL39" s="27">
        <f>IF(ISNUMBER(LL38),LL38*(1+PortfolioFrontier[[#This Row],[P81 Return]]),1+PortfolioFrontier[[#This Row],[P81 Return]])</f>
        <v>1.1699997661431107</v>
      </c>
      <c r="LM39" s="27">
        <f>MAX(LM38,PortfolioFrontier[[#This Row],[P81 Growth]])</f>
        <v>1.1699997661431107</v>
      </c>
      <c r="LN39" s="27">
        <f>PortfolioFrontier[[#This Row],[P81 Growth]]/PortfolioFrontier[[#This Row],[P81 HWM]]-1</f>
        <v>0</v>
      </c>
      <c r="LO39" s="28">
        <f>SUMPRODUCT(INDEX(PortfolioRef[[SPY]:[PE]],MATCH(LO$1,PortfolioRef[Reference '#]),0),AssetMonthlyReturns[[#This Row],[SPY]:[PE]])</f>
        <v>1.4628562246478882E-2</v>
      </c>
      <c r="LP39" s="27">
        <f>IF(ISNUMBER(LP38),LP38*(1+PortfolioFrontier[[#This Row],[P82 Return]]),1+PortfolioFrontier[[#This Row],[P82 Return]])</f>
        <v>1.2068668217019345</v>
      </c>
      <c r="LQ39" s="27">
        <f>MAX(LQ38,PortfolioFrontier[[#This Row],[P82 Growth]])</f>
        <v>1.2068668217019345</v>
      </c>
      <c r="LR39" s="27">
        <f>PortfolioFrontier[[#This Row],[P82 Growth]]/PortfolioFrontier[[#This Row],[P82 HWM]]-1</f>
        <v>0</v>
      </c>
      <c r="LS39" s="28">
        <f>SUMPRODUCT(INDEX(PortfolioRef[[SPY]:[PE]],MATCH(LS$1,PortfolioRef[Reference '#]),0),AssetMonthlyReturns[[#This Row],[SPY]:[PE]])</f>
        <v>1.4849072001856057E-2</v>
      </c>
      <c r="LT39" s="27">
        <f>IF(ISNUMBER(LT38),LT38*(1+PortfolioFrontier[[#This Row],[P83 Return]]),1+PortfolioFrontier[[#This Row],[P83 Return]])</f>
        <v>1.1945237340071782</v>
      </c>
      <c r="LU39" s="27">
        <f>MAX(LU38,PortfolioFrontier[[#This Row],[P83 Growth]])</f>
        <v>1.1945237340071782</v>
      </c>
      <c r="LV39" s="27">
        <f>PortfolioFrontier[[#This Row],[P83 Growth]]/PortfolioFrontier[[#This Row],[P83 HWM]]-1</f>
        <v>0</v>
      </c>
      <c r="LW39" s="28">
        <f>SUMPRODUCT(INDEX(PortfolioRef[[SPY]:[PE]],MATCH(LW$1,PortfolioRef[Reference '#]),0),AssetMonthlyReturns[[#This Row],[SPY]:[PE]])</f>
        <v>1.506958175723323E-2</v>
      </c>
      <c r="LX39" s="27">
        <f>IF(ISNUMBER(LX38),LX38*(1+PortfolioFrontier[[#This Row],[P84 Return]]),1+PortfolioFrontier[[#This Row],[P84 Return]])</f>
        <v>1.1821222185136235</v>
      </c>
      <c r="LY39" s="27">
        <f>MAX(LY38,PortfolioFrontier[[#This Row],[P84 Growth]])</f>
        <v>1.1821222185136235</v>
      </c>
      <c r="LZ39" s="27">
        <f>PortfolioFrontier[[#This Row],[P84 Growth]]/PortfolioFrontier[[#This Row],[P84 HWM]]-1</f>
        <v>0</v>
      </c>
      <c r="MA39" s="28">
        <f>SUMPRODUCT(INDEX(PortfolioRef[[SPY]:[PE]],MATCH(MA$1,PortfolioRef[Reference '#]),0),AssetMonthlyReturns[[#This Row],[SPY]:[PE]])</f>
        <v>1.523685587775816E-2</v>
      </c>
      <c r="MB39" s="27">
        <f>IF(ISNUMBER(MB38),MB38*(1+PortfolioFrontier[[#This Row],[P85 Return]]),1+PortfolioFrontier[[#This Row],[P85 Return]])</f>
        <v>1.2188727626653431</v>
      </c>
      <c r="MC39" s="27">
        <f>MAX(MC38,PortfolioFrontier[[#This Row],[P85 Growth]])</f>
        <v>1.2188727626653431</v>
      </c>
      <c r="MD39" s="27">
        <f>PortfolioFrontier[[#This Row],[P85 Growth]]/PortfolioFrontier[[#This Row],[P85 HWM]]-1</f>
        <v>0</v>
      </c>
      <c r="ME39" s="28">
        <f>SUMPRODUCT(INDEX(PortfolioRef[[SPY]:[PE]],MATCH(ME$1,PortfolioRef[Reference '#]),0),AssetMonthlyReturns[[#This Row],[SPY]:[PE]])</f>
        <v>1.5457365633135335E-2</v>
      </c>
      <c r="MF39" s="27">
        <f>IF(ISNUMBER(MF38),MF38*(1+PortfolioFrontier[[#This Row],[P86 Return]]),1+PortfolioFrontier[[#This Row],[P86 Return]])</f>
        <v>1.2065313212769799</v>
      </c>
      <c r="MG39" s="27">
        <f>MAX(MG38,PortfolioFrontier[[#This Row],[P86 Growth]])</f>
        <v>1.2065313212769799</v>
      </c>
      <c r="MH39" s="27">
        <f>PortfolioFrontier[[#This Row],[P86 Growth]]/PortfolioFrontier[[#This Row],[P86 HWM]]-1</f>
        <v>0</v>
      </c>
      <c r="MI39" s="28">
        <f>SUMPRODUCT(INDEX(PortfolioRef[[SPY]:[PE]],MATCH(MI$1,PortfolioRef[Reference '#]),0),AssetMonthlyReturns[[#This Row],[SPY]:[PE]])</f>
        <v>1.5677875388512508E-2</v>
      </c>
      <c r="MJ39" s="27">
        <f>IF(ISNUMBER(MJ38),MJ38*(1+PortfolioFrontier[[#This Row],[P87 Return]]),1+PortfolioFrontier[[#This Row],[P87 Return]])</f>
        <v>1.1941283719164919</v>
      </c>
      <c r="MK39" s="27">
        <f>MAX(MK38,PortfolioFrontier[[#This Row],[P87 Growth]])</f>
        <v>1.1941283719164919</v>
      </c>
      <c r="ML39" s="27">
        <f>PortfolioFrontier[[#This Row],[P87 Growth]]/PortfolioFrontier[[#This Row],[P87 HWM]]-1</f>
        <v>0</v>
      </c>
      <c r="MM39" s="28">
        <f>SUMPRODUCT(INDEX(PortfolioRef[[SPY]:[PE]],MATCH(MM$1,PortfolioRef[Reference '#]),0),AssetMonthlyReturns[[#This Row],[SPY]:[PE]])</f>
        <v>1.4392213135891591E-2</v>
      </c>
      <c r="MN39" s="27">
        <f>IF(ISNUMBER(MN38),MN38*(1+PortfolioFrontier[[#This Row],[P88 Return]]),1+PortfolioFrontier[[#This Row],[P88 Return]])</f>
        <v>1.2030282460647654</v>
      </c>
      <c r="MO39" s="27">
        <f>MAX(MO38,PortfolioFrontier[[#This Row],[P88 Growth]])</f>
        <v>1.2030282460647654</v>
      </c>
      <c r="MP39" s="27">
        <f>PortfolioFrontier[[#This Row],[P88 Growth]]/PortfolioFrontier[[#This Row],[P88 HWM]]-1</f>
        <v>0</v>
      </c>
      <c r="MQ39" s="28">
        <f>SUMPRODUCT(INDEX(PortfolioRef[[SPY]:[PE]],MATCH(MQ$1,PortfolioRef[Reference '#]),0),AssetMonthlyReturns[[#This Row],[SPY]:[PE]])</f>
        <v>1.4612722891268765E-2</v>
      </c>
      <c r="MR39" s="27">
        <f>IF(ISNUMBER(MR38),MR38*(1+PortfolioFrontier[[#This Row],[P89 Return]]),1+PortfolioFrontier[[#This Row],[P89 Return]])</f>
        <v>1.1907431868838505</v>
      </c>
      <c r="MS39" s="27">
        <f>MAX(MS38,PortfolioFrontier[[#This Row],[P89 Growth]])</f>
        <v>1.1907431868838505</v>
      </c>
      <c r="MT39" s="27">
        <f>PortfolioFrontier[[#This Row],[P89 Growth]]/PortfolioFrontier[[#This Row],[P89 HWM]]-1</f>
        <v>0</v>
      </c>
      <c r="MU39" s="28">
        <f>SUMPRODUCT(INDEX(PortfolioRef[[SPY]:[PE]],MATCH(MU$1,PortfolioRef[Reference '#]),0),AssetMonthlyReturns[[#This Row],[SPY]:[PE]])</f>
        <v>1.4833232646645938E-2</v>
      </c>
      <c r="MV39" s="27">
        <f>IF(ISNUMBER(MV38),MV38*(1+PortfolioFrontier[[#This Row],[P90 Return]]),1+PortfolioFrontier[[#This Row],[P90 Return]])</f>
        <v>1.1783995433086714</v>
      </c>
      <c r="MW39" s="27">
        <f>MAX(MW38,PortfolioFrontier[[#This Row],[P90 Growth]])</f>
        <v>1.1783995433086714</v>
      </c>
      <c r="MX39" s="27">
        <f>PortfolioFrontier[[#This Row],[P90 Growth]]/PortfolioFrontier[[#This Row],[P90 HWM]]-1</f>
        <v>0</v>
      </c>
      <c r="MY39" s="28">
        <f>SUMPRODUCT(INDEX(PortfolioRef[[SPY]:[PE]],MATCH(MY$1,PortfolioRef[Reference '#]),0),AssetMonthlyReturns[[#This Row],[SPY]:[PE]])</f>
        <v>1.5000506767170867E-2</v>
      </c>
      <c r="MZ39" s="27">
        <f>IF(ISNUMBER(MZ38),MZ38*(1+PortfolioFrontier[[#This Row],[P91 Return]]),1+PortfolioFrontier[[#This Row],[P91 Return]])</f>
        <v>1.2150852671483507</v>
      </c>
      <c r="NA39" s="27">
        <f>MAX(NA38,PortfolioFrontier[[#This Row],[P91 Growth]])</f>
        <v>1.2150852671483507</v>
      </c>
      <c r="NB39" s="27">
        <f>PortfolioFrontier[[#This Row],[P91 Growth]]/PortfolioFrontier[[#This Row],[P91 HWM]]-1</f>
        <v>0</v>
      </c>
      <c r="NC39" s="28">
        <f>SUMPRODUCT(INDEX(PortfolioRef[[SPY]:[PE]],MATCH(NC$1,PortfolioRef[Reference '#]),0),AssetMonthlyReturns[[#This Row],[SPY]:[PE]])</f>
        <v>1.5221016522548042E-2</v>
      </c>
      <c r="ND39" s="27">
        <f>IF(ISNUMBER(ND38),ND38*(1+PortfolioFrontier[[#This Row],[P92 Return]]),1+PortfolioFrontier[[#This Row],[P92 Return]])</f>
        <v>1.2028011214617595</v>
      </c>
      <c r="NE39" s="27">
        <f>MAX(NE38,PortfolioFrontier[[#This Row],[P92 Growth]])</f>
        <v>1.2028011214617595</v>
      </c>
      <c r="NF39" s="27">
        <f>PortfolioFrontier[[#This Row],[P92 Growth]]/PortfolioFrontier[[#This Row],[P92 HWM]]-1</f>
        <v>0</v>
      </c>
      <c r="NG39" s="28">
        <f>SUMPRODUCT(INDEX(PortfolioRef[[SPY]:[PE]],MATCH(NG$1,PortfolioRef[Reference '#]),0),AssetMonthlyReturns[[#This Row],[SPY]:[PE]])</f>
        <v>1.5441526277925216E-2</v>
      </c>
      <c r="NH39" s="27">
        <f>IF(ISNUMBER(NH38),NH38*(1+PortfolioFrontier[[#This Row],[P93 Return]]),1+PortfolioFrontier[[#This Row],[P93 Return]])</f>
        <v>1.1904553182393618</v>
      </c>
      <c r="NI39" s="27">
        <f>MAX(NI38,PortfolioFrontier[[#This Row],[P93 Growth]])</f>
        <v>1.1904553182393618</v>
      </c>
      <c r="NJ39" s="27">
        <f>PortfolioFrontier[[#This Row],[P93 Growth]]/PortfolioFrontier[[#This Row],[P93 HWM]]-1</f>
        <v>0</v>
      </c>
      <c r="NK39" s="28">
        <f>SUMPRODUCT(INDEX(PortfolioRef[[SPY]:[PE]],MATCH(NK$1,PortfolioRef[Reference '#]),0),AssetMonthlyReturns[[#This Row],[SPY]:[PE]])</f>
        <v>1.5608800398450147E-2</v>
      </c>
      <c r="NL39" s="27">
        <f>IF(ISNUMBER(NL38),NL38*(1+PortfolioFrontier[[#This Row],[P94 Return]]),1+PortfolioFrontier[[#This Row],[P94 Return]])</f>
        <v>1.2270140528180511</v>
      </c>
      <c r="NM39" s="27">
        <f>MAX(NM38,PortfolioFrontier[[#This Row],[P94 Growth]])</f>
        <v>1.2270140528180511</v>
      </c>
      <c r="NN39" s="27">
        <f>PortfolioFrontier[[#This Row],[P94 Growth]]/PortfolioFrontier[[#This Row],[P94 HWM]]-1</f>
        <v>0</v>
      </c>
      <c r="NO39" s="28">
        <f>SUMPRODUCT(INDEX(PortfolioRef[[SPY]:[PE]],MATCH(NO$1,PortfolioRef[Reference '#]),0),AssetMonthlyReturns[[#This Row],[SPY]:[PE]])</f>
        <v>1.5829310153827318E-2</v>
      </c>
      <c r="NP39" s="27">
        <f>IF(ISNUMBER(NP38),NP38*(1+PortfolioFrontier[[#This Row],[P95 Return]]),1+PortfolioFrontier[[#This Row],[P95 Return]])</f>
        <v>1.2147346823692435</v>
      </c>
      <c r="NQ39" s="27">
        <f>MAX(NQ38,PortfolioFrontier[[#This Row],[P95 Growth]])</f>
        <v>1.2147346823692435</v>
      </c>
      <c r="NR39" s="27">
        <f>PortfolioFrontier[[#This Row],[P95 Growth]]/PortfolioFrontier[[#This Row],[P95 HWM]]-1</f>
        <v>0</v>
      </c>
      <c r="NS39" s="28">
        <f>SUMPRODUCT(INDEX(PortfolioRef[[SPY]:[PE]],MATCH(NS$1,PortfolioRef[Reference '#]),0),AssetMonthlyReturns[[#This Row],[SPY]:[PE]])</f>
        <v>1.6049819909204496E-2</v>
      </c>
      <c r="NT39" s="27">
        <f>IF(ISNUMBER(NT38),NT38*(1+PortfolioFrontier[[#This Row],[P96 Return]]),1+PortfolioFrontier[[#This Row],[P96 Return]])</f>
        <v>1.2023905480878858</v>
      </c>
      <c r="NU39" s="27">
        <f>MAX(NU38,PortfolioFrontier[[#This Row],[P96 Growth]])</f>
        <v>1.2023905480878858</v>
      </c>
      <c r="NV39" s="27">
        <f>PortfolioFrontier[[#This Row],[P96 Growth]]/PortfolioFrontier[[#This Row],[P96 HWM]]-1</f>
        <v>0</v>
      </c>
      <c r="NW39" s="28">
        <f>SUMPRODUCT(INDEX(PortfolioRef[[SPY]:[PE]],MATCH(NW$1,PortfolioRef[Reference '#]),0),AssetMonthlyReturns[[#This Row],[SPY]:[PE]])</f>
        <v>1.1381604659250073E-2</v>
      </c>
      <c r="NX39" s="27">
        <f>IF(ISNUMBER(NX38),NX38*(1+PortfolioFrontier[[#This Row],[P97 Return]]),1+PortfolioFrontier[[#This Row],[P97 Return]])</f>
        <v>1.163981869659364</v>
      </c>
      <c r="NY39" s="27">
        <f>MAX(NY38,PortfolioFrontier[[#This Row],[P97 Growth]])</f>
        <v>1.163981869659364</v>
      </c>
      <c r="NZ39" s="27">
        <f>PortfolioFrontier[[#This Row],[P97 Growth]]/PortfolioFrontier[[#This Row],[P97 HWM]]-1</f>
        <v>0</v>
      </c>
      <c r="OA39" s="28">
        <f>SUMPRODUCT(INDEX(PortfolioRef[[SPY]:[PE]],MATCH(OA$1,PortfolioRef[Reference '#]),0),AssetMonthlyReturns[[#This Row],[SPY]:[PE]])</f>
        <v>1.114525554866278E-2</v>
      </c>
      <c r="OB39" s="27">
        <f>IF(ISNUMBER(OB38),OB38*(1+PortfolioFrontier[[#This Row],[P98 Return]]),1+PortfolioFrontier[[#This Row],[P98 Return]])</f>
        <v>1.1603264688250849</v>
      </c>
      <c r="OC39" s="27">
        <f>MAX(OC38,PortfolioFrontier[[#This Row],[P98 Growth]])</f>
        <v>1.1603264688250849</v>
      </c>
      <c r="OD39" s="27">
        <f>PortfolioFrontier[[#This Row],[P98 Growth]]/PortfolioFrontier[[#This Row],[P98 HWM]]-1</f>
        <v>0</v>
      </c>
      <c r="OE39" s="28">
        <f>SUMPRODUCT(INDEX(PortfolioRef[[SPY]:[PE]],MATCH(OE$1,PortfolioRef[Reference '#]),0),AssetMonthlyReturns[[#This Row],[SPY]:[PE]])</f>
        <v>1.1753549179942058E-2</v>
      </c>
      <c r="OF39" s="27">
        <f>IF(ISNUMBER(OF38),OF38*(1+PortfolioFrontier[[#This Row],[P99 Return]]),1+PortfolioFrontier[[#This Row],[P99 Return]])</f>
        <v>1.1724308284046638</v>
      </c>
      <c r="OG39" s="27">
        <f>MAX(OG38,PortfolioFrontier[[#This Row],[P99 Growth]])</f>
        <v>1.1724308284046638</v>
      </c>
      <c r="OH39" s="27">
        <f>PortfolioFrontier[[#This Row],[P99 Growth]]/PortfolioFrontier[[#This Row],[P99 HWM]]-1</f>
        <v>0</v>
      </c>
      <c r="OI39" s="28">
        <f>SUMPRODUCT(INDEX(PortfolioRef[[SPY]:[PE]],MATCH(OI$1,PortfolioRef[Reference '#]),0),AssetMonthlyReturns[[#This Row],[SPY]:[PE]])</f>
        <v>1.1974058935319233E-2</v>
      </c>
      <c r="OJ39" s="27">
        <f>IF(ISNUMBER(OJ38),OJ38*(1+PortfolioFrontier[[#This Row],[P100 Return]]),1+PortfolioFrontier[[#This Row],[P100 Return]])</f>
        <v>1.1600878446856544</v>
      </c>
      <c r="OK39" s="27">
        <f>MAX(OK38,PortfolioFrontier[[#This Row],[P100 Growth]])</f>
        <v>1.1600878446856544</v>
      </c>
      <c r="OL39" s="27">
        <f>PortfolioFrontier[[#This Row],[P100 Growth]]/PortfolioFrontier[[#This Row],[P100 HWM]]-1</f>
        <v>0</v>
      </c>
      <c r="OM39" s="28">
        <f>SUMPRODUCT(INDEX(PortfolioRef[[SPY]:[PE]],MATCH(OM$1,PortfolioRef[Reference '#]),0),AssetMonthlyReturns[[#This Row],[SPY]:[PE]])</f>
        <v>1.0908906438075489E-2</v>
      </c>
      <c r="ON39" s="27">
        <f>IF(ISNUMBER(ON38),ON38*(1+PortfolioFrontier[[#This Row],[P101 Return]]),1+PortfolioFrontier[[#This Row],[P101 Return]])</f>
        <v>1.1566014727219236</v>
      </c>
      <c r="OO39" s="27">
        <f>MAX(OO38,PortfolioFrontier[[#This Row],[P101 Growth]])</f>
        <v>1.1566014727219236</v>
      </c>
      <c r="OP39" s="27">
        <f>PortfolioFrontier[[#This Row],[P101 Growth]]/PortfolioFrontier[[#This Row],[P101 HWM]]-1</f>
        <v>0</v>
      </c>
      <c r="OQ39" s="28">
        <f>SUMPRODUCT(INDEX(PortfolioRef[[SPY]:[PE]],MATCH(OQ$1,PortfolioRef[Reference '#]),0),AssetMonthlyReturns[[#This Row],[SPY]:[PE]])</f>
        <v>1.1517200069354765E-2</v>
      </c>
      <c r="OR39" s="27">
        <f>IF(ISNUMBER(OR38),OR38*(1+PortfolioFrontier[[#This Row],[P102 Return]]),1+PortfolioFrontier[[#This Row],[P102 Return]])</f>
        <v>1.1687525849140121</v>
      </c>
      <c r="OS39" s="27">
        <f>MAX(OS38,PortfolioFrontier[[#This Row],[P102 Growth]])</f>
        <v>1.1687525849140121</v>
      </c>
      <c r="OT39" s="27">
        <f>PortfolioFrontier[[#This Row],[P102 Growth]]/PortfolioFrontier[[#This Row],[P102 HWM]]-1</f>
        <v>0</v>
      </c>
      <c r="OU39" s="28">
        <f>SUMPRODUCT(INDEX(PortfolioRef[[SPY]:[PE]],MATCH(OU$1,PortfolioRef[Reference '#]),0),AssetMonthlyReturns[[#This Row],[SPY]:[PE]])</f>
        <v>1.173770982473194E-2</v>
      </c>
      <c r="OV39" s="27">
        <f>IF(ISNUMBER(OV38),OV38*(1+PortfolioFrontier[[#This Row],[P103 Return]]),1+PortfolioFrontier[[#This Row],[P103 Return]])</f>
        <v>1.15646696619696</v>
      </c>
      <c r="OW39" s="27">
        <f>MAX(OW38,PortfolioFrontier[[#This Row],[P103 Growth]])</f>
        <v>1.15646696619696</v>
      </c>
      <c r="OX39" s="27">
        <f>PortfolioFrontier[[#This Row],[P103 Growth]]/PortfolioFrontier[[#This Row],[P103 HWM]]-1</f>
        <v>0</v>
      </c>
      <c r="OY39" s="28">
        <f>SUMPRODUCT(INDEX(PortfolioRef[[SPY]:[PE]],MATCH(OY$1,PortfolioRef[Reference '#]),0),AssetMonthlyReturns[[#This Row],[SPY]:[PE]])</f>
        <v>1.2125493700634045E-2</v>
      </c>
      <c r="OZ39" s="27">
        <f>IF(ISNUMBER(OZ38),OZ38*(1+PortfolioFrontier[[#This Row],[P104 Return]]),1+PortfolioFrontier[[#This Row],[P104 Return]])</f>
        <v>1.1807929059622424</v>
      </c>
      <c r="PA39" s="27">
        <f>MAX(PA38,PortfolioFrontier[[#This Row],[P104 Growth]])</f>
        <v>1.1807929059622424</v>
      </c>
      <c r="PB39" s="27">
        <f>PortfolioFrontier[[#This Row],[P104 Growth]]/PortfolioFrontier[[#This Row],[P104 HWM]]-1</f>
        <v>0</v>
      </c>
      <c r="PC39" s="28">
        <f>SUMPRODUCT(INDEX(PortfolioRef[[SPY]:[PE]],MATCH(PC$1,PortfolioRef[Reference '#]),0),AssetMonthlyReturns[[#This Row],[SPY]:[PE]])</f>
        <v>1.2346003456011218E-2</v>
      </c>
      <c r="PD39" s="27">
        <f>IF(ISNUMBER(PD38),PD38*(1+PortfolioFrontier[[#This Row],[P105 Return]]),1+PortfolioFrontier[[#This Row],[P105 Return]])</f>
        <v>1.1685009764587981</v>
      </c>
      <c r="PE39" s="27">
        <f>MAX(PE38,PortfolioFrontier[[#This Row],[P105 Growth]])</f>
        <v>1.1685009764587981</v>
      </c>
      <c r="PF39" s="27">
        <f>PortfolioFrontier[[#This Row],[P105 Growth]]/PortfolioFrontier[[#This Row],[P105 HWM]]-1</f>
        <v>0</v>
      </c>
      <c r="PG39" s="28">
        <f>SUMPRODUCT(INDEX(PortfolioRef[[SPY]:[PE]],MATCH(PG$1,PortfolioRef[Reference '#]),0),AssetMonthlyReturns[[#This Row],[SPY]:[PE]])</f>
        <v>1.2566513211388393E-2</v>
      </c>
      <c r="PH39" s="27">
        <f>IF(ISNUMBER(PH38),PH38*(1+PortfolioFrontier[[#This Row],[P106 Return]]),1+PortfolioFrontier[[#This Row],[P106 Return]])</f>
        <v>1.1561561133336757</v>
      </c>
      <c r="PI39" s="27">
        <f>MAX(PI38,PortfolioFrontier[[#This Row],[P106 Growth]])</f>
        <v>1.1561561133336757</v>
      </c>
      <c r="PJ39" s="27">
        <f>PortfolioFrontier[[#This Row],[P106 Growth]]/PortfolioFrontier[[#This Row],[P106 HWM]]-1</f>
        <v>0</v>
      </c>
      <c r="PK39" s="28">
        <f>SUMPRODUCT(INDEX(PortfolioRef[[SPY]:[PE]],MATCH(PK$1,PortfolioRef[Reference '#]),0),AssetMonthlyReturns[[#This Row],[SPY]:[PE]])</f>
        <v>1.1280850958767474E-2</v>
      </c>
      <c r="PL39" s="27">
        <f>IF(ISNUMBER(PL38),PL38*(1+PortfolioFrontier[[#This Row],[P107 Return]]),1+PortfolioFrontier[[#This Row],[P107 Return]])</f>
        <v>1.1650042984086897</v>
      </c>
      <c r="PM39" s="27">
        <f>MAX(PM38,PortfolioFrontier[[#This Row],[P107 Growth]])</f>
        <v>1.1650042984086897</v>
      </c>
      <c r="PN39" s="27">
        <f>PortfolioFrontier[[#This Row],[P107 Growth]]/PortfolioFrontier[[#This Row],[P107 HWM]]-1</f>
        <v>0</v>
      </c>
      <c r="PO39" s="28">
        <f>SUMPRODUCT(INDEX(PortfolioRef[[SPY]:[PE]],MATCH(PO$1,PortfolioRef[Reference '#]),0),AssetMonthlyReturns[[#This Row],[SPY]:[PE]])</f>
        <v>1.1501360714144648E-2</v>
      </c>
      <c r="PP39" s="27">
        <f>IF(ISNUMBER(PP38),PP38*(1+PortfolioFrontier[[#This Row],[P108 Return]]),1+PortfolioFrontier[[#This Row],[P108 Return]])</f>
        <v>1.1527765649411394</v>
      </c>
      <c r="PQ39" s="27">
        <f>MAX(PQ38,PortfolioFrontier[[#This Row],[P108 Growth]])</f>
        <v>1.1527765649411394</v>
      </c>
      <c r="PR39" s="27">
        <f>PortfolioFrontier[[#This Row],[P108 Growth]]/PortfolioFrontier[[#This Row],[P108 HWM]]-1</f>
        <v>0</v>
      </c>
      <c r="PS39" s="28">
        <f>SUMPRODUCT(INDEX(PortfolioRef[[SPY]:[PE]],MATCH(PS$1,PortfolioRef[Reference '#]),0),AssetMonthlyReturns[[#This Row],[SPY]:[PE]])</f>
        <v>1.1889144590046752E-2</v>
      </c>
      <c r="PT39" s="27">
        <f>IF(ISNUMBER(PT38),PT38*(1+PortfolioFrontier[[#This Row],[P109 Return]]),1+PortfolioFrontier[[#This Row],[P109 Return]])</f>
        <v>1.1770922993733148</v>
      </c>
      <c r="PU39" s="27">
        <f>MAX(PU38,PortfolioFrontier[[#This Row],[P109 Growth]])</f>
        <v>1.1770922993733148</v>
      </c>
      <c r="PV39" s="27">
        <f>PortfolioFrontier[[#This Row],[P109 Growth]]/PortfolioFrontier[[#This Row],[P109 HWM]]-1</f>
        <v>0</v>
      </c>
      <c r="PW39" s="28">
        <f>SUMPRODUCT(INDEX(PortfolioRef[[SPY]:[PE]],MATCH(PW$1,PortfolioRef[Reference '#]),0),AssetMonthlyReturns[[#This Row],[SPY]:[PE]])</f>
        <v>1.2109654345423925E-2</v>
      </c>
      <c r="PX39" s="27">
        <f>IF(ISNUMBER(PX38),PX38*(1+PortfolioFrontier[[#This Row],[P110 Return]]),1+PortfolioFrontier[[#This Row],[P110 Return]])</f>
        <v>1.1648575605168607</v>
      </c>
      <c r="PY39" s="27">
        <f>MAX(PY38,PortfolioFrontier[[#This Row],[P110 Growth]])</f>
        <v>1.1648575605168607</v>
      </c>
      <c r="PZ39" s="27">
        <f>PortfolioFrontier[[#This Row],[P110 Growth]]/PortfolioFrontier[[#This Row],[P110 HWM]]-1</f>
        <v>0</v>
      </c>
      <c r="QA39" s="28">
        <f>SUMPRODUCT(INDEX(PortfolioRef[[SPY]:[PE]],MATCH(QA$1,PortfolioRef[Reference '#]),0),AssetMonthlyReturns[[#This Row],[SPY]:[PE]])</f>
        <v>1.2330164100801099E-2</v>
      </c>
      <c r="QB39" s="27">
        <f>IF(ISNUMBER(QB38),QB38*(1+PortfolioFrontier[[#This Row],[P111 Return]]),1+PortfolioFrontier[[#This Row],[P111 Return]])</f>
        <v>1.1525697084484661</v>
      </c>
      <c r="QC39" s="27">
        <f>MAX(QC38,PortfolioFrontier[[#This Row],[P111 Growth]])</f>
        <v>1.1525697084484661</v>
      </c>
      <c r="QD39" s="27">
        <f>PortfolioFrontier[[#This Row],[P111 Growth]]/PortfolioFrontier[[#This Row],[P111 HWM]]-1</f>
        <v>0</v>
      </c>
      <c r="QE39" s="28">
        <f>SUMPRODUCT(INDEX(PortfolioRef[[SPY]:[PE]],MATCH(QE$1,PortfolioRef[Reference '#]),0),AssetMonthlyReturns[[#This Row],[SPY]:[PE]])</f>
        <v>1.249743822132603E-2</v>
      </c>
      <c r="QF39" s="27">
        <f>IF(ISNUMBER(QF38),QF38*(1+PortfolioFrontier[[#This Row],[P112 Return]]),1+PortfolioFrontier[[#This Row],[P112 Return]])</f>
        <v>1.1890653237010167</v>
      </c>
      <c r="QG39" s="27">
        <f>MAX(QG38,PortfolioFrontier[[#This Row],[P112 Growth]])</f>
        <v>1.1890653237010167</v>
      </c>
      <c r="QH39" s="27">
        <f>PortfolioFrontier[[#This Row],[P112 Growth]]/PortfolioFrontier[[#This Row],[P112 HWM]]-1</f>
        <v>0</v>
      </c>
      <c r="QI39" s="28">
        <f>SUMPRODUCT(INDEX(PortfolioRef[[SPY]:[PE]],MATCH(QI$1,PortfolioRef[Reference '#]),0),AssetMonthlyReturns[[#This Row],[SPY]:[PE]])</f>
        <v>1.2717947976703205E-2</v>
      </c>
      <c r="QJ39" s="27">
        <f>IF(ISNUMBER(QJ38),QJ38*(1+PortfolioFrontier[[#This Row],[P113 Return]]),1+PortfolioFrontier[[#This Row],[P113 Return]])</f>
        <v>1.1768272959892137</v>
      </c>
      <c r="QK39" s="27">
        <f>MAX(QK38,PortfolioFrontier[[#This Row],[P113 Growth]])</f>
        <v>1.1768272959892137</v>
      </c>
      <c r="QL39" s="27">
        <f>PortfolioFrontier[[#This Row],[P113 Growth]]/PortfolioFrontier[[#This Row],[P113 HWM]]-1</f>
        <v>0</v>
      </c>
      <c r="QM39" s="28">
        <f>SUMPRODUCT(INDEX(PortfolioRef[[SPY]:[PE]],MATCH(QM$1,PortfolioRef[Reference '#]),0),AssetMonthlyReturns[[#This Row],[SPY]:[PE]])</f>
        <v>1.2938457732080378E-2</v>
      </c>
      <c r="QN39" s="27">
        <f>IF(ISNUMBER(QN38),QN38*(1+PortfolioFrontier[[#This Row],[P114 Return]]),1+PortfolioFrontier[[#This Row],[P114 Return]])</f>
        <v>1.1645331624046258</v>
      </c>
      <c r="QO39" s="27">
        <f>MAX(QO38,PortfolioFrontier[[#This Row],[P114 Growth]])</f>
        <v>1.1645331624046258</v>
      </c>
      <c r="QP39" s="27">
        <f>PortfolioFrontier[[#This Row],[P114 Growth]]/PortfolioFrontier[[#This Row],[P114 HWM]]-1</f>
        <v>0</v>
      </c>
      <c r="QQ39" s="28">
        <f>SUMPRODUCT(INDEX(PortfolioRef[[SPY]:[PE]],MATCH(QQ$1,PortfolioRef[Reference '#]),0),AssetMonthlyReturns[[#This Row],[SPY]:[PE]])</f>
        <v>1.165279547945946E-2</v>
      </c>
      <c r="QR39" s="27">
        <f>IF(ISNUMBER(QR38),QR38*(1+PortfolioFrontier[[#This Row],[P115 Return]]),1+PortfolioFrontier[[#This Row],[P115 Return]])</f>
        <v>1.1733212057031313</v>
      </c>
      <c r="QS39" s="27">
        <f>MAX(QS38,PortfolioFrontier[[#This Row],[P115 Growth]])</f>
        <v>1.1733212057031313</v>
      </c>
      <c r="QT39" s="27">
        <f>PortfolioFrontier[[#This Row],[P115 Growth]]/PortfolioFrontier[[#This Row],[P115 HWM]]-1</f>
        <v>0</v>
      </c>
      <c r="QU39" s="28">
        <f>SUMPRODUCT(INDEX(PortfolioRef[[SPY]:[PE]],MATCH(QU$1,PortfolioRef[Reference '#]),0),AssetMonthlyReturns[[#This Row],[SPY]:[PE]])</f>
        <v>1.1873305234836633E-2</v>
      </c>
      <c r="QV39" s="27">
        <f>IF(ISNUMBER(QV38),QV38*(1+PortfolioFrontier[[#This Row],[P116 Return]]),1+PortfolioFrontier[[#This Row],[P116 Return]])</f>
        <v>1.1611441747387108</v>
      </c>
      <c r="QW39" s="27">
        <f>MAX(QW38,PortfolioFrontier[[#This Row],[P116 Growth]])</f>
        <v>1.1611441747387108</v>
      </c>
      <c r="QX39" s="27">
        <f>PortfolioFrontier[[#This Row],[P116 Growth]]/PortfolioFrontier[[#This Row],[P116 HWM]]-1</f>
        <v>0</v>
      </c>
      <c r="QY39" s="28">
        <f>SUMPRODUCT(INDEX(PortfolioRef[[SPY]:[PE]],MATCH(QY$1,PortfolioRef[Reference '#]),0),AssetMonthlyReturns[[#This Row],[SPY]:[PE]])</f>
        <v>1.2093814990213808E-2</v>
      </c>
      <c r="QZ39" s="27">
        <f>IF(ISNUMBER(QZ38),QZ38*(1+PortfolioFrontier[[#This Row],[P117 Return]]),1+PortfolioFrontier[[#This Row],[P117 Return]])</f>
        <v>1.1489138570385289</v>
      </c>
      <c r="RA39" s="27">
        <f>MAX(RA38,PortfolioFrontier[[#This Row],[P117 Growth]])</f>
        <v>1.1489138570385289</v>
      </c>
      <c r="RB39" s="27">
        <f>PortfolioFrontier[[#This Row],[P117 Growth]]/PortfolioFrontier[[#This Row],[P117 HWM]]-1</f>
        <v>0</v>
      </c>
      <c r="RC39" s="28">
        <f>SUMPRODUCT(INDEX(PortfolioRef[[SPY]:[PE]],MATCH(RC$1,PortfolioRef[Reference '#]),0),AssetMonthlyReturns[[#This Row],[SPY]:[PE]])</f>
        <v>1.2261089110738737E-2</v>
      </c>
      <c r="RD39" s="27">
        <f>IF(ISNUMBER(RD38),RD38*(1+PortfolioFrontier[[#This Row],[P118 Return]]),1+PortfolioFrontier[[#This Row],[P118 Return]])</f>
        <v>1.1853428453571879</v>
      </c>
      <c r="RE39" s="27">
        <f>MAX(RE38,PortfolioFrontier[[#This Row],[P118 Growth]])</f>
        <v>1.1853428453571879</v>
      </c>
      <c r="RF39" s="27">
        <f>PortfolioFrontier[[#This Row],[P118 Growth]]/PortfolioFrontier[[#This Row],[P118 HWM]]-1</f>
        <v>0</v>
      </c>
      <c r="RG39" s="28">
        <f>SUMPRODUCT(INDEX(PortfolioRef[[SPY]:[PE]],MATCH(RG$1,PortfolioRef[Reference '#]),0),AssetMonthlyReturns[[#This Row],[SPY]:[PE]])</f>
        <v>1.2481598866115912E-2</v>
      </c>
      <c r="RH39" s="27">
        <f>IF(ISNUMBER(RH38),RH38*(1+PortfolioFrontier[[#This Row],[P119 Return]]),1+PortfolioFrontier[[#This Row],[P119 Return]])</f>
        <v>1.173161821064798</v>
      </c>
      <c r="RI39" s="27">
        <f>MAX(RI38,PortfolioFrontier[[#This Row],[P119 Growth]])</f>
        <v>1.173161821064798</v>
      </c>
      <c r="RJ39" s="27">
        <f>PortfolioFrontier[[#This Row],[P119 Growth]]/PortfolioFrontier[[#This Row],[P119 HWM]]-1</f>
        <v>0</v>
      </c>
      <c r="RK39" s="28">
        <f>SUMPRODUCT(INDEX(PortfolioRef[[SPY]:[PE]],MATCH(RK$1,PortfolioRef[Reference '#]),0),AssetMonthlyReturns[[#This Row],[SPY]:[PE]])</f>
        <v>1.2702108621493085E-2</v>
      </c>
      <c r="RL39" s="27">
        <f>IF(ISNUMBER(RL38),RL38*(1+PortfolioFrontier[[#This Row],[P120 Return]]),1+PortfolioFrontier[[#This Row],[P120 Return]])</f>
        <v>1.1609245243109294</v>
      </c>
      <c r="RM39" s="27">
        <f>MAX(RM38,PortfolioFrontier[[#This Row],[P120 Growth]])</f>
        <v>1.1609245243109294</v>
      </c>
      <c r="RN39" s="27">
        <f>PortfolioFrontier[[#This Row],[P120 Growth]]/PortfolioFrontier[[#This Row],[P120 HWM]]-1</f>
        <v>0</v>
      </c>
      <c r="RO39" s="28">
        <f>SUMPRODUCT(INDEX(PortfolioRef[[SPY]:[PE]],MATCH(RO$1,PortfolioRef[Reference '#]),0),AssetMonthlyReturns[[#This Row],[SPY]:[PE]])</f>
        <v>1.2869382742018015E-2</v>
      </c>
      <c r="RP39" s="27">
        <f>IF(ISNUMBER(RP38),RP38*(1+PortfolioFrontier[[#This Row],[P121 Return]]),1+PortfolioFrontier[[#This Row],[P121 Return]])</f>
        <v>1.1972452994867606</v>
      </c>
      <c r="RQ39" s="27">
        <f>MAX(RQ38,PortfolioFrontier[[#This Row],[P121 Growth]])</f>
        <v>1.1972452994867606</v>
      </c>
      <c r="RR39" s="27">
        <f>PortfolioFrontier[[#This Row],[P121 Growth]]/PortfolioFrontier[[#This Row],[P121 HWM]]-1</f>
        <v>0</v>
      </c>
      <c r="RS39" s="28">
        <f>SUMPRODUCT(INDEX(PortfolioRef[[SPY]:[PE]],MATCH(RS$1,PortfolioRef[Reference '#]),0),AssetMonthlyReturns[[#This Row],[SPY]:[PE]])</f>
        <v>1.308989249739519E-2</v>
      </c>
      <c r="RT39" s="27">
        <f>IF(ISNUMBER(RT38),RT38*(1+PortfolioFrontier[[#This Row],[P122 Return]]),1+PortfolioFrontier[[#This Row],[P122 Return]])</f>
        <v>1.1850640311388478</v>
      </c>
      <c r="RU39" s="27">
        <f>MAX(RU38,PortfolioFrontier[[#This Row],[P122 Growth]])</f>
        <v>1.1850640311388478</v>
      </c>
      <c r="RV39" s="27">
        <f>PortfolioFrontier[[#This Row],[P122 Growth]]/PortfolioFrontier[[#This Row],[P122 HWM]]-1</f>
        <v>0</v>
      </c>
      <c r="RW39" s="28">
        <f>SUMPRODUCT(INDEX(PortfolioRef[[SPY]:[PE]],MATCH(RW$1,PortfolioRef[Reference '#]),0),AssetMonthlyReturns[[#This Row],[SPY]:[PE]])</f>
        <v>1.3310402252772364E-2</v>
      </c>
      <c r="RX39" s="27">
        <f>IF(ISNUMBER(RX38),RX38*(1+PortfolioFrontier[[#This Row],[P123 Return]]),1+PortfolioFrontier[[#This Row],[P123 Return]])</f>
        <v>1.172823470701545</v>
      </c>
      <c r="RY39" s="27">
        <f>MAX(RY38,PortfolioFrontier[[#This Row],[P123 Growth]])</f>
        <v>1.172823470701545</v>
      </c>
      <c r="RZ39" s="27">
        <f>PortfolioFrontier[[#This Row],[P123 Growth]]/PortfolioFrontier[[#This Row],[P123 HWM]]-1</f>
        <v>0</v>
      </c>
      <c r="SA39" s="28">
        <f>SUMPRODUCT(INDEX(PortfolioRef[[SPY]:[PE]],MATCH(SA$1,PortfolioRef[Reference '#]),0),AssetMonthlyReturns[[#This Row],[SPY]:[PE]])</f>
        <v>1.2024740000151446E-2</v>
      </c>
      <c r="SB39" s="27">
        <f>IF(ISNUMBER(SB38),SB38*(1+PortfolioFrontier[[#This Row],[P124 Return]]),1+PortfolioFrontier[[#This Row],[P124 Return]])</f>
        <v>1.1815494396412796</v>
      </c>
      <c r="SC39" s="27">
        <f>MAX(SC38,PortfolioFrontier[[#This Row],[P124 Growth]])</f>
        <v>1.1815494396412796</v>
      </c>
      <c r="SD39" s="27">
        <f>PortfolioFrontier[[#This Row],[P124 Growth]]/PortfolioFrontier[[#This Row],[P124 HWM]]-1</f>
        <v>0</v>
      </c>
      <c r="SE39" s="28">
        <f>SUMPRODUCT(INDEX(PortfolioRef[[SPY]:[PE]],MATCH(SE$1,PortfolioRef[Reference '#]),0),AssetMonthlyReturns[[#This Row],[SPY]:[PE]])</f>
        <v>1.224524975552862E-2</v>
      </c>
      <c r="SF39" s="27">
        <f>IF(ISNUMBER(SF38),SF38*(1+PortfolioFrontier[[#This Row],[P125 Return]]),1+PortfolioFrontier[[#This Row],[P125 Return]])</f>
        <v>1.1694259329206789</v>
      </c>
      <c r="SG39" s="27">
        <f>MAX(SG38,PortfolioFrontier[[#This Row],[P125 Growth]])</f>
        <v>1.1694259329206789</v>
      </c>
      <c r="SH39" s="27">
        <f>PortfolioFrontier[[#This Row],[P125 Growth]]/PortfolioFrontier[[#This Row],[P125 HWM]]-1</f>
        <v>0</v>
      </c>
      <c r="SI39" s="28">
        <f>SUMPRODUCT(INDEX(PortfolioRef[[SPY]:[PE]],MATCH(SI$1,PortfolioRef[Reference '#]),0),AssetMonthlyReturns[[#This Row],[SPY]:[PE]])</f>
        <v>1.2465759510905793E-2</v>
      </c>
      <c r="SJ39" s="27">
        <f>IF(ISNUMBER(SJ38),SJ38*(1+PortfolioFrontier[[#This Row],[P126 Return]]),1+PortfolioFrontier[[#This Row],[P126 Return]])</f>
        <v>1.1572459933289447</v>
      </c>
      <c r="SK39" s="27">
        <f>MAX(SK38,PortfolioFrontier[[#This Row],[P126 Growth]])</f>
        <v>1.1572459933289447</v>
      </c>
      <c r="SL39" s="27">
        <f>PortfolioFrontier[[#This Row],[P126 Growth]]/PortfolioFrontier[[#This Row],[P126 HWM]]-1</f>
        <v>0</v>
      </c>
      <c r="SM39" s="28">
        <f>SUMPRODUCT(INDEX(PortfolioRef[[SPY]:[PE]],MATCH(SM$1,PortfolioRef[Reference '#]),0),AssetMonthlyReturns[[#This Row],[SPY]:[PE]])</f>
        <v>1.2633033631430722E-2</v>
      </c>
      <c r="SN39" s="27">
        <f>IF(ISNUMBER(SN38),SN38*(1+PortfolioFrontier[[#This Row],[P127 Return]]),1+PortfolioFrontier[[#This Row],[P127 Return]])</f>
        <v>1.1935014525036745</v>
      </c>
      <c r="SO39" s="27">
        <f>MAX(SO38,PortfolioFrontier[[#This Row],[P127 Growth]])</f>
        <v>1.1935014525036745</v>
      </c>
      <c r="SP39" s="27">
        <f>PortfolioFrontier[[#This Row],[P127 Growth]]/PortfolioFrontier[[#This Row],[P127 HWM]]-1</f>
        <v>0</v>
      </c>
      <c r="SQ39" s="28">
        <f>SUMPRODUCT(INDEX(PortfolioRef[[SPY]:[PE]],MATCH(SQ$1,PortfolioRef[Reference '#]),0),AssetMonthlyReturns[[#This Row],[SPY]:[PE]])</f>
        <v>1.2853543386807897E-2</v>
      </c>
      <c r="SR39" s="27">
        <f>IF(ISNUMBER(SR38),SR38*(1+PortfolioFrontier[[#This Row],[P128 Return]]),1+PortfolioFrontier[[#This Row],[P128 Return]])</f>
        <v>1.1813769874240065</v>
      </c>
      <c r="SS39" s="27">
        <f>MAX(SS38,PortfolioFrontier[[#This Row],[P128 Growth]])</f>
        <v>1.1813769874240065</v>
      </c>
      <c r="ST39" s="27">
        <f>PortfolioFrontier[[#This Row],[P128 Growth]]/PortfolioFrontier[[#This Row],[P128 HWM]]-1</f>
        <v>0</v>
      </c>
      <c r="SU39" s="28">
        <f>SUMPRODUCT(INDEX(PortfolioRef[[SPY]:[PE]],MATCH(SU$1,PortfolioRef[Reference '#]),0),AssetMonthlyReturns[[#This Row],[SPY]:[PE]])</f>
        <v>1.3074053142185071E-2</v>
      </c>
      <c r="SV39" s="27">
        <f>IF(ISNUMBER(SV38),SV38*(1+PortfolioFrontier[[#This Row],[P129 Return]]),1+PortfolioFrontier[[#This Row],[P129 Return]])</f>
        <v>1.1691930767682899</v>
      </c>
      <c r="SW39" s="27">
        <f>MAX(SW38,PortfolioFrontier[[#This Row],[P129 Growth]])</f>
        <v>1.1691930767682899</v>
      </c>
      <c r="SX39" s="27">
        <f>PortfolioFrontier[[#This Row],[P129 Growth]]/PortfolioFrontier[[#This Row],[P129 HWM]]-1</f>
        <v>0</v>
      </c>
      <c r="SY39" s="28">
        <f>SUMPRODUCT(INDEX(PortfolioRef[[SPY]:[PE]],MATCH(SY$1,PortfolioRef[Reference '#]),0),AssetMonthlyReturns[[#This Row],[SPY]:[PE]])</f>
        <v>1.3241327262710002E-2</v>
      </c>
      <c r="SZ39" s="27">
        <f>IF(ISNUMBER(SZ38),SZ38*(1+PortfolioFrontier[[#This Row],[P130 Return]]),1+PortfolioFrontier[[#This Row],[P130 Return]])</f>
        <v>1.2053300485988188</v>
      </c>
      <c r="TA39" s="27">
        <f>MAX(TA38,PortfolioFrontier[[#This Row],[P130 Growth]])</f>
        <v>1.2053300485988188</v>
      </c>
      <c r="TB39" s="27">
        <f>PortfolioFrontier[[#This Row],[P130 Growth]]/PortfolioFrontier[[#This Row],[P130 HWM]]-1</f>
        <v>0</v>
      </c>
      <c r="TC39" s="28">
        <f>SUMPRODUCT(INDEX(PortfolioRef[[SPY]:[PE]],MATCH(TC$1,PortfolioRef[Reference '#]),0),AssetMonthlyReturns[[#This Row],[SPY]:[PE]])</f>
        <v>1.3461837018087175E-2</v>
      </c>
      <c r="TD39" s="27">
        <f>IF(ISNUMBER(TD38),TD38*(1+PortfolioFrontier[[#This Row],[P131 Return]]),1+PortfolioFrontier[[#This Row],[P131 Return]])</f>
        <v>1.1932084062842514</v>
      </c>
      <c r="TE39" s="27">
        <f>MAX(TE38,PortfolioFrontier[[#This Row],[P131 Growth]])</f>
        <v>1.1932084062842514</v>
      </c>
      <c r="TF39" s="27">
        <f>PortfolioFrontier[[#This Row],[P131 Growth]]/PortfolioFrontier[[#This Row],[P131 HWM]]-1</f>
        <v>0</v>
      </c>
      <c r="TG39" s="28">
        <f>SUMPRODUCT(INDEX(PortfolioRef[[SPY]:[PE]],MATCH(TG$1,PortfolioRef[Reference '#]),0),AssetMonthlyReturns[[#This Row],[SPY]:[PE]])</f>
        <v>1.368234677346435E-2</v>
      </c>
      <c r="TH39" s="27">
        <f>IF(ISNUMBER(TH38),TH38*(1+PortfolioFrontier[[#This Row],[P132 Return]]),1+PortfolioFrontier[[#This Row],[P132 Return]])</f>
        <v>1.1810242726516549</v>
      </c>
      <c r="TI39" s="27">
        <f>MAX(TI38,PortfolioFrontier[[#This Row],[P132 Growth]])</f>
        <v>1.1810242726516549</v>
      </c>
      <c r="TJ39" s="27">
        <f>PortfolioFrontier[[#This Row],[P132 Growth]]/PortfolioFrontier[[#This Row],[P132 HWM]]-1</f>
        <v>0</v>
      </c>
      <c r="TK39" s="28">
        <f>SUMPRODUCT(INDEX(PortfolioRef[[SPY]:[PE]],MATCH(TK$1,PortfolioRef[Reference '#]),0),AssetMonthlyReturns[[#This Row],[SPY]:[PE]])</f>
        <v>1.2396684520843431E-2</v>
      </c>
      <c r="TL39" s="27">
        <f>IF(ISNUMBER(TL38),TL38*(1+PortfolioFrontier[[#This Row],[P133 Return]]),1+PortfolioFrontier[[#This Row],[P133 Return]])</f>
        <v>1.189686241729832</v>
      </c>
      <c r="TM39" s="27">
        <f>MAX(TM38,PortfolioFrontier[[#This Row],[P133 Growth]])</f>
        <v>1.189686241729832</v>
      </c>
      <c r="TN39" s="27">
        <f>PortfolioFrontier[[#This Row],[P133 Growth]]/PortfolioFrontier[[#This Row],[P133 HWM]]-1</f>
        <v>0</v>
      </c>
      <c r="TO39" s="28">
        <f>SUMPRODUCT(INDEX(PortfolioRef[[SPY]:[PE]],MATCH(TO$1,PortfolioRef[Reference '#]),0),AssetMonthlyReturns[[#This Row],[SPY]:[PE]])</f>
        <v>1.2617194276220605E-2</v>
      </c>
      <c r="TP39" s="27">
        <f>IF(ISNUMBER(TP38),TP38*(1+PortfolioFrontier[[#This Row],[P134 Return]]),1+PortfolioFrontier[[#This Row],[P134 Return]])</f>
        <v>1.1776190908881898</v>
      </c>
      <c r="TQ39" s="27">
        <f>MAX(TQ38,PortfolioFrontier[[#This Row],[P134 Growth]])</f>
        <v>1.1776190908881898</v>
      </c>
      <c r="TR39" s="27">
        <f>PortfolioFrontier[[#This Row],[P134 Growth]]/PortfolioFrontier[[#This Row],[P134 HWM]]-1</f>
        <v>0</v>
      </c>
      <c r="TS39" s="28">
        <f>SUMPRODUCT(INDEX(PortfolioRef[[SPY]:[PE]],MATCH(TS$1,PortfolioRef[Reference '#]),0),AssetMonthlyReturns[[#This Row],[SPY]:[PE]])</f>
        <v>1.283770403159778E-2</v>
      </c>
      <c r="TT39" s="27">
        <f>IF(ISNUMBER(TT38),TT38*(1+PortfolioFrontier[[#This Row],[P135 Return]]),1+PortfolioFrontier[[#This Row],[P135 Return]])</f>
        <v>1.16549234727508</v>
      </c>
      <c r="TU39" s="27">
        <f>MAX(TU38,PortfolioFrontier[[#This Row],[P135 Growth]])</f>
        <v>1.16549234727508</v>
      </c>
      <c r="TV39" s="27">
        <f>PortfolioFrontier[[#This Row],[P135 Growth]]/PortfolioFrontier[[#This Row],[P135 HWM]]-1</f>
        <v>0</v>
      </c>
      <c r="TW39" s="28">
        <f>SUMPRODUCT(INDEX(PortfolioRef[[SPY]:[PE]],MATCH(TW$1,PortfolioRef[Reference '#]),0),AssetMonthlyReturns[[#This Row],[SPY]:[PE]])</f>
        <v>1.3004978152122709E-2</v>
      </c>
      <c r="TX39" s="27">
        <f>IF(ISNUMBER(TX38),TX38*(1+PortfolioFrontier[[#This Row],[P136 Return]]),1+PortfolioFrontier[[#This Row],[P136 Return]])</f>
        <v>1.2015653478472141</v>
      </c>
      <c r="TY39" s="27">
        <f>MAX(TY38,PortfolioFrontier[[#This Row],[P136 Growth]])</f>
        <v>1.2015653478472141</v>
      </c>
      <c r="TZ39" s="27">
        <f>PortfolioFrontier[[#This Row],[P136 Growth]]/PortfolioFrontier[[#This Row],[P136 HWM]]-1</f>
        <v>0</v>
      </c>
      <c r="UA39" s="28">
        <f>SUMPRODUCT(INDEX(PortfolioRef[[SPY]:[PE]],MATCH(UA$1,PortfolioRef[Reference '#]),0),AssetMonthlyReturns[[#This Row],[SPY]:[PE]])</f>
        <v>1.3225487907499882E-2</v>
      </c>
      <c r="UB39" s="27">
        <f>IF(ISNUMBER(UB38),UB38*(1+PortfolioFrontier[[#This Row],[P137 Return]]),1+PortfolioFrontier[[#This Row],[P137 Return]])</f>
        <v>1.1895002956791298</v>
      </c>
      <c r="UC39" s="27">
        <f>MAX(UC38,PortfolioFrontier[[#This Row],[P137 Growth]])</f>
        <v>1.1895002956791298</v>
      </c>
      <c r="UD39" s="27">
        <f>PortfolioFrontier[[#This Row],[P137 Growth]]/PortfolioFrontier[[#This Row],[P137 HWM]]-1</f>
        <v>0</v>
      </c>
      <c r="UE39" s="28">
        <f>SUMPRODUCT(INDEX(PortfolioRef[[SPY]:[PE]],MATCH(UE$1,PortfolioRef[Reference '#]),0),AssetMonthlyReturns[[#This Row],[SPY]:[PE]])</f>
        <v>1.3445997662877057E-2</v>
      </c>
      <c r="UF39" s="27">
        <f>IF(ISNUMBER(UF38),UF38*(1+PortfolioFrontier[[#This Row],[P138 Return]]),1+PortfolioFrontier[[#This Row],[P138 Return]])</f>
        <v>1.177372611904999</v>
      </c>
      <c r="UG39" s="27">
        <f>MAX(UG38,PortfolioFrontier[[#This Row],[P138 Growth]])</f>
        <v>1.177372611904999</v>
      </c>
      <c r="UH39" s="27">
        <f>PortfolioFrontier[[#This Row],[P138 Growth]]/PortfolioFrontier[[#This Row],[P138 HWM]]-1</f>
        <v>0</v>
      </c>
      <c r="UI39" s="28">
        <f>SUMPRODUCT(INDEX(PortfolioRef[[SPY]:[PE]],MATCH(UI$1,PortfolioRef[Reference '#]),0),AssetMonthlyReturns[[#This Row],[SPY]:[PE]])</f>
        <v>1.3613271783401987E-2</v>
      </c>
      <c r="UJ39" s="27">
        <f>IF(ISNUMBER(UJ38),UJ38*(1+PortfolioFrontier[[#This Row],[P139 Return]]),1+PortfolioFrontier[[#This Row],[P139 Return]])</f>
        <v>1.2133167846585879</v>
      </c>
      <c r="UK39" s="27">
        <f>MAX(UK38,PortfolioFrontier[[#This Row],[P139 Growth]])</f>
        <v>1.2133167846585879</v>
      </c>
      <c r="UL39" s="27">
        <f>PortfolioFrontier[[#This Row],[P139 Growth]]/PortfolioFrontier[[#This Row],[P139 HWM]]-1</f>
        <v>0</v>
      </c>
      <c r="UM39" s="28">
        <f>SUMPRODUCT(INDEX(PortfolioRef[[SPY]:[PE]],MATCH(UM$1,PortfolioRef[Reference '#]),0),AssetMonthlyReturns[[#This Row],[SPY]:[PE]])</f>
        <v>1.3833781538779162E-2</v>
      </c>
      <c r="UN39" s="27">
        <f>IF(ISNUMBER(UN38),UN38*(1+PortfolioFrontier[[#This Row],[P140 Return]]),1+PortfolioFrontier[[#This Row],[P140 Return]])</f>
        <v>1.2012576432310569</v>
      </c>
      <c r="UO39" s="27">
        <f>MAX(UO38,PortfolioFrontier[[#This Row],[P140 Growth]])</f>
        <v>1.2012576432310569</v>
      </c>
      <c r="UP39" s="27">
        <f>PortfolioFrontier[[#This Row],[P140 Growth]]/PortfolioFrontier[[#This Row],[P140 HWM]]-1</f>
        <v>0</v>
      </c>
      <c r="UQ39" s="28">
        <f>SUMPRODUCT(INDEX(PortfolioRef[[SPY]:[PE]],MATCH(UQ$1,PortfolioRef[Reference '#]),0),AssetMonthlyReturns[[#This Row],[SPY]:[PE]])</f>
        <v>1.4054291294156335E-2</v>
      </c>
      <c r="UR39" s="27">
        <f>IF(ISNUMBER(UR38),UR38*(1+PortfolioFrontier[[#This Row],[P141 Return]]),1+PortfolioFrontier[[#This Row],[P141 Return]])</f>
        <v>1.1891327992145839</v>
      </c>
      <c r="US39" s="27">
        <f>MAX(US38,PortfolioFrontier[[#This Row],[P141 Growth]])</f>
        <v>1.1891327992145839</v>
      </c>
      <c r="UT39" s="27">
        <f>PortfolioFrontier[[#This Row],[P141 Growth]]/PortfolioFrontier[[#This Row],[P141 HWM]]-1</f>
        <v>0</v>
      </c>
    </row>
    <row r="40" spans="2:566" x14ac:dyDescent="0.2">
      <c r="B40" s="41">
        <f>AssetMonthlyReturns[[#This Row],[Date]]</f>
        <v>43586</v>
      </c>
      <c r="C40" s="28">
        <f>SUMPRODUCT(INDEX(PortfolioRef[[SPY]:[PE]],MATCH(C$1,PortfolioRef[Reference '#]),0),AssetMonthlyReturns[[#This Row],[SPY]:[PE]])</f>
        <v>-2.8234192751195767E-2</v>
      </c>
      <c r="D40" s="29">
        <f>IF(ISNUMBER(D39),D39*(1+PortfolioFrontier[[#This Row],[P1 Return]]),1+PortfolioFrontier[[#This Row],[P1 Return]])</f>
        <v>1.259395395914001</v>
      </c>
      <c r="E40" s="29">
        <f>MAX(E39,PortfolioFrontier[[#This Row],[P1 Growth]])</f>
        <v>1.2959865293876862</v>
      </c>
      <c r="F40" s="29">
        <f>PortfolioFrontier[[#This Row],[P1 Growth]]/PortfolioFrontier[[#This Row],[P1 HWM]]-1</f>
        <v>-2.8234192751195875E-2</v>
      </c>
      <c r="G40" s="28">
        <f>SUMPRODUCT(INDEX(PortfolioRef[[SPY]:[PE]],MATCH(G$1,PortfolioRef[Reference '#]),0),AssetMonthlyReturns[[#This Row],[SPY]:[PE]])</f>
        <v>-2.4089764168990301E-2</v>
      </c>
      <c r="H40" s="27">
        <f>IF(ISNUMBER(H39),H39*(1+PortfolioFrontier[[#This Row],[P2 Return]]),1+PortfolioFrontier[[#This Row],[P2 Return]])</f>
        <v>1.2426831833329213</v>
      </c>
      <c r="I40" s="27">
        <f>MAX(I39,PortfolioFrontier[[#This Row],[P2 Growth]])</f>
        <v>1.2733580791626276</v>
      </c>
      <c r="J40" s="27">
        <f>PortfolioFrontier[[#This Row],[P2 Growth]]/PortfolioFrontier[[#This Row],[P2 HWM]]-1</f>
        <v>-2.4089764168990335E-2</v>
      </c>
      <c r="K40" s="28">
        <f>SUMPRODUCT(INDEX(PortfolioRef[[SPY]:[PE]],MATCH(K$1,PortfolioRef[Reference '#]),0),AssetMonthlyReturns[[#This Row],[SPY]:[PE]])</f>
        <v>-2.4166894775459868E-2</v>
      </c>
      <c r="L40" s="27">
        <f>IF(ISNUMBER(L39),L39*(1+PortfolioFrontier[[#This Row],[P3 Return]]),1+PortfolioFrontier[[#This Row],[P3 Return]])</f>
        <v>1.2388042089005868</v>
      </c>
      <c r="M40" s="27">
        <f>MAX(M39,PortfolioFrontier[[#This Row],[P3 Growth]])</f>
        <v>1.2694836875979287</v>
      </c>
      <c r="N40" s="27">
        <f>PortfolioFrontier[[#This Row],[P3 Growth]]/PortfolioFrontier[[#This Row],[P3 HWM]]-1</f>
        <v>-2.4166894775459857E-2</v>
      </c>
      <c r="O40" s="28">
        <f>SUMPRODUCT(INDEX(PortfolioRef[[SPY]:[PE]],MATCH(O$1,PortfolioRef[Reference '#]),0),AssetMonthlyReturns[[#This Row],[SPY]:[PE]])</f>
        <v>-2.4976449026223698E-2</v>
      </c>
      <c r="P40" s="27">
        <f>IF(ISNUMBER(P39),P39*(1+PortfolioFrontier[[#This Row],[P4 Return]]),1+PortfolioFrontier[[#This Row],[P4 Return]])</f>
        <v>1.2501111257770734</v>
      </c>
      <c r="Q40" s="27">
        <f>MAX(Q39,PortfolioFrontier[[#This Row],[P4 Growth]])</f>
        <v>1.282134287452402</v>
      </c>
      <c r="R40" s="27">
        <f>PortfolioFrontier[[#This Row],[P4 Growth]]/PortfolioFrontier[[#This Row],[P4 HWM]]-1</f>
        <v>-2.4976449026223757E-2</v>
      </c>
      <c r="S40" s="28">
        <f>SUMPRODUCT(INDEX(PortfolioRef[[SPY]:[PE]],MATCH(S$1,PortfolioRef[Reference '#]),0),AssetMonthlyReturns[[#This Row],[SPY]:[PE]])</f>
        <v>-2.4007143095597327E-2</v>
      </c>
      <c r="T40" s="27">
        <f>IF(ISNUMBER(T39),T39*(1+PortfolioFrontier[[#This Row],[P5 Return]]),1+PortfolioFrontier[[#This Row],[P5 Return]])</f>
        <v>1.2384879534850244</v>
      </c>
      <c r="U40" s="27">
        <f>MAX(U39,PortfolioFrontier[[#This Row],[P5 Growth]])</f>
        <v>1.2689518624277523</v>
      </c>
      <c r="V40" s="27">
        <f>PortfolioFrontier[[#This Row],[P5 Growth]]/PortfolioFrontier[[#This Row],[P5 HWM]]-1</f>
        <v>-2.4007143095597372E-2</v>
      </c>
      <c r="W40" s="28">
        <f>SUMPRODUCT(INDEX(PortfolioRef[[SPY]:[PE]],MATCH(W$1,PortfolioRef[Reference '#]),0),AssetMonthlyReturns[[#This Row],[SPY]:[PE]])</f>
        <v>-1.9945335586784834E-2</v>
      </c>
      <c r="X40" s="27">
        <f>IF(ISNUMBER(X39),X39*(1+PortfolioFrontier[[#This Row],[P6 Return]]),1+PortfolioFrontier[[#This Row],[P6 Return]])</f>
        <v>1.2260283279397752</v>
      </c>
      <c r="Y40" s="27">
        <f>MAX(Y39,PortfolioFrontier[[#This Row],[P6 Growth]])</f>
        <v>1.2509795345689529</v>
      </c>
      <c r="Z40" s="27">
        <f>PortfolioFrontier[[#This Row],[P6 Growth]]/PortfolioFrontier[[#This Row],[P6 HWM]]-1</f>
        <v>-1.9945335586784907E-2</v>
      </c>
      <c r="AA40" s="28">
        <f>SUMPRODUCT(INDEX(PortfolioRef[[SPY]:[PE]],MATCH(AA$1,PortfolioRef[Reference '#]),0),AssetMonthlyReturns[[#This Row],[SPY]:[PE]])</f>
        <v>-2.0022466193254401E-2</v>
      </c>
      <c r="AB40" s="27">
        <f>IF(ISNUMBER(AB39),AB39*(1+PortfolioFrontier[[#This Row],[P7 Return]]),1+PortfolioFrontier[[#This Row],[P7 Return]])</f>
        <v>1.2221774470608249</v>
      </c>
      <c r="AC40" s="27">
        <f>MAX(AC39,PortfolioFrontier[[#This Row],[P7 Growth]])</f>
        <v>1.247148434427112</v>
      </c>
      <c r="AD40" s="27">
        <f>PortfolioFrontier[[#This Row],[P7 Growth]]/PortfolioFrontier[[#This Row],[P7 HWM]]-1</f>
        <v>-2.002246619325454E-2</v>
      </c>
      <c r="AE40" s="28">
        <f>SUMPRODUCT(INDEX(PortfolioRef[[SPY]:[PE]],MATCH(AE$1,PortfolioRef[Reference '#]),0),AssetMonthlyReturns[[#This Row],[SPY]:[PE]])</f>
        <v>-2.0832020444018232E-2</v>
      </c>
      <c r="AF40" s="27">
        <f>IF(ISNUMBER(AF39),AF39*(1+PortfolioFrontier[[#This Row],[P8 Return]]),1+PortfolioFrontier[[#This Row],[P8 Return]])</f>
        <v>1.2334518120467803</v>
      </c>
      <c r="AG40" s="27">
        <f>MAX(AG39,PortfolioFrontier[[#This Row],[P8 Growth]])</f>
        <v>1.2596937785956883</v>
      </c>
      <c r="AH40" s="27">
        <f>PortfolioFrontier[[#This Row],[P8 Growth]]/PortfolioFrontier[[#This Row],[P8 HWM]]-1</f>
        <v>-2.0832020444018218E-2</v>
      </c>
      <c r="AI40" s="28">
        <f>SUMPRODUCT(INDEX(PortfolioRef[[SPY]:[PE]],MATCH(AI$1,PortfolioRef[Reference '#]),0),AssetMonthlyReturns[[#This Row],[SPY]:[PE]])</f>
        <v>-1.986271451339186E-2</v>
      </c>
      <c r="AJ40" s="27">
        <f>IF(ISNUMBER(AJ39),AJ39*(1+PortfolioFrontier[[#This Row],[P9 Return]]),1+PortfolioFrontier[[#This Row],[P9 Return]])</f>
        <v>1.2219173684621578</v>
      </c>
      <c r="AK40" s="27">
        <f>MAX(AK39,PortfolioFrontier[[#This Row],[P9 Growth]])</f>
        <v>1.2466798136911128</v>
      </c>
      <c r="AL40" s="27">
        <f>PortfolioFrontier[[#This Row],[P9 Growth]]/PortfolioFrontier[[#This Row],[P9 HWM]]-1</f>
        <v>-1.9862714513391722E-2</v>
      </c>
      <c r="AM40" s="28">
        <f>SUMPRODUCT(INDEX(PortfolioRef[[SPY]:[PE]],MATCH(AM$1,PortfolioRef[Reference '#]),0),AssetMonthlyReturns[[#This Row],[SPY]:[PE]])</f>
        <v>-2.0099596799723965E-2</v>
      </c>
      <c r="AN40" s="27">
        <f>IF(ISNUMBER(AN39),AN39*(1+PortfolioFrontier[[#This Row],[P10 Return]]),1+PortfolioFrontier[[#This Row],[P10 Return]])</f>
        <v>1.2182536078025252</v>
      </c>
      <c r="AO40" s="27">
        <f>MAX(AO39,PortfolioFrontier[[#This Row],[P10 Growth]])</f>
        <v>1.2432422762801267</v>
      </c>
      <c r="AP40" s="27">
        <f>PortfolioFrontier[[#This Row],[P10 Growth]]/PortfolioFrontier[[#This Row],[P10 HWM]]-1</f>
        <v>-2.0099596799723951E-2</v>
      </c>
      <c r="AQ40" s="28">
        <f>SUMPRODUCT(INDEX(PortfolioRef[[SPY]:[PE]],MATCH(AQ$1,PortfolioRef[Reference '#]),0),AssetMonthlyReturns[[#This Row],[SPY]:[PE]])</f>
        <v>-2.0909151050487799E-2</v>
      </c>
      <c r="AR40" s="27">
        <f>IF(ISNUMBER(AR39),AR39*(1+PortfolioFrontier[[#This Row],[P11 Return]]),1+PortfolioFrontier[[#This Row],[P11 Return]])</f>
        <v>1.229581888852153</v>
      </c>
      <c r="AS40" s="27">
        <f>MAX(AS39,PortfolioFrontier[[#This Row],[P11 Growth]])</f>
        <v>1.2558404464421236</v>
      </c>
      <c r="AT40" s="27">
        <f>PortfolioFrontier[[#This Row],[P11 Growth]]/PortfolioFrontier[[#This Row],[P11 HWM]]-1</f>
        <v>-2.0909151050487962E-2</v>
      </c>
      <c r="AU40" s="28">
        <f>SUMPRODUCT(INDEX(PortfolioRef[[SPY]:[PE]],MATCH(AU$1,PortfolioRef[Reference '#]),0),AssetMonthlyReturns[[#This Row],[SPY]:[PE]])</f>
        <v>-1.9939845119861428E-2</v>
      </c>
      <c r="AV40" s="27">
        <f>IF(ISNUMBER(AV39),AV39*(1+PortfolioFrontier[[#This Row],[P12 Return]]),1+PortfolioFrontier[[#This Row],[P12 Return]])</f>
        <v>1.2181029426029009</v>
      </c>
      <c r="AW40" s="27">
        <f>MAX(AW39,PortfolioFrontier[[#This Row],[P12 Growth]])</f>
        <v>1.242885894847827</v>
      </c>
      <c r="AX40" s="27">
        <f>PortfolioFrontier[[#This Row],[P12 Growth]]/PortfolioFrontier[[#This Row],[P12 HWM]]-1</f>
        <v>-1.9939845119861466E-2</v>
      </c>
      <c r="AY40" s="28">
        <f>SUMPRODUCT(INDEX(PortfolioRef[[SPY]:[PE]],MATCH(AY$1,PortfolioRef[Reference '#]),0),AssetMonthlyReturns[[#This Row],[SPY]:[PE]])</f>
        <v>-2.1718705301251633E-2</v>
      </c>
      <c r="AZ40" s="27">
        <f>IF(ISNUMBER(AZ39),AZ39*(1+PortfolioFrontier[[#This Row],[P13 Return]]),1+PortfolioFrontier[[#This Row],[P13 Return]])</f>
        <v>1.2407627411453666</v>
      </c>
      <c r="BA40" s="27">
        <f>MAX(BA39,PortfolioFrontier[[#This Row],[P13 Growth]])</f>
        <v>1.2683087654532397</v>
      </c>
      <c r="BB40" s="27">
        <f>PortfolioFrontier[[#This Row],[P13 Growth]]/PortfolioFrontier[[#This Row],[P13 HWM]]-1</f>
        <v>-2.1718705301251529E-2</v>
      </c>
      <c r="BC40" s="28">
        <f>SUMPRODUCT(INDEX(PortfolioRef[[SPY]:[PE]],MATCH(BC$1,PortfolioRef[Reference '#]),0),AssetMonthlyReturns[[#This Row],[SPY]:[PE]])</f>
        <v>-2.0749399370625258E-2</v>
      </c>
      <c r="BD40" s="27">
        <f>IF(ISNUMBER(BD39),BD39*(1+PortfolioFrontier[[#This Row],[P14 Return]]),1+PortfolioFrontier[[#This Row],[P14 Return]])</f>
        <v>1.2293075310607442</v>
      </c>
      <c r="BE40" s="27">
        <f>MAX(BE39,PortfolioFrontier[[#This Row],[P14 Growth]])</f>
        <v>1.2553554016414747</v>
      </c>
      <c r="BF40" s="27">
        <f>PortfolioFrontier[[#This Row],[P14 Growth]]/PortfolioFrontier[[#This Row],[P14 HWM]]-1</f>
        <v>-2.0749399370625143E-2</v>
      </c>
      <c r="BG40" s="28">
        <f>SUMPRODUCT(INDEX(PortfolioRef[[SPY]:[PE]],MATCH(BG$1,PortfolioRef[Reference '#]),0),AssetMonthlyReturns[[#This Row],[SPY]:[PE]])</f>
        <v>-1.9780093439998883E-2</v>
      </c>
      <c r="BH40" s="27">
        <f>IF(ISNUMBER(BH39),BH39*(1+PortfolioFrontier[[#This Row],[P15 Return]]),1+PortfolioFrontier[[#This Row],[P15 Return]])</f>
        <v>1.2177667446646967</v>
      </c>
      <c r="BI40" s="27">
        <f>MAX(BI39,PortfolioFrontier[[#This Row],[P15 Growth]])</f>
        <v>1.2423403529299319</v>
      </c>
      <c r="BJ40" s="27">
        <f>PortfolioFrontier[[#This Row],[P15 Growth]]/PortfolioFrontier[[#This Row],[P15 HWM]]-1</f>
        <v>-1.9780093439998869E-2</v>
      </c>
      <c r="BK40" s="28">
        <f>SUMPRODUCT(INDEX(PortfolioRef[[SPY]:[PE]],MATCH(BK$1,PortfolioRef[Reference '#]),0),AssetMonthlyReturns[[#This Row],[SPY]:[PE]])</f>
        <v>-1.5800907004579368E-2</v>
      </c>
      <c r="BL40" s="27">
        <f>IF(ISNUMBER(BL39),BL39*(1+PortfolioFrontier[[#This Row],[P16 Return]]),1+PortfolioFrontier[[#This Row],[P16 Return]])</f>
        <v>1.2094348894793125</v>
      </c>
      <c r="BM40" s="27">
        <f>MAX(BM39,PortfolioFrontier[[#This Row],[P16 Growth]])</f>
        <v>1.22885186349683</v>
      </c>
      <c r="BN40" s="27">
        <f>PortfolioFrontier[[#This Row],[P16 Growth]]/PortfolioFrontier[[#This Row],[P16 HWM]]-1</f>
        <v>-1.5800907004579368E-2</v>
      </c>
      <c r="BO40" s="28">
        <f>SUMPRODUCT(INDEX(PortfolioRef[[SPY]:[PE]],MATCH(BO$1,PortfolioRef[Reference '#]),0),AssetMonthlyReturns[[#This Row],[SPY]:[PE]])</f>
        <v>-1.5878037611048935E-2</v>
      </c>
      <c r="BP40" s="27">
        <f>IF(ISNUMBER(BP39),BP39*(1+PortfolioFrontier[[#This Row],[P17 Return]]),1+PortfolioFrontier[[#This Row],[P17 Return]])</f>
        <v>1.2056127191051593</v>
      </c>
      <c r="BQ40" s="27">
        <f>MAX(BQ39,PortfolioFrontier[[#This Row],[P17 Growth]])</f>
        <v>1.2250643367195471</v>
      </c>
      <c r="BR40" s="27">
        <f>PortfolioFrontier[[#This Row],[P17 Growth]]/PortfolioFrontier[[#This Row],[P17 HWM]]-1</f>
        <v>-1.5878037611049001E-2</v>
      </c>
      <c r="BS40" s="28">
        <f>SUMPRODUCT(INDEX(PortfolioRef[[SPY]:[PE]],MATCH(BS$1,PortfolioRef[Reference '#]),0),AssetMonthlyReturns[[#This Row],[SPY]:[PE]])</f>
        <v>-1.6687591861812765E-2</v>
      </c>
      <c r="BT40" s="27">
        <f>IF(ISNUMBER(BT39),BT39*(1+PortfolioFrontier[[#This Row],[P18 Return]]),1+PortfolioFrontier[[#This Row],[P18 Return]])</f>
        <v>1.2168513800112413</v>
      </c>
      <c r="BU40" s="27">
        <f>MAX(BU39,PortfolioFrontier[[#This Row],[P18 Growth]])</f>
        <v>1.2375023135477756</v>
      </c>
      <c r="BV40" s="27">
        <f>PortfolioFrontier[[#This Row],[P18 Growth]]/PortfolioFrontier[[#This Row],[P18 HWM]]-1</f>
        <v>-1.6687591861812789E-2</v>
      </c>
      <c r="BW40" s="28">
        <f>SUMPRODUCT(INDEX(PortfolioRef[[SPY]:[PE]],MATCH(BW$1,PortfolioRef[Reference '#]),0),AssetMonthlyReturns[[#This Row],[SPY]:[PE]])</f>
        <v>-1.5718285931186394E-2</v>
      </c>
      <c r="BX40" s="27">
        <f>IF(ISNUMBER(BX39),BX39*(1+PortfolioFrontier[[#This Row],[P19 Return]]),1+PortfolioFrontier[[#This Row],[P19 Return]])</f>
        <v>1.2054070807955006</v>
      </c>
      <c r="BY40" s="27">
        <f>MAX(BY39,PortfolioFrontier[[#This Row],[P19 Growth]])</f>
        <v>1.224656583136754</v>
      </c>
      <c r="BZ40" s="27">
        <f>PortfolioFrontier[[#This Row],[P19 Growth]]/PortfolioFrontier[[#This Row],[P19 HWM]]-1</f>
        <v>-1.5718285931186515E-2</v>
      </c>
      <c r="CA40" s="28">
        <f>SUMPRODUCT(INDEX(PortfolioRef[[SPY]:[PE]],MATCH(CA$1,PortfolioRef[Reference '#]),0),AssetMonthlyReturns[[#This Row],[SPY]:[PE]])</f>
        <v>-1.5955168217518498E-2</v>
      </c>
      <c r="CB40" s="27">
        <f>IF(ISNUMBER(CB39),CB39*(1+PortfolioFrontier[[#This Row],[P20 Return]]),1+PortfolioFrontier[[#This Row],[P20 Return]])</f>
        <v>1.2017186452763173</v>
      </c>
      <c r="CC40" s="27">
        <f>MAX(CC39,PortfolioFrontier[[#This Row],[P20 Growth]])</f>
        <v>1.2212031469130784</v>
      </c>
      <c r="CD40" s="27">
        <f>PortfolioFrontier[[#This Row],[P20 Growth]]/PortfolioFrontier[[#This Row],[P20 HWM]]-1</f>
        <v>-1.5955168217518412E-2</v>
      </c>
      <c r="CE40" s="28">
        <f>SUMPRODUCT(INDEX(PortfolioRef[[SPY]:[PE]],MATCH(CE$1,PortfolioRef[Reference '#]),0),AssetMonthlyReturns[[#This Row],[SPY]:[PE]])</f>
        <v>-1.6764722468282332E-2</v>
      </c>
      <c r="CF40" s="27">
        <f>IF(ISNUMBER(CF39),CF39*(1+PortfolioFrontier[[#This Row],[P21 Return]]),1+PortfolioFrontier[[#This Row],[P21 Return]])</f>
        <v>1.2130098675952401</v>
      </c>
      <c r="CG40" s="27">
        <f>MAX(CG39,PortfolioFrontier[[#This Row],[P21 Growth]])</f>
        <v>1.2336923779223434</v>
      </c>
      <c r="CH40" s="27">
        <f>PortfolioFrontier[[#This Row],[P21 Growth]]/PortfolioFrontier[[#This Row],[P21 HWM]]-1</f>
        <v>-1.6764722468282311E-2</v>
      </c>
      <c r="CI40" s="28">
        <f>SUMPRODUCT(INDEX(PortfolioRef[[SPY]:[PE]],MATCH(CI$1,PortfolioRef[Reference '#]),0),AssetMonthlyReturns[[#This Row],[SPY]:[PE]])</f>
        <v>-1.5795416537655961E-2</v>
      </c>
      <c r="CJ40" s="27">
        <f>IF(ISNUMBER(CJ39),CJ39*(1+PortfolioFrontier[[#This Row],[P22 Return]]),1+PortfolioFrontier[[#This Row],[P22 Return]])</f>
        <v>1.201620848871721</v>
      </c>
      <c r="CK40" s="27">
        <f>MAX(CK39,PortfolioFrontier[[#This Row],[P22 Growth]])</f>
        <v>1.2209055607570185</v>
      </c>
      <c r="CL40" s="27">
        <f>PortfolioFrontier[[#This Row],[P22 Growth]]/PortfolioFrontier[[#This Row],[P22 HWM]]-1</f>
        <v>-1.5795416537655926E-2</v>
      </c>
      <c r="CM40" s="28">
        <f>SUMPRODUCT(INDEX(PortfolioRef[[SPY]:[PE]],MATCH(CM$1,PortfolioRef[Reference '#]),0),AssetMonthlyReturns[[#This Row],[SPY]:[PE]])</f>
        <v>-1.7574276719046166E-2</v>
      </c>
      <c r="CN40" s="27">
        <f>IF(ISNUMBER(CN39),CN39*(1+PortfolioFrontier[[#This Row],[P23 Return]]),1+PortfolioFrontier[[#This Row],[P23 Return]])</f>
        <v>1.2241581652524085</v>
      </c>
      <c r="CO40" s="27">
        <f>MAX(CO39,PortfolioFrontier[[#This Row],[P23 Growth]])</f>
        <v>1.2460567106937652</v>
      </c>
      <c r="CP40" s="27">
        <f>PortfolioFrontier[[#This Row],[P23 Growth]]/PortfolioFrontier[[#This Row],[P23 HWM]]-1</f>
        <v>-1.7574276719046211E-2</v>
      </c>
      <c r="CQ40" s="28">
        <f>SUMPRODUCT(INDEX(PortfolioRef[[SPY]:[PE]],MATCH(CQ$1,PortfolioRef[Reference '#]),0),AssetMonthlyReturns[[#This Row],[SPY]:[PE]])</f>
        <v>-1.6604970788419791E-2</v>
      </c>
      <c r="CR40" s="27">
        <f>IF(ISNUMBER(CR39),CR39*(1+PortfolioFrontier[[#This Row],[P24 Return]]),1+PortfolioFrontier[[#This Row],[P24 Return]])</f>
        <v>1.2127906990323534</v>
      </c>
      <c r="CS40" s="27">
        <f>MAX(CS39,PortfolioFrontier[[#This Row],[P24 Growth]])</f>
        <v>1.2332690963515314</v>
      </c>
      <c r="CT40" s="27">
        <f>PortfolioFrontier[[#This Row],[P24 Growth]]/PortfolioFrontier[[#This Row],[P24 HWM]]-1</f>
        <v>-1.6604970788419715E-2</v>
      </c>
      <c r="CU40" s="28">
        <f>SUMPRODUCT(INDEX(PortfolioRef[[SPY]:[PE]],MATCH(CU$1,PortfolioRef[Reference '#]),0),AssetMonthlyReturns[[#This Row],[SPY]:[PE]])</f>
        <v>-1.5635664857793417E-2</v>
      </c>
      <c r="CV40" s="27">
        <f>IF(ISNUMBER(CV39),CV39*(1+PortfolioFrontier[[#This Row],[P25 Return]]),1+PortfolioFrontier[[#This Row],[P25 Return]])</f>
        <v>1.2013399613234053</v>
      </c>
      <c r="CW40" s="27">
        <f>MAX(CW39,PortfolioFrontier[[#This Row],[P25 Growth]])</f>
        <v>1.2204220718234913</v>
      </c>
      <c r="CX40" s="27">
        <f>PortfolioFrontier[[#This Row],[P25 Growth]]/PortfolioFrontier[[#This Row],[P25 HWM]]-1</f>
        <v>-1.5635664857793441E-2</v>
      </c>
      <c r="CY40" s="28">
        <f>SUMPRODUCT(INDEX(PortfolioRef[[SPY]:[PE]],MATCH(CY$1,PortfolioRef[Reference '#]),0),AssetMonthlyReturns[[#This Row],[SPY]:[PE]])</f>
        <v>-1.6841853074751896E-2</v>
      </c>
      <c r="CZ40" s="27">
        <f>IF(ISNUMBER(CZ39),CZ39*(1+PortfolioFrontier[[#This Row],[P26 Return]]),1+PortfolioFrontier[[#This Row],[P26 Return]])</f>
        <v>1.2090960665809212</v>
      </c>
      <c r="DA40" s="27">
        <f>MAX(DA39,PortfolioFrontier[[#This Row],[P26 Growth]])</f>
        <v>1.229808317575638</v>
      </c>
      <c r="DB40" s="27">
        <f>PortfolioFrontier[[#This Row],[P26 Growth]]/PortfolioFrontier[[#This Row],[P26 HWM]]-1</f>
        <v>-1.6841853074752056E-2</v>
      </c>
      <c r="DC40" s="28">
        <f>SUMPRODUCT(INDEX(PortfolioRef[[SPY]:[PE]],MATCH(DC$1,PortfolioRef[Reference '#]),0),AssetMonthlyReturns[[#This Row],[SPY]:[PE]])</f>
        <v>-1.5872547144125525E-2</v>
      </c>
      <c r="DD40" s="27">
        <f>IF(ISNUMBER(DD39),DD39*(1+PortfolioFrontier[[#This Row],[P27 Return]]),1+PortfolioFrontier[[#This Row],[P27 Return]])</f>
        <v>1.1977627834532869</v>
      </c>
      <c r="DE40" s="27">
        <f>MAX(DE39,PortfolioFrontier[[#This Row],[P27 Growth]])</f>
        <v>1.2170809583428006</v>
      </c>
      <c r="DF40" s="27">
        <f>PortfolioFrontier[[#This Row],[P27 Growth]]/PortfolioFrontier[[#This Row],[P27 HWM]]-1</f>
        <v>-1.587254714412567E-2</v>
      </c>
      <c r="DG40" s="28">
        <f>SUMPRODUCT(INDEX(PortfolioRef[[SPY]:[PE]],MATCH(DG$1,PortfolioRef[Reference '#]),0),AssetMonthlyReturns[[#This Row],[SPY]:[PE]])</f>
        <v>-1.7651407325515733E-2</v>
      </c>
      <c r="DH40" s="27">
        <f>IF(ISNUMBER(DH39),DH39*(1+PortfolioFrontier[[#This Row],[P28 Return]]),1+PortfolioFrontier[[#This Row],[P28 Return]])</f>
        <v>1.2202978709113139</v>
      </c>
      <c r="DI40" s="27">
        <f>MAX(DI39,PortfolioFrontier[[#This Row],[P28 Growth]])</f>
        <v>1.2422248884064699</v>
      </c>
      <c r="DJ40" s="27">
        <f>PortfolioFrontier[[#This Row],[P28 Growth]]/PortfolioFrontier[[#This Row],[P28 HWM]]-1</f>
        <v>-1.7651407325515844E-2</v>
      </c>
      <c r="DK40" s="28">
        <f>SUMPRODUCT(INDEX(PortfolioRef[[SPY]:[PE]],MATCH(DK$1,PortfolioRef[Reference '#]),0),AssetMonthlyReturns[[#This Row],[SPY]:[PE]])</f>
        <v>-1.6682101394889359E-2</v>
      </c>
      <c r="DL40" s="27">
        <f>IF(ISNUMBER(DL39),DL39*(1+PortfolioFrontier[[#This Row],[P29 Return]]),1+PortfolioFrontier[[#This Row],[P29 Return]])</f>
        <v>1.2089854049068405</v>
      </c>
      <c r="DM40" s="27">
        <f>MAX(DM39,PortfolioFrontier[[#This Row],[P29 Growth]])</f>
        <v>1.2294959815354234</v>
      </c>
      <c r="DN40" s="27">
        <f>PortfolioFrontier[[#This Row],[P29 Growth]]/PortfolioFrontier[[#This Row],[P29 HWM]]-1</f>
        <v>-1.6682101394889348E-2</v>
      </c>
      <c r="DO40" s="28">
        <f>SUMPRODUCT(INDEX(PortfolioRef[[SPY]:[PE]],MATCH(DO$1,PortfolioRef[Reference '#]),0),AssetMonthlyReturns[[#This Row],[SPY]:[PE]])</f>
        <v>-1.5712795464262984E-2</v>
      </c>
      <c r="DP40" s="27">
        <f>IF(ISNUMBER(DP39),DP39*(1+PortfolioFrontier[[#This Row],[P30 Return]]),1+PortfolioFrontier[[#This Row],[P30 Return]])</f>
        <v>1.1975896198588616</v>
      </c>
      <c r="DQ40" s="27">
        <f>MAX(DQ39,PortfolioFrontier[[#This Row],[P30 Growth]])</f>
        <v>1.216707495881483</v>
      </c>
      <c r="DR40" s="27">
        <f>PortfolioFrontier[[#This Row],[P30 Growth]]/PortfolioFrontier[[#This Row],[P30 HWM]]-1</f>
        <v>-1.5712795464263074E-2</v>
      </c>
      <c r="DS40" s="28">
        <f>SUMPRODUCT(INDEX(PortfolioRef[[SPY]:[PE]],MATCH(DS$1,PortfolioRef[Reference '#]),0),AssetMonthlyReturns[[#This Row],[SPY]:[PE]])</f>
        <v>-1.8460961576279564E-2</v>
      </c>
      <c r="DT40" s="27">
        <f>IF(ISNUMBER(DT39),DT39*(1+PortfolioFrontier[[#This Row],[P31 Return]]),1+PortfolioFrontier[[#This Row],[P31 Return]])</f>
        <v>1.2313526323684152</v>
      </c>
      <c r="DU40" s="27">
        <f>MAX(DU39,PortfolioFrontier[[#This Row],[P31 Growth]])</f>
        <v>1.2545121326461726</v>
      </c>
      <c r="DV40" s="27">
        <f>PortfolioFrontier[[#This Row],[P31 Growth]]/PortfolioFrontier[[#This Row],[P31 HWM]]-1</f>
        <v>-1.8460961576279411E-2</v>
      </c>
      <c r="DW40" s="28">
        <f>SUMPRODUCT(INDEX(PortfolioRef[[SPY]:[PE]],MATCH(DW$1,PortfolioRef[Reference '#]),0),AssetMonthlyReturns[[#This Row],[SPY]:[PE]])</f>
        <v>-1.7491655645653192E-2</v>
      </c>
      <c r="DX40" s="27">
        <f>IF(ISNUMBER(DX39),DX39*(1+PortfolioFrontier[[#This Row],[P32 Return]]),1+PortfolioFrontier[[#This Row],[P32 Return]])</f>
        <v>1.2200647529898834</v>
      </c>
      <c r="DY40" s="27">
        <f>MAX(DY39,PortfolioFrontier[[#This Row],[P32 Growth]])</f>
        <v>1.2417856397867504</v>
      </c>
      <c r="DZ40" s="27">
        <f>PortfolioFrontier[[#This Row],[P32 Growth]]/PortfolioFrontier[[#This Row],[P32 HWM]]-1</f>
        <v>-1.7491655645653248E-2</v>
      </c>
      <c r="EA40" s="28">
        <f>SUMPRODUCT(INDEX(PortfolioRef[[SPY]:[PE]],MATCH(EA$1,PortfolioRef[Reference '#]),0),AssetMonthlyReturns[[#This Row],[SPY]:[PE]])</f>
        <v>-1.6522349715026814E-2</v>
      </c>
      <c r="EB40" s="27">
        <f>IF(ISNUMBER(EB39),EB39*(1+PortfolioFrontier[[#This Row],[P33 Return]]),1+PortfolioFrontier[[#This Row],[P33 Return]])</f>
        <v>1.2086904832009304</v>
      </c>
      <c r="EC40" s="27">
        <f>MAX(EC39,PortfolioFrontier[[#This Row],[P33 Growth]])</f>
        <v>1.2289963913777802</v>
      </c>
      <c r="ED40" s="27">
        <f>PortfolioFrontier[[#This Row],[P33 Growth]]/PortfolioFrontier[[#This Row],[P33 HWM]]-1</f>
        <v>-1.6522349715026863E-2</v>
      </c>
      <c r="EE40" s="28">
        <f>SUMPRODUCT(INDEX(PortfolioRef[[SPY]:[PE]],MATCH(EE$1,PortfolioRef[Reference '#]),0),AssetMonthlyReturns[[#This Row],[SPY]:[PE]])</f>
        <v>-1.1656478422373901E-2</v>
      </c>
      <c r="EF40" s="27">
        <f>IF(ISNUMBER(EF39),EF39*(1+PortfolioFrontier[[#This Row],[P34 Return]]),1+PortfolioFrontier[[#This Row],[P34 Return]])</f>
        <v>1.1929068172272839</v>
      </c>
      <c r="EG40" s="27">
        <f>MAX(EG39,PortfolioFrontier[[#This Row],[P34 Growth]])</f>
        <v>1.2069759058299154</v>
      </c>
      <c r="EH40" s="27">
        <f>PortfolioFrontier[[#This Row],[P34 Growth]]/PortfolioFrontier[[#This Row],[P34 HWM]]-1</f>
        <v>-1.1656478422373828E-2</v>
      </c>
      <c r="EI40" s="28">
        <f>SUMPRODUCT(INDEX(PortfolioRef[[SPY]:[PE]],MATCH(EI$1,PortfolioRef[Reference '#]),0),AssetMonthlyReturns[[#This Row],[SPY]:[PE]])</f>
        <v>-1.1733609028843468E-2</v>
      </c>
      <c r="EJ40" s="27">
        <f>IF(ISNUMBER(EJ39),EJ39*(1+PortfolioFrontier[[#This Row],[P35 Return]]),1+PortfolioFrontier[[#This Row],[P35 Return]])</f>
        <v>1.1891139491283269</v>
      </c>
      <c r="EK40" s="27">
        <f>MAX(EK39,PortfolioFrontier[[#This Row],[P35 Growth]])</f>
        <v>1.2032322053973727</v>
      </c>
      <c r="EL40" s="27">
        <f>PortfolioFrontier[[#This Row],[P35 Growth]]/PortfolioFrontier[[#This Row],[P35 HWM]]-1</f>
        <v>-1.1733609028843461E-2</v>
      </c>
      <c r="EM40" s="28">
        <f>SUMPRODUCT(INDEX(PortfolioRef[[SPY]:[PE]],MATCH(EM$1,PortfolioRef[Reference '#]),0),AssetMonthlyReturns[[#This Row],[SPY]:[PE]])</f>
        <v>-1.2543163279607299E-2</v>
      </c>
      <c r="EN40" s="27">
        <f>IF(ISNUMBER(EN39),EN39*(1+PortfolioFrontier[[#This Row],[P36 Return]]),1+PortfolioFrontier[[#This Row],[P36 Return]])</f>
        <v>1.2003138422146067</v>
      </c>
      <c r="EO40" s="27">
        <f>MAX(EO39,PortfolioFrontier[[#This Row],[P36 Growth]])</f>
        <v>1.2155608200568733</v>
      </c>
      <c r="EP40" s="27">
        <f>PortfolioFrontier[[#This Row],[P36 Growth]]/PortfolioFrontier[[#This Row],[P36 HWM]]-1</f>
        <v>-1.254316327960725E-2</v>
      </c>
      <c r="EQ40" s="28">
        <f>SUMPRODUCT(INDEX(PortfolioRef[[SPY]:[PE]],MATCH(EQ$1,PortfolioRef[Reference '#]),0),AssetMonthlyReturns[[#This Row],[SPY]:[PE]])</f>
        <v>-1.1573857348980927E-2</v>
      </c>
      <c r="ER40" s="27">
        <f>IF(ISNUMBER(ER39),ER39*(1+PortfolioFrontier[[#This Row],[P37 Return]]),1+PortfolioFrontier[[#This Row],[P37 Return]])</f>
        <v>1.188961040562279</v>
      </c>
      <c r="ES40" s="27">
        <f>MAX(ES39,PortfolioFrontier[[#This Row],[P37 Growth]])</f>
        <v>1.2028830372428365</v>
      </c>
      <c r="ET40" s="27">
        <f>PortfolioFrontier[[#This Row],[P37 Growth]]/PortfolioFrontier[[#This Row],[P37 HWM]]-1</f>
        <v>-1.1573857348980865E-2</v>
      </c>
      <c r="EU40" s="28">
        <f>SUMPRODUCT(INDEX(PortfolioRef[[SPY]:[PE]],MATCH(EU$1,PortfolioRef[Reference '#]),0),AssetMonthlyReturns[[#This Row],[SPY]:[PE]])</f>
        <v>-1.1810739635313034E-2</v>
      </c>
      <c r="EV40" s="27">
        <f>IF(ISNUMBER(EV39),EV39*(1+PortfolioFrontier[[#This Row],[P38 Return]]),1+PortfolioFrontier[[#This Row],[P38 Return]])</f>
        <v>1.1852502246532803</v>
      </c>
      <c r="EW40" s="27">
        <f>MAX(EW39,PortfolioFrontier[[#This Row],[P38 Growth]])</f>
        <v>1.1994162173103042</v>
      </c>
      <c r="EX40" s="27">
        <f>PortfolioFrontier[[#This Row],[P38 Growth]]/PortfolioFrontier[[#This Row],[P38 HWM]]-1</f>
        <v>-1.1810739635312872E-2</v>
      </c>
      <c r="EY40" s="28">
        <f>SUMPRODUCT(INDEX(PortfolioRef[[SPY]:[PE]],MATCH(EY$1,PortfolioRef[Reference '#]),0),AssetMonthlyReturns[[#This Row],[SPY]:[PE]])</f>
        <v>-1.2620293886076866E-2</v>
      </c>
      <c r="EZ40" s="27">
        <f>IF(ISNUMBER(EZ39),EZ39*(1+PortfolioFrontier[[#This Row],[P39 Return]]),1+PortfolioFrontier[[#This Row],[P39 Return]])</f>
        <v>1.1965013469978423</v>
      </c>
      <c r="FA40" s="27">
        <f>MAX(FA39,PortfolioFrontier[[#This Row],[P39 Growth]])</f>
        <v>1.2117945503528416</v>
      </c>
      <c r="FB40" s="27">
        <f>PortfolioFrontier[[#This Row],[P39 Growth]]/PortfolioFrontier[[#This Row],[P39 HWM]]-1</f>
        <v>-1.2620293886076883E-2</v>
      </c>
      <c r="FC40" s="28">
        <f>SUMPRODUCT(INDEX(PortfolioRef[[SPY]:[PE]],MATCH(FC$1,PortfolioRef[Reference '#]),0),AssetMonthlyReturns[[#This Row],[SPY]:[PE]])</f>
        <v>-1.1650987955450495E-2</v>
      </c>
      <c r="FD40" s="27">
        <f>IF(ISNUMBER(FD39),FD39*(1+PortfolioFrontier[[#This Row],[P40 Return]]),1+PortfolioFrontier[[#This Row],[P40 Return]])</f>
        <v>1.1852035969156078</v>
      </c>
      <c r="FE40" s="27">
        <f>MAX(FE39,PortfolioFrontier[[#This Row],[P40 Growth]])</f>
        <v>1.1991751724057829</v>
      </c>
      <c r="FF40" s="27">
        <f>PortfolioFrontier[[#This Row],[P40 Growth]]/PortfolioFrontier[[#This Row],[P40 HWM]]-1</f>
        <v>-1.1650987955450498E-2</v>
      </c>
      <c r="FG40" s="28">
        <f>SUMPRODUCT(INDEX(PortfolioRef[[SPY]:[PE]],MATCH(FG$1,PortfolioRef[Reference '#]),0),AssetMonthlyReturns[[#This Row],[SPY]:[PE]])</f>
        <v>-1.3429848136840698E-2</v>
      </c>
      <c r="FH40" s="27">
        <f>IF(ISNUMBER(FH39),FH39*(1+PortfolioFrontier[[#This Row],[P41 Return]]),1+PortfolioFrontier[[#This Row],[P41 Return]])</f>
        <v>1.2076139679879316</v>
      </c>
      <c r="FI40" s="27">
        <f>MAX(FI39,PortfolioFrontier[[#This Row],[P41 Growth]])</f>
        <v>1.2240528113559144</v>
      </c>
      <c r="FJ40" s="27">
        <f>PortfolioFrontier[[#This Row],[P41 Growth]]/PortfolioFrontier[[#This Row],[P41 HWM]]-1</f>
        <v>-1.3429848136840561E-2</v>
      </c>
      <c r="FK40" s="28">
        <f>SUMPRODUCT(INDEX(PortfolioRef[[SPY]:[PE]],MATCH(FK$1,PortfolioRef[Reference '#]),0),AssetMonthlyReturns[[#This Row],[SPY]:[PE]])</f>
        <v>-1.2460542206214325E-2</v>
      </c>
      <c r="FL40" s="27">
        <f>IF(ISNUMBER(FL39),FL39*(1+PortfolioFrontier[[#This Row],[P42 Return]]),1+PortfolioFrontier[[#This Row],[P42 Return]])</f>
        <v>1.1963356422427711</v>
      </c>
      <c r="FM40" s="27">
        <f>MAX(FM39,PortfolioFrontier[[#This Row],[P42 Growth]])</f>
        <v>1.211430725933166</v>
      </c>
      <c r="FN40" s="27">
        <f>PortfolioFrontier[[#This Row],[P42 Growth]]/PortfolioFrontier[[#This Row],[P42 HWM]]-1</f>
        <v>-1.2460542206214176E-2</v>
      </c>
      <c r="FO40" s="28">
        <f>SUMPRODUCT(INDEX(PortfolioRef[[SPY]:[PE]],MATCH(FO$1,PortfolioRef[Reference '#]),0),AssetMonthlyReturns[[#This Row],[SPY]:[PE]])</f>
        <v>-1.149123627558795E-2</v>
      </c>
      <c r="FP40" s="27">
        <f>IF(ISNUMBER(FP39),FP39*(1+PortfolioFrontier[[#This Row],[P43 Return]]),1+PortfolioFrontier[[#This Row],[P43 Return]])</f>
        <v>1.1849763102967112</v>
      </c>
      <c r="FQ40" s="27">
        <f>MAX(FQ39,PortfolioFrontier[[#This Row],[P43 Growth]])</f>
        <v>1.1987514464030313</v>
      </c>
      <c r="FR40" s="27">
        <f>PortfolioFrontier[[#This Row],[P43 Growth]]/PortfolioFrontier[[#This Row],[P43 HWM]]-1</f>
        <v>-1.1491236275588013E-2</v>
      </c>
      <c r="FS40" s="28">
        <f>SUMPRODUCT(INDEX(PortfolioRef[[SPY]:[PE]],MATCH(FS$1,PortfolioRef[Reference '#]),0),AssetMonthlyReturns[[#This Row],[SPY]:[PE]])</f>
        <v>-1.2697424492546431E-2</v>
      </c>
      <c r="FT40" s="27">
        <f>IF(ISNUMBER(FT39),FT39*(1+PortfolioFrontier[[#This Row],[P44 Return]]),1+PortfolioFrontier[[#This Row],[P44 Return]])</f>
        <v>1.1926176117129361</v>
      </c>
      <c r="FU40" s="27">
        <f>MAX(FU39,PortfolioFrontier[[#This Row],[P44 Growth]])</f>
        <v>1.207955535920642</v>
      </c>
      <c r="FV40" s="27">
        <f>PortfolioFrontier[[#This Row],[P44 Growth]]/PortfolioFrontier[[#This Row],[P44 HWM]]-1</f>
        <v>-1.2697424492546516E-2</v>
      </c>
      <c r="FW40" s="28">
        <f>SUMPRODUCT(INDEX(PortfolioRef[[SPY]:[PE]],MATCH(FW$1,PortfolioRef[Reference '#]),0),AssetMonthlyReturns[[#This Row],[SPY]:[PE]])</f>
        <v>-1.172811856192006E-2</v>
      </c>
      <c r="FX40" s="27">
        <f>IF(ISNUMBER(FX39),FX39*(1+PortfolioFrontier[[#This Row],[P45 Return]]),1+PortfolioFrontier[[#This Row],[P45 Return]])</f>
        <v>1.1813753638489317</v>
      </c>
      <c r="FY40" s="27">
        <f>MAX(FY39,PortfolioFrontier[[#This Row],[P45 Growth]])</f>
        <v>1.1953950993018823</v>
      </c>
      <c r="FZ40" s="27">
        <f>PortfolioFrontier[[#This Row],[P45 Growth]]/PortfolioFrontier[[#This Row],[P45 HWM]]-1</f>
        <v>-1.1728118561919909E-2</v>
      </c>
      <c r="GA40" s="28">
        <f>SUMPRODUCT(INDEX(PortfolioRef[[SPY]:[PE]],MATCH(GA$1,PortfolioRef[Reference '#]),0),AssetMonthlyReturns[[#This Row],[SPY]:[PE]])</f>
        <v>-1.3506978743310265E-2</v>
      </c>
      <c r="GB40" s="27">
        <f>IF(ISNUMBER(GB39),GB39*(1+PortfolioFrontier[[#This Row],[P46 Return]]),1+PortfolioFrontier[[#This Row],[P46 Return]])</f>
        <v>1.2037823936799206</v>
      </c>
      <c r="GC40" s="27">
        <f>MAX(GC39,PortfolioFrontier[[#This Row],[P46 Growth]])</f>
        <v>1.2202644800734899</v>
      </c>
      <c r="GD40" s="27">
        <f>PortfolioFrontier[[#This Row],[P46 Growth]]/PortfolioFrontier[[#This Row],[P46 HWM]]-1</f>
        <v>-1.3506978743310305E-2</v>
      </c>
      <c r="GE40" s="28">
        <f>SUMPRODUCT(INDEX(PortfolioRef[[SPY]:[PE]],MATCH(GE$1,PortfolioRef[Reference '#]),0),AssetMonthlyReturns[[#This Row],[SPY]:[PE]])</f>
        <v>-1.2537672812683892E-2</v>
      </c>
      <c r="GF40" s="27">
        <f>IF(ISNUMBER(GF39),GF39*(1+PortfolioFrontier[[#This Row],[P47 Return]]),1+PortfolioFrontier[[#This Row],[P47 Return]])</f>
        <v>1.1925588494732104</v>
      </c>
      <c r="GG40" s="27">
        <f>MAX(GG39,PortfolioFrontier[[#This Row],[P47 Growth]])</f>
        <v>1.207700604508215</v>
      </c>
      <c r="GH40" s="27">
        <f>PortfolioFrontier[[#This Row],[P47 Growth]]/PortfolioFrontier[[#This Row],[P47 HWM]]-1</f>
        <v>-1.253767281268392E-2</v>
      </c>
      <c r="GI40" s="28">
        <f>SUMPRODUCT(INDEX(PortfolioRef[[SPY]:[PE]],MATCH(GI$1,PortfolioRef[Reference '#]),0),AssetMonthlyReturns[[#This Row],[SPY]:[PE]])</f>
        <v>-1.1568366882057517E-2</v>
      </c>
      <c r="GJ40" s="27">
        <f>IF(ISNUMBER(GJ39),GJ39*(1+PortfolioFrontier[[#This Row],[P48 Return]]),1+PortfolioFrontier[[#This Row],[P48 Return]])</f>
        <v>1.1812542458544604</v>
      </c>
      <c r="GK40" s="27">
        <f>MAX(GK39,PortfolioFrontier[[#This Row],[P48 Growth]])</f>
        <v>1.1950793623715499</v>
      </c>
      <c r="GL40" s="27">
        <f>PortfolioFrontier[[#This Row],[P48 Growth]]/PortfolioFrontier[[#This Row],[P48 HWM]]-1</f>
        <v>-1.1568366882057535E-2</v>
      </c>
      <c r="GM40" s="28">
        <f>SUMPRODUCT(INDEX(PortfolioRef[[SPY]:[PE]],MATCH(GM$1,PortfolioRef[Reference '#]),0),AssetMonthlyReturns[[#This Row],[SPY]:[PE]])</f>
        <v>-1.4316532994074097E-2</v>
      </c>
      <c r="GN40" s="27">
        <f>IF(ISNUMBER(GN39),GN39*(1+PortfolioFrontier[[#This Row],[P49 Return]]),1+PortfolioFrontier[[#This Row],[P49 Return]])</f>
        <v>1.2148046089030309</v>
      </c>
      <c r="GO40" s="27">
        <f>MAX(GO39,PortfolioFrontier[[#This Row],[P49 Growth]])</f>
        <v>1.2324490057574715</v>
      </c>
      <c r="GP40" s="27">
        <f>PortfolioFrontier[[#This Row],[P49 Growth]]/PortfolioFrontier[[#This Row],[P49 HWM]]-1</f>
        <v>-1.4316532994074094E-2</v>
      </c>
      <c r="GQ40" s="28">
        <f>SUMPRODUCT(INDEX(PortfolioRef[[SPY]:[PE]],MATCH(GQ$1,PortfolioRef[Reference '#]),0),AssetMonthlyReturns[[#This Row],[SPY]:[PE]])</f>
        <v>-1.3347227063447726E-2</v>
      </c>
      <c r="GR40" s="27">
        <f>IF(ISNUMBER(GR39),GR39*(1+PortfolioFrontier[[#This Row],[P50 Return]]),1+PortfolioFrontier[[#This Row],[P50 Return]])</f>
        <v>1.2036034802404083</v>
      </c>
      <c r="GS40" s="27">
        <f>MAX(GS39,PortfolioFrontier[[#This Row],[P50 Growth]])</f>
        <v>1.2198855699337372</v>
      </c>
      <c r="GT40" s="27">
        <f>PortfolioFrontier[[#This Row],[P50 Growth]]/PortfolioFrontier[[#This Row],[P50 HWM]]-1</f>
        <v>-1.3347227063447709E-2</v>
      </c>
      <c r="GU40" s="28">
        <f>SUMPRODUCT(INDEX(PortfolioRef[[SPY]:[PE]],MATCH(GU$1,PortfolioRef[Reference '#]),0),AssetMonthlyReturns[[#This Row],[SPY]:[PE]])</f>
        <v>-1.2377921132821348E-2</v>
      </c>
      <c r="GV40" s="27">
        <f>IF(ISNUMBER(GV39),GV39*(1+PortfolioFrontier[[#This Row],[P51 Return]]),1+PortfolioFrontier[[#This Row],[P51 Return]])</f>
        <v>1.1923182634699543</v>
      </c>
      <c r="GW40" s="27">
        <f>MAX(GW39,PortfolioFrontier[[#This Row],[P51 Growth]])</f>
        <v>1.207261652997436</v>
      </c>
      <c r="GX40" s="27">
        <f>PortfolioFrontier[[#This Row],[P51 Growth]]/PortfolioFrontier[[#This Row],[P51 HWM]]-1</f>
        <v>-1.2377921132821323E-2</v>
      </c>
      <c r="GY40" s="28">
        <f>SUMPRODUCT(INDEX(PortfolioRef[[SPY]:[PE]],MATCH(GY$1,PortfolioRef[Reference '#]),0),AssetMonthlyReturns[[#This Row],[SPY]:[PE]])</f>
        <v>-1.3584109349779831E-2</v>
      </c>
      <c r="GZ40" s="27">
        <f>IF(ISNUMBER(GZ39),GZ39*(1+PortfolioFrontier[[#This Row],[P52 Return]]),1+PortfolioFrontier[[#This Row],[P52 Return]])</f>
        <v>1.1998792002079768</v>
      </c>
      <c r="HA40" s="27">
        <f>MAX(HA39,PortfolioFrontier[[#This Row],[P52 Growth]])</f>
        <v>1.2164029509064853</v>
      </c>
      <c r="HB40" s="27">
        <f>PortfolioFrontier[[#This Row],[P52 Growth]]/PortfolioFrontier[[#This Row],[P52 HWM]]-1</f>
        <v>-1.3584109349779827E-2</v>
      </c>
      <c r="HC40" s="28">
        <f>SUMPRODUCT(INDEX(PortfolioRef[[SPY]:[PE]],MATCH(HC$1,PortfolioRef[Reference '#]),0),AssetMonthlyReturns[[#This Row],[SPY]:[PE]])</f>
        <v>-1.2614803419153456E-2</v>
      </c>
      <c r="HD40" s="27">
        <f>IF(ISNUMBER(HD39),HD39*(1+PortfolioFrontier[[#This Row],[P53 Return]]),1+PortfolioFrontier[[#This Row],[P53 Return]])</f>
        <v>1.1887108841648608</v>
      </c>
      <c r="HE40" s="27">
        <f>MAX(HE39,PortfolioFrontier[[#This Row],[P53 Growth]])</f>
        <v>1.2038978184817559</v>
      </c>
      <c r="HF40" s="27">
        <f>PortfolioFrontier[[#This Row],[P53 Growth]]/PortfolioFrontier[[#This Row],[P53 HWM]]-1</f>
        <v>-1.2614803419153553E-2</v>
      </c>
      <c r="HG40" s="28">
        <f>SUMPRODUCT(INDEX(PortfolioRef[[SPY]:[PE]],MATCH(HG$1,PortfolioRef[Reference '#]),0),AssetMonthlyReturns[[#This Row],[SPY]:[PE]])</f>
        <v>-1.1645497488527081E-2</v>
      </c>
      <c r="HH40" s="27">
        <f>IF(ISNUMBER(HH39),HH39*(1+PortfolioFrontier[[#This Row],[P54 Return]]),1+PortfolioFrontier[[#This Row],[P54 Return]])</f>
        <v>1.1774614627924838</v>
      </c>
      <c r="HI40" s="27">
        <f>MAX(HI39,PortfolioFrontier[[#This Row],[P54 Growth]])</f>
        <v>1.1913351533285657</v>
      </c>
      <c r="HJ40" s="27">
        <f>PortfolioFrontier[[#This Row],[P54 Growth]]/PortfolioFrontier[[#This Row],[P54 HWM]]-1</f>
        <v>-1.1645497488527168E-2</v>
      </c>
      <c r="HK40" s="28">
        <f>SUMPRODUCT(INDEX(PortfolioRef[[SPY]:[PE]],MATCH(HK$1,PortfolioRef[Reference '#]),0),AssetMonthlyReturns[[#This Row],[SPY]:[PE]])</f>
        <v>-1.4393663600543664E-2</v>
      </c>
      <c r="HL40" s="27">
        <f>IF(ISNUMBER(HL39),HL39*(1+PortfolioFrontier[[#This Row],[P55 Return]]),1+PortfolioFrontier[[#This Row],[P55 Return]])</f>
        <v>1.2109545143448657</v>
      </c>
      <c r="HM40" s="27">
        <f>MAX(HM39,PortfolioFrontier[[#This Row],[P55 Growth]])</f>
        <v>1.2286391327075215</v>
      </c>
      <c r="HN40" s="27">
        <f>PortfolioFrontier[[#This Row],[P55 Growth]]/PortfolioFrontier[[#This Row],[P55 HWM]]-1</f>
        <v>-1.4393663600543616E-2</v>
      </c>
      <c r="HO40" s="28">
        <f>SUMPRODUCT(INDEX(PortfolioRef[[SPY]:[PE]],MATCH(HO$1,PortfolioRef[Reference '#]),0),AssetMonthlyReturns[[#This Row],[SPY]:[PE]])</f>
        <v>-1.3424357669917293E-2</v>
      </c>
      <c r="HP40" s="27">
        <f>IF(ISNUMBER(HP39),HP39*(1+PortfolioFrontier[[#This Row],[P56 Return]]),1+PortfolioFrontier[[#This Row],[P56 Return]])</f>
        <v>1.1998078846804192</v>
      </c>
      <c r="HQ40" s="27">
        <f>MAX(HQ39,PortfolioFrontier[[#This Row],[P56 Growth]])</f>
        <v>1.216133698422482</v>
      </c>
      <c r="HR40" s="27">
        <f>PortfolioFrontier[[#This Row],[P56 Growth]]/PortfolioFrontier[[#This Row],[P56 HWM]]-1</f>
        <v>-1.3424357669917342E-2</v>
      </c>
      <c r="HS40" s="28">
        <f>SUMPRODUCT(INDEX(PortfolioRef[[SPY]:[PE]],MATCH(HS$1,PortfolioRef[Reference '#]),0),AssetMonthlyReturns[[#This Row],[SPY]:[PE]])</f>
        <v>-1.2455051739290915E-2</v>
      </c>
      <c r="HT40" s="27">
        <f>IF(ISNUMBER(HT39),HT39*(1+PortfolioFrontier[[#This Row],[P57 Return]]),1+PortfolioFrontier[[#This Row],[P57 Return]])</f>
        <v>1.1885771269958103</v>
      </c>
      <c r="HU40" s="27">
        <f>MAX(HU39,PortfolioFrontier[[#This Row],[P57 Growth]])</f>
        <v>1.2035676240247744</v>
      </c>
      <c r="HV40" s="27">
        <f>PortfolioFrontier[[#This Row],[P57 Growth]]/PortfolioFrontier[[#This Row],[P57 HWM]]-1</f>
        <v>-1.2455051739290957E-2</v>
      </c>
      <c r="HW40" s="28">
        <f>SUMPRODUCT(INDEX(PortfolioRef[[SPY]:[PE]],MATCH(HW$1,PortfolioRef[Reference '#]),0),AssetMonthlyReturns[[#This Row],[SPY]:[PE]])</f>
        <v>-1.5203217851307495E-2</v>
      </c>
      <c r="HX40" s="27">
        <f>IF(ISNUMBER(HX39),HX39*(1+PortfolioFrontier[[#This Row],[P58 Return]]),1+PortfolioFrontier[[#This Row],[P58 Return]])</f>
        <v>1.2218831868391955</v>
      </c>
      <c r="HY40" s="27">
        <f>MAX(HY39,PortfolioFrontier[[#This Row],[P58 Growth]])</f>
        <v>1.2407465265810604</v>
      </c>
      <c r="HZ40" s="27">
        <f>PortfolioFrontier[[#This Row],[P58 Growth]]/PortfolioFrontier[[#This Row],[P58 HWM]]-1</f>
        <v>-1.5203217851307516E-2</v>
      </c>
      <c r="IA40" s="28">
        <f>SUMPRODUCT(INDEX(PortfolioRef[[SPY]:[PE]],MATCH(IA$1,PortfolioRef[Reference '#]),0),AssetMonthlyReturns[[#This Row],[SPY]:[PE]])</f>
        <v>-1.4233911920681123E-2</v>
      </c>
      <c r="IB40" s="27">
        <f>IF(ISNUMBER(IB39),IB39*(1+PortfolioFrontier[[#This Row],[P59 Return]]),1+PortfolioFrontier[[#This Row],[P59 Return]])</f>
        <v>1.2107619751367737</v>
      </c>
      <c r="IC40" s="27">
        <f>MAX(IC39,PortfolioFrontier[[#This Row],[P59 Growth]])</f>
        <v>1.2282447020426928</v>
      </c>
      <c r="ID40" s="27">
        <f>PortfolioFrontier[[#This Row],[P59 Growth]]/PortfolioFrontier[[#This Row],[P59 HWM]]-1</f>
        <v>-1.4233911920681241E-2</v>
      </c>
      <c r="IE40" s="28">
        <f>SUMPRODUCT(INDEX(PortfolioRef[[SPY]:[PE]],MATCH(IE$1,PortfolioRef[Reference '#]),0),AssetMonthlyReturns[[#This Row],[SPY]:[PE]])</f>
        <v>-1.3264605990054749E-2</v>
      </c>
      <c r="IF40" s="27">
        <f>IF(ISNUMBER(IF39),IF39*(1+PortfolioFrontier[[#This Row],[P60 Return]]),1+PortfolioFrontier[[#This Row],[P60 Return]])</f>
        <v>1.199553591613711</v>
      </c>
      <c r="IG40" s="27">
        <f>MAX(IG39,PortfolioFrontier[[#This Row],[P60 Growth]])</f>
        <v>1.2156790958302452</v>
      </c>
      <c r="IH40" s="27">
        <f>PortfolioFrontier[[#This Row],[P60 Growth]]/PortfolioFrontier[[#This Row],[P60 HWM]]-1</f>
        <v>-1.3264605990054745E-2</v>
      </c>
      <c r="II40" s="28">
        <f>SUMPRODUCT(INDEX(PortfolioRef[[SPY]:[PE]],MATCH(II$1,PortfolioRef[Reference '#]),0),AssetMonthlyReturns[[#This Row],[SPY]:[PE]])</f>
        <v>-7.5120498401684312E-3</v>
      </c>
      <c r="IJ40" s="27">
        <f>IF(ISNUMBER(IJ39),IJ39*(1+PortfolioFrontier[[#This Row],[P61 Return]]),1+PortfolioFrontier[[#This Row],[P61 Return]])</f>
        <v>1.1764479505601233</v>
      </c>
      <c r="IK40" s="27">
        <f>MAX(IK39,PortfolioFrontier[[#This Row],[P61 Growth]])</f>
        <v>1.1853523766919956</v>
      </c>
      <c r="IL40" s="27">
        <f>PortfolioFrontier[[#This Row],[P61 Growth]]/PortfolioFrontier[[#This Row],[P61 HWM]]-1</f>
        <v>-7.5120498401682889E-3</v>
      </c>
      <c r="IM40" s="28">
        <f>SUMPRODUCT(INDEX(PortfolioRef[[SPY]:[PE]],MATCH(IM$1,PortfolioRef[Reference '#]),0),AssetMonthlyReturns[[#This Row],[SPY]:[PE]])</f>
        <v>-7.5891804466380018E-3</v>
      </c>
      <c r="IN40" s="27">
        <f>IF(ISNUMBER(IN39),IN39*(1+PortfolioFrontier[[#This Row],[P62 Return]]),1+PortfolioFrontier[[#This Row],[P62 Return]])</f>
        <v>1.1726849516140734</v>
      </c>
      <c r="IO40" s="27">
        <f>MAX(IO39,PortfolioFrontier[[#This Row],[P62 Growth]])</f>
        <v>1.1816527273874788</v>
      </c>
      <c r="IP40" s="27">
        <f>PortfolioFrontier[[#This Row],[P62 Growth]]/PortfolioFrontier[[#This Row],[P62 HWM]]-1</f>
        <v>-7.589180446637922E-3</v>
      </c>
      <c r="IQ40" s="28">
        <f>SUMPRODUCT(INDEX(PortfolioRef[[SPY]:[PE]],MATCH(IQ$1,PortfolioRef[Reference '#]),0),AssetMonthlyReturns[[#This Row],[SPY]:[PE]])</f>
        <v>-8.3987346974018322E-3</v>
      </c>
      <c r="IR40" s="27">
        <f>IF(ISNUMBER(IR39),IR39*(1+PortfolioFrontier[[#This Row],[P63 Return]]),1+PortfolioFrontier[[#This Row],[P63 Return]])</f>
        <v>1.1838431009317971</v>
      </c>
      <c r="IS40" s="27">
        <f>MAX(IS39,PortfolioFrontier[[#This Row],[P63 Growth]])</f>
        <v>1.1938700991577842</v>
      </c>
      <c r="IT40" s="27">
        <f>PortfolioFrontier[[#This Row],[P63 Growth]]/PortfolioFrontier[[#This Row],[P63 HWM]]-1</f>
        <v>-8.3987346974018218E-3</v>
      </c>
      <c r="IU40" s="28">
        <f>SUMPRODUCT(INDEX(PortfolioRef[[SPY]:[PE]],MATCH(IU$1,PortfolioRef[Reference '#]),0),AssetMonthlyReturns[[#This Row],[SPY]:[PE]])</f>
        <v>-7.4294287667754609E-3</v>
      </c>
      <c r="IV40" s="27">
        <f>IF(ISNUMBER(IV39),IV39*(1+PortfolioFrontier[[#This Row],[P64 Return]]),1+PortfolioFrontier[[#This Row],[P64 Return]])</f>
        <v>1.1725830883579254</v>
      </c>
      <c r="IW40" s="27">
        <f>MAX(IW39,PortfolioFrontier[[#This Row],[P64 Growth]])</f>
        <v>1.1813599177145089</v>
      </c>
      <c r="IX40" s="27">
        <f>PortfolioFrontier[[#This Row],[P64 Growth]]/PortfolioFrontier[[#This Row],[P64 HWM]]-1</f>
        <v>-7.4294287667753256E-3</v>
      </c>
      <c r="IY40" s="28">
        <f>SUMPRODUCT(INDEX(PortfolioRef[[SPY]:[PE]],MATCH(IY$1,PortfolioRef[Reference '#]),0),AssetMonthlyReturns[[#This Row],[SPY]:[PE]])</f>
        <v>-7.6663110531075673E-3</v>
      </c>
      <c r="IZ40" s="27">
        <f>IF(ISNUMBER(IZ39),IZ39*(1+PortfolioFrontier[[#This Row],[P65 Return]]),1+PortfolioFrontier[[#This Row],[P65 Return]])</f>
        <v>1.1688521353932078</v>
      </c>
      <c r="JA40" s="27">
        <f>MAX(JA39,PortfolioFrontier[[#This Row],[P65 Growth]])</f>
        <v>1.1778821463107279</v>
      </c>
      <c r="JB40" s="27">
        <f>PortfolioFrontier[[#This Row],[P65 Growth]]/PortfolioFrontier[[#This Row],[P65 HWM]]-1</f>
        <v>-7.6663110531076661E-3</v>
      </c>
      <c r="JC40" s="28">
        <f>SUMPRODUCT(INDEX(PortfolioRef[[SPY]:[PE]],MATCH(JC$1,PortfolioRef[Reference '#]),0),AssetMonthlyReturns[[#This Row],[SPY]:[PE]])</f>
        <v>-8.4758653038713994E-3</v>
      </c>
      <c r="JD40" s="27">
        <f>IF(ISNUMBER(JD39),JD39*(1+PortfolioFrontier[[#This Row],[P66 Return]]),1+PortfolioFrontier[[#This Row],[P66 Return]])</f>
        <v>1.1800602042225246</v>
      </c>
      <c r="JE40" s="27">
        <f>MAX(JE39,PortfolioFrontier[[#This Row],[P66 Growth]])</f>
        <v>1.190147736125633</v>
      </c>
      <c r="JF40" s="27">
        <f>PortfolioFrontier[[#This Row],[P66 Growth]]/PortfolioFrontier[[#This Row],[P66 HWM]]-1</f>
        <v>-8.4758653038714549E-3</v>
      </c>
      <c r="JG40" s="28">
        <f>SUMPRODUCT(INDEX(PortfolioRef[[SPY]:[PE]],MATCH(JG$1,PortfolioRef[Reference '#]),0),AssetMonthlyReturns[[#This Row],[SPY]:[PE]])</f>
        <v>-7.5065593732450281E-3</v>
      </c>
      <c r="JH40" s="27">
        <f>IF(ISNUMBER(JH39),JH39*(1+PortfolioFrontier[[#This Row],[P67 Return]]),1+PortfolioFrontier[[#This Row],[P67 Return]])</f>
        <v>1.1688550025488293</v>
      </c>
      <c r="JI40" s="27">
        <f>MAX(JI39,PortfolioFrontier[[#This Row],[P67 Growth]])</f>
        <v>1.1776954433176938</v>
      </c>
      <c r="JJ40" s="27">
        <f>PortfolioFrontier[[#This Row],[P67 Growth]]/PortfolioFrontier[[#This Row],[P67 HWM]]-1</f>
        <v>-7.5065593732450697E-3</v>
      </c>
      <c r="JK40" s="28">
        <f>SUMPRODUCT(INDEX(PortfolioRef[[SPY]:[PE]],MATCH(JK$1,PortfolioRef[Reference '#]),0),AssetMonthlyReturns[[#This Row],[SPY]:[PE]])</f>
        <v>-9.2854195546352315E-3</v>
      </c>
      <c r="JL40" s="27">
        <f>IF(ISNUMBER(JL39),JL39*(1+PortfolioFrontier[[#This Row],[P68 Return]]),1+PortfolioFrontier[[#This Row],[P68 Return]])</f>
        <v>1.1911341146020697</v>
      </c>
      <c r="JM40" s="27">
        <f>MAX(JM39,PortfolioFrontier[[#This Row],[P68 Growth]])</f>
        <v>1.2022979555490225</v>
      </c>
      <c r="JN40" s="27">
        <f>PortfolioFrontier[[#This Row],[P68 Growth]]/PortfolioFrontier[[#This Row],[P68 HWM]]-1</f>
        <v>-9.2854195546351326E-3</v>
      </c>
      <c r="JO40" s="28">
        <f>SUMPRODUCT(INDEX(PortfolioRef[[SPY]:[PE]],MATCH(JO$1,PortfolioRef[Reference '#]),0),AssetMonthlyReturns[[#This Row],[SPY]:[PE]])</f>
        <v>-8.3161136240088585E-3</v>
      </c>
      <c r="JP40" s="27">
        <f>IF(ISNUMBER(JP39),JP39*(1+PortfolioFrontier[[#This Row],[P69 Return]]),1+PortfolioFrontier[[#This Row],[P69 Return]])</f>
        <v>1.179946264016734</v>
      </c>
      <c r="JQ40" s="27">
        <f>MAX(JQ39,PortfolioFrontier[[#This Row],[P69 Growth]])</f>
        <v>1.1898411179481081</v>
      </c>
      <c r="JR40" s="27">
        <f>PortfolioFrontier[[#This Row],[P69 Growth]]/PortfolioFrontier[[#This Row],[P69 HWM]]-1</f>
        <v>-8.3161136240087474E-3</v>
      </c>
      <c r="JS40" s="28">
        <f>SUMPRODUCT(INDEX(PortfolioRef[[SPY]:[PE]],MATCH(JS$1,PortfolioRef[Reference '#]),0),AssetMonthlyReturns[[#This Row],[SPY]:[PE]])</f>
        <v>-7.3468076933824846E-3</v>
      </c>
      <c r="JT40" s="27">
        <f>IF(ISNUMBER(JT39),JT39*(1+PortfolioFrontier[[#This Row],[P70 Return]]),1+PortfolioFrontier[[#This Row],[P70 Return]])</f>
        <v>1.1686796331911302</v>
      </c>
      <c r="JU40" s="27">
        <f>MAX(JU39,PortfolioFrontier[[#This Row],[P70 Growth]])</f>
        <v>1.17732924474406</v>
      </c>
      <c r="JV40" s="27">
        <f>PortfolioFrontier[[#This Row],[P70 Growth]]/PortfolioFrontier[[#This Row],[P70 HWM]]-1</f>
        <v>-7.3468076933823623E-3</v>
      </c>
      <c r="JW40" s="28">
        <f>SUMPRODUCT(INDEX(PortfolioRef[[SPY]:[PE]],MATCH(JW$1,PortfolioRef[Reference '#]),0),AssetMonthlyReturns[[#This Row],[SPY]:[PE]])</f>
        <v>-8.5529959103409648E-3</v>
      </c>
      <c r="JX40" s="27">
        <f>IF(ISNUMBER(JX39),JX39*(1+PortfolioFrontier[[#This Row],[P71 Return]]),1+PortfolioFrontier[[#This Row],[P71 Return]])</f>
        <v>1.1762071080821417</v>
      </c>
      <c r="JY40" s="27">
        <f>MAX(JY39,PortfolioFrontier[[#This Row],[P71 Growth]])</f>
        <v>1.1863539888973977</v>
      </c>
      <c r="JZ40" s="27">
        <f>PortfolioFrontier[[#This Row],[P71 Growth]]/PortfolioFrontier[[#This Row],[P71 HWM]]-1</f>
        <v>-8.5529959103408659E-3</v>
      </c>
      <c r="KA40" s="28">
        <f>SUMPRODUCT(INDEX(PortfolioRef[[SPY]:[PE]],MATCH(KA$1,PortfolioRef[Reference '#]),0),AssetMonthlyReturns[[#This Row],[SPY]:[PE]])</f>
        <v>-7.5836899797145935E-3</v>
      </c>
      <c r="KB40" s="27">
        <f>IF(ISNUMBER(KB39),KB39*(1+PortfolioFrontier[[#This Row],[P72 Return]]),1+PortfolioFrontier[[#This Row],[P72 Return]])</f>
        <v>1.1650571634936688</v>
      </c>
      <c r="KC40" s="27">
        <f>MAX(KC39,PortfolioFrontier[[#This Row],[P72 Growth]])</f>
        <v>1.1739601130395112</v>
      </c>
      <c r="KD40" s="27">
        <f>PortfolioFrontier[[#This Row],[P72 Growth]]/PortfolioFrontier[[#This Row],[P72 HWM]]-1</f>
        <v>-7.5836899797145918E-3</v>
      </c>
      <c r="KE40" s="28">
        <f>SUMPRODUCT(INDEX(PortfolioRef[[SPY]:[PE]],MATCH(KE$1,PortfolioRef[Reference '#]),0),AssetMonthlyReturns[[#This Row],[SPY]:[PE]])</f>
        <v>-9.3625501611047986E-3</v>
      </c>
      <c r="KF40" s="27">
        <f>IF(ISNUMBER(KF39),KF39*(1+PortfolioFrontier[[#This Row],[P73 Return]]),1+PortfolioFrontier[[#This Row],[P73 Return]])</f>
        <v>1.1873318562053081</v>
      </c>
      <c r="KG40" s="27">
        <f>MAX(KG39,PortfolioFrontier[[#This Row],[P73 Growth]])</f>
        <v>1.1985533722739845</v>
      </c>
      <c r="KH40" s="27">
        <f>PortfolioFrontier[[#This Row],[P73 Growth]]/PortfolioFrontier[[#This Row],[P73 HWM]]-1</f>
        <v>-9.3625501611046547E-3</v>
      </c>
      <c r="KI40" s="28">
        <f>SUMPRODUCT(INDEX(PortfolioRef[[SPY]:[PE]],MATCH(KI$1,PortfolioRef[Reference '#]),0),AssetMonthlyReturns[[#This Row],[SPY]:[PE]])</f>
        <v>-8.3932442304784256E-3</v>
      </c>
      <c r="KJ40" s="27">
        <f>IF(ISNUMBER(KJ39),KJ39*(1+PortfolioFrontier[[#This Row],[P74 Return]]),1+PortfolioFrontier[[#This Row],[P74 Return]])</f>
        <v>1.1761985565494077</v>
      </c>
      <c r="KK40" s="27">
        <f>MAX(KK39,PortfolioFrontier[[#This Row],[P74 Growth]])</f>
        <v>1.1861542387704251</v>
      </c>
      <c r="KL40" s="27">
        <f>PortfolioFrontier[[#This Row],[P74 Growth]]/PortfolioFrontier[[#This Row],[P74 HWM]]-1</f>
        <v>-8.3932442304783805E-3</v>
      </c>
      <c r="KM40" s="28">
        <f>SUMPRODUCT(INDEX(PortfolioRef[[SPY]:[PE]],MATCH(KM$1,PortfolioRef[Reference '#]),0),AssetMonthlyReturns[[#This Row],[SPY]:[PE]])</f>
        <v>-7.4239382998520518E-3</v>
      </c>
      <c r="KN40" s="27">
        <f>IF(ISNUMBER(KN39),KN39*(1+PortfolioFrontier[[#This Row],[P75 Return]]),1+PortfolioFrontier[[#This Row],[P75 Return]])</f>
        <v>1.1649864179447609</v>
      </c>
      <c r="KO40" s="27">
        <f>MAX(KO39,PortfolioFrontier[[#This Row],[P75 Growth]])</f>
        <v>1.1736998935369221</v>
      </c>
      <c r="KP40" s="27">
        <f>PortfolioFrontier[[#This Row],[P75 Growth]]/PortfolioFrontier[[#This Row],[P75 HWM]]-1</f>
        <v>-7.4239382998522174E-3</v>
      </c>
      <c r="KQ40" s="28">
        <f>SUMPRODUCT(INDEX(PortfolioRef[[SPY]:[PE]],MATCH(KQ$1,PortfolioRef[Reference '#]),0),AssetMonthlyReturns[[#This Row],[SPY]:[PE]])</f>
        <v>-1.0172104411868631E-2</v>
      </c>
      <c r="KR40" s="27">
        <f>IF(ISNUMBER(KR39),KR39*(1+PortfolioFrontier[[#This Row],[P76 Return]]),1+PortfolioFrontier[[#This Row],[P76 Return]])</f>
        <v>1.1983184332850318</v>
      </c>
      <c r="KS40" s="27">
        <f>MAX(KS39,PortfolioFrontier[[#This Row],[P76 Growth]])</f>
        <v>1.2106331197839404</v>
      </c>
      <c r="KT40" s="27">
        <f>PortfolioFrontier[[#This Row],[P76 Growth]]/PortfolioFrontier[[#This Row],[P76 HWM]]-1</f>
        <v>-1.0172104411868665E-2</v>
      </c>
      <c r="KU40" s="28">
        <f>SUMPRODUCT(INDEX(PortfolioRef[[SPY]:[PE]],MATCH(KU$1,PortfolioRef[Reference '#]),0),AssetMonthlyReturns[[#This Row],[SPY]:[PE]])</f>
        <v>-9.2027984812422577E-3</v>
      </c>
      <c r="KV40" s="27">
        <f>IF(ISNUMBER(KV39),KV39*(1+PortfolioFrontier[[#This Row],[P77 Return]]),1+PortfolioFrontier[[#This Row],[P77 Return]])</f>
        <v>1.1872054331527477</v>
      </c>
      <c r="KW40" s="27">
        <f>MAX(KW39,PortfolioFrontier[[#This Row],[P77 Growth]])</f>
        <v>1.1982325256196957</v>
      </c>
      <c r="KX40" s="27">
        <f>PortfolioFrontier[[#This Row],[P77 Growth]]/PortfolioFrontier[[#This Row],[P77 HWM]]-1</f>
        <v>-9.2027984812422803E-3</v>
      </c>
      <c r="KY40" s="28">
        <f>SUMPRODUCT(INDEX(PortfolioRef[[SPY]:[PE]],MATCH(KY$1,PortfolioRef[Reference '#]),0),AssetMonthlyReturns[[#This Row],[SPY]:[PE]])</f>
        <v>-8.2334925506158813E-3</v>
      </c>
      <c r="KZ40" s="27">
        <f>IF(ISNUMBER(KZ39),KZ39*(1+PortfolioFrontier[[#This Row],[P78 Return]]),1+PortfolioFrontier[[#This Row],[P78 Return]])</f>
        <v>1.1760106079017485</v>
      </c>
      <c r="LA40" s="27">
        <f>MAX(LA39,PortfolioFrontier[[#This Row],[P78 Growth]])</f>
        <v>1.1857736665520211</v>
      </c>
      <c r="LB40" s="27">
        <f>PortfolioFrontier[[#This Row],[P78 Growth]]/PortfolioFrontier[[#This Row],[P78 HWM]]-1</f>
        <v>-8.2334925506158951E-3</v>
      </c>
      <c r="LC40" s="28">
        <f>SUMPRODUCT(INDEX(PortfolioRef[[SPY]:[PE]],MATCH(LC$1,PortfolioRef[Reference '#]),0),AssetMonthlyReturns[[#This Row],[SPY]:[PE]])</f>
        <v>-9.4396807675743641E-3</v>
      </c>
      <c r="LD40" s="27">
        <f>IF(ISNUMBER(LD39),LD39*(1+PortfolioFrontier[[#This Row],[P79 Return]]),1+PortfolioFrontier[[#This Row],[P79 Return]])</f>
        <v>1.1834590207083651</v>
      </c>
      <c r="LE40" s="27">
        <f>MAX(LE39,PortfolioFrontier[[#This Row],[P79 Growth]])</f>
        <v>1.1947369561758889</v>
      </c>
      <c r="LF40" s="27">
        <f>PortfolioFrontier[[#This Row],[P79 Growth]]/PortfolioFrontier[[#This Row],[P79 HWM]]-1</f>
        <v>-9.4396807675743988E-3</v>
      </c>
      <c r="LG40" s="28">
        <f>SUMPRODUCT(INDEX(PortfolioRef[[SPY]:[PE]],MATCH(LG$1,PortfolioRef[Reference '#]),0),AssetMonthlyReturns[[#This Row],[SPY]:[PE]])</f>
        <v>-8.4703748369479911E-3</v>
      </c>
      <c r="LH40" s="27">
        <f>IF(ISNUMBER(LH39),LH39*(1+PortfolioFrontier[[#This Row],[P80 Return]]),1+PortfolioFrontier[[#This Row],[P80 Return]])</f>
        <v>1.1723807142288243</v>
      </c>
      <c r="LI40" s="27">
        <f>MAX(LI39,PortfolioFrontier[[#This Row],[P80 Growth]])</f>
        <v>1.182396051994949</v>
      </c>
      <c r="LJ40" s="27">
        <f>PortfolioFrontier[[#This Row],[P80 Growth]]/PortfolioFrontier[[#This Row],[P80 HWM]]-1</f>
        <v>-8.4703748369480136E-3</v>
      </c>
      <c r="LK40" s="28">
        <f>SUMPRODUCT(INDEX(PortfolioRef[[SPY]:[PE]],MATCH(LK$1,PortfolioRef[Reference '#]),0),AssetMonthlyReturns[[#This Row],[SPY]:[PE]])</f>
        <v>-7.5010689063216172E-3</v>
      </c>
      <c r="LL40" s="27">
        <f>IF(ISNUMBER(LL39),LL39*(1+PortfolioFrontier[[#This Row],[P81 Return]]),1+PortfolioFrontier[[#This Row],[P81 Return]])</f>
        <v>1.161223517276891</v>
      </c>
      <c r="LM40" s="27">
        <f>MAX(LM39,PortfolioFrontier[[#This Row],[P81 Growth]])</f>
        <v>1.1699997661431107</v>
      </c>
      <c r="LN40" s="27">
        <f>PortfolioFrontier[[#This Row],[P81 Growth]]/PortfolioFrontier[[#This Row],[P81 HWM]]-1</f>
        <v>-7.5010689063217395E-3</v>
      </c>
      <c r="LO40" s="28">
        <f>SUMPRODUCT(INDEX(PortfolioRef[[SPY]:[PE]],MATCH(LO$1,PortfolioRef[Reference '#]),0),AssetMonthlyReturns[[#This Row],[SPY]:[PE]])</f>
        <v>-1.0249235018338198E-2</v>
      </c>
      <c r="LP40" s="27">
        <f>IF(ISNUMBER(LP39),LP39*(1+PortfolioFrontier[[#This Row],[P82 Return]]),1+PortfolioFrontier[[#This Row],[P82 Return]])</f>
        <v>1.1944973600104765</v>
      </c>
      <c r="LQ40" s="27">
        <f>MAX(LQ39,PortfolioFrontier[[#This Row],[P82 Growth]])</f>
        <v>1.2068668217019345</v>
      </c>
      <c r="LR40" s="27">
        <f>PortfolioFrontier[[#This Row],[P82 Growth]]/PortfolioFrontier[[#This Row],[P82 HWM]]-1</f>
        <v>-1.0249235018338188E-2</v>
      </c>
      <c r="LS40" s="28">
        <f>SUMPRODUCT(INDEX(PortfolioRef[[SPY]:[PE]],MATCH(LS$1,PortfolioRef[Reference '#]),0),AssetMonthlyReturns[[#This Row],[SPY]:[PE]])</f>
        <v>-9.2799290877118249E-3</v>
      </c>
      <c r="LT40" s="27">
        <f>IF(ISNUMBER(LT39),LT39*(1+PortfolioFrontier[[#This Row],[P83 Return]]),1+PortfolioFrontier[[#This Row],[P83 Return]])</f>
        <v>1.1834386384620028</v>
      </c>
      <c r="LU40" s="27">
        <f>MAX(LU39,PortfolioFrontier[[#This Row],[P83 Growth]])</f>
        <v>1.1945237340071782</v>
      </c>
      <c r="LV40" s="27">
        <f>PortfolioFrontier[[#This Row],[P83 Growth]]/PortfolioFrontier[[#This Row],[P83 HWM]]-1</f>
        <v>-9.2799290877118024E-3</v>
      </c>
      <c r="LW40" s="28">
        <f>SUMPRODUCT(INDEX(PortfolioRef[[SPY]:[PE]],MATCH(LW$1,PortfolioRef[Reference '#]),0),AssetMonthlyReturns[[#This Row],[SPY]:[PE]])</f>
        <v>-8.3106231570854484E-3</v>
      </c>
      <c r="LX40" s="27">
        <f>IF(ISNUMBER(LX39),LX39*(1+PortfolioFrontier[[#This Row],[P84 Return]]),1+PortfolioFrontier[[#This Row],[P84 Return]])</f>
        <v>1.1722980462299391</v>
      </c>
      <c r="LY40" s="27">
        <f>MAX(LY39,PortfolioFrontier[[#This Row],[P84 Growth]])</f>
        <v>1.1821222185136235</v>
      </c>
      <c r="LZ40" s="27">
        <f>PortfolioFrontier[[#This Row],[P84 Growth]]/PortfolioFrontier[[#This Row],[P84 HWM]]-1</f>
        <v>-8.3106231570854172E-3</v>
      </c>
      <c r="MA40" s="28">
        <f>SUMPRODUCT(INDEX(PortfolioRef[[SPY]:[PE]],MATCH(MA$1,PortfolioRef[Reference '#]),0),AssetMonthlyReturns[[#This Row],[SPY]:[PE]])</f>
        <v>-1.105878926910203E-2</v>
      </c>
      <c r="MB40" s="27">
        <f>IF(ISNUMBER(MB39),MB39*(1+PortfolioFrontier[[#This Row],[P85 Return]]),1+PortfolioFrontier[[#This Row],[P85 Return]])</f>
        <v>1.205393505637179</v>
      </c>
      <c r="MC40" s="27">
        <f>MAX(MC39,PortfolioFrontier[[#This Row],[P85 Growth]])</f>
        <v>1.2188727626653431</v>
      </c>
      <c r="MD40" s="27">
        <f>PortfolioFrontier[[#This Row],[P85 Growth]]/PortfolioFrontier[[#This Row],[P85 HWM]]-1</f>
        <v>-1.1058789269101865E-2</v>
      </c>
      <c r="ME40" s="28">
        <f>SUMPRODUCT(INDEX(PortfolioRef[[SPY]:[PE]],MATCH(ME$1,PortfolioRef[Reference '#]),0),AssetMonthlyReturns[[#This Row],[SPY]:[PE]])</f>
        <v>-1.0089483338475657E-2</v>
      </c>
      <c r="MF40" s="27">
        <f>IF(ISNUMBER(MF39),MF39*(1+PortfolioFrontier[[#This Row],[P86 Return]]),1+PortfolioFrontier[[#This Row],[P86 Return]])</f>
        <v>1.1943580436136068</v>
      </c>
      <c r="MG40" s="27">
        <f>MAX(MG39,PortfolioFrontier[[#This Row],[P86 Growth]])</f>
        <v>1.2065313212769799</v>
      </c>
      <c r="MH40" s="27">
        <f>PortfolioFrontier[[#This Row],[P86 Growth]]/PortfolioFrontier[[#This Row],[P86 HWM]]-1</f>
        <v>-1.0089483338475702E-2</v>
      </c>
      <c r="MI40" s="28">
        <f>SUMPRODUCT(INDEX(PortfolioRef[[SPY]:[PE]],MATCH(MI$1,PortfolioRef[Reference '#]),0),AssetMonthlyReturns[[#This Row],[SPY]:[PE]])</f>
        <v>-9.1201774078492823E-3</v>
      </c>
      <c r="MJ40" s="27">
        <f>IF(ISNUMBER(MJ39),MJ39*(1+PortfolioFrontier[[#This Row],[P87 Return]]),1+PortfolioFrontier[[#This Row],[P87 Return]])</f>
        <v>1.1832377093168673</v>
      </c>
      <c r="MK40" s="27">
        <f>MAX(MK39,PortfolioFrontier[[#This Row],[P87 Growth]])</f>
        <v>1.1941283719164919</v>
      </c>
      <c r="ML40" s="27">
        <f>PortfolioFrontier[[#This Row],[P87 Growth]]/PortfolioFrontier[[#This Row],[P87 HWM]]-1</f>
        <v>-9.1201774078492059E-3</v>
      </c>
      <c r="MM40" s="28">
        <f>SUMPRODUCT(INDEX(PortfolioRef[[SPY]:[PE]],MATCH(MM$1,PortfolioRef[Reference '#]),0),AssetMonthlyReturns[[#This Row],[SPY]:[PE]])</f>
        <v>-1.0326365624807763E-2</v>
      </c>
      <c r="MN40" s="27">
        <f>IF(ISNUMBER(MN39),MN39*(1+PortfolioFrontier[[#This Row],[P88 Return]]),1+PortfolioFrontier[[#This Row],[P88 Return]])</f>
        <v>1.1906053365389295</v>
      </c>
      <c r="MO40" s="27">
        <f>MAX(MO39,PortfolioFrontier[[#This Row],[P88 Growth]])</f>
        <v>1.2030282460647654</v>
      </c>
      <c r="MP40" s="27">
        <f>PortfolioFrontier[[#This Row],[P88 Growth]]/PortfolioFrontier[[#This Row],[P88 HWM]]-1</f>
        <v>-1.032636562480771E-2</v>
      </c>
      <c r="MQ40" s="28">
        <f>SUMPRODUCT(INDEX(PortfolioRef[[SPY]:[PE]],MATCH(MQ$1,PortfolioRef[Reference '#]),0),AssetMonthlyReturns[[#This Row],[SPY]:[PE]])</f>
        <v>-9.3570596941813904E-3</v>
      </c>
      <c r="MR40" s="27">
        <f>IF(ISNUMBER(MR39),MR39*(1+PortfolioFrontier[[#This Row],[P89 Return]]),1+PortfolioFrontier[[#This Row],[P89 Return]])</f>
        <v>1.1796013318037384</v>
      </c>
      <c r="MS40" s="27">
        <f>MAX(MS39,PortfolioFrontier[[#This Row],[P89 Growth]])</f>
        <v>1.1907431868838505</v>
      </c>
      <c r="MT40" s="27">
        <f>PortfolioFrontier[[#This Row],[P89 Growth]]/PortfolioFrontier[[#This Row],[P89 HWM]]-1</f>
        <v>-9.3570596941815465E-3</v>
      </c>
      <c r="MU40" s="28">
        <f>SUMPRODUCT(INDEX(PortfolioRef[[SPY]:[PE]],MATCH(MU$1,PortfolioRef[Reference '#]),0),AssetMonthlyReturns[[#This Row],[SPY]:[PE]])</f>
        <v>-8.3877537635550156E-3</v>
      </c>
      <c r="MV40" s="27">
        <f>IF(ISNUMBER(MV39),MV39*(1+PortfolioFrontier[[#This Row],[P90 Return]]),1+PortfolioFrontier[[#This Row],[P90 Return]])</f>
        <v>1.1685154181043125</v>
      </c>
      <c r="MW40" s="27">
        <f>MAX(MW39,PortfolioFrontier[[#This Row],[P90 Growth]])</f>
        <v>1.1783995433086714</v>
      </c>
      <c r="MX40" s="27">
        <f>PortfolioFrontier[[#This Row],[P90 Growth]]/PortfolioFrontier[[#This Row],[P90 HWM]]-1</f>
        <v>-8.3877537635550503E-3</v>
      </c>
      <c r="MY40" s="28">
        <f>SUMPRODUCT(INDEX(PortfolioRef[[SPY]:[PE]],MATCH(MY$1,PortfolioRef[Reference '#]),0),AssetMonthlyReturns[[#This Row],[SPY]:[PE]])</f>
        <v>-1.1135919875571597E-2</v>
      </c>
      <c r="MZ40" s="27">
        <f>IF(ISNUMBER(MZ39),MZ39*(1+PortfolioFrontier[[#This Row],[P91 Return]]),1+PortfolioFrontier[[#This Row],[P91 Return]])</f>
        <v>1.2015541749713992</v>
      </c>
      <c r="NA40" s="27">
        <f>MAX(NA39,PortfolioFrontier[[#This Row],[P91 Growth]])</f>
        <v>1.2150852671483507</v>
      </c>
      <c r="NB40" s="27">
        <f>PortfolioFrontier[[#This Row],[P91 Growth]]/PortfolioFrontier[[#This Row],[P91 HWM]]-1</f>
        <v>-1.1135919875571609E-2</v>
      </c>
      <c r="NC40" s="28">
        <f>SUMPRODUCT(INDEX(PortfolioRef[[SPY]:[PE]],MATCH(NC$1,PortfolioRef[Reference '#]),0),AssetMonthlyReturns[[#This Row],[SPY]:[PE]])</f>
        <v>-1.0166613944945224E-2</v>
      </c>
      <c r="ND40" s="27">
        <f>IF(ISNUMBER(ND39),ND39*(1+PortfolioFrontier[[#This Row],[P92 Return]]),1+PortfolioFrontier[[#This Row],[P92 Return]])</f>
        <v>1.1905727068073106</v>
      </c>
      <c r="NE40" s="27">
        <f>MAX(NE39,PortfolioFrontier[[#This Row],[P92 Growth]])</f>
        <v>1.2028011214617595</v>
      </c>
      <c r="NF40" s="27">
        <f>PortfolioFrontier[[#This Row],[P92 Growth]]/PortfolioFrontier[[#This Row],[P92 HWM]]-1</f>
        <v>-1.0166613944945224E-2</v>
      </c>
      <c r="NG40" s="28">
        <f>SUMPRODUCT(INDEX(PortfolioRef[[SPY]:[PE]],MATCH(NG$1,PortfolioRef[Reference '#]),0),AssetMonthlyReturns[[#This Row],[SPY]:[PE]])</f>
        <v>-9.1973080143188495E-3</v>
      </c>
      <c r="NH40" s="27">
        <f>IF(ISNUMBER(NH39),NH39*(1+PortfolioFrontier[[#This Row],[P93 Return]]),1+PortfolioFrontier[[#This Row],[P93 Return]])</f>
        <v>1.1795063340002305</v>
      </c>
      <c r="NI40" s="27">
        <f>MAX(NI39,PortfolioFrontier[[#This Row],[P93 Growth]])</f>
        <v>1.1904553182393618</v>
      </c>
      <c r="NJ40" s="27">
        <f>PortfolioFrontier[[#This Row],[P93 Growth]]/PortfolioFrontier[[#This Row],[P93 HWM]]-1</f>
        <v>-9.197308014318728E-3</v>
      </c>
      <c r="NK40" s="28">
        <f>SUMPRODUCT(INDEX(PortfolioRef[[SPY]:[PE]],MATCH(NK$1,PortfolioRef[Reference '#]),0),AssetMonthlyReturns[[#This Row],[SPY]:[PE]])</f>
        <v>-1.1945474126335429E-2</v>
      </c>
      <c r="NL40" s="27">
        <f>IF(ISNUMBER(NL39),NL39*(1+PortfolioFrontier[[#This Row],[P94 Return]]),1+PortfolioFrontier[[#This Row],[P94 Return]])</f>
        <v>1.2123567881974631</v>
      </c>
      <c r="NM40" s="27">
        <f>MAX(NM39,PortfolioFrontier[[#This Row],[P94 Growth]])</f>
        <v>1.2270140528180511</v>
      </c>
      <c r="NN40" s="27">
        <f>PortfolioFrontier[[#This Row],[P94 Growth]]/PortfolioFrontier[[#This Row],[P94 HWM]]-1</f>
        <v>-1.1945474126335398E-2</v>
      </c>
      <c r="NO40" s="28">
        <f>SUMPRODUCT(INDEX(PortfolioRef[[SPY]:[PE]],MATCH(NO$1,PortfolioRef[Reference '#]),0),AssetMonthlyReturns[[#This Row],[SPY]:[PE]])</f>
        <v>-1.0976168195709056E-2</v>
      </c>
      <c r="NP40" s="27">
        <f>IF(ISNUMBER(NP39),NP39*(1+PortfolioFrontier[[#This Row],[P95 Return]]),1+PortfolioFrontier[[#This Row],[P95 Return]])</f>
        <v>1.2014015501823976</v>
      </c>
      <c r="NQ40" s="27">
        <f>MAX(NQ39,PortfolioFrontier[[#This Row],[P95 Growth]])</f>
        <v>1.2147346823692435</v>
      </c>
      <c r="NR40" s="27">
        <f>PortfolioFrontier[[#This Row],[P95 Growth]]/PortfolioFrontier[[#This Row],[P95 HWM]]-1</f>
        <v>-1.0976168195709013E-2</v>
      </c>
      <c r="NS40" s="28">
        <f>SUMPRODUCT(INDEX(PortfolioRef[[SPY]:[PE]],MATCH(NS$1,PortfolioRef[Reference '#]),0),AssetMonthlyReturns[[#This Row],[SPY]:[PE]])</f>
        <v>-1.000686226508268E-2</v>
      </c>
      <c r="NT40" s="27">
        <f>IF(ISNUMBER(NT39),NT39*(1+PortfolioFrontier[[#This Row],[P96 Return]]),1+PortfolioFrontier[[#This Row],[P96 Return]])</f>
        <v>1.1903583914843332</v>
      </c>
      <c r="NU40" s="27">
        <f>MAX(NU39,PortfolioFrontier[[#This Row],[P96 Growth]])</f>
        <v>1.2023905480878858</v>
      </c>
      <c r="NV40" s="27">
        <f>PortfolioFrontier[[#This Row],[P96 Growth]]/PortfolioFrontier[[#This Row],[P96 HWM]]-1</f>
        <v>-1.0006862265082517E-2</v>
      </c>
      <c r="NW40" s="28">
        <f>SUMPRODUCT(INDEX(PortfolioRef[[SPY]:[PE]],MATCH(NW$1,PortfolioRef[Reference '#]),0),AssetMonthlyReturns[[#This Row],[SPY]:[PE]])</f>
        <v>-3.3676212579629651E-3</v>
      </c>
      <c r="NX40" s="27">
        <f>IF(ISNUMBER(NX39),NX39*(1+PortfolioFrontier[[#This Row],[P97 Return]]),1+PortfolioFrontier[[#This Row],[P97 Return]])</f>
        <v>1.1600620195712157</v>
      </c>
      <c r="NY40" s="27">
        <f>MAX(NY39,PortfolioFrontier[[#This Row],[P97 Growth]])</f>
        <v>1.163981869659364</v>
      </c>
      <c r="NZ40" s="27">
        <f>PortfolioFrontier[[#This Row],[P97 Growth]]/PortfolioFrontier[[#This Row],[P97 HWM]]-1</f>
        <v>-3.3676212579629716E-3</v>
      </c>
      <c r="OA40" s="28">
        <f>SUMPRODUCT(INDEX(PortfolioRef[[SPY]:[PE]],MATCH(OA$1,PortfolioRef[Reference '#]),0),AssetMonthlyReturns[[#This Row],[SPY]:[PE]])</f>
        <v>-3.4447518644325314E-3</v>
      </c>
      <c r="OB40" s="27">
        <f>IF(ISNUMBER(OB39),OB39*(1+PortfolioFrontier[[#This Row],[P98 Return]]),1+PortfolioFrontier[[#This Row],[P98 Return]])</f>
        <v>1.1563294320582493</v>
      </c>
      <c r="OC40" s="27">
        <f>MAX(OC39,PortfolioFrontier[[#This Row],[P98 Growth]])</f>
        <v>1.1603264688250849</v>
      </c>
      <c r="OD40" s="27">
        <f>PortfolioFrontier[[#This Row],[P98 Growth]]/PortfolioFrontier[[#This Row],[P98 HWM]]-1</f>
        <v>-3.4447518644324937E-3</v>
      </c>
      <c r="OE40" s="28">
        <f>SUMPRODUCT(INDEX(PortfolioRef[[SPY]:[PE]],MATCH(OE$1,PortfolioRef[Reference '#]),0),AssetMonthlyReturns[[#This Row],[SPY]:[PE]])</f>
        <v>-4.254306115196364E-3</v>
      </c>
      <c r="OF40" s="27">
        <f>IF(ISNUMBER(OF39),OF39*(1+PortfolioFrontier[[#This Row],[P99 Return]]),1+PortfolioFrontier[[#This Row],[P99 Return]])</f>
        <v>1.167442948761737</v>
      </c>
      <c r="OG40" s="27">
        <f>MAX(OG39,PortfolioFrontier[[#This Row],[P99 Growth]])</f>
        <v>1.1724308284046638</v>
      </c>
      <c r="OH40" s="27">
        <f>PortfolioFrontier[[#This Row],[P99 Growth]]/PortfolioFrontier[[#This Row],[P99 HWM]]-1</f>
        <v>-4.2543061151963935E-3</v>
      </c>
      <c r="OI40" s="28">
        <f>SUMPRODUCT(INDEX(PortfolioRef[[SPY]:[PE]],MATCH(OI$1,PortfolioRef[Reference '#]),0),AssetMonthlyReturns[[#This Row],[SPY]:[PE]])</f>
        <v>-3.2850001845699905E-3</v>
      </c>
      <c r="OJ40" s="27">
        <f>IF(ISNUMBER(OJ39),OJ39*(1+PortfolioFrontier[[#This Row],[P100 Return]]),1+PortfolioFrontier[[#This Row],[P100 Return]])</f>
        <v>1.1562769559017445</v>
      </c>
      <c r="OK40" s="27">
        <f>MAX(OK39,PortfolioFrontier[[#This Row],[P100 Growth]])</f>
        <v>1.1600878446856544</v>
      </c>
      <c r="OL40" s="27">
        <f>PortfolioFrontier[[#This Row],[P100 Growth]]/PortfolioFrontier[[#This Row],[P100 HWM]]-1</f>
        <v>-3.2850001845701193E-3</v>
      </c>
      <c r="OM40" s="28">
        <f>SUMPRODUCT(INDEX(PortfolioRef[[SPY]:[PE]],MATCH(OM$1,PortfolioRef[Reference '#]),0),AssetMonthlyReturns[[#This Row],[SPY]:[PE]])</f>
        <v>-3.5218824709021004E-3</v>
      </c>
      <c r="ON40" s="27">
        <f>IF(ISNUMBER(ON39),ON39*(1+PortfolioFrontier[[#This Row],[P101 Return]]),1+PortfolioFrontier[[#This Row],[P101 Return]])</f>
        <v>1.1525280582693247</v>
      </c>
      <c r="OO40" s="27">
        <f>MAX(OO39,PortfolioFrontier[[#This Row],[P101 Growth]])</f>
        <v>1.1566014727219236</v>
      </c>
      <c r="OP40" s="27">
        <f>PortfolioFrontier[[#This Row],[P101 Growth]]/PortfolioFrontier[[#This Row],[P101 HWM]]-1</f>
        <v>-3.5218824709021268E-3</v>
      </c>
      <c r="OQ40" s="28">
        <f>SUMPRODUCT(INDEX(PortfolioRef[[SPY]:[PE]],MATCH(OQ$1,PortfolioRef[Reference '#]),0),AssetMonthlyReturns[[#This Row],[SPY]:[PE]])</f>
        <v>-4.3314367216659346E-3</v>
      </c>
      <c r="OR40" s="27">
        <f>IF(ISNUMBER(OR39),OR39*(1+PortfolioFrontier[[#This Row],[P102 Return]]),1+PortfolioFrontier[[#This Row],[P102 Return]])</f>
        <v>1.1636902070491737</v>
      </c>
      <c r="OS40" s="27">
        <f>MAX(OS39,PortfolioFrontier[[#This Row],[P102 Growth]])</f>
        <v>1.1687525849140121</v>
      </c>
      <c r="OT40" s="27">
        <f>PortfolioFrontier[[#This Row],[P102 Growth]]/PortfolioFrontier[[#This Row],[P102 HWM]]-1</f>
        <v>-4.3314367216658045E-3</v>
      </c>
      <c r="OU40" s="28">
        <f>SUMPRODUCT(INDEX(PortfolioRef[[SPY]:[PE]],MATCH(OU$1,PortfolioRef[Reference '#]),0),AssetMonthlyReturns[[#This Row],[SPY]:[PE]])</f>
        <v>-3.3621307910395603E-3</v>
      </c>
      <c r="OV40" s="27">
        <f>IF(ISNUMBER(OV39),OV39*(1+PortfolioFrontier[[#This Row],[P103 Return]]),1+PortfolioFrontier[[#This Row],[P103 Return]])</f>
        <v>1.152578773001089</v>
      </c>
      <c r="OW40" s="27">
        <f>MAX(OW39,PortfolioFrontier[[#This Row],[P103 Growth]])</f>
        <v>1.15646696619696</v>
      </c>
      <c r="OX40" s="27">
        <f>PortfolioFrontier[[#This Row],[P103 Growth]]/PortfolioFrontier[[#This Row],[P103 HWM]]-1</f>
        <v>-3.3621307910396414E-3</v>
      </c>
      <c r="OY40" s="28">
        <f>SUMPRODUCT(INDEX(PortfolioRef[[SPY]:[PE]],MATCH(OY$1,PortfolioRef[Reference '#]),0),AssetMonthlyReturns[[#This Row],[SPY]:[PE]])</f>
        <v>-5.1409909724297667E-3</v>
      </c>
      <c r="OZ40" s="27">
        <f>IF(ISNUMBER(OZ39),OZ39*(1+PortfolioFrontier[[#This Row],[P104 Return]]),1+PortfolioFrontier[[#This Row],[P104 Return]])</f>
        <v>1.1747224602923814</v>
      </c>
      <c r="PA40" s="27">
        <f>MAX(PA39,PortfolioFrontier[[#This Row],[P104 Growth]])</f>
        <v>1.1807929059622424</v>
      </c>
      <c r="PB40" s="27">
        <f>PortfolioFrontier[[#This Row],[P104 Growth]]/PortfolioFrontier[[#This Row],[P104 HWM]]-1</f>
        <v>-5.1409909724298153E-3</v>
      </c>
      <c r="PC40" s="28">
        <f>SUMPRODUCT(INDEX(PortfolioRef[[SPY]:[PE]],MATCH(PC$1,PortfolioRef[Reference '#]),0),AssetMonthlyReturns[[#This Row],[SPY]:[PE]])</f>
        <v>-4.1716850418033937E-3</v>
      </c>
      <c r="PD40" s="27">
        <f>IF(ISNUMBER(PD39),PD39*(1+PortfolioFrontier[[#This Row],[P105 Return]]),1+PortfolioFrontier[[#This Row],[P105 Return]])</f>
        <v>1.1636263584139723</v>
      </c>
      <c r="PE40" s="27">
        <f>MAX(PE39,PortfolioFrontier[[#This Row],[P105 Growth]])</f>
        <v>1.1685009764587981</v>
      </c>
      <c r="PF40" s="27">
        <f>PortfolioFrontier[[#This Row],[P105 Growth]]/PortfolioFrontier[[#This Row],[P105 HWM]]-1</f>
        <v>-4.1716850418034301E-3</v>
      </c>
      <c r="PG40" s="28">
        <f>SUMPRODUCT(INDEX(PortfolioRef[[SPY]:[PE]],MATCH(PG$1,PortfolioRef[Reference '#]),0),AssetMonthlyReturns[[#This Row],[SPY]:[PE]])</f>
        <v>-3.2023791111770181E-3</v>
      </c>
      <c r="PH40" s="27">
        <f>IF(ISNUMBER(PH39),PH39*(1+PortfolioFrontier[[#This Row],[P106 Return]]),1+PortfolioFrontier[[#This Row],[P106 Return]])</f>
        <v>1.1524536631470763</v>
      </c>
      <c r="PI40" s="27">
        <f>MAX(PI39,PortfolioFrontier[[#This Row],[P106 Growth]])</f>
        <v>1.1561561133336757</v>
      </c>
      <c r="PJ40" s="27">
        <f>PortfolioFrontier[[#This Row],[P106 Growth]]/PortfolioFrontier[[#This Row],[P106 HWM]]-1</f>
        <v>-3.202379111177045E-3</v>
      </c>
      <c r="PK40" s="28">
        <f>SUMPRODUCT(INDEX(PortfolioRef[[SPY]:[PE]],MATCH(PK$1,PortfolioRef[Reference '#]),0),AssetMonthlyReturns[[#This Row],[SPY]:[PE]])</f>
        <v>-4.4085673281355001E-3</v>
      </c>
      <c r="PL40" s="27">
        <f>IF(ISNUMBER(PL39),PL39*(1+PortfolioFrontier[[#This Row],[P107 Return]]),1+PortfolioFrontier[[#This Row],[P107 Return]])</f>
        <v>1.1598682985215876</v>
      </c>
      <c r="PM40" s="27">
        <f>MAX(PM39,PortfolioFrontier[[#This Row],[P107 Growth]])</f>
        <v>1.1650042984086897</v>
      </c>
      <c r="PN40" s="27">
        <f>PortfolioFrontier[[#This Row],[P107 Growth]]/PortfolioFrontier[[#This Row],[P107 HWM]]-1</f>
        <v>-4.4085673281356597E-3</v>
      </c>
      <c r="PO40" s="28">
        <f>SUMPRODUCT(INDEX(PortfolioRef[[SPY]:[PE]],MATCH(PO$1,PortfolioRef[Reference '#]),0),AssetMonthlyReturns[[#This Row],[SPY]:[PE]])</f>
        <v>-3.4392613975091258E-3</v>
      </c>
      <c r="PP40" s="27">
        <f>IF(ISNUMBER(PP39),PP39*(1+PortfolioFrontier[[#This Row],[P108 Return]]),1+PortfolioFrontier[[#This Row],[P108 Return]])</f>
        <v>1.1488118650013841</v>
      </c>
      <c r="PQ40" s="27">
        <f>MAX(PQ39,PortfolioFrontier[[#This Row],[P108 Growth]])</f>
        <v>1.1527765649411394</v>
      </c>
      <c r="PR40" s="27">
        <f>PortfolioFrontier[[#This Row],[P108 Growth]]/PortfolioFrontier[[#This Row],[P108 HWM]]-1</f>
        <v>-3.4392613975092745E-3</v>
      </c>
      <c r="PS40" s="28">
        <f>SUMPRODUCT(INDEX(PortfolioRef[[SPY]:[PE]],MATCH(PS$1,PortfolioRef[Reference '#]),0),AssetMonthlyReturns[[#This Row],[SPY]:[PE]])</f>
        <v>-5.2181215788993322E-3</v>
      </c>
      <c r="PT40" s="27">
        <f>IF(ISNUMBER(PT39),PT39*(1+PortfolioFrontier[[#This Row],[P109 Return]]),1+PortfolioFrontier[[#This Row],[P109 Return]])</f>
        <v>1.1709500886455988</v>
      </c>
      <c r="PU40" s="27">
        <f>MAX(PU39,PortfolioFrontier[[#This Row],[P109 Growth]])</f>
        <v>1.1770922993733148</v>
      </c>
      <c r="PV40" s="27">
        <f>PortfolioFrontier[[#This Row],[P109 Growth]]/PortfolioFrontier[[#This Row],[P109 HWM]]-1</f>
        <v>-5.2181215788992263E-3</v>
      </c>
      <c r="PW40" s="28">
        <f>SUMPRODUCT(INDEX(PortfolioRef[[SPY]:[PE]],MATCH(PW$1,PortfolioRef[Reference '#]),0),AssetMonthlyReturns[[#This Row],[SPY]:[PE]])</f>
        <v>-4.2488156482729592E-3</v>
      </c>
      <c r="PX40" s="27">
        <f>IF(ISNUMBER(PX39),PX39*(1+PortfolioFrontier[[#This Row],[P110 Return]]),1+PortfolioFrontier[[#This Row],[P110 Return]])</f>
        <v>1.1599082954857276</v>
      </c>
      <c r="PY40" s="27">
        <f>MAX(PY39,PortfolioFrontier[[#This Row],[P110 Growth]])</f>
        <v>1.1648575605168607</v>
      </c>
      <c r="PZ40" s="27">
        <f>PortfolioFrontier[[#This Row],[P110 Growth]]/PortfolioFrontier[[#This Row],[P110 HWM]]-1</f>
        <v>-4.2488156482729522E-3</v>
      </c>
      <c r="QA40" s="28">
        <f>SUMPRODUCT(INDEX(PortfolioRef[[SPY]:[PE]],MATCH(QA$1,PortfolioRef[Reference '#]),0),AssetMonthlyReturns[[#This Row],[SPY]:[PE]])</f>
        <v>-3.2795097176465844E-3</v>
      </c>
      <c r="QB40" s="27">
        <f>IF(ISNUMBER(QB39),QB39*(1+PortfolioFrontier[[#This Row],[P111 Return]]),1+PortfolioFrontier[[#This Row],[P111 Return]])</f>
        <v>1.1487898448893443</v>
      </c>
      <c r="QC40" s="27">
        <f>MAX(QC39,PortfolioFrontier[[#This Row],[P111 Growth]])</f>
        <v>1.1525697084484661</v>
      </c>
      <c r="QD40" s="27">
        <f>PortfolioFrontier[[#This Row],[P111 Growth]]/PortfolioFrontier[[#This Row],[P111 HWM]]-1</f>
        <v>-3.279509717646456E-3</v>
      </c>
      <c r="QE40" s="28">
        <f>SUMPRODUCT(INDEX(PortfolioRef[[SPY]:[PE]],MATCH(QE$1,PortfolioRef[Reference '#]),0),AssetMonthlyReturns[[#This Row],[SPY]:[PE]])</f>
        <v>-6.0276758296631643E-3</v>
      </c>
      <c r="QF40" s="27">
        <f>IF(ISNUMBER(QF39),QF39*(1+PortfolioFrontier[[#This Row],[P112 Return]]),1+PortfolioFrontier[[#This Row],[P112 Return]])</f>
        <v>1.1818980233894536</v>
      </c>
      <c r="QG40" s="27">
        <f>MAX(QG39,PortfolioFrontier[[#This Row],[P112 Growth]])</f>
        <v>1.1890653237010167</v>
      </c>
      <c r="QH40" s="27">
        <f>PortfolioFrontier[[#This Row],[P112 Growth]]/PortfolioFrontier[[#This Row],[P112 HWM]]-1</f>
        <v>-6.0276758296630151E-3</v>
      </c>
      <c r="QI40" s="28">
        <f>SUMPRODUCT(INDEX(PortfolioRef[[SPY]:[PE]],MATCH(QI$1,PortfolioRef[Reference '#]),0),AssetMonthlyReturns[[#This Row],[SPY]:[PE]])</f>
        <v>-5.0583698990367913E-3</v>
      </c>
      <c r="QJ40" s="27">
        <f>IF(ISNUMBER(QJ39),QJ39*(1+PortfolioFrontier[[#This Row],[P113 Return]]),1+PortfolioFrontier[[#This Row],[P113 Return]])</f>
        <v>1.170874468218817</v>
      </c>
      <c r="QK40" s="27">
        <f>MAX(QK39,PortfolioFrontier[[#This Row],[P113 Growth]])</f>
        <v>1.1768272959892137</v>
      </c>
      <c r="QL40" s="27">
        <f>PortfolioFrontier[[#This Row],[P113 Growth]]/PortfolioFrontier[[#This Row],[P113 HWM]]-1</f>
        <v>-5.0583698990367409E-3</v>
      </c>
      <c r="QM40" s="28">
        <f>SUMPRODUCT(INDEX(PortfolioRef[[SPY]:[PE]],MATCH(QM$1,PortfolioRef[Reference '#]),0),AssetMonthlyReturns[[#This Row],[SPY]:[PE]])</f>
        <v>-4.0890639684104156E-3</v>
      </c>
      <c r="QN40" s="27">
        <f>IF(ISNUMBER(QN39),QN39*(1+PortfolioFrontier[[#This Row],[P114 Return]]),1+PortfolioFrontier[[#This Row],[P114 Return]])</f>
        <v>1.159771311810218</v>
      </c>
      <c r="QO40" s="27">
        <f>MAX(QO39,PortfolioFrontier[[#This Row],[P114 Growth]])</f>
        <v>1.1645331624046258</v>
      </c>
      <c r="QP40" s="27">
        <f>PortfolioFrontier[[#This Row],[P114 Growth]]/PortfolioFrontier[[#This Row],[P114 HWM]]-1</f>
        <v>-4.0890639684104668E-3</v>
      </c>
      <c r="QQ40" s="28">
        <f>SUMPRODUCT(INDEX(PortfolioRef[[SPY]:[PE]],MATCH(QQ$1,PortfolioRef[Reference '#]),0),AssetMonthlyReturns[[#This Row],[SPY]:[PE]])</f>
        <v>-5.2952521853688976E-3</v>
      </c>
      <c r="QR40" s="27">
        <f>IF(ISNUMBER(QR39),QR39*(1+PortfolioFrontier[[#This Row],[P115 Return]]),1+PortfolioFrontier[[#This Row],[P115 Return]])</f>
        <v>1.1671081740244922</v>
      </c>
      <c r="QS40" s="27">
        <f>MAX(QS39,PortfolioFrontier[[#This Row],[P115 Growth]])</f>
        <v>1.1733212057031313</v>
      </c>
      <c r="QT40" s="27">
        <f>PortfolioFrontier[[#This Row],[P115 Growth]]/PortfolioFrontier[[#This Row],[P115 HWM]]-1</f>
        <v>-5.2952521853688594E-3</v>
      </c>
      <c r="QU40" s="28">
        <f>SUMPRODUCT(INDEX(PortfolioRef[[SPY]:[PE]],MATCH(QU$1,PortfolioRef[Reference '#]),0),AssetMonthlyReturns[[#This Row],[SPY]:[PE]])</f>
        <v>-4.3259462547425246E-3</v>
      </c>
      <c r="QV40" s="27">
        <f>IF(ISNUMBER(QV39),QV39*(1+PortfolioFrontier[[#This Row],[P116 Return]]),1+PortfolioFrontier[[#This Row],[P116 Return]])</f>
        <v>1.1561211274447838</v>
      </c>
      <c r="QW40" s="27">
        <f>MAX(QW39,PortfolioFrontier[[#This Row],[P116 Growth]])</f>
        <v>1.1611441747387108</v>
      </c>
      <c r="QX40" s="27">
        <f>PortfolioFrontier[[#This Row],[P116 Growth]]/PortfolioFrontier[[#This Row],[P116 HWM]]-1</f>
        <v>-4.3259462547424743E-3</v>
      </c>
      <c r="QY40" s="28">
        <f>SUMPRODUCT(INDEX(PortfolioRef[[SPY]:[PE]],MATCH(QY$1,PortfolioRef[Reference '#]),0),AssetMonthlyReturns[[#This Row],[SPY]:[PE]])</f>
        <v>-3.3566403241161499E-3</v>
      </c>
      <c r="QZ40" s="27">
        <f>IF(ISNUMBER(QZ39),QZ39*(1+PortfolioFrontier[[#This Row],[P117 Return]]),1+PortfolioFrontier[[#This Row],[P117 Return]])</f>
        <v>1.1450573664570576</v>
      </c>
      <c r="RA40" s="27">
        <f>MAX(RA39,PortfolioFrontier[[#This Row],[P117 Growth]])</f>
        <v>1.1489138570385289</v>
      </c>
      <c r="RB40" s="27">
        <f>PortfolioFrontier[[#This Row],[P117 Growth]]/PortfolioFrontier[[#This Row],[P117 HWM]]-1</f>
        <v>-3.3566403241160891E-3</v>
      </c>
      <c r="RC40" s="28">
        <f>SUMPRODUCT(INDEX(PortfolioRef[[SPY]:[PE]],MATCH(RC$1,PortfolioRef[Reference '#]),0),AssetMonthlyReturns[[#This Row],[SPY]:[PE]])</f>
        <v>-6.1048064361327314E-3</v>
      </c>
      <c r="RD40" s="27">
        <f>IF(ISNUMBER(RD39),RD39*(1+PortfolioFrontier[[#This Row],[P118 Return]]),1+PortfolioFrontier[[#This Row],[P118 Return]])</f>
        <v>1.1781065567258275</v>
      </c>
      <c r="RE40" s="27">
        <f>MAX(RE39,PortfolioFrontier[[#This Row],[P118 Growth]])</f>
        <v>1.1853428453571879</v>
      </c>
      <c r="RF40" s="27">
        <f>PortfolioFrontier[[#This Row],[P118 Growth]]/PortfolioFrontier[[#This Row],[P118 HWM]]-1</f>
        <v>-6.1048064361326482E-3</v>
      </c>
      <c r="RG40" s="28">
        <f>SUMPRODUCT(INDEX(PortfolioRef[[SPY]:[PE]],MATCH(RG$1,PortfolioRef[Reference '#]),0),AssetMonthlyReturns[[#This Row],[SPY]:[PE]])</f>
        <v>-5.1355005055063584E-3</v>
      </c>
      <c r="RH40" s="27">
        <f>IF(ISNUMBER(RH39),RH39*(1+PortfolioFrontier[[#This Row],[P119 Return]]),1+PortfolioFrontier[[#This Row],[P119 Return]])</f>
        <v>1.167137047939679</v>
      </c>
      <c r="RI40" s="27">
        <f>MAX(RI39,PortfolioFrontier[[#This Row],[P119 Growth]])</f>
        <v>1.173161821064798</v>
      </c>
      <c r="RJ40" s="27">
        <f>PortfolioFrontier[[#This Row],[P119 Growth]]/PortfolioFrontier[[#This Row],[P119 HWM]]-1</f>
        <v>-5.135500505506374E-3</v>
      </c>
      <c r="RK40" s="28">
        <f>SUMPRODUCT(INDEX(PortfolioRef[[SPY]:[PE]],MATCH(RK$1,PortfolioRef[Reference '#]),0),AssetMonthlyReturns[[#This Row],[SPY]:[PE]])</f>
        <v>-4.1661945748799828E-3</v>
      </c>
      <c r="RL40" s="27">
        <f>IF(ISNUMBER(RL39),RL39*(1+PortfolioFrontier[[#This Row],[P120 Return]]),1+PortfolioFrontier[[#This Row],[P120 Return]])</f>
        <v>1.1560878868559001</v>
      </c>
      <c r="RM40" s="27">
        <f>MAX(RM39,PortfolioFrontier[[#This Row],[P120 Growth]])</f>
        <v>1.1609245243109294</v>
      </c>
      <c r="RN40" s="27">
        <f>PortfolioFrontier[[#This Row],[P120 Growth]]/PortfolioFrontier[[#This Row],[P120 HWM]]-1</f>
        <v>-4.1661945748799889E-3</v>
      </c>
      <c r="RO40" s="28">
        <f>SUMPRODUCT(INDEX(PortfolioRef[[SPY]:[PE]],MATCH(RO$1,PortfolioRef[Reference '#]),0),AssetMonthlyReturns[[#This Row],[SPY]:[PE]])</f>
        <v>-6.9143606868965635E-3</v>
      </c>
      <c r="RP40" s="27">
        <f>IF(ISNUMBER(RP39),RP39*(1+PortfolioFrontier[[#This Row],[P121 Return]]),1+PortfolioFrontier[[#This Row],[P121 Return]])</f>
        <v>1.1889671136554176</v>
      </c>
      <c r="RQ40" s="27">
        <f>MAX(RQ39,PortfolioFrontier[[#This Row],[P121 Growth]])</f>
        <v>1.1972452994867606</v>
      </c>
      <c r="RR40" s="27">
        <f>PortfolioFrontier[[#This Row],[P121 Growth]]/PortfolioFrontier[[#This Row],[P121 HWM]]-1</f>
        <v>-6.9143606868965479E-3</v>
      </c>
      <c r="RS40" s="28">
        <f>SUMPRODUCT(INDEX(PortfolioRef[[SPY]:[PE]],MATCH(RS$1,PortfolioRef[Reference '#]),0),AssetMonthlyReturns[[#This Row],[SPY]:[PE]])</f>
        <v>-5.9450547562701905E-3</v>
      </c>
      <c r="RT40" s="27">
        <f>IF(ISNUMBER(RT39),RT39*(1+PortfolioFrontier[[#This Row],[P122 Return]]),1+PortfolioFrontier[[#This Row],[P122 Return]])</f>
        <v>1.1780187605840411</v>
      </c>
      <c r="RU40" s="27">
        <f>MAX(RU39,PortfolioFrontier[[#This Row],[P122 Growth]])</f>
        <v>1.1850640311388478</v>
      </c>
      <c r="RV40" s="27">
        <f>PortfolioFrontier[[#This Row],[P122 Growth]]/PortfolioFrontier[[#This Row],[P122 HWM]]-1</f>
        <v>-5.9450547562701628E-3</v>
      </c>
      <c r="RW40" s="28">
        <f>SUMPRODUCT(INDEX(PortfolioRef[[SPY]:[PE]],MATCH(RW$1,PortfolioRef[Reference '#]),0),AssetMonthlyReturns[[#This Row],[SPY]:[PE]])</f>
        <v>-4.9757488256438149E-3</v>
      </c>
      <c r="RX40" s="27">
        <f>IF(ISNUMBER(RX39),RX39*(1+PortfolioFrontier[[#This Row],[P123 Return]]),1+PortfolioFrontier[[#This Row],[P123 Return]])</f>
        <v>1.1669877956945143</v>
      </c>
      <c r="RY40" s="27">
        <f>MAX(RY39,PortfolioFrontier[[#This Row],[P123 Growth]])</f>
        <v>1.172823470701545</v>
      </c>
      <c r="RZ40" s="27">
        <f>PortfolioFrontier[[#This Row],[P123 Growth]]/PortfolioFrontier[[#This Row],[P123 HWM]]-1</f>
        <v>-4.9757488256438887E-3</v>
      </c>
      <c r="SA40" s="28">
        <f>SUMPRODUCT(INDEX(PortfolioRef[[SPY]:[PE]],MATCH(SA$1,PortfolioRef[Reference '#]),0),AssetMonthlyReturns[[#This Row],[SPY]:[PE]])</f>
        <v>-6.1819370426022969E-3</v>
      </c>
      <c r="SB40" s="27">
        <f>IF(ISNUMBER(SB39),SB39*(1+PortfolioFrontier[[#This Row],[P124 Return]]),1+PortfolioFrontier[[#This Row],[P124 Return]])</f>
        <v>1.1742451753926952</v>
      </c>
      <c r="SC40" s="27">
        <f>MAX(SC39,PortfolioFrontier[[#This Row],[P124 Growth]])</f>
        <v>1.1815494396412796</v>
      </c>
      <c r="SD40" s="27">
        <f>PortfolioFrontier[[#This Row],[P124 Growth]]/PortfolioFrontier[[#This Row],[P124 HWM]]-1</f>
        <v>-6.1819370426021703E-3</v>
      </c>
      <c r="SE40" s="28">
        <f>SUMPRODUCT(INDEX(PortfolioRef[[SPY]:[PE]],MATCH(SE$1,PortfolioRef[Reference '#]),0),AssetMonthlyReturns[[#This Row],[SPY]:[PE]])</f>
        <v>-5.2126311119759239E-3</v>
      </c>
      <c r="SF40" s="27">
        <f>IF(ISNUMBER(SF39),SF39*(1+PortfolioFrontier[[#This Row],[P125 Return]]),1+PortfolioFrontier[[#This Row],[P125 Return]])</f>
        <v>1.1633301469195851</v>
      </c>
      <c r="SG40" s="27">
        <f>MAX(SG39,PortfolioFrontier[[#This Row],[P125 Growth]])</f>
        <v>1.1694259329206789</v>
      </c>
      <c r="SH40" s="27">
        <f>PortfolioFrontier[[#This Row],[P125 Growth]]/PortfolioFrontier[[#This Row],[P125 HWM]]-1</f>
        <v>-5.2126311119758961E-3</v>
      </c>
      <c r="SI40" s="28">
        <f>SUMPRODUCT(INDEX(PortfolioRef[[SPY]:[PE]],MATCH(SI$1,PortfolioRef[Reference '#]),0),AssetMonthlyReturns[[#This Row],[SPY]:[PE]])</f>
        <v>-4.2433251813495483E-3</v>
      </c>
      <c r="SJ40" s="27">
        <f>IF(ISNUMBER(SJ39),SJ39*(1+PortfolioFrontier[[#This Row],[P126 Return]]),1+PortfolioFrontier[[#This Row],[P126 Return]])</f>
        <v>1.1523354222644362</v>
      </c>
      <c r="SK40" s="27">
        <f>MAX(SK39,PortfolioFrontier[[#This Row],[P126 Growth]])</f>
        <v>1.1572459933289447</v>
      </c>
      <c r="SL40" s="27">
        <f>PortfolioFrontier[[#This Row],[P126 Growth]]/PortfolioFrontier[[#This Row],[P126 HWM]]-1</f>
        <v>-4.243325181349511E-3</v>
      </c>
      <c r="SM40" s="28">
        <f>SUMPRODUCT(INDEX(PortfolioRef[[SPY]:[PE]],MATCH(SM$1,PortfolioRef[Reference '#]),0),AssetMonthlyReturns[[#This Row],[SPY]:[PE]])</f>
        <v>-6.9914912933661307E-3</v>
      </c>
      <c r="SN40" s="27">
        <f>IF(ISNUMBER(SN39),SN39*(1+PortfolioFrontier[[#This Row],[P127 Return]]),1+PortfolioFrontier[[#This Row],[P127 Return]])</f>
        <v>1.1851570974898751</v>
      </c>
      <c r="SO40" s="27">
        <f>MAX(SO39,PortfolioFrontier[[#This Row],[P127 Growth]])</f>
        <v>1.1935014525036745</v>
      </c>
      <c r="SP40" s="27">
        <f>PortfolioFrontier[[#This Row],[P127 Growth]]/PortfolioFrontier[[#This Row],[P127 HWM]]-1</f>
        <v>-6.991491293366181E-3</v>
      </c>
      <c r="SQ40" s="28">
        <f>SUMPRODUCT(INDEX(PortfolioRef[[SPY]:[PE]],MATCH(SQ$1,PortfolioRef[Reference '#]),0),AssetMonthlyReturns[[#This Row],[SPY]:[PE]])</f>
        <v>-6.0221853627397577E-3</v>
      </c>
      <c r="SR40" s="27">
        <f>IF(ISNUMBER(SR39),SR39*(1+PortfolioFrontier[[#This Row],[P128 Return]]),1+PortfolioFrontier[[#This Row],[P128 Return]])</f>
        <v>1.174262516222464</v>
      </c>
      <c r="SS40" s="27">
        <f>MAX(SS39,PortfolioFrontier[[#This Row],[P128 Growth]])</f>
        <v>1.1813769874240065</v>
      </c>
      <c r="ST40" s="27">
        <f>PortfolioFrontier[[#This Row],[P128 Growth]]/PortfolioFrontier[[#This Row],[P128 HWM]]-1</f>
        <v>-6.0221853627397959E-3</v>
      </c>
      <c r="SU40" s="28">
        <f>SUMPRODUCT(INDEX(PortfolioRef[[SPY]:[PE]],MATCH(SU$1,PortfolioRef[Reference '#]),0),AssetMonthlyReturns[[#This Row],[SPY]:[PE]])</f>
        <v>-5.0528794321133821E-3</v>
      </c>
      <c r="SV40" s="27">
        <f>IF(ISNUMBER(SV39),SV39*(1+PortfolioFrontier[[#This Row],[P129 Return]]),1+PortfolioFrontier[[#This Row],[P129 Return]])</f>
        <v>1.163285285118518</v>
      </c>
      <c r="SW40" s="27">
        <f>MAX(SW39,PortfolioFrontier[[#This Row],[P129 Growth]])</f>
        <v>1.1691930767682899</v>
      </c>
      <c r="SX40" s="27">
        <f>PortfolioFrontier[[#This Row],[P129 Growth]]/PortfolioFrontier[[#This Row],[P129 HWM]]-1</f>
        <v>-5.0528794321134107E-3</v>
      </c>
      <c r="SY40" s="28">
        <f>SUMPRODUCT(INDEX(PortfolioRef[[SPY]:[PE]],MATCH(SY$1,PortfolioRef[Reference '#]),0),AssetMonthlyReturns[[#This Row],[SPY]:[PE]])</f>
        <v>-7.8010455441299628E-3</v>
      </c>
      <c r="SZ40" s="27">
        <f>IF(ISNUMBER(SZ39),SZ39*(1+PortfolioFrontier[[#This Row],[P130 Return]]),1+PortfolioFrontier[[#This Row],[P130 Return]])</f>
        <v>1.1959272139939909</v>
      </c>
      <c r="TA40" s="27">
        <f>MAX(TA39,PortfolioFrontier[[#This Row],[P130 Growth]])</f>
        <v>1.2053300485988188</v>
      </c>
      <c r="TB40" s="27">
        <f>PortfolioFrontier[[#This Row],[P130 Growth]]/PortfolioFrontier[[#This Row],[P130 HWM]]-1</f>
        <v>-7.8010455441299698E-3</v>
      </c>
      <c r="TC40" s="28">
        <f>SUMPRODUCT(INDEX(PortfolioRef[[SPY]:[PE]],MATCH(TC$1,PortfolioRef[Reference '#]),0),AssetMonthlyReturns[[#This Row],[SPY]:[PE]])</f>
        <v>-6.8317396135035898E-3</v>
      </c>
      <c r="TD40" s="27">
        <f>IF(ISNUMBER(TD39),TD39*(1+PortfolioFrontier[[#This Row],[P131 Return]]),1+PortfolioFrontier[[#This Row],[P131 Return]])</f>
        <v>1.1850567171478739</v>
      </c>
      <c r="TE40" s="27">
        <f>MAX(TE39,PortfolioFrontier[[#This Row],[P131 Growth]])</f>
        <v>1.1932084062842514</v>
      </c>
      <c r="TF40" s="27">
        <f>PortfolioFrontier[[#This Row],[P131 Growth]]/PortfolioFrontier[[#This Row],[P131 HWM]]-1</f>
        <v>-6.8317396135035846E-3</v>
      </c>
      <c r="TG40" s="28">
        <f>SUMPRODUCT(INDEX(PortfolioRef[[SPY]:[PE]],MATCH(TG$1,PortfolioRef[Reference '#]),0),AssetMonthlyReturns[[#This Row],[SPY]:[PE]])</f>
        <v>-5.8624336828772142E-3</v>
      </c>
      <c r="TH40" s="27">
        <f>IF(ISNUMBER(TH39),TH39*(1+PortfolioFrontier[[#This Row],[P132 Return]]),1+PortfolioFrontier[[#This Row],[P132 Return]])</f>
        <v>1.1741005961753663</v>
      </c>
      <c r="TI40" s="27">
        <f>MAX(TI39,PortfolioFrontier[[#This Row],[P132 Growth]])</f>
        <v>1.1810242726516549</v>
      </c>
      <c r="TJ40" s="27">
        <f>PortfolioFrontier[[#This Row],[P132 Growth]]/PortfolioFrontier[[#This Row],[P132 HWM]]-1</f>
        <v>-5.8624336828771995E-3</v>
      </c>
      <c r="TK40" s="28">
        <f>SUMPRODUCT(INDEX(PortfolioRef[[SPY]:[PE]],MATCH(TK$1,PortfolioRef[Reference '#]),0),AssetMonthlyReturns[[#This Row],[SPY]:[PE]])</f>
        <v>-7.0686218998356979E-3</v>
      </c>
      <c r="TL40" s="27">
        <f>IF(ISNUMBER(TL39),TL39*(1+PortfolioFrontier[[#This Row],[P133 Return]]),1+PortfolioFrontier[[#This Row],[P133 Return]])</f>
        <v>1.1812767995076072</v>
      </c>
      <c r="TM40" s="27">
        <f>MAX(TM39,PortfolioFrontier[[#This Row],[P133 Growth]])</f>
        <v>1.189686241729832</v>
      </c>
      <c r="TN40" s="27">
        <f>PortfolioFrontier[[#This Row],[P133 Growth]]/PortfolioFrontier[[#This Row],[P133 HWM]]-1</f>
        <v>-7.0686218998357031E-3</v>
      </c>
      <c r="TO40" s="28">
        <f>SUMPRODUCT(INDEX(PortfolioRef[[SPY]:[PE]],MATCH(TO$1,PortfolioRef[Reference '#]),0),AssetMonthlyReturns[[#This Row],[SPY]:[PE]])</f>
        <v>-6.0993159692093249E-3</v>
      </c>
      <c r="TP40" s="27">
        <f>IF(ISNUMBER(TP39),TP39*(1+PortfolioFrontier[[#This Row],[P134 Return]]),1+PortfolioFrontier[[#This Row],[P134 Return]])</f>
        <v>1.1704364199614898</v>
      </c>
      <c r="TQ40" s="27">
        <f>MAX(TQ39,PortfolioFrontier[[#This Row],[P134 Growth]])</f>
        <v>1.1776190908881898</v>
      </c>
      <c r="TR40" s="27">
        <f>PortfolioFrontier[[#This Row],[P134 Growth]]/PortfolioFrontier[[#This Row],[P134 HWM]]-1</f>
        <v>-6.0993159692092069E-3</v>
      </c>
      <c r="TS40" s="28">
        <f>SUMPRODUCT(INDEX(PortfolioRef[[SPY]:[PE]],MATCH(TS$1,PortfolioRef[Reference '#]),0),AssetMonthlyReturns[[#This Row],[SPY]:[PE]])</f>
        <v>-5.1300100385829493E-3</v>
      </c>
      <c r="TT40" s="27">
        <f>IF(ISNUMBER(TT39),TT39*(1+PortfolioFrontier[[#This Row],[P135 Return]]),1+PortfolioFrontier[[#This Row],[P135 Return]])</f>
        <v>1.1595133598336673</v>
      </c>
      <c r="TU40" s="27">
        <f>MAX(TU39,PortfolioFrontier[[#This Row],[P135 Growth]])</f>
        <v>1.16549234727508</v>
      </c>
      <c r="TV40" s="27">
        <f>PortfolioFrontier[[#This Row],[P135 Growth]]/PortfolioFrontier[[#This Row],[P135 HWM]]-1</f>
        <v>-5.1300100385828218E-3</v>
      </c>
      <c r="TW40" s="28">
        <f>SUMPRODUCT(INDEX(PortfolioRef[[SPY]:[PE]],MATCH(TW$1,PortfolioRef[Reference '#]),0),AssetMonthlyReturns[[#This Row],[SPY]:[PE]])</f>
        <v>-7.8781761505995317E-3</v>
      </c>
      <c r="TX40" s="27">
        <f>IF(ISNUMBER(TX39),TX39*(1+PortfolioFrontier[[#This Row],[P136 Return]]),1+PortfolioFrontier[[#This Row],[P136 Return]])</f>
        <v>1.1920992043804175</v>
      </c>
      <c r="TY40" s="27">
        <f>MAX(TY39,PortfolioFrontier[[#This Row],[P136 Growth]])</f>
        <v>1.2015653478472141</v>
      </c>
      <c r="TZ40" s="27">
        <f>PortfolioFrontier[[#This Row],[P136 Growth]]/PortfolioFrontier[[#This Row],[P136 HWM]]-1</f>
        <v>-7.8781761505994918E-3</v>
      </c>
      <c r="UA40" s="28">
        <f>SUMPRODUCT(INDEX(PortfolioRef[[SPY]:[PE]],MATCH(UA$1,PortfolioRef[Reference '#]),0),AssetMonthlyReturns[[#This Row],[SPY]:[PE]])</f>
        <v>-6.9088702199731587E-3</v>
      </c>
      <c r="UB40" s="27">
        <f>IF(ISNUMBER(UB39),UB39*(1+PortfolioFrontier[[#This Row],[P137 Return]]),1+PortfolioFrontier[[#This Row],[P137 Return]])</f>
        <v>1.181282192509663</v>
      </c>
      <c r="UC40" s="27">
        <f>MAX(UC39,PortfolioFrontier[[#This Row],[P137 Growth]])</f>
        <v>1.1895002956791298</v>
      </c>
      <c r="UD40" s="27">
        <f>PortfolioFrontier[[#This Row],[P137 Growth]]/PortfolioFrontier[[#This Row],[P137 HWM]]-1</f>
        <v>-6.9088702199731067E-3</v>
      </c>
      <c r="UE40" s="28">
        <f>SUMPRODUCT(INDEX(PortfolioRef[[SPY]:[PE]],MATCH(UE$1,PortfolioRef[Reference '#]),0),AssetMonthlyReturns[[#This Row],[SPY]:[PE]])</f>
        <v>-5.9395642893467831E-3</v>
      </c>
      <c r="UF40" s="27">
        <f>IF(ISNUMBER(UF39),UF39*(1+PortfolioFrontier[[#This Row],[P138 Return]]),1+PortfolioFrontier[[#This Row],[P138 Return]])</f>
        <v>1.170379531584073</v>
      </c>
      <c r="UG40" s="27">
        <f>MAX(UG39,PortfolioFrontier[[#This Row],[P138 Growth]])</f>
        <v>1.177372611904999</v>
      </c>
      <c r="UH40" s="27">
        <f>PortfolioFrontier[[#This Row],[P138 Growth]]/PortfolioFrontier[[#This Row],[P138 HWM]]-1</f>
        <v>-5.9395642893468326E-3</v>
      </c>
      <c r="UI40" s="28">
        <f>SUMPRODUCT(INDEX(PortfolioRef[[SPY]:[PE]],MATCH(UI$1,PortfolioRef[Reference '#]),0),AssetMonthlyReturns[[#This Row],[SPY]:[PE]])</f>
        <v>-8.6877304013633621E-3</v>
      </c>
      <c r="UJ40" s="27">
        <f>IF(ISNUMBER(UJ39),UJ39*(1+PortfolioFrontier[[#This Row],[P139 Return]]),1+PortfolioFrontier[[#This Row],[P139 Return]])</f>
        <v>1.202775815542025</v>
      </c>
      <c r="UK40" s="27">
        <f>MAX(UK39,PortfolioFrontier[[#This Row],[P139 Growth]])</f>
        <v>1.2133167846585879</v>
      </c>
      <c r="UL40" s="27">
        <f>PortfolioFrontier[[#This Row],[P139 Growth]]/PortfolioFrontier[[#This Row],[P139 HWM]]-1</f>
        <v>-8.6877304013635026E-3</v>
      </c>
      <c r="UM40" s="28">
        <f>SUMPRODUCT(INDEX(PortfolioRef[[SPY]:[PE]],MATCH(UM$1,PortfolioRef[Reference '#]),0),AssetMonthlyReturns[[#This Row],[SPY]:[PE]])</f>
        <v>-7.7184244707369908E-3</v>
      </c>
      <c r="UN40" s="27">
        <f>IF(ISNUMBER(UN39),UN39*(1+PortfolioFrontier[[#This Row],[P140 Return]]),1+PortfolioFrontier[[#This Row],[P140 Return]])</f>
        <v>1.1919858268418824</v>
      </c>
      <c r="UO40" s="27">
        <f>MAX(UO39,PortfolioFrontier[[#This Row],[P140 Growth]])</f>
        <v>1.2012576432310569</v>
      </c>
      <c r="UP40" s="27">
        <f>PortfolioFrontier[[#This Row],[P140 Growth]]/PortfolioFrontier[[#This Row],[P140 HWM]]-1</f>
        <v>-7.7184244707370064E-3</v>
      </c>
      <c r="UQ40" s="28">
        <f>SUMPRODUCT(INDEX(PortfolioRef[[SPY]:[PE]],MATCH(UQ$1,PortfolioRef[Reference '#]),0),AssetMonthlyReturns[[#This Row],[SPY]:[PE]])</f>
        <v>-6.7491185401106152E-3</v>
      </c>
      <c r="UR40" s="27">
        <f>IF(ISNUMBER(UR39),UR39*(1+PortfolioFrontier[[#This Row],[P141 Return]]),1+PortfolioFrontier[[#This Row],[P141 Return]])</f>
        <v>1.1811072009927512</v>
      </c>
      <c r="US40" s="27">
        <f>MAX(US39,PortfolioFrontier[[#This Row],[P141 Growth]])</f>
        <v>1.1891327992145839</v>
      </c>
      <c r="UT40" s="27">
        <f>PortfolioFrontier[[#This Row],[P141 Growth]]/PortfolioFrontier[[#This Row],[P141 HWM]]-1</f>
        <v>-6.7491185401105103E-3</v>
      </c>
    </row>
    <row r="41" spans="2:566" x14ac:dyDescent="0.2">
      <c r="B41" s="41">
        <f>AssetMonthlyReturns[[#This Row],[Date]]</f>
        <v>43617</v>
      </c>
      <c r="C41" s="28">
        <f>SUMPRODUCT(INDEX(PortfolioRef[[SPY]:[PE]],MATCH(C$1,PortfolioRef[Reference '#]),0),AssetMonthlyReturns[[#This Row],[SPY]:[PE]])</f>
        <v>4.6611628598389E-2</v>
      </c>
      <c r="D41" s="29">
        <f>IF(ISNUMBER(D40),D40*(1+PortfolioFrontier[[#This Row],[P1 Return]]),1+PortfolioFrontier[[#This Row],[P1 Return]])</f>
        <v>1.3180978663668654</v>
      </c>
      <c r="E41" s="29">
        <f>MAX(E40,PortfolioFrontier[[#This Row],[P1 Growth]])</f>
        <v>1.3180978663668654</v>
      </c>
      <c r="F41" s="29">
        <f>PortfolioFrontier[[#This Row],[P1 Growth]]/PortfolioFrontier[[#This Row],[P1 HWM]]-1</f>
        <v>0</v>
      </c>
      <c r="G41" s="28">
        <f>SUMPRODUCT(INDEX(PortfolioRef[[SPY]:[PE]],MATCH(G$1,PortfolioRef[Reference '#]),0),AssetMonthlyReturns[[#This Row],[SPY]:[PE]])</f>
        <v>4.3942430862037418E-2</v>
      </c>
      <c r="H41" s="27">
        <f>IF(ISNUMBER(H40),H40*(1+PortfolioFrontier[[#This Row],[P2 Return]]),1+PortfolioFrontier[[#This Row],[P2 Return]])</f>
        <v>1.2972897031999449</v>
      </c>
      <c r="I41" s="27">
        <f>MAX(I40,PortfolioFrontier[[#This Row],[P2 Growth]])</f>
        <v>1.2972897031999449</v>
      </c>
      <c r="J41" s="27">
        <f>PortfolioFrontier[[#This Row],[P2 Growth]]/PortfolioFrontier[[#This Row],[P2 HWM]]-1</f>
        <v>0</v>
      </c>
      <c r="K41" s="28">
        <f>SUMPRODUCT(INDEX(PortfolioRef[[SPY]:[PE]],MATCH(K$1,PortfolioRef[Reference '#]),0),AssetMonthlyReturns[[#This Row],[SPY]:[PE]])</f>
        <v>4.7392614906531697E-2</v>
      </c>
      <c r="L41" s="27">
        <f>IF(ISNUMBER(L40),L40*(1+PortfolioFrontier[[#This Row],[P3 Return]]),1+PortfolioFrontier[[#This Row],[P3 Return]])</f>
        <v>1.2975143797176032</v>
      </c>
      <c r="M41" s="27">
        <f>MAX(M40,PortfolioFrontier[[#This Row],[P3 Growth]])</f>
        <v>1.2975143797176032</v>
      </c>
      <c r="N41" s="27">
        <f>PortfolioFrontier[[#This Row],[P3 Growth]]/PortfolioFrontier[[#This Row],[P3 HWM]]-1</f>
        <v>0</v>
      </c>
      <c r="O41" s="28">
        <f>SUMPRODUCT(INDEX(PortfolioRef[[SPY]:[PE]],MATCH(O$1,PortfolioRef[Reference '#]),0),AssetMonthlyReturns[[#This Row],[SPY]:[PE]])</f>
        <v>4.3684644600308326E-2</v>
      </c>
      <c r="P41" s="27">
        <f>IF(ISNUMBER(P40),P40*(1+PortfolioFrontier[[#This Row],[P4 Return]]),1+PortfolioFrontier[[#This Row],[P4 Return]])</f>
        <v>1.3047217860175362</v>
      </c>
      <c r="Q41" s="27">
        <f>MAX(Q40,PortfolioFrontier[[#This Row],[P4 Growth]])</f>
        <v>1.3047217860175362</v>
      </c>
      <c r="R41" s="27">
        <f>PortfolioFrontier[[#This Row],[P4 Growth]]/PortfolioFrontier[[#This Row],[P4 HWM]]-1</f>
        <v>0</v>
      </c>
      <c r="S41" s="28">
        <f>SUMPRODUCT(INDEX(PortfolioRef[[SPY]:[PE]],MATCH(S$1,PortfolioRef[Reference '#]),0),AssetMonthlyReturns[[#This Row],[SPY]:[PE]])</f>
        <v>4.3862525733836047E-2</v>
      </c>
      <c r="T41" s="27">
        <f>IF(ISNUMBER(T40),T40*(1+PortfolioFrontier[[#This Row],[P5 Return]]),1+PortfolioFrontier[[#This Row],[P5 Return]])</f>
        <v>1.2928111632158072</v>
      </c>
      <c r="U41" s="27">
        <f>MAX(U40,PortfolioFrontier[[#This Row],[P5 Growth]])</f>
        <v>1.2928111632158072</v>
      </c>
      <c r="V41" s="27">
        <f>PortfolioFrontier[[#This Row],[P5 Growth]]/PortfolioFrontier[[#This Row],[P5 HWM]]-1</f>
        <v>0</v>
      </c>
      <c r="W41" s="28">
        <f>SUMPRODUCT(INDEX(PortfolioRef[[SPY]:[PE]],MATCH(W$1,PortfolioRef[Reference '#]),0),AssetMonthlyReturns[[#This Row],[SPY]:[PE]])</f>
        <v>4.1273233125685843E-2</v>
      </c>
      <c r="X41" s="27">
        <f>IF(ISNUMBER(X40),X40*(1+PortfolioFrontier[[#This Row],[P6 Return]]),1+PortfolioFrontier[[#This Row],[P6 Return]])</f>
        <v>1.2766304809375282</v>
      </c>
      <c r="Y41" s="27">
        <f>MAX(Y40,PortfolioFrontier[[#This Row],[P6 Growth]])</f>
        <v>1.2766304809375282</v>
      </c>
      <c r="Z41" s="27">
        <f>PortfolioFrontier[[#This Row],[P6 Growth]]/PortfolioFrontier[[#This Row],[P6 HWM]]-1</f>
        <v>0</v>
      </c>
      <c r="AA41" s="28">
        <f>SUMPRODUCT(INDEX(PortfolioRef[[SPY]:[PE]],MATCH(AA$1,PortfolioRef[Reference '#]),0),AssetMonthlyReturns[[#This Row],[SPY]:[PE]])</f>
        <v>4.4723417170180114E-2</v>
      </c>
      <c r="AB41" s="27">
        <f>IF(ISNUMBER(AB40),AB40*(1+PortfolioFrontier[[#This Row],[P7 Return]]),1+PortfolioFrontier[[#This Row],[P7 Return]])</f>
        <v>1.2768373988817117</v>
      </c>
      <c r="AC41" s="27">
        <f>MAX(AC40,PortfolioFrontier[[#This Row],[P7 Growth]])</f>
        <v>1.2768373988817117</v>
      </c>
      <c r="AD41" s="27">
        <f>PortfolioFrontier[[#This Row],[P7 Growth]]/PortfolioFrontier[[#This Row],[P7 HWM]]-1</f>
        <v>0</v>
      </c>
      <c r="AE41" s="28">
        <f>SUMPRODUCT(INDEX(PortfolioRef[[SPY]:[PE]],MATCH(AE$1,PortfolioRef[Reference '#]),0),AssetMonthlyReturns[[#This Row],[SPY]:[PE]])</f>
        <v>4.101544686395675E-2</v>
      </c>
      <c r="AF41" s="27">
        <f>IF(ISNUMBER(AF40),AF40*(1+PortfolioFrontier[[#This Row],[P8 Return]]),1+PortfolioFrontier[[#This Row],[P8 Return]])</f>
        <v>1.2840423893030362</v>
      </c>
      <c r="AG41" s="27">
        <f>MAX(AG40,PortfolioFrontier[[#This Row],[P8 Growth]])</f>
        <v>1.2840423893030362</v>
      </c>
      <c r="AH41" s="27">
        <f>PortfolioFrontier[[#This Row],[P8 Growth]]/PortfolioFrontier[[#This Row],[P8 HWM]]-1</f>
        <v>0</v>
      </c>
      <c r="AI41" s="28">
        <f>SUMPRODUCT(INDEX(PortfolioRef[[SPY]:[PE]],MATCH(AI$1,PortfolioRef[Reference '#]),0),AssetMonthlyReturns[[#This Row],[SPY]:[PE]])</f>
        <v>4.1193327997484472E-2</v>
      </c>
      <c r="AJ41" s="27">
        <f>IF(ISNUMBER(AJ40),AJ40*(1+PortfolioFrontier[[#This Row],[P9 Return]]),1+PortfolioFrontier[[#This Row],[P9 Return]])</f>
        <v>1.2722522114070427</v>
      </c>
      <c r="AK41" s="27">
        <f>MAX(AK40,PortfolioFrontier[[#This Row],[P9 Growth]])</f>
        <v>1.2722522114070427</v>
      </c>
      <c r="AL41" s="27">
        <f>PortfolioFrontier[[#This Row],[P9 Growth]]/PortfolioFrontier[[#This Row],[P9 HWM]]-1</f>
        <v>0</v>
      </c>
      <c r="AM41" s="28">
        <f>SUMPRODUCT(INDEX(PortfolioRef[[SPY]:[PE]],MATCH(AM$1,PortfolioRef[Reference '#]),0),AssetMonthlyReturns[[#This Row],[SPY]:[PE]])</f>
        <v>4.8173601214674393E-2</v>
      </c>
      <c r="AN41" s="27">
        <f>IF(ISNUMBER(AN40),AN40*(1+PortfolioFrontier[[#This Row],[P10 Return]]),1+PortfolioFrontier[[#This Row],[P10 Return]])</f>
        <v>1.2769412712831423</v>
      </c>
      <c r="AO41" s="27">
        <f>MAX(AO40,PortfolioFrontier[[#This Row],[P10 Growth]])</f>
        <v>1.2769412712831423</v>
      </c>
      <c r="AP41" s="27">
        <f>PortfolioFrontier[[#This Row],[P10 Growth]]/PortfolioFrontier[[#This Row],[P10 HWM]]-1</f>
        <v>0</v>
      </c>
      <c r="AQ41" s="28">
        <f>SUMPRODUCT(INDEX(PortfolioRef[[SPY]:[PE]],MATCH(AQ$1,PortfolioRef[Reference '#]),0),AssetMonthlyReturns[[#This Row],[SPY]:[PE]])</f>
        <v>4.4465630908451022E-2</v>
      </c>
      <c r="AR41" s="27">
        <f>IF(ISNUMBER(AR40),AR40*(1+PortfolioFrontier[[#This Row],[P11 Return]]),1+PortfolioFrontier[[#This Row],[P11 Return]])</f>
        <v>1.2842560232935689</v>
      </c>
      <c r="AS41" s="27">
        <f>MAX(AS40,PortfolioFrontier[[#This Row],[P11 Growth]])</f>
        <v>1.2842560232935689</v>
      </c>
      <c r="AT41" s="27">
        <f>PortfolioFrontier[[#This Row],[P11 Growth]]/PortfolioFrontier[[#This Row],[P11 HWM]]-1</f>
        <v>0</v>
      </c>
      <c r="AU41" s="28">
        <f>SUMPRODUCT(INDEX(PortfolioRef[[SPY]:[PE]],MATCH(AU$1,PortfolioRef[Reference '#]),0),AssetMonthlyReturns[[#This Row],[SPY]:[PE]])</f>
        <v>4.4643512041978743E-2</v>
      </c>
      <c r="AV41" s="27">
        <f>IF(ISNUMBER(AV40),AV40*(1+PortfolioFrontier[[#This Row],[P12 Return]]),1+PortfolioFrontier[[#This Row],[P12 Return]])</f>
        <v>1.2724833359893633</v>
      </c>
      <c r="AW41" s="27">
        <f>MAX(AW40,PortfolioFrontier[[#This Row],[P12 Growth]])</f>
        <v>1.2724833359893633</v>
      </c>
      <c r="AX41" s="27">
        <f>PortfolioFrontier[[#This Row],[P12 Growth]]/PortfolioFrontier[[#This Row],[P12 HWM]]-1</f>
        <v>0</v>
      </c>
      <c r="AY41" s="28">
        <f>SUMPRODUCT(INDEX(PortfolioRef[[SPY]:[PE]],MATCH(AY$1,PortfolioRef[Reference '#]),0),AssetMonthlyReturns[[#This Row],[SPY]:[PE]])</f>
        <v>4.0757660602227665E-2</v>
      </c>
      <c r="AZ41" s="27">
        <f>IF(ISNUMBER(AZ40),AZ40*(1+PortfolioFrontier[[#This Row],[P13 Return]]),1+PortfolioFrontier[[#This Row],[P13 Return]])</f>
        <v>1.2913333278368591</v>
      </c>
      <c r="BA41" s="27">
        <f>MAX(BA40,PortfolioFrontier[[#This Row],[P13 Growth]])</f>
        <v>1.2913333278368591</v>
      </c>
      <c r="BB41" s="27">
        <f>PortfolioFrontier[[#This Row],[P13 Growth]]/PortfolioFrontier[[#This Row],[P13 HWM]]-1</f>
        <v>0</v>
      </c>
      <c r="BC41" s="28">
        <f>SUMPRODUCT(INDEX(PortfolioRef[[SPY]:[PE]],MATCH(BC$1,PortfolioRef[Reference '#]),0),AssetMonthlyReturns[[#This Row],[SPY]:[PE]])</f>
        <v>4.0935541735755379E-2</v>
      </c>
      <c r="BD41" s="27">
        <f>IF(ISNUMBER(BD40),BD40*(1+PortfolioFrontier[[#This Row],[P14 Return]]),1+PortfolioFrontier[[#This Row],[P14 Return]])</f>
        <v>1.2796299008045595</v>
      </c>
      <c r="BE41" s="27">
        <f>MAX(BE40,PortfolioFrontier[[#This Row],[P14 Growth]])</f>
        <v>1.2796299008045595</v>
      </c>
      <c r="BF41" s="27">
        <f>PortfolioFrontier[[#This Row],[P14 Growth]]/PortfolioFrontier[[#This Row],[P14 HWM]]-1</f>
        <v>0</v>
      </c>
      <c r="BG41" s="28">
        <f>SUMPRODUCT(INDEX(PortfolioRef[[SPY]:[PE]],MATCH(BG$1,PortfolioRef[Reference '#]),0),AssetMonthlyReturns[[#This Row],[SPY]:[PE]])</f>
        <v>4.1113422869283094E-2</v>
      </c>
      <c r="BH41" s="27">
        <f>IF(ISNUMBER(BH40),BH40*(1+PortfolioFrontier[[#This Row],[P15 Return]]),1+PortfolioFrontier[[#This Row],[P15 Return]])</f>
        <v>1.2678333037942466</v>
      </c>
      <c r="BI41" s="27">
        <f>MAX(BI40,PortfolioFrontier[[#This Row],[P15 Growth]])</f>
        <v>1.2678333037942466</v>
      </c>
      <c r="BJ41" s="27">
        <f>PortfolioFrontier[[#This Row],[P15 Growth]]/PortfolioFrontier[[#This Row],[P15 HWM]]-1</f>
        <v>0</v>
      </c>
      <c r="BK41" s="28">
        <f>SUMPRODUCT(INDEX(PortfolioRef[[SPY]:[PE]],MATCH(BK$1,PortfolioRef[Reference '#]),0),AssetMonthlyReturns[[#This Row],[SPY]:[PE]])</f>
        <v>3.8604035389334261E-2</v>
      </c>
      <c r="BL41" s="27">
        <f>IF(ISNUMBER(BL40),BL40*(1+PortfolioFrontier[[#This Row],[P16 Return]]),1+PortfolioFrontier[[#This Row],[P16 Return]])</f>
        <v>1.2561239567538673</v>
      </c>
      <c r="BM41" s="27">
        <f>MAX(BM40,PortfolioFrontier[[#This Row],[P16 Growth]])</f>
        <v>1.2561239567538673</v>
      </c>
      <c r="BN41" s="27">
        <f>PortfolioFrontier[[#This Row],[P16 Growth]]/PortfolioFrontier[[#This Row],[P16 HWM]]-1</f>
        <v>0</v>
      </c>
      <c r="BO41" s="28">
        <f>SUMPRODUCT(INDEX(PortfolioRef[[SPY]:[PE]],MATCH(BO$1,PortfolioRef[Reference '#]),0),AssetMonthlyReturns[[#This Row],[SPY]:[PE]])</f>
        <v>4.2054219433828532E-2</v>
      </c>
      <c r="BP41" s="27">
        <f>IF(ISNUMBER(BP40),BP40*(1+PortfolioFrontier[[#This Row],[P17 Return]]),1+PortfolioFrontier[[#This Row],[P17 Return]])</f>
        <v>1.2563138209466223</v>
      </c>
      <c r="BQ41" s="27">
        <f>MAX(BQ40,PortfolioFrontier[[#This Row],[P17 Growth]])</f>
        <v>1.2563138209466223</v>
      </c>
      <c r="BR41" s="27">
        <f>PortfolioFrontier[[#This Row],[P17 Growth]]/PortfolioFrontier[[#This Row],[P17 HWM]]-1</f>
        <v>0</v>
      </c>
      <c r="BS41" s="28">
        <f>SUMPRODUCT(INDEX(PortfolioRef[[SPY]:[PE]],MATCH(BS$1,PortfolioRef[Reference '#]),0),AssetMonthlyReturns[[#This Row],[SPY]:[PE]])</f>
        <v>3.8346249127605168E-2</v>
      </c>
      <c r="BT41" s="27">
        <f>IF(ISNUMBER(BT40),BT40*(1+PortfolioFrontier[[#This Row],[P18 Return]]),1+PortfolioFrontier[[#This Row],[P18 Return]])</f>
        <v>1.2635130661804226</v>
      </c>
      <c r="BU41" s="27">
        <f>MAX(BU40,PortfolioFrontier[[#This Row],[P18 Growth]])</f>
        <v>1.2635130661804226</v>
      </c>
      <c r="BV41" s="27">
        <f>PortfolioFrontier[[#This Row],[P18 Growth]]/PortfolioFrontier[[#This Row],[P18 HWM]]-1</f>
        <v>0</v>
      </c>
      <c r="BW41" s="28">
        <f>SUMPRODUCT(INDEX(PortfolioRef[[SPY]:[PE]],MATCH(BW$1,PortfolioRef[Reference '#]),0),AssetMonthlyReturns[[#This Row],[SPY]:[PE]])</f>
        <v>3.852413026113289E-2</v>
      </c>
      <c r="BX41" s="27">
        <f>IF(ISNUMBER(BX40),BX40*(1+PortfolioFrontier[[#This Row],[P19 Return]]),1+PortfolioFrontier[[#This Row],[P19 Return]])</f>
        <v>1.2518443401937585</v>
      </c>
      <c r="BY41" s="27">
        <f>MAX(BY40,PortfolioFrontier[[#This Row],[P19 Growth]])</f>
        <v>1.2518443401937585</v>
      </c>
      <c r="BZ41" s="27">
        <f>PortfolioFrontier[[#This Row],[P19 Growth]]/PortfolioFrontier[[#This Row],[P19 HWM]]-1</f>
        <v>0</v>
      </c>
      <c r="CA41" s="28">
        <f>SUMPRODUCT(INDEX(PortfolioRef[[SPY]:[PE]],MATCH(CA$1,PortfolioRef[Reference '#]),0),AssetMonthlyReturns[[#This Row],[SPY]:[PE]])</f>
        <v>4.5504403478322811E-2</v>
      </c>
      <c r="CB41" s="27">
        <f>IF(ISNUMBER(CB40),CB40*(1+PortfolioFrontier[[#This Row],[P20 Return]]),1+PortfolioFrontier[[#This Row],[P20 Return]])</f>
        <v>1.2564021353783943</v>
      </c>
      <c r="CC41" s="27">
        <f>MAX(CC40,PortfolioFrontier[[#This Row],[P20 Growth]])</f>
        <v>1.2564021353783943</v>
      </c>
      <c r="CD41" s="27">
        <f>PortfolioFrontier[[#This Row],[P20 Growth]]/PortfolioFrontier[[#This Row],[P20 HWM]]-1</f>
        <v>0</v>
      </c>
      <c r="CE41" s="28">
        <f>SUMPRODUCT(INDEX(PortfolioRef[[SPY]:[PE]],MATCH(CE$1,PortfolioRef[Reference '#]),0),AssetMonthlyReturns[[#This Row],[SPY]:[PE]])</f>
        <v>4.179643317209944E-2</v>
      </c>
      <c r="CF41" s="27">
        <f>IF(ISNUMBER(CF40),CF40*(1+PortfolioFrontier[[#This Row],[P21 Return]]),1+PortfolioFrontier[[#This Row],[P21 Return]])</f>
        <v>1.2637093534632817</v>
      </c>
      <c r="CG41" s="27">
        <f>MAX(CG40,PortfolioFrontier[[#This Row],[P21 Growth]])</f>
        <v>1.2637093534632817</v>
      </c>
      <c r="CH41" s="27">
        <f>PortfolioFrontier[[#This Row],[P21 Growth]]/PortfolioFrontier[[#This Row],[P21 HWM]]-1</f>
        <v>0</v>
      </c>
      <c r="CI41" s="28">
        <f>SUMPRODUCT(INDEX(PortfolioRef[[SPY]:[PE]],MATCH(CI$1,PortfolioRef[Reference '#]),0),AssetMonthlyReturns[[#This Row],[SPY]:[PE]])</f>
        <v>4.1974314305627161E-2</v>
      </c>
      <c r="CJ41" s="27">
        <f>IF(ISNUMBER(CJ40),CJ40*(1+PortfolioFrontier[[#This Row],[P22 Return]]),1+PortfolioFrontier[[#This Row],[P22 Return]])</f>
        <v>1.2520580600584572</v>
      </c>
      <c r="CK41" s="27">
        <f>MAX(CK40,PortfolioFrontier[[#This Row],[P22 Growth]])</f>
        <v>1.2520580600584572</v>
      </c>
      <c r="CL41" s="27">
        <f>PortfolioFrontier[[#This Row],[P22 Growth]]/PortfolioFrontier[[#This Row],[P22 HWM]]-1</f>
        <v>0</v>
      </c>
      <c r="CM41" s="28">
        <f>SUMPRODUCT(INDEX(PortfolioRef[[SPY]:[PE]],MATCH(CM$1,PortfolioRef[Reference '#]),0),AssetMonthlyReturns[[#This Row],[SPY]:[PE]])</f>
        <v>3.8088462865876083E-2</v>
      </c>
      <c r="CN41" s="27">
        <f>IF(ISNUMBER(CN40),CN40*(1+PortfolioFrontier[[#This Row],[P23 Return]]),1+PortfolioFrontier[[#This Row],[P23 Return]])</f>
        <v>1.2707844680715836</v>
      </c>
      <c r="CO41" s="27">
        <f>MAX(CO40,PortfolioFrontier[[#This Row],[P23 Growth]])</f>
        <v>1.2707844680715836</v>
      </c>
      <c r="CP41" s="27">
        <f>PortfolioFrontier[[#This Row],[P23 Growth]]/PortfolioFrontier[[#This Row],[P23 HWM]]-1</f>
        <v>0</v>
      </c>
      <c r="CQ41" s="28">
        <f>SUMPRODUCT(INDEX(PortfolioRef[[SPY]:[PE]],MATCH(CQ$1,PortfolioRef[Reference '#]),0),AssetMonthlyReturns[[#This Row],[SPY]:[PE]])</f>
        <v>3.8266343999403797E-2</v>
      </c>
      <c r="CR41" s="27">
        <f>IF(ISNUMBER(CR40),CR40*(1+PortfolioFrontier[[#This Row],[P24 Return]]),1+PortfolioFrontier[[#This Row],[P24 Return]])</f>
        <v>1.2591997651208027</v>
      </c>
      <c r="CS41" s="27">
        <f>MAX(CS40,PortfolioFrontier[[#This Row],[P24 Growth]])</f>
        <v>1.2591997651208027</v>
      </c>
      <c r="CT41" s="27">
        <f>PortfolioFrontier[[#This Row],[P24 Growth]]/PortfolioFrontier[[#This Row],[P24 HWM]]-1</f>
        <v>0</v>
      </c>
      <c r="CU41" s="28">
        <f>SUMPRODUCT(INDEX(PortfolioRef[[SPY]:[PE]],MATCH(CU$1,PortfolioRef[Reference '#]),0),AssetMonthlyReturns[[#This Row],[SPY]:[PE]])</f>
        <v>3.8444225132931512E-2</v>
      </c>
      <c r="CV41" s="27">
        <f>IF(ISNUMBER(CV40),CV40*(1+PortfolioFrontier[[#This Row],[P25 Return]]),1+PortfolioFrontier[[#This Row],[P25 Return]])</f>
        <v>1.2475245452577095</v>
      </c>
      <c r="CW41" s="27">
        <f>MAX(CW40,PortfolioFrontier[[#This Row],[P25 Growth]])</f>
        <v>1.2475245452577095</v>
      </c>
      <c r="CX41" s="27">
        <f>PortfolioFrontier[[#This Row],[P25 Growth]]/PortfolioFrontier[[#This Row],[P25 HWM]]-1</f>
        <v>0</v>
      </c>
      <c r="CY41" s="28">
        <f>SUMPRODUCT(INDEX(PortfolioRef[[SPY]:[PE]],MATCH(CY$1,PortfolioRef[Reference '#]),0),AssetMonthlyReturns[[#This Row],[SPY]:[PE]])</f>
        <v>4.5246617216593718E-2</v>
      </c>
      <c r="CZ41" s="27">
        <f>IF(ISNUMBER(CZ40),CZ40*(1+PortfolioFrontier[[#This Row],[P26 Return]]),1+PortfolioFrontier[[#This Row],[P26 Return]])</f>
        <v>1.2638035734835973</v>
      </c>
      <c r="DA41" s="27">
        <f>MAX(DA40,PortfolioFrontier[[#This Row],[P26 Growth]])</f>
        <v>1.2638035734835973</v>
      </c>
      <c r="DB41" s="27">
        <f>PortfolioFrontier[[#This Row],[P26 Growth]]/PortfolioFrontier[[#This Row],[P26 HWM]]-1</f>
        <v>0</v>
      </c>
      <c r="DC41" s="28">
        <f>SUMPRODUCT(INDEX(PortfolioRef[[SPY]:[PE]],MATCH(DC$1,PortfolioRef[Reference '#]),0),AssetMonthlyReturns[[#This Row],[SPY]:[PE]])</f>
        <v>4.5424498350121439E-2</v>
      </c>
      <c r="DD41" s="27">
        <f>IF(ISNUMBER(DD40),DD40*(1+PortfolioFrontier[[#This Row],[P27 Return]]),1+PortfolioFrontier[[#This Row],[P27 Return]])</f>
        <v>1.2521705570340977</v>
      </c>
      <c r="DE41" s="27">
        <f>MAX(DE40,PortfolioFrontier[[#This Row],[P27 Growth]])</f>
        <v>1.2521705570340977</v>
      </c>
      <c r="DF41" s="27">
        <f>PortfolioFrontier[[#This Row],[P27 Growth]]/PortfolioFrontier[[#This Row],[P27 HWM]]-1</f>
        <v>0</v>
      </c>
      <c r="DG41" s="28">
        <f>SUMPRODUCT(INDEX(PortfolioRef[[SPY]:[PE]],MATCH(DG$1,PortfolioRef[Reference '#]),0),AssetMonthlyReturns[[#This Row],[SPY]:[PE]])</f>
        <v>4.1538646910370354E-2</v>
      </c>
      <c r="DH41" s="27">
        <f>IF(ISNUMBER(DH40),DH40*(1+PortfolioFrontier[[#This Row],[P28 Return]]),1+PortfolioFrontier[[#This Row],[P28 Return]])</f>
        <v>1.2709873932965758</v>
      </c>
      <c r="DI41" s="27">
        <f>MAX(DI40,PortfolioFrontier[[#This Row],[P28 Growth]])</f>
        <v>1.2709873932965758</v>
      </c>
      <c r="DJ41" s="27">
        <f>PortfolioFrontier[[#This Row],[P28 Growth]]/PortfolioFrontier[[#This Row],[P28 HWM]]-1</f>
        <v>0</v>
      </c>
      <c r="DK41" s="28">
        <f>SUMPRODUCT(INDEX(PortfolioRef[[SPY]:[PE]],MATCH(DK$1,PortfolioRef[Reference '#]),0),AssetMonthlyReturns[[#This Row],[SPY]:[PE]])</f>
        <v>4.1716528043898068E-2</v>
      </c>
      <c r="DL41" s="27">
        <f>IF(ISNUMBER(DL40),DL40*(1+PortfolioFrontier[[#This Row],[P29 Return]]),1+PortfolioFrontier[[#This Row],[P29 Return]])</f>
        <v>1.2594200784553</v>
      </c>
      <c r="DM41" s="27">
        <f>MAX(DM40,PortfolioFrontier[[#This Row],[P29 Growth]])</f>
        <v>1.2594200784553</v>
      </c>
      <c r="DN41" s="27">
        <f>PortfolioFrontier[[#This Row],[P29 Growth]]/PortfolioFrontier[[#This Row],[P29 HWM]]-1</f>
        <v>0</v>
      </c>
      <c r="DO41" s="28">
        <f>SUMPRODUCT(INDEX(PortfolioRef[[SPY]:[PE]],MATCH(DO$1,PortfolioRef[Reference '#]),0),AssetMonthlyReturns[[#This Row],[SPY]:[PE]])</f>
        <v>4.1894409177425783E-2</v>
      </c>
      <c r="DP41" s="27">
        <f>IF(ISNUMBER(DP40),DP40*(1+PortfolioFrontier[[#This Row],[P30 Return]]),1+PortfolioFrontier[[#This Row],[P30 Return]])</f>
        <v>1.2477619294198665</v>
      </c>
      <c r="DQ41" s="27">
        <f>MAX(DQ40,PortfolioFrontier[[#This Row],[P30 Growth]])</f>
        <v>1.2477619294198665</v>
      </c>
      <c r="DR41" s="27">
        <f>PortfolioFrontier[[#This Row],[P30 Growth]]/PortfolioFrontier[[#This Row],[P30 HWM]]-1</f>
        <v>0</v>
      </c>
      <c r="DS41" s="28">
        <f>SUMPRODUCT(INDEX(PortfolioRef[[SPY]:[PE]],MATCH(DS$1,PortfolioRef[Reference '#]),0),AssetMonthlyReturns[[#This Row],[SPY]:[PE]])</f>
        <v>3.7830676604146997E-2</v>
      </c>
      <c r="DT41" s="27">
        <f>IF(ISNUMBER(DT40),DT40*(1+PortfolioFrontier[[#This Row],[P31 Return]]),1+PortfolioFrontier[[#This Row],[P31 Return]])</f>
        <v>1.2779355355892097</v>
      </c>
      <c r="DU41" s="27">
        <f>MAX(DU40,PortfolioFrontier[[#This Row],[P31 Growth]])</f>
        <v>1.2779355355892097</v>
      </c>
      <c r="DV41" s="27">
        <f>PortfolioFrontier[[#This Row],[P31 Growth]]/PortfolioFrontier[[#This Row],[P31 HWM]]-1</f>
        <v>0</v>
      </c>
      <c r="DW41" s="28">
        <f>SUMPRODUCT(INDEX(PortfolioRef[[SPY]:[PE]],MATCH(DW$1,PortfolioRef[Reference '#]),0),AssetMonthlyReturns[[#This Row],[SPY]:[PE]])</f>
        <v>3.8008557737674711E-2</v>
      </c>
      <c r="DX41" s="27">
        <f>IF(ISNUMBER(DX40),DX40*(1+PortfolioFrontier[[#This Row],[P32 Return]]),1+PortfolioFrontier[[#This Row],[P32 Return]])</f>
        <v>1.2664376545976013</v>
      </c>
      <c r="DY41" s="27">
        <f>MAX(DY40,PortfolioFrontier[[#This Row],[P32 Growth]])</f>
        <v>1.2664376545976013</v>
      </c>
      <c r="DZ41" s="27">
        <f>PortfolioFrontier[[#This Row],[P32 Growth]]/PortfolioFrontier[[#This Row],[P32 HWM]]-1</f>
        <v>0</v>
      </c>
      <c r="EA41" s="28">
        <f>SUMPRODUCT(INDEX(PortfolioRef[[SPY]:[PE]],MATCH(EA$1,PortfolioRef[Reference '#]),0),AssetMonthlyReturns[[#This Row],[SPY]:[PE]])</f>
        <v>3.8186438871202419E-2</v>
      </c>
      <c r="EB41" s="27">
        <f>IF(ISNUMBER(EB40),EB40*(1+PortfolioFrontier[[#This Row],[P33 Return]]),1+PortfolioFrontier[[#This Row],[P33 Return]])</f>
        <v>1.2548460684518867</v>
      </c>
      <c r="EC41" s="27">
        <f>MAX(EC40,PortfolioFrontier[[#This Row],[P33 Growth]])</f>
        <v>1.2548460684518867</v>
      </c>
      <c r="ED41" s="27">
        <f>PortfolioFrontier[[#This Row],[P33 Growth]]/PortfolioFrontier[[#This Row],[P33 HWM]]-1</f>
        <v>0</v>
      </c>
      <c r="EE41" s="28">
        <f>SUMPRODUCT(INDEX(PortfolioRef[[SPY]:[PE]],MATCH(EE$1,PortfolioRef[Reference '#]),0),AssetMonthlyReturns[[#This Row],[SPY]:[PE]])</f>
        <v>3.5934837652982679E-2</v>
      </c>
      <c r="EF41" s="27">
        <f>IF(ISNUMBER(EF40),EF40*(1+PortfolioFrontier[[#This Row],[P34 Return]]),1+PortfolioFrontier[[#This Row],[P34 Return]])</f>
        <v>1.2357737300394827</v>
      </c>
      <c r="EG41" s="27">
        <f>MAX(EG40,PortfolioFrontier[[#This Row],[P34 Growth]])</f>
        <v>1.2357737300394827</v>
      </c>
      <c r="EH41" s="27">
        <f>PortfolioFrontier[[#This Row],[P34 Growth]]/PortfolioFrontier[[#This Row],[P34 HWM]]-1</f>
        <v>0</v>
      </c>
      <c r="EI41" s="28">
        <f>SUMPRODUCT(INDEX(PortfolioRef[[SPY]:[PE]],MATCH(EI$1,PortfolioRef[Reference '#]),0),AssetMonthlyReturns[[#This Row],[SPY]:[PE]])</f>
        <v>3.938502169747695E-2</v>
      </c>
      <c r="EJ41" s="27">
        <f>IF(ISNUMBER(EJ40),EJ40*(1+PortfolioFrontier[[#This Row],[P35 Return]]),1+PortfolioFrontier[[#This Row],[P35 Return]])</f>
        <v>1.2359472278155186</v>
      </c>
      <c r="EK41" s="27">
        <f>MAX(EK40,PortfolioFrontier[[#This Row],[P35 Growth]])</f>
        <v>1.2359472278155186</v>
      </c>
      <c r="EL41" s="27">
        <f>PortfolioFrontier[[#This Row],[P35 Growth]]/PortfolioFrontier[[#This Row],[P35 HWM]]-1</f>
        <v>0</v>
      </c>
      <c r="EM41" s="28">
        <f>SUMPRODUCT(INDEX(PortfolioRef[[SPY]:[PE]],MATCH(EM$1,PortfolioRef[Reference '#]),0),AssetMonthlyReturns[[#This Row],[SPY]:[PE]])</f>
        <v>3.5677051391253586E-2</v>
      </c>
      <c r="EN41" s="27">
        <f>IF(ISNUMBER(EN40),EN40*(1+PortfolioFrontier[[#This Row],[P36 Return]]),1+PortfolioFrontier[[#This Row],[P36 Return]])</f>
        <v>1.2431375008489303</v>
      </c>
      <c r="EO41" s="27">
        <f>MAX(EO40,PortfolioFrontier[[#This Row],[P36 Growth]])</f>
        <v>1.2431375008489303</v>
      </c>
      <c r="EP41" s="27">
        <f>PortfolioFrontier[[#This Row],[P36 Growth]]/PortfolioFrontier[[#This Row],[P36 HWM]]-1</f>
        <v>0</v>
      </c>
      <c r="EQ41" s="28">
        <f>SUMPRODUCT(INDEX(PortfolioRef[[SPY]:[PE]],MATCH(EQ$1,PortfolioRef[Reference '#]),0),AssetMonthlyReturns[[#This Row],[SPY]:[PE]])</f>
        <v>3.5854932524781308E-2</v>
      </c>
      <c r="ER41" s="27">
        <f>IF(ISNUMBER(ER40),ER40*(1+PortfolioFrontier[[#This Row],[P37 Return]]),1+PortfolioFrontier[[#This Row],[P37 Return]])</f>
        <v>1.2315911584462331</v>
      </c>
      <c r="ES41" s="27">
        <f>MAX(ES40,PortfolioFrontier[[#This Row],[P37 Growth]])</f>
        <v>1.2315911584462331</v>
      </c>
      <c r="ET41" s="27">
        <f>PortfolioFrontier[[#This Row],[P37 Growth]]/PortfolioFrontier[[#This Row],[P37 HWM]]-1</f>
        <v>0</v>
      </c>
      <c r="EU41" s="28">
        <f>SUMPRODUCT(INDEX(PortfolioRef[[SPY]:[PE]],MATCH(EU$1,PortfolioRef[Reference '#]),0),AssetMonthlyReturns[[#This Row],[SPY]:[PE]])</f>
        <v>4.2835205741971229E-2</v>
      </c>
      <c r="EV41" s="27">
        <f>IF(ISNUMBER(EV40),EV40*(1+PortfolioFrontier[[#This Row],[P38 Return]]),1+PortfolioFrontier[[#This Row],[P38 Return]])</f>
        <v>1.2360206618820211</v>
      </c>
      <c r="EW41" s="27">
        <f>MAX(EW40,PortfolioFrontier[[#This Row],[P38 Growth]])</f>
        <v>1.2360206618820211</v>
      </c>
      <c r="EX41" s="27">
        <f>PortfolioFrontier[[#This Row],[P38 Growth]]/PortfolioFrontier[[#This Row],[P38 HWM]]-1</f>
        <v>0</v>
      </c>
      <c r="EY41" s="28">
        <f>SUMPRODUCT(INDEX(PortfolioRef[[SPY]:[PE]],MATCH(EY$1,PortfolioRef[Reference '#]),0),AssetMonthlyReturns[[#This Row],[SPY]:[PE]])</f>
        <v>3.9127235435747858E-2</v>
      </c>
      <c r="EZ41" s="27">
        <f>IF(ISNUMBER(EZ40),EZ40*(1+PortfolioFrontier[[#This Row],[P39 Return]]),1+PortfolioFrontier[[#This Row],[P39 Return]])</f>
        <v>1.2433171369010163</v>
      </c>
      <c r="FA41" s="27">
        <f>MAX(FA40,PortfolioFrontier[[#This Row],[P39 Growth]])</f>
        <v>1.2433171369010163</v>
      </c>
      <c r="FB41" s="27">
        <f>PortfolioFrontier[[#This Row],[P39 Growth]]/PortfolioFrontier[[#This Row],[P39 HWM]]-1</f>
        <v>0</v>
      </c>
      <c r="FC41" s="28">
        <f>SUMPRODUCT(INDEX(PortfolioRef[[SPY]:[PE]],MATCH(FC$1,PortfolioRef[Reference '#]),0),AssetMonthlyReturns[[#This Row],[SPY]:[PE]])</f>
        <v>3.9305116569275579E-2</v>
      </c>
      <c r="FD41" s="27">
        <f>IF(ISNUMBER(FD40),FD40*(1+PortfolioFrontier[[#This Row],[P40 Return]]),1+PortfolioFrontier[[#This Row],[P40 Return]])</f>
        <v>1.2317881624507003</v>
      </c>
      <c r="FE41" s="27">
        <f>MAX(FE40,PortfolioFrontier[[#This Row],[P40 Growth]])</f>
        <v>1.2317881624507003</v>
      </c>
      <c r="FF41" s="27">
        <f>PortfolioFrontier[[#This Row],[P40 Growth]]/PortfolioFrontier[[#This Row],[P40 HWM]]-1</f>
        <v>0</v>
      </c>
      <c r="FG41" s="28">
        <f>SUMPRODUCT(INDEX(PortfolioRef[[SPY]:[PE]],MATCH(FG$1,PortfolioRef[Reference '#]),0),AssetMonthlyReturns[[#This Row],[SPY]:[PE]])</f>
        <v>3.5419265129524501E-2</v>
      </c>
      <c r="FH41" s="27">
        <f>IF(ISNUMBER(FH40),FH40*(1+PortfolioFrontier[[#This Row],[P41 Return]]),1+PortfolioFrontier[[#This Row],[P41 Return]])</f>
        <v>1.2503867672942133</v>
      </c>
      <c r="FI41" s="27">
        <f>MAX(FI40,PortfolioFrontier[[#This Row],[P41 Growth]])</f>
        <v>1.2503867672942133</v>
      </c>
      <c r="FJ41" s="27">
        <f>PortfolioFrontier[[#This Row],[P41 Growth]]/PortfolioFrontier[[#This Row],[P41 HWM]]-1</f>
        <v>0</v>
      </c>
      <c r="FK41" s="28">
        <f>SUMPRODUCT(INDEX(PortfolioRef[[SPY]:[PE]],MATCH(FK$1,PortfolioRef[Reference '#]),0),AssetMonthlyReturns[[#This Row],[SPY]:[PE]])</f>
        <v>3.5597146263052215E-2</v>
      </c>
      <c r="FL41" s="27">
        <f>IF(ISNUMBER(FL40),FL40*(1+PortfolioFrontier[[#This Row],[P42 Return]]),1+PortfolioFrontier[[#This Row],[P42 Return]])</f>
        <v>1.2389217770793894</v>
      </c>
      <c r="FM41" s="27">
        <f>MAX(FM40,PortfolioFrontier[[#This Row],[P42 Growth]])</f>
        <v>1.2389217770793894</v>
      </c>
      <c r="FN41" s="27">
        <f>PortfolioFrontier[[#This Row],[P42 Growth]]/PortfolioFrontier[[#This Row],[P42 HWM]]-1</f>
        <v>0</v>
      </c>
      <c r="FO41" s="28">
        <f>SUMPRODUCT(INDEX(PortfolioRef[[SPY]:[PE]],MATCH(FO$1,PortfolioRef[Reference '#]),0),AssetMonthlyReturns[[#This Row],[SPY]:[PE]])</f>
        <v>3.577502739657993E-2</v>
      </c>
      <c r="FP41" s="27">
        <f>IF(ISNUMBER(FP40),FP40*(1+PortfolioFrontier[[#This Row],[P43 Return]]),1+PortfolioFrontier[[#This Row],[P43 Return]])</f>
        <v>1.2273688702618744</v>
      </c>
      <c r="FQ41" s="27">
        <f>MAX(FQ40,PortfolioFrontier[[#This Row],[P43 Growth]])</f>
        <v>1.2273688702618744</v>
      </c>
      <c r="FR41" s="27">
        <f>PortfolioFrontier[[#This Row],[P43 Growth]]/PortfolioFrontier[[#This Row],[P43 HWM]]-1</f>
        <v>0</v>
      </c>
      <c r="FS41" s="28">
        <f>SUMPRODUCT(INDEX(PortfolioRef[[SPY]:[PE]],MATCH(FS$1,PortfolioRef[Reference '#]),0),AssetMonthlyReturns[[#This Row],[SPY]:[PE]])</f>
        <v>4.2577419480242136E-2</v>
      </c>
      <c r="FT41" s="27">
        <f>IF(ISNUMBER(FT40),FT40*(1+PortfolioFrontier[[#This Row],[P44 Return]]),1+PortfolioFrontier[[#This Row],[P44 Return]])</f>
        <v>1.2433961920463623</v>
      </c>
      <c r="FU41" s="27">
        <f>MAX(FU40,PortfolioFrontier[[#This Row],[P44 Growth]])</f>
        <v>1.2433961920463623</v>
      </c>
      <c r="FV41" s="27">
        <f>PortfolioFrontier[[#This Row],[P44 Growth]]/PortfolioFrontier[[#This Row],[P44 HWM]]-1</f>
        <v>0</v>
      </c>
      <c r="FW41" s="28">
        <f>SUMPRODUCT(INDEX(PortfolioRef[[SPY]:[PE]],MATCH(FW$1,PortfolioRef[Reference '#]),0),AssetMonthlyReturns[[#This Row],[SPY]:[PE]])</f>
        <v>4.2755300613769857E-2</v>
      </c>
      <c r="FX41" s="27">
        <f>IF(ISNUMBER(FX40),FX40*(1+PortfolioFrontier[[#This Row],[P45 Return]]),1+PortfolioFrontier[[#This Row],[P45 Return]])</f>
        <v>1.2318854226679945</v>
      </c>
      <c r="FY41" s="27">
        <f>MAX(FY40,PortfolioFrontier[[#This Row],[P45 Growth]])</f>
        <v>1.2318854226679945</v>
      </c>
      <c r="FZ41" s="27">
        <f>PortfolioFrontier[[#This Row],[P45 Growth]]/PortfolioFrontier[[#This Row],[P45 HWM]]-1</f>
        <v>0</v>
      </c>
      <c r="GA41" s="28">
        <f>SUMPRODUCT(INDEX(PortfolioRef[[SPY]:[PE]],MATCH(GA$1,PortfolioRef[Reference '#]),0),AssetMonthlyReturns[[#This Row],[SPY]:[PE]])</f>
        <v>3.8869449174018772E-2</v>
      </c>
      <c r="GB41" s="27">
        <f>IF(ISNUMBER(GB40),GB40*(1+PortfolioFrontier[[#This Row],[P46 Return]]),1+PortfolioFrontier[[#This Row],[P46 Return]])</f>
        <v>1.2505727522476409</v>
      </c>
      <c r="GC41" s="27">
        <f>MAX(GC40,PortfolioFrontier[[#This Row],[P46 Growth]])</f>
        <v>1.2505727522476409</v>
      </c>
      <c r="GD41" s="27">
        <f>PortfolioFrontier[[#This Row],[P46 Growth]]/PortfolioFrontier[[#This Row],[P46 HWM]]-1</f>
        <v>0</v>
      </c>
      <c r="GE41" s="28">
        <f>SUMPRODUCT(INDEX(PortfolioRef[[SPY]:[PE]],MATCH(GE$1,PortfolioRef[Reference '#]),0),AssetMonthlyReturns[[#This Row],[SPY]:[PE]])</f>
        <v>3.9047330307546486E-2</v>
      </c>
      <c r="GF41" s="27">
        <f>IF(ISNUMBER(GF40),GF40*(1+PortfolioFrontier[[#This Row],[P47 Return]]),1+PortfolioFrontier[[#This Row],[P47 Return]])</f>
        <v>1.2391250887797784</v>
      </c>
      <c r="GG41" s="27">
        <f>MAX(GG40,PortfolioFrontier[[#This Row],[P47 Growth]])</f>
        <v>1.2391250887797784</v>
      </c>
      <c r="GH41" s="27">
        <f>PortfolioFrontier[[#This Row],[P47 Growth]]/PortfolioFrontier[[#This Row],[P47 HWM]]-1</f>
        <v>0</v>
      </c>
      <c r="GI41" s="28">
        <f>SUMPRODUCT(INDEX(PortfolioRef[[SPY]:[PE]],MATCH(GI$1,PortfolioRef[Reference '#]),0),AssetMonthlyReturns[[#This Row],[SPY]:[PE]])</f>
        <v>3.9225211441074201E-2</v>
      </c>
      <c r="GJ41" s="27">
        <f>IF(ISNUMBER(GJ40),GJ40*(1+PortfolioFrontier[[#This Row],[P48 Return]]),1+PortfolioFrontier[[#This Row],[P48 Return]])</f>
        <v>1.2275891934137684</v>
      </c>
      <c r="GK41" s="27">
        <f>MAX(GK40,PortfolioFrontier[[#This Row],[P48 Growth]])</f>
        <v>1.2275891934137684</v>
      </c>
      <c r="GL41" s="27">
        <f>PortfolioFrontier[[#This Row],[P48 Growth]]/PortfolioFrontier[[#This Row],[P48 HWM]]-1</f>
        <v>0</v>
      </c>
      <c r="GM41" s="28">
        <f>SUMPRODUCT(INDEX(PortfolioRef[[SPY]:[PE]],MATCH(GM$1,PortfolioRef[Reference '#]),0),AssetMonthlyReturns[[#This Row],[SPY]:[PE]])</f>
        <v>3.5161478867795415E-2</v>
      </c>
      <c r="GN41" s="27">
        <f>IF(ISNUMBER(GN40),GN40*(1+PortfolioFrontier[[#This Row],[P49 Return]]),1+PortfolioFrontier[[#This Row],[P49 Return]])</f>
        <v>1.2575189354874752</v>
      </c>
      <c r="GO41" s="27">
        <f>MAX(GO40,PortfolioFrontier[[#This Row],[P49 Growth]])</f>
        <v>1.2575189354874752</v>
      </c>
      <c r="GP41" s="27">
        <f>PortfolioFrontier[[#This Row],[P49 Growth]]/PortfolioFrontier[[#This Row],[P49 HWM]]-1</f>
        <v>0</v>
      </c>
      <c r="GQ41" s="28">
        <f>SUMPRODUCT(INDEX(PortfolioRef[[SPY]:[PE]],MATCH(GQ$1,PortfolioRef[Reference '#]),0),AssetMonthlyReturns[[#This Row],[SPY]:[PE]])</f>
        <v>3.5339360001323129E-2</v>
      </c>
      <c r="GR41" s="27">
        <f>IF(ISNUMBER(GR40),GR40*(1+PortfolioFrontier[[#This Row],[P50 Return]]),1+PortfolioFrontier[[#This Row],[P50 Return]])</f>
        <v>1.2461380569274696</v>
      </c>
      <c r="GS41" s="27">
        <f>MAX(GS40,PortfolioFrontier[[#This Row],[P50 Growth]])</f>
        <v>1.2461380569274696</v>
      </c>
      <c r="GT41" s="27">
        <f>PortfolioFrontier[[#This Row],[P50 Growth]]/PortfolioFrontier[[#This Row],[P50 HWM]]-1</f>
        <v>0</v>
      </c>
      <c r="GU41" s="28">
        <f>SUMPRODUCT(INDEX(PortfolioRef[[SPY]:[PE]],MATCH(GU$1,PortfolioRef[Reference '#]),0),AssetMonthlyReturns[[#This Row],[SPY]:[PE]])</f>
        <v>3.5517241134850837E-2</v>
      </c>
      <c r="GV41" s="27">
        <f>IF(ISNUMBER(GV40),GV40*(1+PortfolioFrontier[[#This Row],[P51 Return]]),1+PortfolioFrontier[[#This Row],[P51 Return]])</f>
        <v>1.2346661187431032</v>
      </c>
      <c r="GW41" s="27">
        <f>MAX(GW40,PortfolioFrontier[[#This Row],[P51 Growth]])</f>
        <v>1.2346661187431032</v>
      </c>
      <c r="GX41" s="27">
        <f>PortfolioFrontier[[#This Row],[P51 Growth]]/PortfolioFrontier[[#This Row],[P51 HWM]]-1</f>
        <v>0</v>
      </c>
      <c r="GY41" s="28">
        <f>SUMPRODUCT(INDEX(PortfolioRef[[SPY]:[PE]],MATCH(GY$1,PortfolioRef[Reference '#]),0),AssetMonthlyReturns[[#This Row],[SPY]:[PE]])</f>
        <v>4.231963321851305E-2</v>
      </c>
      <c r="GZ41" s="27">
        <f>IF(ISNUMBER(GZ40),GZ40*(1+PortfolioFrontier[[#This Row],[P52 Return]]),1+PortfolioFrontier[[#This Row],[P52 Return]])</f>
        <v>1.250657647867301</v>
      </c>
      <c r="HA41" s="27">
        <f>MAX(HA40,PortfolioFrontier[[#This Row],[P52 Growth]])</f>
        <v>1.250657647867301</v>
      </c>
      <c r="HB41" s="27">
        <f>PortfolioFrontier[[#This Row],[P52 Growth]]/PortfolioFrontier[[#This Row],[P52 HWM]]-1</f>
        <v>0</v>
      </c>
      <c r="HC41" s="28">
        <f>SUMPRODUCT(INDEX(PortfolioRef[[SPY]:[PE]],MATCH(HC$1,PortfolioRef[Reference '#]),0),AssetMonthlyReturns[[#This Row],[SPY]:[PE]])</f>
        <v>4.2497514352040765E-2</v>
      </c>
      <c r="HD41" s="27">
        <f>IF(ISNUMBER(HD40),HD40*(1+PortfolioFrontier[[#This Row],[P53 Return]]),1+PortfolioFrontier[[#This Row],[P53 Return]])</f>
        <v>1.2392281420250841</v>
      </c>
      <c r="HE41" s="27">
        <f>MAX(HE40,PortfolioFrontier[[#This Row],[P53 Growth]])</f>
        <v>1.2392281420250841</v>
      </c>
      <c r="HF41" s="27">
        <f>PortfolioFrontier[[#This Row],[P53 Growth]]/PortfolioFrontier[[#This Row],[P53 HWM]]-1</f>
        <v>0</v>
      </c>
      <c r="HG41" s="28">
        <f>SUMPRODUCT(INDEX(PortfolioRef[[SPY]:[PE]],MATCH(HG$1,PortfolioRef[Reference '#]),0),AssetMonthlyReturns[[#This Row],[SPY]:[PE]])</f>
        <v>4.2675395485568479E-2</v>
      </c>
      <c r="HH41" s="27">
        <f>IF(ISNUMBER(HH40),HH40*(1+PortfolioFrontier[[#This Row],[P54 Return]]),1+PortfolioFrontier[[#This Row],[P54 Return]])</f>
        <v>1.2277100963861691</v>
      </c>
      <c r="HI41" s="27">
        <f>MAX(HI40,PortfolioFrontier[[#This Row],[P54 Growth]])</f>
        <v>1.2277100963861691</v>
      </c>
      <c r="HJ41" s="27">
        <f>PortfolioFrontier[[#This Row],[P54 Growth]]/PortfolioFrontier[[#This Row],[P54 HWM]]-1</f>
        <v>0</v>
      </c>
      <c r="HK41" s="28">
        <f>SUMPRODUCT(INDEX(PortfolioRef[[SPY]:[PE]],MATCH(HK$1,PortfolioRef[Reference '#]),0),AssetMonthlyReturns[[#This Row],[SPY]:[PE]])</f>
        <v>3.8611662912289686E-2</v>
      </c>
      <c r="HL41" s="27">
        <f>IF(ISNUMBER(HL40),HL40*(1+PortfolioFrontier[[#This Row],[P55 Return]]),1+PortfolioFrontier[[#This Row],[P55 Return]])</f>
        <v>1.2577114818548651</v>
      </c>
      <c r="HM41" s="27">
        <f>MAX(HM40,PortfolioFrontier[[#This Row],[P55 Growth]])</f>
        <v>1.2577114818548651</v>
      </c>
      <c r="HN41" s="27">
        <f>PortfolioFrontier[[#This Row],[P55 Growth]]/PortfolioFrontier[[#This Row],[P55 HWM]]-1</f>
        <v>0</v>
      </c>
      <c r="HO41" s="28">
        <f>SUMPRODUCT(INDEX(PortfolioRef[[SPY]:[PE]],MATCH(HO$1,PortfolioRef[Reference '#]),0),AssetMonthlyReturns[[#This Row],[SPY]:[PE]])</f>
        <v>3.8789544045817401E-2</v>
      </c>
      <c r="HP41" s="27">
        <f>IF(ISNUMBER(HP40),HP40*(1+PortfolioFrontier[[#This Row],[P56 Return]]),1+PortfolioFrontier[[#This Row],[P56 Return]])</f>
        <v>1.2463478854697494</v>
      </c>
      <c r="HQ41" s="27">
        <f>MAX(HQ40,PortfolioFrontier[[#This Row],[P56 Growth]])</f>
        <v>1.2463478854697494</v>
      </c>
      <c r="HR41" s="27">
        <f>PortfolioFrontier[[#This Row],[P56 Growth]]/PortfolioFrontier[[#This Row],[P56 HWM]]-1</f>
        <v>0</v>
      </c>
      <c r="HS41" s="28">
        <f>SUMPRODUCT(INDEX(PortfolioRef[[SPY]:[PE]],MATCH(HS$1,PortfolioRef[Reference '#]),0),AssetMonthlyReturns[[#This Row],[SPY]:[PE]])</f>
        <v>3.8967425179345108E-2</v>
      </c>
      <c r="HT41" s="27">
        <f>IF(ISNUMBER(HT40),HT40*(1+PortfolioFrontier[[#This Row],[P57 Return]]),1+PortfolioFrontier[[#This Row],[P57 Return]])</f>
        <v>1.2348929172619005</v>
      </c>
      <c r="HU41" s="27">
        <f>MAX(HU40,PortfolioFrontier[[#This Row],[P57 Growth]])</f>
        <v>1.2348929172619005</v>
      </c>
      <c r="HV41" s="27">
        <f>PortfolioFrontier[[#This Row],[P57 Growth]]/PortfolioFrontier[[#This Row],[P57 HWM]]-1</f>
        <v>0</v>
      </c>
      <c r="HW41" s="28">
        <f>SUMPRODUCT(INDEX(PortfolioRef[[SPY]:[PE]],MATCH(HW$1,PortfolioRef[Reference '#]),0),AssetMonthlyReturns[[#This Row],[SPY]:[PE]])</f>
        <v>3.4903692606066329E-2</v>
      </c>
      <c r="HX41" s="27">
        <f>IF(ISNUMBER(HX40),HX40*(1+PortfolioFrontier[[#This Row],[P58 Return]]),1+PortfolioFrontier[[#This Row],[P58 Return]])</f>
        <v>1.2645314219931516</v>
      </c>
      <c r="HY41" s="27">
        <f>MAX(HY40,PortfolioFrontier[[#This Row],[P58 Growth]])</f>
        <v>1.2645314219931516</v>
      </c>
      <c r="HZ41" s="27">
        <f>PortfolioFrontier[[#This Row],[P58 Growth]]/PortfolioFrontier[[#This Row],[P58 HWM]]-1</f>
        <v>0</v>
      </c>
      <c r="IA41" s="28">
        <f>SUMPRODUCT(INDEX(PortfolioRef[[SPY]:[PE]],MATCH(IA$1,PortfolioRef[Reference '#]),0),AssetMonthlyReturns[[#This Row],[SPY]:[PE]])</f>
        <v>3.5081573739594044E-2</v>
      </c>
      <c r="IB41" s="27">
        <f>IF(ISNUMBER(IB40),IB40*(1+PortfolioFrontier[[#This Row],[P59 Return]]),1+PortfolioFrontier[[#This Row],[P59 Return]])</f>
        <v>1.253237410648631</v>
      </c>
      <c r="IC41" s="27">
        <f>MAX(IC40,PortfolioFrontier[[#This Row],[P59 Growth]])</f>
        <v>1.253237410648631</v>
      </c>
      <c r="ID41" s="27">
        <f>PortfolioFrontier[[#This Row],[P59 Growth]]/PortfolioFrontier[[#This Row],[P59 HWM]]-1</f>
        <v>0</v>
      </c>
      <c r="IE41" s="28">
        <f>SUMPRODUCT(INDEX(PortfolioRef[[SPY]:[PE]],MATCH(IE$1,PortfolioRef[Reference '#]),0),AssetMonthlyReturns[[#This Row],[SPY]:[PE]])</f>
        <v>3.5259454873121751E-2</v>
      </c>
      <c r="IF41" s="27">
        <f>IF(ISNUMBER(IF40),IF40*(1+PortfolioFrontier[[#This Row],[P60 Return]]),1+PortfolioFrontier[[#This Row],[P60 Return]])</f>
        <v>1.2418491973451058</v>
      </c>
      <c r="IG41" s="27">
        <f>MAX(IG40,PortfolioFrontier[[#This Row],[P60 Growth]])</f>
        <v>1.2418491973451058</v>
      </c>
      <c r="IH41" s="27">
        <f>PortfolioFrontier[[#This Row],[P60 Growth]]/PortfolioFrontier[[#This Row],[P60 HWM]]-1</f>
        <v>0</v>
      </c>
      <c r="II41" s="28">
        <f>SUMPRODUCT(INDEX(PortfolioRef[[SPY]:[PE]],MATCH(II$1,PortfolioRef[Reference '#]),0),AssetMonthlyReturns[[#This Row],[SPY]:[PE]])</f>
        <v>3.3265639916631097E-2</v>
      </c>
      <c r="IJ41" s="27">
        <f>IF(ISNUMBER(IJ40),IJ40*(1+PortfolioFrontier[[#This Row],[P61 Return]]),1+PortfolioFrontier[[#This Row],[P61 Return]])</f>
        <v>1.215583244464115</v>
      </c>
      <c r="IK41" s="27">
        <f>MAX(IK40,PortfolioFrontier[[#This Row],[P61 Growth]])</f>
        <v>1.215583244464115</v>
      </c>
      <c r="IL41" s="27">
        <f>PortfolioFrontier[[#This Row],[P61 Growth]]/PortfolioFrontier[[#This Row],[P61 HWM]]-1</f>
        <v>0</v>
      </c>
      <c r="IM41" s="28">
        <f>SUMPRODUCT(INDEX(PortfolioRef[[SPY]:[PE]],MATCH(IM$1,PortfolioRef[Reference '#]),0),AssetMonthlyReturns[[#This Row],[SPY]:[PE]])</f>
        <v>3.6715823961125368E-2</v>
      </c>
      <c r="IN41" s="27">
        <f>IF(ISNUMBER(IN40),IN40*(1+PortfolioFrontier[[#This Row],[P62 Return]]),1+PortfolioFrontier[[#This Row],[P62 Return]])</f>
        <v>1.2157410458593965</v>
      </c>
      <c r="IO41" s="27">
        <f>MAX(IO40,PortfolioFrontier[[#This Row],[P62 Growth]])</f>
        <v>1.2157410458593965</v>
      </c>
      <c r="IP41" s="27">
        <f>PortfolioFrontier[[#This Row],[P62 Growth]]/PortfolioFrontier[[#This Row],[P62 HWM]]-1</f>
        <v>0</v>
      </c>
      <c r="IQ41" s="28">
        <f>SUMPRODUCT(INDEX(PortfolioRef[[SPY]:[PE]],MATCH(IQ$1,PortfolioRef[Reference '#]),0),AssetMonthlyReturns[[#This Row],[SPY]:[PE]])</f>
        <v>3.3007853654902004E-2</v>
      </c>
      <c r="IR41" s="27">
        <f>IF(ISNUMBER(IR40),IR40*(1+PortfolioFrontier[[#This Row],[P63 Return]]),1+PortfolioFrontier[[#This Row],[P63 Return]])</f>
        <v>1.2229192207577193</v>
      </c>
      <c r="IS41" s="27">
        <f>MAX(IS40,PortfolioFrontier[[#This Row],[P63 Growth]])</f>
        <v>1.2229192207577193</v>
      </c>
      <c r="IT41" s="27">
        <f>PortfolioFrontier[[#This Row],[P63 Growth]]/PortfolioFrontier[[#This Row],[P63 HWM]]-1</f>
        <v>0</v>
      </c>
      <c r="IU41" s="28">
        <f>SUMPRODUCT(INDEX(PortfolioRef[[SPY]:[PE]],MATCH(IU$1,PortfolioRef[Reference '#]),0),AssetMonthlyReturns[[#This Row],[SPY]:[PE]])</f>
        <v>3.3185734788429726E-2</v>
      </c>
      <c r="IV41" s="27">
        <f>IF(ISNUMBER(IV40),IV40*(1+PortfolioFrontier[[#This Row],[P64 Return]]),1+PortfolioFrontier[[#This Row],[P64 Return]])</f>
        <v>1.2114961197455694</v>
      </c>
      <c r="IW41" s="27">
        <f>MAX(IW40,PortfolioFrontier[[#This Row],[P64 Growth]])</f>
        <v>1.2114961197455694</v>
      </c>
      <c r="IX41" s="27">
        <f>PortfolioFrontier[[#This Row],[P64 Growth]]/PortfolioFrontier[[#This Row],[P64 HWM]]-1</f>
        <v>0</v>
      </c>
      <c r="IY41" s="28">
        <f>SUMPRODUCT(INDEX(PortfolioRef[[SPY]:[PE]],MATCH(IY$1,PortfolioRef[Reference '#]),0),AssetMonthlyReturns[[#This Row],[SPY]:[PE]])</f>
        <v>4.0166008005619647E-2</v>
      </c>
      <c r="IZ41" s="27">
        <f>IF(ISNUMBER(IZ40),IZ40*(1+PortfolioFrontier[[#This Row],[P65 Return]]),1+PortfolioFrontier[[#This Row],[P65 Return]])</f>
        <v>1.2158002596207969</v>
      </c>
      <c r="JA41" s="27">
        <f>MAX(JA40,PortfolioFrontier[[#This Row],[P65 Growth]])</f>
        <v>1.2158002596207969</v>
      </c>
      <c r="JB41" s="27">
        <f>PortfolioFrontier[[#This Row],[P65 Growth]]/PortfolioFrontier[[#This Row],[P65 HWM]]-1</f>
        <v>0</v>
      </c>
      <c r="JC41" s="28">
        <f>SUMPRODUCT(INDEX(PortfolioRef[[SPY]:[PE]],MATCH(JC$1,PortfolioRef[Reference '#]),0),AssetMonthlyReturns[[#This Row],[SPY]:[PE]])</f>
        <v>3.6458037699396276E-2</v>
      </c>
      <c r="JD41" s="27">
        <f>IF(ISNUMBER(JD40),JD40*(1+PortfolioFrontier[[#This Row],[P66 Return]]),1+PortfolioFrontier[[#This Row],[P66 Return]])</f>
        <v>1.2230828836356267</v>
      </c>
      <c r="JE41" s="27">
        <f>MAX(JE40,PortfolioFrontier[[#This Row],[P66 Growth]])</f>
        <v>1.2230828836356267</v>
      </c>
      <c r="JF41" s="27">
        <f>PortfolioFrontier[[#This Row],[P66 Growth]]/PortfolioFrontier[[#This Row],[P66 HWM]]-1</f>
        <v>0</v>
      </c>
      <c r="JG41" s="28">
        <f>SUMPRODUCT(INDEX(PortfolioRef[[SPY]:[PE]],MATCH(JG$1,PortfolioRef[Reference '#]),0),AssetMonthlyReturns[[#This Row],[SPY]:[PE]])</f>
        <v>3.6635918832923997E-2</v>
      </c>
      <c r="JH41" s="27">
        <f>IF(ISNUMBER(JH40),JH40*(1+PortfolioFrontier[[#This Row],[P67 Return]]),1+PortfolioFrontier[[#This Row],[P67 Return]])</f>
        <v>1.2116770795496654</v>
      </c>
      <c r="JI41" s="27">
        <f>MAX(JI40,PortfolioFrontier[[#This Row],[P67 Growth]])</f>
        <v>1.2116770795496654</v>
      </c>
      <c r="JJ41" s="27">
        <f>PortfolioFrontier[[#This Row],[P67 Growth]]/PortfolioFrontier[[#This Row],[P67 HWM]]-1</f>
        <v>0</v>
      </c>
      <c r="JK41" s="28">
        <f>SUMPRODUCT(INDEX(PortfolioRef[[SPY]:[PE]],MATCH(JK$1,PortfolioRef[Reference '#]),0),AssetMonthlyReturns[[#This Row],[SPY]:[PE]])</f>
        <v>3.2750067393172919E-2</v>
      </c>
      <c r="JL41" s="27">
        <f>IF(ISNUMBER(JL40),JL40*(1+PortfolioFrontier[[#This Row],[P68 Return]]),1+PortfolioFrontier[[#This Row],[P68 Return]])</f>
        <v>1.2301438371295947</v>
      </c>
      <c r="JM41" s="27">
        <f>MAX(JM40,PortfolioFrontier[[#This Row],[P68 Growth]])</f>
        <v>1.2301438371295947</v>
      </c>
      <c r="JN41" s="27">
        <f>PortfolioFrontier[[#This Row],[P68 Growth]]/PortfolioFrontier[[#This Row],[P68 HWM]]-1</f>
        <v>0</v>
      </c>
      <c r="JO41" s="28">
        <f>SUMPRODUCT(INDEX(PortfolioRef[[SPY]:[PE]],MATCH(JO$1,PortfolioRef[Reference '#]),0),AssetMonthlyReturns[[#This Row],[SPY]:[PE]])</f>
        <v>3.2927948526700633E-2</v>
      </c>
      <c r="JP41" s="27">
        <f>IF(ISNUMBER(JP40),JP40*(1+PortfolioFrontier[[#This Row],[P69 Return]]),1+PortfolioFrontier[[#This Row],[P69 Return]])</f>
        <v>1.2187994738625498</v>
      </c>
      <c r="JQ41" s="27">
        <f>MAX(JQ40,PortfolioFrontier[[#This Row],[P69 Growth]])</f>
        <v>1.2187994738625498</v>
      </c>
      <c r="JR41" s="27">
        <f>PortfolioFrontier[[#This Row],[P69 Growth]]/PortfolioFrontier[[#This Row],[P69 HWM]]-1</f>
        <v>0</v>
      </c>
      <c r="JS41" s="28">
        <f>SUMPRODUCT(INDEX(PortfolioRef[[SPY]:[PE]],MATCH(JS$1,PortfolioRef[Reference '#]),0),AssetMonthlyReturns[[#This Row],[SPY]:[PE]])</f>
        <v>3.3105829660228347E-2</v>
      </c>
      <c r="JT41" s="27">
        <f>IF(ISNUMBER(JT40),JT40*(1+PortfolioFrontier[[#This Row],[P70 Return]]),1+PortfolioFrontier[[#This Row],[P70 Return]])</f>
        <v>1.2073697420549341</v>
      </c>
      <c r="JU41" s="27">
        <f>MAX(JU40,PortfolioFrontier[[#This Row],[P70 Growth]])</f>
        <v>1.2073697420549341</v>
      </c>
      <c r="JV41" s="27">
        <f>PortfolioFrontier[[#This Row],[P70 Growth]]/PortfolioFrontier[[#This Row],[P70 HWM]]-1</f>
        <v>0</v>
      </c>
      <c r="JW41" s="28">
        <f>SUMPRODUCT(INDEX(PortfolioRef[[SPY]:[PE]],MATCH(JW$1,PortfolioRef[Reference '#]),0),AssetMonthlyReturns[[#This Row],[SPY]:[PE]])</f>
        <v>3.9908221743890554E-2</v>
      </c>
      <c r="JX41" s="27">
        <f>IF(ISNUMBER(JX40),JX40*(1+PortfolioFrontier[[#This Row],[P71 Return]]),1+PortfolioFrontier[[#This Row],[P71 Return]])</f>
        <v>1.2231474421682242</v>
      </c>
      <c r="JY41" s="27">
        <f>MAX(JY40,PortfolioFrontier[[#This Row],[P71 Growth]])</f>
        <v>1.2231474421682242</v>
      </c>
      <c r="JZ41" s="27">
        <f>PortfolioFrontier[[#This Row],[P71 Growth]]/PortfolioFrontier[[#This Row],[P71 HWM]]-1</f>
        <v>0</v>
      </c>
      <c r="KA41" s="28">
        <f>SUMPRODUCT(INDEX(PortfolioRef[[SPY]:[PE]],MATCH(KA$1,PortfolioRef[Reference '#]),0),AssetMonthlyReturns[[#This Row],[SPY]:[PE]])</f>
        <v>4.0086102877418275E-2</v>
      </c>
      <c r="KB41" s="27">
        <f>IF(ISNUMBER(KB40),KB40*(1+PortfolioFrontier[[#This Row],[P72 Return]]),1+PortfolioFrontier[[#This Row],[P72 Return]])</f>
        <v>1.2117597648075491</v>
      </c>
      <c r="KC41" s="27">
        <f>MAX(KC40,PortfolioFrontier[[#This Row],[P72 Growth]])</f>
        <v>1.2117597648075491</v>
      </c>
      <c r="KD41" s="27">
        <f>PortfolioFrontier[[#This Row],[P72 Growth]]/PortfolioFrontier[[#This Row],[P72 HWM]]-1</f>
        <v>0</v>
      </c>
      <c r="KE41" s="28">
        <f>SUMPRODUCT(INDEX(PortfolioRef[[SPY]:[PE]],MATCH(KE$1,PortfolioRef[Reference '#]),0),AssetMonthlyReturns[[#This Row],[SPY]:[PE]])</f>
        <v>3.620025143766719E-2</v>
      </c>
      <c r="KF41" s="27">
        <f>IF(ISNUMBER(KF40),KF40*(1+PortfolioFrontier[[#This Row],[P73 Return]]),1+PortfolioFrontier[[#This Row],[P73 Return]])</f>
        <v>1.2303135679398922</v>
      </c>
      <c r="KG41" s="27">
        <f>MAX(KG40,PortfolioFrontier[[#This Row],[P73 Growth]])</f>
        <v>1.2303135679398922</v>
      </c>
      <c r="KH41" s="27">
        <f>PortfolioFrontier[[#This Row],[P73 Growth]]/PortfolioFrontier[[#This Row],[P73 HWM]]-1</f>
        <v>0</v>
      </c>
      <c r="KI41" s="28">
        <f>SUMPRODUCT(INDEX(PortfolioRef[[SPY]:[PE]],MATCH(KI$1,PortfolioRef[Reference '#]),0),AssetMonthlyReturns[[#This Row],[SPY]:[PE]])</f>
        <v>3.6378132571194904E-2</v>
      </c>
      <c r="KJ41" s="27">
        <f>IF(ISNUMBER(KJ40),KJ40*(1+PortfolioFrontier[[#This Row],[P74 Return]]),1+PortfolioFrontier[[#This Row],[P74 Return]])</f>
        <v>1.2189864635696102</v>
      </c>
      <c r="KK41" s="27">
        <f>MAX(KK40,PortfolioFrontier[[#This Row],[P74 Growth]])</f>
        <v>1.2189864635696102</v>
      </c>
      <c r="KL41" s="27">
        <f>PortfolioFrontier[[#This Row],[P74 Growth]]/PortfolioFrontier[[#This Row],[P74 HWM]]-1</f>
        <v>0</v>
      </c>
      <c r="KM41" s="28">
        <f>SUMPRODUCT(INDEX(PortfolioRef[[SPY]:[PE]],MATCH(KM$1,PortfolioRef[Reference '#]),0),AssetMonthlyReturns[[#This Row],[SPY]:[PE]])</f>
        <v>3.6556013704722619E-2</v>
      </c>
      <c r="KN41" s="27">
        <f>IF(ISNUMBER(KN40),KN40*(1+PortfolioFrontier[[#This Row],[P75 Return]]),1+PortfolioFrontier[[#This Row],[P75 Return]])</f>
        <v>1.2075736774049655</v>
      </c>
      <c r="KO41" s="27">
        <f>MAX(KO40,PortfolioFrontier[[#This Row],[P75 Growth]])</f>
        <v>1.2075736774049655</v>
      </c>
      <c r="KP41" s="27">
        <f>PortfolioFrontier[[#This Row],[P75 Growth]]/PortfolioFrontier[[#This Row],[P75 HWM]]-1</f>
        <v>0</v>
      </c>
      <c r="KQ41" s="28">
        <f>SUMPRODUCT(INDEX(PortfolioRef[[SPY]:[PE]],MATCH(KQ$1,PortfolioRef[Reference '#]),0),AssetMonthlyReturns[[#This Row],[SPY]:[PE]])</f>
        <v>3.2492281131443833E-2</v>
      </c>
      <c r="KR41" s="27">
        <f>IF(ISNUMBER(KR40),KR40*(1+PortfolioFrontier[[#This Row],[P76 Return]]),1+PortfolioFrontier[[#This Row],[P76 Return]])</f>
        <v>1.2372545327043205</v>
      </c>
      <c r="KS41" s="27">
        <f>MAX(KS40,PortfolioFrontier[[#This Row],[P76 Growth]])</f>
        <v>1.2372545327043205</v>
      </c>
      <c r="KT41" s="27">
        <f>PortfolioFrontier[[#This Row],[P76 Growth]]/PortfolioFrontier[[#This Row],[P76 HWM]]-1</f>
        <v>0</v>
      </c>
      <c r="KU41" s="28">
        <f>SUMPRODUCT(INDEX(PortfolioRef[[SPY]:[PE]],MATCH(KU$1,PortfolioRef[Reference '#]),0),AssetMonthlyReturns[[#This Row],[SPY]:[PE]])</f>
        <v>3.2670162264971547E-2</v>
      </c>
      <c r="KV41" s="27">
        <f>IF(ISNUMBER(KV40),KV40*(1+PortfolioFrontier[[#This Row],[P77 Return]]),1+PortfolioFrontier[[#This Row],[P77 Return]])</f>
        <v>1.2259916272957039</v>
      </c>
      <c r="KW41" s="27">
        <f>MAX(KW40,PortfolioFrontier[[#This Row],[P77 Growth]])</f>
        <v>1.2259916272957039</v>
      </c>
      <c r="KX41" s="27">
        <f>PortfolioFrontier[[#This Row],[P77 Growth]]/PortfolioFrontier[[#This Row],[P77 HWM]]-1</f>
        <v>0</v>
      </c>
      <c r="KY41" s="28">
        <f>SUMPRODUCT(INDEX(PortfolioRef[[SPY]:[PE]],MATCH(KY$1,PortfolioRef[Reference '#]),0),AssetMonthlyReturns[[#This Row],[SPY]:[PE]])</f>
        <v>3.2848043398499262E-2</v>
      </c>
      <c r="KZ41" s="27">
        <f>IF(ISNUMBER(KZ40),KZ40*(1+PortfolioFrontier[[#This Row],[P78 Return]]),1+PortfolioFrontier[[#This Row],[P78 Return]])</f>
        <v>1.2146402553872007</v>
      </c>
      <c r="LA41" s="27">
        <f>MAX(LA40,PortfolioFrontier[[#This Row],[P78 Growth]])</f>
        <v>1.2146402553872007</v>
      </c>
      <c r="LB41" s="27">
        <f>PortfolioFrontier[[#This Row],[P78 Growth]]/PortfolioFrontier[[#This Row],[P78 HWM]]-1</f>
        <v>0</v>
      </c>
      <c r="LC41" s="28">
        <f>SUMPRODUCT(INDEX(PortfolioRef[[SPY]:[PE]],MATCH(LC$1,PortfolioRef[Reference '#]),0),AssetMonthlyReturns[[#This Row],[SPY]:[PE]])</f>
        <v>3.9650435482161468E-2</v>
      </c>
      <c r="LD41" s="27">
        <f>IF(ISNUMBER(LD40),LD40*(1+PortfolioFrontier[[#This Row],[P79 Return]]),1+PortfolioFrontier[[#This Row],[P79 Return]])</f>
        <v>1.2303836862547439</v>
      </c>
      <c r="LE41" s="27">
        <f>MAX(LE40,PortfolioFrontier[[#This Row],[P79 Growth]])</f>
        <v>1.2303836862547439</v>
      </c>
      <c r="LF41" s="27">
        <f>PortfolioFrontier[[#This Row],[P79 Growth]]/PortfolioFrontier[[#This Row],[P79 HWM]]-1</f>
        <v>0</v>
      </c>
      <c r="LG41" s="28">
        <f>SUMPRODUCT(INDEX(PortfolioRef[[SPY]:[PE]],MATCH(LG$1,PortfolioRef[Reference '#]),0),AssetMonthlyReturns[[#This Row],[SPY]:[PE]])</f>
        <v>3.9828316615689183E-2</v>
      </c>
      <c r="LH41" s="27">
        <f>IF(ISNUMBER(LH40),LH40*(1+PortfolioFrontier[[#This Row],[P80 Return]]),1+PortfolioFrontier[[#This Row],[P80 Return]])</f>
        <v>1.2190746645092578</v>
      </c>
      <c r="LI41" s="27">
        <f>MAX(LI40,PortfolioFrontier[[#This Row],[P80 Growth]])</f>
        <v>1.2190746645092578</v>
      </c>
      <c r="LJ41" s="27">
        <f>PortfolioFrontier[[#This Row],[P80 Growth]]/PortfolioFrontier[[#This Row],[P80 HWM]]-1</f>
        <v>0</v>
      </c>
      <c r="LK41" s="28">
        <f>SUMPRODUCT(INDEX(PortfolioRef[[SPY]:[PE]],MATCH(LK$1,PortfolioRef[Reference '#]),0),AssetMonthlyReturns[[#This Row],[SPY]:[PE]])</f>
        <v>4.0006197749216897E-2</v>
      </c>
      <c r="LL41" s="27">
        <f>IF(ISNUMBER(LL40),LL40*(1+PortfolioFrontier[[#This Row],[P81 Return]]),1+PortfolioFrontier[[#This Row],[P81 Return]])</f>
        <v>1.2076796549401116</v>
      </c>
      <c r="LM41" s="27">
        <f>MAX(LM40,PortfolioFrontier[[#This Row],[P81 Growth]])</f>
        <v>1.2076796549401116</v>
      </c>
      <c r="LN41" s="27">
        <f>PortfolioFrontier[[#This Row],[P81 Growth]]/PortfolioFrontier[[#This Row],[P81 HWM]]-1</f>
        <v>0</v>
      </c>
      <c r="LO41" s="28">
        <f>SUMPRODUCT(INDEX(PortfolioRef[[SPY]:[PE]],MATCH(LO$1,PortfolioRef[Reference '#]),0),AssetMonthlyReturns[[#This Row],[SPY]:[PE]])</f>
        <v>3.5942465175938104E-2</v>
      </c>
      <c r="LP41" s="27">
        <f>IF(ISNUMBER(LP40),LP40*(1+PortfolioFrontier[[#This Row],[P82 Return]]),1+PortfolioFrontier[[#This Row],[P82 Return]])</f>
        <v>1.2374305397754031</v>
      </c>
      <c r="LQ41" s="27">
        <f>MAX(LQ40,PortfolioFrontier[[#This Row],[P82 Growth]])</f>
        <v>1.2374305397754031</v>
      </c>
      <c r="LR41" s="27">
        <f>PortfolioFrontier[[#This Row],[P82 Growth]]/PortfolioFrontier[[#This Row],[P82 HWM]]-1</f>
        <v>0</v>
      </c>
      <c r="LS41" s="28">
        <f>SUMPRODUCT(INDEX(PortfolioRef[[SPY]:[PE]],MATCH(LS$1,PortfolioRef[Reference '#]),0),AssetMonthlyReturns[[#This Row],[SPY]:[PE]])</f>
        <v>3.6120346309465819E-2</v>
      </c>
      <c r="LT41" s="27">
        <f>IF(ISNUMBER(LT40),LT40*(1+PortfolioFrontier[[#This Row],[P83 Return]]),1+PortfolioFrontier[[#This Row],[P83 Return]])</f>
        <v>1.2261848519192531</v>
      </c>
      <c r="LU41" s="27">
        <f>MAX(LU40,PortfolioFrontier[[#This Row],[P83 Growth]])</f>
        <v>1.2261848519192531</v>
      </c>
      <c r="LV41" s="27">
        <f>PortfolioFrontier[[#This Row],[P83 Growth]]/PortfolioFrontier[[#This Row],[P83 HWM]]-1</f>
        <v>0</v>
      </c>
      <c r="LW41" s="28">
        <f>SUMPRODUCT(INDEX(PortfolioRef[[SPY]:[PE]],MATCH(LW$1,PortfolioRef[Reference '#]),0),AssetMonthlyReturns[[#This Row],[SPY]:[PE]])</f>
        <v>3.6298227442993526E-2</v>
      </c>
      <c r="LX41" s="27">
        <f>IF(ISNUMBER(LX40),LX40*(1+PortfolioFrontier[[#This Row],[P84 Return]]),1+PortfolioFrontier[[#This Row],[P84 Return]])</f>
        <v>1.2148503873429704</v>
      </c>
      <c r="LY41" s="27">
        <f>MAX(LY40,PortfolioFrontier[[#This Row],[P84 Growth]])</f>
        <v>1.2148503873429704</v>
      </c>
      <c r="LZ41" s="27">
        <f>PortfolioFrontier[[#This Row],[P84 Growth]]/PortfolioFrontier[[#This Row],[P84 HWM]]-1</f>
        <v>0</v>
      </c>
      <c r="MA41" s="28">
        <f>SUMPRODUCT(INDEX(PortfolioRef[[SPY]:[PE]],MATCH(MA$1,PortfolioRef[Reference '#]),0),AssetMonthlyReturns[[#This Row],[SPY]:[PE]])</f>
        <v>3.2234494869714747E-2</v>
      </c>
      <c r="MB41" s="27">
        <f>IF(ISNUMBER(MB40),MB40*(1+PortfolioFrontier[[#This Row],[P85 Return]]),1+PortfolioFrontier[[#This Row],[P85 Return]])</f>
        <v>1.2442487564106282</v>
      </c>
      <c r="MC41" s="27">
        <f>MAX(MC40,PortfolioFrontier[[#This Row],[P85 Growth]])</f>
        <v>1.2442487564106282</v>
      </c>
      <c r="MD41" s="27">
        <f>PortfolioFrontier[[#This Row],[P85 Growth]]/PortfolioFrontier[[#This Row],[P85 HWM]]-1</f>
        <v>0</v>
      </c>
      <c r="ME41" s="28">
        <f>SUMPRODUCT(INDEX(PortfolioRef[[SPY]:[PE]],MATCH(ME$1,PortfolioRef[Reference '#]),0),AssetMonthlyReturns[[#This Row],[SPY]:[PE]])</f>
        <v>3.2412376003242462E-2</v>
      </c>
      <c r="MF41" s="27">
        <f>IF(ISNUMBER(MF40),MF40*(1+PortfolioFrontier[[#This Row],[P86 Return]]),1+PortfolioFrontier[[#This Row],[P86 Return]])</f>
        <v>1.2330700256057079</v>
      </c>
      <c r="MG41" s="27">
        <f>MAX(MG40,PortfolioFrontier[[#This Row],[P86 Growth]])</f>
        <v>1.2330700256057079</v>
      </c>
      <c r="MH41" s="27">
        <f>PortfolioFrontier[[#This Row],[P86 Growth]]/PortfolioFrontier[[#This Row],[P86 HWM]]-1</f>
        <v>0</v>
      </c>
      <c r="MI41" s="28">
        <f>SUMPRODUCT(INDEX(PortfolioRef[[SPY]:[PE]],MATCH(MI$1,PortfolioRef[Reference '#]),0),AssetMonthlyReturns[[#This Row],[SPY]:[PE]])</f>
        <v>3.2590257136770169E-2</v>
      </c>
      <c r="MJ41" s="27">
        <f>IF(ISNUMBER(MJ40),MJ40*(1+PortfolioFrontier[[#This Row],[P87 Return]]),1+PortfolioFrontier[[#This Row],[P87 Return]])</f>
        <v>1.2217997305174271</v>
      </c>
      <c r="MK41" s="27">
        <f>MAX(MK40,PortfolioFrontier[[#This Row],[P87 Growth]])</f>
        <v>1.2217997305174271</v>
      </c>
      <c r="ML41" s="27">
        <f>PortfolioFrontier[[#This Row],[P87 Growth]]/PortfolioFrontier[[#This Row],[P87 HWM]]-1</f>
        <v>0</v>
      </c>
      <c r="MM41" s="28">
        <f>SUMPRODUCT(INDEX(PortfolioRef[[SPY]:[PE]],MATCH(MM$1,PortfolioRef[Reference '#]),0),AssetMonthlyReturns[[#This Row],[SPY]:[PE]])</f>
        <v>3.9392649220432382E-2</v>
      </c>
      <c r="MN41" s="27">
        <f>IF(ISNUMBER(MN40),MN40*(1+PortfolioFrontier[[#This Row],[P88 Return]]),1+PortfolioFrontier[[#This Row],[P88 Return]])</f>
        <v>1.2375064349211824</v>
      </c>
      <c r="MO41" s="27">
        <f>MAX(MO40,PortfolioFrontier[[#This Row],[P88 Growth]])</f>
        <v>1.2375064349211824</v>
      </c>
      <c r="MP41" s="27">
        <f>PortfolioFrontier[[#This Row],[P88 Growth]]/PortfolioFrontier[[#This Row],[P88 HWM]]-1</f>
        <v>0</v>
      </c>
      <c r="MQ41" s="28">
        <f>SUMPRODUCT(INDEX(PortfolioRef[[SPY]:[PE]],MATCH(MQ$1,PortfolioRef[Reference '#]),0),AssetMonthlyReturns[[#This Row],[SPY]:[PE]])</f>
        <v>3.9570530353960097E-2</v>
      </c>
      <c r="MR41" s="27">
        <f>IF(ISNUMBER(MR40),MR40*(1+PortfolioFrontier[[#This Row],[P89 Return]]),1+PortfolioFrontier[[#This Row],[P89 Return]])</f>
        <v>1.2262787821094501</v>
      </c>
      <c r="MS41" s="27">
        <f>MAX(MS40,PortfolioFrontier[[#This Row],[P89 Growth]])</f>
        <v>1.2262787821094501</v>
      </c>
      <c r="MT41" s="27">
        <f>PortfolioFrontier[[#This Row],[P89 Growth]]/PortfolioFrontier[[#This Row],[P89 HWM]]-1</f>
        <v>0</v>
      </c>
      <c r="MU41" s="28">
        <f>SUMPRODUCT(INDEX(PortfolioRef[[SPY]:[PE]],MATCH(MU$1,PortfolioRef[Reference '#]),0),AssetMonthlyReturns[[#This Row],[SPY]:[PE]])</f>
        <v>3.9748411487487804E-2</v>
      </c>
      <c r="MV41" s="27">
        <f>IF(ISNUMBER(MV40),MV40*(1+PortfolioFrontier[[#This Row],[P90 Return]]),1+PortfolioFrontier[[#This Row],[P90 Return]])</f>
        <v>1.2149620497725966</v>
      </c>
      <c r="MW41" s="27">
        <f>MAX(MW40,PortfolioFrontier[[#This Row],[P90 Growth]])</f>
        <v>1.2149620497725966</v>
      </c>
      <c r="MX41" s="27">
        <f>PortfolioFrontier[[#This Row],[P90 Growth]]/PortfolioFrontier[[#This Row],[P90 HWM]]-1</f>
        <v>0</v>
      </c>
      <c r="MY41" s="28">
        <f>SUMPRODUCT(INDEX(PortfolioRef[[SPY]:[PE]],MATCH(MY$1,PortfolioRef[Reference '#]),0),AssetMonthlyReturns[[#This Row],[SPY]:[PE]])</f>
        <v>3.5684678914209018E-2</v>
      </c>
      <c r="MZ41" s="27">
        <f>IF(ISNUMBER(MZ40),MZ40*(1+PortfolioFrontier[[#This Row],[P91 Return]]),1+PortfolioFrontier[[#This Row],[P91 Return]])</f>
        <v>1.244431249903281</v>
      </c>
      <c r="NA41" s="27">
        <f>MAX(NA40,PortfolioFrontier[[#This Row],[P91 Growth]])</f>
        <v>1.244431249903281</v>
      </c>
      <c r="NB41" s="27">
        <f>PortfolioFrontier[[#This Row],[P91 Growth]]/PortfolioFrontier[[#This Row],[P91 HWM]]-1</f>
        <v>0</v>
      </c>
      <c r="NC41" s="28">
        <f>SUMPRODUCT(INDEX(PortfolioRef[[SPY]:[PE]],MATCH(NC$1,PortfolioRef[Reference '#]),0),AssetMonthlyReturns[[#This Row],[SPY]:[PE]])</f>
        <v>3.5862560047736733E-2</v>
      </c>
      <c r="ND41" s="27">
        <f>IF(ISNUMBER(ND40),ND40*(1+PortfolioFrontier[[#This Row],[P92 Return]]),1+PortfolioFrontier[[#This Row],[P92 Return]])</f>
        <v>1.2332696919963841</v>
      </c>
      <c r="NE41" s="27">
        <f>MAX(NE40,PortfolioFrontier[[#This Row],[P92 Growth]])</f>
        <v>1.2332696919963841</v>
      </c>
      <c r="NF41" s="27">
        <f>PortfolioFrontier[[#This Row],[P92 Growth]]/PortfolioFrontier[[#This Row],[P92 HWM]]-1</f>
        <v>0</v>
      </c>
      <c r="NG41" s="28">
        <f>SUMPRODUCT(INDEX(PortfolioRef[[SPY]:[PE]],MATCH(NG$1,PortfolioRef[Reference '#]),0),AssetMonthlyReturns[[#This Row],[SPY]:[PE]])</f>
        <v>3.604044118126444E-2</v>
      </c>
      <c r="NH41" s="27">
        <f>IF(ISNUMBER(NH40),NH40*(1+PortfolioFrontier[[#This Row],[P93 Return]]),1+PortfolioFrontier[[#This Row],[P93 Return]])</f>
        <v>1.2220162626536948</v>
      </c>
      <c r="NI41" s="27">
        <f>MAX(NI40,PortfolioFrontier[[#This Row],[P93 Growth]])</f>
        <v>1.2220162626536948</v>
      </c>
      <c r="NJ41" s="27">
        <f>PortfolioFrontier[[#This Row],[P93 Growth]]/PortfolioFrontier[[#This Row],[P93 HWM]]-1</f>
        <v>0</v>
      </c>
      <c r="NK41" s="28">
        <f>SUMPRODUCT(INDEX(PortfolioRef[[SPY]:[PE]],MATCH(NK$1,PortfolioRef[Reference '#]),0),AssetMonthlyReturns[[#This Row],[SPY]:[PE]])</f>
        <v>3.1976708607985661E-2</v>
      </c>
      <c r="NL41" s="27">
        <f>IF(ISNUMBER(NL40),NL40*(1+PortfolioFrontier[[#This Row],[P94 Return]]),1+PortfolioFrontier[[#This Row],[P94 Return]])</f>
        <v>1.2511239679425668</v>
      </c>
      <c r="NM41" s="27">
        <f>MAX(NM40,PortfolioFrontier[[#This Row],[P94 Growth]])</f>
        <v>1.2511239679425668</v>
      </c>
      <c r="NN41" s="27">
        <f>PortfolioFrontier[[#This Row],[P94 Growth]]/PortfolioFrontier[[#This Row],[P94 HWM]]-1</f>
        <v>0</v>
      </c>
      <c r="NO41" s="28">
        <f>SUMPRODUCT(INDEX(PortfolioRef[[SPY]:[PE]],MATCH(NO$1,PortfolioRef[Reference '#]),0),AssetMonthlyReturns[[#This Row],[SPY]:[PE]])</f>
        <v>3.2154589741513376E-2</v>
      </c>
      <c r="NP41" s="27">
        <f>IF(ISNUMBER(NP40),NP40*(1+PortfolioFrontier[[#This Row],[P95 Return]]),1+PortfolioFrontier[[#This Row],[P95 Return]])</f>
        <v>1.2400321241433307</v>
      </c>
      <c r="NQ41" s="27">
        <f>MAX(NQ40,PortfolioFrontier[[#This Row],[P95 Growth]])</f>
        <v>1.2400321241433307</v>
      </c>
      <c r="NR41" s="27">
        <f>PortfolioFrontier[[#This Row],[P95 Growth]]/PortfolioFrontier[[#This Row],[P95 HWM]]-1</f>
        <v>0</v>
      </c>
      <c r="NS41" s="28">
        <f>SUMPRODUCT(INDEX(PortfolioRef[[SPY]:[PE]],MATCH(NS$1,PortfolioRef[Reference '#]),0),AssetMonthlyReturns[[#This Row],[SPY]:[PE]])</f>
        <v>3.2332470875041083E-2</v>
      </c>
      <c r="NT41" s="27">
        <f>IF(ISNUMBER(NT40),NT40*(1+PortfolioFrontier[[#This Row],[P96 Return]]),1+PortfolioFrontier[[#This Row],[P96 Return]])</f>
        <v>1.228845619507861</v>
      </c>
      <c r="NU41" s="27">
        <f>MAX(NU40,PortfolioFrontier[[#This Row],[P96 Growth]])</f>
        <v>1.228845619507861</v>
      </c>
      <c r="NV41" s="27">
        <f>PortfolioFrontier[[#This Row],[P96 Growth]]/PortfolioFrontier[[#This Row],[P96 HWM]]-1</f>
        <v>0</v>
      </c>
      <c r="NW41" s="28">
        <f>SUMPRODUCT(INDEX(PortfolioRef[[SPY]:[PE]],MATCH(NW$1,PortfolioRef[Reference '#]),0),AssetMonthlyReturns[[#This Row],[SPY]:[PE]])</f>
        <v>3.0596442180279512E-2</v>
      </c>
      <c r="NX41" s="27">
        <f>IF(ISNUMBER(NX40),NX40*(1+PortfolioFrontier[[#This Row],[P97 Return]]),1+PortfolioFrontier[[#This Row],[P97 Return]])</f>
        <v>1.1955557900785647</v>
      </c>
      <c r="NY41" s="27">
        <f>MAX(NY40,PortfolioFrontier[[#This Row],[P97 Growth]])</f>
        <v>1.1955557900785647</v>
      </c>
      <c r="NZ41" s="27">
        <f>PortfolioFrontier[[#This Row],[P97 Growth]]/PortfolioFrontier[[#This Row],[P97 HWM]]-1</f>
        <v>0</v>
      </c>
      <c r="OA41" s="28">
        <f>SUMPRODUCT(INDEX(PortfolioRef[[SPY]:[PE]],MATCH(OA$1,PortfolioRef[Reference '#]),0),AssetMonthlyReturns[[#This Row],[SPY]:[PE]])</f>
        <v>3.4046626224773793E-2</v>
      </c>
      <c r="OB41" s="27">
        <f>IF(ISNUMBER(OB40),OB40*(1+PortfolioFrontier[[#This Row],[P98 Return]]),1+PortfolioFrontier[[#This Row],[P98 Return]])</f>
        <v>1.1956985480242415</v>
      </c>
      <c r="OC41" s="27">
        <f>MAX(OC40,PortfolioFrontier[[#This Row],[P98 Growth]])</f>
        <v>1.1956985480242415</v>
      </c>
      <c r="OD41" s="27">
        <f>PortfolioFrontier[[#This Row],[P98 Growth]]/PortfolioFrontier[[#This Row],[P98 HWM]]-1</f>
        <v>0</v>
      </c>
      <c r="OE41" s="28">
        <f>SUMPRODUCT(INDEX(PortfolioRef[[SPY]:[PE]],MATCH(OE$1,PortfolioRef[Reference '#]),0),AssetMonthlyReturns[[#This Row],[SPY]:[PE]])</f>
        <v>3.0338655918550426E-2</v>
      </c>
      <c r="OF41" s="27">
        <f>IF(ISNUMBER(OF40),OF40*(1+PortfolioFrontier[[#This Row],[P99 Return]]),1+PortfolioFrontier[[#This Row],[P99 Return]])</f>
        <v>1.2028615986887572</v>
      </c>
      <c r="OG41" s="27">
        <f>MAX(OG40,PortfolioFrontier[[#This Row],[P99 Growth]])</f>
        <v>1.2028615986887572</v>
      </c>
      <c r="OH41" s="27">
        <f>PortfolioFrontier[[#This Row],[P99 Growth]]/PortfolioFrontier[[#This Row],[P99 HWM]]-1</f>
        <v>0</v>
      </c>
      <c r="OI41" s="28">
        <f>SUMPRODUCT(INDEX(PortfolioRef[[SPY]:[PE]],MATCH(OI$1,PortfolioRef[Reference '#]),0),AssetMonthlyReturns[[#This Row],[SPY]:[PE]])</f>
        <v>3.051653705207814E-2</v>
      </c>
      <c r="OJ41" s="27">
        <f>IF(ISNUMBER(OJ40),OJ40*(1+PortfolioFrontier[[#This Row],[P100 Return]]),1+PortfolioFrontier[[#This Row],[P100 Return]])</f>
        <v>1.1915625244689843</v>
      </c>
      <c r="OK41" s="27">
        <f>MAX(OK40,PortfolioFrontier[[#This Row],[P100 Growth]])</f>
        <v>1.1915625244689843</v>
      </c>
      <c r="OL41" s="27">
        <f>PortfolioFrontier[[#This Row],[P100 Growth]]/PortfolioFrontier[[#This Row],[P100 HWM]]-1</f>
        <v>0</v>
      </c>
      <c r="OM41" s="28">
        <f>SUMPRODUCT(INDEX(PortfolioRef[[SPY]:[PE]],MATCH(OM$1,PortfolioRef[Reference '#]),0),AssetMonthlyReturns[[#This Row],[SPY]:[PE]])</f>
        <v>3.7496810269268065E-2</v>
      </c>
      <c r="ON41" s="27">
        <f>IF(ISNUMBER(ON40),ON40*(1+PortfolioFrontier[[#This Row],[P101 Return]]),1+PortfolioFrontier[[#This Row],[P101 Return]])</f>
        <v>1.1957441842002576</v>
      </c>
      <c r="OO41" s="27">
        <f>MAX(OO40,PortfolioFrontier[[#This Row],[P101 Growth]])</f>
        <v>1.1957441842002576</v>
      </c>
      <c r="OP41" s="27">
        <f>PortfolioFrontier[[#This Row],[P101 Growth]]/PortfolioFrontier[[#This Row],[P101 HWM]]-1</f>
        <v>0</v>
      </c>
      <c r="OQ41" s="28">
        <f>SUMPRODUCT(INDEX(PortfolioRef[[SPY]:[PE]],MATCH(OQ$1,PortfolioRef[Reference '#]),0),AssetMonthlyReturns[[#This Row],[SPY]:[PE]])</f>
        <v>3.3788839963044701E-2</v>
      </c>
      <c r="OR41" s="27">
        <f>IF(ISNUMBER(OR40),OR40*(1+PortfolioFrontier[[#This Row],[P102 Return]]),1+PortfolioFrontier[[#This Row],[P102 Return]])</f>
        <v>1.2030099492217206</v>
      </c>
      <c r="OS41" s="27">
        <f>MAX(OS40,PortfolioFrontier[[#This Row],[P102 Growth]])</f>
        <v>1.2030099492217206</v>
      </c>
      <c r="OT41" s="27">
        <f>PortfolioFrontier[[#This Row],[P102 Growth]]/PortfolioFrontier[[#This Row],[P102 HWM]]-1</f>
        <v>0</v>
      </c>
      <c r="OU41" s="28">
        <f>SUMPRODUCT(INDEX(PortfolioRef[[SPY]:[PE]],MATCH(OU$1,PortfolioRef[Reference '#]),0),AssetMonthlyReturns[[#This Row],[SPY]:[PE]])</f>
        <v>3.3966721096572422E-2</v>
      </c>
      <c r="OV41" s="27">
        <f>IF(ISNUMBER(OV40),OV40*(1+PortfolioFrontier[[#This Row],[P103 Return]]),1+PortfolioFrontier[[#This Row],[P103 Return]])</f>
        <v>1.1917280947254467</v>
      </c>
      <c r="OW41" s="27">
        <f>MAX(OW40,PortfolioFrontier[[#This Row],[P103 Growth]])</f>
        <v>1.1917280947254467</v>
      </c>
      <c r="OX41" s="27">
        <f>PortfolioFrontier[[#This Row],[P103 Growth]]/PortfolioFrontier[[#This Row],[P103 HWM]]-1</f>
        <v>0</v>
      </c>
      <c r="OY41" s="28">
        <f>SUMPRODUCT(INDEX(PortfolioRef[[SPY]:[PE]],MATCH(OY$1,PortfolioRef[Reference '#]),0),AssetMonthlyReturns[[#This Row],[SPY]:[PE]])</f>
        <v>3.0080869656821337E-2</v>
      </c>
      <c r="OZ41" s="27">
        <f>IF(ISNUMBER(OZ40),OZ40*(1+PortfolioFrontier[[#This Row],[P104 Return]]),1+PortfolioFrontier[[#This Row],[P104 Return]])</f>
        <v>1.210059133503377</v>
      </c>
      <c r="PA41" s="27">
        <f>MAX(PA40,PortfolioFrontier[[#This Row],[P104 Growth]])</f>
        <v>1.210059133503377</v>
      </c>
      <c r="PB41" s="27">
        <f>PortfolioFrontier[[#This Row],[P104 Growth]]/PortfolioFrontier[[#This Row],[P104 HWM]]-1</f>
        <v>0</v>
      </c>
      <c r="PC41" s="28">
        <f>SUMPRODUCT(INDEX(PortfolioRef[[SPY]:[PE]],MATCH(PC$1,PortfolioRef[Reference '#]),0),AssetMonthlyReturns[[#This Row],[SPY]:[PE]])</f>
        <v>3.0258750790349054E-2</v>
      </c>
      <c r="PD41" s="27">
        <f>IF(ISNUMBER(PD40),PD40*(1+PortfolioFrontier[[#This Row],[P105 Return]]),1+PortfolioFrontier[[#This Row],[P105 Return]])</f>
        <v>1.1988362384063023</v>
      </c>
      <c r="PE41" s="27">
        <f>MAX(PE40,PortfolioFrontier[[#This Row],[P105 Growth]])</f>
        <v>1.1988362384063023</v>
      </c>
      <c r="PF41" s="27">
        <f>PortfolioFrontier[[#This Row],[P105 Growth]]/PortfolioFrontier[[#This Row],[P105 HWM]]-1</f>
        <v>0</v>
      </c>
      <c r="PG41" s="28">
        <f>SUMPRODUCT(INDEX(PortfolioRef[[SPY]:[PE]],MATCH(PG$1,PortfolioRef[Reference '#]),0),AssetMonthlyReturns[[#This Row],[SPY]:[PE]])</f>
        <v>3.0436631923876765E-2</v>
      </c>
      <c r="PH41" s="27">
        <f>IF(ISNUMBER(PH40),PH40*(1+PortfolioFrontier[[#This Row],[P106 Return]]),1+PortfolioFrontier[[#This Row],[P106 Return]])</f>
        <v>1.1875304711016073</v>
      </c>
      <c r="PI41" s="27">
        <f>MAX(PI40,PortfolioFrontier[[#This Row],[P106 Growth]])</f>
        <v>1.1875304711016073</v>
      </c>
      <c r="PJ41" s="27">
        <f>PortfolioFrontier[[#This Row],[P106 Growth]]/PortfolioFrontier[[#This Row],[P106 HWM]]-1</f>
        <v>0</v>
      </c>
      <c r="PK41" s="28">
        <f>SUMPRODUCT(INDEX(PortfolioRef[[SPY]:[PE]],MATCH(PK$1,PortfolioRef[Reference '#]),0),AssetMonthlyReturns[[#This Row],[SPY]:[PE]])</f>
        <v>3.7239024007538972E-2</v>
      </c>
      <c r="PL41" s="27">
        <f>IF(ISNUMBER(PL40),PL40*(1+PortfolioFrontier[[#This Row],[P107 Return]]),1+PortfolioFrontier[[#This Row],[P107 Return]])</f>
        <v>1.2030606619358162</v>
      </c>
      <c r="PM41" s="27">
        <f>MAX(PM40,PortfolioFrontier[[#This Row],[P107 Growth]])</f>
        <v>1.2030606619358162</v>
      </c>
      <c r="PN41" s="27">
        <f>PortfolioFrontier[[#This Row],[P107 Growth]]/PortfolioFrontier[[#This Row],[P107 HWM]]-1</f>
        <v>0</v>
      </c>
      <c r="PO41" s="28">
        <f>SUMPRODUCT(INDEX(PortfolioRef[[SPY]:[PE]],MATCH(PO$1,PortfolioRef[Reference '#]),0),AssetMonthlyReturns[[#This Row],[SPY]:[PE]])</f>
        <v>3.7416905141066693E-2</v>
      </c>
      <c r="PP41" s="27">
        <f>IF(ISNUMBER(PP40),PP40*(1+PortfolioFrontier[[#This Row],[P108 Return]]),1+PortfolioFrontier[[#This Row],[P108 Return]])</f>
        <v>1.1917968495790727</v>
      </c>
      <c r="PQ41" s="27">
        <f>MAX(PQ40,PortfolioFrontier[[#This Row],[P108 Growth]])</f>
        <v>1.1917968495790727</v>
      </c>
      <c r="PR41" s="27">
        <f>PortfolioFrontier[[#This Row],[P108 Growth]]/PortfolioFrontier[[#This Row],[P108 HWM]]-1</f>
        <v>0</v>
      </c>
      <c r="PS41" s="28">
        <f>SUMPRODUCT(INDEX(PortfolioRef[[SPY]:[PE]],MATCH(PS$1,PortfolioRef[Reference '#]),0),AssetMonthlyReturns[[#This Row],[SPY]:[PE]])</f>
        <v>3.3531053701315615E-2</v>
      </c>
      <c r="PT41" s="27">
        <f>IF(ISNUMBER(PT40),PT40*(1+PortfolioFrontier[[#This Row],[P109 Return]]),1+PortfolioFrontier[[#This Row],[P109 Return]])</f>
        <v>1.2102132789495346</v>
      </c>
      <c r="PU41" s="27">
        <f>MAX(PU40,PortfolioFrontier[[#This Row],[P109 Growth]])</f>
        <v>1.2102132789495346</v>
      </c>
      <c r="PV41" s="27">
        <f>PortfolioFrontier[[#This Row],[P109 Growth]]/PortfolioFrontier[[#This Row],[P109 HWM]]-1</f>
        <v>0</v>
      </c>
      <c r="PW41" s="28">
        <f>SUMPRODUCT(INDEX(PortfolioRef[[SPY]:[PE]],MATCH(PW$1,PortfolioRef[Reference '#]),0),AssetMonthlyReturns[[#This Row],[SPY]:[PE]])</f>
        <v>3.3708934834843329E-2</v>
      </c>
      <c r="PX41" s="27">
        <f>IF(ISNUMBER(PX40),PX40*(1+PortfolioFrontier[[#This Row],[P110 Return]]),1+PortfolioFrontier[[#This Row],[P110 Return]])</f>
        <v>1.1990075686326502</v>
      </c>
      <c r="PY41" s="27">
        <f>MAX(PY40,PortfolioFrontier[[#This Row],[P110 Growth]])</f>
        <v>1.1990075686326502</v>
      </c>
      <c r="PZ41" s="27">
        <f>PortfolioFrontier[[#This Row],[P110 Growth]]/PortfolioFrontier[[#This Row],[P110 HWM]]-1</f>
        <v>0</v>
      </c>
      <c r="QA41" s="28">
        <f>SUMPRODUCT(INDEX(PortfolioRef[[SPY]:[PE]],MATCH(QA$1,PortfolioRef[Reference '#]),0),AssetMonthlyReturns[[#This Row],[SPY]:[PE]])</f>
        <v>3.3886815968371044E-2</v>
      </c>
      <c r="QB41" s="27">
        <f>IF(ISNUMBER(QB40),QB40*(1+PortfolioFrontier[[#This Row],[P111 Return]]),1+PortfolioFrontier[[#This Row],[P111 Return]])</f>
        <v>1.1877186749494431</v>
      </c>
      <c r="QC41" s="27">
        <f>MAX(QC40,PortfolioFrontier[[#This Row],[P111 Growth]])</f>
        <v>1.1877186749494431</v>
      </c>
      <c r="QD41" s="27">
        <f>PortfolioFrontier[[#This Row],[P111 Growth]]/PortfolioFrontier[[#This Row],[P111 HWM]]-1</f>
        <v>0</v>
      </c>
      <c r="QE41" s="28">
        <f>SUMPRODUCT(INDEX(PortfolioRef[[SPY]:[PE]],MATCH(QE$1,PortfolioRef[Reference '#]),0),AssetMonthlyReturns[[#This Row],[SPY]:[PE]])</f>
        <v>2.9823083395092251E-2</v>
      </c>
      <c r="QF41" s="27">
        <f>IF(ISNUMBER(QF40),QF40*(1+PortfolioFrontier[[#This Row],[P112 Return]]),1+PortfolioFrontier[[#This Row],[P112 Return]])</f>
        <v>1.217145866705492</v>
      </c>
      <c r="QG41" s="27">
        <f>MAX(QG40,PortfolioFrontier[[#This Row],[P112 Growth]])</f>
        <v>1.217145866705492</v>
      </c>
      <c r="QH41" s="27">
        <f>PortfolioFrontier[[#This Row],[P112 Growth]]/PortfolioFrontier[[#This Row],[P112 HWM]]-1</f>
        <v>0</v>
      </c>
      <c r="QI41" s="28">
        <f>SUMPRODUCT(INDEX(PortfolioRef[[SPY]:[PE]],MATCH(QI$1,PortfolioRef[Reference '#]),0),AssetMonthlyReturns[[#This Row],[SPY]:[PE]])</f>
        <v>3.0000964528619965E-2</v>
      </c>
      <c r="QJ41" s="27">
        <f>IF(ISNUMBER(QJ40),QJ40*(1+PortfolioFrontier[[#This Row],[P113 Return]]),1+PortfolioFrontier[[#This Row],[P113 Return]])</f>
        <v>1.2060018316073164</v>
      </c>
      <c r="QK41" s="27">
        <f>MAX(QK40,PortfolioFrontier[[#This Row],[P113 Growth]])</f>
        <v>1.2060018316073164</v>
      </c>
      <c r="QL41" s="27">
        <f>PortfolioFrontier[[#This Row],[P113 Growth]]/PortfolioFrontier[[#This Row],[P113 HWM]]-1</f>
        <v>0</v>
      </c>
      <c r="QM41" s="28">
        <f>SUMPRODUCT(INDEX(PortfolioRef[[SPY]:[PE]],MATCH(QM$1,PortfolioRef[Reference '#]),0),AssetMonthlyReturns[[#This Row],[SPY]:[PE]])</f>
        <v>3.017884566214768E-2</v>
      </c>
      <c r="QN41" s="27">
        <f>IF(ISNUMBER(QN40),QN40*(1+PortfolioFrontier[[#This Row],[P114 Return]]),1+PortfolioFrontier[[#This Row],[P114 Return]])</f>
        <v>1.1947718712327251</v>
      </c>
      <c r="QO41" s="27">
        <f>MAX(QO40,PortfolioFrontier[[#This Row],[P114 Growth]])</f>
        <v>1.1947718712327251</v>
      </c>
      <c r="QP41" s="27">
        <f>PortfolioFrontier[[#This Row],[P114 Growth]]/PortfolioFrontier[[#This Row],[P114 HWM]]-1</f>
        <v>0</v>
      </c>
      <c r="QQ41" s="28">
        <f>SUMPRODUCT(INDEX(PortfolioRef[[SPY]:[PE]],MATCH(QQ$1,PortfolioRef[Reference '#]),0),AssetMonthlyReturns[[#This Row],[SPY]:[PE]])</f>
        <v>3.6981237745809886E-2</v>
      </c>
      <c r="QR41" s="27">
        <f>IF(ISNUMBER(QR40),QR40*(1+PortfolioFrontier[[#This Row],[P115 Return]]),1+PortfolioFrontier[[#This Row],[P115 Return]])</f>
        <v>1.2102692788831699</v>
      </c>
      <c r="QS41" s="27">
        <f>MAX(QS40,PortfolioFrontier[[#This Row],[P115 Growth]])</f>
        <v>1.2102692788831699</v>
      </c>
      <c r="QT41" s="27">
        <f>PortfolioFrontier[[#This Row],[P115 Growth]]/PortfolioFrontier[[#This Row],[P115 HWM]]-1</f>
        <v>0</v>
      </c>
      <c r="QU41" s="28">
        <f>SUMPRODUCT(INDEX(PortfolioRef[[SPY]:[PE]],MATCH(QU$1,PortfolioRef[Reference '#]),0),AssetMonthlyReturns[[#This Row],[SPY]:[PE]])</f>
        <v>3.7159118879337601E-2</v>
      </c>
      <c r="QV41" s="27">
        <f>IF(ISNUMBER(QV40),QV40*(1+PortfolioFrontier[[#This Row],[P116 Return]]),1+PortfolioFrontier[[#This Row],[P116 Return]])</f>
        <v>1.1990815698584183</v>
      </c>
      <c r="QW41" s="27">
        <f>MAX(QW40,PortfolioFrontier[[#This Row],[P116 Growth]])</f>
        <v>1.1990815698584183</v>
      </c>
      <c r="QX41" s="27">
        <f>PortfolioFrontier[[#This Row],[P116 Growth]]/PortfolioFrontier[[#This Row],[P116 HWM]]-1</f>
        <v>0</v>
      </c>
      <c r="QY41" s="28">
        <f>SUMPRODUCT(INDEX(PortfolioRef[[SPY]:[PE]],MATCH(QY$1,PortfolioRef[Reference '#]),0),AssetMonthlyReturns[[#This Row],[SPY]:[PE]])</f>
        <v>3.7337000012865315E-2</v>
      </c>
      <c r="QZ41" s="27">
        <f>IF(ISNUMBER(QZ40),QZ40*(1+PortfolioFrontier[[#This Row],[P117 Return]]),1+PortfolioFrontier[[#This Row],[P117 Return]])</f>
        <v>1.1878103733631962</v>
      </c>
      <c r="RA41" s="27">
        <f>MAX(RA40,PortfolioFrontier[[#This Row],[P117 Growth]])</f>
        <v>1.1878103733631962</v>
      </c>
      <c r="RB41" s="27">
        <f>PortfolioFrontier[[#This Row],[P117 Growth]]/PortfolioFrontier[[#This Row],[P117 HWM]]-1</f>
        <v>0</v>
      </c>
      <c r="RC41" s="28">
        <f>SUMPRODUCT(INDEX(PortfolioRef[[SPY]:[PE]],MATCH(RC$1,PortfolioRef[Reference '#]),0),AssetMonthlyReturns[[#This Row],[SPY]:[PE]])</f>
        <v>3.3273267439586529E-2</v>
      </c>
      <c r="RD41" s="27">
        <f>IF(ISNUMBER(RD40),RD40*(1+PortfolioFrontier[[#This Row],[P118 Return]]),1+PortfolioFrontier[[#This Row],[P118 Return]])</f>
        <v>1.2173060112600964</v>
      </c>
      <c r="RE41" s="27">
        <f>MAX(RE40,PortfolioFrontier[[#This Row],[P118 Growth]])</f>
        <v>1.2173060112600964</v>
      </c>
      <c r="RF41" s="27">
        <f>PortfolioFrontier[[#This Row],[P118 Growth]]/PortfolioFrontier[[#This Row],[P118 HWM]]-1</f>
        <v>0</v>
      </c>
      <c r="RG41" s="28">
        <f>SUMPRODUCT(INDEX(PortfolioRef[[SPY]:[PE]],MATCH(RG$1,PortfolioRef[Reference '#]),0),AssetMonthlyReturns[[#This Row],[SPY]:[PE]])</f>
        <v>3.3451148573114244E-2</v>
      </c>
      <c r="RH41" s="27">
        <f>IF(ISNUMBER(RH40),RH40*(1+PortfolioFrontier[[#This Row],[P119 Return]]),1+PortfolioFrontier[[#This Row],[P119 Return]])</f>
        <v>1.206179122735495</v>
      </c>
      <c r="RI41" s="27">
        <f>MAX(RI40,PortfolioFrontier[[#This Row],[P119 Growth]])</f>
        <v>1.206179122735495</v>
      </c>
      <c r="RJ41" s="27">
        <f>PortfolioFrontier[[#This Row],[P119 Growth]]/PortfolioFrontier[[#This Row],[P119 HWM]]-1</f>
        <v>0</v>
      </c>
      <c r="RK41" s="28">
        <f>SUMPRODUCT(INDEX(PortfolioRef[[SPY]:[PE]],MATCH(RK$1,PortfolioRef[Reference '#]),0),AssetMonthlyReturns[[#This Row],[SPY]:[PE]])</f>
        <v>3.3629029706641951E-2</v>
      </c>
      <c r="RL41" s="27">
        <f>IF(ISNUMBER(RL40),RL40*(1+PortfolioFrontier[[#This Row],[P120 Return]]),1+PortfolioFrontier[[#This Row],[P120 Return]])</f>
        <v>1.1949660007464662</v>
      </c>
      <c r="RM41" s="27">
        <f>MAX(RM40,PortfolioFrontier[[#This Row],[P120 Growth]])</f>
        <v>1.1949660007464662</v>
      </c>
      <c r="RN41" s="27">
        <f>PortfolioFrontier[[#This Row],[P120 Growth]]/PortfolioFrontier[[#This Row],[P120 HWM]]-1</f>
        <v>0</v>
      </c>
      <c r="RO41" s="28">
        <f>SUMPRODUCT(INDEX(PortfolioRef[[SPY]:[PE]],MATCH(RO$1,PortfolioRef[Reference '#]),0),AssetMonthlyReturns[[#This Row],[SPY]:[PE]])</f>
        <v>2.9565297133363165E-2</v>
      </c>
      <c r="RP41" s="27">
        <f>IF(ISNUMBER(RP40),RP40*(1+PortfolioFrontier[[#This Row],[P121 Return]]),1+PortfolioFrontier[[#This Row],[P121 Return]])</f>
        <v>1.2241192796524372</v>
      </c>
      <c r="RQ41" s="27">
        <f>MAX(RQ40,PortfolioFrontier[[#This Row],[P121 Growth]])</f>
        <v>1.2241192796524372</v>
      </c>
      <c r="RR41" s="27">
        <f>PortfolioFrontier[[#This Row],[P121 Growth]]/PortfolioFrontier[[#This Row],[P121 HWM]]-1</f>
        <v>0</v>
      </c>
      <c r="RS41" s="28">
        <f>SUMPRODUCT(INDEX(PortfolioRef[[SPY]:[PE]],MATCH(RS$1,PortfolioRef[Reference '#]),0),AssetMonthlyReturns[[#This Row],[SPY]:[PE]])</f>
        <v>2.974317826689088E-2</v>
      </c>
      <c r="RT41" s="27">
        <f>IF(ISNUMBER(RT40),RT40*(1+PortfolioFrontier[[#This Row],[P122 Return]]),1+PortfolioFrontier[[#This Row],[P122 Return]])</f>
        <v>1.2130567825818341</v>
      </c>
      <c r="RU41" s="27">
        <f>MAX(RU40,PortfolioFrontier[[#This Row],[P122 Growth]])</f>
        <v>1.2130567825818341</v>
      </c>
      <c r="RV41" s="27">
        <f>PortfolioFrontier[[#This Row],[P122 Growth]]/PortfolioFrontier[[#This Row],[P122 HWM]]-1</f>
        <v>0</v>
      </c>
      <c r="RW41" s="28">
        <f>SUMPRODUCT(INDEX(PortfolioRef[[SPY]:[PE]],MATCH(RW$1,PortfolioRef[Reference '#]),0),AssetMonthlyReturns[[#This Row],[SPY]:[PE]])</f>
        <v>2.992105940041859E-2</v>
      </c>
      <c r="RX41" s="27">
        <f>IF(ISNUMBER(RX40),RX40*(1+PortfolioFrontier[[#This Row],[P123 Return]]),1+PortfolioFrontier[[#This Row],[P123 Return]])</f>
        <v>1.2019053068490535</v>
      </c>
      <c r="RY41" s="27">
        <f>MAX(RY40,PortfolioFrontier[[#This Row],[P123 Growth]])</f>
        <v>1.2019053068490535</v>
      </c>
      <c r="RZ41" s="27">
        <f>PortfolioFrontier[[#This Row],[P123 Growth]]/PortfolioFrontier[[#This Row],[P123 HWM]]-1</f>
        <v>0</v>
      </c>
      <c r="SA41" s="28">
        <f>SUMPRODUCT(INDEX(PortfolioRef[[SPY]:[PE]],MATCH(SA$1,PortfolioRef[Reference '#]),0),AssetMonthlyReturns[[#This Row],[SPY]:[PE]])</f>
        <v>3.67234514840808E-2</v>
      </c>
      <c r="SB41" s="27">
        <f>IF(ISNUMBER(SB40),SB40*(1+PortfolioFrontier[[#This Row],[P124 Return]]),1+PortfolioFrontier[[#This Row],[P124 Return]])</f>
        <v>1.2173675111216449</v>
      </c>
      <c r="SC41" s="27">
        <f>MAX(SC40,PortfolioFrontier[[#This Row],[P124 Growth]])</f>
        <v>1.2173675111216449</v>
      </c>
      <c r="SD41" s="27">
        <f>PortfolioFrontier[[#This Row],[P124 Growth]]/PortfolioFrontier[[#This Row],[P124 HWM]]-1</f>
        <v>0</v>
      </c>
      <c r="SE41" s="28">
        <f>SUMPRODUCT(INDEX(PortfolioRef[[SPY]:[PE]],MATCH(SE$1,PortfolioRef[Reference '#]),0),AssetMonthlyReturns[[#This Row],[SPY]:[PE]])</f>
        <v>3.6901332617608515E-2</v>
      </c>
      <c r="SF41" s="27">
        <f>IF(ISNUMBER(SF40),SF40*(1+PortfolioFrontier[[#This Row],[P125 Return]]),1+PortfolioFrontier[[#This Row],[P125 Return]])</f>
        <v>1.2062585796151559</v>
      </c>
      <c r="SG41" s="27">
        <f>MAX(SG40,PortfolioFrontier[[#This Row],[P125 Growth]])</f>
        <v>1.2062585796151559</v>
      </c>
      <c r="SH41" s="27">
        <f>PortfolioFrontier[[#This Row],[P125 Growth]]/PortfolioFrontier[[#This Row],[P125 HWM]]-1</f>
        <v>0</v>
      </c>
      <c r="SI41" s="28">
        <f>SUMPRODUCT(INDEX(PortfolioRef[[SPY]:[PE]],MATCH(SI$1,PortfolioRef[Reference '#]),0),AssetMonthlyReturns[[#This Row],[SPY]:[PE]])</f>
        <v>3.7079213751136222E-2</v>
      </c>
      <c r="SJ41" s="27">
        <f>IF(ISNUMBER(SJ40),SJ40*(1+PortfolioFrontier[[#This Row],[P126 Return]]),1+PortfolioFrontier[[#This Row],[P126 Return]])</f>
        <v>1.1950631136995851</v>
      </c>
      <c r="SK41" s="27">
        <f>MAX(SK40,PortfolioFrontier[[#This Row],[P126 Growth]])</f>
        <v>1.1950631136995851</v>
      </c>
      <c r="SL41" s="27">
        <f>PortfolioFrontier[[#This Row],[P126 Growth]]/PortfolioFrontier[[#This Row],[P126 HWM]]-1</f>
        <v>0</v>
      </c>
      <c r="SM41" s="28">
        <f>SUMPRODUCT(INDEX(PortfolioRef[[SPY]:[PE]],MATCH(SM$1,PortfolioRef[Reference '#]),0),AssetMonthlyReturns[[#This Row],[SPY]:[PE]])</f>
        <v>3.3015481177857443E-2</v>
      </c>
      <c r="SN41" s="27">
        <f>IF(ISNUMBER(SN40),SN40*(1+PortfolioFrontier[[#This Row],[P127 Return]]),1+PortfolioFrontier[[#This Row],[P127 Return]])</f>
        <v>1.2242856293348561</v>
      </c>
      <c r="SO41" s="27">
        <f>MAX(SO40,PortfolioFrontier[[#This Row],[P127 Growth]])</f>
        <v>1.2242856293348561</v>
      </c>
      <c r="SP41" s="27">
        <f>PortfolioFrontier[[#This Row],[P127 Growth]]/PortfolioFrontier[[#This Row],[P127 HWM]]-1</f>
        <v>0</v>
      </c>
      <c r="SQ41" s="28">
        <f>SUMPRODUCT(INDEX(PortfolioRef[[SPY]:[PE]],MATCH(SQ$1,PortfolioRef[Reference '#]),0),AssetMonthlyReturns[[#This Row],[SPY]:[PE]])</f>
        <v>3.3193362311385158E-2</v>
      </c>
      <c r="SR41" s="27">
        <f>IF(ISNUMBER(SR40),SR40*(1+PortfolioFrontier[[#This Row],[P128 Return]]),1+PortfolioFrontier[[#This Row],[P128 Return]])</f>
        <v>1.2132402373721149</v>
      </c>
      <c r="SS41" s="27">
        <f>MAX(SS40,PortfolioFrontier[[#This Row],[P128 Growth]])</f>
        <v>1.2132402373721149</v>
      </c>
      <c r="ST41" s="27">
        <f>PortfolioFrontier[[#This Row],[P128 Growth]]/PortfolioFrontier[[#This Row],[P128 HWM]]-1</f>
        <v>0</v>
      </c>
      <c r="SU41" s="28">
        <f>SUMPRODUCT(INDEX(PortfolioRef[[SPY]:[PE]],MATCH(SU$1,PortfolioRef[Reference '#]),0),AssetMonthlyReturns[[#This Row],[SPY]:[PE]])</f>
        <v>3.3371243444912865E-2</v>
      </c>
      <c r="SV41" s="27">
        <f>IF(ISNUMBER(SV40),SV40*(1+PortfolioFrontier[[#This Row],[P129 Return]]),1+PortfolioFrontier[[#This Row],[P129 Return]])</f>
        <v>1.202105561564093</v>
      </c>
      <c r="SW41" s="27">
        <f>MAX(SW40,PortfolioFrontier[[#This Row],[P129 Growth]])</f>
        <v>1.202105561564093</v>
      </c>
      <c r="SX41" s="27">
        <f>PortfolioFrontier[[#This Row],[P129 Growth]]/PortfolioFrontier[[#This Row],[P129 HWM]]-1</f>
        <v>0</v>
      </c>
      <c r="SY41" s="28">
        <f>SUMPRODUCT(INDEX(PortfolioRef[[SPY]:[PE]],MATCH(SY$1,PortfolioRef[Reference '#]),0),AssetMonthlyReturns[[#This Row],[SPY]:[PE]])</f>
        <v>2.9307510871634076E-2</v>
      </c>
      <c r="SZ41" s="27">
        <f>IF(ISNUMBER(SZ40),SZ40*(1+PortfolioFrontier[[#This Row],[P130 Return]]),1+PortfolioFrontier[[#This Row],[P130 Return]])</f>
        <v>1.2309768638198029</v>
      </c>
      <c r="TA41" s="27">
        <f>MAX(TA40,PortfolioFrontier[[#This Row],[P130 Growth]])</f>
        <v>1.2309768638198029</v>
      </c>
      <c r="TB41" s="27">
        <f>PortfolioFrontier[[#This Row],[P130 Growth]]/PortfolioFrontier[[#This Row],[P130 HWM]]-1</f>
        <v>0</v>
      </c>
      <c r="TC41" s="28">
        <f>SUMPRODUCT(INDEX(PortfolioRef[[SPY]:[PE]],MATCH(TC$1,PortfolioRef[Reference '#]),0),AssetMonthlyReturns[[#This Row],[SPY]:[PE]])</f>
        <v>2.9485392005161794E-2</v>
      </c>
      <c r="TD41" s="27">
        <f>IF(ISNUMBER(TD40),TD40*(1+PortfolioFrontier[[#This Row],[P131 Return]]),1+PortfolioFrontier[[#This Row],[P131 Return]])</f>
        <v>1.2199985790013292</v>
      </c>
      <c r="TE41" s="27">
        <f>MAX(TE40,PortfolioFrontier[[#This Row],[P131 Growth]])</f>
        <v>1.2199985790013292</v>
      </c>
      <c r="TF41" s="27">
        <f>PortfolioFrontier[[#This Row],[P131 Growth]]/PortfolioFrontier[[#This Row],[P131 HWM]]-1</f>
        <v>0</v>
      </c>
      <c r="TG41" s="28">
        <f>SUMPRODUCT(INDEX(PortfolioRef[[SPY]:[PE]],MATCH(TG$1,PortfolioRef[Reference '#]),0),AssetMonthlyReturns[[#This Row],[SPY]:[PE]])</f>
        <v>2.9663273138689505E-2</v>
      </c>
      <c r="TH41" s="27">
        <f>IF(ISNUMBER(TH40),TH40*(1+PortfolioFrontier[[#This Row],[P132 Return]]),1+PortfolioFrontier[[#This Row],[P132 Return]])</f>
        <v>1.2089282628520144</v>
      </c>
      <c r="TI41" s="27">
        <f>MAX(TI40,PortfolioFrontier[[#This Row],[P132 Growth]])</f>
        <v>1.2089282628520144</v>
      </c>
      <c r="TJ41" s="27">
        <f>PortfolioFrontier[[#This Row],[P132 Growth]]/PortfolioFrontier[[#This Row],[P132 HWM]]-1</f>
        <v>0</v>
      </c>
      <c r="TK41" s="28">
        <f>SUMPRODUCT(INDEX(PortfolioRef[[SPY]:[PE]],MATCH(TK$1,PortfolioRef[Reference '#]),0),AssetMonthlyReturns[[#This Row],[SPY]:[PE]])</f>
        <v>3.6465665222351715E-2</v>
      </c>
      <c r="TL41" s="27">
        <f>IF(ISNUMBER(TL40),TL40*(1+PortfolioFrontier[[#This Row],[P133 Return]]),1+PortfolioFrontier[[#This Row],[P133 Return]])</f>
        <v>1.2243528438133826</v>
      </c>
      <c r="TM41" s="27">
        <f>MAX(TM40,PortfolioFrontier[[#This Row],[P133 Growth]])</f>
        <v>1.2243528438133826</v>
      </c>
      <c r="TN41" s="27">
        <f>PortfolioFrontier[[#This Row],[P133 Growth]]/PortfolioFrontier[[#This Row],[P133 HWM]]-1</f>
        <v>0</v>
      </c>
      <c r="TO41" s="28">
        <f>SUMPRODUCT(INDEX(PortfolioRef[[SPY]:[PE]],MATCH(TO$1,PortfolioRef[Reference '#]),0),AssetMonthlyReturns[[#This Row],[SPY]:[PE]])</f>
        <v>3.6643546355879429E-2</v>
      </c>
      <c r="TP41" s="27">
        <f>IF(ISNUMBER(TP40),TP40*(1+PortfolioFrontier[[#This Row],[P134 Return]]),1+PortfolioFrontier[[#This Row],[P134 Return]])</f>
        <v>1.2133253611729582</v>
      </c>
      <c r="TQ41" s="27">
        <f>MAX(TQ40,PortfolioFrontier[[#This Row],[P134 Growth]])</f>
        <v>1.2133253611729582</v>
      </c>
      <c r="TR41" s="27">
        <f>PortfolioFrontier[[#This Row],[P134 Growth]]/PortfolioFrontier[[#This Row],[P134 HWM]]-1</f>
        <v>0</v>
      </c>
      <c r="TS41" s="28">
        <f>SUMPRODUCT(INDEX(PortfolioRef[[SPY]:[PE]],MATCH(TS$1,PortfolioRef[Reference '#]),0),AssetMonthlyReturns[[#This Row],[SPY]:[PE]])</f>
        <v>3.6821427489407137E-2</v>
      </c>
      <c r="TT41" s="27">
        <f>IF(ISNUMBER(TT40),TT40*(1+PortfolioFrontier[[#This Row],[P135 Return]]),1+PortfolioFrontier[[#This Row],[P135 Return]])</f>
        <v>1.2022082969357817</v>
      </c>
      <c r="TU41" s="27">
        <f>MAX(TU40,PortfolioFrontier[[#This Row],[P135 Growth]])</f>
        <v>1.2022082969357817</v>
      </c>
      <c r="TV41" s="27">
        <f>PortfolioFrontier[[#This Row],[P135 Growth]]/PortfolioFrontier[[#This Row],[P135 HWM]]-1</f>
        <v>0</v>
      </c>
      <c r="TW41" s="28">
        <f>SUMPRODUCT(INDEX(PortfolioRef[[SPY]:[PE]],MATCH(TW$1,PortfolioRef[Reference '#]),0),AssetMonthlyReturns[[#This Row],[SPY]:[PE]])</f>
        <v>3.2757694916128358E-2</v>
      </c>
      <c r="TX41" s="27">
        <f>IF(ISNUMBER(TX40),TX40*(1+PortfolioFrontier[[#This Row],[P136 Return]]),1+PortfolioFrontier[[#This Row],[P136 Return]])</f>
        <v>1.2311496264272705</v>
      </c>
      <c r="TY41" s="27">
        <f>MAX(TY40,PortfolioFrontier[[#This Row],[P136 Growth]])</f>
        <v>1.2311496264272705</v>
      </c>
      <c r="TZ41" s="27">
        <f>PortfolioFrontier[[#This Row],[P136 Growth]]/PortfolioFrontier[[#This Row],[P136 HWM]]-1</f>
        <v>0</v>
      </c>
      <c r="UA41" s="28">
        <f>SUMPRODUCT(INDEX(PortfolioRef[[SPY]:[PE]],MATCH(UA$1,PortfolioRef[Reference '#]),0),AssetMonthlyReturns[[#This Row],[SPY]:[PE]])</f>
        <v>3.2935576049656072E-2</v>
      </c>
      <c r="UB41" s="27">
        <f>IF(ISNUMBER(UB40),UB40*(1+PortfolioFrontier[[#This Row],[P137 Return]]),1+PortfolioFrontier[[#This Row],[P137 Return]])</f>
        <v>1.2201884019971696</v>
      </c>
      <c r="UC41" s="27">
        <f>MAX(UC40,PortfolioFrontier[[#This Row],[P137 Growth]])</f>
        <v>1.2201884019971696</v>
      </c>
      <c r="UD41" s="27">
        <f>PortfolioFrontier[[#This Row],[P137 Growth]]/PortfolioFrontier[[#This Row],[P137 HWM]]-1</f>
        <v>0</v>
      </c>
      <c r="UE41" s="28">
        <f>SUMPRODUCT(INDEX(PortfolioRef[[SPY]:[PE]],MATCH(UE$1,PortfolioRef[Reference '#]),0),AssetMonthlyReturns[[#This Row],[SPY]:[PE]])</f>
        <v>3.311345718318378E-2</v>
      </c>
      <c r="UF41" s="27">
        <f>IF(ISNUMBER(UF40),UF40*(1+PortfolioFrontier[[#This Row],[P138 Return]]),1+PortfolioFrontier[[#This Row],[P138 Return]])</f>
        <v>1.2091348440912568</v>
      </c>
      <c r="UG41" s="27">
        <f>MAX(UG40,PortfolioFrontier[[#This Row],[P138 Growth]])</f>
        <v>1.2091348440912568</v>
      </c>
      <c r="UH41" s="27">
        <f>PortfolioFrontier[[#This Row],[P138 Growth]]/PortfolioFrontier[[#This Row],[P138 HWM]]-1</f>
        <v>0</v>
      </c>
      <c r="UI41" s="28">
        <f>SUMPRODUCT(INDEX(PortfolioRef[[SPY]:[PE]],MATCH(UI$1,PortfolioRef[Reference '#]),0),AssetMonthlyReturns[[#This Row],[SPY]:[PE]])</f>
        <v>2.904972460990499E-2</v>
      </c>
      <c r="UJ41" s="27">
        <f>IF(ISNUMBER(UJ40),UJ40*(1+PortfolioFrontier[[#This Row],[P139 Return]]),1+PortfolioFrontier[[#This Row],[P139 Return]])</f>
        <v>1.2377161217509747</v>
      </c>
      <c r="UK41" s="27">
        <f>MAX(UK40,PortfolioFrontier[[#This Row],[P139 Growth]])</f>
        <v>1.2377161217509747</v>
      </c>
      <c r="UL41" s="27">
        <f>PortfolioFrontier[[#This Row],[P139 Growth]]/PortfolioFrontier[[#This Row],[P139 HWM]]-1</f>
        <v>0</v>
      </c>
      <c r="UM41" s="28">
        <f>SUMPRODUCT(INDEX(PortfolioRef[[SPY]:[PE]],MATCH(UM$1,PortfolioRef[Reference '#]),0),AssetMonthlyReturns[[#This Row],[SPY]:[PE]])</f>
        <v>2.9227605743432705E-2</v>
      </c>
      <c r="UN41" s="27">
        <f>IF(ISNUMBER(UN40),UN40*(1+PortfolioFrontier[[#This Row],[P140 Return]]),1+PortfolioFrontier[[#This Row],[P140 Return]])</f>
        <v>1.2268247186405765</v>
      </c>
      <c r="UO41" s="27">
        <f>MAX(UO40,PortfolioFrontier[[#This Row],[P140 Growth]])</f>
        <v>1.2268247186405765</v>
      </c>
      <c r="UP41" s="27">
        <f>PortfolioFrontier[[#This Row],[P140 Growth]]/PortfolioFrontier[[#This Row],[P140 HWM]]-1</f>
        <v>0</v>
      </c>
      <c r="UQ41" s="28">
        <f>SUMPRODUCT(INDEX(PortfolioRef[[SPY]:[PE]],MATCH(UQ$1,PortfolioRef[Reference '#]),0),AssetMonthlyReturns[[#This Row],[SPY]:[PE]])</f>
        <v>2.9405486876960419E-2</v>
      </c>
      <c r="UR41" s="27">
        <f>IF(ISNUMBER(UR40),UR40*(1+PortfolioFrontier[[#This Row],[P141 Return]]),1+PortfolioFrontier[[#This Row],[P141 Return]])</f>
        <v>1.2158382332918269</v>
      </c>
      <c r="US41" s="27">
        <f>MAX(US40,PortfolioFrontier[[#This Row],[P141 Growth]])</f>
        <v>1.2158382332918269</v>
      </c>
      <c r="UT41" s="27">
        <f>PortfolioFrontier[[#This Row],[P141 Growth]]/PortfolioFrontier[[#This Row],[P141 HWM]]-1</f>
        <v>0</v>
      </c>
    </row>
    <row r="42" spans="2:566" x14ac:dyDescent="0.2">
      <c r="B42" s="41">
        <f>AssetMonthlyReturns[[#This Row],[Date]]</f>
        <v>43647</v>
      </c>
      <c r="C42" s="28">
        <f>SUMPRODUCT(INDEX(PortfolioRef[[SPY]:[PE]],MATCH(C$1,PortfolioRef[Reference '#]),0),AssetMonthlyReturns[[#This Row],[SPY]:[PE]])</f>
        <v>1.4377164720885639E-2</v>
      </c>
      <c r="D42" s="29">
        <f>IF(ISNUMBER(D41),D41*(1+PortfolioFrontier[[#This Row],[P1 Return]]),1+PortfolioFrontier[[#This Row],[P1 Return]])</f>
        <v>1.3370483765098697</v>
      </c>
      <c r="E42" s="29">
        <f>MAX(E41,PortfolioFrontier[[#This Row],[P1 Growth]])</f>
        <v>1.3370483765098697</v>
      </c>
      <c r="F42" s="29">
        <f>PortfolioFrontier[[#This Row],[P1 Growth]]/PortfolioFrontier[[#This Row],[P1 HWM]]-1</f>
        <v>0</v>
      </c>
      <c r="G42" s="28">
        <f>SUMPRODUCT(INDEX(PortfolioRef[[SPY]:[PE]],MATCH(G$1,PortfolioRef[Reference '#]),0),AssetMonthlyReturns[[#This Row],[SPY]:[PE]])</f>
        <v>1.3469840990486004E-2</v>
      </c>
      <c r="H42" s="27">
        <f>IF(ISNUMBER(H41),H41*(1+PortfolioFrontier[[#This Row],[P2 Return]]),1+PortfolioFrontier[[#This Row],[P2 Return]])</f>
        <v>1.3147639892206431</v>
      </c>
      <c r="I42" s="27">
        <f>MAX(I41,PortfolioFrontier[[#This Row],[P2 Growth]])</f>
        <v>1.3147639892206431</v>
      </c>
      <c r="J42" s="27">
        <f>PortfolioFrontier[[#This Row],[P2 Growth]]/PortfolioFrontier[[#This Row],[P2 HWM]]-1</f>
        <v>0</v>
      </c>
      <c r="K42" s="28">
        <f>SUMPRODUCT(INDEX(PortfolioRef[[SPY]:[PE]],MATCH(K$1,PortfolioRef[Reference '#]),0),AssetMonthlyReturns[[#This Row],[SPY]:[PE]])</f>
        <v>1.337806480804621E-2</v>
      </c>
      <c r="L42" s="27">
        <f>IF(ISNUMBER(L41),L41*(1+PortfolioFrontier[[#This Row],[P3 Return]]),1+PortfolioFrontier[[#This Row],[P3 Return]])</f>
        <v>1.3148726111788371</v>
      </c>
      <c r="M42" s="27">
        <f>MAX(M41,PortfolioFrontier[[#This Row],[P3 Growth]])</f>
        <v>1.3148726111788371</v>
      </c>
      <c r="N42" s="27">
        <f>PortfolioFrontier[[#This Row],[P3 Growth]]/PortfolioFrontier[[#This Row],[P3 HWM]]-1</f>
        <v>0</v>
      </c>
      <c r="O42" s="28">
        <f>SUMPRODUCT(INDEX(PortfolioRef[[SPY]:[PE]],MATCH(O$1,PortfolioRef[Reference '#]),0),AssetMonthlyReturns[[#This Row],[SPY]:[PE]])</f>
        <v>1.4715764787900909E-2</v>
      </c>
      <c r="P42" s="27">
        <f>IF(ISNUMBER(P41),P41*(1+PortfolioFrontier[[#This Row],[P4 Return]]),1+PortfolioFrontier[[#This Row],[P4 Return]])</f>
        <v>1.3239217649342201</v>
      </c>
      <c r="Q42" s="27">
        <f>MAX(Q41,PortfolioFrontier[[#This Row],[P4 Growth]])</f>
        <v>1.3239217649342201</v>
      </c>
      <c r="R42" s="27">
        <f>PortfolioFrontier[[#This Row],[P4 Growth]]/PortfolioFrontier[[#This Row],[P4 HWM]]-1</f>
        <v>0</v>
      </c>
      <c r="S42" s="28">
        <f>SUMPRODUCT(INDEX(PortfolioRef[[SPY]:[PE]],MATCH(S$1,PortfolioRef[Reference '#]),0),AssetMonthlyReturns[[#This Row],[SPY]:[PE]])</f>
        <v>1.3558659069158973E-2</v>
      </c>
      <c r="T42" s="27">
        <f>IF(ISNUMBER(T41),T41*(1+PortfolioFrontier[[#This Row],[P5 Return]]),1+PortfolioFrontier[[#This Row],[P5 Return]])</f>
        <v>1.3103399490186531</v>
      </c>
      <c r="U42" s="27">
        <f>MAX(U41,PortfolioFrontier[[#This Row],[P5 Growth]])</f>
        <v>1.3103399490186531</v>
      </c>
      <c r="V42" s="27">
        <f>PortfolioFrontier[[#This Row],[P5 Growth]]/PortfolioFrontier[[#This Row],[P5 HWM]]-1</f>
        <v>0</v>
      </c>
      <c r="W42" s="28">
        <f>SUMPRODUCT(INDEX(PortfolioRef[[SPY]:[PE]],MATCH(W$1,PortfolioRef[Reference '#]),0),AssetMonthlyReturns[[#This Row],[SPY]:[PE]])</f>
        <v>1.2562517260086371E-2</v>
      </c>
      <c r="X42" s="27">
        <f>IF(ISNUMBER(X41),X41*(1+PortfolioFrontier[[#This Row],[P6 Return]]),1+PortfolioFrontier[[#This Row],[P6 Return]])</f>
        <v>1.2926681733890582</v>
      </c>
      <c r="Y42" s="27">
        <f>MAX(Y41,PortfolioFrontier[[#This Row],[P6 Growth]])</f>
        <v>1.2926681733890582</v>
      </c>
      <c r="Z42" s="27">
        <f>PortfolioFrontier[[#This Row],[P6 Growth]]/PortfolioFrontier[[#This Row],[P6 HWM]]-1</f>
        <v>0</v>
      </c>
      <c r="AA42" s="28">
        <f>SUMPRODUCT(INDEX(PortfolioRef[[SPY]:[PE]],MATCH(AA$1,PortfolioRef[Reference '#]),0),AssetMonthlyReturns[[#This Row],[SPY]:[PE]])</f>
        <v>1.2470741077646577E-2</v>
      </c>
      <c r="AB42" s="27">
        <f>IF(ISNUMBER(AB41),AB41*(1+PortfolioFrontier[[#This Row],[P7 Return]]),1+PortfolioFrontier[[#This Row],[P7 Return]])</f>
        <v>1.2927605074814212</v>
      </c>
      <c r="AC42" s="27">
        <f>MAX(AC41,PortfolioFrontier[[#This Row],[P7 Growth]])</f>
        <v>1.2927605074814212</v>
      </c>
      <c r="AD42" s="27">
        <f>PortfolioFrontier[[#This Row],[P7 Growth]]/PortfolioFrontier[[#This Row],[P7 HWM]]-1</f>
        <v>0</v>
      </c>
      <c r="AE42" s="28">
        <f>SUMPRODUCT(INDEX(PortfolioRef[[SPY]:[PE]],MATCH(AE$1,PortfolioRef[Reference '#]),0),AssetMonthlyReturns[[#This Row],[SPY]:[PE]])</f>
        <v>1.3808441057501276E-2</v>
      </c>
      <c r="AF42" s="27">
        <f>IF(ISNUMBER(AF41),AF41*(1+PortfolioFrontier[[#This Row],[P8 Return]]),1+PortfolioFrontier[[#This Row],[P8 Return]])</f>
        <v>1.3017730129510601</v>
      </c>
      <c r="AG42" s="27">
        <f>MAX(AG41,PortfolioFrontier[[#This Row],[P8 Growth]])</f>
        <v>1.3017730129510601</v>
      </c>
      <c r="AH42" s="27">
        <f>PortfolioFrontier[[#This Row],[P8 Growth]]/PortfolioFrontier[[#This Row],[P8 HWM]]-1</f>
        <v>0</v>
      </c>
      <c r="AI42" s="28">
        <f>SUMPRODUCT(INDEX(PortfolioRef[[SPY]:[PE]],MATCH(AI$1,PortfolioRef[Reference '#]),0),AssetMonthlyReturns[[#This Row],[SPY]:[PE]])</f>
        <v>1.265133533875934E-2</v>
      </c>
      <c r="AJ42" s="27">
        <f>IF(ISNUMBER(AJ41),AJ41*(1+PortfolioFrontier[[#This Row],[P9 Return]]),1+PortfolioFrontier[[#This Row],[P9 Return]])</f>
        <v>1.2883479007690315</v>
      </c>
      <c r="AK42" s="27">
        <f>MAX(AK41,PortfolioFrontier[[#This Row],[P9 Growth]])</f>
        <v>1.2883479007690315</v>
      </c>
      <c r="AL42" s="27">
        <f>PortfolioFrontier[[#This Row],[P9 Growth]]/PortfolioFrontier[[#This Row],[P9 HWM]]-1</f>
        <v>0</v>
      </c>
      <c r="AM42" s="28">
        <f>SUMPRODUCT(INDEX(PortfolioRef[[SPY]:[PE]],MATCH(AM$1,PortfolioRef[Reference '#]),0),AssetMonthlyReturns[[#This Row],[SPY]:[PE]])</f>
        <v>1.2378964895206781E-2</v>
      </c>
      <c r="AN42" s="27">
        <f>IF(ISNUMBER(AN41),AN41*(1+PortfolioFrontier[[#This Row],[P10 Return]]),1+PortfolioFrontier[[#This Row],[P10 Return]])</f>
        <v>1.2927484824535971</v>
      </c>
      <c r="AO42" s="27">
        <f>MAX(AO41,PortfolioFrontier[[#This Row],[P10 Growth]])</f>
        <v>1.2927484824535971</v>
      </c>
      <c r="AP42" s="27">
        <f>PortfolioFrontier[[#This Row],[P10 Growth]]/PortfolioFrontier[[#This Row],[P10 HWM]]-1</f>
        <v>0</v>
      </c>
      <c r="AQ42" s="28">
        <f>SUMPRODUCT(INDEX(PortfolioRef[[SPY]:[PE]],MATCH(AQ$1,PortfolioRef[Reference '#]),0),AssetMonthlyReturns[[#This Row],[SPY]:[PE]])</f>
        <v>1.3716664875061482E-2</v>
      </c>
      <c r="AR42" s="27">
        <f>IF(ISNUMBER(AR41),AR41*(1+PortfolioFrontier[[#This Row],[P11 Return]]),1+PortfolioFrontier[[#This Row],[P11 Return]])</f>
        <v>1.301871732778866</v>
      </c>
      <c r="AS42" s="27">
        <f>MAX(AS41,PortfolioFrontier[[#This Row],[P11 Growth]])</f>
        <v>1.301871732778866</v>
      </c>
      <c r="AT42" s="27">
        <f>PortfolioFrontier[[#This Row],[P11 Growth]]/PortfolioFrontier[[#This Row],[P11 HWM]]-1</f>
        <v>0</v>
      </c>
      <c r="AU42" s="28">
        <f>SUMPRODUCT(INDEX(PortfolioRef[[SPY]:[PE]],MATCH(AU$1,PortfolioRef[Reference '#]),0),AssetMonthlyReturns[[#This Row],[SPY]:[PE]])</f>
        <v>1.2559559156319546E-2</v>
      </c>
      <c r="AV42" s="27">
        <f>IF(ISNUMBER(AV41),AV41*(1+PortfolioFrontier[[#This Row],[P12 Return]]),1+PortfolioFrontier[[#This Row],[P12 Return]])</f>
        <v>1.2884651657231523</v>
      </c>
      <c r="AW42" s="27">
        <f>MAX(AW41,PortfolioFrontier[[#This Row],[P12 Growth]])</f>
        <v>1.2884651657231523</v>
      </c>
      <c r="AX42" s="27">
        <f>PortfolioFrontier[[#This Row],[P12 Growth]]/PortfolioFrontier[[#This Row],[P12 HWM]]-1</f>
        <v>0</v>
      </c>
      <c r="AY42" s="28">
        <f>SUMPRODUCT(INDEX(PortfolioRef[[SPY]:[PE]],MATCH(AY$1,PortfolioRef[Reference '#]),0),AssetMonthlyReturns[[#This Row],[SPY]:[PE]])</f>
        <v>1.5054364854916182E-2</v>
      </c>
      <c r="AZ42" s="27">
        <f>IF(ISNUMBER(AZ41),AZ41*(1+PortfolioFrontier[[#This Row],[P13 Return]]),1+PortfolioFrontier[[#This Row],[P13 Return]])</f>
        <v>1.3107735309034283</v>
      </c>
      <c r="BA42" s="27">
        <f>MAX(BA41,PortfolioFrontier[[#This Row],[P13 Growth]])</f>
        <v>1.3107735309034283</v>
      </c>
      <c r="BB42" s="27">
        <f>PortfolioFrontier[[#This Row],[P13 Growth]]/PortfolioFrontier[[#This Row],[P13 HWM]]-1</f>
        <v>0</v>
      </c>
      <c r="BC42" s="28">
        <f>SUMPRODUCT(INDEX(PortfolioRef[[SPY]:[PE]],MATCH(BC$1,PortfolioRef[Reference '#]),0),AssetMonthlyReturns[[#This Row],[SPY]:[PE]])</f>
        <v>1.3897259136174244E-2</v>
      </c>
      <c r="BD42" s="27">
        <f>IF(ISNUMBER(BD41),BD41*(1+PortfolioFrontier[[#This Row],[P14 Return]]),1+PortfolioFrontier[[#This Row],[P14 Return]])</f>
        <v>1.2974132491344375</v>
      </c>
      <c r="BE42" s="27">
        <f>MAX(BE41,PortfolioFrontier[[#This Row],[P14 Growth]])</f>
        <v>1.2974132491344375</v>
      </c>
      <c r="BF42" s="27">
        <f>PortfolioFrontier[[#This Row],[P14 Growth]]/PortfolioFrontier[[#This Row],[P14 HWM]]-1</f>
        <v>0</v>
      </c>
      <c r="BG42" s="28">
        <f>SUMPRODUCT(INDEX(PortfolioRef[[SPY]:[PE]],MATCH(BG$1,PortfolioRef[Reference '#]),0),AssetMonthlyReturns[[#This Row],[SPY]:[PE]])</f>
        <v>1.274015341743231E-2</v>
      </c>
      <c r="BH42" s="27">
        <f>IF(ISNUMBER(BH41),BH41*(1+PortfolioFrontier[[#This Row],[P15 Return]]),1+PortfolioFrontier[[#This Row],[P15 Return]])</f>
        <v>1.2839856945923154</v>
      </c>
      <c r="BI42" s="27">
        <f>MAX(BI41,PortfolioFrontier[[#This Row],[P15 Growth]])</f>
        <v>1.2839856945923154</v>
      </c>
      <c r="BJ42" s="27">
        <f>PortfolioFrontier[[#This Row],[P15 Growth]]/PortfolioFrontier[[#This Row],[P15 HWM]]-1</f>
        <v>0</v>
      </c>
      <c r="BK42" s="28">
        <f>SUMPRODUCT(INDEX(PortfolioRef[[SPY]:[PE]],MATCH(BK$1,PortfolioRef[Reference '#]),0),AssetMonthlyReturns[[#This Row],[SPY]:[PE]])</f>
        <v>1.1655193529686737E-2</v>
      </c>
      <c r="BL42" s="27">
        <f>IF(ISNUMBER(BL41),BL41*(1+PortfolioFrontier[[#This Row],[P16 Return]]),1+PortfolioFrontier[[#This Row],[P16 Return]])</f>
        <v>1.2707643245671094</v>
      </c>
      <c r="BM42" s="27">
        <f>MAX(BM41,PortfolioFrontier[[#This Row],[P16 Growth]])</f>
        <v>1.2707643245671094</v>
      </c>
      <c r="BN42" s="27">
        <f>PortfolioFrontier[[#This Row],[P16 Growth]]/PortfolioFrontier[[#This Row],[P16 HWM]]-1</f>
        <v>0</v>
      </c>
      <c r="BO42" s="28">
        <f>SUMPRODUCT(INDEX(PortfolioRef[[SPY]:[PE]],MATCH(BO$1,PortfolioRef[Reference '#]),0),AssetMonthlyReturns[[#This Row],[SPY]:[PE]])</f>
        <v>1.1563417347246942E-2</v>
      </c>
      <c r="BP42" s="27">
        <f>IF(ISNUMBER(BP41),BP41*(1+PortfolioFrontier[[#This Row],[P17 Return]]),1+PortfolioFrontier[[#This Row],[P17 Return]])</f>
        <v>1.2708411019773425</v>
      </c>
      <c r="BQ42" s="27">
        <f>MAX(BQ41,PortfolioFrontier[[#This Row],[P17 Growth]])</f>
        <v>1.2708411019773425</v>
      </c>
      <c r="BR42" s="27">
        <f>PortfolioFrontier[[#This Row],[P17 Growth]]/PortfolioFrontier[[#This Row],[P17 HWM]]-1</f>
        <v>0</v>
      </c>
      <c r="BS42" s="28">
        <f>SUMPRODUCT(INDEX(PortfolioRef[[SPY]:[PE]],MATCH(BS$1,PortfolioRef[Reference '#]),0),AssetMonthlyReturns[[#This Row],[SPY]:[PE]])</f>
        <v>1.2901117327101641E-2</v>
      </c>
      <c r="BT42" s="27">
        <f>IF(ISNUMBER(BT41),BT41*(1+PortfolioFrontier[[#This Row],[P18 Return]]),1+PortfolioFrontier[[#This Row],[P18 Return]])</f>
        <v>1.2798137964915421</v>
      </c>
      <c r="BU42" s="27">
        <f>MAX(BU41,PortfolioFrontier[[#This Row],[P18 Growth]])</f>
        <v>1.2798137964915421</v>
      </c>
      <c r="BV42" s="27">
        <f>PortfolioFrontier[[#This Row],[P18 Growth]]/PortfolioFrontier[[#This Row],[P18 HWM]]-1</f>
        <v>0</v>
      </c>
      <c r="BW42" s="28">
        <f>SUMPRODUCT(INDEX(PortfolioRef[[SPY]:[PE]],MATCH(BW$1,PortfolioRef[Reference '#]),0),AssetMonthlyReturns[[#This Row],[SPY]:[PE]])</f>
        <v>1.1744011608359705E-2</v>
      </c>
      <c r="BX42" s="27">
        <f>IF(ISNUMBER(BX41),BX41*(1+PortfolioFrontier[[#This Row],[P19 Return]]),1+PortfolioFrontier[[#This Row],[P19 Return]])</f>
        <v>1.2665460146568535</v>
      </c>
      <c r="BY42" s="27">
        <f>MAX(BY41,PortfolioFrontier[[#This Row],[P19 Growth]])</f>
        <v>1.2665460146568535</v>
      </c>
      <c r="BZ42" s="27">
        <f>PortfolioFrontier[[#This Row],[P19 Growth]]/PortfolioFrontier[[#This Row],[P19 HWM]]-1</f>
        <v>0</v>
      </c>
      <c r="CA42" s="28">
        <f>SUMPRODUCT(INDEX(PortfolioRef[[SPY]:[PE]],MATCH(CA$1,PortfolioRef[Reference '#]),0),AssetMonthlyReturns[[#This Row],[SPY]:[PE]])</f>
        <v>1.1471641164807147E-2</v>
      </c>
      <c r="CB42" s="27">
        <f>IF(ISNUMBER(CB41),CB41*(1+PortfolioFrontier[[#This Row],[P20 Return]]),1+PortfolioFrontier[[#This Row],[P20 Return]])</f>
        <v>1.2708151298341528</v>
      </c>
      <c r="CC42" s="27">
        <f>MAX(CC41,PortfolioFrontier[[#This Row],[P20 Growth]])</f>
        <v>1.2708151298341528</v>
      </c>
      <c r="CD42" s="27">
        <f>PortfolioFrontier[[#This Row],[P20 Growth]]/PortfolioFrontier[[#This Row],[P20 HWM]]-1</f>
        <v>0</v>
      </c>
      <c r="CE42" s="28">
        <f>SUMPRODUCT(INDEX(PortfolioRef[[SPY]:[PE]],MATCH(CE$1,PortfolioRef[Reference '#]),0),AssetMonthlyReturns[[#This Row],[SPY]:[PE]])</f>
        <v>1.2809341144661847E-2</v>
      </c>
      <c r="CF42" s="27">
        <f>IF(ISNUMBER(CF41),CF41*(1+PortfolioFrontier[[#This Row],[P21 Return]]),1+PortfolioFrontier[[#This Row],[P21 Return]])</f>
        <v>1.2798966376794931</v>
      </c>
      <c r="CG42" s="27">
        <f>MAX(CG41,PortfolioFrontier[[#This Row],[P21 Growth]])</f>
        <v>1.2798966376794931</v>
      </c>
      <c r="CH42" s="27">
        <f>PortfolioFrontier[[#This Row],[P21 Growth]]/PortfolioFrontier[[#This Row],[P21 HWM]]-1</f>
        <v>0</v>
      </c>
      <c r="CI42" s="28">
        <f>SUMPRODUCT(INDEX(PortfolioRef[[SPY]:[PE]],MATCH(CI$1,PortfolioRef[Reference '#]),0),AssetMonthlyReturns[[#This Row],[SPY]:[PE]])</f>
        <v>1.1652235425919911E-2</v>
      </c>
      <c r="CJ42" s="27">
        <f>IF(ISNUMBER(CJ41),CJ41*(1+PortfolioFrontier[[#This Row],[P22 Return]]),1+PortfolioFrontier[[#This Row],[P22 Return]])</f>
        <v>1.2666473353411789</v>
      </c>
      <c r="CK42" s="27">
        <f>MAX(CK41,PortfolioFrontier[[#This Row],[P22 Growth]])</f>
        <v>1.2666473353411789</v>
      </c>
      <c r="CL42" s="27">
        <f>PortfolioFrontier[[#This Row],[P22 Growth]]/PortfolioFrontier[[#This Row],[P22 HWM]]-1</f>
        <v>0</v>
      </c>
      <c r="CM42" s="28">
        <f>SUMPRODUCT(INDEX(PortfolioRef[[SPY]:[PE]],MATCH(CM$1,PortfolioRef[Reference '#]),0),AssetMonthlyReturns[[#This Row],[SPY]:[PE]])</f>
        <v>1.4147041124516547E-2</v>
      </c>
      <c r="CN42" s="27">
        <f>IF(ISNUMBER(CN41),CN41*(1+PortfolioFrontier[[#This Row],[P23 Return]]),1+PortfolioFrontier[[#This Row],[P23 Return]])</f>
        <v>1.2887623082017892</v>
      </c>
      <c r="CO42" s="27">
        <f>MAX(CO41,PortfolioFrontier[[#This Row],[P23 Growth]])</f>
        <v>1.2887623082017892</v>
      </c>
      <c r="CP42" s="27">
        <f>PortfolioFrontier[[#This Row],[P23 Growth]]/PortfolioFrontier[[#This Row],[P23 HWM]]-1</f>
        <v>0</v>
      </c>
      <c r="CQ42" s="28">
        <f>SUMPRODUCT(INDEX(PortfolioRef[[SPY]:[PE]],MATCH(CQ$1,PortfolioRef[Reference '#]),0),AssetMonthlyReturns[[#This Row],[SPY]:[PE]])</f>
        <v>1.2989935405774609E-2</v>
      </c>
      <c r="CR42" s="27">
        <f>IF(ISNUMBER(CR41),CR41*(1+PortfolioFrontier[[#This Row],[P24 Return]]),1+PortfolioFrontier[[#This Row],[P24 Return]])</f>
        <v>1.2755566887326883</v>
      </c>
      <c r="CS42" s="27">
        <f>MAX(CS41,PortfolioFrontier[[#This Row],[P24 Growth]])</f>
        <v>1.2755566887326883</v>
      </c>
      <c r="CT42" s="27">
        <f>PortfolioFrontier[[#This Row],[P24 Growth]]/PortfolioFrontier[[#This Row],[P24 HWM]]-1</f>
        <v>0</v>
      </c>
      <c r="CU42" s="28">
        <f>SUMPRODUCT(INDEX(PortfolioRef[[SPY]:[PE]],MATCH(CU$1,PortfolioRef[Reference '#]),0),AssetMonthlyReturns[[#This Row],[SPY]:[PE]])</f>
        <v>1.1832829687032675E-2</v>
      </c>
      <c r="CV42" s="27">
        <f>IF(ISNUMBER(CV41),CV41*(1+PortfolioFrontier[[#This Row],[P25 Return]]),1+PortfolioFrontier[[#This Row],[P25 Return]])</f>
        <v>1.2622862907321368</v>
      </c>
      <c r="CW42" s="27">
        <f>MAX(CW41,PortfolioFrontier[[#This Row],[P25 Growth]])</f>
        <v>1.2622862907321368</v>
      </c>
      <c r="CX42" s="27">
        <f>PortfolioFrontier[[#This Row],[P25 Growth]]/PortfolioFrontier[[#This Row],[P25 HWM]]-1</f>
        <v>0</v>
      </c>
      <c r="CY42" s="28">
        <f>SUMPRODUCT(INDEX(PortfolioRef[[SPY]:[PE]],MATCH(CY$1,PortfolioRef[Reference '#]),0),AssetMonthlyReturns[[#This Row],[SPY]:[PE]])</f>
        <v>1.2717564962222051E-2</v>
      </c>
      <c r="CZ42" s="27">
        <f>IF(ISNUMBER(CZ41),CZ41*(1+PortfolioFrontier[[#This Row],[P26 Return]]),1+PortfolioFrontier[[#This Row],[P26 Return]])</f>
        <v>1.2798760775288631</v>
      </c>
      <c r="DA42" s="27">
        <f>MAX(DA41,PortfolioFrontier[[#This Row],[P26 Growth]])</f>
        <v>1.2798760775288631</v>
      </c>
      <c r="DB42" s="27">
        <f>PortfolioFrontier[[#This Row],[P26 Growth]]/PortfolioFrontier[[#This Row],[P26 HWM]]-1</f>
        <v>0</v>
      </c>
      <c r="DC42" s="28">
        <f>SUMPRODUCT(INDEX(PortfolioRef[[SPY]:[PE]],MATCH(DC$1,PortfolioRef[Reference '#]),0),AssetMonthlyReturns[[#This Row],[SPY]:[PE]])</f>
        <v>1.1560459243480115E-2</v>
      </c>
      <c r="DD42" s="27">
        <f>IF(ISNUMBER(DD41),DD41*(1+PortfolioFrontier[[#This Row],[P27 Return]]),1+PortfolioFrontier[[#This Row],[P27 Return]])</f>
        <v>1.2666462237245764</v>
      </c>
      <c r="DE42" s="27">
        <f>MAX(DE41,PortfolioFrontier[[#This Row],[P27 Growth]])</f>
        <v>1.2666462237245764</v>
      </c>
      <c r="DF42" s="27">
        <f>PortfolioFrontier[[#This Row],[P27 Growth]]/PortfolioFrontier[[#This Row],[P27 HWM]]-1</f>
        <v>0</v>
      </c>
      <c r="DG42" s="28">
        <f>SUMPRODUCT(INDEX(PortfolioRef[[SPY]:[PE]],MATCH(DG$1,PortfolioRef[Reference '#]),0),AssetMonthlyReturns[[#This Row],[SPY]:[PE]])</f>
        <v>1.4055264942076753E-2</v>
      </c>
      <c r="DH42" s="27">
        <f>IF(ISNUMBER(DH41),DH41*(1+PortfolioFrontier[[#This Row],[P28 Return]]),1+PortfolioFrontier[[#This Row],[P28 Return]])</f>
        <v>1.2888514578473986</v>
      </c>
      <c r="DI42" s="27">
        <f>MAX(DI41,PortfolioFrontier[[#This Row],[P28 Growth]])</f>
        <v>1.2888514578473986</v>
      </c>
      <c r="DJ42" s="27">
        <f>PortfolioFrontier[[#This Row],[P28 Growth]]/PortfolioFrontier[[#This Row],[P28 HWM]]-1</f>
        <v>0</v>
      </c>
      <c r="DK42" s="28">
        <f>SUMPRODUCT(INDEX(PortfolioRef[[SPY]:[PE]],MATCH(DK$1,PortfolioRef[Reference '#]),0),AssetMonthlyReturns[[#This Row],[SPY]:[PE]])</f>
        <v>1.2898159223334815E-2</v>
      </c>
      <c r="DL42" s="27">
        <f>IF(ISNUMBER(DL41),DL41*(1+PortfolioFrontier[[#This Row],[P29 Return]]),1+PortfolioFrontier[[#This Row],[P29 Return]])</f>
        <v>1.2756642791562813</v>
      </c>
      <c r="DM42" s="27">
        <f>MAX(DM41,PortfolioFrontier[[#This Row],[P29 Growth]])</f>
        <v>1.2756642791562813</v>
      </c>
      <c r="DN42" s="27">
        <f>PortfolioFrontier[[#This Row],[P29 Growth]]/PortfolioFrontier[[#This Row],[P29 HWM]]-1</f>
        <v>0</v>
      </c>
      <c r="DO42" s="28">
        <f>SUMPRODUCT(INDEX(PortfolioRef[[SPY]:[PE]],MATCH(DO$1,PortfolioRef[Reference '#]),0),AssetMonthlyReturns[[#This Row],[SPY]:[PE]])</f>
        <v>1.1741053504592881E-2</v>
      </c>
      <c r="DP42" s="27">
        <f>IF(ISNUMBER(DP41),DP41*(1+PortfolioFrontier[[#This Row],[P30 Return]]),1+PortfolioFrontier[[#This Row],[P30 Return]])</f>
        <v>1.2624119689941793</v>
      </c>
      <c r="DQ42" s="27">
        <f>MAX(DQ41,PortfolioFrontier[[#This Row],[P30 Growth]])</f>
        <v>1.2624119689941793</v>
      </c>
      <c r="DR42" s="27">
        <f>PortfolioFrontier[[#This Row],[P30 Growth]]/PortfolioFrontier[[#This Row],[P30 HWM]]-1</f>
        <v>0</v>
      </c>
      <c r="DS42" s="28">
        <f>SUMPRODUCT(INDEX(PortfolioRef[[SPY]:[PE]],MATCH(DS$1,PortfolioRef[Reference '#]),0),AssetMonthlyReturns[[#This Row],[SPY]:[PE]])</f>
        <v>1.5392964921931452E-2</v>
      </c>
      <c r="DT42" s="27">
        <f>IF(ISNUMBER(DT41),DT41*(1+PortfolioFrontier[[#This Row],[P31 Return]]),1+PortfolioFrontier[[#This Row],[P31 Return]])</f>
        <v>1.2976067524610242</v>
      </c>
      <c r="DU42" s="27">
        <f>MAX(DU41,PortfolioFrontier[[#This Row],[P31 Growth]])</f>
        <v>1.2976067524610242</v>
      </c>
      <c r="DV42" s="27">
        <f>PortfolioFrontier[[#This Row],[P31 Growth]]/PortfolioFrontier[[#This Row],[P31 HWM]]-1</f>
        <v>0</v>
      </c>
      <c r="DW42" s="28">
        <f>SUMPRODUCT(INDEX(PortfolioRef[[SPY]:[PE]],MATCH(DW$1,PortfolioRef[Reference '#]),0),AssetMonthlyReturns[[#This Row],[SPY]:[PE]])</f>
        <v>1.4235859203189516E-2</v>
      </c>
      <c r="DX42" s="27">
        <f>IF(ISNUMBER(DX41),DX41*(1+PortfolioFrontier[[#This Row],[P32 Return]]),1+PortfolioFrontier[[#This Row],[P32 Return]])</f>
        <v>1.2844664827380703</v>
      </c>
      <c r="DY42" s="27">
        <f>MAX(DY41,PortfolioFrontier[[#This Row],[P32 Growth]])</f>
        <v>1.2844664827380703</v>
      </c>
      <c r="DZ42" s="27">
        <f>PortfolioFrontier[[#This Row],[P32 Growth]]/PortfolioFrontier[[#This Row],[P32 HWM]]-1</f>
        <v>0</v>
      </c>
      <c r="EA42" s="28">
        <f>SUMPRODUCT(INDEX(PortfolioRef[[SPY]:[PE]],MATCH(EA$1,PortfolioRef[Reference '#]),0),AssetMonthlyReturns[[#This Row],[SPY]:[PE]])</f>
        <v>1.307875348444758E-2</v>
      </c>
      <c r="EB42" s="27">
        <f>IF(ISNUMBER(EB41),EB41*(1+PortfolioFrontier[[#This Row],[P33 Return]]),1+PortfolioFrontier[[#This Row],[P33 Return]])</f>
        <v>1.2712578908420973</v>
      </c>
      <c r="EC42" s="27">
        <f>MAX(EC41,PortfolioFrontier[[#This Row],[P33 Growth]])</f>
        <v>1.2712578908420973</v>
      </c>
      <c r="ED42" s="27">
        <f>PortfolioFrontier[[#This Row],[P33 Growth]]/PortfolioFrontier[[#This Row],[P33 HWM]]-1</f>
        <v>0</v>
      </c>
      <c r="EE42" s="28">
        <f>SUMPRODUCT(INDEX(PortfolioRef[[SPY]:[PE]],MATCH(EE$1,PortfolioRef[Reference '#]),0),AssetMonthlyReturns[[#This Row],[SPY]:[PE]])</f>
        <v>1.0747869799287102E-2</v>
      </c>
      <c r="EF42" s="27">
        <f>IF(ISNUMBER(EF41),EF41*(1+PortfolioFrontier[[#This Row],[P34 Return]]),1+PortfolioFrontier[[#This Row],[P34 Return]])</f>
        <v>1.2490556651913265</v>
      </c>
      <c r="EG42" s="27">
        <f>MAX(EG41,PortfolioFrontier[[#This Row],[P34 Growth]])</f>
        <v>1.2490556651913265</v>
      </c>
      <c r="EH42" s="27">
        <f>PortfolioFrontier[[#This Row],[P34 Growth]]/PortfolioFrontier[[#This Row],[P34 HWM]]-1</f>
        <v>0</v>
      </c>
      <c r="EI42" s="28">
        <f>SUMPRODUCT(INDEX(PortfolioRef[[SPY]:[PE]],MATCH(EI$1,PortfolioRef[Reference '#]),0),AssetMonthlyReturns[[#This Row],[SPY]:[PE]])</f>
        <v>1.0656093616847308E-2</v>
      </c>
      <c r="EJ42" s="27">
        <f>IF(ISNUMBER(EJ41),EJ41*(1+PortfolioFrontier[[#This Row],[P35 Return]]),1+PortfolioFrontier[[#This Row],[P35 Return]])</f>
        <v>1.2491175971806037</v>
      </c>
      <c r="EK42" s="27">
        <f>MAX(EK41,PortfolioFrontier[[#This Row],[P35 Growth]])</f>
        <v>1.2491175971806037</v>
      </c>
      <c r="EL42" s="27">
        <f>PortfolioFrontier[[#This Row],[P35 Growth]]/PortfolioFrontier[[#This Row],[P35 HWM]]-1</f>
        <v>0</v>
      </c>
      <c r="EM42" s="28">
        <f>SUMPRODUCT(INDEX(PortfolioRef[[SPY]:[PE]],MATCH(EM$1,PortfolioRef[Reference '#]),0),AssetMonthlyReturns[[#This Row],[SPY]:[PE]])</f>
        <v>1.1993793596702006E-2</v>
      </c>
      <c r="EN42" s="27">
        <f>IF(ISNUMBER(EN41),EN41*(1+PortfolioFrontier[[#This Row],[P36 Return]]),1+PortfolioFrontier[[#This Row],[P36 Return]])</f>
        <v>1.2580474354464324</v>
      </c>
      <c r="EO42" s="27">
        <f>MAX(EO41,PortfolioFrontier[[#This Row],[P36 Growth]])</f>
        <v>1.2580474354464324</v>
      </c>
      <c r="EP42" s="27">
        <f>PortfolioFrontier[[#This Row],[P36 Growth]]/PortfolioFrontier[[#This Row],[P36 HWM]]-1</f>
        <v>0</v>
      </c>
      <c r="EQ42" s="28">
        <f>SUMPRODUCT(INDEX(PortfolioRef[[SPY]:[PE]],MATCH(EQ$1,PortfolioRef[Reference '#]),0),AssetMonthlyReturns[[#This Row],[SPY]:[PE]])</f>
        <v>1.083668787796007E-2</v>
      </c>
      <c r="ER42" s="27">
        <f>IF(ISNUMBER(ER41),ER41*(1+PortfolioFrontier[[#This Row],[P37 Return]]),1+PortfolioFrontier[[#This Row],[P37 Return]])</f>
        <v>1.2449375274235701</v>
      </c>
      <c r="ES42" s="27">
        <f>MAX(ES41,PortfolioFrontier[[#This Row],[P37 Growth]])</f>
        <v>1.2449375274235701</v>
      </c>
      <c r="ET42" s="27">
        <f>PortfolioFrontier[[#This Row],[P37 Growth]]/PortfolioFrontier[[#This Row],[P37 HWM]]-1</f>
        <v>0</v>
      </c>
      <c r="EU42" s="28">
        <f>SUMPRODUCT(INDEX(PortfolioRef[[SPY]:[PE]],MATCH(EU$1,PortfolioRef[Reference '#]),0),AssetMonthlyReturns[[#This Row],[SPY]:[PE]])</f>
        <v>1.0564317434407512E-2</v>
      </c>
      <c r="EV42" s="27">
        <f>IF(ISNUMBER(EV41),EV41*(1+PortfolioFrontier[[#This Row],[P38 Return]]),1+PortfolioFrontier[[#This Row],[P38 Return]])</f>
        <v>1.2490783765096292</v>
      </c>
      <c r="EW42" s="27">
        <f>MAX(EW41,PortfolioFrontier[[#This Row],[P38 Growth]])</f>
        <v>1.2490783765096292</v>
      </c>
      <c r="EX42" s="27">
        <f>PortfolioFrontier[[#This Row],[P38 Growth]]/PortfolioFrontier[[#This Row],[P38 HWM]]-1</f>
        <v>0</v>
      </c>
      <c r="EY42" s="28">
        <f>SUMPRODUCT(INDEX(PortfolioRef[[SPY]:[PE]],MATCH(EY$1,PortfolioRef[Reference '#]),0),AssetMonthlyReturns[[#This Row],[SPY]:[PE]])</f>
        <v>1.1902017414262212E-2</v>
      </c>
      <c r="EZ42" s="27">
        <f>IF(ISNUMBER(EZ41),EZ41*(1+PortfolioFrontier[[#This Row],[P39 Return]]),1+PortfolioFrontier[[#This Row],[P39 Return]])</f>
        <v>1.2581151191158628</v>
      </c>
      <c r="FA42" s="27">
        <f>MAX(FA41,PortfolioFrontier[[#This Row],[P39 Growth]])</f>
        <v>1.2581151191158628</v>
      </c>
      <c r="FB42" s="27">
        <f>PortfolioFrontier[[#This Row],[P39 Growth]]/PortfolioFrontier[[#This Row],[P39 HWM]]-1</f>
        <v>0</v>
      </c>
      <c r="FC42" s="28">
        <f>SUMPRODUCT(INDEX(PortfolioRef[[SPY]:[PE]],MATCH(FC$1,PortfolioRef[Reference '#]),0),AssetMonthlyReturns[[#This Row],[SPY]:[PE]])</f>
        <v>1.0744911695520276E-2</v>
      </c>
      <c r="FD42" s="27">
        <f>IF(ISNUMBER(FD41),FD41*(1+PortfolioFrontier[[#This Row],[P40 Return]]),1+PortfolioFrontier[[#This Row],[P40 Return]])</f>
        <v>1.2450236174838203</v>
      </c>
      <c r="FE42" s="27">
        <f>MAX(FE41,PortfolioFrontier[[#This Row],[P40 Growth]])</f>
        <v>1.2450236174838203</v>
      </c>
      <c r="FF42" s="27">
        <f>PortfolioFrontier[[#This Row],[P40 Growth]]/PortfolioFrontier[[#This Row],[P40 HWM]]-1</f>
        <v>0</v>
      </c>
      <c r="FG42" s="28">
        <f>SUMPRODUCT(INDEX(PortfolioRef[[SPY]:[PE]],MATCH(FG$1,PortfolioRef[Reference '#]),0),AssetMonthlyReturns[[#This Row],[SPY]:[PE]])</f>
        <v>1.3239717394116914E-2</v>
      </c>
      <c r="FH42" s="27">
        <f>IF(ISNUMBER(FH41),FH41*(1+PortfolioFrontier[[#This Row],[P41 Return]]),1+PortfolioFrontier[[#This Row],[P41 Return]])</f>
        <v>1.2669415347265323</v>
      </c>
      <c r="FI42" s="27">
        <f>MAX(FI41,PortfolioFrontier[[#This Row],[P41 Growth]])</f>
        <v>1.2669415347265323</v>
      </c>
      <c r="FJ42" s="27">
        <f>PortfolioFrontier[[#This Row],[P41 Growth]]/PortfolioFrontier[[#This Row],[P41 HWM]]-1</f>
        <v>0</v>
      </c>
      <c r="FK42" s="28">
        <f>SUMPRODUCT(INDEX(PortfolioRef[[SPY]:[PE]],MATCH(FK$1,PortfolioRef[Reference '#]),0),AssetMonthlyReturns[[#This Row],[SPY]:[PE]])</f>
        <v>1.2082611675374975E-2</v>
      </c>
      <c r="FL42" s="27">
        <f>IF(ISNUMBER(FL41),FL41*(1+PortfolioFrontier[[#This Row],[P42 Return]]),1+PortfolioFrontier[[#This Row],[P42 Return]])</f>
        <v>1.2538911878080052</v>
      </c>
      <c r="FM42" s="27">
        <f>MAX(FM41,PortfolioFrontier[[#This Row],[P42 Growth]])</f>
        <v>1.2538911878080052</v>
      </c>
      <c r="FN42" s="27">
        <f>PortfolioFrontier[[#This Row],[P42 Growth]]/PortfolioFrontier[[#This Row],[P42 HWM]]-1</f>
        <v>0</v>
      </c>
      <c r="FO42" s="28">
        <f>SUMPRODUCT(INDEX(PortfolioRef[[SPY]:[PE]],MATCH(FO$1,PortfolioRef[Reference '#]),0),AssetMonthlyReturns[[#This Row],[SPY]:[PE]])</f>
        <v>1.092550595663304E-2</v>
      </c>
      <c r="FP42" s="27">
        <f>IF(ISNUMBER(FP41),FP41*(1+PortfolioFrontier[[#This Row],[P43 Return]]),1+PortfolioFrontier[[#This Row],[P43 Return]])</f>
        <v>1.2407784961649064</v>
      </c>
      <c r="FQ42" s="27">
        <f>MAX(FQ41,PortfolioFrontier[[#This Row],[P43 Growth]])</f>
        <v>1.2407784961649064</v>
      </c>
      <c r="FR42" s="27">
        <f>PortfolioFrontier[[#This Row],[P43 Growth]]/PortfolioFrontier[[#This Row],[P43 HWM]]-1</f>
        <v>0</v>
      </c>
      <c r="FS42" s="28">
        <f>SUMPRODUCT(INDEX(PortfolioRef[[SPY]:[PE]],MATCH(FS$1,PortfolioRef[Reference '#]),0),AssetMonthlyReturns[[#This Row],[SPY]:[PE]])</f>
        <v>1.1810241231822416E-2</v>
      </c>
      <c r="FT42" s="27">
        <f>IF(ISNUMBER(FT41),FT41*(1+PortfolioFrontier[[#This Row],[P44 Return]]),1+PortfolioFrontier[[#This Row],[P44 Return]])</f>
        <v>1.2580810010211592</v>
      </c>
      <c r="FU42" s="27">
        <f>MAX(FU41,PortfolioFrontier[[#This Row],[P44 Growth]])</f>
        <v>1.2580810010211592</v>
      </c>
      <c r="FV42" s="27">
        <f>PortfolioFrontier[[#This Row],[P44 Growth]]/PortfolioFrontier[[#This Row],[P44 HWM]]-1</f>
        <v>0</v>
      </c>
      <c r="FW42" s="28">
        <f>SUMPRODUCT(INDEX(PortfolioRef[[SPY]:[PE]],MATCH(FW$1,PortfolioRef[Reference '#]),0),AssetMonthlyReturns[[#This Row],[SPY]:[PE]])</f>
        <v>1.065313551308048E-2</v>
      </c>
      <c r="FX42" s="27">
        <f>IF(ISNUMBER(FX41),FX41*(1+PortfolioFrontier[[#This Row],[P45 Return]]),1+PortfolioFrontier[[#This Row],[P45 Return]])</f>
        <v>1.2450088650122653</v>
      </c>
      <c r="FY42" s="27">
        <f>MAX(FY41,PortfolioFrontier[[#This Row],[P45 Growth]])</f>
        <v>1.2450088650122653</v>
      </c>
      <c r="FZ42" s="27">
        <f>PortfolioFrontier[[#This Row],[P45 Growth]]/PortfolioFrontier[[#This Row],[P45 HWM]]-1</f>
        <v>0</v>
      </c>
      <c r="GA42" s="28">
        <f>SUMPRODUCT(INDEX(PortfolioRef[[SPY]:[PE]],MATCH(GA$1,PortfolioRef[Reference '#]),0),AssetMonthlyReturns[[#This Row],[SPY]:[PE]])</f>
        <v>1.3147941211677117E-2</v>
      </c>
      <c r="GB42" s="27">
        <f>IF(ISNUMBER(GB41),GB41*(1+PortfolioFrontier[[#This Row],[P46 Return]]),1+PortfolioFrontier[[#This Row],[P46 Return]])</f>
        <v>1.2670152092751181</v>
      </c>
      <c r="GC42" s="27">
        <f>MAX(GC41,PortfolioFrontier[[#This Row],[P46 Growth]])</f>
        <v>1.2670152092751181</v>
      </c>
      <c r="GD42" s="27">
        <f>PortfolioFrontier[[#This Row],[P46 Growth]]/PortfolioFrontier[[#This Row],[P46 HWM]]-1</f>
        <v>0</v>
      </c>
      <c r="GE42" s="28">
        <f>SUMPRODUCT(INDEX(PortfolioRef[[SPY]:[PE]],MATCH(GE$1,PortfolioRef[Reference '#]),0),AssetMonthlyReturns[[#This Row],[SPY]:[PE]])</f>
        <v>1.1990835492935181E-2</v>
      </c>
      <c r="GF42" s="27">
        <f>IF(ISNUMBER(GF41),GF41*(1+PortfolioFrontier[[#This Row],[P47 Return]]),1+PortfolioFrontier[[#This Row],[P47 Return]])</f>
        <v>1.2539832338745056</v>
      </c>
      <c r="GG42" s="27">
        <f>MAX(GG41,PortfolioFrontier[[#This Row],[P47 Growth]])</f>
        <v>1.2539832338745056</v>
      </c>
      <c r="GH42" s="27">
        <f>PortfolioFrontier[[#This Row],[P47 Growth]]/PortfolioFrontier[[#This Row],[P47 HWM]]-1</f>
        <v>0</v>
      </c>
      <c r="GI42" s="28">
        <f>SUMPRODUCT(INDEX(PortfolioRef[[SPY]:[PE]],MATCH(GI$1,PortfolioRef[Reference '#]),0),AssetMonthlyReturns[[#This Row],[SPY]:[PE]])</f>
        <v>1.0833729774193246E-2</v>
      </c>
      <c r="GJ42" s="27">
        <f>IF(ISNUMBER(GJ41),GJ41*(1+PortfolioFrontier[[#This Row],[P48 Return]]),1+PortfolioFrontier[[#This Row],[P48 Return]])</f>
        <v>1.2408885630089328</v>
      </c>
      <c r="GK42" s="27">
        <f>MAX(GK41,PortfolioFrontier[[#This Row],[P48 Growth]])</f>
        <v>1.2408885630089328</v>
      </c>
      <c r="GL42" s="27">
        <f>PortfolioFrontier[[#This Row],[P48 Growth]]/PortfolioFrontier[[#This Row],[P48 HWM]]-1</f>
        <v>0</v>
      </c>
      <c r="GM42" s="28">
        <f>SUMPRODUCT(INDEX(PortfolioRef[[SPY]:[PE]],MATCH(GM$1,PortfolioRef[Reference '#]),0),AssetMonthlyReturns[[#This Row],[SPY]:[PE]])</f>
        <v>1.4485641191531819E-2</v>
      </c>
      <c r="GN42" s="27">
        <f>IF(ISNUMBER(GN41),GN41*(1+PortfolioFrontier[[#This Row],[P49 Return]]),1+PortfolioFrontier[[#This Row],[P49 Return]])</f>
        <v>1.2757349035785037</v>
      </c>
      <c r="GO42" s="27">
        <f>MAX(GO41,PortfolioFrontier[[#This Row],[P49 Growth]])</f>
        <v>1.2757349035785037</v>
      </c>
      <c r="GP42" s="27">
        <f>PortfolioFrontier[[#This Row],[P49 Growth]]/PortfolioFrontier[[#This Row],[P49 HWM]]-1</f>
        <v>0</v>
      </c>
      <c r="GQ42" s="28">
        <f>SUMPRODUCT(INDEX(PortfolioRef[[SPY]:[PE]],MATCH(GQ$1,PortfolioRef[Reference '#]),0),AssetMonthlyReturns[[#This Row],[SPY]:[PE]])</f>
        <v>1.3328535472789883E-2</v>
      </c>
      <c r="GR42" s="27">
        <f>IF(ISNUMBER(GR41),GR41*(1+PortfolioFrontier[[#This Row],[P50 Return]]),1+PortfolioFrontier[[#This Row],[P50 Return]])</f>
        <v>1.2627472522232208</v>
      </c>
      <c r="GS42" s="27">
        <f>MAX(GS41,PortfolioFrontier[[#This Row],[P50 Growth]])</f>
        <v>1.2627472522232208</v>
      </c>
      <c r="GT42" s="27">
        <f>PortfolioFrontier[[#This Row],[P50 Growth]]/PortfolioFrontier[[#This Row],[P50 HWM]]-1</f>
        <v>0</v>
      </c>
      <c r="GU42" s="28">
        <f>SUMPRODUCT(INDEX(PortfolioRef[[SPY]:[PE]],MATCH(GU$1,PortfolioRef[Reference '#]),0),AssetMonthlyReturns[[#This Row],[SPY]:[PE]])</f>
        <v>1.2171429754047945E-2</v>
      </c>
      <c r="GV42" s="27">
        <f>IF(ISNUMBER(GV41),GV41*(1+PortfolioFrontier[[#This Row],[P51 Return]]),1+PortfolioFrontier[[#This Row],[P51 Return]])</f>
        <v>1.2496937706770876</v>
      </c>
      <c r="GW42" s="27">
        <f>MAX(GW41,PortfolioFrontier[[#This Row],[P51 Growth]])</f>
        <v>1.2496937706770876</v>
      </c>
      <c r="GX42" s="27">
        <f>PortfolioFrontier[[#This Row],[P51 Growth]]/PortfolioFrontier[[#This Row],[P51 HWM]]-1</f>
        <v>0</v>
      </c>
      <c r="GY42" s="28">
        <f>SUMPRODUCT(INDEX(PortfolioRef[[SPY]:[PE]],MATCH(GY$1,PortfolioRef[Reference '#]),0),AssetMonthlyReturns[[#This Row],[SPY]:[PE]])</f>
        <v>1.3056165029237322E-2</v>
      </c>
      <c r="GZ42" s="27">
        <f>IF(ISNUMBER(GZ41),GZ41*(1+PortfolioFrontier[[#This Row],[P52 Return]]),1+PortfolioFrontier[[#This Row],[P52 Return]])</f>
        <v>1.2669864405129343</v>
      </c>
      <c r="HA42" s="27">
        <f>MAX(HA41,PortfolioFrontier[[#This Row],[P52 Growth]])</f>
        <v>1.2669864405129343</v>
      </c>
      <c r="HB42" s="27">
        <f>PortfolioFrontier[[#This Row],[P52 Growth]]/PortfolioFrontier[[#This Row],[P52 HWM]]-1</f>
        <v>0</v>
      </c>
      <c r="HC42" s="28">
        <f>SUMPRODUCT(INDEX(PortfolioRef[[SPY]:[PE]],MATCH(HC$1,PortfolioRef[Reference '#]),0),AssetMonthlyReturns[[#This Row],[SPY]:[PE]])</f>
        <v>1.1899059310495385E-2</v>
      </c>
      <c r="HD42" s="27">
        <f>IF(ISNUMBER(HD41),HD41*(1+PortfolioFrontier[[#This Row],[P53 Return]]),1+PortfolioFrontier[[#This Row],[P53 Return]])</f>
        <v>1.2539737911862754</v>
      </c>
      <c r="HE42" s="27">
        <f>MAX(HE41,PortfolioFrontier[[#This Row],[P53 Growth]])</f>
        <v>1.2539737911862754</v>
      </c>
      <c r="HF42" s="27">
        <f>PortfolioFrontier[[#This Row],[P53 Growth]]/PortfolioFrontier[[#This Row],[P53 HWM]]-1</f>
        <v>0</v>
      </c>
      <c r="HG42" s="28">
        <f>SUMPRODUCT(INDEX(PortfolioRef[[SPY]:[PE]],MATCH(HG$1,PortfolioRef[Reference '#]),0),AssetMonthlyReturns[[#This Row],[SPY]:[PE]])</f>
        <v>1.074195359175345E-2</v>
      </c>
      <c r="HH42" s="27">
        <f>IF(ISNUMBER(HH41),HH41*(1+PortfolioFrontier[[#This Row],[P54 Return]]),1+PortfolioFrontier[[#This Row],[P54 Return]])</f>
        <v>1.2408981012656766</v>
      </c>
      <c r="HI42" s="27">
        <f>MAX(HI41,PortfolioFrontier[[#This Row],[P54 Growth]])</f>
        <v>1.2408981012656766</v>
      </c>
      <c r="HJ42" s="27">
        <f>PortfolioFrontier[[#This Row],[P54 Growth]]/PortfolioFrontier[[#This Row],[P54 HWM]]-1</f>
        <v>0</v>
      </c>
      <c r="HK42" s="28">
        <f>SUMPRODUCT(INDEX(PortfolioRef[[SPY]:[PE]],MATCH(HK$1,PortfolioRef[Reference '#]),0),AssetMonthlyReturns[[#This Row],[SPY]:[PE]])</f>
        <v>1.4393865009092021E-2</v>
      </c>
      <c r="HL42" s="27">
        <f>IF(ISNUMBER(HL41),HL41*(1+PortfolioFrontier[[#This Row],[P55 Return]]),1+PortfolioFrontier[[#This Row],[P55 Return]])</f>
        <v>1.2758148111450691</v>
      </c>
      <c r="HM42" s="27">
        <f>MAX(HM41,PortfolioFrontier[[#This Row],[P55 Growth]])</f>
        <v>1.2758148111450691</v>
      </c>
      <c r="HN42" s="27">
        <f>PortfolioFrontier[[#This Row],[P55 Growth]]/PortfolioFrontier[[#This Row],[P55 HWM]]-1</f>
        <v>0</v>
      </c>
      <c r="HO42" s="28">
        <f>SUMPRODUCT(INDEX(PortfolioRef[[SPY]:[PE]],MATCH(HO$1,PortfolioRef[Reference '#]),0),AssetMonthlyReturns[[#This Row],[SPY]:[PE]])</f>
        <v>1.3236759290350085E-2</v>
      </c>
      <c r="HP42" s="27">
        <f>IF(ISNUMBER(HP41),HP41*(1+PortfolioFrontier[[#This Row],[P56 Return]]),1+PortfolioFrontier[[#This Row],[P56 Return]])</f>
        <v>1.2628454924217494</v>
      </c>
      <c r="HQ42" s="27">
        <f>MAX(HQ41,PortfolioFrontier[[#This Row],[P56 Growth]])</f>
        <v>1.2628454924217494</v>
      </c>
      <c r="HR42" s="27">
        <f>PortfolioFrontier[[#This Row],[P56 Growth]]/PortfolioFrontier[[#This Row],[P56 HWM]]-1</f>
        <v>0</v>
      </c>
      <c r="HS42" s="28">
        <f>SUMPRODUCT(INDEX(PortfolioRef[[SPY]:[PE]],MATCH(HS$1,PortfolioRef[Reference '#]),0),AssetMonthlyReturns[[#This Row],[SPY]:[PE]])</f>
        <v>1.2079653571608151E-2</v>
      </c>
      <c r="HT42" s="27">
        <f>IF(ISNUMBER(HT41),HT41*(1+PortfolioFrontier[[#This Row],[P57 Return]]),1+PortfolioFrontier[[#This Row],[P57 Return]])</f>
        <v>1.2498099959004567</v>
      </c>
      <c r="HU42" s="27">
        <f>MAX(HU41,PortfolioFrontier[[#This Row],[P57 Growth]])</f>
        <v>1.2498099959004567</v>
      </c>
      <c r="HV42" s="27">
        <f>PortfolioFrontier[[#This Row],[P57 Growth]]/PortfolioFrontier[[#This Row],[P57 HWM]]-1</f>
        <v>0</v>
      </c>
      <c r="HW42" s="28">
        <f>SUMPRODUCT(INDEX(PortfolioRef[[SPY]:[PE]],MATCH(HW$1,PortfolioRef[Reference '#]),0),AssetMonthlyReturns[[#This Row],[SPY]:[PE]])</f>
        <v>1.5731564988946723E-2</v>
      </c>
      <c r="HX42" s="27">
        <f>IF(ISNUMBER(HX41),HX41*(1+PortfolioFrontier[[#This Row],[P58 Return]]),1+PortfolioFrontier[[#This Row],[P58 Return]])</f>
        <v>1.2844244802388021</v>
      </c>
      <c r="HY42" s="27">
        <f>MAX(HY41,PortfolioFrontier[[#This Row],[P58 Growth]])</f>
        <v>1.2844244802388021</v>
      </c>
      <c r="HZ42" s="27">
        <f>PortfolioFrontier[[#This Row],[P58 Growth]]/PortfolioFrontier[[#This Row],[P58 HWM]]-1</f>
        <v>0</v>
      </c>
      <c r="IA42" s="28">
        <f>SUMPRODUCT(INDEX(PortfolioRef[[SPY]:[PE]],MATCH(IA$1,PortfolioRef[Reference '#]),0),AssetMonthlyReturns[[#This Row],[SPY]:[PE]])</f>
        <v>1.4574459270204787E-2</v>
      </c>
      <c r="IB42" s="27">
        <f>IF(ISNUMBER(IB41),IB41*(1+PortfolioFrontier[[#This Row],[P59 Return]]),1+PortfolioFrontier[[#This Row],[P59 Return]])</f>
        <v>1.2715026682460264</v>
      </c>
      <c r="IC42" s="27">
        <f>MAX(IC41,PortfolioFrontier[[#This Row],[P59 Growth]])</f>
        <v>1.2715026682460264</v>
      </c>
      <c r="ID42" s="27">
        <f>PortfolioFrontier[[#This Row],[P59 Growth]]/PortfolioFrontier[[#This Row],[P59 HWM]]-1</f>
        <v>0</v>
      </c>
      <c r="IE42" s="28">
        <f>SUMPRODUCT(INDEX(PortfolioRef[[SPY]:[PE]],MATCH(IE$1,PortfolioRef[Reference '#]),0),AssetMonthlyReturns[[#This Row],[SPY]:[PE]])</f>
        <v>1.3417353551462853E-2</v>
      </c>
      <c r="IF42" s="27">
        <f>IF(ISNUMBER(IF41),IF41*(1+PortfolioFrontier[[#This Row],[P60 Return]]),1+PortfolioFrontier[[#This Row],[P60 Return]])</f>
        <v>1.2585115270834855</v>
      </c>
      <c r="IG42" s="27">
        <f>MAX(IG41,PortfolioFrontier[[#This Row],[P60 Growth]])</f>
        <v>1.2585115270834855</v>
      </c>
      <c r="IH42" s="27">
        <f>PortfolioFrontier[[#This Row],[P60 Growth]]/PortfolioFrontier[[#This Row],[P60 HWM]]-1</f>
        <v>0</v>
      </c>
      <c r="II42" s="28">
        <f>SUMPRODUCT(INDEX(PortfolioRef[[SPY]:[PE]],MATCH(II$1,PortfolioRef[Reference '#]),0),AssetMonthlyReturns[[#This Row],[SPY]:[PE]])</f>
        <v>9.840546068887469E-3</v>
      </c>
      <c r="IJ42" s="27">
        <f>IF(ISNUMBER(IJ41),IJ41*(1+PortfolioFrontier[[#This Row],[P61 Return]]),1+PortfolioFrontier[[#This Row],[P61 Return]])</f>
        <v>1.227545247381832</v>
      </c>
      <c r="IK42" s="27">
        <f>MAX(IK41,PortfolioFrontier[[#This Row],[P61 Growth]])</f>
        <v>1.227545247381832</v>
      </c>
      <c r="IL42" s="27">
        <f>PortfolioFrontier[[#This Row],[P61 Growth]]/PortfolioFrontier[[#This Row],[P61 HWM]]-1</f>
        <v>0</v>
      </c>
      <c r="IM42" s="28">
        <f>SUMPRODUCT(INDEX(PortfolioRef[[SPY]:[PE]],MATCH(IM$1,PortfolioRef[Reference '#]),0),AssetMonthlyReturns[[#This Row],[SPY]:[PE]])</f>
        <v>9.7487698864476731E-3</v>
      </c>
      <c r="IN42" s="27">
        <f>IF(ISNUMBER(IN41),IN41*(1+PortfolioFrontier[[#This Row],[P62 Return]]),1+PortfolioFrontier[[#This Row],[P62 Return]])</f>
        <v>1.2275930255569889</v>
      </c>
      <c r="IO42" s="27">
        <f>MAX(IO41,PortfolioFrontier[[#This Row],[P62 Growth]])</f>
        <v>1.2275930255569889</v>
      </c>
      <c r="IP42" s="27">
        <f>PortfolioFrontier[[#This Row],[P62 Growth]]/PortfolioFrontier[[#This Row],[P62 HWM]]-1</f>
        <v>0</v>
      </c>
      <c r="IQ42" s="28">
        <f>SUMPRODUCT(INDEX(PortfolioRef[[SPY]:[PE]],MATCH(IQ$1,PortfolioRef[Reference '#]),0),AssetMonthlyReturns[[#This Row],[SPY]:[PE]])</f>
        <v>1.1086469866302373E-2</v>
      </c>
      <c r="IR42" s="27">
        <f>IF(ISNUMBER(IR41),IR41*(1+PortfolioFrontier[[#This Row],[P63 Return]]),1+PortfolioFrontier[[#This Row],[P63 Return]])</f>
        <v>1.2364770778475718</v>
      </c>
      <c r="IS42" s="27">
        <f>MAX(IS41,PortfolioFrontier[[#This Row],[P63 Growth]])</f>
        <v>1.2364770778475718</v>
      </c>
      <c r="IT42" s="27">
        <f>PortfolioFrontier[[#This Row],[P63 Growth]]/PortfolioFrontier[[#This Row],[P63 HWM]]-1</f>
        <v>0</v>
      </c>
      <c r="IU42" s="28">
        <f>SUMPRODUCT(INDEX(PortfolioRef[[SPY]:[PE]],MATCH(IU$1,PortfolioRef[Reference '#]),0),AssetMonthlyReturns[[#This Row],[SPY]:[PE]])</f>
        <v>9.9293641475604374E-3</v>
      </c>
      <c r="IV42" s="27">
        <f>IF(ISNUMBER(IV41),IV41*(1+PortfolioFrontier[[#This Row],[P64 Return]]),1+PortfolioFrontier[[#This Row],[P64 Return]])</f>
        <v>1.2235255058818795</v>
      </c>
      <c r="IW42" s="27">
        <f>MAX(IW41,PortfolioFrontier[[#This Row],[P64 Growth]])</f>
        <v>1.2235255058818795</v>
      </c>
      <c r="IX42" s="27">
        <f>PortfolioFrontier[[#This Row],[P64 Growth]]/PortfolioFrontier[[#This Row],[P64 HWM]]-1</f>
        <v>0</v>
      </c>
      <c r="IY42" s="28">
        <f>SUMPRODUCT(INDEX(PortfolioRef[[SPY]:[PE]],MATCH(IY$1,PortfolioRef[Reference '#]),0),AssetMonthlyReturns[[#This Row],[SPY]:[PE]])</f>
        <v>9.6569937040078789E-3</v>
      </c>
      <c r="IZ42" s="27">
        <f>IF(ISNUMBER(IZ41),IZ41*(1+PortfolioFrontier[[#This Row],[P65 Return]]),1+PortfolioFrontier[[#This Row],[P65 Return]])</f>
        <v>1.2275412350732859</v>
      </c>
      <c r="JA42" s="27">
        <f>MAX(JA41,PortfolioFrontier[[#This Row],[P65 Growth]])</f>
        <v>1.2275412350732859</v>
      </c>
      <c r="JB42" s="27">
        <f>PortfolioFrontier[[#This Row],[P65 Growth]]/PortfolioFrontier[[#This Row],[P65 HWM]]-1</f>
        <v>0</v>
      </c>
      <c r="JC42" s="28">
        <f>SUMPRODUCT(INDEX(PortfolioRef[[SPY]:[PE]],MATCH(JC$1,PortfolioRef[Reference '#]),0),AssetMonthlyReturns[[#This Row],[SPY]:[PE]])</f>
        <v>1.0994693683862578E-2</v>
      </c>
      <c r="JD42" s="27">
        <f>IF(ISNUMBER(JD41),JD41*(1+PortfolioFrontier[[#This Row],[P66 Return]]),1+PortfolioFrontier[[#This Row],[P66 Return]])</f>
        <v>1.2365303052911756</v>
      </c>
      <c r="JE42" s="27">
        <f>MAX(JE41,PortfolioFrontier[[#This Row],[P66 Growth]])</f>
        <v>1.2365303052911756</v>
      </c>
      <c r="JF42" s="27">
        <f>PortfolioFrontier[[#This Row],[P66 Growth]]/PortfolioFrontier[[#This Row],[P66 HWM]]-1</f>
        <v>0</v>
      </c>
      <c r="JG42" s="28">
        <f>SUMPRODUCT(INDEX(PortfolioRef[[SPY]:[PE]],MATCH(JG$1,PortfolioRef[Reference '#]),0),AssetMonthlyReturns[[#This Row],[SPY]:[PE]])</f>
        <v>9.8375879651206415E-3</v>
      </c>
      <c r="JH42" s="27">
        <f>IF(ISNUMBER(JH41),JH41*(1+PortfolioFrontier[[#This Row],[P67 Return]]),1+PortfolioFrontier[[#This Row],[P67 Return]])</f>
        <v>1.2235970594050558</v>
      </c>
      <c r="JI42" s="27">
        <f>MAX(JI41,PortfolioFrontier[[#This Row],[P67 Growth]])</f>
        <v>1.2235970594050558</v>
      </c>
      <c r="JJ42" s="27">
        <f>PortfolioFrontier[[#This Row],[P67 Growth]]/PortfolioFrontier[[#This Row],[P67 HWM]]-1</f>
        <v>0</v>
      </c>
      <c r="JK42" s="28">
        <f>SUMPRODUCT(INDEX(PortfolioRef[[SPY]:[PE]],MATCH(JK$1,PortfolioRef[Reference '#]),0),AssetMonthlyReturns[[#This Row],[SPY]:[PE]])</f>
        <v>1.233239366371728E-2</v>
      </c>
      <c r="JL42" s="27">
        <f>IF(ISNUMBER(JL41),JL41*(1+PortfolioFrontier[[#This Row],[P68 Return]]),1+PortfolioFrontier[[#This Row],[P68 Return]])</f>
        <v>1.2453144551920725</v>
      </c>
      <c r="JM42" s="27">
        <f>MAX(JM41,PortfolioFrontier[[#This Row],[P68 Growth]])</f>
        <v>1.2453144551920725</v>
      </c>
      <c r="JN42" s="27">
        <f>PortfolioFrontier[[#This Row],[P68 Growth]]/PortfolioFrontier[[#This Row],[P68 HWM]]-1</f>
        <v>0</v>
      </c>
      <c r="JO42" s="28">
        <f>SUMPRODUCT(INDEX(PortfolioRef[[SPY]:[PE]],MATCH(JO$1,PortfolioRef[Reference '#]),0),AssetMonthlyReturns[[#This Row],[SPY]:[PE]])</f>
        <v>1.1175287944975342E-2</v>
      </c>
      <c r="JP42" s="27">
        <f>IF(ISNUMBER(JP41),JP41*(1+PortfolioFrontier[[#This Row],[P69 Return]]),1+PortfolioFrontier[[#This Row],[P69 Return]])</f>
        <v>1.2324199089301482</v>
      </c>
      <c r="JQ42" s="27">
        <f>MAX(JQ41,PortfolioFrontier[[#This Row],[P69 Growth]])</f>
        <v>1.2324199089301482</v>
      </c>
      <c r="JR42" s="27">
        <f>PortfolioFrontier[[#This Row],[P69 Growth]]/PortfolioFrontier[[#This Row],[P69 HWM]]-1</f>
        <v>0</v>
      </c>
      <c r="JS42" s="28">
        <f>SUMPRODUCT(INDEX(PortfolioRef[[SPY]:[PE]],MATCH(JS$1,PortfolioRef[Reference '#]),0),AssetMonthlyReturns[[#This Row],[SPY]:[PE]])</f>
        <v>1.0018182226233407E-2</v>
      </c>
      <c r="JT42" s="27">
        <f>IF(ISNUMBER(JT41),JT41*(1+PortfolioFrontier[[#This Row],[P70 Return]]),1+PortfolioFrontier[[#This Row],[P70 Return]])</f>
        <v>1.2194653921452807</v>
      </c>
      <c r="JU42" s="27">
        <f>MAX(JU41,PortfolioFrontier[[#This Row],[P70 Growth]])</f>
        <v>1.2194653921452807</v>
      </c>
      <c r="JV42" s="27">
        <f>PortfolioFrontier[[#This Row],[P70 Growth]]/PortfolioFrontier[[#This Row],[P70 HWM]]-1</f>
        <v>0</v>
      </c>
      <c r="JW42" s="28">
        <f>SUMPRODUCT(INDEX(PortfolioRef[[SPY]:[PE]],MATCH(JW$1,PortfolioRef[Reference '#]),0),AssetMonthlyReturns[[#This Row],[SPY]:[PE]])</f>
        <v>1.0902917501422783E-2</v>
      </c>
      <c r="JX42" s="27">
        <f>IF(ISNUMBER(JX41),JX41*(1+PortfolioFrontier[[#This Row],[P71 Return]]),1+PortfolioFrontier[[#This Row],[P71 Return]])</f>
        <v>1.2364833178222607</v>
      </c>
      <c r="JY42" s="27">
        <f>MAX(JY41,PortfolioFrontier[[#This Row],[P71 Growth]])</f>
        <v>1.2364833178222607</v>
      </c>
      <c r="JZ42" s="27">
        <f>PortfolioFrontier[[#This Row],[P71 Growth]]/PortfolioFrontier[[#This Row],[P71 HWM]]-1</f>
        <v>0</v>
      </c>
      <c r="KA42" s="28">
        <f>SUMPRODUCT(INDEX(PortfolioRef[[SPY]:[PE]],MATCH(KA$1,PortfolioRef[Reference '#]),0),AssetMonthlyReturns[[#This Row],[SPY]:[PE]])</f>
        <v>9.7458117826808473E-3</v>
      </c>
      <c r="KB42" s="27">
        <f>IF(ISNUMBER(KB41),KB41*(1+PortfolioFrontier[[#This Row],[P72 Return]]),1+PortfolioFrontier[[#This Row],[P72 Return]])</f>
        <v>1.2235693474011891</v>
      </c>
      <c r="KC42" s="27">
        <f>MAX(KC41,PortfolioFrontier[[#This Row],[P72 Growth]])</f>
        <v>1.2235693474011891</v>
      </c>
      <c r="KD42" s="27">
        <f>PortfolioFrontier[[#This Row],[P72 Growth]]/PortfolioFrontier[[#This Row],[P72 HWM]]-1</f>
        <v>0</v>
      </c>
      <c r="KE42" s="28">
        <f>SUMPRODUCT(INDEX(PortfolioRef[[SPY]:[PE]],MATCH(KE$1,PortfolioRef[Reference '#]),0),AssetMonthlyReturns[[#This Row],[SPY]:[PE]])</f>
        <v>1.2240617481277484E-2</v>
      </c>
      <c r="KF42" s="27">
        <f>IF(ISNUMBER(KF41),KF41*(1+PortfolioFrontier[[#This Row],[P73 Return]]),1+PortfolioFrontier[[#This Row],[P73 Return]])</f>
        <v>1.24537336570707</v>
      </c>
      <c r="KG42" s="27">
        <f>MAX(KG41,PortfolioFrontier[[#This Row],[P73 Growth]])</f>
        <v>1.24537336570707</v>
      </c>
      <c r="KH42" s="27">
        <f>PortfolioFrontier[[#This Row],[P73 Growth]]/PortfolioFrontier[[#This Row],[P73 HWM]]-1</f>
        <v>0</v>
      </c>
      <c r="KI42" s="28">
        <f>SUMPRODUCT(INDEX(PortfolioRef[[SPY]:[PE]],MATCH(KI$1,PortfolioRef[Reference '#]),0),AssetMonthlyReturns[[#This Row],[SPY]:[PE]])</f>
        <v>1.1083511762535546E-2</v>
      </c>
      <c r="KJ42" s="27">
        <f>IF(ISNUMBER(KJ41),KJ41*(1+PortfolioFrontier[[#This Row],[P74 Return]]),1+PortfolioFrontier[[#This Row],[P74 Return]])</f>
        <v>1.2324971143769556</v>
      </c>
      <c r="KK42" s="27">
        <f>MAX(KK41,PortfolioFrontier[[#This Row],[P74 Growth]])</f>
        <v>1.2324971143769556</v>
      </c>
      <c r="KL42" s="27">
        <f>PortfolioFrontier[[#This Row],[P74 Growth]]/PortfolioFrontier[[#This Row],[P74 HWM]]-1</f>
        <v>0</v>
      </c>
      <c r="KM42" s="28">
        <f>SUMPRODUCT(INDEX(PortfolioRef[[SPY]:[PE]],MATCH(KM$1,PortfolioRef[Reference '#]),0),AssetMonthlyReturns[[#This Row],[SPY]:[PE]])</f>
        <v>9.9264060437936116E-3</v>
      </c>
      <c r="KN42" s="27">
        <f>IF(ISNUMBER(KN41),KN41*(1+PortfolioFrontier[[#This Row],[P75 Return]]),1+PortfolioFrontier[[#This Row],[P75 Return]])</f>
        <v>1.2195605440546842</v>
      </c>
      <c r="KO42" s="27">
        <f>MAX(KO41,PortfolioFrontier[[#This Row],[P75 Growth]])</f>
        <v>1.2195605440546842</v>
      </c>
      <c r="KP42" s="27">
        <f>PortfolioFrontier[[#This Row],[P75 Growth]]/PortfolioFrontier[[#This Row],[P75 HWM]]-1</f>
        <v>0</v>
      </c>
      <c r="KQ42" s="28">
        <f>SUMPRODUCT(INDEX(PortfolioRef[[SPY]:[PE]],MATCH(KQ$1,PortfolioRef[Reference '#]),0),AssetMonthlyReturns[[#This Row],[SPY]:[PE]])</f>
        <v>1.3578317461132184E-2</v>
      </c>
      <c r="KR42" s="27">
        <f>IF(ISNUMBER(KR41),KR41*(1+PortfolioFrontier[[#This Row],[P76 Return]]),1+PortfolioFrontier[[#This Row],[P76 Return]])</f>
        <v>1.2540543675296045</v>
      </c>
      <c r="KS42" s="27">
        <f>MAX(KS41,PortfolioFrontier[[#This Row],[P76 Growth]])</f>
        <v>1.2540543675296045</v>
      </c>
      <c r="KT42" s="27">
        <f>PortfolioFrontier[[#This Row],[P76 Growth]]/PortfolioFrontier[[#This Row],[P76 HWM]]-1</f>
        <v>0</v>
      </c>
      <c r="KU42" s="28">
        <f>SUMPRODUCT(INDEX(PortfolioRef[[SPY]:[PE]],MATCH(KU$1,PortfolioRef[Reference '#]),0),AssetMonthlyReturns[[#This Row],[SPY]:[PE]])</f>
        <v>1.2421211742390248E-2</v>
      </c>
      <c r="KV42" s="27">
        <f>IF(ISNUMBER(KV41),KV41*(1+PortfolioFrontier[[#This Row],[P77 Return]]),1+PortfolioFrontier[[#This Row],[P77 Return]])</f>
        <v>1.2412199288927415</v>
      </c>
      <c r="KW42" s="27">
        <f>MAX(KW41,PortfolioFrontier[[#This Row],[P77 Growth]])</f>
        <v>1.2412199288927415</v>
      </c>
      <c r="KX42" s="27">
        <f>PortfolioFrontier[[#This Row],[P77 Growth]]/PortfolioFrontier[[#This Row],[P77 HWM]]-1</f>
        <v>0</v>
      </c>
      <c r="KY42" s="28">
        <f>SUMPRODUCT(INDEX(PortfolioRef[[SPY]:[PE]],MATCH(KY$1,PortfolioRef[Reference '#]),0),AssetMonthlyReturns[[#This Row],[SPY]:[PE]])</f>
        <v>1.1264106023648312E-2</v>
      </c>
      <c r="KZ42" s="27">
        <f>IF(ISNUMBER(KZ41),KZ41*(1+PortfolioFrontier[[#This Row],[P78 Return]]),1+PortfolioFrontier[[#This Row],[P78 Return]])</f>
        <v>1.2283220920044733</v>
      </c>
      <c r="LA42" s="27">
        <f>MAX(LA41,PortfolioFrontier[[#This Row],[P78 Growth]])</f>
        <v>1.2283220920044733</v>
      </c>
      <c r="LB42" s="27">
        <f>PortfolioFrontier[[#This Row],[P78 Growth]]/PortfolioFrontier[[#This Row],[P78 HWM]]-1</f>
        <v>0</v>
      </c>
      <c r="LC42" s="28">
        <f>SUMPRODUCT(INDEX(PortfolioRef[[SPY]:[PE]],MATCH(LC$1,PortfolioRef[Reference '#]),0),AssetMonthlyReturns[[#This Row],[SPY]:[PE]])</f>
        <v>1.2148841298837688E-2</v>
      </c>
      <c r="LD42" s="27">
        <f>IF(ISNUMBER(LD41),LD41*(1+PortfolioFrontier[[#This Row],[P79 Return]]),1+PortfolioFrontier[[#This Row],[P79 Return]])</f>
        <v>1.2453314223957317</v>
      </c>
      <c r="LE42" s="27">
        <f>MAX(LE41,PortfolioFrontier[[#This Row],[P79 Growth]])</f>
        <v>1.2453314223957317</v>
      </c>
      <c r="LF42" s="27">
        <f>PortfolioFrontier[[#This Row],[P79 Growth]]/PortfolioFrontier[[#This Row],[P79 HWM]]-1</f>
        <v>0</v>
      </c>
      <c r="LG42" s="28">
        <f>SUMPRODUCT(INDEX(PortfolioRef[[SPY]:[PE]],MATCH(LG$1,PortfolioRef[Reference '#]),0),AssetMonthlyReturns[[#This Row],[SPY]:[PE]])</f>
        <v>1.0991735580095752E-2</v>
      </c>
      <c r="LH42" s="27">
        <f>IF(ISNUMBER(LH41),LH41*(1+PortfolioFrontier[[#This Row],[P80 Return]]),1+PortfolioFrontier[[#This Row],[P80 Return]])</f>
        <v>1.2324744108739374</v>
      </c>
      <c r="LI42" s="27">
        <f>MAX(LI41,PortfolioFrontier[[#This Row],[P80 Growth]])</f>
        <v>1.2324744108739374</v>
      </c>
      <c r="LJ42" s="27">
        <f>PortfolioFrontier[[#This Row],[P80 Growth]]/PortfolioFrontier[[#This Row],[P80 HWM]]-1</f>
        <v>0</v>
      </c>
      <c r="LK42" s="28">
        <f>SUMPRODUCT(INDEX(PortfolioRef[[SPY]:[PE]],MATCH(LK$1,PortfolioRef[Reference '#]),0),AssetMonthlyReturns[[#This Row],[SPY]:[PE]])</f>
        <v>9.8346298613538174E-3</v>
      </c>
      <c r="LL42" s="27">
        <f>IF(ISNUMBER(LL41),LL41*(1+PortfolioFrontier[[#This Row],[P81 Return]]),1+PortfolioFrontier[[#This Row],[P81 Return]])</f>
        <v>1.2195567373375351</v>
      </c>
      <c r="LM42" s="27">
        <f>MAX(LM41,PortfolioFrontier[[#This Row],[P81 Growth]])</f>
        <v>1.2195567373375351</v>
      </c>
      <c r="LN42" s="27">
        <f>PortfolioFrontier[[#This Row],[P81 Growth]]/PortfolioFrontier[[#This Row],[P81 HWM]]-1</f>
        <v>0</v>
      </c>
      <c r="LO42" s="28">
        <f>SUMPRODUCT(INDEX(PortfolioRef[[SPY]:[PE]],MATCH(LO$1,PortfolioRef[Reference '#]),0),AssetMonthlyReturns[[#This Row],[SPY]:[PE]])</f>
        <v>1.3486541278692388E-2</v>
      </c>
      <c r="LP42" s="27">
        <f>IF(ISNUMBER(LP41),LP41*(1+PortfolioFrontier[[#This Row],[P82 Return]]),1+PortfolioFrontier[[#This Row],[P82 Return]])</f>
        <v>1.2541191978295987</v>
      </c>
      <c r="LQ42" s="27">
        <f>MAX(LQ41,PortfolioFrontier[[#This Row],[P82 Growth]])</f>
        <v>1.2541191978295987</v>
      </c>
      <c r="LR42" s="27">
        <f>PortfolioFrontier[[#This Row],[P82 Growth]]/PortfolioFrontier[[#This Row],[P82 HWM]]-1</f>
        <v>0</v>
      </c>
      <c r="LS42" s="28">
        <f>SUMPRODUCT(INDEX(PortfolioRef[[SPY]:[PE]],MATCH(LS$1,PortfolioRef[Reference '#]),0),AssetMonthlyReturns[[#This Row],[SPY]:[PE]])</f>
        <v>1.2329435559950452E-2</v>
      </c>
      <c r="LT42" s="27">
        <f>IF(ISNUMBER(LT41),LT41*(1+PortfolioFrontier[[#This Row],[P83 Return]]),1+PortfolioFrontier[[#This Row],[P83 Return]])</f>
        <v>1.2413030190355787</v>
      </c>
      <c r="LU42" s="27">
        <f>MAX(LU41,PortfolioFrontier[[#This Row],[P83 Growth]])</f>
        <v>1.2413030190355787</v>
      </c>
      <c r="LV42" s="27">
        <f>PortfolioFrontier[[#This Row],[P83 Growth]]/PortfolioFrontier[[#This Row],[P83 HWM]]-1</f>
        <v>0</v>
      </c>
      <c r="LW42" s="28">
        <f>SUMPRODUCT(INDEX(PortfolioRef[[SPY]:[PE]],MATCH(LW$1,PortfolioRef[Reference '#]),0),AssetMonthlyReturns[[#This Row],[SPY]:[PE]])</f>
        <v>1.1172329841208516E-2</v>
      </c>
      <c r="LX42" s="27">
        <f>IF(ISNUMBER(LX41),LX41*(1+PortfolioFrontier[[#This Row],[P84 Return]]),1+PortfolioFrontier[[#This Row],[P84 Return]])</f>
        <v>1.228423096578086</v>
      </c>
      <c r="LY42" s="27">
        <f>MAX(LY41,PortfolioFrontier[[#This Row],[P84 Growth]])</f>
        <v>1.228423096578086</v>
      </c>
      <c r="LZ42" s="27">
        <f>PortfolioFrontier[[#This Row],[P84 Growth]]/PortfolioFrontier[[#This Row],[P84 HWM]]-1</f>
        <v>0</v>
      </c>
      <c r="MA42" s="28">
        <f>SUMPRODUCT(INDEX(PortfolioRef[[SPY]:[PE]],MATCH(MA$1,PortfolioRef[Reference '#]),0),AssetMonthlyReturns[[#This Row],[SPY]:[PE]])</f>
        <v>1.4824241258547088E-2</v>
      </c>
      <c r="MB42" s="27">
        <f>IF(ISNUMBER(MB41),MB41*(1+PortfolioFrontier[[#This Row],[P85 Return]]),1+PortfolioFrontier[[#This Row],[P85 Return]])</f>
        <v>1.2626938001613064</v>
      </c>
      <c r="MC42" s="27">
        <f>MAX(MC41,PortfolioFrontier[[#This Row],[P85 Growth]])</f>
        <v>1.2626938001613064</v>
      </c>
      <c r="MD42" s="27">
        <f>PortfolioFrontier[[#This Row],[P85 Growth]]/PortfolioFrontier[[#This Row],[P85 HWM]]-1</f>
        <v>0</v>
      </c>
      <c r="ME42" s="28">
        <f>SUMPRODUCT(INDEX(PortfolioRef[[SPY]:[PE]],MATCH(ME$1,PortfolioRef[Reference '#]),0),AssetMonthlyReturns[[#This Row],[SPY]:[PE]])</f>
        <v>1.3667135539805152E-2</v>
      </c>
      <c r="MF42" s="27">
        <f>IF(ISNUMBER(MF41),MF41*(1+PortfolioFrontier[[#This Row],[P86 Return]]),1+PortfolioFrontier[[#This Row],[P86 Return]])</f>
        <v>1.2499225607757323</v>
      </c>
      <c r="MG42" s="27">
        <f>MAX(MG41,PortfolioFrontier[[#This Row],[P86 Growth]])</f>
        <v>1.2499225607757323</v>
      </c>
      <c r="MH42" s="27">
        <f>PortfolioFrontier[[#This Row],[P86 Growth]]/PortfolioFrontier[[#This Row],[P86 HWM]]-1</f>
        <v>0</v>
      </c>
      <c r="MI42" s="28">
        <f>SUMPRODUCT(INDEX(PortfolioRef[[SPY]:[PE]],MATCH(MI$1,PortfolioRef[Reference '#]),0),AssetMonthlyReturns[[#This Row],[SPY]:[PE]])</f>
        <v>1.2510029821063218E-2</v>
      </c>
      <c r="MJ42" s="27">
        <f>IF(ISNUMBER(MJ41),MJ41*(1+PortfolioFrontier[[#This Row],[P87 Return]]),1+PortfolioFrontier[[#This Row],[P87 Return]])</f>
        <v>1.2370844815815671</v>
      </c>
      <c r="MK42" s="27">
        <f>MAX(MK41,PortfolioFrontier[[#This Row],[P87 Growth]])</f>
        <v>1.2370844815815671</v>
      </c>
      <c r="ML42" s="27">
        <f>PortfolioFrontier[[#This Row],[P87 Growth]]/PortfolioFrontier[[#This Row],[P87 HWM]]-1</f>
        <v>0</v>
      </c>
      <c r="MM42" s="28">
        <f>SUMPRODUCT(INDEX(PortfolioRef[[SPY]:[PE]],MATCH(MM$1,PortfolioRef[Reference '#]),0),AssetMonthlyReturns[[#This Row],[SPY]:[PE]])</f>
        <v>1.3394765096252592E-2</v>
      </c>
      <c r="MN42" s="27">
        <f>IF(ISNUMBER(MN41),MN41*(1+PortfolioFrontier[[#This Row],[P88 Return]]),1+PortfolioFrontier[[#This Row],[P88 Return]])</f>
        <v>1.2540825429220526</v>
      </c>
      <c r="MO42" s="27">
        <f>MAX(MO41,PortfolioFrontier[[#This Row],[P88 Growth]])</f>
        <v>1.2540825429220526</v>
      </c>
      <c r="MP42" s="27">
        <f>PortfolioFrontier[[#This Row],[P88 Growth]]/PortfolioFrontier[[#This Row],[P88 HWM]]-1</f>
        <v>0</v>
      </c>
      <c r="MQ42" s="28">
        <f>SUMPRODUCT(INDEX(PortfolioRef[[SPY]:[PE]],MATCH(MQ$1,PortfolioRef[Reference '#]),0),AssetMonthlyReturns[[#This Row],[SPY]:[PE]])</f>
        <v>1.2237659377510656E-2</v>
      </c>
      <c r="MR42" s="27">
        <f>IF(ISNUMBER(MR41),MR41*(1+PortfolioFrontier[[#This Row],[P89 Return]]),1+PortfolioFrontier[[#This Row],[P89 Return]])</f>
        <v>1.2412855641467742</v>
      </c>
      <c r="MS42" s="27">
        <f>MAX(MS41,PortfolioFrontier[[#This Row],[P89 Growth]])</f>
        <v>1.2412855641467742</v>
      </c>
      <c r="MT42" s="27">
        <f>PortfolioFrontier[[#This Row],[P89 Growth]]/PortfolioFrontier[[#This Row],[P89 HWM]]-1</f>
        <v>0</v>
      </c>
      <c r="MU42" s="28">
        <f>SUMPRODUCT(INDEX(PortfolioRef[[SPY]:[PE]],MATCH(MU$1,PortfolioRef[Reference '#]),0),AssetMonthlyReturns[[#This Row],[SPY]:[PE]])</f>
        <v>1.1080553658768722E-2</v>
      </c>
      <c r="MV42" s="27">
        <f>IF(ISNUMBER(MV41),MV41*(1+PortfolioFrontier[[#This Row],[P90 Return]]),1+PortfolioFrontier[[#This Row],[P90 Return]])</f>
        <v>1.2284245019584696</v>
      </c>
      <c r="MW42" s="27">
        <f>MAX(MW41,PortfolioFrontier[[#This Row],[P90 Growth]])</f>
        <v>1.2284245019584696</v>
      </c>
      <c r="MX42" s="27">
        <f>PortfolioFrontier[[#This Row],[P90 Growth]]/PortfolioFrontier[[#This Row],[P90 HWM]]-1</f>
        <v>0</v>
      </c>
      <c r="MY42" s="28">
        <f>SUMPRODUCT(INDEX(PortfolioRef[[SPY]:[PE]],MATCH(MY$1,PortfolioRef[Reference '#]),0),AssetMonthlyReturns[[#This Row],[SPY]:[PE]])</f>
        <v>1.4732465076107292E-2</v>
      </c>
      <c r="MZ42" s="27">
        <f>IF(ISNUMBER(MZ41),MZ41*(1+PortfolioFrontier[[#This Row],[P91 Return]]),1+PortfolioFrontier[[#This Row],[P91 Return]])</f>
        <v>1.2627647898320977</v>
      </c>
      <c r="NA42" s="27">
        <f>MAX(NA41,PortfolioFrontier[[#This Row],[P91 Growth]])</f>
        <v>1.2627647898320977</v>
      </c>
      <c r="NB42" s="27">
        <f>PortfolioFrontier[[#This Row],[P91 Growth]]/PortfolioFrontier[[#This Row],[P91 HWM]]-1</f>
        <v>0</v>
      </c>
      <c r="NC42" s="28">
        <f>SUMPRODUCT(INDEX(PortfolioRef[[SPY]:[PE]],MATCH(NC$1,PortfolioRef[Reference '#]),0),AssetMonthlyReturns[[#This Row],[SPY]:[PE]])</f>
        <v>1.3575359357365356E-2</v>
      </c>
      <c r="ND42" s="27">
        <f>IF(ISNUMBER(ND41),ND41*(1+PortfolioFrontier[[#This Row],[P92 Return]]),1+PortfolioFrontier[[#This Row],[P92 Return]])</f>
        <v>1.2500117712497822</v>
      </c>
      <c r="NE42" s="27">
        <f>MAX(NE41,PortfolioFrontier[[#This Row],[P92 Growth]])</f>
        <v>1.2500117712497822</v>
      </c>
      <c r="NF42" s="27">
        <f>PortfolioFrontier[[#This Row],[P92 Growth]]/PortfolioFrontier[[#This Row],[P92 HWM]]-1</f>
        <v>0</v>
      </c>
      <c r="NG42" s="28">
        <f>SUMPRODUCT(INDEX(PortfolioRef[[SPY]:[PE]],MATCH(NG$1,PortfolioRef[Reference '#]),0),AssetMonthlyReturns[[#This Row],[SPY]:[PE]])</f>
        <v>1.2418253638623422E-2</v>
      </c>
      <c r="NH42" s="27">
        <f>IF(ISNUMBER(NH41),NH41*(1+PortfolioFrontier[[#This Row],[P93 Return]]),1+PortfolioFrontier[[#This Row],[P93 Return]])</f>
        <v>1.237191570553851</v>
      </c>
      <c r="NI42" s="27">
        <f>MAX(NI41,PortfolioFrontier[[#This Row],[P93 Growth]])</f>
        <v>1.237191570553851</v>
      </c>
      <c r="NJ42" s="27">
        <f>PortfolioFrontier[[#This Row],[P93 Growth]]/PortfolioFrontier[[#This Row],[P93 HWM]]-1</f>
        <v>0</v>
      </c>
      <c r="NK42" s="28">
        <f>SUMPRODUCT(INDEX(PortfolioRef[[SPY]:[PE]],MATCH(NK$1,PortfolioRef[Reference '#]),0),AssetMonthlyReturns[[#This Row],[SPY]:[PE]])</f>
        <v>1.6070165055961993E-2</v>
      </c>
      <c r="NL42" s="27">
        <f>IF(ISNUMBER(NL41),NL41*(1+PortfolioFrontier[[#This Row],[P94 Return]]),1+PortfolioFrontier[[#This Row],[P94 Return]])</f>
        <v>1.271229736612874</v>
      </c>
      <c r="NM42" s="27">
        <f>MAX(NM41,PortfolioFrontier[[#This Row],[P94 Growth]])</f>
        <v>1.271229736612874</v>
      </c>
      <c r="NN42" s="27">
        <f>PortfolioFrontier[[#This Row],[P94 Growth]]/PortfolioFrontier[[#This Row],[P94 HWM]]-1</f>
        <v>0</v>
      </c>
      <c r="NO42" s="28">
        <f>SUMPRODUCT(INDEX(PortfolioRef[[SPY]:[PE]],MATCH(NO$1,PortfolioRef[Reference '#]),0),AssetMonthlyReturns[[#This Row],[SPY]:[PE]])</f>
        <v>1.4913059337220057E-2</v>
      </c>
      <c r="NP42" s="27">
        <f>IF(ISNUMBER(NP41),NP41*(1+PortfolioFrontier[[#This Row],[P95 Return]]),1+PortfolioFrontier[[#This Row],[P95 Return]])</f>
        <v>1.2585247967907391</v>
      </c>
      <c r="NQ42" s="27">
        <f>MAX(NQ41,PortfolioFrontier[[#This Row],[P95 Growth]])</f>
        <v>1.2585247967907391</v>
      </c>
      <c r="NR42" s="27">
        <f>PortfolioFrontier[[#This Row],[P95 Growth]]/PortfolioFrontier[[#This Row],[P95 HWM]]-1</f>
        <v>0</v>
      </c>
      <c r="NS42" s="28">
        <f>SUMPRODUCT(INDEX(PortfolioRef[[SPY]:[PE]],MATCH(NS$1,PortfolioRef[Reference '#]),0),AssetMonthlyReturns[[#This Row],[SPY]:[PE]])</f>
        <v>1.3755953618478122E-2</v>
      </c>
      <c r="NT42" s="27">
        <f>IF(ISNUMBER(NT41),NT41*(1+PortfolioFrontier[[#This Row],[P96 Return]]),1+PortfolioFrontier[[#This Row],[P96 Return]])</f>
        <v>1.2457495628540811</v>
      </c>
      <c r="NU42" s="27">
        <f>MAX(NU41,PortfolioFrontier[[#This Row],[P96 Growth]])</f>
        <v>1.2457495628540811</v>
      </c>
      <c r="NV42" s="27">
        <f>PortfolioFrontier[[#This Row],[P96 Growth]]/PortfolioFrontier[[#This Row],[P96 HWM]]-1</f>
        <v>0</v>
      </c>
      <c r="NW42" s="28">
        <f>SUMPRODUCT(INDEX(PortfolioRef[[SPY]:[PE]],MATCH(NW$1,PortfolioRef[Reference '#]),0),AssetMonthlyReturns[[#This Row],[SPY]:[PE]])</f>
        <v>8.9332223384878361E-3</v>
      </c>
      <c r="NX42" s="27">
        <f>IF(ISNUMBER(NX41),NX41*(1+PortfolioFrontier[[#This Row],[P97 Return]]),1+PortfolioFrontier[[#This Row],[P97 Return]])</f>
        <v>1.2062359557694031</v>
      </c>
      <c r="NY42" s="27">
        <f>MAX(NY41,PortfolioFrontier[[#This Row],[P97 Growth]])</f>
        <v>1.2062359557694031</v>
      </c>
      <c r="NZ42" s="27">
        <f>PortfolioFrontier[[#This Row],[P97 Growth]]/PortfolioFrontier[[#This Row],[P97 HWM]]-1</f>
        <v>0</v>
      </c>
      <c r="OA42" s="28">
        <f>SUMPRODUCT(INDEX(PortfolioRef[[SPY]:[PE]],MATCH(OA$1,PortfolioRef[Reference '#]),0),AssetMonthlyReturns[[#This Row],[SPY]:[PE]])</f>
        <v>8.8414461560480384E-3</v>
      </c>
      <c r="OB42" s="27">
        <f>IF(ISNUMBER(OB41),OB41*(1+PortfolioFrontier[[#This Row],[P98 Return]]),1+PortfolioFrontier[[#This Row],[P98 Return]])</f>
        <v>1.2062702523554625</v>
      </c>
      <c r="OC42" s="27">
        <f>MAX(OC41,PortfolioFrontier[[#This Row],[P98 Growth]])</f>
        <v>1.2062702523554625</v>
      </c>
      <c r="OD42" s="27">
        <f>PortfolioFrontier[[#This Row],[P98 Growth]]/PortfolioFrontier[[#This Row],[P98 HWM]]-1</f>
        <v>0</v>
      </c>
      <c r="OE42" s="28">
        <f>SUMPRODUCT(INDEX(PortfolioRef[[SPY]:[PE]],MATCH(OE$1,PortfolioRef[Reference '#]),0),AssetMonthlyReturns[[#This Row],[SPY]:[PE]])</f>
        <v>1.017914613590274E-2</v>
      </c>
      <c r="OF42" s="27">
        <f>IF(ISNUMBER(OF41),OF41*(1+PortfolioFrontier[[#This Row],[P99 Return]]),1+PortfolioFrontier[[#This Row],[P99 Return]])</f>
        <v>1.2151057026830756</v>
      </c>
      <c r="OG42" s="27">
        <f>MAX(OG41,PortfolioFrontier[[#This Row],[P99 Growth]])</f>
        <v>1.2151057026830756</v>
      </c>
      <c r="OH42" s="27">
        <f>PortfolioFrontier[[#This Row],[P99 Growth]]/PortfolioFrontier[[#This Row],[P99 HWM]]-1</f>
        <v>0</v>
      </c>
      <c r="OI42" s="28">
        <f>SUMPRODUCT(INDEX(PortfolioRef[[SPY]:[PE]],MATCH(OI$1,PortfolioRef[Reference '#]),0),AssetMonthlyReturns[[#This Row],[SPY]:[PE]])</f>
        <v>9.0220404171608044E-3</v>
      </c>
      <c r="OJ42" s="27">
        <f>IF(ISNUMBER(OJ41),OJ41*(1+PortfolioFrontier[[#This Row],[P100 Return]]),1+PortfolioFrontier[[#This Row],[P100 Return]])</f>
        <v>1.2023128497243176</v>
      </c>
      <c r="OK42" s="27">
        <f>MAX(OK41,PortfolioFrontier[[#This Row],[P100 Growth]])</f>
        <v>1.2023128497243176</v>
      </c>
      <c r="OL42" s="27">
        <f>PortfolioFrontier[[#This Row],[P100 Growth]]/PortfolioFrontier[[#This Row],[P100 HWM]]-1</f>
        <v>0</v>
      </c>
      <c r="OM42" s="28">
        <f>SUMPRODUCT(INDEX(PortfolioRef[[SPY]:[PE]],MATCH(OM$1,PortfolioRef[Reference '#]),0),AssetMonthlyReturns[[#This Row],[SPY]:[PE]])</f>
        <v>8.7496699736082442E-3</v>
      </c>
      <c r="ON42" s="27">
        <f>IF(ISNUMBER(ON41),ON41*(1+PortfolioFrontier[[#This Row],[P101 Return]]),1+PortfolioFrontier[[#This Row],[P101 Return]])</f>
        <v>1.2062065511848714</v>
      </c>
      <c r="OO42" s="27">
        <f>MAX(OO41,PortfolioFrontier[[#This Row],[P101 Growth]])</f>
        <v>1.2062065511848714</v>
      </c>
      <c r="OP42" s="27">
        <f>PortfolioFrontier[[#This Row],[P101 Growth]]/PortfolioFrontier[[#This Row],[P101 HWM]]-1</f>
        <v>0</v>
      </c>
      <c r="OQ42" s="28">
        <f>SUMPRODUCT(INDEX(PortfolioRef[[SPY]:[PE]],MATCH(OQ$1,PortfolioRef[Reference '#]),0),AssetMonthlyReturns[[#This Row],[SPY]:[PE]])</f>
        <v>1.0087369953462943E-2</v>
      </c>
      <c r="OR42" s="27">
        <f>IF(ISNUMBER(OR41),OR41*(1+PortfolioFrontier[[#This Row],[P102 Return]]),1+PortfolioFrontier[[#This Row],[P102 Return]])</f>
        <v>1.2151451556372168</v>
      </c>
      <c r="OS42" s="27">
        <f>MAX(OS41,PortfolioFrontier[[#This Row],[P102 Growth]])</f>
        <v>1.2151451556372168</v>
      </c>
      <c r="OT42" s="27">
        <f>PortfolioFrontier[[#This Row],[P102 Growth]]/PortfolioFrontier[[#This Row],[P102 HWM]]-1</f>
        <v>0</v>
      </c>
      <c r="OU42" s="28">
        <f>SUMPRODUCT(INDEX(PortfolioRef[[SPY]:[PE]],MATCH(OU$1,PortfolioRef[Reference '#]),0),AssetMonthlyReturns[[#This Row],[SPY]:[PE]])</f>
        <v>8.9302642347210068E-3</v>
      </c>
      <c r="OV42" s="27">
        <f>IF(ISNUMBER(OV41),OV41*(1+PortfolioFrontier[[#This Row],[P103 Return]]),1+PortfolioFrontier[[#This Row],[P103 Return]])</f>
        <v>1.2023705415072856</v>
      </c>
      <c r="OW42" s="27">
        <f>MAX(OW41,PortfolioFrontier[[#This Row],[P103 Growth]])</f>
        <v>1.2023705415072856</v>
      </c>
      <c r="OX42" s="27">
        <f>PortfolioFrontier[[#This Row],[P103 Growth]]/PortfolioFrontier[[#This Row],[P103 HWM]]-1</f>
        <v>0</v>
      </c>
      <c r="OY42" s="28">
        <f>SUMPRODUCT(INDEX(PortfolioRef[[SPY]:[PE]],MATCH(OY$1,PortfolioRef[Reference '#]),0),AssetMonthlyReturns[[#This Row],[SPY]:[PE]])</f>
        <v>1.1425069933317645E-2</v>
      </c>
      <c r="OZ42" s="27">
        <f>IF(ISNUMBER(OZ41),OZ41*(1+PortfolioFrontier[[#This Row],[P104 Return]]),1+PortfolioFrontier[[#This Row],[P104 Return]])</f>
        <v>1.2238841437271029</v>
      </c>
      <c r="PA42" s="27">
        <f>MAX(PA41,PortfolioFrontier[[#This Row],[P104 Growth]])</f>
        <v>1.2238841437271029</v>
      </c>
      <c r="PB42" s="27">
        <f>PortfolioFrontier[[#This Row],[P104 Growth]]/PortfolioFrontier[[#This Row],[P104 HWM]]-1</f>
        <v>0</v>
      </c>
      <c r="PC42" s="28">
        <f>SUMPRODUCT(INDEX(PortfolioRef[[SPY]:[PE]],MATCH(PC$1,PortfolioRef[Reference '#]),0),AssetMonthlyReturns[[#This Row],[SPY]:[PE]])</f>
        <v>1.0267964214575709E-2</v>
      </c>
      <c r="PD42" s="27">
        <f>IF(ISNUMBER(PD41),PD41*(1+PortfolioFrontier[[#This Row],[P105 Return]]),1+PortfolioFrontier[[#This Row],[P105 Return]])</f>
        <v>1.2111458460013949</v>
      </c>
      <c r="PE42" s="27">
        <f>MAX(PE41,PortfolioFrontier[[#This Row],[P105 Growth]])</f>
        <v>1.2111458460013949</v>
      </c>
      <c r="PF42" s="27">
        <f>PortfolioFrontier[[#This Row],[P105 Growth]]/PortfolioFrontier[[#This Row],[P105 HWM]]-1</f>
        <v>0</v>
      </c>
      <c r="PG42" s="28">
        <f>SUMPRODUCT(INDEX(PortfolioRef[[SPY]:[PE]],MATCH(PG$1,PortfolioRef[Reference '#]),0),AssetMonthlyReturns[[#This Row],[SPY]:[PE]])</f>
        <v>9.1108584958337745E-3</v>
      </c>
      <c r="PH42" s="27">
        <f>IF(ISNUMBER(PH41),PH41*(1+PortfolioFrontier[[#This Row],[P106 Return]]),1+PortfolioFrontier[[#This Row],[P106 Return]])</f>
        <v>1.1983498931833048</v>
      </c>
      <c r="PI42" s="27">
        <f>MAX(PI41,PortfolioFrontier[[#This Row],[P106 Growth]])</f>
        <v>1.1983498931833048</v>
      </c>
      <c r="PJ42" s="27">
        <f>PortfolioFrontier[[#This Row],[P106 Growth]]/PortfolioFrontier[[#This Row],[P106 HWM]]-1</f>
        <v>0</v>
      </c>
      <c r="PK42" s="28">
        <f>SUMPRODUCT(INDEX(PortfolioRef[[SPY]:[PE]],MATCH(PK$1,PortfolioRef[Reference '#]),0),AssetMonthlyReturns[[#This Row],[SPY]:[PE]])</f>
        <v>9.9955937710231486E-3</v>
      </c>
      <c r="PL42" s="27">
        <f>IF(ISNUMBER(PL41),PL41*(1+PortfolioFrontier[[#This Row],[P107 Return]]),1+PortfolioFrontier[[#This Row],[P107 Return]])</f>
        <v>1.215085967594425</v>
      </c>
      <c r="PM42" s="27">
        <f>MAX(PM41,PortfolioFrontier[[#This Row],[P107 Growth]])</f>
        <v>1.215085967594425</v>
      </c>
      <c r="PN42" s="27">
        <f>PortfolioFrontier[[#This Row],[P107 Growth]]/PortfolioFrontier[[#This Row],[P107 HWM]]-1</f>
        <v>0</v>
      </c>
      <c r="PO42" s="28">
        <f>SUMPRODUCT(INDEX(PortfolioRef[[SPY]:[PE]],MATCH(PO$1,PortfolioRef[Reference '#]),0),AssetMonthlyReturns[[#This Row],[SPY]:[PE]])</f>
        <v>8.8384880522812126E-3</v>
      </c>
      <c r="PP42" s="27">
        <f>IF(ISNUMBER(PP41),PP41*(1+PortfolioFrontier[[#This Row],[P108 Return]]),1+PortfolioFrontier[[#This Row],[P108 Return]])</f>
        <v>1.2023305317948236</v>
      </c>
      <c r="PQ42" s="27">
        <f>MAX(PQ41,PortfolioFrontier[[#This Row],[P108 Growth]])</f>
        <v>1.2023305317948236</v>
      </c>
      <c r="PR42" s="27">
        <f>PortfolioFrontier[[#This Row],[P108 Growth]]/PortfolioFrontier[[#This Row],[P108 HWM]]-1</f>
        <v>0</v>
      </c>
      <c r="PS42" s="28">
        <f>SUMPRODUCT(INDEX(PortfolioRef[[SPY]:[PE]],MATCH(PS$1,PortfolioRef[Reference '#]),0),AssetMonthlyReturns[[#This Row],[SPY]:[PE]])</f>
        <v>1.1333293750877851E-2</v>
      </c>
      <c r="PT42" s="27">
        <f>IF(ISNUMBER(PT41),PT41*(1+PortfolioFrontier[[#This Row],[P109 Return]]),1+PortfolioFrontier[[#This Row],[P109 Return]])</f>
        <v>1.2239289815410828</v>
      </c>
      <c r="PU42" s="27">
        <f>MAX(PU41,PortfolioFrontier[[#This Row],[P109 Growth]])</f>
        <v>1.2239289815410828</v>
      </c>
      <c r="PV42" s="27">
        <f>PortfolioFrontier[[#This Row],[P109 Growth]]/PortfolioFrontier[[#This Row],[P109 HWM]]-1</f>
        <v>0</v>
      </c>
      <c r="PW42" s="28">
        <f>SUMPRODUCT(INDEX(PortfolioRef[[SPY]:[PE]],MATCH(PW$1,PortfolioRef[Reference '#]),0),AssetMonthlyReturns[[#This Row],[SPY]:[PE]])</f>
        <v>1.0176188032135911E-2</v>
      </c>
      <c r="PX42" s="27">
        <f>IF(ISNUMBER(PX41),PX41*(1+PortfolioFrontier[[#This Row],[P110 Return]]),1+PortfolioFrontier[[#This Row],[P110 Return]])</f>
        <v>1.21120889510301</v>
      </c>
      <c r="PY42" s="27">
        <f>MAX(PY41,PortfolioFrontier[[#This Row],[P110 Growth]])</f>
        <v>1.21120889510301</v>
      </c>
      <c r="PZ42" s="27">
        <f>PortfolioFrontier[[#This Row],[P110 Growth]]/PortfolioFrontier[[#This Row],[P110 HWM]]-1</f>
        <v>0</v>
      </c>
      <c r="QA42" s="28">
        <f>SUMPRODUCT(INDEX(PortfolioRef[[SPY]:[PE]],MATCH(QA$1,PortfolioRef[Reference '#]),0),AssetMonthlyReturns[[#This Row],[SPY]:[PE]])</f>
        <v>9.0190823133939769E-3</v>
      </c>
      <c r="QB42" s="27">
        <f>IF(ISNUMBER(QB41),QB41*(1+PortfolioFrontier[[#This Row],[P111 Return]]),1+PortfolioFrontier[[#This Row],[P111 Return]])</f>
        <v>1.1984308074439673</v>
      </c>
      <c r="QC42" s="27">
        <f>MAX(QC41,PortfolioFrontier[[#This Row],[P111 Growth]])</f>
        <v>1.1984308074439673</v>
      </c>
      <c r="QD42" s="27">
        <f>PortfolioFrontier[[#This Row],[P111 Growth]]/PortfolioFrontier[[#This Row],[P111 HWM]]-1</f>
        <v>0</v>
      </c>
      <c r="QE42" s="28">
        <f>SUMPRODUCT(INDEX(PortfolioRef[[SPY]:[PE]],MATCH(QE$1,PortfolioRef[Reference '#]),0),AssetMonthlyReturns[[#This Row],[SPY]:[PE]])</f>
        <v>1.2670993730732549E-2</v>
      </c>
      <c r="QF42" s="27">
        <f>IF(ISNUMBER(QF41),QF41*(1+PortfolioFrontier[[#This Row],[P112 Return]]),1+PortfolioFrontier[[#This Row],[P112 Return]])</f>
        <v>1.2325683143519044</v>
      </c>
      <c r="QG42" s="27">
        <f>MAX(QG41,PortfolioFrontier[[#This Row],[P112 Growth]])</f>
        <v>1.2325683143519044</v>
      </c>
      <c r="QH42" s="27">
        <f>PortfolioFrontier[[#This Row],[P112 Growth]]/PortfolioFrontier[[#This Row],[P112 HWM]]-1</f>
        <v>0</v>
      </c>
      <c r="QI42" s="28">
        <f>SUMPRODUCT(INDEX(PortfolioRef[[SPY]:[PE]],MATCH(QI$1,PortfolioRef[Reference '#]),0),AssetMonthlyReturns[[#This Row],[SPY]:[PE]])</f>
        <v>1.1513888011990613E-2</v>
      </c>
      <c r="QJ42" s="27">
        <f>IF(ISNUMBER(QJ41),QJ41*(1+PortfolioFrontier[[#This Row],[P113 Return]]),1+PortfolioFrontier[[#This Row],[P113 Return]])</f>
        <v>1.2198876016386988</v>
      </c>
      <c r="QK42" s="27">
        <f>MAX(QK41,PortfolioFrontier[[#This Row],[P113 Growth]])</f>
        <v>1.2198876016386988</v>
      </c>
      <c r="QL42" s="27">
        <f>PortfolioFrontier[[#This Row],[P113 Growth]]/PortfolioFrontier[[#This Row],[P113 HWM]]-1</f>
        <v>0</v>
      </c>
      <c r="QM42" s="28">
        <f>SUMPRODUCT(INDEX(PortfolioRef[[SPY]:[PE]],MATCH(QM$1,PortfolioRef[Reference '#]),0),AssetMonthlyReturns[[#This Row],[SPY]:[PE]])</f>
        <v>1.0356782293248679E-2</v>
      </c>
      <c r="QN42" s="27">
        <f>IF(ISNUMBER(QN41),QN41*(1+PortfolioFrontier[[#This Row],[P114 Return]]),1+PortfolioFrontier[[#This Row],[P114 Return]])</f>
        <v>1.2071458633931798</v>
      </c>
      <c r="QO42" s="27">
        <f>MAX(QO41,PortfolioFrontier[[#This Row],[P114 Growth]])</f>
        <v>1.2071458633931798</v>
      </c>
      <c r="QP42" s="27">
        <f>PortfolioFrontier[[#This Row],[P114 Growth]]/PortfolioFrontier[[#This Row],[P114 HWM]]-1</f>
        <v>0</v>
      </c>
      <c r="QQ42" s="28">
        <f>SUMPRODUCT(INDEX(PortfolioRef[[SPY]:[PE]],MATCH(QQ$1,PortfolioRef[Reference '#]),0),AssetMonthlyReturns[[#This Row],[SPY]:[PE]])</f>
        <v>1.1241517568438055E-2</v>
      </c>
      <c r="QR42" s="27">
        <f>IF(ISNUMBER(QR41),QR41*(1+PortfolioFrontier[[#This Row],[P115 Return]]),1+PortfolioFrontier[[#This Row],[P115 Return]])</f>
        <v>1.2238745422442761</v>
      </c>
      <c r="QS42" s="27">
        <f>MAX(QS41,PortfolioFrontier[[#This Row],[P115 Growth]])</f>
        <v>1.2238745422442761</v>
      </c>
      <c r="QT42" s="27">
        <f>PortfolioFrontier[[#This Row],[P115 Growth]]/PortfolioFrontier[[#This Row],[P115 HWM]]-1</f>
        <v>0</v>
      </c>
      <c r="QU42" s="28">
        <f>SUMPRODUCT(INDEX(PortfolioRef[[SPY]:[PE]],MATCH(QU$1,PortfolioRef[Reference '#]),0),AssetMonthlyReturns[[#This Row],[SPY]:[PE]])</f>
        <v>1.0084411849696117E-2</v>
      </c>
      <c r="QV42" s="27">
        <f>IF(ISNUMBER(QV41),QV41*(1+PortfolioFrontier[[#This Row],[P116 Return]]),1+PortfolioFrontier[[#This Row],[P116 Return]])</f>
        <v>1.2111736022502508</v>
      </c>
      <c r="QW42" s="27">
        <f>MAX(QW41,PortfolioFrontier[[#This Row],[P116 Growth]])</f>
        <v>1.2111736022502508</v>
      </c>
      <c r="QX42" s="27">
        <f>PortfolioFrontier[[#This Row],[P116 Growth]]/PortfolioFrontier[[#This Row],[P116 HWM]]-1</f>
        <v>0</v>
      </c>
      <c r="QY42" s="28">
        <f>SUMPRODUCT(INDEX(PortfolioRef[[SPY]:[PE]],MATCH(QY$1,PortfolioRef[Reference '#]),0),AssetMonthlyReturns[[#This Row],[SPY]:[PE]])</f>
        <v>8.9273061309541827E-3</v>
      </c>
      <c r="QZ42" s="27">
        <f>IF(ISNUMBER(QZ41),QZ41*(1+PortfolioFrontier[[#This Row],[P117 Return]]),1+PortfolioFrontier[[#This Row],[P117 Return]])</f>
        <v>1.1984143201917326</v>
      </c>
      <c r="RA42" s="27">
        <f>MAX(RA41,PortfolioFrontier[[#This Row],[P117 Growth]])</f>
        <v>1.1984143201917326</v>
      </c>
      <c r="RB42" s="27">
        <f>PortfolioFrontier[[#This Row],[P117 Growth]]/PortfolioFrontier[[#This Row],[P117 HWM]]-1</f>
        <v>0</v>
      </c>
      <c r="RC42" s="28">
        <f>SUMPRODUCT(INDEX(PortfolioRef[[SPY]:[PE]],MATCH(RC$1,PortfolioRef[Reference '#]),0),AssetMonthlyReturns[[#This Row],[SPY]:[PE]])</f>
        <v>1.2579217548292755E-2</v>
      </c>
      <c r="RD42" s="27">
        <f>IF(ISNUMBER(RD41),RD41*(1+PortfolioFrontier[[#This Row],[P118 Return]]),1+PortfolioFrontier[[#This Row],[P118 Return]])</f>
        <v>1.2326187683985819</v>
      </c>
      <c r="RE42" s="27">
        <f>MAX(RE41,PortfolioFrontier[[#This Row],[P118 Growth]])</f>
        <v>1.2326187683985819</v>
      </c>
      <c r="RF42" s="27">
        <f>PortfolioFrontier[[#This Row],[P118 Growth]]/PortfolioFrontier[[#This Row],[P118 HWM]]-1</f>
        <v>0</v>
      </c>
      <c r="RG42" s="28">
        <f>SUMPRODUCT(INDEX(PortfolioRef[[SPY]:[PE]],MATCH(RG$1,PortfolioRef[Reference '#]),0),AssetMonthlyReturns[[#This Row],[SPY]:[PE]])</f>
        <v>1.1422111829550819E-2</v>
      </c>
      <c r="RH42" s="27">
        <f>IF(ISNUMBER(RH41),RH41*(1+PortfolioFrontier[[#This Row],[P119 Return]]),1+PortfolioFrontier[[#This Row],[P119 Return]])</f>
        <v>1.2199562355618492</v>
      </c>
      <c r="RI42" s="27">
        <f>MAX(RI41,PortfolioFrontier[[#This Row],[P119 Growth]])</f>
        <v>1.2199562355618492</v>
      </c>
      <c r="RJ42" s="27">
        <f>PortfolioFrontier[[#This Row],[P119 Growth]]/PortfolioFrontier[[#This Row],[P119 HWM]]-1</f>
        <v>0</v>
      </c>
      <c r="RK42" s="28">
        <f>SUMPRODUCT(INDEX(PortfolioRef[[SPY]:[PE]],MATCH(RK$1,PortfolioRef[Reference '#]),0),AssetMonthlyReturns[[#This Row],[SPY]:[PE]])</f>
        <v>1.0265006110808881E-2</v>
      </c>
      <c r="RL42" s="27">
        <f>IF(ISNUMBER(RL41),RL41*(1+PortfolioFrontier[[#This Row],[P120 Return]]),1+PortfolioFrontier[[#This Row],[P120 Return]])</f>
        <v>1.2072323340463376</v>
      </c>
      <c r="RM42" s="27">
        <f>MAX(RM41,PortfolioFrontier[[#This Row],[P120 Growth]])</f>
        <v>1.2072323340463376</v>
      </c>
      <c r="RN42" s="27">
        <f>PortfolioFrontier[[#This Row],[P120 Growth]]/PortfolioFrontier[[#This Row],[P120 HWM]]-1</f>
        <v>0</v>
      </c>
      <c r="RO42" s="28">
        <f>SUMPRODUCT(INDEX(PortfolioRef[[SPY]:[PE]],MATCH(RO$1,PortfolioRef[Reference '#]),0),AssetMonthlyReturns[[#This Row],[SPY]:[PE]])</f>
        <v>1.3916917528147454E-2</v>
      </c>
      <c r="RP42" s="27">
        <f>IF(ISNUMBER(RP41),RP41*(1+PortfolioFrontier[[#This Row],[P121 Return]]),1+PortfolioFrontier[[#This Row],[P121 Return]])</f>
        <v>1.2411552467119755</v>
      </c>
      <c r="RQ42" s="27">
        <f>MAX(RQ41,PortfolioFrontier[[#This Row],[P121 Growth]])</f>
        <v>1.2411552467119755</v>
      </c>
      <c r="RR42" s="27">
        <f>PortfolioFrontier[[#This Row],[P121 Growth]]/PortfolioFrontier[[#This Row],[P121 HWM]]-1</f>
        <v>0</v>
      </c>
      <c r="RS42" s="28">
        <f>SUMPRODUCT(INDEX(PortfolioRef[[SPY]:[PE]],MATCH(RS$1,PortfolioRef[Reference '#]),0),AssetMonthlyReturns[[#This Row],[SPY]:[PE]])</f>
        <v>1.2759811809405518E-2</v>
      </c>
      <c r="RT42" s="27">
        <f>IF(ISNUMBER(RT41),RT41*(1+PortfolioFrontier[[#This Row],[P122 Return]]),1+PortfolioFrontier[[#This Row],[P122 Return]])</f>
        <v>1.2285351588417013</v>
      </c>
      <c r="RU42" s="27">
        <f>MAX(RU41,PortfolioFrontier[[#This Row],[P122 Growth]])</f>
        <v>1.2285351588417013</v>
      </c>
      <c r="RV42" s="27">
        <f>PortfolioFrontier[[#This Row],[P122 Growth]]/PortfolioFrontier[[#This Row],[P122 HWM]]-1</f>
        <v>0</v>
      </c>
      <c r="RW42" s="28">
        <f>SUMPRODUCT(INDEX(PortfolioRef[[SPY]:[PE]],MATCH(RW$1,PortfolioRef[Reference '#]),0),AssetMonthlyReturns[[#This Row],[SPY]:[PE]])</f>
        <v>1.1602706090663583E-2</v>
      </c>
      <c r="RX42" s="27">
        <f>IF(ISNUMBER(RX41),RX41*(1+PortfolioFrontier[[#This Row],[P123 Return]]),1+PortfolioFrontier[[#This Row],[P123 Return]])</f>
        <v>1.215850660873232</v>
      </c>
      <c r="RY42" s="27">
        <f>MAX(RY41,PortfolioFrontier[[#This Row],[P123 Growth]])</f>
        <v>1.215850660873232</v>
      </c>
      <c r="RZ42" s="27">
        <f>PortfolioFrontier[[#This Row],[P123 Growth]]/PortfolioFrontier[[#This Row],[P123 HWM]]-1</f>
        <v>0</v>
      </c>
      <c r="SA42" s="28">
        <f>SUMPRODUCT(INDEX(PortfolioRef[[SPY]:[PE]],MATCH(SA$1,PortfolioRef[Reference '#]),0),AssetMonthlyReturns[[#This Row],[SPY]:[PE]])</f>
        <v>1.2487441365852959E-2</v>
      </c>
      <c r="SB42" s="27">
        <f>IF(ISNUMBER(SB41),SB41*(1+PortfolioFrontier[[#This Row],[P124 Return]]),1+PortfolioFrontier[[#This Row],[P124 Return]])</f>
        <v>1.2325693165374707</v>
      </c>
      <c r="SC42" s="27">
        <f>MAX(SC41,PortfolioFrontier[[#This Row],[P124 Growth]])</f>
        <v>1.2325693165374707</v>
      </c>
      <c r="SD42" s="27">
        <f>PortfolioFrontier[[#This Row],[P124 Growth]]/PortfolioFrontier[[#This Row],[P124 HWM]]-1</f>
        <v>0</v>
      </c>
      <c r="SE42" s="28">
        <f>SUMPRODUCT(INDEX(PortfolioRef[[SPY]:[PE]],MATCH(SE$1,PortfolioRef[Reference '#]),0),AssetMonthlyReturns[[#This Row],[SPY]:[PE]])</f>
        <v>1.1330335647111023E-2</v>
      </c>
      <c r="SF42" s="27">
        <f>IF(ISNUMBER(SF41),SF41*(1+PortfolioFrontier[[#This Row],[P125 Return]]),1+PortfolioFrontier[[#This Row],[P125 Return]])</f>
        <v>1.2199258941994031</v>
      </c>
      <c r="SG42" s="27">
        <f>MAX(SG41,PortfolioFrontier[[#This Row],[P125 Growth]])</f>
        <v>1.2199258941994031</v>
      </c>
      <c r="SH42" s="27">
        <f>PortfolioFrontier[[#This Row],[P125 Growth]]/PortfolioFrontier[[#This Row],[P125 HWM]]-1</f>
        <v>0</v>
      </c>
      <c r="SI42" s="28">
        <f>SUMPRODUCT(INDEX(PortfolioRef[[SPY]:[PE]],MATCH(SI$1,PortfolioRef[Reference '#]),0),AssetMonthlyReturns[[#This Row],[SPY]:[PE]])</f>
        <v>1.0173229928369087E-2</v>
      </c>
      <c r="SJ42" s="27">
        <f>IF(ISNUMBER(SJ41),SJ41*(1+PortfolioFrontier[[#This Row],[P126 Return]]),1+PortfolioFrontier[[#This Row],[P126 Return]])</f>
        <v>1.2072207655341636</v>
      </c>
      <c r="SK42" s="27">
        <f>MAX(SK41,PortfolioFrontier[[#This Row],[P126 Growth]])</f>
        <v>1.2072207655341636</v>
      </c>
      <c r="SL42" s="27">
        <f>PortfolioFrontier[[#This Row],[P126 Growth]]/PortfolioFrontier[[#This Row],[P126 HWM]]-1</f>
        <v>0</v>
      </c>
      <c r="SM42" s="28">
        <f>SUMPRODUCT(INDEX(PortfolioRef[[SPY]:[PE]],MATCH(SM$1,PortfolioRef[Reference '#]),0),AssetMonthlyReturns[[#This Row],[SPY]:[PE]])</f>
        <v>1.382514134570766E-2</v>
      </c>
      <c r="SN42" s="27">
        <f>IF(ISNUMBER(SN41),SN41*(1+PortfolioFrontier[[#This Row],[P127 Return]]),1+PortfolioFrontier[[#This Row],[P127 Return]])</f>
        <v>1.2412115512079289</v>
      </c>
      <c r="SO42" s="27">
        <f>MAX(SO41,PortfolioFrontier[[#This Row],[P127 Growth]])</f>
        <v>1.2412115512079289</v>
      </c>
      <c r="SP42" s="27">
        <f>PortfolioFrontier[[#This Row],[P127 Growth]]/PortfolioFrontier[[#This Row],[P127 HWM]]-1</f>
        <v>0</v>
      </c>
      <c r="SQ42" s="28">
        <f>SUMPRODUCT(INDEX(PortfolioRef[[SPY]:[PE]],MATCH(SQ$1,PortfolioRef[Reference '#]),0),AssetMonthlyReturns[[#This Row],[SPY]:[PE]])</f>
        <v>1.2668035626965723E-2</v>
      </c>
      <c r="SR42" s="27">
        <f>IF(ISNUMBER(SR41),SR41*(1+PortfolioFrontier[[#This Row],[P128 Return]]),1+PortfolioFrontier[[#This Row],[P128 Return]])</f>
        <v>1.2286096079232132</v>
      </c>
      <c r="SS42" s="27">
        <f>MAX(SS41,PortfolioFrontier[[#This Row],[P128 Growth]])</f>
        <v>1.2286096079232132</v>
      </c>
      <c r="ST42" s="27">
        <f>PortfolioFrontier[[#This Row],[P128 Growth]]/PortfolioFrontier[[#This Row],[P128 HWM]]-1</f>
        <v>0</v>
      </c>
      <c r="SU42" s="28">
        <f>SUMPRODUCT(INDEX(PortfolioRef[[SPY]:[PE]],MATCH(SU$1,PortfolioRef[Reference '#]),0),AssetMonthlyReturns[[#This Row],[SPY]:[PE]])</f>
        <v>1.1510929908223789E-2</v>
      </c>
      <c r="SV42" s="27">
        <f>IF(ISNUMBER(SV41),SV41*(1+PortfolioFrontier[[#This Row],[P129 Return]]),1+PortfolioFrontier[[#This Row],[P129 Return]])</f>
        <v>1.2159429144255434</v>
      </c>
      <c r="SW42" s="27">
        <f>MAX(SW41,PortfolioFrontier[[#This Row],[P129 Growth]])</f>
        <v>1.2159429144255434</v>
      </c>
      <c r="SX42" s="27">
        <f>PortfolioFrontier[[#This Row],[P129 Growth]]/PortfolioFrontier[[#This Row],[P129 HWM]]-1</f>
        <v>0</v>
      </c>
      <c r="SY42" s="28">
        <f>SUMPRODUCT(INDEX(PortfolioRef[[SPY]:[PE]],MATCH(SY$1,PortfolioRef[Reference '#]),0),AssetMonthlyReturns[[#This Row],[SPY]:[PE]])</f>
        <v>1.5162841325562358E-2</v>
      </c>
      <c r="SZ42" s="27">
        <f>IF(ISNUMBER(SZ41),SZ41*(1+PortfolioFrontier[[#This Row],[P130 Return]]),1+PortfolioFrontier[[#This Row],[P130 Return]])</f>
        <v>1.2496419706813411</v>
      </c>
      <c r="TA42" s="27">
        <f>MAX(TA41,PortfolioFrontier[[#This Row],[P130 Growth]])</f>
        <v>1.2496419706813411</v>
      </c>
      <c r="TB42" s="27">
        <f>PortfolioFrontier[[#This Row],[P130 Growth]]/PortfolioFrontier[[#This Row],[P130 HWM]]-1</f>
        <v>0</v>
      </c>
      <c r="TC42" s="28">
        <f>SUMPRODUCT(INDEX(PortfolioRef[[SPY]:[PE]],MATCH(TC$1,PortfolioRef[Reference '#]),0),AssetMonthlyReturns[[#This Row],[SPY]:[PE]])</f>
        <v>1.4005735606820422E-2</v>
      </c>
      <c r="TD42" s="27">
        <f>IF(ISNUMBER(TD41),TD41*(1+PortfolioFrontier[[#This Row],[P131 Return]]),1+PortfolioFrontier[[#This Row],[P131 Return]])</f>
        <v>1.2370855565395185</v>
      </c>
      <c r="TE42" s="27">
        <f>MAX(TE41,PortfolioFrontier[[#This Row],[P131 Growth]])</f>
        <v>1.2370855565395185</v>
      </c>
      <c r="TF42" s="27">
        <f>PortfolioFrontier[[#This Row],[P131 Growth]]/PortfolioFrontier[[#This Row],[P131 HWM]]-1</f>
        <v>0</v>
      </c>
      <c r="TG42" s="28">
        <f>SUMPRODUCT(INDEX(PortfolioRef[[SPY]:[PE]],MATCH(TG$1,PortfolioRef[Reference '#]),0),AssetMonthlyReturns[[#This Row],[SPY]:[PE]])</f>
        <v>1.2848629888078488E-2</v>
      </c>
      <c r="TH42" s="27">
        <f>IF(ISNUMBER(TH41),TH41*(1+PortfolioFrontier[[#This Row],[P132 Return]]),1+PortfolioFrontier[[#This Row],[P132 Return]])</f>
        <v>1.2244613346626376</v>
      </c>
      <c r="TI42" s="27">
        <f>MAX(TI41,PortfolioFrontier[[#This Row],[P132 Growth]])</f>
        <v>1.2244613346626376</v>
      </c>
      <c r="TJ42" s="27">
        <f>PortfolioFrontier[[#This Row],[P132 Growth]]/PortfolioFrontier[[#This Row],[P132 HWM]]-1</f>
        <v>0</v>
      </c>
      <c r="TK42" s="28">
        <f>SUMPRODUCT(INDEX(PortfolioRef[[SPY]:[PE]],MATCH(TK$1,PortfolioRef[Reference '#]),0),AssetMonthlyReturns[[#This Row],[SPY]:[PE]])</f>
        <v>1.3733365163267864E-2</v>
      </c>
      <c r="TL42" s="27">
        <f>IF(ISNUMBER(TL41),TL41*(1+PortfolioFrontier[[#This Row],[P133 Return]]),1+PortfolioFrontier[[#This Row],[P133 Return]])</f>
        <v>1.2411673285061573</v>
      </c>
      <c r="TM42" s="27">
        <f>MAX(TM41,PortfolioFrontier[[#This Row],[P133 Growth]])</f>
        <v>1.2411673285061573</v>
      </c>
      <c r="TN42" s="27">
        <f>PortfolioFrontier[[#This Row],[P133 Growth]]/PortfolioFrontier[[#This Row],[P133 HWM]]-1</f>
        <v>0</v>
      </c>
      <c r="TO42" s="28">
        <f>SUMPRODUCT(INDEX(PortfolioRef[[SPY]:[PE]],MATCH(TO$1,PortfolioRef[Reference '#]),0),AssetMonthlyReturns[[#This Row],[SPY]:[PE]])</f>
        <v>1.2576259444525928E-2</v>
      </c>
      <c r="TP42" s="27">
        <f>IF(ISNUMBER(TP41),TP41*(1+PortfolioFrontier[[#This Row],[P134 Return]]),1+PortfolioFrontier[[#This Row],[P134 Return]])</f>
        <v>1.2285844557056926</v>
      </c>
      <c r="TQ42" s="27">
        <f>MAX(TQ41,PortfolioFrontier[[#This Row],[P134 Growth]])</f>
        <v>1.2285844557056926</v>
      </c>
      <c r="TR42" s="27">
        <f>PortfolioFrontier[[#This Row],[P134 Growth]]/PortfolioFrontier[[#This Row],[P134 HWM]]-1</f>
        <v>0</v>
      </c>
      <c r="TS42" s="28">
        <f>SUMPRODUCT(INDEX(PortfolioRef[[SPY]:[PE]],MATCH(TS$1,PortfolioRef[Reference '#]),0),AssetMonthlyReturns[[#This Row],[SPY]:[PE]])</f>
        <v>1.1419153725783993E-2</v>
      </c>
      <c r="TT42" s="27">
        <f>IF(ISNUMBER(TT41),TT41*(1+PortfolioFrontier[[#This Row],[P135 Return]]),1+PortfolioFrontier[[#This Row],[P135 Return]])</f>
        <v>1.2159364982889043</v>
      </c>
      <c r="TU42" s="27">
        <f>MAX(TU41,PortfolioFrontier[[#This Row],[P135 Growth]])</f>
        <v>1.2159364982889043</v>
      </c>
      <c r="TV42" s="27">
        <f>PortfolioFrontier[[#This Row],[P135 Growth]]/PortfolioFrontier[[#This Row],[P135 HWM]]-1</f>
        <v>0</v>
      </c>
      <c r="TW42" s="28">
        <f>SUMPRODUCT(INDEX(PortfolioRef[[SPY]:[PE]],MATCH(TW$1,PortfolioRef[Reference '#]),0),AssetMonthlyReturns[[#This Row],[SPY]:[PE]])</f>
        <v>1.5071065143122564E-2</v>
      </c>
      <c r="TX42" s="27">
        <f>IF(ISNUMBER(TX41),TX41*(1+PortfolioFrontier[[#This Row],[P136 Return]]),1+PortfolioFrontier[[#This Row],[P136 Return]])</f>
        <v>1.2497043626480868</v>
      </c>
      <c r="TY42" s="27">
        <f>MAX(TY41,PortfolioFrontier[[#This Row],[P136 Growth]])</f>
        <v>1.2497043626480868</v>
      </c>
      <c r="TZ42" s="27">
        <f>PortfolioFrontier[[#This Row],[P136 Growth]]/PortfolioFrontier[[#This Row],[P136 HWM]]-1</f>
        <v>0</v>
      </c>
      <c r="UA42" s="28">
        <f>SUMPRODUCT(INDEX(PortfolioRef[[SPY]:[PE]],MATCH(UA$1,PortfolioRef[Reference '#]),0),AssetMonthlyReturns[[#This Row],[SPY]:[PE]])</f>
        <v>1.3913959424380628E-2</v>
      </c>
      <c r="UB42" s="27">
        <f>IF(ISNUMBER(UB41),UB41*(1+PortfolioFrontier[[#This Row],[P137 Return]]),1+PortfolioFrontier[[#This Row],[P137 Return]])</f>
        <v>1.2371660539126581</v>
      </c>
      <c r="UC42" s="27">
        <f>MAX(UC41,PortfolioFrontier[[#This Row],[P137 Growth]])</f>
        <v>1.2371660539126581</v>
      </c>
      <c r="UD42" s="27">
        <f>PortfolioFrontier[[#This Row],[P137 Growth]]/PortfolioFrontier[[#This Row],[P137 HWM]]-1</f>
        <v>0</v>
      </c>
      <c r="UE42" s="28">
        <f>SUMPRODUCT(INDEX(PortfolioRef[[SPY]:[PE]],MATCH(UE$1,PortfolioRef[Reference '#]),0),AssetMonthlyReturns[[#This Row],[SPY]:[PE]])</f>
        <v>1.2756853705638694E-2</v>
      </c>
      <c r="UF42" s="27">
        <f>IF(ISNUMBER(UF41),UF41*(1+PortfolioFrontier[[#This Row],[P138 Return]]),1+PortfolioFrontier[[#This Row],[P138 Return]])</f>
        <v>1.2245596004077191</v>
      </c>
      <c r="UG42" s="27">
        <f>MAX(UG41,PortfolioFrontier[[#This Row],[P138 Growth]])</f>
        <v>1.2245596004077191</v>
      </c>
      <c r="UH42" s="27">
        <f>PortfolioFrontier[[#This Row],[P138 Growth]]/PortfolioFrontier[[#This Row],[P138 HWM]]-1</f>
        <v>0</v>
      </c>
      <c r="UI42" s="28">
        <f>SUMPRODUCT(INDEX(PortfolioRef[[SPY]:[PE]],MATCH(UI$1,PortfolioRef[Reference '#]),0),AssetMonthlyReturns[[#This Row],[SPY]:[PE]])</f>
        <v>1.6408765122977266E-2</v>
      </c>
      <c r="UJ42" s="27">
        <f>IF(ISNUMBER(UJ41),UJ41*(1+PortfolioFrontier[[#This Row],[P139 Return]]),1+PortfolioFrontier[[#This Row],[P139 Return]])</f>
        <v>1.2580255148817086</v>
      </c>
      <c r="UK42" s="27">
        <f>MAX(UK41,PortfolioFrontier[[#This Row],[P139 Growth]])</f>
        <v>1.2580255148817086</v>
      </c>
      <c r="UL42" s="27">
        <f>PortfolioFrontier[[#This Row],[P139 Growth]]/PortfolioFrontier[[#This Row],[P139 HWM]]-1</f>
        <v>0</v>
      </c>
      <c r="UM42" s="28">
        <f>SUMPRODUCT(INDEX(PortfolioRef[[SPY]:[PE]],MATCH(UM$1,PortfolioRef[Reference '#]),0),AssetMonthlyReturns[[#This Row],[SPY]:[PE]])</f>
        <v>1.5251659404235327E-2</v>
      </c>
      <c r="UN42" s="27">
        <f>IF(ISNUMBER(UN41),UN41*(1+PortfolioFrontier[[#This Row],[P140 Return]]),1+PortfolioFrontier[[#This Row],[P140 Return]])</f>
        <v>1.2455358313979794</v>
      </c>
      <c r="UO42" s="27">
        <f>MAX(UO41,PortfolioFrontier[[#This Row],[P140 Growth]])</f>
        <v>1.2455358313979794</v>
      </c>
      <c r="UP42" s="27">
        <f>PortfolioFrontier[[#This Row],[P140 Growth]]/PortfolioFrontier[[#This Row],[P140 HWM]]-1</f>
        <v>0</v>
      </c>
      <c r="UQ42" s="28">
        <f>SUMPRODUCT(INDEX(PortfolioRef[[SPY]:[PE]],MATCH(UQ$1,PortfolioRef[Reference '#]),0),AssetMonthlyReturns[[#This Row],[SPY]:[PE]])</f>
        <v>1.4094553685493392E-2</v>
      </c>
      <c r="UR42" s="27">
        <f>IF(ISNUMBER(UR41),UR41*(1+PortfolioFrontier[[#This Row],[P141 Return]]),1+PortfolioFrontier[[#This Row],[P141 Return]])</f>
        <v>1.232974930543834</v>
      </c>
      <c r="US42" s="27">
        <f>MAX(US41,PortfolioFrontier[[#This Row],[P141 Growth]])</f>
        <v>1.232974930543834</v>
      </c>
      <c r="UT42" s="27">
        <f>PortfolioFrontier[[#This Row],[P141 Growth]]/PortfolioFrontier[[#This Row],[P141 HWM]]-1</f>
        <v>0</v>
      </c>
    </row>
    <row r="43" spans="2:566" x14ac:dyDescent="0.2">
      <c r="B43" s="41">
        <f>AssetMonthlyReturns[[#This Row],[Date]]</f>
        <v>43678</v>
      </c>
      <c r="C43" s="28">
        <f>SUMPRODUCT(INDEX(PortfolioRef[[SPY]:[PE]],MATCH(C$1,PortfolioRef[Reference '#]),0),AssetMonthlyReturns[[#This Row],[SPY]:[PE]])</f>
        <v>6.6091199451531182E-3</v>
      </c>
      <c r="D43" s="29">
        <f>IF(ISNUMBER(D42),D42*(1+PortfolioFrontier[[#This Row],[P1 Return]]),1+PortfolioFrontier[[#This Row],[P1 Return]])</f>
        <v>1.3458850896026955</v>
      </c>
      <c r="E43" s="29">
        <f>MAX(E42,PortfolioFrontier[[#This Row],[P1 Growth]])</f>
        <v>1.3458850896026955</v>
      </c>
      <c r="F43" s="29">
        <f>PortfolioFrontier[[#This Row],[P1 Growth]]/PortfolioFrontier[[#This Row],[P1 HWM]]-1</f>
        <v>0</v>
      </c>
      <c r="G43" s="28">
        <f>SUMPRODUCT(INDEX(PortfolioRef[[SPY]:[PE]],MATCH(G$1,PortfolioRef[Reference '#]),0),AssetMonthlyReturns[[#This Row],[SPY]:[PE]])</f>
        <v>8.834054965028015E-3</v>
      </c>
      <c r="H43" s="27">
        <f>IF(ISNUMBER(H42),H42*(1+PortfolioFrontier[[#This Row],[P2 Return]]),1+PortfolioFrontier[[#This Row],[P2 Return]])</f>
        <v>1.3263786865674578</v>
      </c>
      <c r="I43" s="27">
        <f>MAX(I42,PortfolioFrontier[[#This Row],[P2 Growth]])</f>
        <v>1.3263786865674578</v>
      </c>
      <c r="J43" s="27">
        <f>PortfolioFrontier[[#This Row],[P2 Growth]]/PortfolioFrontier[[#This Row],[P2 HWM]]-1</f>
        <v>0</v>
      </c>
      <c r="K43" s="28">
        <f>SUMPRODUCT(INDEX(PortfolioRef[[SPY]:[PE]],MATCH(K$1,PortfolioRef[Reference '#]),0),AssetMonthlyReturns[[#This Row],[SPY]:[PE]])</f>
        <v>1.1402561275674071E-2</v>
      </c>
      <c r="L43" s="27">
        <f>IF(ISNUMBER(L42),L42*(1+PortfolioFrontier[[#This Row],[P3 Return]]),1+PortfolioFrontier[[#This Row],[P3 Return]])</f>
        <v>1.3298655266975095</v>
      </c>
      <c r="M43" s="27">
        <f>MAX(M42,PortfolioFrontier[[#This Row],[P3 Growth]])</f>
        <v>1.3298655266975095</v>
      </c>
      <c r="N43" s="27">
        <f>PortfolioFrontier[[#This Row],[P3 Growth]]/PortfolioFrontier[[#This Row],[P3 HWM]]-1</f>
        <v>0</v>
      </c>
      <c r="O43" s="28">
        <f>SUMPRODUCT(INDEX(PortfolioRef[[SPY]:[PE]],MATCH(O$1,PortfolioRef[Reference '#]),0),AssetMonthlyReturns[[#This Row],[SPY]:[PE]])</f>
        <v>9.3195011098415985E-3</v>
      </c>
      <c r="P43" s="27">
        <f>IF(ISNUMBER(P42),P42*(1+PortfolioFrontier[[#This Row],[P4 Return]]),1+PortfolioFrontier[[#This Row],[P4 Return]])</f>
        <v>1.3362600552918682</v>
      </c>
      <c r="Q43" s="27">
        <f>MAX(Q42,PortfolioFrontier[[#This Row],[P4 Growth]])</f>
        <v>1.3362600552918682</v>
      </c>
      <c r="R43" s="27">
        <f>PortfolioFrontier[[#This Row],[P4 Growth]]/PortfolioFrontier[[#This Row],[P4 HWM]]-1</f>
        <v>0</v>
      </c>
      <c r="S43" s="28">
        <f>SUMPRODUCT(INDEX(PortfolioRef[[SPY]:[PE]],MATCH(S$1,PortfolioRef[Reference '#]),0),AssetMonthlyReturns[[#This Row],[SPY]:[PE]])</f>
        <v>7.445300861099618E-3</v>
      </c>
      <c r="T43" s="27">
        <f>IF(ISNUMBER(T42),T42*(1+PortfolioFrontier[[#This Row],[P5 Return]]),1+PortfolioFrontier[[#This Row],[P5 Return]])</f>
        <v>1.3200958241694147</v>
      </c>
      <c r="U43" s="27">
        <f>MAX(U42,PortfolioFrontier[[#This Row],[P5 Growth]])</f>
        <v>1.3200958241694147</v>
      </c>
      <c r="V43" s="27">
        <f>PortfolioFrontier[[#This Row],[P5 Growth]]/PortfolioFrontier[[#This Row],[P5 HWM]]-1</f>
        <v>0</v>
      </c>
      <c r="W43" s="28">
        <f>SUMPRODUCT(INDEX(PortfolioRef[[SPY]:[PE]],MATCH(W$1,PortfolioRef[Reference '#]),0),AssetMonthlyReturns[[#This Row],[SPY]:[PE]])</f>
        <v>1.1058989984902911E-2</v>
      </c>
      <c r="X43" s="27">
        <f>IF(ISNUMBER(X42),X42*(1+PortfolioFrontier[[#This Row],[P6 Return]]),1+PortfolioFrontier[[#This Row],[P6 Return]])</f>
        <v>1.3069637777723706</v>
      </c>
      <c r="Y43" s="27">
        <f>MAX(Y42,PortfolioFrontier[[#This Row],[P6 Growth]])</f>
        <v>1.3069637777723706</v>
      </c>
      <c r="Z43" s="27">
        <f>PortfolioFrontier[[#This Row],[P6 Growth]]/PortfolioFrontier[[#This Row],[P6 HWM]]-1</f>
        <v>0</v>
      </c>
      <c r="AA43" s="28">
        <f>SUMPRODUCT(INDEX(PortfolioRef[[SPY]:[PE]],MATCH(AA$1,PortfolioRef[Reference '#]),0),AssetMonthlyReturns[[#This Row],[SPY]:[PE]])</f>
        <v>1.3627496295548968E-2</v>
      </c>
      <c r="AB43" s="27">
        <f>IF(ISNUMBER(AB42),AB42*(1+PortfolioFrontier[[#This Row],[P7 Return]]),1+PortfolioFrontier[[#This Row],[P7 Return]])</f>
        <v>1.3103775965081563</v>
      </c>
      <c r="AC43" s="27">
        <f>MAX(AC42,PortfolioFrontier[[#This Row],[P7 Growth]])</f>
        <v>1.3103775965081563</v>
      </c>
      <c r="AD43" s="27">
        <f>PortfolioFrontier[[#This Row],[P7 Growth]]/PortfolioFrontier[[#This Row],[P7 HWM]]-1</f>
        <v>0</v>
      </c>
      <c r="AE43" s="28">
        <f>SUMPRODUCT(INDEX(PortfolioRef[[SPY]:[PE]],MATCH(AE$1,PortfolioRef[Reference '#]),0),AssetMonthlyReturns[[#This Row],[SPY]:[PE]])</f>
        <v>1.1544436129716496E-2</v>
      </c>
      <c r="AF43" s="27">
        <f>IF(ISNUMBER(AF42),AF42*(1+PortfolioFrontier[[#This Row],[P8 Return]]),1+PortfolioFrontier[[#This Row],[P8 Return]])</f>
        <v>1.3168012483544622</v>
      </c>
      <c r="AG43" s="27">
        <f>MAX(AG42,PortfolioFrontier[[#This Row],[P8 Growth]])</f>
        <v>1.3168012483544622</v>
      </c>
      <c r="AH43" s="27">
        <f>PortfolioFrontier[[#This Row],[P8 Growth]]/PortfolioFrontier[[#This Row],[P8 HWM]]-1</f>
        <v>0</v>
      </c>
      <c r="AI43" s="28">
        <f>SUMPRODUCT(INDEX(PortfolioRef[[SPY]:[PE]],MATCH(AI$1,PortfolioRef[Reference '#]),0),AssetMonthlyReturns[[#This Row],[SPY]:[PE]])</f>
        <v>9.6702358809745165E-3</v>
      </c>
      <c r="AJ43" s="27">
        <f>IF(ISNUMBER(AJ42),AJ42*(1+PortfolioFrontier[[#This Row],[P9 Return]]),1+PortfolioFrontier[[#This Row],[P9 Return]])</f>
        <v>1.3008065288662265</v>
      </c>
      <c r="AK43" s="27">
        <f>MAX(AK42,PortfolioFrontier[[#This Row],[P9 Growth]])</f>
        <v>1.3008065288662265</v>
      </c>
      <c r="AL43" s="27">
        <f>PortfolioFrontier[[#This Row],[P9 Growth]]/PortfolioFrontier[[#This Row],[P9 HWM]]-1</f>
        <v>0</v>
      </c>
      <c r="AM43" s="28">
        <f>SUMPRODUCT(INDEX(PortfolioRef[[SPY]:[PE]],MATCH(AM$1,PortfolioRef[Reference '#]),0),AssetMonthlyReturns[[#This Row],[SPY]:[PE]])</f>
        <v>1.6196002606195026E-2</v>
      </c>
      <c r="AN43" s="27">
        <f>IF(ISNUMBER(AN42),AN42*(1+PortfolioFrontier[[#This Row],[P10 Return]]),1+PortfolioFrontier[[#This Row],[P10 Return]])</f>
        <v>1.3136858402445704</v>
      </c>
      <c r="AO43" s="27">
        <f>MAX(AO42,PortfolioFrontier[[#This Row],[P10 Growth]])</f>
        <v>1.3136858402445704</v>
      </c>
      <c r="AP43" s="27">
        <f>PortfolioFrontier[[#This Row],[P10 Growth]]/PortfolioFrontier[[#This Row],[P10 HWM]]-1</f>
        <v>0</v>
      </c>
      <c r="AQ43" s="28">
        <f>SUMPRODUCT(INDEX(PortfolioRef[[SPY]:[PE]],MATCH(AQ$1,PortfolioRef[Reference '#]),0),AssetMonthlyReturns[[#This Row],[SPY]:[PE]])</f>
        <v>1.4112942440362552E-2</v>
      </c>
      <c r="AR43" s="27">
        <f>IF(ISNUMBER(AR42),AR42*(1+PortfolioFrontier[[#This Row],[P11 Return]]),1+PortfolioFrontier[[#This Row],[P11 Return]])</f>
        <v>1.3202449736083093</v>
      </c>
      <c r="AS43" s="27">
        <f>MAX(AS42,PortfolioFrontier[[#This Row],[P11 Growth]])</f>
        <v>1.3202449736083093</v>
      </c>
      <c r="AT43" s="27">
        <f>PortfolioFrontier[[#This Row],[P11 Growth]]/PortfolioFrontier[[#This Row],[P11 HWM]]-1</f>
        <v>0</v>
      </c>
      <c r="AU43" s="28">
        <f>SUMPRODUCT(INDEX(PortfolioRef[[SPY]:[PE]],MATCH(AU$1,PortfolioRef[Reference '#]),0),AssetMonthlyReturns[[#This Row],[SPY]:[PE]])</f>
        <v>1.2238742191620572E-2</v>
      </c>
      <c r="AV43" s="27">
        <f>IF(ISNUMBER(AV42),AV42*(1+PortfolioFrontier[[#This Row],[P12 Return]]),1+PortfolioFrontier[[#This Row],[P12 Return]])</f>
        <v>1.3042343587093217</v>
      </c>
      <c r="AW43" s="27">
        <f>MAX(AW42,PortfolioFrontier[[#This Row],[P12 Growth]])</f>
        <v>1.3042343587093217</v>
      </c>
      <c r="AX43" s="27">
        <f>PortfolioFrontier[[#This Row],[P12 Growth]]/PortfolioFrontier[[#This Row],[P12 HWM]]-1</f>
        <v>0</v>
      </c>
      <c r="AY43" s="28">
        <f>SUMPRODUCT(INDEX(PortfolioRef[[SPY]:[PE]],MATCH(AY$1,PortfolioRef[Reference '#]),0),AssetMonthlyReturns[[#This Row],[SPY]:[PE]])</f>
        <v>1.2029882274530078E-2</v>
      </c>
      <c r="AZ43" s="27">
        <f>IF(ISNUMBER(AZ42),AZ42*(1+PortfolioFrontier[[#This Row],[P13 Return]]),1+PortfolioFrontier[[#This Row],[P13 Return]])</f>
        <v>1.3265419821687667</v>
      </c>
      <c r="BA43" s="27">
        <f>MAX(BA42,PortfolioFrontier[[#This Row],[P13 Growth]])</f>
        <v>1.3265419821687667</v>
      </c>
      <c r="BB43" s="27">
        <f>PortfolioFrontier[[#This Row],[P13 Growth]]/PortfolioFrontier[[#This Row],[P13 HWM]]-1</f>
        <v>0</v>
      </c>
      <c r="BC43" s="28">
        <f>SUMPRODUCT(INDEX(PortfolioRef[[SPY]:[PE]],MATCH(BC$1,PortfolioRef[Reference '#]),0),AssetMonthlyReturns[[#This Row],[SPY]:[PE]])</f>
        <v>1.01556820257881E-2</v>
      </c>
      <c r="BD43" s="27">
        <f>IF(ISNUMBER(BD42),BD42*(1+PortfolioFrontier[[#This Row],[P14 Return]]),1+PortfolioFrontier[[#This Row],[P14 Return]])</f>
        <v>1.3105893655486915</v>
      </c>
      <c r="BE43" s="27">
        <f>MAX(BE42,PortfolioFrontier[[#This Row],[P14 Growth]])</f>
        <v>1.3105893655486915</v>
      </c>
      <c r="BF43" s="27">
        <f>PortfolioFrontier[[#This Row],[P14 Growth]]/PortfolioFrontier[[#This Row],[P14 HWM]]-1</f>
        <v>0</v>
      </c>
      <c r="BG43" s="28">
        <f>SUMPRODUCT(INDEX(PortfolioRef[[SPY]:[PE]],MATCH(BG$1,PortfolioRef[Reference '#]),0),AssetMonthlyReturns[[#This Row],[SPY]:[PE]])</f>
        <v>8.2814817770461187E-3</v>
      </c>
      <c r="BH43" s="27">
        <f>IF(ISNUMBER(BH42),BH42*(1+PortfolioFrontier[[#This Row],[P15 Return]]),1+PortfolioFrontier[[#This Row],[P15 Return]])</f>
        <v>1.2946189987240695</v>
      </c>
      <c r="BI43" s="27">
        <f>MAX(BI42,PortfolioFrontier[[#This Row],[P15 Growth]])</f>
        <v>1.2946189987240695</v>
      </c>
      <c r="BJ43" s="27">
        <f>PortfolioFrontier[[#This Row],[P15 Growth]]/PortfolioFrontier[[#This Row],[P15 HWM]]-1</f>
        <v>0</v>
      </c>
      <c r="BK43" s="28">
        <f>SUMPRODUCT(INDEX(PortfolioRef[[SPY]:[PE]],MATCH(BK$1,PortfolioRef[Reference '#]),0),AssetMonthlyReturns[[#This Row],[SPY]:[PE]])</f>
        <v>1.3283925004777807E-2</v>
      </c>
      <c r="BL43" s="27">
        <f>IF(ISNUMBER(BL42),BL42*(1+PortfolioFrontier[[#This Row],[P16 Return]]),1+PortfolioFrontier[[#This Row],[P16 Return]])</f>
        <v>1.2876450625534059</v>
      </c>
      <c r="BM43" s="27">
        <f>MAX(BM42,PortfolioFrontier[[#This Row],[P16 Growth]])</f>
        <v>1.2876450625534059</v>
      </c>
      <c r="BN43" s="27">
        <f>PortfolioFrontier[[#This Row],[P16 Growth]]/PortfolioFrontier[[#This Row],[P16 HWM]]-1</f>
        <v>0</v>
      </c>
      <c r="BO43" s="28">
        <f>SUMPRODUCT(INDEX(PortfolioRef[[SPY]:[PE]],MATCH(BO$1,PortfolioRef[Reference '#]),0),AssetMonthlyReturns[[#This Row],[SPY]:[PE]])</f>
        <v>1.5852431315423864E-2</v>
      </c>
      <c r="BP43" s="27">
        <f>IF(ISNUMBER(BP42),BP42*(1+PortfolioFrontier[[#This Row],[P17 Return]]),1+PortfolioFrontier[[#This Row],[P17 Return]])</f>
        <v>1.2909870232592557</v>
      </c>
      <c r="BQ43" s="27">
        <f>MAX(BQ42,PortfolioFrontier[[#This Row],[P17 Growth]])</f>
        <v>1.2909870232592557</v>
      </c>
      <c r="BR43" s="27">
        <f>PortfolioFrontier[[#This Row],[P17 Growth]]/PortfolioFrontier[[#This Row],[P17 HWM]]-1</f>
        <v>0</v>
      </c>
      <c r="BS43" s="28">
        <f>SUMPRODUCT(INDEX(PortfolioRef[[SPY]:[PE]],MATCH(BS$1,PortfolioRef[Reference '#]),0),AssetMonthlyReturns[[#This Row],[SPY]:[PE]])</f>
        <v>1.376937114959139E-2</v>
      </c>
      <c r="BT43" s="27">
        <f>IF(ISNUMBER(BT42),BT42*(1+PortfolioFrontier[[#This Row],[P18 Return]]),1+PortfolioFrontier[[#This Row],[P18 Return]])</f>
        <v>1.2974360276578019</v>
      </c>
      <c r="BU43" s="27">
        <f>MAX(BU42,PortfolioFrontier[[#This Row],[P18 Growth]])</f>
        <v>1.2974360276578019</v>
      </c>
      <c r="BV43" s="27">
        <f>PortfolioFrontier[[#This Row],[P18 Growth]]/PortfolioFrontier[[#This Row],[P18 HWM]]-1</f>
        <v>0</v>
      </c>
      <c r="BW43" s="28">
        <f>SUMPRODUCT(INDEX(PortfolioRef[[SPY]:[PE]],MATCH(BW$1,PortfolioRef[Reference '#]),0),AssetMonthlyReturns[[#This Row],[SPY]:[PE]])</f>
        <v>1.1895170900849412E-2</v>
      </c>
      <c r="BX43" s="27">
        <f>IF(ISNUMBER(BX42),BX42*(1+PortfolioFrontier[[#This Row],[P19 Return]]),1+PortfolioFrontier[[#This Row],[P19 Return]])</f>
        <v>1.2816117959549864</v>
      </c>
      <c r="BY43" s="27">
        <f>MAX(BY42,PortfolioFrontier[[#This Row],[P19 Growth]])</f>
        <v>1.2816117959549864</v>
      </c>
      <c r="BZ43" s="27">
        <f>PortfolioFrontier[[#This Row],[P19 Growth]]/PortfolioFrontier[[#This Row],[P19 HWM]]-1</f>
        <v>0</v>
      </c>
      <c r="CA43" s="28">
        <f>SUMPRODUCT(INDEX(PortfolioRef[[SPY]:[PE]],MATCH(CA$1,PortfolioRef[Reference '#]),0),AssetMonthlyReturns[[#This Row],[SPY]:[PE]])</f>
        <v>1.8420937626069923E-2</v>
      </c>
      <c r="CB43" s="27">
        <f>IF(ISNUMBER(CB42),CB42*(1+PortfolioFrontier[[#This Row],[P20 Return]]),1+PortfolioFrontier[[#This Row],[P20 Return]])</f>
        <v>1.2942247360750938</v>
      </c>
      <c r="CC43" s="27">
        <f>MAX(CC42,PortfolioFrontier[[#This Row],[P20 Growth]])</f>
        <v>1.2942247360750938</v>
      </c>
      <c r="CD43" s="27">
        <f>PortfolioFrontier[[#This Row],[P20 Growth]]/PortfolioFrontier[[#This Row],[P20 HWM]]-1</f>
        <v>0</v>
      </c>
      <c r="CE43" s="28">
        <f>SUMPRODUCT(INDEX(PortfolioRef[[SPY]:[PE]],MATCH(CE$1,PortfolioRef[Reference '#]),0),AssetMonthlyReturns[[#This Row],[SPY]:[PE]])</f>
        <v>1.6337877460237446E-2</v>
      </c>
      <c r="CF43" s="27">
        <f>IF(ISNUMBER(CF42),CF42*(1+PortfolioFrontier[[#This Row],[P21 Return]]),1+PortfolioFrontier[[#This Row],[P21 Return]])</f>
        <v>1.3008074321076706</v>
      </c>
      <c r="CG43" s="27">
        <f>MAX(CG42,PortfolioFrontier[[#This Row],[P21 Growth]])</f>
        <v>1.3008074321076706</v>
      </c>
      <c r="CH43" s="27">
        <f>PortfolioFrontier[[#This Row],[P21 Growth]]/PortfolioFrontier[[#This Row],[P21 HWM]]-1</f>
        <v>0</v>
      </c>
      <c r="CI43" s="28">
        <f>SUMPRODUCT(INDEX(PortfolioRef[[SPY]:[PE]],MATCH(CI$1,PortfolioRef[Reference '#]),0),AssetMonthlyReturns[[#This Row],[SPY]:[PE]])</f>
        <v>1.4463677211495468E-2</v>
      </c>
      <c r="CJ43" s="27">
        <f>IF(ISNUMBER(CJ42),CJ42*(1+PortfolioFrontier[[#This Row],[P22 Return]]),1+PortfolioFrontier[[#This Row],[P22 Return]])</f>
        <v>1.2849677135403546</v>
      </c>
      <c r="CK43" s="27">
        <f>MAX(CK42,PortfolioFrontier[[#This Row],[P22 Growth]])</f>
        <v>1.2849677135403546</v>
      </c>
      <c r="CL43" s="27">
        <f>PortfolioFrontier[[#This Row],[P22 Growth]]/PortfolioFrontier[[#This Row],[P22 HWM]]-1</f>
        <v>0</v>
      </c>
      <c r="CM43" s="28">
        <f>SUMPRODUCT(INDEX(PortfolioRef[[SPY]:[PE]],MATCH(CM$1,PortfolioRef[Reference '#]),0),AssetMonthlyReturns[[#This Row],[SPY]:[PE]])</f>
        <v>1.4254817294404976E-2</v>
      </c>
      <c r="CN43" s="27">
        <f>IF(ISNUMBER(CN42),CN42*(1+PortfolioFrontier[[#This Row],[P23 Return]]),1+PortfolioFrontier[[#This Row],[P23 Return]])</f>
        <v>1.3071333794411213</v>
      </c>
      <c r="CO43" s="27">
        <f>MAX(CO42,PortfolioFrontier[[#This Row],[P23 Growth]])</f>
        <v>1.3071333794411213</v>
      </c>
      <c r="CP43" s="27">
        <f>PortfolioFrontier[[#This Row],[P23 Growth]]/PortfolioFrontier[[#This Row],[P23 HWM]]-1</f>
        <v>0</v>
      </c>
      <c r="CQ43" s="28">
        <f>SUMPRODUCT(INDEX(PortfolioRef[[SPY]:[PE]],MATCH(CQ$1,PortfolioRef[Reference '#]),0),AssetMonthlyReturns[[#This Row],[SPY]:[PE]])</f>
        <v>1.2380617045662996E-2</v>
      </c>
      <c r="CR43" s="27">
        <f>IF(ISNUMBER(CR42),CR42*(1+PortfolioFrontier[[#This Row],[P24 Return]]),1+PortfolioFrontier[[#This Row],[P24 Return]])</f>
        <v>1.2913488676159217</v>
      </c>
      <c r="CS43" s="27">
        <f>MAX(CS42,PortfolioFrontier[[#This Row],[P24 Growth]])</f>
        <v>1.2913488676159217</v>
      </c>
      <c r="CT43" s="27">
        <f>PortfolioFrontier[[#This Row],[P24 Growth]]/PortfolioFrontier[[#This Row],[P24 HWM]]-1</f>
        <v>0</v>
      </c>
      <c r="CU43" s="28">
        <f>SUMPRODUCT(INDEX(PortfolioRef[[SPY]:[PE]],MATCH(CU$1,PortfolioRef[Reference '#]),0),AssetMonthlyReturns[[#This Row],[SPY]:[PE]])</f>
        <v>1.0506416796921015E-2</v>
      </c>
      <c r="CV43" s="27">
        <f>IF(ISNUMBER(CV42),CV42*(1+PortfolioFrontier[[#This Row],[P25 Return]]),1+PortfolioFrontier[[#This Row],[P25 Return]])</f>
        <v>1.2755483966196082</v>
      </c>
      <c r="CW43" s="27">
        <f>MAX(CW42,PortfolioFrontier[[#This Row],[P25 Growth]])</f>
        <v>1.2755483966196082</v>
      </c>
      <c r="CX43" s="27">
        <f>PortfolioFrontier[[#This Row],[P25 Growth]]/PortfolioFrontier[[#This Row],[P25 HWM]]-1</f>
        <v>0</v>
      </c>
      <c r="CY43" s="28">
        <f>SUMPRODUCT(INDEX(PortfolioRef[[SPY]:[PE]],MATCH(CY$1,PortfolioRef[Reference '#]),0),AssetMonthlyReturns[[#This Row],[SPY]:[PE]])</f>
        <v>1.8906383770883505E-2</v>
      </c>
      <c r="CZ43" s="27">
        <f>IF(ISNUMBER(CZ42),CZ42*(1+PortfolioFrontier[[#This Row],[P26 Return]]),1+PortfolioFrontier[[#This Row],[P26 Return]])</f>
        <v>1.304073905829797</v>
      </c>
      <c r="DA43" s="27">
        <f>MAX(DA42,PortfolioFrontier[[#This Row],[P26 Growth]])</f>
        <v>1.304073905829797</v>
      </c>
      <c r="DB43" s="27">
        <f>PortfolioFrontier[[#This Row],[P26 Growth]]/PortfolioFrontier[[#This Row],[P26 HWM]]-1</f>
        <v>0</v>
      </c>
      <c r="DC43" s="28">
        <f>SUMPRODUCT(INDEX(PortfolioRef[[SPY]:[PE]],MATCH(DC$1,PortfolioRef[Reference '#]),0),AssetMonthlyReturns[[#This Row],[SPY]:[PE]])</f>
        <v>1.7032183522141527E-2</v>
      </c>
      <c r="DD43" s="27">
        <f>IF(ISNUMBER(DD42),DD42*(1+PortfolioFrontier[[#This Row],[P27 Return]]),1+PortfolioFrontier[[#This Row],[P27 Return]])</f>
        <v>1.2882199746646807</v>
      </c>
      <c r="DE43" s="27">
        <f>MAX(DE42,PortfolioFrontier[[#This Row],[P27 Growth]])</f>
        <v>1.2882199746646807</v>
      </c>
      <c r="DF43" s="27">
        <f>PortfolioFrontier[[#This Row],[P27 Growth]]/PortfolioFrontier[[#This Row],[P27 HWM]]-1</f>
        <v>0</v>
      </c>
      <c r="DG43" s="28">
        <f>SUMPRODUCT(INDEX(PortfolioRef[[SPY]:[PE]],MATCH(DG$1,PortfolioRef[Reference '#]),0),AssetMonthlyReturns[[#This Row],[SPY]:[PE]])</f>
        <v>1.6823323605051031E-2</v>
      </c>
      <c r="DH43" s="27">
        <f>IF(ISNUMBER(DH42),DH42*(1+PortfolioFrontier[[#This Row],[P28 Return]]),1+PortfolioFrontier[[#This Row],[P28 Return]])</f>
        <v>1.3105342230016073</v>
      </c>
      <c r="DI43" s="27">
        <f>MAX(DI42,PortfolioFrontier[[#This Row],[P28 Growth]])</f>
        <v>1.3105342230016073</v>
      </c>
      <c r="DJ43" s="27">
        <f>PortfolioFrontier[[#This Row],[P28 Growth]]/PortfolioFrontier[[#This Row],[P28 HWM]]-1</f>
        <v>0</v>
      </c>
      <c r="DK43" s="28">
        <f>SUMPRODUCT(INDEX(PortfolioRef[[SPY]:[PE]],MATCH(DK$1,PortfolioRef[Reference '#]),0),AssetMonthlyReturns[[#This Row],[SPY]:[PE]])</f>
        <v>1.494912335630905E-2</v>
      </c>
      <c r="DL43" s="27">
        <f>IF(ISNUMBER(DL42),DL42*(1+PortfolioFrontier[[#This Row],[P29 Return]]),1+PortfolioFrontier[[#This Row],[P29 Return]])</f>
        <v>1.2947343418266257</v>
      </c>
      <c r="DM43" s="27">
        <f>MAX(DM42,PortfolioFrontier[[#This Row],[P29 Growth]])</f>
        <v>1.2947343418266257</v>
      </c>
      <c r="DN43" s="27">
        <f>PortfolioFrontier[[#This Row],[P29 Growth]]/PortfolioFrontier[[#This Row],[P29 HWM]]-1</f>
        <v>0</v>
      </c>
      <c r="DO43" s="28">
        <f>SUMPRODUCT(INDEX(PortfolioRef[[SPY]:[PE]],MATCH(DO$1,PortfolioRef[Reference '#]),0),AssetMonthlyReturns[[#This Row],[SPY]:[PE]])</f>
        <v>1.307492310756707E-2</v>
      </c>
      <c r="DP43" s="27">
        <f>IF(ISNUMBER(DP42),DP42*(1+PortfolioFrontier[[#This Row],[P30 Return]]),1+PortfolioFrontier[[#This Row],[P30 Return]])</f>
        <v>1.2789179084188504</v>
      </c>
      <c r="DQ43" s="27">
        <f>MAX(DQ42,PortfolioFrontier[[#This Row],[P30 Growth]])</f>
        <v>1.2789179084188504</v>
      </c>
      <c r="DR43" s="27">
        <f>PortfolioFrontier[[#This Row],[P30 Growth]]/PortfolioFrontier[[#This Row],[P30 HWM]]-1</f>
        <v>0</v>
      </c>
      <c r="DS43" s="28">
        <f>SUMPRODUCT(INDEX(PortfolioRef[[SPY]:[PE]],MATCH(DS$1,PortfolioRef[Reference '#]),0),AssetMonthlyReturns[[#This Row],[SPY]:[PE]])</f>
        <v>1.4740263439218557E-2</v>
      </c>
      <c r="DT43" s="27">
        <f>IF(ISNUMBER(DT42),DT42*(1+PortfolioFrontier[[#This Row],[P31 Return]]),1+PortfolioFrontier[[#This Row],[P31 Return]])</f>
        <v>1.3167338178328087</v>
      </c>
      <c r="DU43" s="27">
        <f>MAX(DU42,PortfolioFrontier[[#This Row],[P31 Growth]])</f>
        <v>1.3167338178328087</v>
      </c>
      <c r="DV43" s="27">
        <f>PortfolioFrontier[[#This Row],[P31 Growth]]/PortfolioFrontier[[#This Row],[P31 HWM]]-1</f>
        <v>0</v>
      </c>
      <c r="DW43" s="28">
        <f>SUMPRODUCT(INDEX(PortfolioRef[[SPY]:[PE]],MATCH(DW$1,PortfolioRef[Reference '#]),0),AssetMonthlyReturns[[#This Row],[SPY]:[PE]])</f>
        <v>1.2866063190476579E-2</v>
      </c>
      <c r="DX43" s="27">
        <f>IF(ISNUMBER(DX42),DX42*(1+PortfolioFrontier[[#This Row],[P32 Return]]),1+PortfolioFrontier[[#This Row],[P32 Return]])</f>
        <v>1.3009925096710275</v>
      </c>
      <c r="DY43" s="27">
        <f>MAX(DY42,PortfolioFrontier[[#This Row],[P32 Growth]])</f>
        <v>1.3009925096710275</v>
      </c>
      <c r="DZ43" s="27">
        <f>PortfolioFrontier[[#This Row],[P32 Growth]]/PortfolioFrontier[[#This Row],[P32 HWM]]-1</f>
        <v>0</v>
      </c>
      <c r="EA43" s="28">
        <f>SUMPRODUCT(INDEX(PortfolioRef[[SPY]:[PE]],MATCH(EA$1,PortfolioRef[Reference '#]),0),AssetMonthlyReturns[[#This Row],[SPY]:[PE]])</f>
        <v>1.0991862941734598E-2</v>
      </c>
      <c r="EB43" s="27">
        <f>IF(ISNUMBER(EB42),EB42*(1+PortfolioFrontier[[#This Row],[P33 Return]]),1+PortfolioFrontier[[#This Row],[P33 Return]])</f>
        <v>1.2852313833418323</v>
      </c>
      <c r="EC43" s="27">
        <f>MAX(EC42,PortfolioFrontier[[#This Row],[P33 Growth]])</f>
        <v>1.2852313833418323</v>
      </c>
      <c r="ED43" s="27">
        <f>PortfolioFrontier[[#This Row],[P33 Growth]]/PortfolioFrontier[[#This Row],[P33 HWM]]-1</f>
        <v>0</v>
      </c>
      <c r="EE43" s="28">
        <f>SUMPRODUCT(INDEX(PortfolioRef[[SPY]:[PE]],MATCH(EE$1,PortfolioRef[Reference '#]),0),AssetMonthlyReturns[[#This Row],[SPY]:[PE]])</f>
        <v>1.5508860024652705E-2</v>
      </c>
      <c r="EF43" s="27">
        <f>IF(ISNUMBER(EF42),EF42*(1+PortfolioFrontier[[#This Row],[P34 Return]]),1+PortfolioFrontier[[#This Row],[P34 Return]])</f>
        <v>1.2684270946657783</v>
      </c>
      <c r="EG43" s="27">
        <f>MAX(EG42,PortfolioFrontier[[#This Row],[P34 Growth]])</f>
        <v>1.2684270946657783</v>
      </c>
      <c r="EH43" s="27">
        <f>PortfolioFrontier[[#This Row],[P34 Growth]]/PortfolioFrontier[[#This Row],[P34 HWM]]-1</f>
        <v>0</v>
      </c>
      <c r="EI43" s="28">
        <f>SUMPRODUCT(INDEX(PortfolioRef[[SPY]:[PE]],MATCH(EI$1,PortfolioRef[Reference '#]),0),AssetMonthlyReturns[[#This Row],[SPY]:[PE]])</f>
        <v>1.8077366335298758E-2</v>
      </c>
      <c r="EJ43" s="27">
        <f>IF(ISNUMBER(EJ42),EJ42*(1+PortfolioFrontier[[#This Row],[P35 Return]]),1+PortfolioFrontier[[#This Row],[P35 Return]])</f>
        <v>1.2716983535807054</v>
      </c>
      <c r="EK43" s="27">
        <f>MAX(EK42,PortfolioFrontier[[#This Row],[P35 Growth]])</f>
        <v>1.2716983535807054</v>
      </c>
      <c r="EL43" s="27">
        <f>PortfolioFrontier[[#This Row],[P35 Growth]]/PortfolioFrontier[[#This Row],[P35 HWM]]-1</f>
        <v>0</v>
      </c>
      <c r="EM43" s="28">
        <f>SUMPRODUCT(INDEX(PortfolioRef[[SPY]:[PE]],MATCH(EM$1,PortfolioRef[Reference '#]),0),AssetMonthlyReturns[[#This Row],[SPY]:[PE]])</f>
        <v>1.5994306169466288E-2</v>
      </c>
      <c r="EN43" s="27">
        <f>IF(ISNUMBER(EN42),EN42*(1+PortfolioFrontier[[#This Row],[P36 Return]]),1+PortfolioFrontier[[#This Row],[P36 Return]])</f>
        <v>1.2781690313046745</v>
      </c>
      <c r="EO43" s="27">
        <f>MAX(EO42,PortfolioFrontier[[#This Row],[P36 Growth]])</f>
        <v>1.2781690313046745</v>
      </c>
      <c r="EP43" s="27">
        <f>PortfolioFrontier[[#This Row],[P36 Growth]]/PortfolioFrontier[[#This Row],[P36 HWM]]-1</f>
        <v>0</v>
      </c>
      <c r="EQ43" s="28">
        <f>SUMPRODUCT(INDEX(PortfolioRef[[SPY]:[PE]],MATCH(EQ$1,PortfolioRef[Reference '#]),0),AssetMonthlyReturns[[#This Row],[SPY]:[PE]])</f>
        <v>1.4120105920724308E-2</v>
      </c>
      <c r="ER43" s="27">
        <f>IF(ISNUMBER(ER42),ER42*(1+PortfolioFrontier[[#This Row],[P37 Return]]),1+PortfolioFrontier[[#This Row],[P37 Return]])</f>
        <v>1.2625161771754756</v>
      </c>
      <c r="ES43" s="27">
        <f>MAX(ES42,PortfolioFrontier[[#This Row],[P37 Growth]])</f>
        <v>1.2625161771754756</v>
      </c>
      <c r="ET43" s="27">
        <f>PortfolioFrontier[[#This Row],[P37 Growth]]/PortfolioFrontier[[#This Row],[P37 HWM]]-1</f>
        <v>0</v>
      </c>
      <c r="EU43" s="28">
        <f>SUMPRODUCT(INDEX(PortfolioRef[[SPY]:[PE]],MATCH(EU$1,PortfolioRef[Reference '#]),0),AssetMonthlyReturns[[#This Row],[SPY]:[PE]])</f>
        <v>2.0645872645944821E-2</v>
      </c>
      <c r="EV43" s="27">
        <f>IF(ISNUMBER(EV42),EV42*(1+PortfolioFrontier[[#This Row],[P38 Return]]),1+PortfolioFrontier[[#This Row],[P38 Return]])</f>
        <v>1.2748666895958505</v>
      </c>
      <c r="EW43" s="27">
        <f>MAX(EW42,PortfolioFrontier[[#This Row],[P38 Growth]])</f>
        <v>1.2748666895958505</v>
      </c>
      <c r="EX43" s="27">
        <f>PortfolioFrontier[[#This Row],[P38 Growth]]/PortfolioFrontier[[#This Row],[P38 HWM]]-1</f>
        <v>0</v>
      </c>
      <c r="EY43" s="28">
        <f>SUMPRODUCT(INDEX(PortfolioRef[[SPY]:[PE]],MATCH(EY$1,PortfolioRef[Reference '#]),0),AssetMonthlyReturns[[#This Row],[SPY]:[PE]])</f>
        <v>1.8562812480112344E-2</v>
      </c>
      <c r="EZ43" s="27">
        <f>IF(ISNUMBER(EZ42),EZ42*(1+PortfolioFrontier[[#This Row],[P39 Return]]),1+PortfolioFrontier[[#This Row],[P39 Return]])</f>
        <v>1.2814692741504048</v>
      </c>
      <c r="FA43" s="27">
        <f>MAX(FA42,PortfolioFrontier[[#This Row],[P39 Growth]])</f>
        <v>1.2814692741504048</v>
      </c>
      <c r="FB43" s="27">
        <f>PortfolioFrontier[[#This Row],[P39 Growth]]/PortfolioFrontier[[#This Row],[P39 HWM]]-1</f>
        <v>0</v>
      </c>
      <c r="FC43" s="28">
        <f>SUMPRODUCT(INDEX(PortfolioRef[[SPY]:[PE]],MATCH(FC$1,PortfolioRef[Reference '#]),0),AssetMonthlyReturns[[#This Row],[SPY]:[PE]])</f>
        <v>1.6688612231370366E-2</v>
      </c>
      <c r="FD43" s="27">
        <f>IF(ISNUMBER(FD42),FD42*(1+PortfolioFrontier[[#This Row],[P40 Return]]),1+PortfolioFrontier[[#This Row],[P40 Return]])</f>
        <v>1.2658013338549057</v>
      </c>
      <c r="FE43" s="27">
        <f>MAX(FE42,PortfolioFrontier[[#This Row],[P40 Growth]])</f>
        <v>1.2658013338549057</v>
      </c>
      <c r="FF43" s="27">
        <f>PortfolioFrontier[[#This Row],[P40 Growth]]/PortfolioFrontier[[#This Row],[P40 HWM]]-1</f>
        <v>0</v>
      </c>
      <c r="FG43" s="28">
        <f>SUMPRODUCT(INDEX(PortfolioRef[[SPY]:[PE]],MATCH(FG$1,PortfolioRef[Reference '#]),0),AssetMonthlyReturns[[#This Row],[SPY]:[PE]])</f>
        <v>1.6479752314279873E-2</v>
      </c>
      <c r="FH43" s="27">
        <f>IF(ISNUMBER(FH42),FH42*(1+PortfolioFrontier[[#This Row],[P41 Return]]),1+PortfolioFrontier[[#This Row],[P41 Return]])</f>
        <v>1.2878204174154992</v>
      </c>
      <c r="FI43" s="27">
        <f>MAX(FI42,PortfolioFrontier[[#This Row],[P41 Growth]])</f>
        <v>1.2878204174154992</v>
      </c>
      <c r="FJ43" s="27">
        <f>PortfolioFrontier[[#This Row],[P41 Growth]]/PortfolioFrontier[[#This Row],[P41 HWM]]-1</f>
        <v>0</v>
      </c>
      <c r="FK43" s="28">
        <f>SUMPRODUCT(INDEX(PortfolioRef[[SPY]:[PE]],MATCH(FK$1,PortfolioRef[Reference '#]),0),AssetMonthlyReturns[[#This Row],[SPY]:[PE]])</f>
        <v>1.4605552065537892E-2</v>
      </c>
      <c r="FL43" s="27">
        <f>IF(ISNUMBER(FL42),FL42*(1+PortfolioFrontier[[#This Row],[P42 Return]]),1+PortfolioFrontier[[#This Row],[P42 Return]])</f>
        <v>1.2722049608360542</v>
      </c>
      <c r="FM43" s="27">
        <f>MAX(FM42,PortfolioFrontier[[#This Row],[P42 Growth]])</f>
        <v>1.2722049608360542</v>
      </c>
      <c r="FN43" s="27">
        <f>PortfolioFrontier[[#This Row],[P42 Growth]]/PortfolioFrontier[[#This Row],[P42 HWM]]-1</f>
        <v>0</v>
      </c>
      <c r="FO43" s="28">
        <f>SUMPRODUCT(INDEX(PortfolioRef[[SPY]:[PE]],MATCH(FO$1,PortfolioRef[Reference '#]),0),AssetMonthlyReturns[[#This Row],[SPY]:[PE]])</f>
        <v>1.2731351816795912E-2</v>
      </c>
      <c r="FP43" s="27">
        <f>IF(ISNUMBER(FP42),FP42*(1+PortfolioFrontier[[#This Row],[P43 Return]]),1+PortfolioFrontier[[#This Row],[P43 Return]])</f>
        <v>1.2565752837262969</v>
      </c>
      <c r="FQ43" s="27">
        <f>MAX(FQ42,PortfolioFrontier[[#This Row],[P43 Growth]])</f>
        <v>1.2565752837262969</v>
      </c>
      <c r="FR43" s="27">
        <f>PortfolioFrontier[[#This Row],[P43 Growth]]/PortfolioFrontier[[#This Row],[P43 HWM]]-1</f>
        <v>0</v>
      </c>
      <c r="FS43" s="28">
        <f>SUMPRODUCT(INDEX(PortfolioRef[[SPY]:[PE]],MATCH(FS$1,PortfolioRef[Reference '#]),0),AssetMonthlyReturns[[#This Row],[SPY]:[PE]])</f>
        <v>2.1131318790758403E-2</v>
      </c>
      <c r="FT43" s="27">
        <f>IF(ISNUMBER(FT42),FT42*(1+PortfolioFrontier[[#This Row],[P44 Return]]),1+PortfolioFrontier[[#This Row],[P44 Return]])</f>
        <v>1.2846659117183339</v>
      </c>
      <c r="FU43" s="27">
        <f>MAX(FU42,PortfolioFrontier[[#This Row],[P44 Growth]])</f>
        <v>1.2846659117183339</v>
      </c>
      <c r="FV43" s="27">
        <f>PortfolioFrontier[[#This Row],[P44 Growth]]/PortfolioFrontier[[#This Row],[P44 HWM]]-1</f>
        <v>0</v>
      </c>
      <c r="FW43" s="28">
        <f>SUMPRODUCT(INDEX(PortfolioRef[[SPY]:[PE]],MATCH(FW$1,PortfolioRef[Reference '#]),0),AssetMonthlyReturns[[#This Row],[SPY]:[PE]])</f>
        <v>1.9257118542016425E-2</v>
      </c>
      <c r="FX43" s="27">
        <f>IF(ISNUMBER(FX42),FX42*(1+PortfolioFrontier[[#This Row],[P45 Return]]),1+PortfolioFrontier[[#This Row],[P45 Return]])</f>
        <v>1.2689841483116679</v>
      </c>
      <c r="FY43" s="27">
        <f>MAX(FY42,PortfolioFrontier[[#This Row],[P45 Growth]])</f>
        <v>1.2689841483116679</v>
      </c>
      <c r="FZ43" s="27">
        <f>PortfolioFrontier[[#This Row],[P45 Growth]]/PortfolioFrontier[[#This Row],[P45 HWM]]-1</f>
        <v>0</v>
      </c>
      <c r="GA43" s="28">
        <f>SUMPRODUCT(INDEX(PortfolioRef[[SPY]:[PE]],MATCH(GA$1,PortfolioRef[Reference '#]),0),AssetMonthlyReturns[[#This Row],[SPY]:[PE]])</f>
        <v>1.9048258624925929E-2</v>
      </c>
      <c r="GB43" s="27">
        <f>IF(ISNUMBER(GB42),GB42*(1+PortfolioFrontier[[#This Row],[P46 Return]]),1+PortfolioFrontier[[#This Row],[P46 Return]])</f>
        <v>1.2911496426631051</v>
      </c>
      <c r="GC43" s="27">
        <f>MAX(GC42,PortfolioFrontier[[#This Row],[P46 Growth]])</f>
        <v>1.2911496426631051</v>
      </c>
      <c r="GD43" s="27">
        <f>PortfolioFrontier[[#This Row],[P46 Growth]]/PortfolioFrontier[[#This Row],[P46 HWM]]-1</f>
        <v>0</v>
      </c>
      <c r="GE43" s="28">
        <f>SUMPRODUCT(INDEX(PortfolioRef[[SPY]:[PE]],MATCH(GE$1,PortfolioRef[Reference '#]),0),AssetMonthlyReturns[[#This Row],[SPY]:[PE]])</f>
        <v>1.7174058376183948E-2</v>
      </c>
      <c r="GF43" s="27">
        <f>IF(ISNUMBER(GF42),GF42*(1+PortfolioFrontier[[#This Row],[P47 Return]]),1+PortfolioFrontier[[#This Row],[P47 Return]])</f>
        <v>1.2755192151358223</v>
      </c>
      <c r="GG43" s="27">
        <f>MAX(GG42,PortfolioFrontier[[#This Row],[P47 Growth]])</f>
        <v>1.2755192151358223</v>
      </c>
      <c r="GH43" s="27">
        <f>PortfolioFrontier[[#This Row],[P47 Growth]]/PortfolioFrontier[[#This Row],[P47 HWM]]-1</f>
        <v>0</v>
      </c>
      <c r="GI43" s="28">
        <f>SUMPRODUCT(INDEX(PortfolioRef[[SPY]:[PE]],MATCH(GI$1,PortfolioRef[Reference '#]),0),AssetMonthlyReturns[[#This Row],[SPY]:[PE]])</f>
        <v>1.5299858127441968E-2</v>
      </c>
      <c r="GJ43" s="27">
        <f>IF(ISNUMBER(GJ42),GJ42*(1+PortfolioFrontier[[#This Row],[P48 Return]]),1+PortfolioFrontier[[#This Row],[P48 Return]])</f>
        <v>1.2598739819749347</v>
      </c>
      <c r="GK43" s="27">
        <f>MAX(GK42,PortfolioFrontier[[#This Row],[P48 Growth]])</f>
        <v>1.2598739819749347</v>
      </c>
      <c r="GL43" s="27">
        <f>PortfolioFrontier[[#This Row],[P48 Growth]]/PortfolioFrontier[[#This Row],[P48 HWM]]-1</f>
        <v>0</v>
      </c>
      <c r="GM43" s="28">
        <f>SUMPRODUCT(INDEX(PortfolioRef[[SPY]:[PE]],MATCH(GM$1,PortfolioRef[Reference '#]),0),AssetMonthlyReturns[[#This Row],[SPY]:[PE]])</f>
        <v>1.6965198459093455E-2</v>
      </c>
      <c r="GN43" s="27">
        <f>IF(ISNUMBER(GN42),GN42*(1+PortfolioFrontier[[#This Row],[P49 Return]]),1+PortfolioFrontier[[#This Row],[P49 Return]])</f>
        <v>1.2973779993989056</v>
      </c>
      <c r="GO43" s="27">
        <f>MAX(GO42,PortfolioFrontier[[#This Row],[P49 Growth]])</f>
        <v>1.2973779993989056</v>
      </c>
      <c r="GP43" s="27">
        <f>PortfolioFrontier[[#This Row],[P49 Growth]]/PortfolioFrontier[[#This Row],[P49 HWM]]-1</f>
        <v>0</v>
      </c>
      <c r="GQ43" s="28">
        <f>SUMPRODUCT(INDEX(PortfolioRef[[SPY]:[PE]],MATCH(GQ$1,PortfolioRef[Reference '#]),0),AssetMonthlyReturns[[#This Row],[SPY]:[PE]])</f>
        <v>1.5090998210351477E-2</v>
      </c>
      <c r="GR43" s="27">
        <f>IF(ISNUMBER(GR42),GR42*(1+PortfolioFrontier[[#This Row],[P50 Return]]),1+PortfolioFrontier[[#This Row],[P50 Return]])</f>
        <v>1.2818033687466477</v>
      </c>
      <c r="GS43" s="27">
        <f>MAX(GS42,PortfolioFrontier[[#This Row],[P50 Growth]])</f>
        <v>1.2818033687466477</v>
      </c>
      <c r="GT43" s="27">
        <f>PortfolioFrontier[[#This Row],[P50 Growth]]/PortfolioFrontier[[#This Row],[P50 HWM]]-1</f>
        <v>0</v>
      </c>
      <c r="GU43" s="28">
        <f>SUMPRODUCT(INDEX(PortfolioRef[[SPY]:[PE]],MATCH(GU$1,PortfolioRef[Reference '#]),0),AssetMonthlyReturns[[#This Row],[SPY]:[PE]])</f>
        <v>1.3216797961609496E-2</v>
      </c>
      <c r="GV43" s="27">
        <f>IF(ISNUMBER(GV42),GV42*(1+PortfolioFrontier[[#This Row],[P51 Return]]),1+PortfolioFrontier[[#This Row],[P51 Return]])</f>
        <v>1.2662107207580087</v>
      </c>
      <c r="GW43" s="27">
        <f>MAX(GW42,PortfolioFrontier[[#This Row],[P51 Growth]])</f>
        <v>1.2662107207580087</v>
      </c>
      <c r="GX43" s="27">
        <f>PortfolioFrontier[[#This Row],[P51 Growth]]/PortfolioFrontier[[#This Row],[P51 HWM]]-1</f>
        <v>0</v>
      </c>
      <c r="GY43" s="28">
        <f>SUMPRODUCT(INDEX(PortfolioRef[[SPY]:[PE]],MATCH(GY$1,PortfolioRef[Reference '#]),0),AssetMonthlyReturns[[#This Row],[SPY]:[PE]])</f>
        <v>2.1616764935571988E-2</v>
      </c>
      <c r="GZ43" s="27">
        <f>IF(ISNUMBER(GZ42),GZ42*(1+PortfolioFrontier[[#This Row],[P52 Return]]),1+PortfolioFrontier[[#This Row],[P52 Return]])</f>
        <v>1.2943745885740596</v>
      </c>
      <c r="HA43" s="27">
        <f>MAX(HA42,PortfolioFrontier[[#This Row],[P52 Growth]])</f>
        <v>1.2943745885740596</v>
      </c>
      <c r="HB43" s="27">
        <f>PortfolioFrontier[[#This Row],[P52 Growth]]/PortfolioFrontier[[#This Row],[P52 HWM]]-1</f>
        <v>0</v>
      </c>
      <c r="HC43" s="28">
        <f>SUMPRODUCT(INDEX(PortfolioRef[[SPY]:[PE]],MATCH(HC$1,PortfolioRef[Reference '#]),0),AssetMonthlyReturns[[#This Row],[SPY]:[PE]])</f>
        <v>1.9742564686830007E-2</v>
      </c>
      <c r="HD43" s="27">
        <f>IF(ISNUMBER(HD42),HD42*(1+PortfolioFrontier[[#This Row],[P53 Return]]),1+PortfolioFrontier[[#This Row],[P53 Return]])</f>
        <v>1.2787304498743601</v>
      </c>
      <c r="HE43" s="27">
        <f>MAX(HE42,PortfolioFrontier[[#This Row],[P53 Growth]])</f>
        <v>1.2787304498743601</v>
      </c>
      <c r="HF43" s="27">
        <f>PortfolioFrontier[[#This Row],[P53 Growth]]/PortfolioFrontier[[#This Row],[P53 HWM]]-1</f>
        <v>0</v>
      </c>
      <c r="HG43" s="28">
        <f>SUMPRODUCT(INDEX(PortfolioRef[[SPY]:[PE]],MATCH(HG$1,PortfolioRef[Reference '#]),0),AssetMonthlyReturns[[#This Row],[SPY]:[PE]])</f>
        <v>1.7868364438088025E-2</v>
      </c>
      <c r="HH43" s="27">
        <f>IF(ISNUMBER(HH42),HH42*(1+PortfolioFrontier[[#This Row],[P54 Return]]),1+PortfolioFrontier[[#This Row],[P54 Return]])</f>
        <v>1.2630709207696229</v>
      </c>
      <c r="HI43" s="27">
        <f>MAX(HI42,PortfolioFrontier[[#This Row],[P54 Growth]])</f>
        <v>1.2630709207696229</v>
      </c>
      <c r="HJ43" s="27">
        <f>PortfolioFrontier[[#This Row],[P54 Growth]]/PortfolioFrontier[[#This Row],[P54 HWM]]-1</f>
        <v>0</v>
      </c>
      <c r="HK43" s="28">
        <f>SUMPRODUCT(INDEX(PortfolioRef[[SPY]:[PE]],MATCH(HK$1,PortfolioRef[Reference '#]),0),AssetMonthlyReturns[[#This Row],[SPY]:[PE]])</f>
        <v>1.9533704769739511E-2</v>
      </c>
      <c r="HL43" s="27">
        <f>IF(ISNUMBER(HL42),HL42*(1+PortfolioFrontier[[#This Row],[P55 Return]]),1+PortfolioFrontier[[#This Row],[P55 Return]])</f>
        <v>1.3007362010068377</v>
      </c>
      <c r="HM43" s="27">
        <f>MAX(HM42,PortfolioFrontier[[#This Row],[P55 Growth]])</f>
        <v>1.3007362010068377</v>
      </c>
      <c r="HN43" s="27">
        <f>PortfolioFrontier[[#This Row],[P55 Growth]]/PortfolioFrontier[[#This Row],[P55 HWM]]-1</f>
        <v>0</v>
      </c>
      <c r="HO43" s="28">
        <f>SUMPRODUCT(INDEX(PortfolioRef[[SPY]:[PE]],MATCH(HO$1,PortfolioRef[Reference '#]),0),AssetMonthlyReturns[[#This Row],[SPY]:[PE]])</f>
        <v>1.7659504520997533E-2</v>
      </c>
      <c r="HP43" s="27">
        <f>IF(ISNUMBER(HP42),HP42*(1+PortfolioFrontier[[#This Row],[P56 Return]]),1+PortfolioFrontier[[#This Row],[P56 Return]])</f>
        <v>1.2851467181044927</v>
      </c>
      <c r="HQ43" s="27">
        <f>MAX(HQ42,PortfolioFrontier[[#This Row],[P56 Growth]])</f>
        <v>1.2851467181044927</v>
      </c>
      <c r="HR43" s="27">
        <f>PortfolioFrontier[[#This Row],[P56 Growth]]/PortfolioFrontier[[#This Row],[P56 HWM]]-1</f>
        <v>0</v>
      </c>
      <c r="HS43" s="28">
        <f>SUMPRODUCT(INDEX(PortfolioRef[[SPY]:[PE]],MATCH(HS$1,PortfolioRef[Reference '#]),0),AssetMonthlyReturns[[#This Row],[SPY]:[PE]])</f>
        <v>1.5785304272255548E-2</v>
      </c>
      <c r="HT43" s="27">
        <f>IF(ISNUMBER(HT42),HT42*(1+PortfolioFrontier[[#This Row],[P57 Return]]),1+PortfolioFrontier[[#This Row],[P57 Return]])</f>
        <v>1.2695386269682518</v>
      </c>
      <c r="HU43" s="27">
        <f>MAX(HU42,PortfolioFrontier[[#This Row],[P57 Growth]])</f>
        <v>1.2695386269682518</v>
      </c>
      <c r="HV43" s="27">
        <f>PortfolioFrontier[[#This Row],[P57 Growth]]/PortfolioFrontier[[#This Row],[P57 HWM]]-1</f>
        <v>0</v>
      </c>
      <c r="HW43" s="28">
        <f>SUMPRODUCT(INDEX(PortfolioRef[[SPY]:[PE]],MATCH(HW$1,PortfolioRef[Reference '#]),0),AssetMonthlyReturns[[#This Row],[SPY]:[PE]])</f>
        <v>1.745064460390704E-2</v>
      </c>
      <c r="HX43" s="27">
        <f>IF(ISNUMBER(HX42),HX42*(1+PortfolioFrontier[[#This Row],[P58 Return]]),1+PortfolioFrontier[[#This Row],[P58 Return]])</f>
        <v>1.3068385153640074</v>
      </c>
      <c r="HY43" s="27">
        <f>MAX(HY42,PortfolioFrontier[[#This Row],[P58 Growth]])</f>
        <v>1.3068385153640074</v>
      </c>
      <c r="HZ43" s="27">
        <f>PortfolioFrontier[[#This Row],[P58 Growth]]/PortfolioFrontier[[#This Row],[P58 HWM]]-1</f>
        <v>0</v>
      </c>
      <c r="IA43" s="28">
        <f>SUMPRODUCT(INDEX(PortfolioRef[[SPY]:[PE]],MATCH(IA$1,PortfolioRef[Reference '#]),0),AssetMonthlyReturns[[#This Row],[SPY]:[PE]])</f>
        <v>1.5576444355165059E-2</v>
      </c>
      <c r="IB43" s="27">
        <f>IF(ISNUMBER(IB42),IB42*(1+PortfolioFrontier[[#This Row],[P59 Return]]),1+PortfolioFrontier[[#This Row],[P59 Return]])</f>
        <v>1.2913081588054047</v>
      </c>
      <c r="IC43" s="27">
        <f>MAX(IC42,PortfolioFrontier[[#This Row],[P59 Growth]])</f>
        <v>1.2913081588054047</v>
      </c>
      <c r="ID43" s="27">
        <f>PortfolioFrontier[[#This Row],[P59 Growth]]/PortfolioFrontier[[#This Row],[P59 HWM]]-1</f>
        <v>0</v>
      </c>
      <c r="IE43" s="28">
        <f>SUMPRODUCT(INDEX(PortfolioRef[[SPY]:[PE]],MATCH(IE$1,PortfolioRef[Reference '#]),0),AssetMonthlyReturns[[#This Row],[SPY]:[PE]])</f>
        <v>1.3702244106423079E-2</v>
      </c>
      <c r="IF43" s="27">
        <f>IF(ISNUMBER(IF42),IF42*(1+PortfolioFrontier[[#This Row],[P60 Return]]),1+PortfolioFrontier[[#This Row],[P60 Return]])</f>
        <v>1.2757559592383307</v>
      </c>
      <c r="IG43" s="27">
        <f>MAX(IG42,PortfolioFrontier[[#This Row],[P60 Growth]])</f>
        <v>1.2757559592383307</v>
      </c>
      <c r="IH43" s="27">
        <f>PortfolioFrontier[[#This Row],[P60 Growth]]/PortfolioFrontier[[#This Row],[P60 HWM]]-1</f>
        <v>0</v>
      </c>
      <c r="II43" s="28">
        <f>SUMPRODUCT(INDEX(PortfolioRef[[SPY]:[PE]],MATCH(II$1,PortfolioRef[Reference '#]),0),AssetMonthlyReturns[[#This Row],[SPY]:[PE]])</f>
        <v>1.77337950445276E-2</v>
      </c>
      <c r="IJ43" s="27">
        <f>IF(ISNUMBER(IJ42),IJ42*(1+PortfolioFrontier[[#This Row],[P61 Return]]),1+PortfolioFrontier[[#This Row],[P61 Return]])</f>
        <v>1.2493142832067854</v>
      </c>
      <c r="IK43" s="27">
        <f>MAX(IK42,PortfolioFrontier[[#This Row],[P61 Growth]])</f>
        <v>1.2493142832067854</v>
      </c>
      <c r="IL43" s="27">
        <f>PortfolioFrontier[[#This Row],[P61 Growth]]/PortfolioFrontier[[#This Row],[P61 HWM]]-1</f>
        <v>0</v>
      </c>
      <c r="IM43" s="28">
        <f>SUMPRODUCT(INDEX(PortfolioRef[[SPY]:[PE]],MATCH(IM$1,PortfolioRef[Reference '#]),0),AssetMonthlyReturns[[#This Row],[SPY]:[PE]])</f>
        <v>2.0302301355173656E-2</v>
      </c>
      <c r="IN43" s="27">
        <f>IF(ISNUMBER(IN42),IN42*(1+PortfolioFrontier[[#This Row],[P62 Return]]),1+PortfolioFrontier[[#This Row],[P62 Return]])</f>
        <v>1.2525159891033564</v>
      </c>
      <c r="IO43" s="27">
        <f>MAX(IO42,PortfolioFrontier[[#This Row],[P62 Growth]])</f>
        <v>1.2525159891033564</v>
      </c>
      <c r="IP43" s="27">
        <f>PortfolioFrontier[[#This Row],[P62 Growth]]/PortfolioFrontier[[#This Row],[P62 HWM]]-1</f>
        <v>0</v>
      </c>
      <c r="IQ43" s="28">
        <f>SUMPRODUCT(INDEX(PortfolioRef[[SPY]:[PE]],MATCH(IQ$1,PortfolioRef[Reference '#]),0),AssetMonthlyReturns[[#This Row],[SPY]:[PE]])</f>
        <v>1.8219241189341182E-2</v>
      </c>
      <c r="IR43" s="27">
        <f>IF(ISNUMBER(IR42),IR42*(1+PortfolioFrontier[[#This Row],[P63 Return]]),1+PortfolioFrontier[[#This Row],[P63 Return]])</f>
        <v>1.2590047519539684</v>
      </c>
      <c r="IS43" s="27">
        <f>MAX(IS42,PortfolioFrontier[[#This Row],[P63 Growth]])</f>
        <v>1.2590047519539684</v>
      </c>
      <c r="IT43" s="27">
        <f>PortfolioFrontier[[#This Row],[P63 Growth]]/PortfolioFrontier[[#This Row],[P63 HWM]]-1</f>
        <v>0</v>
      </c>
      <c r="IU43" s="28">
        <f>SUMPRODUCT(INDEX(PortfolioRef[[SPY]:[PE]],MATCH(IU$1,PortfolioRef[Reference '#]),0),AssetMonthlyReturns[[#This Row],[SPY]:[PE]])</f>
        <v>1.6345040940599204E-2</v>
      </c>
      <c r="IV43" s="27">
        <f>IF(ISNUMBER(IV42),IV42*(1+PortfolioFrontier[[#This Row],[P64 Return]]),1+PortfolioFrontier[[#This Row],[P64 Return]])</f>
        <v>1.2435240803673862</v>
      </c>
      <c r="IW43" s="27">
        <f>MAX(IW42,PortfolioFrontier[[#This Row],[P64 Growth]])</f>
        <v>1.2435240803673862</v>
      </c>
      <c r="IX43" s="27">
        <f>PortfolioFrontier[[#This Row],[P64 Growth]]/PortfolioFrontier[[#This Row],[P64 HWM]]-1</f>
        <v>0</v>
      </c>
      <c r="IY43" s="28">
        <f>SUMPRODUCT(INDEX(PortfolioRef[[SPY]:[PE]],MATCH(IY$1,PortfolioRef[Reference '#]),0),AssetMonthlyReturns[[#This Row],[SPY]:[PE]])</f>
        <v>2.2870807665819715E-2</v>
      </c>
      <c r="IZ43" s="27">
        <f>IF(ISNUMBER(IZ42),IZ42*(1+PortfolioFrontier[[#This Row],[P65 Return]]),1+PortfolioFrontier[[#This Row],[P65 Return]])</f>
        <v>1.2556160945625099</v>
      </c>
      <c r="JA43" s="27">
        <f>MAX(JA42,PortfolioFrontier[[#This Row],[P65 Growth]])</f>
        <v>1.2556160945625099</v>
      </c>
      <c r="JB43" s="27">
        <f>PortfolioFrontier[[#This Row],[P65 Growth]]/PortfolioFrontier[[#This Row],[P65 HWM]]-1</f>
        <v>0</v>
      </c>
      <c r="JC43" s="28">
        <f>SUMPRODUCT(INDEX(PortfolioRef[[SPY]:[PE]],MATCH(JC$1,PortfolioRef[Reference '#]),0),AssetMonthlyReturns[[#This Row],[SPY]:[PE]])</f>
        <v>2.0787747499987238E-2</v>
      </c>
      <c r="JD43" s="27">
        <f>IF(ISNUMBER(JD42),JD42*(1+PortfolioFrontier[[#This Row],[P66 Return]]),1+PortfolioFrontier[[#This Row],[P66 Return]])</f>
        <v>1.2622349850536505</v>
      </c>
      <c r="JE43" s="27">
        <f>MAX(JE42,PortfolioFrontier[[#This Row],[P66 Growth]])</f>
        <v>1.2622349850536505</v>
      </c>
      <c r="JF43" s="27">
        <f>PortfolioFrontier[[#This Row],[P66 Growth]]/PortfolioFrontier[[#This Row],[P66 HWM]]-1</f>
        <v>0</v>
      </c>
      <c r="JG43" s="28">
        <f>SUMPRODUCT(INDEX(PortfolioRef[[SPY]:[PE]],MATCH(JG$1,PortfolioRef[Reference '#]),0),AssetMonthlyReturns[[#This Row],[SPY]:[PE]])</f>
        <v>1.891354725124526E-2</v>
      </c>
      <c r="JH43" s="27">
        <f>IF(ISNUMBER(JH42),JH42*(1+PortfolioFrontier[[#This Row],[P67 Return]]),1+PortfolioFrontier[[#This Row],[P67 Return]])</f>
        <v>1.2467396202045979</v>
      </c>
      <c r="JI43" s="27">
        <f>MAX(JI42,PortfolioFrontier[[#This Row],[P67 Growth]])</f>
        <v>1.2467396202045979</v>
      </c>
      <c r="JJ43" s="27">
        <f>PortfolioFrontier[[#This Row],[P67 Growth]]/PortfolioFrontier[[#This Row],[P67 HWM]]-1</f>
        <v>0</v>
      </c>
      <c r="JK43" s="28">
        <f>SUMPRODUCT(INDEX(PortfolioRef[[SPY]:[PE]],MATCH(JK$1,PortfolioRef[Reference '#]),0),AssetMonthlyReturns[[#This Row],[SPY]:[PE]])</f>
        <v>1.8704687334154767E-2</v>
      </c>
      <c r="JL43" s="27">
        <f>IF(ISNUMBER(JL42),JL42*(1+PortfolioFrontier[[#This Row],[P68 Return]]),1+PortfolioFrontier[[#This Row],[P68 Return]])</f>
        <v>1.2686076727091435</v>
      </c>
      <c r="JM43" s="27">
        <f>MAX(JM42,PortfolioFrontier[[#This Row],[P68 Growth]])</f>
        <v>1.2686076727091435</v>
      </c>
      <c r="JN43" s="27">
        <f>PortfolioFrontier[[#This Row],[P68 Growth]]/PortfolioFrontier[[#This Row],[P68 HWM]]-1</f>
        <v>0</v>
      </c>
      <c r="JO43" s="28">
        <f>SUMPRODUCT(INDEX(PortfolioRef[[SPY]:[PE]],MATCH(JO$1,PortfolioRef[Reference '#]),0),AssetMonthlyReturns[[#This Row],[SPY]:[PE]])</f>
        <v>1.6830487085412786E-2</v>
      </c>
      <c r="JP43" s="27">
        <f>IF(ISNUMBER(JP42),JP42*(1+PortfolioFrontier[[#This Row],[P69 Return]]),1+PortfolioFrontier[[#This Row],[P69 Return]])</f>
        <v>1.2531621362912027</v>
      </c>
      <c r="JQ43" s="27">
        <f>MAX(JQ42,PortfolioFrontier[[#This Row],[P69 Growth]])</f>
        <v>1.2531621362912027</v>
      </c>
      <c r="JR43" s="27">
        <f>PortfolioFrontier[[#This Row],[P69 Growth]]/PortfolioFrontier[[#This Row],[P69 HWM]]-1</f>
        <v>0</v>
      </c>
      <c r="JS43" s="28">
        <f>SUMPRODUCT(INDEX(PortfolioRef[[SPY]:[PE]],MATCH(JS$1,PortfolioRef[Reference '#]),0),AssetMonthlyReturns[[#This Row],[SPY]:[PE]])</f>
        <v>1.4956286836670806E-2</v>
      </c>
      <c r="JT43" s="27">
        <f>IF(ISNUMBER(JT42),JT42*(1+PortfolioFrontier[[#This Row],[P70 Return]]),1+PortfolioFrontier[[#This Row],[P70 Return]])</f>
        <v>1.2377040663375989</v>
      </c>
      <c r="JU43" s="27">
        <f>MAX(JU42,PortfolioFrontier[[#This Row],[P70 Growth]])</f>
        <v>1.2377040663375989</v>
      </c>
      <c r="JV43" s="27">
        <f>PortfolioFrontier[[#This Row],[P70 Growth]]/PortfolioFrontier[[#This Row],[P70 HWM]]-1</f>
        <v>0</v>
      </c>
      <c r="JW43" s="28">
        <f>SUMPRODUCT(INDEX(PortfolioRef[[SPY]:[PE]],MATCH(JW$1,PortfolioRef[Reference '#]),0),AssetMonthlyReturns[[#This Row],[SPY]:[PE]])</f>
        <v>2.3356253810633297E-2</v>
      </c>
      <c r="JX43" s="27">
        <f>IF(ISNUMBER(JX42),JX42*(1+PortfolioFrontier[[#This Row],[P71 Return]]),1+PortfolioFrontier[[#This Row],[P71 Return]])</f>
        <v>1.2653629360259315</v>
      </c>
      <c r="JY43" s="27">
        <f>MAX(JY42,PortfolioFrontier[[#This Row],[P71 Growth]])</f>
        <v>1.2653629360259315</v>
      </c>
      <c r="JZ43" s="27">
        <f>PortfolioFrontier[[#This Row],[P71 Growth]]/PortfolioFrontier[[#This Row],[P71 HWM]]-1</f>
        <v>0</v>
      </c>
      <c r="KA43" s="28">
        <f>SUMPRODUCT(INDEX(PortfolioRef[[SPY]:[PE]],MATCH(KA$1,PortfolioRef[Reference '#]),0),AssetMonthlyReturns[[#This Row],[SPY]:[PE]])</f>
        <v>2.1482053561891319E-2</v>
      </c>
      <c r="KB43" s="27">
        <f>IF(ISNUMBER(KB42),KB42*(1+PortfolioFrontier[[#This Row],[P72 Return]]),1+PortfolioFrontier[[#This Row],[P72 Return]])</f>
        <v>1.2498541296587498</v>
      </c>
      <c r="KC43" s="27">
        <f>MAX(KC42,PortfolioFrontier[[#This Row],[P72 Growth]])</f>
        <v>1.2498541296587498</v>
      </c>
      <c r="KD43" s="27">
        <f>PortfolioFrontier[[#This Row],[P72 Growth]]/PortfolioFrontier[[#This Row],[P72 HWM]]-1</f>
        <v>0</v>
      </c>
      <c r="KE43" s="28">
        <f>SUMPRODUCT(INDEX(PortfolioRef[[SPY]:[PE]],MATCH(KE$1,PortfolioRef[Reference '#]),0),AssetMonthlyReturns[[#This Row],[SPY]:[PE]])</f>
        <v>2.1273193644800827E-2</v>
      </c>
      <c r="KF43" s="27">
        <f>IF(ISNUMBER(KF42),KF42*(1+PortfolioFrontier[[#This Row],[P73 Return]]),1+PortfolioFrontier[[#This Row],[P73 Return]])</f>
        <v>1.2718664344758337</v>
      </c>
      <c r="KG43" s="27">
        <f>MAX(KG42,PortfolioFrontier[[#This Row],[P73 Growth]])</f>
        <v>1.2718664344758337</v>
      </c>
      <c r="KH43" s="27">
        <f>PortfolioFrontier[[#This Row],[P73 Growth]]/PortfolioFrontier[[#This Row],[P73 HWM]]-1</f>
        <v>0</v>
      </c>
      <c r="KI43" s="28">
        <f>SUMPRODUCT(INDEX(PortfolioRef[[SPY]:[PE]],MATCH(KI$1,PortfolioRef[Reference '#]),0),AssetMonthlyReturns[[#This Row],[SPY]:[PE]])</f>
        <v>1.9398993396058845E-2</v>
      </c>
      <c r="KJ43" s="27">
        <f>IF(ISNUMBER(KJ42),KJ42*(1+PortfolioFrontier[[#This Row],[P74 Return]]),1+PortfolioFrontier[[#This Row],[P74 Return]])</f>
        <v>1.2564063177594158</v>
      </c>
      <c r="KK43" s="27">
        <f>MAX(KK42,PortfolioFrontier[[#This Row],[P74 Growth]])</f>
        <v>1.2564063177594158</v>
      </c>
      <c r="KL43" s="27">
        <f>PortfolioFrontier[[#This Row],[P74 Growth]]/PortfolioFrontier[[#This Row],[P74 HWM]]-1</f>
        <v>0</v>
      </c>
      <c r="KM43" s="28">
        <f>SUMPRODUCT(INDEX(PortfolioRef[[SPY]:[PE]],MATCH(KM$1,PortfolioRef[Reference '#]),0),AssetMonthlyReturns[[#This Row],[SPY]:[PE]])</f>
        <v>1.7524793147316864E-2</v>
      </c>
      <c r="KN43" s="27">
        <f>IF(ISNUMBER(KN42),KN42*(1+PortfolioFrontier[[#This Row],[P75 Return]]),1+PortfolioFrontier[[#This Row],[P75 Return]])</f>
        <v>1.2409330903198716</v>
      </c>
      <c r="KO43" s="27">
        <f>MAX(KO42,PortfolioFrontier[[#This Row],[P75 Growth]])</f>
        <v>1.2409330903198716</v>
      </c>
      <c r="KP43" s="27">
        <f>PortfolioFrontier[[#This Row],[P75 Growth]]/PortfolioFrontier[[#This Row],[P75 HWM]]-1</f>
        <v>0</v>
      </c>
      <c r="KQ43" s="28">
        <f>SUMPRODUCT(INDEX(PortfolioRef[[SPY]:[PE]],MATCH(KQ$1,PortfolioRef[Reference '#]),0),AssetMonthlyReturns[[#This Row],[SPY]:[PE]])</f>
        <v>1.9190133478968353E-2</v>
      </c>
      <c r="KR43" s="27">
        <f>IF(ISNUMBER(KR42),KR42*(1+PortfolioFrontier[[#This Row],[P76 Return]]),1+PortfolioFrontier[[#This Row],[P76 Return]])</f>
        <v>1.2781198382323808</v>
      </c>
      <c r="KS43" s="27">
        <f>MAX(KS42,PortfolioFrontier[[#This Row],[P76 Growth]])</f>
        <v>1.2781198382323808</v>
      </c>
      <c r="KT43" s="27">
        <f>PortfolioFrontier[[#This Row],[P76 Growth]]/PortfolioFrontier[[#This Row],[P76 HWM]]-1</f>
        <v>0</v>
      </c>
      <c r="KU43" s="28">
        <f>SUMPRODUCT(INDEX(PortfolioRef[[SPY]:[PE]],MATCH(KU$1,PortfolioRef[Reference '#]),0),AssetMonthlyReturns[[#This Row],[SPY]:[PE]])</f>
        <v>1.7315933230226375E-2</v>
      </c>
      <c r="KV43" s="27">
        <f>IF(ISNUMBER(KV42),KV42*(1+PortfolioFrontier[[#This Row],[P77 Return]]),1+PortfolioFrontier[[#This Row],[P77 Return]])</f>
        <v>1.2627128103054746</v>
      </c>
      <c r="KW43" s="27">
        <f>MAX(KW42,PortfolioFrontier[[#This Row],[P77 Growth]])</f>
        <v>1.2627128103054746</v>
      </c>
      <c r="KX43" s="27">
        <f>PortfolioFrontier[[#This Row],[P77 Growth]]/PortfolioFrontier[[#This Row],[P77 HWM]]-1</f>
        <v>0</v>
      </c>
      <c r="KY43" s="28">
        <f>SUMPRODUCT(INDEX(PortfolioRef[[SPY]:[PE]],MATCH(KY$1,PortfolioRef[Reference '#]),0),AssetMonthlyReturns[[#This Row],[SPY]:[PE]])</f>
        <v>1.5441732981484392E-2</v>
      </c>
      <c r="KZ43" s="27">
        <f>IF(ISNUMBER(KZ42),KZ42*(1+PortfolioFrontier[[#This Row],[P78 Return]]),1+PortfolioFrontier[[#This Row],[P78 Return]])</f>
        <v>1.2472895137644646</v>
      </c>
      <c r="LA43" s="27">
        <f>MAX(LA42,PortfolioFrontier[[#This Row],[P78 Growth]])</f>
        <v>1.2472895137644646</v>
      </c>
      <c r="LB43" s="27">
        <f>PortfolioFrontier[[#This Row],[P78 Growth]]/PortfolioFrontier[[#This Row],[P78 HWM]]-1</f>
        <v>0</v>
      </c>
      <c r="LC43" s="28">
        <f>SUMPRODUCT(INDEX(PortfolioRef[[SPY]:[PE]],MATCH(LC$1,PortfolioRef[Reference '#]),0),AssetMonthlyReturns[[#This Row],[SPY]:[PE]])</f>
        <v>2.3841699955446886E-2</v>
      </c>
      <c r="LD43" s="27">
        <f>IF(ISNUMBER(LD42),LD42*(1+PortfolioFrontier[[#This Row],[P79 Return]]),1+PortfolioFrontier[[#This Row],[P79 Return]])</f>
        <v>1.2750222405135807</v>
      </c>
      <c r="LE43" s="27">
        <f>MAX(LE42,PortfolioFrontier[[#This Row],[P79 Growth]])</f>
        <v>1.2750222405135807</v>
      </c>
      <c r="LF43" s="27">
        <f>PortfolioFrontier[[#This Row],[P79 Growth]]/PortfolioFrontier[[#This Row],[P79 HWM]]-1</f>
        <v>0</v>
      </c>
      <c r="LG43" s="28">
        <f>SUMPRODUCT(INDEX(PortfolioRef[[SPY]:[PE]],MATCH(LG$1,PortfolioRef[Reference '#]),0),AssetMonthlyReturns[[#This Row],[SPY]:[PE]])</f>
        <v>2.1967499706704904E-2</v>
      </c>
      <c r="LH43" s="27">
        <f>IF(ISNUMBER(LH42),LH42*(1+PortfolioFrontier[[#This Row],[P80 Return]]),1+PortfolioFrontier[[#This Row],[P80 Return]])</f>
        <v>1.2595487921333319</v>
      </c>
      <c r="LI43" s="27">
        <f>MAX(LI42,PortfolioFrontier[[#This Row],[P80 Growth]])</f>
        <v>1.2595487921333319</v>
      </c>
      <c r="LJ43" s="27">
        <f>PortfolioFrontier[[#This Row],[P80 Growth]]/PortfolioFrontier[[#This Row],[P80 HWM]]-1</f>
        <v>0</v>
      </c>
      <c r="LK43" s="28">
        <f>SUMPRODUCT(INDEX(PortfolioRef[[SPY]:[PE]],MATCH(LK$1,PortfolioRef[Reference '#]),0),AssetMonthlyReturns[[#This Row],[SPY]:[PE]])</f>
        <v>2.0093299457962923E-2</v>
      </c>
      <c r="LL43" s="27">
        <f>IF(ISNUMBER(LL42),LL42*(1+PortfolioFrontier[[#This Row],[P81 Return]]),1+PortfolioFrontier[[#This Row],[P81 Return]])</f>
        <v>1.2440616560668345</v>
      </c>
      <c r="LM43" s="27">
        <f>MAX(LM42,PortfolioFrontier[[#This Row],[P81 Growth]])</f>
        <v>1.2440616560668345</v>
      </c>
      <c r="LN43" s="27">
        <f>PortfolioFrontier[[#This Row],[P81 Growth]]/PortfolioFrontier[[#This Row],[P81 HWM]]-1</f>
        <v>0</v>
      </c>
      <c r="LO43" s="28">
        <f>SUMPRODUCT(INDEX(PortfolioRef[[SPY]:[PE]],MATCH(LO$1,PortfolioRef[Reference '#]),0),AssetMonthlyReturns[[#This Row],[SPY]:[PE]])</f>
        <v>2.1758639789614408E-2</v>
      </c>
      <c r="LP43" s="27">
        <f>IF(ISNUMBER(LP42),LP42*(1+PortfolioFrontier[[#This Row],[P82 Return]]),1+PortfolioFrontier[[#This Row],[P82 Return]])</f>
        <v>1.281407125708413</v>
      </c>
      <c r="LQ43" s="27">
        <f>MAX(LQ42,PortfolioFrontier[[#This Row],[P82 Growth]])</f>
        <v>1.281407125708413</v>
      </c>
      <c r="LR43" s="27">
        <f>PortfolioFrontier[[#This Row],[P82 Growth]]/PortfolioFrontier[[#This Row],[P82 HWM]]-1</f>
        <v>0</v>
      </c>
      <c r="LS43" s="28">
        <f>SUMPRODUCT(INDEX(PortfolioRef[[SPY]:[PE]],MATCH(LS$1,PortfolioRef[Reference '#]),0),AssetMonthlyReturns[[#This Row],[SPY]:[PE]])</f>
        <v>1.988443954087243E-2</v>
      </c>
      <c r="LT43" s="27">
        <f>IF(ISNUMBER(LT42),LT42*(1+PortfolioFrontier[[#This Row],[P83 Return]]),1+PortfolioFrontier[[#This Row],[P83 Return]])</f>
        <v>1.2659856338694941</v>
      </c>
      <c r="LU43" s="27">
        <f>MAX(LU42,PortfolioFrontier[[#This Row],[P83 Growth]])</f>
        <v>1.2659856338694941</v>
      </c>
      <c r="LV43" s="27">
        <f>PortfolioFrontier[[#This Row],[P83 Growth]]/PortfolioFrontier[[#This Row],[P83 HWM]]-1</f>
        <v>0</v>
      </c>
      <c r="LW43" s="28">
        <f>SUMPRODUCT(INDEX(PortfolioRef[[SPY]:[PE]],MATCH(LW$1,PortfolioRef[Reference '#]),0),AssetMonthlyReturns[[#This Row],[SPY]:[PE]])</f>
        <v>1.8010239292130446E-2</v>
      </c>
      <c r="LX43" s="27">
        <f>IF(ISNUMBER(LX42),LX42*(1+PortfolioFrontier[[#This Row],[P84 Return]]),1+PortfolioFrontier[[#This Row],[P84 Return]])</f>
        <v>1.2505472904994372</v>
      </c>
      <c r="LY43" s="27">
        <f>MAX(LY42,PortfolioFrontier[[#This Row],[P84 Growth]])</f>
        <v>1.2505472904994372</v>
      </c>
      <c r="LZ43" s="27">
        <f>PortfolioFrontier[[#This Row],[P84 Growth]]/PortfolioFrontier[[#This Row],[P84 HWM]]-1</f>
        <v>0</v>
      </c>
      <c r="MA43" s="28">
        <f>SUMPRODUCT(INDEX(PortfolioRef[[SPY]:[PE]],MATCH(MA$1,PortfolioRef[Reference '#]),0),AssetMonthlyReturns[[#This Row],[SPY]:[PE]])</f>
        <v>1.9675579623781938E-2</v>
      </c>
      <c r="MB43" s="27">
        <f>IF(ISNUMBER(MB42),MB42*(1+PortfolioFrontier[[#This Row],[P85 Return]]),1+PortfolioFrontier[[#This Row],[P85 Return]])</f>
        <v>1.287538032566836</v>
      </c>
      <c r="MC43" s="27">
        <f>MAX(MC42,PortfolioFrontier[[#This Row],[P85 Growth]])</f>
        <v>1.287538032566836</v>
      </c>
      <c r="MD43" s="27">
        <f>PortfolioFrontier[[#This Row],[P85 Growth]]/PortfolioFrontier[[#This Row],[P85 HWM]]-1</f>
        <v>0</v>
      </c>
      <c r="ME43" s="28">
        <f>SUMPRODUCT(INDEX(PortfolioRef[[SPY]:[PE]],MATCH(ME$1,PortfolioRef[Reference '#]),0),AssetMonthlyReturns[[#This Row],[SPY]:[PE]])</f>
        <v>1.7801379375039957E-2</v>
      </c>
      <c r="MF43" s="27">
        <f>IF(ISNUMBER(MF42),MF42*(1+PortfolioFrontier[[#This Row],[P86 Return]]),1+PortfolioFrontier[[#This Row],[P86 Return]])</f>
        <v>1.2721729064695226</v>
      </c>
      <c r="MG43" s="27">
        <f>MAX(MG42,PortfolioFrontier[[#This Row],[P86 Growth]])</f>
        <v>1.2721729064695226</v>
      </c>
      <c r="MH43" s="27">
        <f>PortfolioFrontier[[#This Row],[P86 Growth]]/PortfolioFrontier[[#This Row],[P86 HWM]]-1</f>
        <v>0</v>
      </c>
      <c r="MI43" s="28">
        <f>SUMPRODUCT(INDEX(PortfolioRef[[SPY]:[PE]],MATCH(MI$1,PortfolioRef[Reference '#]),0),AssetMonthlyReturns[[#This Row],[SPY]:[PE]])</f>
        <v>1.5927179126297975E-2</v>
      </c>
      <c r="MJ43" s="27">
        <f>IF(ISNUMBER(MJ42),MJ42*(1+PortfolioFrontier[[#This Row],[P87 Return]]),1+PortfolioFrontier[[#This Row],[P87 Return]])</f>
        <v>1.2567877477140803</v>
      </c>
      <c r="MK43" s="27">
        <f>MAX(MK42,PortfolioFrontier[[#This Row],[P87 Growth]])</f>
        <v>1.2567877477140803</v>
      </c>
      <c r="ML43" s="27">
        <f>PortfolioFrontier[[#This Row],[P87 Growth]]/PortfolioFrontier[[#This Row],[P87 HWM]]-1</f>
        <v>0</v>
      </c>
      <c r="MM43" s="28">
        <f>SUMPRODUCT(INDEX(PortfolioRef[[SPY]:[PE]],MATCH(MM$1,PortfolioRef[Reference '#]),0),AssetMonthlyReturns[[#This Row],[SPY]:[PE]])</f>
        <v>2.4327146100260464E-2</v>
      </c>
      <c r="MN43" s="27">
        <f>IF(ISNUMBER(MN42),MN42*(1+PortfolioFrontier[[#This Row],[P88 Return]]),1+PortfolioFrontier[[#This Row],[P88 Return]])</f>
        <v>1.2845907921655035</v>
      </c>
      <c r="MO43" s="27">
        <f>MAX(MO42,PortfolioFrontier[[#This Row],[P88 Growth]])</f>
        <v>1.2845907921655035</v>
      </c>
      <c r="MP43" s="27">
        <f>PortfolioFrontier[[#This Row],[P88 Growth]]/PortfolioFrontier[[#This Row],[P88 HWM]]-1</f>
        <v>0</v>
      </c>
      <c r="MQ43" s="28">
        <f>SUMPRODUCT(INDEX(PortfolioRef[[SPY]:[PE]],MATCH(MQ$1,PortfolioRef[Reference '#]),0),AssetMonthlyReturns[[#This Row],[SPY]:[PE]])</f>
        <v>2.2452945851518486E-2</v>
      </c>
      <c r="MR43" s="27">
        <f>IF(ISNUMBER(MR42),MR42*(1+PortfolioFrontier[[#This Row],[P89 Return]]),1+PortfolioFrontier[[#This Row],[P89 Return]])</f>
        <v>1.2691560817048333</v>
      </c>
      <c r="MS43" s="27">
        <f>MAX(MS42,PortfolioFrontier[[#This Row],[P89 Growth]])</f>
        <v>1.2691560817048333</v>
      </c>
      <c r="MT43" s="27">
        <f>PortfolioFrontier[[#This Row],[P89 Growth]]/PortfolioFrontier[[#This Row],[P89 HWM]]-1</f>
        <v>0</v>
      </c>
      <c r="MU43" s="28">
        <f>SUMPRODUCT(INDEX(PortfolioRef[[SPY]:[PE]],MATCH(MU$1,PortfolioRef[Reference '#]),0),AssetMonthlyReturns[[#This Row],[SPY]:[PE]])</f>
        <v>2.0578745602776505E-2</v>
      </c>
      <c r="MV43" s="27">
        <f>IF(ISNUMBER(MV42),MV42*(1+PortfolioFrontier[[#This Row],[P90 Return]]),1+PortfolioFrontier[[#This Row],[P90 Return]])</f>
        <v>1.2537039372764902</v>
      </c>
      <c r="MW43" s="27">
        <f>MAX(MW42,PortfolioFrontier[[#This Row],[P90 Growth]])</f>
        <v>1.2537039372764902</v>
      </c>
      <c r="MX43" s="27">
        <f>PortfolioFrontier[[#This Row],[P90 Growth]]/PortfolioFrontier[[#This Row],[P90 HWM]]-1</f>
        <v>0</v>
      </c>
      <c r="MY43" s="28">
        <f>SUMPRODUCT(INDEX(PortfolioRef[[SPY]:[PE]],MATCH(MY$1,PortfolioRef[Reference '#]),0),AssetMonthlyReturns[[#This Row],[SPY]:[PE]])</f>
        <v>2.2244085934427994E-2</v>
      </c>
      <c r="MZ43" s="27">
        <f>IF(ISNUMBER(MZ42),MZ42*(1+PortfolioFrontier[[#This Row],[P91 Return]]),1+PortfolioFrontier[[#This Row],[P91 Return]])</f>
        <v>1.2908538383320927</v>
      </c>
      <c r="NA43" s="27">
        <f>MAX(NA42,PortfolioFrontier[[#This Row],[P91 Growth]])</f>
        <v>1.2908538383320927</v>
      </c>
      <c r="NB43" s="27">
        <f>PortfolioFrontier[[#This Row],[P91 Growth]]/PortfolioFrontier[[#This Row],[P91 HWM]]-1</f>
        <v>0</v>
      </c>
      <c r="NC43" s="28">
        <f>SUMPRODUCT(INDEX(PortfolioRef[[SPY]:[PE]],MATCH(NC$1,PortfolioRef[Reference '#]),0),AssetMonthlyReturns[[#This Row],[SPY]:[PE]])</f>
        <v>2.0369885685686012E-2</v>
      </c>
      <c r="ND43" s="27">
        <f>IF(ISNUMBER(ND42),ND42*(1+PortfolioFrontier[[#This Row],[P92 Return]]),1+PortfolioFrontier[[#This Row],[P92 Return]])</f>
        <v>1.2754743681359022</v>
      </c>
      <c r="NE43" s="27">
        <f>MAX(NE42,PortfolioFrontier[[#This Row],[P92 Growth]])</f>
        <v>1.2754743681359022</v>
      </c>
      <c r="NF43" s="27">
        <f>PortfolioFrontier[[#This Row],[P92 Growth]]/PortfolioFrontier[[#This Row],[P92 HWM]]-1</f>
        <v>0</v>
      </c>
      <c r="NG43" s="28">
        <f>SUMPRODUCT(INDEX(PortfolioRef[[SPY]:[PE]],MATCH(NG$1,PortfolioRef[Reference '#]),0),AssetMonthlyReturns[[#This Row],[SPY]:[PE]])</f>
        <v>1.8495685436944031E-2</v>
      </c>
      <c r="NH43" s="27">
        <f>IF(ISNUMBER(NH42),NH42*(1+PortfolioFrontier[[#This Row],[P93 Return]]),1+PortfolioFrontier[[#This Row],[P93 Return]])</f>
        <v>1.2600742766680537</v>
      </c>
      <c r="NI43" s="27">
        <f>MAX(NI42,PortfolioFrontier[[#This Row],[P93 Growth]])</f>
        <v>1.2600742766680537</v>
      </c>
      <c r="NJ43" s="27">
        <f>PortfolioFrontier[[#This Row],[P93 Growth]]/PortfolioFrontier[[#This Row],[P93 HWM]]-1</f>
        <v>0</v>
      </c>
      <c r="NK43" s="28">
        <f>SUMPRODUCT(INDEX(PortfolioRef[[SPY]:[PE]],MATCH(NK$1,PortfolioRef[Reference '#]),0),AssetMonthlyReturns[[#This Row],[SPY]:[PE]])</f>
        <v>2.0161025768595516E-2</v>
      </c>
      <c r="NL43" s="27">
        <f>IF(ISNUMBER(NL42),NL42*(1+PortfolioFrontier[[#This Row],[P94 Return]]),1+PortfolioFrontier[[#This Row],[P94 Return]])</f>
        <v>1.2968590320905311</v>
      </c>
      <c r="NM43" s="27">
        <f>MAX(NM42,PortfolioFrontier[[#This Row],[P94 Growth]])</f>
        <v>1.2968590320905311</v>
      </c>
      <c r="NN43" s="27">
        <f>PortfolioFrontier[[#This Row],[P94 Growth]]/PortfolioFrontier[[#This Row],[P94 HWM]]-1</f>
        <v>0</v>
      </c>
      <c r="NO43" s="28">
        <f>SUMPRODUCT(INDEX(PortfolioRef[[SPY]:[PE]],MATCH(NO$1,PortfolioRef[Reference '#]),0),AssetMonthlyReturns[[#This Row],[SPY]:[PE]])</f>
        <v>1.8286825519853538E-2</v>
      </c>
      <c r="NP43" s="27">
        <f>IF(ISNUMBER(NP42),NP42*(1+PortfolioFrontier[[#This Row],[P95 Return]]),1+PortfolioFrontier[[#This Row],[P95 Return]])</f>
        <v>1.2815392201620606</v>
      </c>
      <c r="NQ43" s="27">
        <f>MAX(NQ42,PortfolioFrontier[[#This Row],[P95 Growth]])</f>
        <v>1.2815392201620606</v>
      </c>
      <c r="NR43" s="27">
        <f>PortfolioFrontier[[#This Row],[P95 Growth]]/PortfolioFrontier[[#This Row],[P95 HWM]]-1</f>
        <v>0</v>
      </c>
      <c r="NS43" s="28">
        <f>SUMPRODUCT(INDEX(PortfolioRef[[SPY]:[PE]],MATCH(NS$1,PortfolioRef[Reference '#]),0),AssetMonthlyReturns[[#This Row],[SPY]:[PE]])</f>
        <v>1.6412625271111557E-2</v>
      </c>
      <c r="NT43" s="27">
        <f>IF(ISNUMBER(NT42),NT42*(1+PortfolioFrontier[[#This Row],[P96 Return]]),1+PortfolioFrontier[[#This Row],[P96 Return]])</f>
        <v>1.2661955836108563</v>
      </c>
      <c r="NU43" s="27">
        <f>MAX(NU42,PortfolioFrontier[[#This Row],[P96 Growth]])</f>
        <v>1.2661955836108563</v>
      </c>
      <c r="NV43" s="27">
        <f>PortfolioFrontier[[#This Row],[P96 Growth]]/PortfolioFrontier[[#This Row],[P96 HWM]]-1</f>
        <v>0</v>
      </c>
      <c r="NW43" s="28">
        <f>SUMPRODUCT(INDEX(PortfolioRef[[SPY]:[PE]],MATCH(NW$1,PortfolioRef[Reference '#]),0),AssetMonthlyReturns[[#This Row],[SPY]:[PE]])</f>
        <v>1.9958730064402498E-2</v>
      </c>
      <c r="NX43" s="27">
        <f>IF(ISNUMBER(NX42),NX42*(1+PortfolioFrontier[[#This Row],[P97 Return]]),1+PortfolioFrontier[[#This Row],[P97 Return]])</f>
        <v>1.230310893604581</v>
      </c>
      <c r="NY43" s="27">
        <f>MAX(NY42,PortfolioFrontier[[#This Row],[P97 Growth]])</f>
        <v>1.230310893604581</v>
      </c>
      <c r="NZ43" s="27">
        <f>PortfolioFrontier[[#This Row],[P97 Growth]]/PortfolioFrontier[[#This Row],[P97 HWM]]-1</f>
        <v>0</v>
      </c>
      <c r="OA43" s="28">
        <f>SUMPRODUCT(INDEX(PortfolioRef[[SPY]:[PE]],MATCH(OA$1,PortfolioRef[Reference '#]),0),AssetMonthlyReturns[[#This Row],[SPY]:[PE]])</f>
        <v>2.2527236375048554E-2</v>
      </c>
      <c r="OB43" s="27">
        <f>IF(ISNUMBER(OB42),OB42*(1+PortfolioFrontier[[#This Row],[P98 Return]]),1+PortfolioFrontier[[#This Row],[P98 Return]])</f>
        <v>1.2334441874624635</v>
      </c>
      <c r="OC43" s="27">
        <f>MAX(OC42,PortfolioFrontier[[#This Row],[P98 Growth]])</f>
        <v>1.2334441874624635</v>
      </c>
      <c r="OD43" s="27">
        <f>PortfolioFrontier[[#This Row],[P98 Growth]]/PortfolioFrontier[[#This Row],[P98 HWM]]-1</f>
        <v>0</v>
      </c>
      <c r="OE43" s="28">
        <f>SUMPRODUCT(INDEX(PortfolioRef[[SPY]:[PE]],MATCH(OE$1,PortfolioRef[Reference '#]),0),AssetMonthlyReturns[[#This Row],[SPY]:[PE]])</f>
        <v>2.044417620921608E-2</v>
      </c>
      <c r="OF43" s="27">
        <f>IF(ISNUMBER(OF42),OF42*(1+PortfolioFrontier[[#This Row],[P99 Return]]),1+PortfolioFrontier[[#This Row],[P99 Return]])</f>
        <v>1.2399475377815516</v>
      </c>
      <c r="OG43" s="27">
        <f>MAX(OG42,PortfolioFrontier[[#This Row],[P99 Growth]])</f>
        <v>1.2399475377815516</v>
      </c>
      <c r="OH43" s="27">
        <f>PortfolioFrontier[[#This Row],[P99 Growth]]/PortfolioFrontier[[#This Row],[P99 HWM]]-1</f>
        <v>0</v>
      </c>
      <c r="OI43" s="28">
        <f>SUMPRODUCT(INDEX(PortfolioRef[[SPY]:[PE]],MATCH(OI$1,PortfolioRef[Reference '#]),0),AssetMonthlyReturns[[#This Row],[SPY]:[PE]])</f>
        <v>1.8569975960474102E-2</v>
      </c>
      <c r="OJ43" s="27">
        <f>IF(ISNUMBER(OJ42),OJ42*(1+PortfolioFrontier[[#This Row],[P100 Return]]),1+PortfolioFrontier[[#This Row],[P100 Return]])</f>
        <v>1.2246397704406673</v>
      </c>
      <c r="OK43" s="27">
        <f>MAX(OK42,PortfolioFrontier[[#This Row],[P100 Growth]])</f>
        <v>1.2246397704406673</v>
      </c>
      <c r="OL43" s="27">
        <f>PortfolioFrontier[[#This Row],[P100 Growth]]/PortfolioFrontier[[#This Row],[P100 HWM]]-1</f>
        <v>0</v>
      </c>
      <c r="OM43" s="28">
        <f>SUMPRODUCT(INDEX(PortfolioRef[[SPY]:[PE]],MATCH(OM$1,PortfolioRef[Reference '#]),0),AssetMonthlyReturns[[#This Row],[SPY]:[PE]])</f>
        <v>2.5095742685694609E-2</v>
      </c>
      <c r="ON43" s="27">
        <f>IF(ISNUMBER(ON42),ON42*(1+PortfolioFrontier[[#This Row],[P101 Return]]),1+PortfolioFrontier[[#This Row],[P101 Return]])</f>
        <v>1.2364772004192059</v>
      </c>
      <c r="OO43" s="27">
        <f>MAX(OO42,PortfolioFrontier[[#This Row],[P101 Growth]])</f>
        <v>1.2364772004192059</v>
      </c>
      <c r="OP43" s="27">
        <f>PortfolioFrontier[[#This Row],[P101 Growth]]/PortfolioFrontier[[#This Row],[P101 HWM]]-1</f>
        <v>0</v>
      </c>
      <c r="OQ43" s="28">
        <f>SUMPRODUCT(INDEX(PortfolioRef[[SPY]:[PE]],MATCH(OQ$1,PortfolioRef[Reference '#]),0),AssetMonthlyReturns[[#This Row],[SPY]:[PE]])</f>
        <v>2.3012682519862136E-2</v>
      </c>
      <c r="OR43" s="27">
        <f>IF(ISNUMBER(OR42),OR42*(1+PortfolioFrontier[[#This Row],[P102 Return]]),1+PortfolioFrontier[[#This Row],[P102 Return]])</f>
        <v>1.2431089053194446</v>
      </c>
      <c r="OS43" s="27">
        <f>MAX(OS42,PortfolioFrontier[[#This Row],[P102 Growth]])</f>
        <v>1.2431089053194446</v>
      </c>
      <c r="OT43" s="27">
        <f>PortfolioFrontier[[#This Row],[P102 Growth]]/PortfolioFrontier[[#This Row],[P102 HWM]]-1</f>
        <v>0</v>
      </c>
      <c r="OU43" s="28">
        <f>SUMPRODUCT(INDEX(PortfolioRef[[SPY]:[PE]],MATCH(OU$1,PortfolioRef[Reference '#]),0),AssetMonthlyReturns[[#This Row],[SPY]:[PE]])</f>
        <v>2.1138482271120158E-2</v>
      </c>
      <c r="OV43" s="27">
        <f>IF(ISNUMBER(OV42),OV42*(1+PortfolioFrontier[[#This Row],[P103 Return]]),1+PortfolioFrontier[[#This Row],[P103 Return]])</f>
        <v>1.2277868298822547</v>
      </c>
      <c r="OW43" s="27">
        <f>MAX(OW42,PortfolioFrontier[[#This Row],[P103 Growth]])</f>
        <v>1.2277868298822547</v>
      </c>
      <c r="OX43" s="27">
        <f>PortfolioFrontier[[#This Row],[P103 Growth]]/PortfolioFrontier[[#This Row],[P103 HWM]]-1</f>
        <v>0</v>
      </c>
      <c r="OY43" s="28">
        <f>SUMPRODUCT(INDEX(PortfolioRef[[SPY]:[PE]],MATCH(OY$1,PortfolioRef[Reference '#]),0),AssetMonthlyReturns[[#This Row],[SPY]:[PE]])</f>
        <v>2.0929622354029665E-2</v>
      </c>
      <c r="OZ43" s="27">
        <f>IF(ISNUMBER(OZ42),OZ42*(1+PortfolioFrontier[[#This Row],[P104 Return]]),1+PortfolioFrontier[[#This Row],[P104 Return]])</f>
        <v>1.249499576660396</v>
      </c>
      <c r="PA43" s="27">
        <f>MAX(PA42,PortfolioFrontier[[#This Row],[P104 Growth]])</f>
        <v>1.249499576660396</v>
      </c>
      <c r="PB43" s="27">
        <f>PortfolioFrontier[[#This Row],[P104 Growth]]/PortfolioFrontier[[#This Row],[P104 HWM]]-1</f>
        <v>0</v>
      </c>
      <c r="PC43" s="28">
        <f>SUMPRODUCT(INDEX(PortfolioRef[[SPY]:[PE]],MATCH(PC$1,PortfolioRef[Reference '#]),0),AssetMonthlyReturns[[#This Row],[SPY]:[PE]])</f>
        <v>1.9055422105287684E-2</v>
      </c>
      <c r="PD43" s="27">
        <f>IF(ISNUMBER(PD42),PD42*(1+PortfolioFrontier[[#This Row],[P105 Return]]),1+PortfolioFrontier[[#This Row],[P105 Return]])</f>
        <v>1.2342247413280172</v>
      </c>
      <c r="PE43" s="27">
        <f>MAX(PE42,PortfolioFrontier[[#This Row],[P105 Growth]])</f>
        <v>1.2342247413280172</v>
      </c>
      <c r="PF43" s="27">
        <f>PortfolioFrontier[[#This Row],[P105 Growth]]/PortfolioFrontier[[#This Row],[P105 HWM]]-1</f>
        <v>0</v>
      </c>
      <c r="PG43" s="28">
        <f>SUMPRODUCT(INDEX(PortfolioRef[[SPY]:[PE]],MATCH(PG$1,PortfolioRef[Reference '#]),0),AssetMonthlyReturns[[#This Row],[SPY]:[PE]])</f>
        <v>1.7181221856545702E-2</v>
      </c>
      <c r="PH43" s="27">
        <f>IF(ISNUMBER(PH42),PH42*(1+PortfolioFrontier[[#This Row],[P106 Return]]),1+PortfolioFrontier[[#This Row],[P106 Return]])</f>
        <v>1.218939008559855</v>
      </c>
      <c r="PI43" s="27">
        <f>MAX(PI42,PortfolioFrontier[[#This Row],[P106 Growth]])</f>
        <v>1.218939008559855</v>
      </c>
      <c r="PJ43" s="27">
        <f>PortfolioFrontier[[#This Row],[P106 Growth]]/PortfolioFrontier[[#This Row],[P106 HWM]]-1</f>
        <v>0</v>
      </c>
      <c r="PK43" s="28">
        <f>SUMPRODUCT(INDEX(PortfolioRef[[SPY]:[PE]],MATCH(PK$1,PortfolioRef[Reference '#]),0),AssetMonthlyReturns[[#This Row],[SPY]:[PE]])</f>
        <v>2.5581188830508195E-2</v>
      </c>
      <c r="PL43" s="27">
        <f>IF(ISNUMBER(PL42),PL42*(1+PortfolioFrontier[[#This Row],[P107 Return]]),1+PortfolioFrontier[[#This Row],[P107 Return]])</f>
        <v>1.2461693111767587</v>
      </c>
      <c r="PM43" s="27">
        <f>MAX(PM42,PortfolioFrontier[[#This Row],[P107 Growth]])</f>
        <v>1.2461693111767587</v>
      </c>
      <c r="PN43" s="27">
        <f>PortfolioFrontier[[#This Row],[P107 Growth]]/PortfolioFrontier[[#This Row],[P107 HWM]]-1</f>
        <v>0</v>
      </c>
      <c r="PO43" s="28">
        <f>SUMPRODUCT(INDEX(PortfolioRef[[SPY]:[PE]],MATCH(PO$1,PortfolioRef[Reference '#]),0),AssetMonthlyReturns[[#This Row],[SPY]:[PE]])</f>
        <v>2.3706988581766217E-2</v>
      </c>
      <c r="PP43" s="27">
        <f>IF(ISNUMBER(PP42),PP42*(1+PortfolioFrontier[[#This Row],[P108 Return]]),1+PortfolioFrontier[[#This Row],[P108 Return]])</f>
        <v>1.2308341679835924</v>
      </c>
      <c r="PQ43" s="27">
        <f>MAX(PQ42,PortfolioFrontier[[#This Row],[P108 Growth]])</f>
        <v>1.2308341679835924</v>
      </c>
      <c r="PR43" s="27">
        <f>PortfolioFrontier[[#This Row],[P108 Growth]]/PortfolioFrontier[[#This Row],[P108 HWM]]-1</f>
        <v>0</v>
      </c>
      <c r="PS43" s="28">
        <f>SUMPRODUCT(INDEX(PortfolioRef[[SPY]:[PE]],MATCH(PS$1,PortfolioRef[Reference '#]),0),AssetMonthlyReturns[[#This Row],[SPY]:[PE]])</f>
        <v>2.3498128664675721E-2</v>
      </c>
      <c r="PT43" s="27">
        <f>IF(ISNUMBER(PT42),PT42*(1+PortfolioFrontier[[#This Row],[P109 Return]]),1+PortfolioFrontier[[#This Row],[P109 Return]])</f>
        <v>1.2526890222257607</v>
      </c>
      <c r="PU43" s="27">
        <f>MAX(PU42,PortfolioFrontier[[#This Row],[P109 Growth]])</f>
        <v>1.2526890222257607</v>
      </c>
      <c r="PV43" s="27">
        <f>PortfolioFrontier[[#This Row],[P109 Growth]]/PortfolioFrontier[[#This Row],[P109 HWM]]-1</f>
        <v>0</v>
      </c>
      <c r="PW43" s="28">
        <f>SUMPRODUCT(INDEX(PortfolioRef[[SPY]:[PE]],MATCH(PW$1,PortfolioRef[Reference '#]),0),AssetMonthlyReturns[[#This Row],[SPY]:[PE]])</f>
        <v>2.1623928415933739E-2</v>
      </c>
      <c r="PX43" s="27">
        <f>IF(ISNUMBER(PX42),PX42*(1+PortfolioFrontier[[#This Row],[P110 Return]]),1+PortfolioFrontier[[#This Row],[P110 Return]])</f>
        <v>1.2373999895474597</v>
      </c>
      <c r="PY43" s="27">
        <f>MAX(PY42,PortfolioFrontier[[#This Row],[P110 Growth]])</f>
        <v>1.2373999895474597</v>
      </c>
      <c r="PZ43" s="27">
        <f>PortfolioFrontier[[#This Row],[P110 Growth]]/PortfolioFrontier[[#This Row],[P110 HWM]]-1</f>
        <v>0</v>
      </c>
      <c r="QA43" s="28">
        <f>SUMPRODUCT(INDEX(PortfolioRef[[SPY]:[PE]],MATCH(QA$1,PortfolioRef[Reference '#]),0),AssetMonthlyReturns[[#This Row],[SPY]:[PE]])</f>
        <v>1.9749728167191758E-2</v>
      </c>
      <c r="QB43" s="27">
        <f>IF(ISNUMBER(QB42),QB42*(1+PortfolioFrontier[[#This Row],[P111 Return]]),1+PortfolioFrontier[[#This Row],[P111 Return]])</f>
        <v>1.2220994901181736</v>
      </c>
      <c r="QC43" s="27">
        <f>MAX(QC42,PortfolioFrontier[[#This Row],[P111 Growth]])</f>
        <v>1.2220994901181736</v>
      </c>
      <c r="QD43" s="27">
        <f>PortfolioFrontier[[#This Row],[P111 Growth]]/PortfolioFrontier[[#This Row],[P111 HWM]]-1</f>
        <v>0</v>
      </c>
      <c r="QE43" s="28">
        <f>SUMPRODUCT(INDEX(PortfolioRef[[SPY]:[PE]],MATCH(QE$1,PortfolioRef[Reference '#]),0),AssetMonthlyReturns[[#This Row],[SPY]:[PE]])</f>
        <v>2.1415068498843247E-2</v>
      </c>
      <c r="QF43" s="27">
        <f>IF(ISNUMBER(QF42),QF42*(1+PortfolioFrontier[[#This Row],[P112 Return]]),1+PortfolioFrontier[[#This Row],[P112 Return]])</f>
        <v>1.2589638492332542</v>
      </c>
      <c r="QG43" s="27">
        <f>MAX(QG42,PortfolioFrontier[[#This Row],[P112 Growth]])</f>
        <v>1.2589638492332542</v>
      </c>
      <c r="QH43" s="27">
        <f>PortfolioFrontier[[#This Row],[P112 Growth]]/PortfolioFrontier[[#This Row],[P112 HWM]]-1</f>
        <v>0</v>
      </c>
      <c r="QI43" s="28">
        <f>SUMPRODUCT(INDEX(PortfolioRef[[SPY]:[PE]],MATCH(QI$1,PortfolioRef[Reference '#]),0),AssetMonthlyReturns[[#This Row],[SPY]:[PE]])</f>
        <v>1.9540868250101269E-2</v>
      </c>
      <c r="QJ43" s="27">
        <f>IF(ISNUMBER(QJ42),QJ42*(1+PortfolioFrontier[[#This Row],[P113 Return]]),1+PortfolioFrontier[[#This Row],[P113 Return]])</f>
        <v>1.2437252645422527</v>
      </c>
      <c r="QK43" s="27">
        <f>MAX(QK42,PortfolioFrontier[[#This Row],[P113 Growth]])</f>
        <v>1.2437252645422527</v>
      </c>
      <c r="QL43" s="27">
        <f>PortfolioFrontier[[#This Row],[P113 Growth]]/PortfolioFrontier[[#This Row],[P113 HWM]]-1</f>
        <v>0</v>
      </c>
      <c r="QM43" s="28">
        <f>SUMPRODUCT(INDEX(PortfolioRef[[SPY]:[PE]],MATCH(QM$1,PortfolioRef[Reference '#]),0),AssetMonthlyReturns[[#This Row],[SPY]:[PE]])</f>
        <v>1.7666668001359284E-2</v>
      </c>
      <c r="QN43" s="27">
        <f>IF(ISNUMBER(QN42),QN42*(1+PortfolioFrontier[[#This Row],[P114 Return]]),1+PortfolioFrontier[[#This Row],[P114 Return]])</f>
        <v>1.2284721085909613</v>
      </c>
      <c r="QO43" s="27">
        <f>MAX(QO42,PortfolioFrontier[[#This Row],[P114 Growth]])</f>
        <v>1.2284721085909613</v>
      </c>
      <c r="QP43" s="27">
        <f>PortfolioFrontier[[#This Row],[P114 Growth]]/PortfolioFrontier[[#This Row],[P114 HWM]]-1</f>
        <v>0</v>
      </c>
      <c r="QQ43" s="28">
        <f>SUMPRODUCT(INDEX(PortfolioRef[[SPY]:[PE]],MATCH(QQ$1,PortfolioRef[Reference '#]),0),AssetMonthlyReturns[[#This Row],[SPY]:[PE]])</f>
        <v>2.606663497532178E-2</v>
      </c>
      <c r="QR43" s="27">
        <f>IF(ISNUMBER(QR42),QR42*(1+PortfolioFrontier[[#This Row],[P115 Return]]),1+PortfolioFrontier[[#This Row],[P115 Return]])</f>
        <v>1.2557768331925467</v>
      </c>
      <c r="QS43" s="27">
        <f>MAX(QS42,PortfolioFrontier[[#This Row],[P115 Growth]])</f>
        <v>1.2557768331925467</v>
      </c>
      <c r="QT43" s="27">
        <f>PortfolioFrontier[[#This Row],[P115 Growth]]/PortfolioFrontier[[#This Row],[P115 HWM]]-1</f>
        <v>0</v>
      </c>
      <c r="QU43" s="28">
        <f>SUMPRODUCT(INDEX(PortfolioRef[[SPY]:[PE]],MATCH(QU$1,PortfolioRef[Reference '#]),0),AssetMonthlyReturns[[#This Row],[SPY]:[PE]])</f>
        <v>2.4192434726579799E-2</v>
      </c>
      <c r="QV43" s="27">
        <f>IF(ISNUMBER(QV42),QV42*(1+PortfolioFrontier[[#This Row],[P116 Return]]),1+PortfolioFrontier[[#This Row],[P116 Return]])</f>
        <v>1.2404748405652466</v>
      </c>
      <c r="QW43" s="27">
        <f>MAX(QW42,PortfolioFrontier[[#This Row],[P116 Growth]])</f>
        <v>1.2404748405652466</v>
      </c>
      <c r="QX43" s="27">
        <f>PortfolioFrontier[[#This Row],[P116 Growth]]/PortfolioFrontier[[#This Row],[P116 HWM]]-1</f>
        <v>0</v>
      </c>
      <c r="QY43" s="28">
        <f>SUMPRODUCT(INDEX(PortfolioRef[[SPY]:[PE]],MATCH(QY$1,PortfolioRef[Reference '#]),0),AssetMonthlyReturns[[#This Row],[SPY]:[PE]])</f>
        <v>2.2318234477837817E-2</v>
      </c>
      <c r="QZ43" s="27">
        <f>IF(ISNUMBER(QZ42),QZ42*(1+PortfolioFrontier[[#This Row],[P117 Return]]),1+PortfolioFrontier[[#This Row],[P117 Return]])</f>
        <v>1.2251608119913704</v>
      </c>
      <c r="RA43" s="27">
        <f>MAX(RA42,PortfolioFrontier[[#This Row],[P117 Growth]])</f>
        <v>1.2251608119913704</v>
      </c>
      <c r="RB43" s="27">
        <f>PortfolioFrontier[[#This Row],[P117 Growth]]/PortfolioFrontier[[#This Row],[P117 HWM]]-1</f>
        <v>0</v>
      </c>
      <c r="RC43" s="28">
        <f>SUMPRODUCT(INDEX(PortfolioRef[[SPY]:[PE]],MATCH(RC$1,PortfolioRef[Reference '#]),0),AssetMonthlyReturns[[#This Row],[SPY]:[PE]])</f>
        <v>2.3983574809489306E-2</v>
      </c>
      <c r="RD43" s="27">
        <f>IF(ISNUMBER(RD42),RD42*(1+PortfolioFrontier[[#This Row],[P118 Return]]),1+PortfolioFrontier[[#This Row],[P118 Return]])</f>
        <v>1.2621813728420497</v>
      </c>
      <c r="RE43" s="27">
        <f>MAX(RE42,PortfolioFrontier[[#This Row],[P118 Growth]])</f>
        <v>1.2621813728420497</v>
      </c>
      <c r="RF43" s="27">
        <f>PortfolioFrontier[[#This Row],[P118 Growth]]/PortfolioFrontier[[#This Row],[P118 HWM]]-1</f>
        <v>0</v>
      </c>
      <c r="RG43" s="28">
        <f>SUMPRODUCT(INDEX(PortfolioRef[[SPY]:[PE]],MATCH(RG$1,PortfolioRef[Reference '#]),0),AssetMonthlyReturns[[#This Row],[SPY]:[PE]])</f>
        <v>2.2109374560747325E-2</v>
      </c>
      <c r="RH43" s="27">
        <f>IF(ISNUMBER(RH42),RH42*(1+PortfolioFrontier[[#This Row],[P119 Return]]),1+PortfolioFrontier[[#This Row],[P119 Return]])</f>
        <v>1.2469287049216053</v>
      </c>
      <c r="RI43" s="27">
        <f>MAX(RI42,PortfolioFrontier[[#This Row],[P119 Growth]])</f>
        <v>1.2469287049216053</v>
      </c>
      <c r="RJ43" s="27">
        <f>PortfolioFrontier[[#This Row],[P119 Growth]]/PortfolioFrontier[[#This Row],[P119 HWM]]-1</f>
        <v>0</v>
      </c>
      <c r="RK43" s="28">
        <f>SUMPRODUCT(INDEX(PortfolioRef[[SPY]:[PE]],MATCH(RK$1,PortfolioRef[Reference '#]),0),AssetMonthlyReturns[[#This Row],[SPY]:[PE]])</f>
        <v>2.0235174312005343E-2</v>
      </c>
      <c r="RL43" s="27">
        <f>IF(ISNUMBER(RL42),RL42*(1+PortfolioFrontier[[#This Row],[P120 Return]]),1+PortfolioFrontier[[#This Row],[P120 Return]])</f>
        <v>1.2316608907608542</v>
      </c>
      <c r="RM43" s="27">
        <f>MAX(RM42,PortfolioFrontier[[#This Row],[P120 Growth]])</f>
        <v>1.2316608907608542</v>
      </c>
      <c r="RN43" s="27">
        <f>PortfolioFrontier[[#This Row],[P120 Growth]]/PortfolioFrontier[[#This Row],[P120 HWM]]-1</f>
        <v>0</v>
      </c>
      <c r="RO43" s="28">
        <f>SUMPRODUCT(INDEX(PortfolioRef[[SPY]:[PE]],MATCH(RO$1,PortfolioRef[Reference '#]),0),AssetMonthlyReturns[[#This Row],[SPY]:[PE]])</f>
        <v>2.1900514643656832E-2</v>
      </c>
      <c r="RP43" s="27">
        <f>IF(ISNUMBER(RP42),RP42*(1+PortfolioFrontier[[#This Row],[P121 Return]]),1+PortfolioFrontier[[#This Row],[P121 Return]])</f>
        <v>1.2683371853676426</v>
      </c>
      <c r="RQ43" s="27">
        <f>MAX(RQ42,PortfolioFrontier[[#This Row],[P121 Growth]])</f>
        <v>1.2683371853676426</v>
      </c>
      <c r="RR43" s="27">
        <f>PortfolioFrontier[[#This Row],[P121 Growth]]/PortfolioFrontier[[#This Row],[P121 HWM]]-1</f>
        <v>0</v>
      </c>
      <c r="RS43" s="28">
        <f>SUMPRODUCT(INDEX(PortfolioRef[[SPY]:[PE]],MATCH(RS$1,PortfolioRef[Reference '#]),0),AssetMonthlyReturns[[#This Row],[SPY]:[PE]])</f>
        <v>2.0026314394914851E-2</v>
      </c>
      <c r="RT43" s="27">
        <f>IF(ISNUMBER(RT42),RT42*(1+PortfolioFrontier[[#This Row],[P122 Return]]),1+PortfolioFrontier[[#This Row],[P122 Return]])</f>
        <v>1.2531381901778718</v>
      </c>
      <c r="RU43" s="27">
        <f>MAX(RU42,PortfolioFrontier[[#This Row],[P122 Growth]])</f>
        <v>1.2531381901778718</v>
      </c>
      <c r="RV43" s="27">
        <f>PortfolioFrontier[[#This Row],[P122 Growth]]/PortfolioFrontier[[#This Row],[P122 HWM]]-1</f>
        <v>0</v>
      </c>
      <c r="RW43" s="28">
        <f>SUMPRODUCT(INDEX(PortfolioRef[[SPY]:[PE]],MATCH(RW$1,PortfolioRef[Reference '#]),0),AssetMonthlyReturns[[#This Row],[SPY]:[PE]])</f>
        <v>1.8152114146172869E-2</v>
      </c>
      <c r="RX43" s="27">
        <f>IF(ISNUMBER(RX42),RX42*(1+PortfolioFrontier[[#This Row],[P123 Return]]),1+PortfolioFrontier[[#This Row],[P123 Return]])</f>
        <v>1.2379209208541027</v>
      </c>
      <c r="RY43" s="27">
        <f>MAX(RY42,PortfolioFrontier[[#This Row],[P123 Growth]])</f>
        <v>1.2379209208541027</v>
      </c>
      <c r="RZ43" s="27">
        <f>PortfolioFrontier[[#This Row],[P123 Growth]]/PortfolioFrontier[[#This Row],[P123 HWM]]-1</f>
        <v>0</v>
      </c>
      <c r="SA43" s="28">
        <f>SUMPRODUCT(INDEX(PortfolioRef[[SPY]:[PE]],MATCH(SA$1,PortfolioRef[Reference '#]),0),AssetMonthlyReturns[[#This Row],[SPY]:[PE]])</f>
        <v>2.6552081120135362E-2</v>
      </c>
      <c r="SB43" s="27">
        <f>IF(ISNUMBER(SB42),SB42*(1+PortfolioFrontier[[#This Row],[P124 Return]]),1+PortfolioFrontier[[#This Row],[P124 Return]])</f>
        <v>1.2652965970163634</v>
      </c>
      <c r="SC43" s="27">
        <f>MAX(SC42,PortfolioFrontier[[#This Row],[P124 Growth]])</f>
        <v>1.2652965970163634</v>
      </c>
      <c r="SD43" s="27">
        <f>PortfolioFrontier[[#This Row],[P124 Growth]]/PortfolioFrontier[[#This Row],[P124 HWM]]-1</f>
        <v>0</v>
      </c>
      <c r="SE43" s="28">
        <f>SUMPRODUCT(INDEX(PortfolioRef[[SPY]:[PE]],MATCH(SE$1,PortfolioRef[Reference '#]),0),AssetMonthlyReturns[[#This Row],[SPY]:[PE]])</f>
        <v>2.4677880871393384E-2</v>
      </c>
      <c r="SF43" s="27">
        <f>IF(ISNUMBER(SF42),SF42*(1+PortfolioFrontier[[#This Row],[P125 Return]]),1+PortfolioFrontier[[#This Row],[P125 Return]])</f>
        <v>1.250031080088384</v>
      </c>
      <c r="SG43" s="27">
        <f>MAX(SG42,PortfolioFrontier[[#This Row],[P125 Growth]])</f>
        <v>1.250031080088384</v>
      </c>
      <c r="SH43" s="27">
        <f>PortfolioFrontier[[#This Row],[P125 Growth]]/PortfolioFrontier[[#This Row],[P125 HWM]]-1</f>
        <v>0</v>
      </c>
      <c r="SI43" s="28">
        <f>SUMPRODUCT(INDEX(PortfolioRef[[SPY]:[PE]],MATCH(SI$1,PortfolioRef[Reference '#]),0),AssetMonthlyReturns[[#This Row],[SPY]:[PE]])</f>
        <v>2.2803680622651399E-2</v>
      </c>
      <c r="SJ43" s="27">
        <f>IF(ISNUMBER(SJ42),SJ42*(1+PortfolioFrontier[[#This Row],[P126 Return]]),1+PortfolioFrontier[[#This Row],[P126 Return]])</f>
        <v>1.2347498423124375</v>
      </c>
      <c r="SK43" s="27">
        <f>MAX(SK42,PortfolioFrontier[[#This Row],[P126 Growth]])</f>
        <v>1.2347498423124375</v>
      </c>
      <c r="SL43" s="27">
        <f>PortfolioFrontier[[#This Row],[P126 Growth]]/PortfolioFrontier[[#This Row],[P126 HWM]]-1</f>
        <v>0</v>
      </c>
      <c r="SM43" s="28">
        <f>SUMPRODUCT(INDEX(PortfolioRef[[SPY]:[PE]],MATCH(SM$1,PortfolioRef[Reference '#]),0),AssetMonthlyReturns[[#This Row],[SPY]:[PE]])</f>
        <v>2.4469020954302891E-2</v>
      </c>
      <c r="SN43" s="27">
        <f>IF(ISNUMBER(SN42),SN42*(1+PortfolioFrontier[[#This Row],[P127 Return]]),1+PortfolioFrontier[[#This Row],[P127 Return]])</f>
        <v>1.2715827826631585</v>
      </c>
      <c r="SO43" s="27">
        <f>MAX(SO42,PortfolioFrontier[[#This Row],[P127 Growth]])</f>
        <v>1.2715827826631585</v>
      </c>
      <c r="SP43" s="27">
        <f>PortfolioFrontier[[#This Row],[P127 Growth]]/PortfolioFrontier[[#This Row],[P127 HWM]]-1</f>
        <v>0</v>
      </c>
      <c r="SQ43" s="28">
        <f>SUMPRODUCT(INDEX(PortfolioRef[[SPY]:[PE]],MATCH(SQ$1,PortfolioRef[Reference '#]),0),AssetMonthlyReturns[[#This Row],[SPY]:[PE]])</f>
        <v>2.259482070556091E-2</v>
      </c>
      <c r="SR43" s="27">
        <f>IF(ISNUMBER(SR42),SR42*(1+PortfolioFrontier[[#This Row],[P128 Return]]),1+PortfolioFrontier[[#This Row],[P128 Return]])</f>
        <v>1.2563698217313677</v>
      </c>
      <c r="SS43" s="27">
        <f>MAX(SS42,PortfolioFrontier[[#This Row],[P128 Growth]])</f>
        <v>1.2563698217313677</v>
      </c>
      <c r="ST43" s="27">
        <f>PortfolioFrontier[[#This Row],[P128 Growth]]/PortfolioFrontier[[#This Row],[P128 HWM]]-1</f>
        <v>0</v>
      </c>
      <c r="SU43" s="28">
        <f>SUMPRODUCT(INDEX(PortfolioRef[[SPY]:[PE]],MATCH(SU$1,PortfolioRef[Reference '#]),0),AssetMonthlyReturns[[#This Row],[SPY]:[PE]])</f>
        <v>2.0720620456818929E-2</v>
      </c>
      <c r="SV43" s="27">
        <f>IF(ISNUMBER(SV42),SV42*(1+PortfolioFrontier[[#This Row],[P129 Return]]),1+PortfolioFrontier[[#This Row],[P129 Return]])</f>
        <v>1.2411380060525132</v>
      </c>
      <c r="SW43" s="27">
        <f>MAX(SW42,PortfolioFrontier[[#This Row],[P129 Growth]])</f>
        <v>1.2411380060525132</v>
      </c>
      <c r="SX43" s="27">
        <f>PortfolioFrontier[[#This Row],[P129 Growth]]/PortfolioFrontier[[#This Row],[P129 HWM]]-1</f>
        <v>0</v>
      </c>
      <c r="SY43" s="28">
        <f>SUMPRODUCT(INDEX(PortfolioRef[[SPY]:[PE]],MATCH(SY$1,PortfolioRef[Reference '#]),0),AssetMonthlyReturns[[#This Row],[SPY]:[PE]])</f>
        <v>2.2385960788470414E-2</v>
      </c>
      <c r="SZ43" s="27">
        <f>IF(ISNUMBER(SZ42),SZ42*(1+PortfolioFrontier[[#This Row],[P130 Return]]),1+PortfolioFrontier[[#This Row],[P130 Return]])</f>
        <v>1.2776164068366405</v>
      </c>
      <c r="TA43" s="27">
        <f>MAX(TA42,PortfolioFrontier[[#This Row],[P130 Growth]])</f>
        <v>1.2776164068366405</v>
      </c>
      <c r="TB43" s="27">
        <f>PortfolioFrontier[[#This Row],[P130 Growth]]/PortfolioFrontier[[#This Row],[P130 HWM]]-1</f>
        <v>0</v>
      </c>
      <c r="TC43" s="28">
        <f>SUMPRODUCT(INDEX(PortfolioRef[[SPY]:[PE]],MATCH(TC$1,PortfolioRef[Reference '#]),0),AssetMonthlyReturns[[#This Row],[SPY]:[PE]])</f>
        <v>2.0511760539728436E-2</v>
      </c>
      <c r="TD43" s="27">
        <f>IF(ISNUMBER(TD42),TD42*(1+PortfolioFrontier[[#This Row],[P131 Return]]),1+PortfolioFrontier[[#This Row],[P131 Return]])</f>
        <v>1.2624603592424137</v>
      </c>
      <c r="TE43" s="27">
        <f>MAX(TE42,PortfolioFrontier[[#This Row],[P131 Growth]])</f>
        <v>1.2624603592424137</v>
      </c>
      <c r="TF43" s="27">
        <f>PortfolioFrontier[[#This Row],[P131 Growth]]/PortfolioFrontier[[#This Row],[P131 HWM]]-1</f>
        <v>0</v>
      </c>
      <c r="TG43" s="28">
        <f>SUMPRODUCT(INDEX(PortfolioRef[[SPY]:[PE]],MATCH(TG$1,PortfolioRef[Reference '#]),0),AssetMonthlyReturns[[#This Row],[SPY]:[PE]])</f>
        <v>1.8637560290986455E-2</v>
      </c>
      <c r="TH43" s="27">
        <f>IF(ISNUMBER(TH42),TH42*(1+PortfolioFrontier[[#This Row],[P132 Return]]),1+PortfolioFrontier[[#This Row],[P132 Return]])</f>
        <v>1.2472823066113943</v>
      </c>
      <c r="TI43" s="27">
        <f>MAX(TI42,PortfolioFrontier[[#This Row],[P132 Growth]])</f>
        <v>1.2472823066113943</v>
      </c>
      <c r="TJ43" s="27">
        <f>PortfolioFrontier[[#This Row],[P132 Growth]]/PortfolioFrontier[[#This Row],[P132 HWM]]-1</f>
        <v>0</v>
      </c>
      <c r="TK43" s="28">
        <f>SUMPRODUCT(INDEX(PortfolioRef[[SPY]:[PE]],MATCH(TK$1,PortfolioRef[Reference '#]),0),AssetMonthlyReturns[[#This Row],[SPY]:[PE]])</f>
        <v>2.7037527264948947E-2</v>
      </c>
      <c r="TL43" s="27">
        <f>IF(ISNUMBER(TL42),TL42*(1+PortfolioFrontier[[#This Row],[P133 Return]]),1+PortfolioFrontier[[#This Row],[P133 Return]])</f>
        <v>1.2747254239910064</v>
      </c>
      <c r="TM43" s="27">
        <f>MAX(TM42,PortfolioFrontier[[#This Row],[P133 Growth]])</f>
        <v>1.2747254239910064</v>
      </c>
      <c r="TN43" s="27">
        <f>PortfolioFrontier[[#This Row],[P133 Growth]]/PortfolioFrontier[[#This Row],[P133 HWM]]-1</f>
        <v>0</v>
      </c>
      <c r="TO43" s="28">
        <f>SUMPRODUCT(INDEX(PortfolioRef[[SPY]:[PE]],MATCH(TO$1,PortfolioRef[Reference '#]),0),AssetMonthlyReturns[[#This Row],[SPY]:[PE]])</f>
        <v>2.5163327016206966E-2</v>
      </c>
      <c r="TP43" s="27">
        <f>IF(ISNUMBER(TP42),TP42*(1+PortfolioFrontier[[#This Row],[P134 Return]]),1+PortfolioFrontier[[#This Row],[P134 Return]])</f>
        <v>1.2594997281316438</v>
      </c>
      <c r="TQ43" s="27">
        <f>MAX(TQ42,PortfolioFrontier[[#This Row],[P134 Growth]])</f>
        <v>1.2594997281316438</v>
      </c>
      <c r="TR43" s="27">
        <f>PortfolioFrontier[[#This Row],[P134 Growth]]/PortfolioFrontier[[#This Row],[P134 HWM]]-1</f>
        <v>0</v>
      </c>
      <c r="TS43" s="28">
        <f>SUMPRODUCT(INDEX(PortfolioRef[[SPY]:[PE]],MATCH(TS$1,PortfolioRef[Reference '#]),0),AssetMonthlyReturns[[#This Row],[SPY]:[PE]])</f>
        <v>2.3289126767464984E-2</v>
      </c>
      <c r="TT43" s="27">
        <f>IF(ISNUMBER(TT42),TT42*(1+PortfolioFrontier[[#This Row],[P135 Return]]),1+PortfolioFrontier[[#This Row],[P135 Return]])</f>
        <v>1.2442545975387422</v>
      </c>
      <c r="TU43" s="27">
        <f>MAX(TU42,PortfolioFrontier[[#This Row],[P135 Growth]])</f>
        <v>1.2442545975387422</v>
      </c>
      <c r="TV43" s="27">
        <f>PortfolioFrontier[[#This Row],[P135 Growth]]/PortfolioFrontier[[#This Row],[P135 HWM]]-1</f>
        <v>0</v>
      </c>
      <c r="TW43" s="28">
        <f>SUMPRODUCT(INDEX(PortfolioRef[[SPY]:[PE]],MATCH(TW$1,PortfolioRef[Reference '#]),0),AssetMonthlyReturns[[#This Row],[SPY]:[PE]])</f>
        <v>2.495446709911647E-2</v>
      </c>
      <c r="TX43" s="27">
        <f>IF(ISNUMBER(TX42),TX42*(1+PortfolioFrontier[[#This Row],[P136 Return]]),1+PortfolioFrontier[[#This Row],[P136 Return]])</f>
        <v>1.2808900690494107</v>
      </c>
      <c r="TY43" s="27">
        <f>MAX(TY42,PortfolioFrontier[[#This Row],[P136 Growth]])</f>
        <v>1.2808900690494107</v>
      </c>
      <c r="TZ43" s="27">
        <f>PortfolioFrontier[[#This Row],[P136 Growth]]/PortfolioFrontier[[#This Row],[P136 HWM]]-1</f>
        <v>0</v>
      </c>
      <c r="UA43" s="28">
        <f>SUMPRODUCT(INDEX(PortfolioRef[[SPY]:[PE]],MATCH(UA$1,PortfolioRef[Reference '#]),0),AssetMonthlyReturns[[#This Row],[SPY]:[PE]])</f>
        <v>2.3080266850374492E-2</v>
      </c>
      <c r="UB43" s="27">
        <f>IF(ISNUMBER(UB42),UB42*(1+PortfolioFrontier[[#This Row],[P137 Return]]),1+PortfolioFrontier[[#This Row],[P137 Return]])</f>
        <v>1.2657201765751871</v>
      </c>
      <c r="UC43" s="27">
        <f>MAX(UC42,PortfolioFrontier[[#This Row],[P137 Growth]])</f>
        <v>1.2657201765751871</v>
      </c>
      <c r="UD43" s="27">
        <f>PortfolioFrontier[[#This Row],[P137 Growth]]/PortfolioFrontier[[#This Row],[P137 HWM]]-1</f>
        <v>0</v>
      </c>
      <c r="UE43" s="28">
        <f>SUMPRODUCT(INDEX(PortfolioRef[[SPY]:[PE]],MATCH(UE$1,PortfolioRef[Reference '#]),0),AssetMonthlyReturns[[#This Row],[SPY]:[PE]])</f>
        <v>2.120606660163251E-2</v>
      </c>
      <c r="UF43" s="27">
        <f>IF(ISNUMBER(UF42),UF42*(1+PortfolioFrontier[[#This Row],[P138 Return]]),1+PortfolioFrontier[[#This Row],[P138 Return]])</f>
        <v>1.2505276928516336</v>
      </c>
      <c r="UG43" s="27">
        <f>MAX(UG42,PortfolioFrontier[[#This Row],[P138 Growth]])</f>
        <v>1.2505276928516336</v>
      </c>
      <c r="UH43" s="27">
        <f>PortfolioFrontier[[#This Row],[P138 Growth]]/PortfolioFrontier[[#This Row],[P138 HWM]]-1</f>
        <v>0</v>
      </c>
      <c r="UI43" s="28">
        <f>SUMPRODUCT(INDEX(PortfolioRef[[SPY]:[PE]],MATCH(UI$1,PortfolioRef[Reference '#]),0),AssetMonthlyReturns[[#This Row],[SPY]:[PE]])</f>
        <v>2.2871406933283999E-2</v>
      </c>
      <c r="UJ43" s="27">
        <f>IF(ISNUMBER(UJ42),UJ42*(1+PortfolioFrontier[[#This Row],[P139 Return]]),1+PortfolioFrontier[[#This Row],[P139 Return]])</f>
        <v>1.2867983283650224</v>
      </c>
      <c r="UK43" s="27">
        <f>MAX(UK42,PortfolioFrontier[[#This Row],[P139 Growth]])</f>
        <v>1.2867983283650224</v>
      </c>
      <c r="UL43" s="27">
        <f>PortfolioFrontier[[#This Row],[P139 Growth]]/PortfolioFrontier[[#This Row],[P139 HWM]]-1</f>
        <v>0</v>
      </c>
      <c r="UM43" s="28">
        <f>SUMPRODUCT(INDEX(PortfolioRef[[SPY]:[PE]],MATCH(UM$1,PortfolioRef[Reference '#]),0),AssetMonthlyReturns[[#This Row],[SPY]:[PE]])</f>
        <v>2.0997206684542021E-2</v>
      </c>
      <c r="UN43" s="27">
        <f>IF(ISNUMBER(UN42),UN42*(1+PortfolioFrontier[[#This Row],[P140 Return]]),1+PortfolioFrontier[[#This Row],[P140 Return]])</f>
        <v>1.2716886046828457</v>
      </c>
      <c r="UO43" s="27">
        <f>MAX(UO42,PortfolioFrontier[[#This Row],[P140 Growth]])</f>
        <v>1.2716886046828457</v>
      </c>
      <c r="UP43" s="27">
        <f>PortfolioFrontier[[#This Row],[P140 Growth]]/PortfolioFrontier[[#This Row],[P140 HWM]]-1</f>
        <v>0</v>
      </c>
      <c r="UQ43" s="28">
        <f>SUMPRODUCT(INDEX(PortfolioRef[[SPY]:[PE]],MATCH(UQ$1,PortfolioRef[Reference '#]),0),AssetMonthlyReturns[[#This Row],[SPY]:[PE]])</f>
        <v>1.912300643580004E-2</v>
      </c>
      <c r="UR43" s="27">
        <f>IF(ISNUMBER(UR42),UR42*(1+PortfolioFrontier[[#This Row],[P141 Return]]),1+PortfolioFrontier[[#This Row],[P141 Return]])</f>
        <v>1.2565531180758038</v>
      </c>
      <c r="US43" s="27">
        <f>MAX(US42,PortfolioFrontier[[#This Row],[P141 Growth]])</f>
        <v>1.2565531180758038</v>
      </c>
      <c r="UT43" s="27">
        <f>PortfolioFrontier[[#This Row],[P141 Growth]]/PortfolioFrontier[[#This Row],[P141 HWM]]-1</f>
        <v>0</v>
      </c>
    </row>
    <row r="44" spans="2:566" x14ac:dyDescent="0.2">
      <c r="B44" s="41">
        <f>AssetMonthlyReturns[[#This Row],[Date]]</f>
        <v>43709</v>
      </c>
      <c r="C44" s="28">
        <f>SUMPRODUCT(INDEX(PortfolioRef[[SPY]:[PE]],MATCH(C$1,PortfolioRef[Reference '#]),0),AssetMonthlyReturns[[#This Row],[SPY]:[PE]])</f>
        <v>2.5771564267122642E-3</v>
      </c>
      <c r="D44" s="29">
        <f>IF(ISNUMBER(D43),D43*(1+PortfolioFrontier[[#This Row],[P1 Return]]),1+PortfolioFrontier[[#This Row],[P1 Return]])</f>
        <v>1.3493536460109814</v>
      </c>
      <c r="E44" s="29">
        <f>MAX(E43,PortfolioFrontier[[#This Row],[P1 Growth]])</f>
        <v>1.3493536460109814</v>
      </c>
      <c r="F44" s="29">
        <f>PortfolioFrontier[[#This Row],[P1 Growth]]/PortfolioFrontier[[#This Row],[P1 HWM]]-1</f>
        <v>0</v>
      </c>
      <c r="G44" s="28">
        <f>SUMPRODUCT(INDEX(PortfolioRef[[SPY]:[PE]],MATCH(G$1,PortfolioRef[Reference '#]),0),AssetMonthlyReturns[[#This Row],[SPY]:[PE]])</f>
        <v>1.5339574889663195E-3</v>
      </c>
      <c r="H44" s="27">
        <f>IF(ISNUMBER(H43),H43*(1+PortfolioFrontier[[#This Row],[P2 Return]]),1+PortfolioFrontier[[#This Row],[P2 Return]])</f>
        <v>1.3284132950869234</v>
      </c>
      <c r="I44" s="27">
        <f>MAX(I43,PortfolioFrontier[[#This Row],[P2 Growth]])</f>
        <v>1.3284132950869234</v>
      </c>
      <c r="J44" s="27">
        <f>PortfolioFrontier[[#This Row],[P2 Growth]]/PortfolioFrontier[[#This Row],[P2 HWM]]-1</f>
        <v>0</v>
      </c>
      <c r="K44" s="28">
        <f>SUMPRODUCT(INDEX(PortfolioRef[[SPY]:[PE]],MATCH(K$1,PortfolioRef[Reference '#]),0),AssetMonthlyReturns[[#This Row],[SPY]:[PE]])</f>
        <v>1.4107064355360372E-4</v>
      </c>
      <c r="L44" s="27">
        <f>IF(ISNUMBER(L43),L43*(1+PortfolioFrontier[[#This Row],[P3 Return]]),1+PortfolioFrontier[[#This Row],[P3 Return]])</f>
        <v>1.3300531316832005</v>
      </c>
      <c r="M44" s="27">
        <f>MAX(M43,PortfolioFrontier[[#This Row],[P3 Growth]])</f>
        <v>1.3300531316832005</v>
      </c>
      <c r="N44" s="27">
        <f>PortfolioFrontier[[#This Row],[P3 Growth]]/PortfolioFrontier[[#This Row],[P3 HWM]]-1</f>
        <v>0</v>
      </c>
      <c r="O44" s="28">
        <f>SUMPRODUCT(INDEX(PortfolioRef[[SPY]:[PE]],MATCH(O$1,PortfolioRef[Reference '#]),0),AssetMonthlyReturns[[#This Row],[SPY]:[PE]])</f>
        <v>2.3969058421767055E-3</v>
      </c>
      <c r="P44" s="27">
        <f>IF(ISNUMBER(P43),P43*(1+PortfolioFrontier[[#This Row],[P4 Return]]),1+PortfolioFrontier[[#This Row],[P4 Return]])</f>
        <v>1.3394629448250646</v>
      </c>
      <c r="Q44" s="27">
        <f>MAX(Q43,PortfolioFrontier[[#This Row],[P4 Growth]])</f>
        <v>1.3394629448250646</v>
      </c>
      <c r="R44" s="27">
        <f>PortfolioFrontier[[#This Row],[P4 Growth]]/PortfolioFrontier[[#This Row],[P4 HWM]]-1</f>
        <v>0</v>
      </c>
      <c r="S44" s="28">
        <f>SUMPRODUCT(INDEX(PortfolioRef[[SPY]:[PE]],MATCH(S$1,PortfolioRef[Reference '#]),0),AssetMonthlyReturns[[#This Row],[SPY]:[PE]])</f>
        <v>6.5994166975140173E-4</v>
      </c>
      <c r="T44" s="27">
        <f>IF(ISNUMBER(T43),T43*(1+PortfolioFrontier[[#This Row],[P5 Return]]),1+PortfolioFrontier[[#This Row],[P5 Return]])</f>
        <v>1.3209670104118489</v>
      </c>
      <c r="U44" s="27">
        <f>MAX(U43,PortfolioFrontier[[#This Row],[P5 Growth]])</f>
        <v>1.3209670104118489</v>
      </c>
      <c r="V44" s="27">
        <f>PortfolioFrontier[[#This Row],[P5 Growth]]/PortfolioFrontier[[#This Row],[P5 HWM]]-1</f>
        <v>0</v>
      </c>
      <c r="W44" s="28">
        <f>SUMPRODUCT(INDEX(PortfolioRef[[SPY]:[PE]],MATCH(W$1,PortfolioRef[Reference '#]),0),AssetMonthlyReturns[[#This Row],[SPY]:[PE]])</f>
        <v>4.907585512203775E-4</v>
      </c>
      <c r="X44" s="27">
        <f>IF(ISNUMBER(X43),X43*(1+PortfolioFrontier[[#This Row],[P6 Return]]),1+PortfolioFrontier[[#This Row],[P6 Return]])</f>
        <v>1.3076051814224476</v>
      </c>
      <c r="Y44" s="27">
        <f>MAX(Y43,PortfolioFrontier[[#This Row],[P6 Growth]])</f>
        <v>1.3076051814224476</v>
      </c>
      <c r="Z44" s="27">
        <f>PortfolioFrontier[[#This Row],[P6 Growth]]/PortfolioFrontier[[#This Row],[P6 HWM]]-1</f>
        <v>0</v>
      </c>
      <c r="AA44" s="28">
        <f>SUMPRODUCT(INDEX(PortfolioRef[[SPY]:[PE]],MATCH(AA$1,PortfolioRef[Reference '#]),0),AssetMonthlyReturns[[#This Row],[SPY]:[PE]])</f>
        <v>-9.021282941923392E-4</v>
      </c>
      <c r="AB44" s="27">
        <f>IF(ISNUMBER(AB43),AB43*(1+PortfolioFrontier[[#This Row],[P7 Return]]),1+PortfolioFrontier[[#This Row],[P7 Return]])</f>
        <v>1.3091954678022706</v>
      </c>
      <c r="AC44" s="27">
        <f>MAX(AC43,PortfolioFrontier[[#This Row],[P7 Growth]])</f>
        <v>1.3103775965081563</v>
      </c>
      <c r="AD44" s="27">
        <f>PortfolioFrontier[[#This Row],[P7 Growth]]/PortfolioFrontier[[#This Row],[P7 HWM]]-1</f>
        <v>-9.021282941923392E-4</v>
      </c>
      <c r="AE44" s="28">
        <f>SUMPRODUCT(INDEX(PortfolioRef[[SPY]:[PE]],MATCH(AE$1,PortfolioRef[Reference '#]),0),AssetMonthlyReturns[[#This Row],[SPY]:[PE]])</f>
        <v>1.3537069044307626E-3</v>
      </c>
      <c r="AF44" s="27">
        <f>IF(ISNUMBER(AF43),AF43*(1+PortfolioFrontier[[#This Row],[P8 Return]]),1+PortfolioFrontier[[#This Row],[P8 Return]])</f>
        <v>1.3185838112961226</v>
      </c>
      <c r="AG44" s="27">
        <f>MAX(AG43,PortfolioFrontier[[#This Row],[P8 Growth]])</f>
        <v>1.3185838112961226</v>
      </c>
      <c r="AH44" s="27">
        <f>PortfolioFrontier[[#This Row],[P8 Growth]]/PortfolioFrontier[[#This Row],[P8 HWM]]-1</f>
        <v>0</v>
      </c>
      <c r="AI44" s="28">
        <f>SUMPRODUCT(INDEX(PortfolioRef[[SPY]:[PE]],MATCH(AI$1,PortfolioRef[Reference '#]),0),AssetMonthlyReturns[[#This Row],[SPY]:[PE]])</f>
        <v>-3.8325726799454118E-4</v>
      </c>
      <c r="AJ44" s="27">
        <f>IF(ISNUMBER(AJ43),AJ43*(1+PortfolioFrontier[[#This Row],[P9 Return]]),1+PortfolioFrontier[[#This Row],[P9 Return]])</f>
        <v>1.3003079853097839</v>
      </c>
      <c r="AK44" s="27">
        <f>MAX(AK43,PortfolioFrontier[[#This Row],[P9 Growth]])</f>
        <v>1.3008065288662265</v>
      </c>
      <c r="AL44" s="27">
        <f>PortfolioFrontier[[#This Row],[P9 Growth]]/PortfolioFrontier[[#This Row],[P9 HWM]]-1</f>
        <v>-3.8325726799448567E-4</v>
      </c>
      <c r="AM44" s="28">
        <f>SUMPRODUCT(INDEX(PortfolioRef[[SPY]:[PE]],MATCH(AM$1,PortfolioRef[Reference '#]),0),AssetMonthlyReturns[[#This Row],[SPY]:[PE]])</f>
        <v>-2.295015139605055E-3</v>
      </c>
      <c r="AN44" s="27">
        <f>IF(ISNUMBER(AN43),AN43*(1+PortfolioFrontier[[#This Row],[P10 Return]]),1+PortfolioFrontier[[#This Row],[P10 Return]])</f>
        <v>1.3106709113525243</v>
      </c>
      <c r="AO44" s="27">
        <f>MAX(AO43,PortfolioFrontier[[#This Row],[P10 Growth]])</f>
        <v>1.3136858402445704</v>
      </c>
      <c r="AP44" s="27">
        <f>PortfolioFrontier[[#This Row],[P10 Growth]]/PortfolioFrontier[[#This Row],[P10 HWM]]-1</f>
        <v>-2.2950151396050611E-3</v>
      </c>
      <c r="AQ44" s="28">
        <f>SUMPRODUCT(INDEX(PortfolioRef[[SPY]:[PE]],MATCH(AQ$1,PortfolioRef[Reference '#]),0),AssetMonthlyReturns[[#This Row],[SPY]:[PE]])</f>
        <v>-3.9179940981953244E-5</v>
      </c>
      <c r="AR44" s="27">
        <f>IF(ISNUMBER(AR43),AR43*(1+PortfolioFrontier[[#This Row],[P11 Return]]),1+PortfolioFrontier[[#This Row],[P11 Return]])</f>
        <v>1.3201932464881616</v>
      </c>
      <c r="AS44" s="27">
        <f>MAX(AS43,PortfolioFrontier[[#This Row],[P11 Growth]])</f>
        <v>1.3202449736083093</v>
      </c>
      <c r="AT44" s="27">
        <f>PortfolioFrontier[[#This Row],[P11 Growth]]/PortfolioFrontier[[#This Row],[P11 HWM]]-1</f>
        <v>-3.9179940981903805E-5</v>
      </c>
      <c r="AU44" s="28">
        <f>SUMPRODUCT(INDEX(PortfolioRef[[SPY]:[PE]],MATCH(AU$1,PortfolioRef[Reference '#]),0),AssetMonthlyReturns[[#This Row],[SPY]:[PE]])</f>
        <v>-1.776144113407257E-3</v>
      </c>
      <c r="AV44" s="27">
        <f>IF(ISNUMBER(AV43),AV43*(1+PortfolioFrontier[[#This Row],[P12 Return]]),1+PortfolioFrontier[[#This Row],[P12 Return]])</f>
        <v>1.3019178505305966</v>
      </c>
      <c r="AW44" s="27">
        <f>MAX(AW43,PortfolioFrontier[[#This Row],[P12 Growth]])</f>
        <v>1.3042343587093217</v>
      </c>
      <c r="AX44" s="27">
        <f>PortfolioFrontier[[#This Row],[P12 Growth]]/PortfolioFrontier[[#This Row],[P12 HWM]]-1</f>
        <v>-1.7761441134073186E-3</v>
      </c>
      <c r="AY44" s="28">
        <f>SUMPRODUCT(INDEX(PortfolioRef[[SPY]:[PE]],MATCH(AY$1,PortfolioRef[Reference '#]),0),AssetMonthlyReturns[[#This Row],[SPY]:[PE]])</f>
        <v>2.2166552576411485E-3</v>
      </c>
      <c r="AZ44" s="27">
        <f>IF(ISNUMBER(AZ43),AZ43*(1+PortfolioFrontier[[#This Row],[P13 Return]]),1+PortfolioFrontier[[#This Row],[P13 Return]])</f>
        <v>1.3294824684280229</v>
      </c>
      <c r="BA44" s="27">
        <f>MAX(BA43,PortfolioFrontier[[#This Row],[P13 Growth]])</f>
        <v>1.3294824684280229</v>
      </c>
      <c r="BB44" s="27">
        <f>PortfolioFrontier[[#This Row],[P13 Growth]]/PortfolioFrontier[[#This Row],[P13 HWM]]-1</f>
        <v>0</v>
      </c>
      <c r="BC44" s="28">
        <f>SUMPRODUCT(INDEX(PortfolioRef[[SPY]:[PE]],MATCH(BC$1,PortfolioRef[Reference '#]),0),AssetMonthlyReturns[[#This Row],[SPY]:[PE]])</f>
        <v>4.7969108521584477E-4</v>
      </c>
      <c r="BD44" s="27">
        <f>IF(ISNUMBER(BD43),BD43*(1+PortfolioFrontier[[#This Row],[P14 Return]]),1+PortfolioFrontier[[#This Row],[P14 Return]])</f>
        <v>1.311218043583724</v>
      </c>
      <c r="BE44" s="27">
        <f>MAX(BE43,PortfolioFrontier[[#This Row],[P14 Growth]])</f>
        <v>1.311218043583724</v>
      </c>
      <c r="BF44" s="27">
        <f>PortfolioFrontier[[#This Row],[P14 Growth]]/PortfolioFrontier[[#This Row],[P14 HWM]]-1</f>
        <v>0</v>
      </c>
      <c r="BG44" s="28">
        <f>SUMPRODUCT(INDEX(PortfolioRef[[SPY]:[PE]],MATCH(BG$1,PortfolioRef[Reference '#]),0),AssetMonthlyReturns[[#This Row],[SPY]:[PE]])</f>
        <v>-1.257273087209459E-3</v>
      </c>
      <c r="BH44" s="27">
        <f>IF(ISNUMBER(BH43),BH43*(1+PortfolioFrontier[[#This Row],[P15 Return]]),1+PortfolioFrontier[[#This Row],[P15 Return]])</f>
        <v>1.2929913090987837</v>
      </c>
      <c r="BI44" s="27">
        <f>MAX(BI43,PortfolioFrontier[[#This Row],[P15 Growth]])</f>
        <v>1.2946189987240695</v>
      </c>
      <c r="BJ44" s="27">
        <f>PortfolioFrontier[[#This Row],[P15 Growth]]/PortfolioFrontier[[#This Row],[P15 HWM]]-1</f>
        <v>-1.2572730872094651E-3</v>
      </c>
      <c r="BK44" s="28">
        <f>SUMPRODUCT(INDEX(PortfolioRef[[SPY]:[PE]],MATCH(BK$1,PortfolioRef[Reference '#]),0),AssetMonthlyReturns[[#This Row],[SPY]:[PE]])</f>
        <v>-5.5244038652556456E-4</v>
      </c>
      <c r="BL44" s="27">
        <f>IF(ISNUMBER(BL43),BL43*(1+PortfolioFrontier[[#This Row],[P16 Return]]),1+PortfolioFrontier[[#This Row],[P16 Return]])</f>
        <v>1.2869337154173413</v>
      </c>
      <c r="BM44" s="27">
        <f>MAX(BM43,PortfolioFrontier[[#This Row],[P16 Growth]])</f>
        <v>1.2876450625534059</v>
      </c>
      <c r="BN44" s="27">
        <f>PortfolioFrontier[[#This Row],[P16 Growth]]/PortfolioFrontier[[#This Row],[P16 HWM]]-1</f>
        <v>-5.524403865255767E-4</v>
      </c>
      <c r="BO44" s="28">
        <f>SUMPRODUCT(INDEX(PortfolioRef[[SPY]:[PE]],MATCH(BO$1,PortfolioRef[Reference '#]),0),AssetMonthlyReturns[[#This Row],[SPY]:[PE]])</f>
        <v>-1.9453272319382812E-3</v>
      </c>
      <c r="BP44" s="27">
        <f>IF(ISNUMBER(BP43),BP43*(1+PortfolioFrontier[[#This Row],[P17 Return]]),1+PortfolioFrontier[[#This Row],[P17 Return]])</f>
        <v>1.2884756310468306</v>
      </c>
      <c r="BQ44" s="27">
        <f>MAX(BQ43,PortfolioFrontier[[#This Row],[P17 Growth]])</f>
        <v>1.2909870232592557</v>
      </c>
      <c r="BR44" s="27">
        <f>PortfolioFrontier[[#This Row],[P17 Growth]]/PortfolioFrontier[[#This Row],[P17 HWM]]-1</f>
        <v>-1.9453272319382986E-3</v>
      </c>
      <c r="BS44" s="28">
        <f>SUMPRODUCT(INDEX(PortfolioRef[[SPY]:[PE]],MATCH(BS$1,PortfolioRef[Reference '#]),0),AssetMonthlyReturns[[#This Row],[SPY]:[PE]])</f>
        <v>3.1050796668482053E-4</v>
      </c>
      <c r="BT44" s="27">
        <f>IF(ISNUMBER(BT43),BT43*(1+PortfolioFrontier[[#This Row],[P18 Return]]),1+PortfolioFrontier[[#This Row],[P18 Return]])</f>
        <v>1.2978388918806534</v>
      </c>
      <c r="BU44" s="27">
        <f>MAX(BU43,PortfolioFrontier[[#This Row],[P18 Growth]])</f>
        <v>1.2978388918806534</v>
      </c>
      <c r="BV44" s="27">
        <f>PortfolioFrontier[[#This Row],[P18 Growth]]/PortfolioFrontier[[#This Row],[P18 HWM]]-1</f>
        <v>0</v>
      </c>
      <c r="BW44" s="28">
        <f>SUMPRODUCT(INDEX(PortfolioRef[[SPY]:[PE]],MATCH(BW$1,PortfolioRef[Reference '#]),0),AssetMonthlyReturns[[#This Row],[SPY]:[PE]])</f>
        <v>-1.4264562057404832E-3</v>
      </c>
      <c r="BX44" s="27">
        <f>IF(ISNUMBER(BX43),BX43*(1+PortfolioFrontier[[#This Row],[P19 Return]]),1+PortfolioFrontier[[#This Row],[P19 Return]])</f>
        <v>1.2797836328552963</v>
      </c>
      <c r="BY44" s="27">
        <f>MAX(BY43,PortfolioFrontier[[#This Row],[P19 Growth]])</f>
        <v>1.2816117959549864</v>
      </c>
      <c r="BZ44" s="27">
        <f>PortfolioFrontier[[#This Row],[P19 Growth]]/PortfolioFrontier[[#This Row],[P19 HWM]]-1</f>
        <v>-1.4264562057404451E-3</v>
      </c>
      <c r="CA44" s="28">
        <f>SUMPRODUCT(INDEX(PortfolioRef[[SPY]:[PE]],MATCH(CA$1,PortfolioRef[Reference '#]),0),AssetMonthlyReturns[[#This Row],[SPY]:[PE]])</f>
        <v>-3.3382140773509979E-3</v>
      </c>
      <c r="CB44" s="27">
        <f>IF(ISNUMBER(CB43),CB43*(1+PortfolioFrontier[[#This Row],[P20 Return]]),1+PortfolioFrontier[[#This Row],[P20 Return]])</f>
        <v>1.2899043368418721</v>
      </c>
      <c r="CC44" s="27">
        <f>MAX(CC43,PortfolioFrontier[[#This Row],[P20 Growth]])</f>
        <v>1.2942247360750938</v>
      </c>
      <c r="CD44" s="27">
        <f>PortfolioFrontier[[#This Row],[P20 Growth]]/PortfolioFrontier[[#This Row],[P20 HWM]]-1</f>
        <v>-3.3382140773509095E-3</v>
      </c>
      <c r="CE44" s="28">
        <f>SUMPRODUCT(INDEX(PortfolioRef[[SPY]:[PE]],MATCH(CE$1,PortfolioRef[Reference '#]),0),AssetMonthlyReturns[[#This Row],[SPY]:[PE]])</f>
        <v>-1.0823788787278962E-3</v>
      </c>
      <c r="CF44" s="27">
        <f>IF(ISNUMBER(CF43),CF43*(1+PortfolioFrontier[[#This Row],[P21 Return]]),1+PortfolioFrontier[[#This Row],[P21 Return]])</f>
        <v>1.2993994656178649</v>
      </c>
      <c r="CG44" s="27">
        <f>MAX(CG43,PortfolioFrontier[[#This Row],[P21 Growth]])</f>
        <v>1.3008074321076706</v>
      </c>
      <c r="CH44" s="27">
        <f>PortfolioFrontier[[#This Row],[P21 Growth]]/PortfolioFrontier[[#This Row],[P21 HWM]]-1</f>
        <v>-1.0823788787279742E-3</v>
      </c>
      <c r="CI44" s="28">
        <f>SUMPRODUCT(INDEX(PortfolioRef[[SPY]:[PE]],MATCH(CI$1,PortfolioRef[Reference '#]),0),AssetMonthlyReturns[[#This Row],[SPY]:[PE]])</f>
        <v>-2.8193430511531999E-3</v>
      </c>
      <c r="CJ44" s="27">
        <f>IF(ISNUMBER(CJ43),CJ43*(1+PortfolioFrontier[[#This Row],[P22 Return]]),1+PortfolioFrontier[[#This Row],[P22 Return]])</f>
        <v>1.2813449487462283</v>
      </c>
      <c r="CK44" s="27">
        <f>MAX(CK43,PortfolioFrontier[[#This Row],[P22 Growth]])</f>
        <v>1.2849677135403546</v>
      </c>
      <c r="CL44" s="27">
        <f>PortfolioFrontier[[#This Row],[P22 Growth]]/PortfolioFrontier[[#This Row],[P22 HWM]]-1</f>
        <v>-2.819343051153278E-3</v>
      </c>
      <c r="CM44" s="28">
        <f>SUMPRODUCT(INDEX(PortfolioRef[[SPY]:[PE]],MATCH(CM$1,PortfolioRef[Reference '#]),0),AssetMonthlyReturns[[#This Row],[SPY]:[PE]])</f>
        <v>1.1734563198952056E-3</v>
      </c>
      <c r="CN44" s="27">
        <f>IF(ISNUMBER(CN43),CN43*(1+PortfolioFrontier[[#This Row],[P23 Return]]),1+PortfolioFrontier[[#This Row],[P23 Return]])</f>
        <v>1.3086672433661726</v>
      </c>
      <c r="CO44" s="27">
        <f>MAX(CO43,PortfolioFrontier[[#This Row],[P23 Growth]])</f>
        <v>1.3086672433661726</v>
      </c>
      <c r="CP44" s="27">
        <f>PortfolioFrontier[[#This Row],[P23 Growth]]/PortfolioFrontier[[#This Row],[P23 HWM]]-1</f>
        <v>0</v>
      </c>
      <c r="CQ44" s="28">
        <f>SUMPRODUCT(INDEX(PortfolioRef[[SPY]:[PE]],MATCH(CQ$1,PortfolioRef[Reference '#]),0),AssetMonthlyReturns[[#This Row],[SPY]:[PE]])</f>
        <v>-5.6350785253009815E-4</v>
      </c>
      <c r="CR44" s="27">
        <f>IF(ISNUMBER(CR43),CR43*(1+PortfolioFrontier[[#This Row],[P24 Return]]),1+PortfolioFrontier[[#This Row],[P24 Return]])</f>
        <v>1.2906211823886642</v>
      </c>
      <c r="CS44" s="27">
        <f>MAX(CS43,PortfolioFrontier[[#This Row],[P24 Growth]])</f>
        <v>1.2913488676159217</v>
      </c>
      <c r="CT44" s="27">
        <f>PortfolioFrontier[[#This Row],[P24 Growth]]/PortfolioFrontier[[#This Row],[P24 HWM]]-1</f>
        <v>-5.6350785253023172E-4</v>
      </c>
      <c r="CU44" s="28">
        <f>SUMPRODUCT(INDEX(PortfolioRef[[SPY]:[PE]],MATCH(CU$1,PortfolioRef[Reference '#]),0),AssetMonthlyReturns[[#This Row],[SPY]:[PE]])</f>
        <v>-2.3004720249554019E-3</v>
      </c>
      <c r="CV44" s="27">
        <f>IF(ISNUMBER(CV43),CV43*(1+PortfolioFrontier[[#This Row],[P25 Return]]),1+PortfolioFrontier[[#This Row],[P25 Return]])</f>
        <v>1.272614033216708</v>
      </c>
      <c r="CW44" s="27">
        <f>MAX(CW43,PortfolioFrontier[[#This Row],[P25 Growth]])</f>
        <v>1.2755483966196082</v>
      </c>
      <c r="CX44" s="27">
        <f>PortfolioFrontier[[#This Row],[P25 Growth]]/PortfolioFrontier[[#This Row],[P25 HWM]]-1</f>
        <v>-2.3004720249554245E-3</v>
      </c>
      <c r="CY44" s="28">
        <f>SUMPRODUCT(INDEX(PortfolioRef[[SPY]:[PE]],MATCH(CY$1,PortfolioRef[Reference '#]),0),AssetMonthlyReturns[[#This Row],[SPY]:[PE]])</f>
        <v>-2.475265724140612E-3</v>
      </c>
      <c r="CZ44" s="27">
        <f>IF(ISNUMBER(CZ43),CZ43*(1+PortfolioFrontier[[#This Row],[P26 Return]]),1+PortfolioFrontier[[#This Row],[P26 Return]])</f>
        <v>1.3008459763889504</v>
      </c>
      <c r="DA44" s="27">
        <f>MAX(DA43,PortfolioFrontier[[#This Row],[P26 Growth]])</f>
        <v>1.304073905829797</v>
      </c>
      <c r="DB44" s="27">
        <f>PortfolioFrontier[[#This Row],[P26 Growth]]/PortfolioFrontier[[#This Row],[P26 HWM]]-1</f>
        <v>-2.4752657241405851E-3</v>
      </c>
      <c r="DC44" s="28">
        <f>SUMPRODUCT(INDEX(PortfolioRef[[SPY]:[PE]],MATCH(DC$1,PortfolioRef[Reference '#]),0),AssetMonthlyReturns[[#This Row],[SPY]:[PE]])</f>
        <v>-4.2122298965659158E-3</v>
      </c>
      <c r="DD44" s="27">
        <f>IF(ISNUMBER(DD43),DD43*(1+PortfolioFrontier[[#This Row],[P27 Return]]),1+PortfolioFrontier[[#This Row],[P27 Return]])</f>
        <v>1.2827936959740449</v>
      </c>
      <c r="DE44" s="27">
        <f>MAX(DE43,PortfolioFrontier[[#This Row],[P27 Growth]])</f>
        <v>1.2882199746646807</v>
      </c>
      <c r="DF44" s="27">
        <f>PortfolioFrontier[[#This Row],[P27 Growth]]/PortfolioFrontier[[#This Row],[P27 HWM]]-1</f>
        <v>-4.2122298965657778E-3</v>
      </c>
      <c r="DG44" s="28">
        <f>SUMPRODUCT(INDEX(PortfolioRef[[SPY]:[PE]],MATCH(DG$1,PortfolioRef[Reference '#]),0),AssetMonthlyReturns[[#This Row],[SPY]:[PE]])</f>
        <v>-2.1943052551751021E-4</v>
      </c>
      <c r="DH44" s="27">
        <f>IF(ISNUMBER(DH43),DH43*(1+PortfolioFrontier[[#This Row],[P28 Return]]),1+PortfolioFrontier[[#This Row],[P28 Return]])</f>
        <v>1.3102466517883453</v>
      </c>
      <c r="DI44" s="27">
        <f>MAX(DI43,PortfolioFrontier[[#This Row],[P28 Growth]])</f>
        <v>1.3105342230016073</v>
      </c>
      <c r="DJ44" s="27">
        <f>PortfolioFrontier[[#This Row],[P28 Growth]]/PortfolioFrontier[[#This Row],[P28 HWM]]-1</f>
        <v>-2.1943052551753883E-4</v>
      </c>
      <c r="DK44" s="28">
        <f>SUMPRODUCT(INDEX(PortfolioRef[[SPY]:[PE]],MATCH(DK$1,PortfolioRef[Reference '#]),0),AssetMonthlyReturns[[#This Row],[SPY]:[PE]])</f>
        <v>-1.956394697942814E-3</v>
      </c>
      <c r="DL44" s="27">
        <f>IF(ISNUMBER(DL43),DL43*(1+PortfolioFrontier[[#This Row],[P29 Return]]),1+PortfolioFrontier[[#This Row],[P29 Return]])</f>
        <v>1.2922013304250315</v>
      </c>
      <c r="DM44" s="27">
        <f>MAX(DM43,PortfolioFrontier[[#This Row],[P29 Growth]])</f>
        <v>1.2947343418266257</v>
      </c>
      <c r="DN44" s="27">
        <f>PortfolioFrontier[[#This Row],[P29 Growth]]/PortfolioFrontier[[#This Row],[P29 HWM]]-1</f>
        <v>-1.9563946979429536E-3</v>
      </c>
      <c r="DO44" s="28">
        <f>SUMPRODUCT(INDEX(PortfolioRef[[SPY]:[PE]],MATCH(DO$1,PortfolioRef[Reference '#]),0),AssetMonthlyReturns[[#This Row],[SPY]:[PE]])</f>
        <v>-3.6933588703681177E-3</v>
      </c>
      <c r="DP44" s="27">
        <f>IF(ISNUMBER(DP43),DP43*(1+PortfolioFrontier[[#This Row],[P30 Return]]),1+PortfolioFrontier[[#This Row],[P30 Return]])</f>
        <v>1.2741944056173191</v>
      </c>
      <c r="DQ44" s="27">
        <f>MAX(DQ43,PortfolioFrontier[[#This Row],[P30 Growth]])</f>
        <v>1.2789179084188504</v>
      </c>
      <c r="DR44" s="27">
        <f>PortfolioFrontier[[#This Row],[P30 Growth]]/PortfolioFrontier[[#This Row],[P30 HWM]]-1</f>
        <v>-3.6933588703680353E-3</v>
      </c>
      <c r="DS44" s="28">
        <f>SUMPRODUCT(INDEX(PortfolioRef[[SPY]:[PE]],MATCH(DS$1,PortfolioRef[Reference '#]),0),AssetMonthlyReturns[[#This Row],[SPY]:[PE]])</f>
        <v>2.0364046731055916E-3</v>
      </c>
      <c r="DT44" s="27">
        <f>IF(ISNUMBER(DT43),DT43*(1+PortfolioFrontier[[#This Row],[P31 Return]]),1+PortfolioFrontier[[#This Row],[P31 Return]])</f>
        <v>1.3194152207326797</v>
      </c>
      <c r="DU44" s="27">
        <f>MAX(DU43,PortfolioFrontier[[#This Row],[P31 Growth]])</f>
        <v>1.3194152207326797</v>
      </c>
      <c r="DV44" s="27">
        <f>PortfolioFrontier[[#This Row],[P31 Growth]]/PortfolioFrontier[[#This Row],[P31 HWM]]-1</f>
        <v>0</v>
      </c>
      <c r="DW44" s="28">
        <f>SUMPRODUCT(INDEX(PortfolioRef[[SPY]:[PE]],MATCH(DW$1,PortfolioRef[Reference '#]),0),AssetMonthlyReturns[[#This Row],[SPY]:[PE]])</f>
        <v>2.994405006802878E-4</v>
      </c>
      <c r="DX44" s="27">
        <f>IF(ISNUMBER(DX43),DX43*(1+PortfolioFrontier[[#This Row],[P32 Return]]),1+PortfolioFrontier[[#This Row],[P32 Return]])</f>
        <v>1.3013820795195046</v>
      </c>
      <c r="DY44" s="27">
        <f>MAX(DY43,PortfolioFrontier[[#This Row],[P32 Growth]])</f>
        <v>1.3013820795195046</v>
      </c>
      <c r="DZ44" s="27">
        <f>PortfolioFrontier[[#This Row],[P32 Growth]]/PortfolioFrontier[[#This Row],[P32 HWM]]-1</f>
        <v>0</v>
      </c>
      <c r="EA44" s="28">
        <f>SUMPRODUCT(INDEX(PortfolioRef[[SPY]:[PE]],MATCH(EA$1,PortfolioRef[Reference '#]),0),AssetMonthlyReturns[[#This Row],[SPY]:[PE]])</f>
        <v>-1.437523671745016E-3</v>
      </c>
      <c r="EB44" s="27">
        <f>IF(ISNUMBER(EB43),EB43*(1+PortfolioFrontier[[#This Row],[P33 Return]]),1+PortfolioFrontier[[#This Row],[P33 Return]])</f>
        <v>1.2833838328046088</v>
      </c>
      <c r="EC44" s="27">
        <f>MAX(EC43,PortfolioFrontier[[#This Row],[P33 Growth]])</f>
        <v>1.2852313833418323</v>
      </c>
      <c r="ED44" s="27">
        <f>PortfolioFrontier[[#This Row],[P33 Growth]]/PortfolioFrontier[[#This Row],[P33 HWM]]-1</f>
        <v>-1.4375236717451001E-3</v>
      </c>
      <c r="EE44" s="28">
        <f>SUMPRODUCT(INDEX(PortfolioRef[[SPY]:[PE]],MATCH(EE$1,PortfolioRef[Reference '#]),0),AssetMonthlyReturns[[#This Row],[SPY]:[PE]])</f>
        <v>-1.5956393242715088E-3</v>
      </c>
      <c r="EF44" s="27">
        <f>IF(ISNUMBER(EF43),EF43*(1+PortfolioFrontier[[#This Row],[P34 Return]]),1+PortfolioFrontier[[#This Row],[P34 Return]])</f>
        <v>1.266403142513558</v>
      </c>
      <c r="EG44" s="27">
        <f>MAX(EG43,PortfolioFrontier[[#This Row],[P34 Growth]])</f>
        <v>1.2684270946657783</v>
      </c>
      <c r="EH44" s="27">
        <f>PortfolioFrontier[[#This Row],[P34 Growth]]/PortfolioFrontier[[#This Row],[P34 HWM]]-1</f>
        <v>-1.5956393242716471E-3</v>
      </c>
      <c r="EI44" s="28">
        <f>SUMPRODUCT(INDEX(PortfolioRef[[SPY]:[PE]],MATCH(EI$1,PortfolioRef[Reference '#]),0),AssetMonthlyReturns[[#This Row],[SPY]:[PE]])</f>
        <v>-2.988526169684225E-3</v>
      </c>
      <c r="EJ44" s="27">
        <f>IF(ISNUMBER(EJ43),EJ43*(1+PortfolioFrontier[[#This Row],[P35 Return]]),1+PortfolioFrontier[[#This Row],[P35 Return]])</f>
        <v>1.2678978497710851</v>
      </c>
      <c r="EK44" s="27">
        <f>MAX(EK43,PortfolioFrontier[[#This Row],[P35 Growth]])</f>
        <v>1.2716983535807054</v>
      </c>
      <c r="EL44" s="27">
        <f>PortfolioFrontier[[#This Row],[P35 Growth]]/PortfolioFrontier[[#This Row],[P35 HWM]]-1</f>
        <v>-2.988526169684258E-3</v>
      </c>
      <c r="EM44" s="28">
        <f>SUMPRODUCT(INDEX(PortfolioRef[[SPY]:[PE]],MATCH(EM$1,PortfolioRef[Reference '#]),0),AssetMonthlyReturns[[#This Row],[SPY]:[PE]])</f>
        <v>-7.3269097106112326E-4</v>
      </c>
      <c r="EN44" s="27">
        <f>IF(ISNUMBER(EN43),EN43*(1+PortfolioFrontier[[#This Row],[P36 Return]]),1+PortfolioFrontier[[#This Row],[P36 Return]])</f>
        <v>1.2772325283959476</v>
      </c>
      <c r="EO44" s="27">
        <f>MAX(EO43,PortfolioFrontier[[#This Row],[P36 Growth]])</f>
        <v>1.2781690313046745</v>
      </c>
      <c r="EP44" s="27">
        <f>PortfolioFrontier[[#This Row],[P36 Growth]]/PortfolioFrontier[[#This Row],[P36 HWM]]-1</f>
        <v>-7.3269097106121173E-4</v>
      </c>
      <c r="EQ44" s="28">
        <f>SUMPRODUCT(INDEX(PortfolioRef[[SPY]:[PE]],MATCH(EQ$1,PortfolioRef[Reference '#]),0),AssetMonthlyReturns[[#This Row],[SPY]:[PE]])</f>
        <v>-2.469655143486427E-3</v>
      </c>
      <c r="ER44" s="27">
        <f>IF(ISNUMBER(ER43),ER43*(1+PortfolioFrontier[[#This Row],[P37 Return]]),1+PortfolioFrontier[[#This Row],[P37 Return]])</f>
        <v>1.2593981976047794</v>
      </c>
      <c r="ES44" s="27">
        <f>MAX(ES43,PortfolioFrontier[[#This Row],[P37 Growth]])</f>
        <v>1.2625161771754756</v>
      </c>
      <c r="ET44" s="27">
        <f>PortfolioFrontier[[#This Row],[P37 Growth]]/PortfolioFrontier[[#This Row],[P37 HWM]]-1</f>
        <v>-2.4696551434864045E-3</v>
      </c>
      <c r="EU44" s="28">
        <f>SUMPRODUCT(INDEX(PortfolioRef[[SPY]:[PE]],MATCH(EU$1,PortfolioRef[Reference '#]),0),AssetMonthlyReturns[[#This Row],[SPY]:[PE]])</f>
        <v>-4.3814130150969417E-3</v>
      </c>
      <c r="EV44" s="27">
        <f>IF(ISNUMBER(EV43),EV43*(1+PortfolioFrontier[[#This Row],[P38 Return]]),1+PortfolioFrontier[[#This Row],[P38 Return]])</f>
        <v>1.2692809720895417</v>
      </c>
      <c r="EW44" s="27">
        <f>MAX(EW43,PortfolioFrontier[[#This Row],[P38 Growth]])</f>
        <v>1.2748666895958505</v>
      </c>
      <c r="EX44" s="27">
        <f>PortfolioFrontier[[#This Row],[P38 Growth]]/PortfolioFrontier[[#This Row],[P38 HWM]]-1</f>
        <v>-4.3814130150968689E-3</v>
      </c>
      <c r="EY44" s="28">
        <f>SUMPRODUCT(INDEX(PortfolioRef[[SPY]:[PE]],MATCH(EY$1,PortfolioRef[Reference '#]),0),AssetMonthlyReturns[[#This Row],[SPY]:[PE]])</f>
        <v>-2.1255778164738399E-3</v>
      </c>
      <c r="EZ44" s="27">
        <f>IF(ISNUMBER(EZ43),EZ43*(1+PortfolioFrontier[[#This Row],[P39 Return]]),1+PortfolioFrontier[[#This Row],[P39 Return]])</f>
        <v>1.278745411488778</v>
      </c>
      <c r="FA44" s="27">
        <f>MAX(FA43,PortfolioFrontier[[#This Row],[P39 Growth]])</f>
        <v>1.2814692741504048</v>
      </c>
      <c r="FB44" s="27">
        <f>PortfolioFrontier[[#This Row],[P39 Growth]]/PortfolioFrontier[[#This Row],[P39 HWM]]-1</f>
        <v>-2.1255778164737116E-3</v>
      </c>
      <c r="FC44" s="28">
        <f>SUMPRODUCT(INDEX(PortfolioRef[[SPY]:[PE]],MATCH(FC$1,PortfolioRef[Reference '#]),0),AssetMonthlyReturns[[#This Row],[SPY]:[PE]])</f>
        <v>-3.8625419888991437E-3</v>
      </c>
      <c r="FD44" s="27">
        <f>IF(ISNUMBER(FD43),FD43*(1+PortfolioFrontier[[#This Row],[P40 Return]]),1+PortfolioFrontier[[#This Row],[P40 Return]])</f>
        <v>1.2609121230532865</v>
      </c>
      <c r="FE44" s="27">
        <f>MAX(FE43,PortfolioFrontier[[#This Row],[P40 Growth]])</f>
        <v>1.2658013338549057</v>
      </c>
      <c r="FF44" s="27">
        <f>PortfolioFrontier[[#This Row],[P40 Growth]]/PortfolioFrontier[[#This Row],[P40 HWM]]-1</f>
        <v>-3.8625419888992374E-3</v>
      </c>
      <c r="FG44" s="28">
        <f>SUMPRODUCT(INDEX(PortfolioRef[[SPY]:[PE]],MATCH(FG$1,PortfolioRef[Reference '#]),0),AssetMonthlyReturns[[#This Row],[SPY]:[PE]])</f>
        <v>1.3025738214926183E-4</v>
      </c>
      <c r="FH44" s="27">
        <f>IF(ISNUMBER(FH43),FH43*(1+PortfolioFrontier[[#This Row],[P41 Return]]),1+PortfolioFrontier[[#This Row],[P41 Return]])</f>
        <v>1.2879881655317502</v>
      </c>
      <c r="FI44" s="27">
        <f>MAX(FI43,PortfolioFrontier[[#This Row],[P41 Growth]])</f>
        <v>1.2879881655317502</v>
      </c>
      <c r="FJ44" s="27">
        <f>PortfolioFrontier[[#This Row],[P41 Growth]]/PortfolioFrontier[[#This Row],[P41 HWM]]-1</f>
        <v>0</v>
      </c>
      <c r="FK44" s="28">
        <f>SUMPRODUCT(INDEX(PortfolioRef[[SPY]:[PE]],MATCH(FK$1,PortfolioRef[Reference '#]),0),AssetMonthlyReturns[[#This Row],[SPY]:[PE]])</f>
        <v>-1.6067067902760419E-3</v>
      </c>
      <c r="FL44" s="27">
        <f>IF(ISNUMBER(FL43),FL43*(1+PortfolioFrontier[[#This Row],[P42 Return]]),1+PortfolioFrontier[[#This Row],[P42 Return]])</f>
        <v>1.2701609004868559</v>
      </c>
      <c r="FM44" s="27">
        <f>MAX(FM43,PortfolioFrontier[[#This Row],[P42 Growth]])</f>
        <v>1.2722049608360542</v>
      </c>
      <c r="FN44" s="27">
        <f>PortfolioFrontier[[#This Row],[P42 Growth]]/PortfolioFrontier[[#This Row],[P42 HWM]]-1</f>
        <v>-1.6067067902760801E-3</v>
      </c>
      <c r="FO44" s="28">
        <f>SUMPRODUCT(INDEX(PortfolioRef[[SPY]:[PE]],MATCH(FO$1,PortfolioRef[Reference '#]),0),AssetMonthlyReturns[[#This Row],[SPY]:[PE]])</f>
        <v>-3.3436709627013457E-3</v>
      </c>
      <c r="FP44" s="27">
        <f>IF(ISNUMBER(FP43),FP43*(1+PortfolioFrontier[[#This Row],[P43 Return]]),1+PortfolioFrontier[[#This Row],[P43 Return]])</f>
        <v>1.252373709437653</v>
      </c>
      <c r="FQ44" s="27">
        <f>MAX(FQ43,PortfolioFrontier[[#This Row],[P43 Growth]])</f>
        <v>1.2565752837262969</v>
      </c>
      <c r="FR44" s="27">
        <f>PortfolioFrontier[[#This Row],[P43 Growth]]/PortfolioFrontier[[#This Row],[P43 HWM]]-1</f>
        <v>-3.3436709627013839E-3</v>
      </c>
      <c r="FS44" s="28">
        <f>SUMPRODUCT(INDEX(PortfolioRef[[SPY]:[PE]],MATCH(FS$1,PortfolioRef[Reference '#]),0),AssetMonthlyReturns[[#This Row],[SPY]:[PE]])</f>
        <v>-3.5184646618865566E-3</v>
      </c>
      <c r="FT44" s="27">
        <f>IF(ISNUMBER(FT43),FT43*(1+PortfolioFrontier[[#This Row],[P44 Return]]),1+PortfolioFrontier[[#This Row],[P44 Return]])</f>
        <v>1.2801458601056226</v>
      </c>
      <c r="FU44" s="27">
        <f>MAX(FU43,PortfolioFrontier[[#This Row],[P44 Growth]])</f>
        <v>1.2846659117183339</v>
      </c>
      <c r="FV44" s="27">
        <f>PortfolioFrontier[[#This Row],[P44 Growth]]/PortfolioFrontier[[#This Row],[P44 HWM]]-1</f>
        <v>-3.5184646618866555E-3</v>
      </c>
      <c r="FW44" s="28">
        <f>SUMPRODUCT(INDEX(PortfolioRef[[SPY]:[PE]],MATCH(FW$1,PortfolioRef[Reference '#]),0),AssetMonthlyReturns[[#This Row],[SPY]:[PE]])</f>
        <v>-5.2554288343118604E-3</v>
      </c>
      <c r="FX44" s="27">
        <f>IF(ISNUMBER(FX43),FX43*(1+PortfolioFrontier[[#This Row],[P45 Return]]),1+PortfolioFrontier[[#This Row],[P45 Return]])</f>
        <v>1.2623150924283462</v>
      </c>
      <c r="FY44" s="27">
        <f>MAX(FY43,PortfolioFrontier[[#This Row],[P45 Growth]])</f>
        <v>1.2689841483116679</v>
      </c>
      <c r="FZ44" s="27">
        <f>PortfolioFrontier[[#This Row],[P45 Growth]]/PortfolioFrontier[[#This Row],[P45 HWM]]-1</f>
        <v>-5.2554288343118483E-3</v>
      </c>
      <c r="GA44" s="28">
        <f>SUMPRODUCT(INDEX(PortfolioRef[[SPY]:[PE]],MATCH(GA$1,PortfolioRef[Reference '#]),0),AssetMonthlyReturns[[#This Row],[SPY]:[PE]])</f>
        <v>-1.2626294632634549E-3</v>
      </c>
      <c r="GB44" s="27">
        <f>IF(ISNUMBER(GB43),GB43*(1+PortfolioFrontier[[#This Row],[P46 Return]]),1+PortfolioFrontier[[#This Row],[P46 Return]])</f>
        <v>1.2895193990827964</v>
      </c>
      <c r="GC44" s="27">
        <f>MAX(GC43,PortfolioFrontier[[#This Row],[P46 Growth]])</f>
        <v>1.2911496426631051</v>
      </c>
      <c r="GD44" s="27">
        <f>PortfolioFrontier[[#This Row],[P46 Growth]]/PortfolioFrontier[[#This Row],[P46 HWM]]-1</f>
        <v>-1.2626294632634982E-3</v>
      </c>
      <c r="GE44" s="28">
        <f>SUMPRODUCT(INDEX(PortfolioRef[[SPY]:[PE]],MATCH(GE$1,PortfolioRef[Reference '#]),0),AssetMonthlyReturns[[#This Row],[SPY]:[PE]])</f>
        <v>-2.9995936356887586E-3</v>
      </c>
      <c r="GF44" s="27">
        <f>IF(ISNUMBER(GF43),GF43*(1+PortfolioFrontier[[#This Row],[P47 Return]]),1+PortfolioFrontier[[#This Row],[P47 Return]])</f>
        <v>1.2716931758159022</v>
      </c>
      <c r="GG44" s="27">
        <f>MAX(GG43,PortfolioFrontier[[#This Row],[P47 Growth]])</f>
        <v>1.2755192151358223</v>
      </c>
      <c r="GH44" s="27">
        <f>PortfolioFrontier[[#This Row],[P47 Growth]]/PortfolioFrontier[[#This Row],[P47 HWM]]-1</f>
        <v>-2.999593635688691E-3</v>
      </c>
      <c r="GI44" s="28">
        <f>SUMPRODUCT(INDEX(PortfolioRef[[SPY]:[PE]],MATCH(GI$1,PortfolioRef[Reference '#]),0),AssetMonthlyReturns[[#This Row],[SPY]:[PE]])</f>
        <v>-4.7365578081140624E-3</v>
      </c>
      <c r="GJ44" s="27">
        <f>IF(ISNUMBER(GJ43),GJ43*(1+PortfolioFrontier[[#This Row],[P48 Return]]),1+PortfolioFrontier[[#This Row],[P48 Return]])</f>
        <v>1.2539065160283716</v>
      </c>
      <c r="GK44" s="27">
        <f>MAX(GK43,PortfolioFrontier[[#This Row],[P48 Growth]])</f>
        <v>1.2598739819749347</v>
      </c>
      <c r="GL44" s="27">
        <f>PortfolioFrontier[[#This Row],[P48 Growth]]/PortfolioFrontier[[#This Row],[P48 HWM]]-1</f>
        <v>-4.7365578081141058E-3</v>
      </c>
      <c r="GM44" s="28">
        <f>SUMPRODUCT(INDEX(PortfolioRef[[SPY]:[PE]],MATCH(GM$1,PortfolioRef[Reference '#]),0),AssetMonthlyReturns[[#This Row],[SPY]:[PE]])</f>
        <v>9.9320573535964692E-4</v>
      </c>
      <c r="GN44" s="27">
        <f>IF(ISNUMBER(GN43),GN43*(1+PortfolioFrontier[[#This Row],[P49 Return]]),1+PortfolioFrontier[[#This Row],[P49 Return]])</f>
        <v>1.2986665626688381</v>
      </c>
      <c r="GO44" s="27">
        <f>MAX(GO43,PortfolioFrontier[[#This Row],[P49 Growth]])</f>
        <v>1.2986665626688381</v>
      </c>
      <c r="GP44" s="27">
        <f>PortfolioFrontier[[#This Row],[P49 Growth]]/PortfolioFrontier[[#This Row],[P49 HWM]]-1</f>
        <v>0</v>
      </c>
      <c r="GQ44" s="28">
        <f>SUMPRODUCT(INDEX(PortfolioRef[[SPY]:[PE]],MATCH(GQ$1,PortfolioRef[Reference '#]),0),AssetMonthlyReturns[[#This Row],[SPY]:[PE]])</f>
        <v>-7.4375843706565685E-4</v>
      </c>
      <c r="GR44" s="27">
        <f>IF(ISNUMBER(GR43),GR43*(1+PortfolioFrontier[[#This Row],[P50 Return]]),1+PortfolioFrontier[[#This Row],[P50 Return]])</f>
        <v>1.2808500166764831</v>
      </c>
      <c r="GS44" s="27">
        <f>MAX(GS43,PortfolioFrontier[[#This Row],[P50 Growth]])</f>
        <v>1.2818033687466477</v>
      </c>
      <c r="GT44" s="27">
        <f>PortfolioFrontier[[#This Row],[P50 Growth]]/PortfolioFrontier[[#This Row],[P50 HWM]]-1</f>
        <v>-7.4375843706575573E-4</v>
      </c>
      <c r="GU44" s="28">
        <f>SUMPRODUCT(INDEX(PortfolioRef[[SPY]:[PE]],MATCH(GU$1,PortfolioRef[Reference '#]),0),AssetMonthlyReturns[[#This Row],[SPY]:[PE]])</f>
        <v>-2.4807226094909606E-3</v>
      </c>
      <c r="GV44" s="27">
        <f>IF(ISNUMBER(GV43),GV43*(1+PortfolioFrontier[[#This Row],[P51 Return]]),1+PortfolioFrontier[[#This Row],[P51 Return]])</f>
        <v>1.2630696031946445</v>
      </c>
      <c r="GW44" s="27">
        <f>MAX(GW43,PortfolioFrontier[[#This Row],[P51 Growth]])</f>
        <v>1.2662107207580087</v>
      </c>
      <c r="GX44" s="27">
        <f>PortfolioFrontier[[#This Row],[P51 Growth]]/PortfolioFrontier[[#This Row],[P51 HWM]]-1</f>
        <v>-2.4807226094909485E-3</v>
      </c>
      <c r="GY44" s="28">
        <f>SUMPRODUCT(INDEX(PortfolioRef[[SPY]:[PE]],MATCH(GY$1,PortfolioRef[Reference '#]),0),AssetMonthlyReturns[[#This Row],[SPY]:[PE]])</f>
        <v>-2.6555163086761707E-3</v>
      </c>
      <c r="GZ44" s="27">
        <f>IF(ISNUMBER(GZ43),GZ43*(1+PortfolioFrontier[[#This Row],[P52 Return]]),1+PortfolioFrontier[[#This Row],[P52 Return]])</f>
        <v>1.2909373557445651</v>
      </c>
      <c r="HA44" s="27">
        <f>MAX(HA43,PortfolioFrontier[[#This Row],[P52 Growth]])</f>
        <v>1.2943745885740596</v>
      </c>
      <c r="HB44" s="27">
        <f>PortfolioFrontier[[#This Row],[P52 Growth]]/PortfolioFrontier[[#This Row],[P52 HWM]]-1</f>
        <v>-2.6555163086762201E-3</v>
      </c>
      <c r="HC44" s="28">
        <f>SUMPRODUCT(INDEX(PortfolioRef[[SPY]:[PE]],MATCH(HC$1,PortfolioRef[Reference '#]),0),AssetMonthlyReturns[[#This Row],[SPY]:[PE]])</f>
        <v>-4.3924804811014745E-3</v>
      </c>
      <c r="HD44" s="27">
        <f>IF(ISNUMBER(HD43),HD43*(1+PortfolioFrontier[[#This Row],[P53 Return]]),1+PortfolioFrontier[[#This Row],[P53 Return]])</f>
        <v>1.2731136513326968</v>
      </c>
      <c r="HE44" s="27">
        <f>MAX(HE43,PortfolioFrontier[[#This Row],[P53 Growth]])</f>
        <v>1.2787304498743601</v>
      </c>
      <c r="HF44" s="27">
        <f>PortfolioFrontier[[#This Row],[P53 Growth]]/PortfolioFrontier[[#This Row],[P53 HWM]]-1</f>
        <v>-4.3924804811015239E-3</v>
      </c>
      <c r="HG44" s="28">
        <f>SUMPRODUCT(INDEX(PortfolioRef[[SPY]:[PE]],MATCH(HG$1,PortfolioRef[Reference '#]),0),AssetMonthlyReturns[[#This Row],[SPY]:[PE]])</f>
        <v>-6.1294446535267782E-3</v>
      </c>
      <c r="HH44" s="27">
        <f>IF(ISNUMBER(HH43),HH43*(1+PortfolioFrontier[[#This Row],[P54 Return]]),1+PortfolioFrontier[[#This Row],[P54 Return]])</f>
        <v>1.2553289974672863</v>
      </c>
      <c r="HI44" s="27">
        <f>MAX(HI43,PortfolioFrontier[[#This Row],[P54 Growth]])</f>
        <v>1.2630709207696229</v>
      </c>
      <c r="HJ44" s="27">
        <f>PortfolioFrontier[[#This Row],[P54 Growth]]/PortfolioFrontier[[#This Row],[P54 HWM]]-1</f>
        <v>-6.1294446535268277E-3</v>
      </c>
      <c r="HK44" s="28">
        <f>SUMPRODUCT(INDEX(PortfolioRef[[SPY]:[PE]],MATCH(HK$1,PortfolioRef[Reference '#]),0),AssetMonthlyReturns[[#This Row],[SPY]:[PE]])</f>
        <v>-3.9968111005306891E-4</v>
      </c>
      <c r="HL44" s="27">
        <f>IF(ISNUMBER(HL43),HL43*(1+PortfolioFrontier[[#This Row],[P55 Return]]),1+PortfolioFrontier[[#This Row],[P55 Return]])</f>
        <v>1.300216321318133</v>
      </c>
      <c r="HM44" s="27">
        <f>MAX(HM43,PortfolioFrontier[[#This Row],[P55 Growth]])</f>
        <v>1.3007362010068377</v>
      </c>
      <c r="HN44" s="27">
        <f>PortfolioFrontier[[#This Row],[P55 Growth]]/PortfolioFrontier[[#This Row],[P55 HWM]]-1</f>
        <v>-3.9968111005317386E-4</v>
      </c>
      <c r="HO44" s="28">
        <f>SUMPRODUCT(INDEX(PortfolioRef[[SPY]:[PE]],MATCH(HO$1,PortfolioRef[Reference '#]),0),AssetMonthlyReturns[[#This Row],[SPY]:[PE]])</f>
        <v>-2.1366452824783727E-3</v>
      </c>
      <c r="HP44" s="27">
        <f>IF(ISNUMBER(HP43),HP43*(1+PortfolioFrontier[[#This Row],[P56 Return]]),1+PortfolioFrontier[[#This Row],[P56 Return]])</f>
        <v>1.2824008154319622</v>
      </c>
      <c r="HQ44" s="27">
        <f>MAX(HQ43,PortfolioFrontier[[#This Row],[P56 Growth]])</f>
        <v>1.2851467181044927</v>
      </c>
      <c r="HR44" s="27">
        <f>PortfolioFrontier[[#This Row],[P56 Growth]]/PortfolioFrontier[[#This Row],[P56 HWM]]-1</f>
        <v>-2.1366452824783666E-3</v>
      </c>
      <c r="HS44" s="28">
        <f>SUMPRODUCT(INDEX(PortfolioRef[[SPY]:[PE]],MATCH(HS$1,PortfolioRef[Reference '#]),0),AssetMonthlyReturns[[#This Row],[SPY]:[PE]])</f>
        <v>-3.8736094549036764E-3</v>
      </c>
      <c r="HT44" s="27">
        <f>IF(ISNUMBER(HT43),HT43*(1+PortfolioFrontier[[#This Row],[P57 Return]]),1+PortfolioFrontier[[#This Row],[P57 Return]])</f>
        <v>1.2646209301394622</v>
      </c>
      <c r="HU44" s="27">
        <f>MAX(HU43,PortfolioFrontier[[#This Row],[P57 Growth]])</f>
        <v>1.2695386269682518</v>
      </c>
      <c r="HV44" s="27">
        <f>PortfolioFrontier[[#This Row],[P57 Growth]]/PortfolioFrontier[[#This Row],[P57 HWM]]-1</f>
        <v>-3.8736094549036704E-3</v>
      </c>
      <c r="HW44" s="28">
        <f>SUMPRODUCT(INDEX(PortfolioRef[[SPY]:[PE]],MATCH(HW$1,PortfolioRef[Reference '#]),0),AssetMonthlyReturns[[#This Row],[SPY]:[PE]])</f>
        <v>1.8561540885700329E-3</v>
      </c>
      <c r="HX44" s="27">
        <f>IF(ISNUMBER(HX43),HX43*(1+PortfolioFrontier[[#This Row],[P58 Return]]),1+PortfolioFrontier[[#This Row],[P58 Return]])</f>
        <v>1.3092642090174011</v>
      </c>
      <c r="HY44" s="27">
        <f>MAX(HY43,PortfolioFrontier[[#This Row],[P58 Growth]])</f>
        <v>1.3092642090174011</v>
      </c>
      <c r="HZ44" s="27">
        <f>PortfolioFrontier[[#This Row],[P58 Growth]]/PortfolioFrontier[[#This Row],[P58 HWM]]-1</f>
        <v>0</v>
      </c>
      <c r="IA44" s="28">
        <f>SUMPRODUCT(INDEX(PortfolioRef[[SPY]:[PE]],MATCH(IA$1,PortfolioRef[Reference '#]),0),AssetMonthlyReturns[[#This Row],[SPY]:[PE]])</f>
        <v>1.191899161447291E-4</v>
      </c>
      <c r="IB44" s="27">
        <f>IF(ISNUMBER(IB43),IB43*(1+PortfolioFrontier[[#This Row],[P59 Return]]),1+PortfolioFrontier[[#This Row],[P59 Return]])</f>
        <v>1.2914620697165697</v>
      </c>
      <c r="IC44" s="27">
        <f>MAX(IC43,PortfolioFrontier[[#This Row],[P59 Growth]])</f>
        <v>1.2914620697165697</v>
      </c>
      <c r="ID44" s="27">
        <f>PortfolioFrontier[[#This Row],[P59 Growth]]/PortfolioFrontier[[#This Row],[P59 HWM]]-1</f>
        <v>0</v>
      </c>
      <c r="IE44" s="28">
        <f>SUMPRODUCT(INDEX(PortfolioRef[[SPY]:[PE]],MATCH(IE$1,PortfolioRef[Reference '#]),0),AssetMonthlyReturns[[#This Row],[SPY]:[PE]])</f>
        <v>-1.6177742562805747E-3</v>
      </c>
      <c r="IF44" s="27">
        <f>IF(ISNUMBER(IF43),IF43*(1+PortfolioFrontier[[#This Row],[P60 Return]]),1+PortfolioFrontier[[#This Row],[P60 Return]])</f>
        <v>1.2736920740901785</v>
      </c>
      <c r="IG44" s="27">
        <f>MAX(IG43,PortfolioFrontier[[#This Row],[P60 Growth]])</f>
        <v>1.2757559592383307</v>
      </c>
      <c r="IH44" s="27">
        <f>PortfolioFrontier[[#This Row],[P60 Growth]]/PortfolioFrontier[[#This Row],[P60 HWM]]-1</f>
        <v>-1.6177742562805131E-3</v>
      </c>
      <c r="II44" s="28">
        <f>SUMPRODUCT(INDEX(PortfolioRef[[SPY]:[PE]],MATCH(II$1,PortfolioRef[Reference '#]),0),AssetMonthlyReturns[[#This Row],[SPY]:[PE]])</f>
        <v>-2.6388382620174517E-3</v>
      </c>
      <c r="IJ44" s="27">
        <f>IF(ISNUMBER(IJ43),IJ43*(1+PortfolioFrontier[[#This Row],[P61 Return]]),1+PortfolioFrontier[[#This Row],[P61 Return]])</f>
        <v>1.2460175448749744</v>
      </c>
      <c r="IK44" s="27">
        <f>MAX(IK43,PortfolioFrontier[[#This Row],[P61 Growth]])</f>
        <v>1.2493142832067854</v>
      </c>
      <c r="IL44" s="27">
        <f>PortfolioFrontier[[#This Row],[P61 Growth]]/PortfolioFrontier[[#This Row],[P61 HWM]]-1</f>
        <v>-2.6388382620174955E-3</v>
      </c>
      <c r="IM44" s="28">
        <f>SUMPRODUCT(INDEX(PortfolioRef[[SPY]:[PE]],MATCH(IM$1,PortfolioRef[Reference '#]),0),AssetMonthlyReturns[[#This Row],[SPY]:[PE]])</f>
        <v>-4.0317251074301671E-3</v>
      </c>
      <c r="IN44" s="27">
        <f>IF(ISNUMBER(IN43),IN43*(1+PortfolioFrontier[[#This Row],[P62 Return]]),1+PortfolioFrontier[[#This Row],[P62 Return]])</f>
        <v>1.2474661889426306</v>
      </c>
      <c r="IO44" s="27">
        <f>MAX(IO43,PortfolioFrontier[[#This Row],[P62 Growth]])</f>
        <v>1.2525159891033564</v>
      </c>
      <c r="IP44" s="27">
        <f>PortfolioFrontier[[#This Row],[P62 Growth]]/PortfolioFrontier[[#This Row],[P62 HWM]]-1</f>
        <v>-4.0317251074302174E-3</v>
      </c>
      <c r="IQ44" s="28">
        <f>SUMPRODUCT(INDEX(PortfolioRef[[SPY]:[PE]],MATCH(IQ$1,PortfolioRef[Reference '#]),0),AssetMonthlyReturns[[#This Row],[SPY]:[PE]])</f>
        <v>-1.7758899088070657E-3</v>
      </c>
      <c r="IR44" s="27">
        <f>IF(ISNUMBER(IR43),IR43*(1+PortfolioFrontier[[#This Row],[P63 Return]]),1+PortfolioFrontier[[#This Row],[P63 Return]])</f>
        <v>1.2567688981198333</v>
      </c>
      <c r="IS44" s="27">
        <f>MAX(IS43,PortfolioFrontier[[#This Row],[P63 Growth]])</f>
        <v>1.2590047519539684</v>
      </c>
      <c r="IT44" s="27">
        <f>PortfolioFrontier[[#This Row],[P63 Growth]]/PortfolioFrontier[[#This Row],[P63 HWM]]-1</f>
        <v>-1.7758899088070601E-3</v>
      </c>
      <c r="IU44" s="28">
        <f>SUMPRODUCT(INDEX(PortfolioRef[[SPY]:[PE]],MATCH(IU$1,PortfolioRef[Reference '#]),0),AssetMonthlyReturns[[#This Row],[SPY]:[PE]])</f>
        <v>-3.5128540812323695E-3</v>
      </c>
      <c r="IV44" s="27">
        <f>IF(ISNUMBER(IV43),IV43*(1+PortfolioFrontier[[#This Row],[P64 Return]]),1+PortfolioFrontier[[#This Row],[P64 Return]])</f>
        <v>1.2391557617265569</v>
      </c>
      <c r="IW44" s="27">
        <f>MAX(IW43,PortfolioFrontier[[#This Row],[P64 Growth]])</f>
        <v>1.2435240803673862</v>
      </c>
      <c r="IX44" s="27">
        <f>PortfolioFrontier[[#This Row],[P64 Growth]]/PortfolioFrontier[[#This Row],[P64 HWM]]-1</f>
        <v>-3.5128540812322528E-3</v>
      </c>
      <c r="IY44" s="28">
        <f>SUMPRODUCT(INDEX(PortfolioRef[[SPY]:[PE]],MATCH(IY$1,PortfolioRef[Reference '#]),0),AssetMonthlyReturns[[#This Row],[SPY]:[PE]])</f>
        <v>-5.4246119528428838E-3</v>
      </c>
      <c r="IZ44" s="27">
        <f>IF(ISNUMBER(IZ43),IZ43*(1+PortfolioFrontier[[#This Row],[P65 Return]]),1+PortfolioFrontier[[#This Row],[P65 Return]])</f>
        <v>1.2488048644877641</v>
      </c>
      <c r="JA44" s="27">
        <f>MAX(JA43,PortfolioFrontier[[#This Row],[P65 Growth]])</f>
        <v>1.2556160945625099</v>
      </c>
      <c r="JB44" s="27">
        <f>PortfolioFrontier[[#This Row],[P65 Growth]]/PortfolioFrontier[[#This Row],[P65 HWM]]-1</f>
        <v>-5.4246119528429393E-3</v>
      </c>
      <c r="JC44" s="28">
        <f>SUMPRODUCT(INDEX(PortfolioRef[[SPY]:[PE]],MATCH(JC$1,PortfolioRef[Reference '#]),0),AssetMonthlyReturns[[#This Row],[SPY]:[PE]])</f>
        <v>-3.168776754219782E-3</v>
      </c>
      <c r="JD44" s="27">
        <f>IF(ISNUMBER(JD43),JD43*(1+PortfolioFrontier[[#This Row],[P66 Return]]),1+PortfolioFrontier[[#This Row],[P66 Return]])</f>
        <v>1.2582352441746496</v>
      </c>
      <c r="JE44" s="27">
        <f>MAX(JE43,PortfolioFrontier[[#This Row],[P66 Growth]])</f>
        <v>1.2622349850536505</v>
      </c>
      <c r="JF44" s="27">
        <f>PortfolioFrontier[[#This Row],[P66 Growth]]/PortfolioFrontier[[#This Row],[P66 HWM]]-1</f>
        <v>-3.168776754219782E-3</v>
      </c>
      <c r="JG44" s="28">
        <f>SUMPRODUCT(INDEX(PortfolioRef[[SPY]:[PE]],MATCH(JG$1,PortfolioRef[Reference '#]),0),AssetMonthlyReturns[[#This Row],[SPY]:[PE]])</f>
        <v>-4.9057409266450858E-3</v>
      </c>
      <c r="JH44" s="27">
        <f>IF(ISNUMBER(JH43),JH43*(1+PortfolioFrontier[[#This Row],[P67 Return]]),1+PortfolioFrontier[[#This Row],[P67 Return]])</f>
        <v>1.2406234386248902</v>
      </c>
      <c r="JI44" s="27">
        <f>MAX(JI43,PortfolioFrontier[[#This Row],[P67 Growth]])</f>
        <v>1.2467396202045979</v>
      </c>
      <c r="JJ44" s="27">
        <f>PortfolioFrontier[[#This Row],[P67 Growth]]/PortfolioFrontier[[#This Row],[P67 HWM]]-1</f>
        <v>-4.9057409266451968E-3</v>
      </c>
      <c r="JK44" s="28">
        <f>SUMPRODUCT(INDEX(PortfolioRef[[SPY]:[PE]],MATCH(JK$1,PortfolioRef[Reference '#]),0),AssetMonthlyReturns[[#This Row],[SPY]:[PE]])</f>
        <v>-9.1294155559668022E-4</v>
      </c>
      <c r="JL44" s="27">
        <f>IF(ISNUMBER(JL43),JL43*(1+PortfolioFrontier[[#This Row],[P68 Return]]),1+PortfolioFrontier[[#This Row],[P68 Return]])</f>
        <v>1.2674495080469785</v>
      </c>
      <c r="JM44" s="27">
        <f>MAX(JM43,PortfolioFrontier[[#This Row],[P68 Growth]])</f>
        <v>1.2686076727091435</v>
      </c>
      <c r="JN44" s="27">
        <f>PortfolioFrontier[[#This Row],[P68 Growth]]/PortfolioFrontier[[#This Row],[P68 HWM]]-1</f>
        <v>-9.1294155559673573E-4</v>
      </c>
      <c r="JO44" s="28">
        <f>SUMPRODUCT(INDEX(PortfolioRef[[SPY]:[PE]],MATCH(JO$1,PortfolioRef[Reference '#]),0),AssetMonthlyReturns[[#This Row],[SPY]:[PE]])</f>
        <v>-2.649905728021984E-3</v>
      </c>
      <c r="JP44" s="27">
        <f>IF(ISNUMBER(JP43),JP43*(1+PortfolioFrontier[[#This Row],[P69 Return]]),1+PortfolioFrontier[[#This Row],[P69 Return]])</f>
        <v>1.2498413747681043</v>
      </c>
      <c r="JQ44" s="27">
        <f>MAX(JQ43,PortfolioFrontier[[#This Row],[P69 Growth]])</f>
        <v>1.2531621362912027</v>
      </c>
      <c r="JR44" s="27">
        <f>PortfolioFrontier[[#This Row],[P69 Growth]]/PortfolioFrontier[[#This Row],[P69 HWM]]-1</f>
        <v>-2.6499057280220395E-3</v>
      </c>
      <c r="JS44" s="28">
        <f>SUMPRODUCT(INDEX(PortfolioRef[[SPY]:[PE]],MATCH(JS$1,PortfolioRef[Reference '#]),0),AssetMonthlyReturns[[#This Row],[SPY]:[PE]])</f>
        <v>-4.3868699004472878E-3</v>
      </c>
      <c r="JT44" s="27">
        <f>IF(ISNUMBER(JT43),JT43*(1+PortfolioFrontier[[#This Row],[P70 Return]]),1+PortfolioFrontier[[#This Row],[P70 Return]])</f>
        <v>1.2322744196233213</v>
      </c>
      <c r="JU44" s="27">
        <f>MAX(JU43,PortfolioFrontier[[#This Row],[P70 Growth]])</f>
        <v>1.2377040663375989</v>
      </c>
      <c r="JV44" s="27">
        <f>PortfolioFrontier[[#This Row],[P70 Growth]]/PortfolioFrontier[[#This Row],[P70 HWM]]-1</f>
        <v>-4.3868699004472322E-3</v>
      </c>
      <c r="JW44" s="28">
        <f>SUMPRODUCT(INDEX(PortfolioRef[[SPY]:[PE]],MATCH(JW$1,PortfolioRef[Reference '#]),0),AssetMonthlyReturns[[#This Row],[SPY]:[PE]])</f>
        <v>-4.5616635996324987E-3</v>
      </c>
      <c r="JX44" s="27">
        <f>IF(ISNUMBER(JX43),JX43*(1+PortfolioFrontier[[#This Row],[P71 Return]]),1+PortfolioFrontier[[#This Row],[P71 Return]])</f>
        <v>1.259590775980338</v>
      </c>
      <c r="JY44" s="27">
        <f>MAX(JY43,PortfolioFrontier[[#This Row],[P71 Growth]])</f>
        <v>1.2653629360259315</v>
      </c>
      <c r="JZ44" s="27">
        <f>PortfolioFrontier[[#This Row],[P71 Growth]]/PortfolioFrontier[[#This Row],[P71 HWM]]-1</f>
        <v>-4.5616635996325039E-3</v>
      </c>
      <c r="KA44" s="28">
        <f>SUMPRODUCT(INDEX(PortfolioRef[[SPY]:[PE]],MATCH(KA$1,PortfolioRef[Reference '#]),0),AssetMonthlyReturns[[#This Row],[SPY]:[PE]])</f>
        <v>-6.2986277720578025E-3</v>
      </c>
      <c r="KB44" s="27">
        <f>IF(ISNUMBER(KB43),KB43*(1+PortfolioFrontier[[#This Row],[P72 Return]]),1+PortfolioFrontier[[#This Row],[P72 Return]])</f>
        <v>1.2419817637266599</v>
      </c>
      <c r="KC44" s="27">
        <f>MAX(KC43,PortfolioFrontier[[#This Row],[P72 Growth]])</f>
        <v>1.2498541296587498</v>
      </c>
      <c r="KD44" s="27">
        <f>PortfolioFrontier[[#This Row],[P72 Growth]]/PortfolioFrontier[[#This Row],[P72 HWM]]-1</f>
        <v>-6.2986277720579187E-3</v>
      </c>
      <c r="KE44" s="28">
        <f>SUMPRODUCT(INDEX(PortfolioRef[[SPY]:[PE]],MATCH(KE$1,PortfolioRef[Reference '#]),0),AssetMonthlyReturns[[#This Row],[SPY]:[PE]])</f>
        <v>-2.3058284010093969E-3</v>
      </c>
      <c r="KF44" s="27">
        <f>IF(ISNUMBER(KF43),KF43*(1+PortfolioFrontier[[#This Row],[P73 Return]]),1+PortfolioFrontier[[#This Row],[P73 Return]])</f>
        <v>1.2689337287289288</v>
      </c>
      <c r="KG44" s="27">
        <f>MAX(KG43,PortfolioFrontier[[#This Row],[P73 Growth]])</f>
        <v>1.2718664344758337</v>
      </c>
      <c r="KH44" s="27">
        <f>PortfolioFrontier[[#This Row],[P73 Growth]]/PortfolioFrontier[[#This Row],[P73 HWM]]-1</f>
        <v>-2.3058284010093466E-3</v>
      </c>
      <c r="KI44" s="28">
        <f>SUMPRODUCT(INDEX(PortfolioRef[[SPY]:[PE]],MATCH(KI$1,PortfolioRef[Reference '#]),0),AssetMonthlyReturns[[#This Row],[SPY]:[PE]])</f>
        <v>-4.0427925734347007E-3</v>
      </c>
      <c r="KJ44" s="27">
        <f>IF(ISNUMBER(KJ43),KJ43*(1+PortfolioFrontier[[#This Row],[P74 Return]]),1+PortfolioFrontier[[#This Row],[P74 Return]])</f>
        <v>1.2513269276287617</v>
      </c>
      <c r="KK44" s="27">
        <f>MAX(KK43,PortfolioFrontier[[#This Row],[P74 Growth]])</f>
        <v>1.2564063177594158</v>
      </c>
      <c r="KL44" s="27">
        <f>PortfolioFrontier[[#This Row],[P74 Growth]]/PortfolioFrontier[[#This Row],[P74 HWM]]-1</f>
        <v>-4.0427925734345393E-3</v>
      </c>
      <c r="KM44" s="28">
        <f>SUMPRODUCT(INDEX(PortfolioRef[[SPY]:[PE]],MATCH(KM$1,PortfolioRef[Reference '#]),0),AssetMonthlyReturns[[#This Row],[SPY]:[PE]])</f>
        <v>-5.7797567458600044E-3</v>
      </c>
      <c r="KN44" s="27">
        <f>IF(ISNUMBER(KN43),KN43*(1+PortfolioFrontier[[#This Row],[P75 Return]]),1+PortfolioFrontier[[#This Row],[P75 Return]])</f>
        <v>1.2337607989199346</v>
      </c>
      <c r="KO44" s="27">
        <f>MAX(KO43,PortfolioFrontier[[#This Row],[P75 Growth]])</f>
        <v>1.2409330903198716</v>
      </c>
      <c r="KP44" s="27">
        <f>PortfolioFrontier[[#This Row],[P75 Growth]]/PortfolioFrontier[[#This Row],[P75 HWM]]-1</f>
        <v>-5.7797567458598431E-3</v>
      </c>
      <c r="KQ44" s="28">
        <f>SUMPRODUCT(INDEX(PortfolioRef[[SPY]:[PE]],MATCH(KQ$1,PortfolioRef[Reference '#]),0),AssetMonthlyReturns[[#This Row],[SPY]:[PE]])</f>
        <v>-4.9993202386295135E-5</v>
      </c>
      <c r="KR44" s="27">
        <f>IF(ISNUMBER(KR43),KR43*(1+PortfolioFrontier[[#This Row],[P76 Return]]),1+PortfolioFrontier[[#This Row],[P76 Return]])</f>
        <v>1.2780559409286341</v>
      </c>
      <c r="KS44" s="27">
        <f>MAX(KS43,PortfolioFrontier[[#This Row],[P76 Growth]])</f>
        <v>1.2781198382323808</v>
      </c>
      <c r="KT44" s="27">
        <f>PortfolioFrontier[[#This Row],[P76 Growth]]/PortfolioFrontier[[#This Row],[P76 HWM]]-1</f>
        <v>-4.9993202386411362E-5</v>
      </c>
      <c r="KU44" s="28">
        <f>SUMPRODUCT(INDEX(PortfolioRef[[SPY]:[PE]],MATCH(KU$1,PortfolioRef[Reference '#]),0),AssetMonthlyReturns[[#This Row],[SPY]:[PE]])</f>
        <v>-1.7869573748115989E-3</v>
      </c>
      <c r="KV44" s="27">
        <f>IF(ISNUMBER(KV43),KV43*(1+PortfolioFrontier[[#This Row],[P77 Return]]),1+PortfolioFrontier[[#This Row],[P77 Return]])</f>
        <v>1.26045639633683</v>
      </c>
      <c r="KW44" s="27">
        <f>MAX(KW43,PortfolioFrontier[[#This Row],[P77 Growth]])</f>
        <v>1.2627128103054746</v>
      </c>
      <c r="KX44" s="27">
        <f>PortfolioFrontier[[#This Row],[P77 Growth]]/PortfolioFrontier[[#This Row],[P77 HWM]]-1</f>
        <v>-1.7869573748116041E-3</v>
      </c>
      <c r="KY44" s="28">
        <f>SUMPRODUCT(INDEX(PortfolioRef[[SPY]:[PE]],MATCH(KY$1,PortfolioRef[Reference '#]),0),AssetMonthlyReturns[[#This Row],[SPY]:[PE]])</f>
        <v>-3.5239215472369027E-3</v>
      </c>
      <c r="KZ44" s="27">
        <f>IF(ISNUMBER(KZ43),KZ43*(1+PortfolioFrontier[[#This Row],[P78 Return]]),1+PortfolioFrontier[[#This Row],[P78 Return]])</f>
        <v>1.2428941633712673</v>
      </c>
      <c r="LA44" s="27">
        <f>MAX(LA43,PortfolioFrontier[[#This Row],[P78 Growth]])</f>
        <v>1.2472895137644646</v>
      </c>
      <c r="LB44" s="27">
        <f>PortfolioFrontier[[#This Row],[P78 Growth]]/PortfolioFrontier[[#This Row],[P78 HWM]]-1</f>
        <v>-3.5239215472369079E-3</v>
      </c>
      <c r="LC44" s="28">
        <f>SUMPRODUCT(INDEX(PortfolioRef[[SPY]:[PE]],MATCH(LC$1,PortfolioRef[Reference '#]),0),AssetMonthlyReturns[[#This Row],[SPY]:[PE]])</f>
        <v>-3.6987152464221136E-3</v>
      </c>
      <c r="LD44" s="27">
        <f>IF(ISNUMBER(LD43),LD43*(1+PortfolioFrontier[[#This Row],[P79 Return]]),1+PortfolioFrontier[[#This Row],[P79 Return]])</f>
        <v>1.2703062963130658</v>
      </c>
      <c r="LE44" s="27">
        <f>MAX(LE43,PortfolioFrontier[[#This Row],[P79 Growth]])</f>
        <v>1.2750222405135807</v>
      </c>
      <c r="LF44" s="27">
        <f>PortfolioFrontier[[#This Row],[P79 Growth]]/PortfolioFrontier[[#This Row],[P79 HWM]]-1</f>
        <v>-3.6987152464221795E-3</v>
      </c>
      <c r="LG44" s="28">
        <f>SUMPRODUCT(INDEX(PortfolioRef[[SPY]:[PE]],MATCH(LG$1,PortfolioRef[Reference '#]),0),AssetMonthlyReturns[[#This Row],[SPY]:[PE]])</f>
        <v>-5.4356794188474174E-3</v>
      </c>
      <c r="LH44" s="27">
        <f>IF(ISNUMBER(LH43),LH43*(1+PortfolioFrontier[[#This Row],[P80 Return]]),1+PortfolioFrontier[[#This Row],[P80 Return]])</f>
        <v>1.2527022886868988</v>
      </c>
      <c r="LI44" s="27">
        <f>MAX(LI43,PortfolioFrontier[[#This Row],[P80 Growth]])</f>
        <v>1.2595487921333319</v>
      </c>
      <c r="LJ44" s="27">
        <f>PortfolioFrontier[[#This Row],[P80 Growth]]/PortfolioFrontier[[#This Row],[P80 HWM]]-1</f>
        <v>-5.4356794188472612E-3</v>
      </c>
      <c r="LK44" s="28">
        <f>SUMPRODUCT(INDEX(PortfolioRef[[SPY]:[PE]],MATCH(LK$1,PortfolioRef[Reference '#]),0),AssetMonthlyReturns[[#This Row],[SPY]:[PE]])</f>
        <v>-7.1726435912727211E-3</v>
      </c>
      <c r="LL44" s="27">
        <f>IF(ISNUMBER(LL43),LL43*(1+PortfolioFrontier[[#This Row],[P81 Return]]),1+PortfolioFrontier[[#This Row],[P81 Return]])</f>
        <v>1.2351384452022987</v>
      </c>
      <c r="LM44" s="27">
        <f>MAX(LM43,PortfolioFrontier[[#This Row],[P81 Growth]])</f>
        <v>1.2440616560668345</v>
      </c>
      <c r="LN44" s="27">
        <f>PortfolioFrontier[[#This Row],[P81 Growth]]/PortfolioFrontier[[#This Row],[P81 HWM]]-1</f>
        <v>-7.172643591272676E-3</v>
      </c>
      <c r="LO44" s="28">
        <f>SUMPRODUCT(INDEX(PortfolioRef[[SPY]:[PE]],MATCH(LO$1,PortfolioRef[Reference '#]),0),AssetMonthlyReturns[[#This Row],[SPY]:[PE]])</f>
        <v>-1.4428800477990118E-3</v>
      </c>
      <c r="LP44" s="27">
        <f>IF(ISNUMBER(LP43),LP43*(1+PortfolioFrontier[[#This Row],[P82 Return]]),1+PortfolioFrontier[[#This Row],[P82 Return]])</f>
        <v>1.2795582089336208</v>
      </c>
      <c r="LQ44" s="27">
        <f>MAX(LQ43,PortfolioFrontier[[#This Row],[P82 Growth]])</f>
        <v>1.281407125708413</v>
      </c>
      <c r="LR44" s="27">
        <f>PortfolioFrontier[[#This Row],[P82 Growth]]/PortfolioFrontier[[#This Row],[P82 HWM]]-1</f>
        <v>-1.4428800477990222E-3</v>
      </c>
      <c r="LS44" s="28">
        <f>SUMPRODUCT(INDEX(PortfolioRef[[SPY]:[PE]],MATCH(LS$1,PortfolioRef[Reference '#]),0),AssetMonthlyReturns[[#This Row],[SPY]:[PE]])</f>
        <v>-3.1798442202243156E-3</v>
      </c>
      <c r="LT44" s="27">
        <f>IF(ISNUMBER(LT43),LT43*(1+PortfolioFrontier[[#This Row],[P83 Return]]),1+PortfolioFrontier[[#This Row],[P83 Return]])</f>
        <v>1.2619599967687471</v>
      </c>
      <c r="LU44" s="27">
        <f>MAX(LU43,PortfolioFrontier[[#This Row],[P83 Growth]])</f>
        <v>1.2659856338694941</v>
      </c>
      <c r="LV44" s="27">
        <f>PortfolioFrontier[[#This Row],[P83 Growth]]/PortfolioFrontier[[#This Row],[P83 HWM]]-1</f>
        <v>-3.179844220224326E-3</v>
      </c>
      <c r="LW44" s="28">
        <f>SUMPRODUCT(INDEX(PortfolioRef[[SPY]:[PE]],MATCH(LW$1,PortfolioRef[Reference '#]),0),AssetMonthlyReturns[[#This Row],[SPY]:[PE]])</f>
        <v>-4.9168083926496194E-3</v>
      </c>
      <c r="LX44" s="27">
        <f>IF(ISNUMBER(LX43),LX43*(1+PortfolioFrontier[[#This Row],[P84 Return]]),1+PortfolioFrontier[[#This Row],[P84 Return]])</f>
        <v>1.2443985890861045</v>
      </c>
      <c r="LY44" s="27">
        <f>MAX(LY43,PortfolioFrontier[[#This Row],[P84 Growth]])</f>
        <v>1.2505472904994372</v>
      </c>
      <c r="LZ44" s="27">
        <f>PortfolioFrontier[[#This Row],[P84 Growth]]/PortfolioFrontier[[#This Row],[P84 HWM]]-1</f>
        <v>-4.9168083926495187E-3</v>
      </c>
      <c r="MA44" s="28">
        <f>SUMPRODUCT(INDEX(PortfolioRef[[SPY]:[PE]],MATCH(MA$1,PortfolioRef[Reference '#]),0),AssetMonthlyReturns[[#This Row],[SPY]:[PE]])</f>
        <v>8.1295515082408995E-4</v>
      </c>
      <c r="MB44" s="27">
        <f>IF(ISNUMBER(MB43),MB43*(1+PortfolioFrontier[[#This Row],[P85 Return]]),1+PortfolioFrontier[[#This Row],[P85 Return]])</f>
        <v>1.288584743242293</v>
      </c>
      <c r="MC44" s="27">
        <f>MAX(MC43,PortfolioFrontier[[#This Row],[P85 Growth]])</f>
        <v>1.288584743242293</v>
      </c>
      <c r="MD44" s="27">
        <f>PortfolioFrontier[[#This Row],[P85 Growth]]/PortfolioFrontier[[#This Row],[P85 HWM]]-1</f>
        <v>0</v>
      </c>
      <c r="ME44" s="28">
        <f>SUMPRODUCT(INDEX(PortfolioRef[[SPY]:[PE]],MATCH(ME$1,PortfolioRef[Reference '#]),0),AssetMonthlyReturns[[#This Row],[SPY]:[PE]])</f>
        <v>-9.2400902160121381E-4</v>
      </c>
      <c r="MF44" s="27">
        <f>IF(ISNUMBER(MF43),MF43*(1+PortfolioFrontier[[#This Row],[P86 Return]]),1+PortfolioFrontier[[#This Row],[P86 Return]])</f>
        <v>1.2709974072269081</v>
      </c>
      <c r="MG44" s="27">
        <f>MAX(MG43,PortfolioFrontier[[#This Row],[P86 Growth]])</f>
        <v>1.2721729064695226</v>
      </c>
      <c r="MH44" s="27">
        <f>PortfolioFrontier[[#This Row],[P86 Growth]]/PortfolioFrontier[[#This Row],[P86 HWM]]-1</f>
        <v>-9.2400902160127973E-4</v>
      </c>
      <c r="MI44" s="28">
        <f>SUMPRODUCT(INDEX(PortfolioRef[[SPY]:[PE]],MATCH(MI$1,PortfolioRef[Reference '#]),0),AssetMonthlyReturns[[#This Row],[SPY]:[PE]])</f>
        <v>-2.6609731940265176E-3</v>
      </c>
      <c r="MJ44" s="27">
        <f>IF(ISNUMBER(MJ43),MJ43*(1+PortfolioFrontier[[#This Row],[P87 Return]]),1+PortfolioFrontier[[#This Row],[P87 Return]])</f>
        <v>1.2534434692068321</v>
      </c>
      <c r="MK44" s="27">
        <f>MAX(MK43,PortfolioFrontier[[#This Row],[P87 Growth]])</f>
        <v>1.2567877477140803</v>
      </c>
      <c r="ML44" s="27">
        <f>PortfolioFrontier[[#This Row],[P87 Growth]]/PortfolioFrontier[[#This Row],[P87 HWM]]-1</f>
        <v>-2.6609731940265835E-3</v>
      </c>
      <c r="MM44" s="28">
        <f>SUMPRODUCT(INDEX(PortfolioRef[[SPY]:[PE]],MATCH(MM$1,PortfolioRef[Reference '#]),0),AssetMonthlyReturns[[#This Row],[SPY]:[PE]])</f>
        <v>-2.8357668932117277E-3</v>
      </c>
      <c r="MN44" s="27">
        <f>IF(ISNUMBER(MN43),MN43*(1+PortfolioFrontier[[#This Row],[P88 Return]]),1+PortfolioFrontier[[#This Row],[P88 Return]])</f>
        <v>1.2809479921257561</v>
      </c>
      <c r="MO44" s="27">
        <f>MAX(MO43,PortfolioFrontier[[#This Row],[P88 Growth]])</f>
        <v>1.2845907921655035</v>
      </c>
      <c r="MP44" s="27">
        <f>PortfolioFrontier[[#This Row],[P88 Growth]]/PortfolioFrontier[[#This Row],[P88 HWM]]-1</f>
        <v>-2.8357668932116331E-3</v>
      </c>
      <c r="MQ44" s="28">
        <f>SUMPRODUCT(INDEX(PortfolioRef[[SPY]:[PE]],MATCH(MQ$1,PortfolioRef[Reference '#]),0),AssetMonthlyReturns[[#This Row],[SPY]:[PE]])</f>
        <v>-4.5727310656370314E-3</v>
      </c>
      <c r="MR44" s="27">
        <f>IF(ISNUMBER(MR43),MR43*(1+PortfolioFrontier[[#This Row],[P89 Return]]),1+PortfolioFrontier[[#This Row],[P89 Return]])</f>
        <v>1.2633525722628793</v>
      </c>
      <c r="MS44" s="27">
        <f>MAX(MS43,PortfolioFrontier[[#This Row],[P89 Growth]])</f>
        <v>1.2691560817048333</v>
      </c>
      <c r="MT44" s="27">
        <f>PortfolioFrontier[[#This Row],[P89 Growth]]/PortfolioFrontier[[#This Row],[P89 HWM]]-1</f>
        <v>-4.5727310656371589E-3</v>
      </c>
      <c r="MU44" s="28">
        <f>SUMPRODUCT(INDEX(PortfolioRef[[SPY]:[PE]],MATCH(MU$1,PortfolioRef[Reference '#]),0),AssetMonthlyReturns[[#This Row],[SPY]:[PE]])</f>
        <v>-6.3096952380623352E-3</v>
      </c>
      <c r="MV44" s="27">
        <f>IF(ISNUMBER(MV43),MV43*(1+PortfolioFrontier[[#This Row],[P90 Return]]),1+PortfolioFrontier[[#This Row],[P90 Return]])</f>
        <v>1.2457934475135166</v>
      </c>
      <c r="MW44" s="27">
        <f>MAX(MW43,PortfolioFrontier[[#This Row],[P90 Growth]])</f>
        <v>1.2537039372764902</v>
      </c>
      <c r="MX44" s="27">
        <f>PortfolioFrontier[[#This Row],[P90 Growth]]/PortfolioFrontier[[#This Row],[P90 HWM]]-1</f>
        <v>-6.3096952380624627E-3</v>
      </c>
      <c r="MY44" s="28">
        <f>SUMPRODUCT(INDEX(PortfolioRef[[SPY]:[PE]],MATCH(MY$1,PortfolioRef[Reference '#]),0),AssetMonthlyReturns[[#This Row],[SPY]:[PE]])</f>
        <v>-5.7993169458862587E-4</v>
      </c>
      <c r="MZ44" s="27">
        <f>IF(ISNUMBER(MZ43),MZ43*(1+PortfolioFrontier[[#This Row],[P91 Return]]),1+PortfolioFrontier[[#This Row],[P91 Return]])</f>
        <v>1.2901052312781625</v>
      </c>
      <c r="NA44" s="27">
        <f>MAX(NA43,PortfolioFrontier[[#This Row],[P91 Growth]])</f>
        <v>1.2908538383320927</v>
      </c>
      <c r="NB44" s="27">
        <f>PortfolioFrontier[[#This Row],[P91 Growth]]/PortfolioFrontier[[#This Row],[P91 HWM]]-1</f>
        <v>-5.7993169458869787E-4</v>
      </c>
      <c r="NC44" s="28">
        <f>SUMPRODUCT(INDEX(PortfolioRef[[SPY]:[PE]],MATCH(NC$1,PortfolioRef[Reference '#]),0),AssetMonthlyReturns[[#This Row],[SPY]:[PE]])</f>
        <v>-2.3168958670139296E-3</v>
      </c>
      <c r="ND44" s="27">
        <f>IF(ISNUMBER(ND43),ND43*(1+PortfolioFrontier[[#This Row],[P92 Return]]),1+PortfolioFrontier[[#This Row],[P92 Return]])</f>
        <v>1.2725192268438861</v>
      </c>
      <c r="NE44" s="27">
        <f>MAX(NE43,PortfolioFrontier[[#This Row],[P92 Growth]])</f>
        <v>1.2754743681359022</v>
      </c>
      <c r="NF44" s="27">
        <f>PortfolioFrontier[[#This Row],[P92 Growth]]/PortfolioFrontier[[#This Row],[P92 HWM]]-1</f>
        <v>-2.3168958670137796E-3</v>
      </c>
      <c r="NG44" s="28">
        <f>SUMPRODUCT(INDEX(PortfolioRef[[SPY]:[PE]],MATCH(NG$1,PortfolioRef[Reference '#]),0),AssetMonthlyReturns[[#This Row],[SPY]:[PE]])</f>
        <v>-4.0538600394392334E-3</v>
      </c>
      <c r="NH44" s="27">
        <f>IF(ISNUMBER(NH43),NH43*(1+PortfolioFrontier[[#This Row],[P93 Return]]),1+PortfolioFrontier[[#This Row],[P93 Return]])</f>
        <v>1.2549661119111439</v>
      </c>
      <c r="NI44" s="27">
        <f>MAX(NI43,PortfolioFrontier[[#This Row],[P93 Growth]])</f>
        <v>1.2600742766680537</v>
      </c>
      <c r="NJ44" s="27">
        <f>PortfolioFrontier[[#This Row],[P93 Growth]]/PortfolioFrontier[[#This Row],[P93 HWM]]-1</f>
        <v>-4.0538600394390834E-3</v>
      </c>
      <c r="NK44" s="28">
        <f>SUMPRODUCT(INDEX(PortfolioRef[[SPY]:[PE]],MATCH(NK$1,PortfolioRef[Reference '#]),0),AssetMonthlyReturns[[#This Row],[SPY]:[PE]])</f>
        <v>1.6759035040344759E-3</v>
      </c>
      <c r="NL44" s="27">
        <f>IF(ISNUMBER(NL43),NL43*(1+PortfolioFrontier[[#This Row],[P94 Return]]),1+PortfolioFrontier[[#This Row],[P94 Return]])</f>
        <v>1.2990324426866504</v>
      </c>
      <c r="NM44" s="27">
        <f>MAX(NM43,PortfolioFrontier[[#This Row],[P94 Growth]])</f>
        <v>1.2990324426866504</v>
      </c>
      <c r="NN44" s="27">
        <f>PortfolioFrontier[[#This Row],[P94 Growth]]/PortfolioFrontier[[#This Row],[P94 HWM]]-1</f>
        <v>0</v>
      </c>
      <c r="NO44" s="28">
        <f>SUMPRODUCT(INDEX(PortfolioRef[[SPY]:[PE]],MATCH(NO$1,PortfolioRef[Reference '#]),0),AssetMonthlyReturns[[#This Row],[SPY]:[PE]])</f>
        <v>-6.1060668390827862E-5</v>
      </c>
      <c r="NP44" s="27">
        <f>IF(ISNUMBER(NP43),NP43*(1+PortfolioFrontier[[#This Row],[P95 Return]]),1+PortfolioFrontier[[#This Row],[P95 Return]])</f>
        <v>1.2814609685207083</v>
      </c>
      <c r="NQ44" s="27">
        <f>MAX(NQ43,PortfolioFrontier[[#This Row],[P95 Growth]])</f>
        <v>1.2815392201620606</v>
      </c>
      <c r="NR44" s="27">
        <f>PortfolioFrontier[[#This Row],[P95 Growth]]/PortfolioFrontier[[#This Row],[P95 HWM]]-1</f>
        <v>-6.1060668390844342E-5</v>
      </c>
      <c r="NS44" s="28">
        <f>SUMPRODUCT(INDEX(PortfolioRef[[SPY]:[PE]],MATCH(NS$1,PortfolioRef[Reference '#]),0),AssetMonthlyReturns[[#This Row],[SPY]:[PE]])</f>
        <v>-1.7980248408161316E-3</v>
      </c>
      <c r="NT44" s="27">
        <f>IF(ISNUMBER(NT43),NT43*(1+PortfolioFrontier[[#This Row],[P96 Return]]),1+PortfolioFrontier[[#This Row],[P96 Return]])</f>
        <v>1.2639189324981923</v>
      </c>
      <c r="NU44" s="27">
        <f>MAX(NU43,PortfolioFrontier[[#This Row],[P96 Growth]])</f>
        <v>1.2661955836108563</v>
      </c>
      <c r="NV44" s="27">
        <f>PortfolioFrontier[[#This Row],[P96 Growth]]/PortfolioFrontier[[#This Row],[P96 HWM]]-1</f>
        <v>-1.7980248408161481E-3</v>
      </c>
      <c r="NW44" s="28">
        <f>SUMPRODUCT(INDEX(PortfolioRef[[SPY]:[PE]],MATCH(NW$1,PortfolioRef[Reference '#]),0),AssetMonthlyReturns[[#This Row],[SPY]:[PE]])</f>
        <v>-3.6820371997633937E-3</v>
      </c>
      <c r="NX44" s="27">
        <f>IF(ISNUMBER(NX43),NX43*(1+PortfolioFrontier[[#This Row],[P97 Return]]),1+PortfolioFrontier[[#This Row],[P97 Return]])</f>
        <v>1.2257808431270549</v>
      </c>
      <c r="NY44" s="27">
        <f>MAX(NY43,PortfolioFrontier[[#This Row],[P97 Growth]])</f>
        <v>1.230310893604581</v>
      </c>
      <c r="NZ44" s="27">
        <f>PortfolioFrontier[[#This Row],[P97 Growth]]/PortfolioFrontier[[#This Row],[P97 HWM]]-1</f>
        <v>-3.6820371997633439E-3</v>
      </c>
      <c r="OA44" s="28">
        <f>SUMPRODUCT(INDEX(PortfolioRef[[SPY]:[PE]],MATCH(OA$1,PortfolioRef[Reference '#]),0),AssetMonthlyReturns[[#This Row],[SPY]:[PE]])</f>
        <v>-5.0749240451761109E-3</v>
      </c>
      <c r="OB44" s="27">
        <f>IF(ISNUMBER(OB43),OB43*(1+PortfolioFrontier[[#This Row],[P98 Return]]),1+PortfolioFrontier[[#This Row],[P98 Return]])</f>
        <v>1.2271845518971276</v>
      </c>
      <c r="OC44" s="27">
        <f>MAX(OC43,PortfolioFrontier[[#This Row],[P98 Growth]])</f>
        <v>1.2334441874624635</v>
      </c>
      <c r="OD44" s="27">
        <f>PortfolioFrontier[[#This Row],[P98 Growth]]/PortfolioFrontier[[#This Row],[P98 HWM]]-1</f>
        <v>-5.0749240451760658E-3</v>
      </c>
      <c r="OE44" s="28">
        <f>SUMPRODUCT(INDEX(PortfolioRef[[SPY]:[PE]],MATCH(OE$1,PortfolioRef[Reference '#]),0),AssetMonthlyReturns[[#This Row],[SPY]:[PE]])</f>
        <v>-2.8190888465530087E-3</v>
      </c>
      <c r="OF44" s="27">
        <f>IF(ISNUMBER(OF43),OF43*(1+PortfolioFrontier[[#This Row],[P99 Return]]),1+PortfolioFrontier[[#This Row],[P99 Return]])</f>
        <v>1.2364520155074807</v>
      </c>
      <c r="OG44" s="27">
        <f>MAX(OG43,PortfolioFrontier[[#This Row],[P99 Growth]])</f>
        <v>1.2399475377815516</v>
      </c>
      <c r="OH44" s="27">
        <f>PortfolioFrontier[[#This Row],[P99 Growth]]/PortfolioFrontier[[#This Row],[P99 HWM]]-1</f>
        <v>-2.8190888465530195E-3</v>
      </c>
      <c r="OI44" s="28">
        <f>SUMPRODUCT(INDEX(PortfolioRef[[SPY]:[PE]],MATCH(OI$1,PortfolioRef[Reference '#]),0),AssetMonthlyReturns[[#This Row],[SPY]:[PE]])</f>
        <v>-4.5560530189783129E-3</v>
      </c>
      <c r="OJ44" s="27">
        <f>IF(ISNUMBER(OJ43),OJ43*(1+PortfolioFrontier[[#This Row],[P100 Return]]),1+PortfolioFrontier[[#This Row],[P100 Return]])</f>
        <v>1.2190602467173901</v>
      </c>
      <c r="OK44" s="27">
        <f>MAX(OK43,PortfolioFrontier[[#This Row],[P100 Growth]])</f>
        <v>1.2246397704406673</v>
      </c>
      <c r="OL44" s="27">
        <f>PortfolioFrontier[[#This Row],[P100 Growth]]/PortfolioFrontier[[#This Row],[P100 HWM]]-1</f>
        <v>-4.5560530189784343E-3</v>
      </c>
      <c r="OM44" s="28">
        <f>SUMPRODUCT(INDEX(PortfolioRef[[SPY]:[PE]],MATCH(OM$1,PortfolioRef[Reference '#]),0),AssetMonthlyReturns[[#This Row],[SPY]:[PE]])</f>
        <v>-6.4678108905888258E-3</v>
      </c>
      <c r="ON44" s="27">
        <f>IF(ISNUMBER(ON43),ON43*(1+PortfolioFrontier[[#This Row],[P101 Return]]),1+PortfolioFrontier[[#This Row],[P101 Return]])</f>
        <v>1.2284798997163699</v>
      </c>
      <c r="OO44" s="27">
        <f>MAX(OO43,PortfolioFrontier[[#This Row],[P101 Growth]])</f>
        <v>1.2364772004192059</v>
      </c>
      <c r="OP44" s="27">
        <f>PortfolioFrontier[[#This Row],[P101 Growth]]/PortfolioFrontier[[#This Row],[P101 HWM]]-1</f>
        <v>-6.4678108905886766E-3</v>
      </c>
      <c r="OQ44" s="28">
        <f>SUMPRODUCT(INDEX(PortfolioRef[[SPY]:[PE]],MATCH(OQ$1,PortfolioRef[Reference '#]),0),AssetMonthlyReturns[[#This Row],[SPY]:[PE]])</f>
        <v>-4.2119756919657241E-3</v>
      </c>
      <c r="OR44" s="27">
        <f>IF(ISNUMBER(OR43),OR43*(1+PortfolioFrontier[[#This Row],[P102 Return]]),1+PortfolioFrontier[[#This Row],[P102 Return]])</f>
        <v>1.237872960827773</v>
      </c>
      <c r="OS44" s="27">
        <f>MAX(OS43,PortfolioFrontier[[#This Row],[P102 Growth]])</f>
        <v>1.2431089053194446</v>
      </c>
      <c r="OT44" s="27">
        <f>PortfolioFrontier[[#This Row],[P102 Growth]]/PortfolioFrontier[[#This Row],[P102 HWM]]-1</f>
        <v>-4.2119756919657414E-3</v>
      </c>
      <c r="OU44" s="28">
        <f>SUMPRODUCT(INDEX(PortfolioRef[[SPY]:[PE]],MATCH(OU$1,PortfolioRef[Reference '#]),0),AssetMonthlyReturns[[#This Row],[SPY]:[PE]])</f>
        <v>-5.9489398643910278E-3</v>
      </c>
      <c r="OV44" s="27">
        <f>IF(ISNUMBER(OV43),OV43*(1+PortfolioFrontier[[#This Row],[P103 Return]]),1+PortfolioFrontier[[#This Row],[P103 Return]])</f>
        <v>1.2204827998649939</v>
      </c>
      <c r="OW44" s="27">
        <f>MAX(OW43,PortfolioFrontier[[#This Row],[P103 Growth]])</f>
        <v>1.2277868298822547</v>
      </c>
      <c r="OX44" s="27">
        <f>PortfolioFrontier[[#This Row],[P103 Growth]]/PortfolioFrontier[[#This Row],[P103 HWM]]-1</f>
        <v>-5.9489398643910452E-3</v>
      </c>
      <c r="OY44" s="28">
        <f>SUMPRODUCT(INDEX(PortfolioRef[[SPY]:[PE]],MATCH(OY$1,PortfolioRef[Reference '#]),0),AssetMonthlyReturns[[#This Row],[SPY]:[PE]])</f>
        <v>-1.9561404933426227E-3</v>
      </c>
      <c r="OZ44" s="27">
        <f>IF(ISNUMBER(OZ43),OZ43*(1+PortfolioFrontier[[#This Row],[P104 Return]]),1+PortfolioFrontier[[#This Row],[P104 Return]])</f>
        <v>1.2470553799420763</v>
      </c>
      <c r="PA44" s="27">
        <f>MAX(PA43,PortfolioFrontier[[#This Row],[P104 Growth]])</f>
        <v>1.249499576660396</v>
      </c>
      <c r="PB44" s="27">
        <f>PortfolioFrontier[[#This Row],[P104 Growth]]/PortfolioFrontier[[#This Row],[P104 HWM]]-1</f>
        <v>-1.9561404933424731E-3</v>
      </c>
      <c r="PC44" s="28">
        <f>SUMPRODUCT(INDEX(PortfolioRef[[SPY]:[PE]],MATCH(PC$1,PortfolioRef[Reference '#]),0),AssetMonthlyReturns[[#This Row],[SPY]:[PE]])</f>
        <v>-3.6931046657679265E-3</v>
      </c>
      <c r="PD44" s="27">
        <f>IF(ISNUMBER(PD43),PD43*(1+PortfolioFrontier[[#This Row],[P105 Return]]),1+PortfolioFrontier[[#This Row],[P105 Return]])</f>
        <v>1.2296666201772126</v>
      </c>
      <c r="PE44" s="27">
        <f>MAX(PE43,PortfolioFrontier[[#This Row],[P105 Growth]])</f>
        <v>1.2342247413280172</v>
      </c>
      <c r="PF44" s="27">
        <f>PortfolioFrontier[[#This Row],[P105 Growth]]/PortfolioFrontier[[#This Row],[P105 HWM]]-1</f>
        <v>-3.6931046657677769E-3</v>
      </c>
      <c r="PG44" s="28">
        <f>SUMPRODUCT(INDEX(PortfolioRef[[SPY]:[PE]],MATCH(PG$1,PortfolioRef[Reference '#]),0),AssetMonthlyReturns[[#This Row],[SPY]:[PE]])</f>
        <v>-5.4300688381932298E-3</v>
      </c>
      <c r="PH44" s="27">
        <f>IF(ISNUMBER(PH43),PH43*(1+PortfolioFrontier[[#This Row],[P106 Return]]),1+PortfolioFrontier[[#This Row],[P106 Return]])</f>
        <v>1.2123200858338161</v>
      </c>
      <c r="PI44" s="27">
        <f>MAX(PI43,PortfolioFrontier[[#This Row],[P106 Growth]])</f>
        <v>1.218939008559855</v>
      </c>
      <c r="PJ44" s="27">
        <f>PortfolioFrontier[[#This Row],[P106 Growth]]/PortfolioFrontier[[#This Row],[P106 HWM]]-1</f>
        <v>-5.4300688381931916E-3</v>
      </c>
      <c r="PK44" s="28">
        <f>SUMPRODUCT(INDEX(PortfolioRef[[SPY]:[PE]],MATCH(PK$1,PortfolioRef[Reference '#]),0),AssetMonthlyReturns[[#This Row],[SPY]:[PE]])</f>
        <v>-5.6048625373784407E-3</v>
      </c>
      <c r="PL44" s="27">
        <f>IF(ISNUMBER(PL43),PL43*(1+PortfolioFrontier[[#This Row],[P107 Return]]),1+PortfolioFrontier[[#This Row],[P107 Return]])</f>
        <v>1.2391847034893133</v>
      </c>
      <c r="PM44" s="27">
        <f>MAX(PM43,PortfolioFrontier[[#This Row],[P107 Growth]])</f>
        <v>1.2461693111767587</v>
      </c>
      <c r="PN44" s="27">
        <f>PortfolioFrontier[[#This Row],[P107 Growth]]/PortfolioFrontier[[#This Row],[P107 HWM]]-1</f>
        <v>-5.6048625373784633E-3</v>
      </c>
      <c r="PO44" s="28">
        <f>SUMPRODUCT(INDEX(PortfolioRef[[SPY]:[PE]],MATCH(PO$1,PortfolioRef[Reference '#]),0),AssetMonthlyReturns[[#This Row],[SPY]:[PE]])</f>
        <v>-7.3418267098037445E-3</v>
      </c>
      <c r="PP44" s="27">
        <f>IF(ISNUMBER(PP43),PP43*(1+PortfolioFrontier[[#This Row],[P108 Return]]),1+PortfolioFrontier[[#This Row],[P108 Return]])</f>
        <v>1.2217975968137513</v>
      </c>
      <c r="PQ44" s="27">
        <f>MAX(PQ43,PortfolioFrontier[[#This Row],[P108 Growth]])</f>
        <v>1.2308341679835924</v>
      </c>
      <c r="PR44" s="27">
        <f>PortfolioFrontier[[#This Row],[P108 Growth]]/PortfolioFrontier[[#This Row],[P108 HWM]]-1</f>
        <v>-7.3418267098037671E-3</v>
      </c>
      <c r="PS44" s="28">
        <f>SUMPRODUCT(INDEX(PortfolioRef[[SPY]:[PE]],MATCH(PS$1,PortfolioRef[Reference '#]),0),AssetMonthlyReturns[[#This Row],[SPY]:[PE]])</f>
        <v>-3.349027338755339E-3</v>
      </c>
      <c r="PT44" s="27">
        <f>IF(ISNUMBER(PT43),PT43*(1+PortfolioFrontier[[#This Row],[P109 Return]]),1+PortfolioFrontier[[#This Row],[P109 Return]])</f>
        <v>1.248493732443368</v>
      </c>
      <c r="PU44" s="27">
        <f>MAX(PU43,PortfolioFrontier[[#This Row],[P109 Growth]])</f>
        <v>1.2526890222257607</v>
      </c>
      <c r="PV44" s="27">
        <f>PortfolioFrontier[[#This Row],[P109 Growth]]/PortfolioFrontier[[#This Row],[P109 HWM]]-1</f>
        <v>-3.349027338755306E-3</v>
      </c>
      <c r="PW44" s="28">
        <f>SUMPRODUCT(INDEX(PortfolioRef[[SPY]:[PE]],MATCH(PW$1,PortfolioRef[Reference '#]),0),AssetMonthlyReturns[[#This Row],[SPY]:[PE]])</f>
        <v>-5.0859915111806427E-3</v>
      </c>
      <c r="PX44" s="27">
        <f>IF(ISNUMBER(PX43),PX43*(1+PortfolioFrontier[[#This Row],[P110 Return]]),1+PortfolioFrontier[[#This Row],[P110 Return]])</f>
        <v>1.2311065837046864</v>
      </c>
      <c r="PY44" s="27">
        <f>MAX(PY43,PortfolioFrontier[[#This Row],[P110 Growth]])</f>
        <v>1.2373999895474597</v>
      </c>
      <c r="PZ44" s="27">
        <f>PortfolioFrontier[[#This Row],[P110 Growth]]/PortfolioFrontier[[#This Row],[P110 HWM]]-1</f>
        <v>-5.0859915111804987E-3</v>
      </c>
      <c r="QA44" s="28">
        <f>SUMPRODUCT(INDEX(PortfolioRef[[SPY]:[PE]],MATCH(QA$1,PortfolioRef[Reference '#]),0),AssetMonthlyReturns[[#This Row],[SPY]:[PE]])</f>
        <v>-6.8229556836059465E-3</v>
      </c>
      <c r="QB44" s="27">
        <f>IF(ISNUMBER(QB43),QB43*(1+PortfolioFrontier[[#This Row],[P111 Return]]),1+PortfolioFrontier[[#This Row],[P111 Return]])</f>
        <v>1.2137611594561399</v>
      </c>
      <c r="QC44" s="27">
        <f>MAX(QC43,PortfolioFrontier[[#This Row],[P111 Growth]])</f>
        <v>1.2220994901181736</v>
      </c>
      <c r="QD44" s="27">
        <f>PortfolioFrontier[[#This Row],[P111 Growth]]/PortfolioFrontier[[#This Row],[P111 HWM]]-1</f>
        <v>-6.8229556836059135E-3</v>
      </c>
      <c r="QE44" s="28">
        <f>SUMPRODUCT(INDEX(PortfolioRef[[SPY]:[PE]],MATCH(QE$1,PortfolioRef[Reference '#]),0),AssetMonthlyReturns[[#This Row],[SPY]:[PE]])</f>
        <v>-1.0931921401322374E-3</v>
      </c>
      <c r="QF44" s="27">
        <f>IF(ISNUMBER(QF43),QF43*(1+PortfolioFrontier[[#This Row],[P112 Return]]),1+PortfolioFrontier[[#This Row],[P112 Return]])</f>
        <v>1.2575875598485617</v>
      </c>
      <c r="QG44" s="27">
        <f>MAX(QG43,PortfolioFrontier[[#This Row],[P112 Growth]])</f>
        <v>1.2589638492332542</v>
      </c>
      <c r="QH44" s="27">
        <f>PortfolioFrontier[[#This Row],[P112 Growth]]/PortfolioFrontier[[#This Row],[P112 HWM]]-1</f>
        <v>-1.0931921401322597E-3</v>
      </c>
      <c r="QI44" s="28">
        <f>SUMPRODUCT(INDEX(PortfolioRef[[SPY]:[PE]],MATCH(QI$1,PortfolioRef[Reference '#]),0),AssetMonthlyReturns[[#This Row],[SPY]:[PE]])</f>
        <v>-2.830156312557541E-3</v>
      </c>
      <c r="QJ44" s="27">
        <f>IF(ISNUMBER(QJ43),QJ43*(1+PortfolioFrontier[[#This Row],[P113 Return]]),1+PortfolioFrontier[[#This Row],[P113 Return]])</f>
        <v>1.2402053276337213</v>
      </c>
      <c r="QK44" s="27">
        <f>MAX(QK43,PortfolioFrontier[[#This Row],[P113 Growth]])</f>
        <v>1.2437252645422527</v>
      </c>
      <c r="QL44" s="27">
        <f>PortfolioFrontier[[#This Row],[P113 Growth]]/PortfolioFrontier[[#This Row],[P113 HWM]]-1</f>
        <v>-2.8301563125574525E-3</v>
      </c>
      <c r="QM44" s="28">
        <f>SUMPRODUCT(INDEX(PortfolioRef[[SPY]:[PE]],MATCH(QM$1,PortfolioRef[Reference '#]),0),AssetMonthlyReturns[[#This Row],[SPY]:[PE]])</f>
        <v>-4.5671204849828447E-3</v>
      </c>
      <c r="QN44" s="27">
        <f>IF(ISNUMBER(QN43),QN43*(1+PortfolioFrontier[[#This Row],[P114 Return]]),1+PortfolioFrontier[[#This Row],[P114 Return]])</f>
        <v>1.2228615284585855</v>
      </c>
      <c r="QO44" s="27">
        <f>MAX(QO43,PortfolioFrontier[[#This Row],[P114 Growth]])</f>
        <v>1.2284721085909613</v>
      </c>
      <c r="QP44" s="27">
        <f>PortfolioFrontier[[#This Row],[P114 Growth]]/PortfolioFrontier[[#This Row],[P114 HWM]]-1</f>
        <v>-4.5671204849827562E-3</v>
      </c>
      <c r="QQ44" s="28">
        <f>SUMPRODUCT(INDEX(PortfolioRef[[SPY]:[PE]],MATCH(QQ$1,PortfolioRef[Reference '#]),0),AssetMonthlyReturns[[#This Row],[SPY]:[PE]])</f>
        <v>-4.7419141841680557E-3</v>
      </c>
      <c r="QR44" s="27">
        <f>IF(ISNUMBER(QR43),QR43*(1+PortfolioFrontier[[#This Row],[P115 Return]]),1+PortfolioFrontier[[#This Row],[P115 Return]])</f>
        <v>1.2498220472150814</v>
      </c>
      <c r="QS44" s="27">
        <f>MAX(QS43,PortfolioFrontier[[#This Row],[P115 Growth]])</f>
        <v>1.2557768331925467</v>
      </c>
      <c r="QT44" s="27">
        <f>PortfolioFrontier[[#This Row],[P115 Growth]]/PortfolioFrontier[[#This Row],[P115 HWM]]-1</f>
        <v>-4.7419141841680279E-3</v>
      </c>
      <c r="QU44" s="28">
        <f>SUMPRODUCT(INDEX(PortfolioRef[[SPY]:[PE]],MATCH(QU$1,PortfolioRef[Reference '#]),0),AssetMonthlyReturns[[#This Row],[SPY]:[PE]])</f>
        <v>-6.4788783565933594E-3</v>
      </c>
      <c r="QV44" s="27">
        <f>IF(ISNUMBER(QV43),QV43*(1+PortfolioFrontier[[#This Row],[P116 Return]]),1+PortfolioFrontier[[#This Row],[P116 Return]])</f>
        <v>1.2324379549688098</v>
      </c>
      <c r="QW44" s="27">
        <f>MAX(QW43,PortfolioFrontier[[#This Row],[P116 Growth]])</f>
        <v>1.2404748405652466</v>
      </c>
      <c r="QX44" s="27">
        <f>PortfolioFrontier[[#This Row],[P116 Growth]]/PortfolioFrontier[[#This Row],[P116 HWM]]-1</f>
        <v>-6.4788783565933317E-3</v>
      </c>
      <c r="QY44" s="28">
        <f>SUMPRODUCT(INDEX(PortfolioRef[[SPY]:[PE]],MATCH(QY$1,PortfolioRef[Reference '#]),0),AssetMonthlyReturns[[#This Row],[SPY]:[PE]])</f>
        <v>-8.2158425290186632E-3</v>
      </c>
      <c r="QZ44" s="27">
        <f>IF(ISNUMBER(QZ43),QZ43*(1+PortfolioFrontier[[#This Row],[P117 Return]]),1+PortfolioFrontier[[#This Row],[P117 Return]])</f>
        <v>1.2150950836873247</v>
      </c>
      <c r="RA44" s="27">
        <f>MAX(RA43,PortfolioFrontier[[#This Row],[P117 Growth]])</f>
        <v>1.2251608119913704</v>
      </c>
      <c r="RB44" s="27">
        <f>PortfolioFrontier[[#This Row],[P117 Growth]]/PortfolioFrontier[[#This Row],[P117 HWM]]-1</f>
        <v>-8.2158425290186354E-3</v>
      </c>
      <c r="RC44" s="28">
        <f>SUMPRODUCT(INDEX(PortfolioRef[[SPY]:[PE]],MATCH(RC$1,PortfolioRef[Reference '#]),0),AssetMonthlyReturns[[#This Row],[SPY]:[PE]])</f>
        <v>-2.4860789855449539E-3</v>
      </c>
      <c r="RD44" s="27">
        <f>IF(ISNUMBER(RD43),RD43*(1+PortfolioFrontier[[#This Row],[P118 Return]]),1+PortfolioFrontier[[#This Row],[P118 Return]])</f>
        <v>1.2590434902550807</v>
      </c>
      <c r="RE44" s="27">
        <f>MAX(RE43,PortfolioFrontier[[#This Row],[P118 Growth]])</f>
        <v>1.2621813728420497</v>
      </c>
      <c r="RF44" s="27">
        <f>PortfolioFrontier[[#This Row],[P118 Growth]]/PortfolioFrontier[[#This Row],[P118 HWM]]-1</f>
        <v>-2.4860789855450927E-3</v>
      </c>
      <c r="RG44" s="28">
        <f>SUMPRODUCT(INDEX(PortfolioRef[[SPY]:[PE]],MATCH(RG$1,PortfolioRef[Reference '#]),0),AssetMonthlyReturns[[#This Row],[SPY]:[PE]])</f>
        <v>-4.2230431579702576E-3</v>
      </c>
      <c r="RH44" s="27">
        <f>IF(ISNUMBER(RH43),RH43*(1+PortfolioFrontier[[#This Row],[P119 Return]]),1+PortfolioFrontier[[#This Row],[P119 Return]])</f>
        <v>1.2416628711858093</v>
      </c>
      <c r="RI44" s="27">
        <f>MAX(RI43,PortfolioFrontier[[#This Row],[P119 Growth]])</f>
        <v>1.2469287049216053</v>
      </c>
      <c r="RJ44" s="27">
        <f>PortfolioFrontier[[#This Row],[P119 Growth]]/PortfolioFrontier[[#This Row],[P119 HWM]]-1</f>
        <v>-4.2230431579703964E-3</v>
      </c>
      <c r="RK44" s="28">
        <f>SUMPRODUCT(INDEX(PortfolioRef[[SPY]:[PE]],MATCH(RK$1,PortfolioRef[Reference '#]),0),AssetMonthlyReturns[[#This Row],[SPY]:[PE]])</f>
        <v>-5.9600073303955614E-3</v>
      </c>
      <c r="RL44" s="27">
        <f>IF(ISNUMBER(RL43),RL43*(1+PortfolioFrontier[[#This Row],[P120 Return]]),1+PortfolioFrontier[[#This Row],[P120 Return]])</f>
        <v>1.2243201828233579</v>
      </c>
      <c r="RM44" s="27">
        <f>MAX(RM43,PortfolioFrontier[[#This Row],[P120 Growth]])</f>
        <v>1.2316608907608542</v>
      </c>
      <c r="RN44" s="27">
        <f>PortfolioFrontier[[#This Row],[P120 Growth]]/PortfolioFrontier[[#This Row],[P120 HWM]]-1</f>
        <v>-5.9600073303955892E-3</v>
      </c>
      <c r="RO44" s="28">
        <f>SUMPRODUCT(INDEX(PortfolioRef[[SPY]:[PE]],MATCH(RO$1,PortfolioRef[Reference '#]),0),AssetMonthlyReturns[[#This Row],[SPY]:[PE]])</f>
        <v>-2.302437869218521E-4</v>
      </c>
      <c r="RP44" s="27">
        <f>IF(ISNUMBER(RP43),RP43*(1+PortfolioFrontier[[#This Row],[P121 Return]]),1+PortfolioFrontier[[#This Row],[P121 Return]])</f>
        <v>1.2680451586109898</v>
      </c>
      <c r="RQ44" s="27">
        <f>MAX(RQ43,PortfolioFrontier[[#This Row],[P121 Growth]])</f>
        <v>1.2683371853676426</v>
      </c>
      <c r="RR44" s="27">
        <f>PortfolioFrontier[[#This Row],[P121 Growth]]/PortfolioFrontier[[#This Row],[P121 HWM]]-1</f>
        <v>-2.3024378692182434E-4</v>
      </c>
      <c r="RS44" s="28">
        <f>SUMPRODUCT(INDEX(PortfolioRef[[SPY]:[PE]],MATCH(RS$1,PortfolioRef[Reference '#]),0),AssetMonthlyReturns[[#This Row],[SPY]:[PE]])</f>
        <v>-1.9672079593471559E-3</v>
      </c>
      <c r="RT44" s="27">
        <f>IF(ISNUMBER(RT43),RT43*(1+PortfolioFrontier[[#This Row],[P122 Return]]),1+PortfolioFrontier[[#This Row],[P122 Return]])</f>
        <v>1.2506730067559919</v>
      </c>
      <c r="RU44" s="27">
        <f>MAX(RU43,PortfolioFrontier[[#This Row],[P122 Growth]])</f>
        <v>1.2531381901778718</v>
      </c>
      <c r="RV44" s="27">
        <f>PortfolioFrontier[[#This Row],[P122 Growth]]/PortfolioFrontier[[#This Row],[P122 HWM]]-1</f>
        <v>-1.9672079593472391E-3</v>
      </c>
      <c r="RW44" s="28">
        <f>SUMPRODUCT(INDEX(PortfolioRef[[SPY]:[PE]],MATCH(RW$1,PortfolioRef[Reference '#]),0),AssetMonthlyReturns[[#This Row],[SPY]:[PE]])</f>
        <v>-3.7041721317724596E-3</v>
      </c>
      <c r="RX44" s="27">
        <f>IF(ISNUMBER(RX43),RX43*(1+PortfolioFrontier[[#This Row],[P123 Return]]),1+PortfolioFrontier[[#This Row],[P123 Return]])</f>
        <v>1.2333354486777368</v>
      </c>
      <c r="RY44" s="27">
        <f>MAX(RY43,PortfolioFrontier[[#This Row],[P123 Growth]])</f>
        <v>1.2379209208541027</v>
      </c>
      <c r="RZ44" s="27">
        <f>PortfolioFrontier[[#This Row],[P123 Growth]]/PortfolioFrontier[[#This Row],[P123 HWM]]-1</f>
        <v>-3.7041721317724319E-3</v>
      </c>
      <c r="SA44" s="28">
        <f>SUMPRODUCT(INDEX(PortfolioRef[[SPY]:[PE]],MATCH(SA$1,PortfolioRef[Reference '#]),0),AssetMonthlyReturns[[#This Row],[SPY]:[PE]])</f>
        <v>-3.8789658309576706E-3</v>
      </c>
      <c r="SB44" s="27">
        <f>IF(ISNUMBER(SB43),SB43*(1+PortfolioFrontier[[#This Row],[P124 Return]]),1+PortfolioFrontier[[#This Row],[P124 Return]])</f>
        <v>1.2603885547505098</v>
      </c>
      <c r="SC44" s="27">
        <f>MAX(SC43,PortfolioFrontier[[#This Row],[P124 Growth]])</f>
        <v>1.2652965970163634</v>
      </c>
      <c r="SD44" s="27">
        <f>PortfolioFrontier[[#This Row],[P124 Growth]]/PortfolioFrontier[[#This Row],[P124 HWM]]-1</f>
        <v>-3.8789658309578146E-3</v>
      </c>
      <c r="SE44" s="28">
        <f>SUMPRODUCT(INDEX(PortfolioRef[[SPY]:[PE]],MATCH(SE$1,PortfolioRef[Reference '#]),0),AssetMonthlyReturns[[#This Row],[SPY]:[PE]])</f>
        <v>-5.6159300033829743E-3</v>
      </c>
      <c r="SF44" s="27">
        <f>IF(ISNUMBER(SF43),SF43*(1+PortfolioFrontier[[#This Row],[P125 Return]]),1+PortfolioFrontier[[#This Row],[P125 Return]])</f>
        <v>1.2430109930405544</v>
      </c>
      <c r="SG44" s="27">
        <f>MAX(SG43,PortfolioFrontier[[#This Row],[P125 Growth]])</f>
        <v>1.250031080088384</v>
      </c>
      <c r="SH44" s="27">
        <f>PortfolioFrontier[[#This Row],[P125 Growth]]/PortfolioFrontier[[#This Row],[P125 HWM]]-1</f>
        <v>-5.6159300033830073E-3</v>
      </c>
      <c r="SI44" s="28">
        <f>SUMPRODUCT(INDEX(PortfolioRef[[SPY]:[PE]],MATCH(SI$1,PortfolioRef[Reference '#]),0),AssetMonthlyReturns[[#This Row],[SPY]:[PE]])</f>
        <v>-7.3528941758082781E-3</v>
      </c>
      <c r="SJ44" s="27">
        <f>IF(ISNUMBER(SJ43),SJ43*(1+PortfolioFrontier[[#This Row],[P126 Return]]),1+PortfolioFrontier[[#This Row],[P126 Return]])</f>
        <v>1.2256708573883182</v>
      </c>
      <c r="SK44" s="27">
        <f>MAX(SK43,PortfolioFrontier[[#This Row],[P126 Growth]])</f>
        <v>1.2347498423124375</v>
      </c>
      <c r="SL44" s="27">
        <f>PortfolioFrontier[[#This Row],[P126 Growth]]/PortfolioFrontier[[#This Row],[P126 HWM]]-1</f>
        <v>-7.3528941758083111E-3</v>
      </c>
      <c r="SM44" s="28">
        <f>SUMPRODUCT(INDEX(PortfolioRef[[SPY]:[PE]],MATCH(SM$1,PortfolioRef[Reference '#]),0),AssetMonthlyReturns[[#This Row],[SPY]:[PE]])</f>
        <v>-1.6231306323345688E-3</v>
      </c>
      <c r="SN44" s="27">
        <f>IF(ISNUMBER(SN43),SN43*(1+PortfolioFrontier[[#This Row],[P127 Return]]),1+PortfolioFrontier[[#This Row],[P127 Return]])</f>
        <v>1.2695188376970687</v>
      </c>
      <c r="SO44" s="27">
        <f>MAX(SO43,PortfolioFrontier[[#This Row],[P127 Growth]])</f>
        <v>1.2715827826631585</v>
      </c>
      <c r="SP44" s="27">
        <f>PortfolioFrontier[[#This Row],[P127 Growth]]/PortfolioFrontier[[#This Row],[P127 HWM]]-1</f>
        <v>-1.6231306323345462E-3</v>
      </c>
      <c r="SQ44" s="28">
        <f>SUMPRODUCT(INDEX(PortfolioRef[[SPY]:[PE]],MATCH(SQ$1,PortfolioRef[Reference '#]),0),AssetMonthlyReturns[[#This Row],[SPY]:[PE]])</f>
        <v>-3.3600948047598726E-3</v>
      </c>
      <c r="SR44" s="27">
        <f>IF(ISNUMBER(SR43),SR43*(1+PortfolioFrontier[[#This Row],[P128 Return]]),1+PortfolioFrontier[[#This Row],[P128 Return]])</f>
        <v>1.2521483000205111</v>
      </c>
      <c r="SS44" s="27">
        <f>MAX(SS43,PortfolioFrontier[[#This Row],[P128 Growth]])</f>
        <v>1.2563698217313677</v>
      </c>
      <c r="ST44" s="27">
        <f>PortfolioFrontier[[#This Row],[P128 Growth]]/PortfolioFrontier[[#This Row],[P128 HWM]]-1</f>
        <v>-3.360094804759739E-3</v>
      </c>
      <c r="SU44" s="28">
        <f>SUMPRODUCT(INDEX(PortfolioRef[[SPY]:[PE]],MATCH(SU$1,PortfolioRef[Reference '#]),0),AssetMonthlyReturns[[#This Row],[SPY]:[PE]])</f>
        <v>-5.0970589771851763E-3</v>
      </c>
      <c r="SV44" s="27">
        <f>IF(ISNUMBER(SV43),SV43*(1+PortfolioFrontier[[#This Row],[P129 Return]]),1+PortfolioFrontier[[#This Row],[P129 Return]])</f>
        <v>1.2348118524368377</v>
      </c>
      <c r="SW44" s="27">
        <f>MAX(SW43,PortfolioFrontier[[#This Row],[P129 Growth]])</f>
        <v>1.2411380060525132</v>
      </c>
      <c r="SX44" s="27">
        <f>PortfolioFrontier[[#This Row],[P129 Growth]]/PortfolioFrontier[[#This Row],[P129 HWM]]-1</f>
        <v>-5.0970589771850427E-3</v>
      </c>
      <c r="SY44" s="28">
        <f>SUMPRODUCT(INDEX(PortfolioRef[[SPY]:[PE]],MATCH(SY$1,PortfolioRef[Reference '#]),0),AssetMonthlyReturns[[#This Row],[SPY]:[PE]])</f>
        <v>6.3270456628853299E-4</v>
      </c>
      <c r="SZ44" s="27">
        <f>IF(ISNUMBER(SZ43),SZ43*(1+PortfolioFrontier[[#This Row],[P130 Return]]),1+PortfolioFrontier[[#This Row],[P130 Return]])</f>
        <v>1.2784247605712113</v>
      </c>
      <c r="TA44" s="27">
        <f>MAX(TA43,PortfolioFrontier[[#This Row],[P130 Growth]])</f>
        <v>1.2784247605712113</v>
      </c>
      <c r="TB44" s="27">
        <f>PortfolioFrontier[[#This Row],[P130 Growth]]/PortfolioFrontier[[#This Row],[P130 HWM]]-1</f>
        <v>0</v>
      </c>
      <c r="TC44" s="28">
        <f>SUMPRODUCT(INDEX(PortfolioRef[[SPY]:[PE]],MATCH(TC$1,PortfolioRef[Reference '#]),0),AssetMonthlyReturns[[#This Row],[SPY]:[PE]])</f>
        <v>-1.1042596061367708E-3</v>
      </c>
      <c r="TD44" s="27">
        <f>IF(ISNUMBER(TD43),TD43*(1+PortfolioFrontier[[#This Row],[P131 Return]]),1+PortfolioFrontier[[#This Row],[P131 Return]])</f>
        <v>1.2610662752633535</v>
      </c>
      <c r="TE44" s="27">
        <f>MAX(TE43,PortfolioFrontier[[#This Row],[P131 Growth]])</f>
        <v>1.2624603592424137</v>
      </c>
      <c r="TF44" s="27">
        <f>PortfolioFrontier[[#This Row],[P131 Growth]]/PortfolioFrontier[[#This Row],[P131 HWM]]-1</f>
        <v>-1.1042596061366927E-3</v>
      </c>
      <c r="TG44" s="28">
        <f>SUMPRODUCT(INDEX(PortfolioRef[[SPY]:[PE]],MATCH(TG$1,PortfolioRef[Reference '#]),0),AssetMonthlyReturns[[#This Row],[SPY]:[PE]])</f>
        <v>-2.8412237785620745E-3</v>
      </c>
      <c r="TH44" s="27">
        <f>IF(ISNUMBER(TH43),TH43*(1+PortfolioFrontier[[#This Row],[P132 Return]]),1+PortfolioFrontier[[#This Row],[P132 Return]])</f>
        <v>1.2437384984632702</v>
      </c>
      <c r="TI44" s="27">
        <f>MAX(TI43,PortfolioFrontier[[#This Row],[P132 Growth]])</f>
        <v>1.2472823066113943</v>
      </c>
      <c r="TJ44" s="27">
        <f>PortfolioFrontier[[#This Row],[P132 Growth]]/PortfolioFrontier[[#This Row],[P132 HWM]]-1</f>
        <v>-2.8412237785621075E-3</v>
      </c>
      <c r="TK44" s="28">
        <f>SUMPRODUCT(INDEX(PortfolioRef[[SPY]:[PE]],MATCH(TK$1,PortfolioRef[Reference '#]),0),AssetMonthlyReturns[[#This Row],[SPY]:[PE]])</f>
        <v>-3.0160174777472846E-3</v>
      </c>
      <c r="TL44" s="27">
        <f>IF(ISNUMBER(TL43),TL43*(1+PortfolioFrontier[[#This Row],[P133 Return]]),1+PortfolioFrontier[[#This Row],[P133 Return]])</f>
        <v>1.2708808298329208</v>
      </c>
      <c r="TM44" s="27">
        <f>MAX(TM43,PortfolioFrontier[[#This Row],[P133 Growth]])</f>
        <v>1.2747254239910064</v>
      </c>
      <c r="TN44" s="27">
        <f>PortfolioFrontier[[#This Row],[P133 Growth]]/PortfolioFrontier[[#This Row],[P133 HWM]]-1</f>
        <v>-3.0160174777471571E-3</v>
      </c>
      <c r="TO44" s="28">
        <f>SUMPRODUCT(INDEX(PortfolioRef[[SPY]:[PE]],MATCH(TO$1,PortfolioRef[Reference '#]),0),AssetMonthlyReturns[[#This Row],[SPY]:[PE]])</f>
        <v>-4.7529816501725884E-3</v>
      </c>
      <c r="TP44" s="27">
        <f>IF(ISNUMBER(TP43),TP43*(1+PortfolioFrontier[[#This Row],[P134 Return]]),1+PortfolioFrontier[[#This Row],[P134 Return]])</f>
        <v>1.2535133490354367</v>
      </c>
      <c r="TQ44" s="27">
        <f>MAX(TQ43,PortfolioFrontier[[#This Row],[P134 Growth]])</f>
        <v>1.2594997281316438</v>
      </c>
      <c r="TR44" s="27">
        <f>PortfolioFrontier[[#This Row],[P134 Growth]]/PortfolioFrontier[[#This Row],[P134 HWM]]-1</f>
        <v>-4.7529816501726829E-3</v>
      </c>
      <c r="TS44" s="28">
        <f>SUMPRODUCT(INDEX(PortfolioRef[[SPY]:[PE]],MATCH(TS$1,PortfolioRef[Reference '#]),0),AssetMonthlyReturns[[#This Row],[SPY]:[PE]])</f>
        <v>-6.4899458225978921E-3</v>
      </c>
      <c r="TT44" s="27">
        <f>IF(ISNUMBER(TT43),TT43*(1+PortfolioFrontier[[#This Row],[P135 Return]]),1+PortfolioFrontier[[#This Row],[P135 Return]])</f>
        <v>1.2361794526111975</v>
      </c>
      <c r="TU44" s="27">
        <f>MAX(TU43,PortfolioFrontier[[#This Row],[P135 Growth]])</f>
        <v>1.2442545975387422</v>
      </c>
      <c r="TV44" s="27">
        <f>PortfolioFrontier[[#This Row],[P135 Growth]]/PortfolioFrontier[[#This Row],[P135 HWM]]-1</f>
        <v>-6.4899458225977646E-3</v>
      </c>
      <c r="TW44" s="28">
        <f>SUMPRODUCT(INDEX(PortfolioRef[[SPY]:[PE]],MATCH(TW$1,PortfolioRef[Reference '#]),0),AssetMonthlyReturns[[#This Row],[SPY]:[PE]])</f>
        <v>-7.6018227912418284E-4</v>
      </c>
      <c r="TX44" s="27">
        <f>IF(ISNUMBER(TX43),TX43*(1+PortfolioFrontier[[#This Row],[P136 Return]]),1+PortfolioFrontier[[#This Row],[P136 Return]])</f>
        <v>1.2799163591174132</v>
      </c>
      <c r="TY44" s="27">
        <f>MAX(TY43,PortfolioFrontier[[#This Row],[P136 Growth]])</f>
        <v>1.2808900690494107</v>
      </c>
      <c r="TZ44" s="27">
        <f>PortfolioFrontier[[#This Row],[P136 Growth]]/PortfolioFrontier[[#This Row],[P136 HWM]]-1</f>
        <v>-7.6018227912422187E-4</v>
      </c>
      <c r="UA44" s="28">
        <f>SUMPRODUCT(INDEX(PortfolioRef[[SPY]:[PE]],MATCH(UA$1,PortfolioRef[Reference '#]),0),AssetMonthlyReturns[[#This Row],[SPY]:[PE]])</f>
        <v>-2.4971464515494866E-3</v>
      </c>
      <c r="UB44" s="27">
        <f>IF(ISNUMBER(UB43),UB43*(1+PortfolioFrontier[[#This Row],[P137 Return]]),1+PortfolioFrontier[[#This Row],[P137 Return]])</f>
        <v>1.2625594879275976</v>
      </c>
      <c r="UC44" s="27">
        <f>MAX(UC43,PortfolioFrontier[[#This Row],[P137 Growth]])</f>
        <v>1.2657201765751871</v>
      </c>
      <c r="UD44" s="27">
        <f>PortfolioFrontier[[#This Row],[P137 Growth]]/PortfolioFrontier[[#This Row],[P137 HWM]]-1</f>
        <v>-2.4971464515496367E-3</v>
      </c>
      <c r="UE44" s="28">
        <f>SUMPRODUCT(INDEX(PortfolioRef[[SPY]:[PE]],MATCH(UE$1,PortfolioRef[Reference '#]),0),AssetMonthlyReturns[[#This Row],[SPY]:[PE]])</f>
        <v>-4.2341106239747904E-3</v>
      </c>
      <c r="UF44" s="27">
        <f>IF(ISNUMBER(UF43),UF43*(1+PortfolioFrontier[[#This Row],[P138 Return]]),1+PortfolioFrontier[[#This Row],[P138 Return]])</f>
        <v>1.2452328202617557</v>
      </c>
      <c r="UG44" s="27">
        <f>MAX(UG43,PortfolioFrontier[[#This Row],[P138 Growth]])</f>
        <v>1.2505276928516336</v>
      </c>
      <c r="UH44" s="27">
        <f>PortfolioFrontier[[#This Row],[P138 Growth]]/PortfolioFrontier[[#This Row],[P138 HWM]]-1</f>
        <v>-4.2341106239748294E-3</v>
      </c>
      <c r="UI44" s="28">
        <f>SUMPRODUCT(INDEX(PortfolioRef[[SPY]:[PE]],MATCH(UI$1,PortfolioRef[Reference '#]),0),AssetMonthlyReturns[[#This Row],[SPY]:[PE]])</f>
        <v>1.4956529194989189E-3</v>
      </c>
      <c r="UJ44" s="27">
        <f>IF(ISNUMBER(UJ43),UJ43*(1+PortfolioFrontier[[#This Row],[P139 Return]]),1+PortfolioFrontier[[#This Row],[P139 Return]])</f>
        <v>1.2887229320416478</v>
      </c>
      <c r="UK44" s="27">
        <f>MAX(UK43,PortfolioFrontier[[#This Row],[P139 Growth]])</f>
        <v>1.2887229320416478</v>
      </c>
      <c r="UL44" s="27">
        <f>PortfolioFrontier[[#This Row],[P139 Growth]]/PortfolioFrontier[[#This Row],[P139 HWM]]-1</f>
        <v>0</v>
      </c>
      <c r="UM44" s="28">
        <f>SUMPRODUCT(INDEX(PortfolioRef[[SPY]:[PE]],MATCH(UM$1,PortfolioRef[Reference '#]),0),AssetMonthlyReturns[[#This Row],[SPY]:[PE]])</f>
        <v>-2.4131125292638483E-4</v>
      </c>
      <c r="UN44" s="27">
        <f>IF(ISNUMBER(UN43),UN43*(1+PortfolioFrontier[[#This Row],[P140 Return]]),1+PortfolioFrontier[[#This Row],[P140 Return]])</f>
        <v>1.2713817319123175</v>
      </c>
      <c r="UO44" s="27">
        <f>MAX(UO43,PortfolioFrontier[[#This Row],[P140 Growth]])</f>
        <v>1.2716886046828457</v>
      </c>
      <c r="UP44" s="27">
        <f>PortfolioFrontier[[#This Row],[P140 Growth]]/PortfolioFrontier[[#This Row],[P140 HWM]]-1</f>
        <v>-2.4131125292636835E-4</v>
      </c>
      <c r="UQ44" s="28">
        <f>SUMPRODUCT(INDEX(PortfolioRef[[SPY]:[PE]],MATCH(UQ$1,PortfolioRef[Reference '#]),0),AssetMonthlyReturns[[#This Row],[SPY]:[PE]])</f>
        <v>-1.9782754253516886E-3</v>
      </c>
      <c r="UR44" s="27">
        <f>IF(ISNUMBER(UR43),UR43*(1+PortfolioFrontier[[#This Row],[P141 Return]]),1+PortfolioFrontier[[#This Row],[P141 Return]])</f>
        <v>1.2540673099216655</v>
      </c>
      <c r="US44" s="27">
        <f>MAX(US43,PortfolioFrontier[[#This Row],[P141 Growth]])</f>
        <v>1.2565531180758038</v>
      </c>
      <c r="UT44" s="27">
        <f>PortfolioFrontier[[#This Row],[P141 Growth]]/PortfolioFrontier[[#This Row],[P141 HWM]]-1</f>
        <v>-1.9782754253516721E-3</v>
      </c>
    </row>
    <row r="45" spans="2:566" x14ac:dyDescent="0.2">
      <c r="B45" s="41">
        <f>AssetMonthlyReturns[[#This Row],[Date]]</f>
        <v>43739</v>
      </c>
      <c r="C45" s="28">
        <f>SUMPRODUCT(INDEX(PortfolioRef[[SPY]:[PE]],MATCH(C$1,PortfolioRef[Reference '#]),0),AssetMonthlyReturns[[#This Row],[SPY]:[PE]])</f>
        <v>1.8733481997277281E-2</v>
      </c>
      <c r="D45" s="29">
        <f>IF(ISNUMBER(D44),D44*(1+PortfolioFrontier[[#This Row],[P1 Return]]),1+PortfolioFrontier[[#This Row],[P1 Return]])</f>
        <v>1.3746317382464885</v>
      </c>
      <c r="E45" s="29">
        <f>MAX(E44,PortfolioFrontier[[#This Row],[P1 Growth]])</f>
        <v>1.3746317382464885</v>
      </c>
      <c r="F45" s="29">
        <f>PortfolioFrontier[[#This Row],[P1 Growth]]/PortfolioFrontier[[#This Row],[P1 HWM]]-1</f>
        <v>0</v>
      </c>
      <c r="G45" s="28">
        <f>SUMPRODUCT(INDEX(PortfolioRef[[SPY]:[PE]],MATCH(G$1,PortfolioRef[Reference '#]),0),AssetMonthlyReturns[[#This Row],[SPY]:[PE]])</f>
        <v>1.7498869455116185E-2</v>
      </c>
      <c r="H45" s="27">
        <f>IF(ISNUMBER(H44),H44*(1+PortfolioFrontier[[#This Row],[P2 Return]]),1+PortfolioFrontier[[#This Row],[P2 Return]])</f>
        <v>1.3516590259200902</v>
      </c>
      <c r="I45" s="27">
        <f>MAX(I44,PortfolioFrontier[[#This Row],[P2 Growth]])</f>
        <v>1.3516590259200902</v>
      </c>
      <c r="J45" s="27">
        <f>PortfolioFrontier[[#This Row],[P2 Growth]]/PortfolioFrontier[[#This Row],[P2 HWM]]-1</f>
        <v>0</v>
      </c>
      <c r="K45" s="28">
        <f>SUMPRODUCT(INDEX(PortfolioRef[[SPY]:[PE]],MATCH(K$1,PortfolioRef[Reference '#]),0),AssetMonthlyReturns[[#This Row],[SPY]:[PE]])</f>
        <v>1.8674027887804711E-2</v>
      </c>
      <c r="L45" s="27">
        <f>IF(ISNUMBER(L44),L44*(1+PortfolioFrontier[[#This Row],[P3 Return]]),1+PortfolioFrontier[[#This Row],[P3 Return]])</f>
        <v>1.3548905809565146</v>
      </c>
      <c r="M45" s="27">
        <f>MAX(M44,PortfolioFrontier[[#This Row],[P3 Growth]])</f>
        <v>1.3548905809565146</v>
      </c>
      <c r="N45" s="27">
        <f>PortfolioFrontier[[#This Row],[P3 Growth]]/PortfolioFrontier[[#This Row],[P3 HWM]]-1</f>
        <v>0</v>
      </c>
      <c r="O45" s="28">
        <f>SUMPRODUCT(INDEX(PortfolioRef[[SPY]:[PE]],MATCH(O$1,PortfolioRef[Reference '#]),0),AssetMonthlyReturns[[#This Row],[SPY]:[PE]])</f>
        <v>1.8360391633101825E-2</v>
      </c>
      <c r="P45" s="27">
        <f>IF(ISNUMBER(P44),P44*(1+PortfolioFrontier[[#This Row],[P4 Return]]),1+PortfolioFrontier[[#This Row],[P4 Return]])</f>
        <v>1.3640560090700806</v>
      </c>
      <c r="Q45" s="27">
        <f>MAX(Q44,PortfolioFrontier[[#This Row],[P4 Growth]])</f>
        <v>1.3640560090700806</v>
      </c>
      <c r="R45" s="27">
        <f>PortfolioFrontier[[#This Row],[P4 Growth]]/PortfolioFrontier[[#This Row],[P4 HWM]]-1</f>
        <v>0</v>
      </c>
      <c r="S45" s="28">
        <f>SUMPRODUCT(INDEX(PortfolioRef[[SPY]:[PE]],MATCH(S$1,PortfolioRef[Reference '#]),0),AssetMonthlyReturns[[#This Row],[SPY]:[PE]])</f>
        <v>1.6972410163906972E-2</v>
      </c>
      <c r="T45" s="27">
        <f>IF(ISNUMBER(T44),T44*(1+PortfolioFrontier[[#This Row],[P5 Return]]),1+PortfolioFrontier[[#This Row],[P5 Return]])</f>
        <v>1.3433870043255489</v>
      </c>
      <c r="U45" s="27">
        <f>MAX(U44,PortfolioFrontier[[#This Row],[P5 Growth]])</f>
        <v>1.3433870043255489</v>
      </c>
      <c r="V45" s="27">
        <f>PortfolioFrontier[[#This Row],[P5 Growth]]/PortfolioFrontier[[#This Row],[P5 HWM]]-1</f>
        <v>0</v>
      </c>
      <c r="W45" s="28">
        <f>SUMPRODUCT(INDEX(PortfolioRef[[SPY]:[PE]],MATCH(W$1,PortfolioRef[Reference '#]),0),AssetMonthlyReturns[[#This Row],[SPY]:[PE]])</f>
        <v>1.6264256912955091E-2</v>
      </c>
      <c r="X45" s="27">
        <f>IF(ISNUMBER(X44),X44*(1+PortfolioFrontier[[#This Row],[P6 Return]]),1+PortfolioFrontier[[#This Row],[P6 Return]])</f>
        <v>1.3288724080338137</v>
      </c>
      <c r="Y45" s="27">
        <f>MAX(Y44,PortfolioFrontier[[#This Row],[P6 Growth]])</f>
        <v>1.3288724080338137</v>
      </c>
      <c r="Z45" s="27">
        <f>PortfolioFrontier[[#This Row],[P6 Growth]]/PortfolioFrontier[[#This Row],[P6 HWM]]-1</f>
        <v>0</v>
      </c>
      <c r="AA45" s="28">
        <f>SUMPRODUCT(INDEX(PortfolioRef[[SPY]:[PE]],MATCH(AA$1,PortfolioRef[Reference '#]),0),AssetMonthlyReturns[[#This Row],[SPY]:[PE]])</f>
        <v>1.7439415345643618E-2</v>
      </c>
      <c r="AB45" s="27">
        <f>IF(ISNUMBER(AB44),AB44*(1+PortfolioFrontier[[#This Row],[P7 Return]]),1+PortfolioFrontier[[#This Row],[P7 Return]])</f>
        <v>1.3320270713339086</v>
      </c>
      <c r="AC45" s="27">
        <f>MAX(AC44,PortfolioFrontier[[#This Row],[P7 Growth]])</f>
        <v>1.3320270713339086</v>
      </c>
      <c r="AD45" s="27">
        <f>PortfolioFrontier[[#This Row],[P7 Growth]]/PortfolioFrontier[[#This Row],[P7 HWM]]-1</f>
        <v>0</v>
      </c>
      <c r="AE45" s="28">
        <f>SUMPRODUCT(INDEX(PortfolioRef[[SPY]:[PE]],MATCH(AE$1,PortfolioRef[Reference '#]),0),AssetMonthlyReturns[[#This Row],[SPY]:[PE]])</f>
        <v>1.7125779090940731E-2</v>
      </c>
      <c r="AF45" s="27">
        <f>IF(ISNUMBER(AF44),AF44*(1+PortfolioFrontier[[#This Row],[P8 Return]]),1+PortfolioFrontier[[#This Row],[P8 Return]])</f>
        <v>1.3411655863612706</v>
      </c>
      <c r="AG45" s="27">
        <f>MAX(AG44,PortfolioFrontier[[#This Row],[P8 Growth]])</f>
        <v>1.3411655863612706</v>
      </c>
      <c r="AH45" s="27">
        <f>PortfolioFrontier[[#This Row],[P8 Growth]]/PortfolioFrontier[[#This Row],[P8 HWM]]-1</f>
        <v>0</v>
      </c>
      <c r="AI45" s="28">
        <f>SUMPRODUCT(INDEX(PortfolioRef[[SPY]:[PE]],MATCH(AI$1,PortfolioRef[Reference '#]),0),AssetMonthlyReturns[[#This Row],[SPY]:[PE]])</f>
        <v>1.5737797621745878E-2</v>
      </c>
      <c r="AJ45" s="27">
        <f>IF(ISNUMBER(AJ44),AJ44*(1+PortfolioFrontier[[#This Row],[P9 Return]]),1+PortfolioFrontier[[#This Row],[P9 Return]])</f>
        <v>1.3207719692285294</v>
      </c>
      <c r="AK45" s="27">
        <f>MAX(AK44,PortfolioFrontier[[#This Row],[P9 Growth]])</f>
        <v>1.3207719692285294</v>
      </c>
      <c r="AL45" s="27">
        <f>PortfolioFrontier[[#This Row],[P9 Growth]]/PortfolioFrontier[[#This Row],[P9 HWM]]-1</f>
        <v>0</v>
      </c>
      <c r="AM45" s="28">
        <f>SUMPRODUCT(INDEX(PortfolioRef[[SPY]:[PE]],MATCH(AM$1,PortfolioRef[Reference '#]),0),AssetMonthlyReturns[[#This Row],[SPY]:[PE]])</f>
        <v>1.8614573778332148E-2</v>
      </c>
      <c r="AN45" s="27">
        <f>IF(ISNUMBER(AN44),AN44*(1+PortfolioFrontier[[#This Row],[P10 Return]]),1+PortfolioFrontier[[#This Row],[P10 Return]])</f>
        <v>1.3350684917310096</v>
      </c>
      <c r="AO45" s="27">
        <f>MAX(AO44,PortfolioFrontier[[#This Row],[P10 Growth]])</f>
        <v>1.3350684917310096</v>
      </c>
      <c r="AP45" s="27">
        <f>PortfolioFrontier[[#This Row],[P10 Growth]]/PortfolioFrontier[[#This Row],[P10 HWM]]-1</f>
        <v>0</v>
      </c>
      <c r="AQ45" s="28">
        <f>SUMPRODUCT(INDEX(PortfolioRef[[SPY]:[PE]],MATCH(AQ$1,PortfolioRef[Reference '#]),0),AssetMonthlyReturns[[#This Row],[SPY]:[PE]])</f>
        <v>1.8300937523629258E-2</v>
      </c>
      <c r="AR45" s="27">
        <f>IF(ISNUMBER(AR44),AR44*(1+PortfolioFrontier[[#This Row],[P11 Return]]),1+PortfolioFrontier[[#This Row],[P11 Return]])</f>
        <v>1.3443540206112585</v>
      </c>
      <c r="AS45" s="27">
        <f>MAX(AS44,PortfolioFrontier[[#This Row],[P11 Growth]])</f>
        <v>1.3443540206112585</v>
      </c>
      <c r="AT45" s="27">
        <f>PortfolioFrontier[[#This Row],[P11 Growth]]/PortfolioFrontier[[#This Row],[P11 HWM]]-1</f>
        <v>0</v>
      </c>
      <c r="AU45" s="28">
        <f>SUMPRODUCT(INDEX(PortfolioRef[[SPY]:[PE]],MATCH(AU$1,PortfolioRef[Reference '#]),0),AssetMonthlyReturns[[#This Row],[SPY]:[PE]])</f>
        <v>1.6912956054434405E-2</v>
      </c>
      <c r="AV45" s="27">
        <f>IF(ISNUMBER(AV44),AV44*(1+PortfolioFrontier[[#This Row],[P12 Return]]),1+PortfolioFrontier[[#This Row],[P12 Return]])</f>
        <v>1.3239371299231042</v>
      </c>
      <c r="AW45" s="27">
        <f>MAX(AW44,PortfolioFrontier[[#This Row],[P12 Growth]])</f>
        <v>1.3239371299231042</v>
      </c>
      <c r="AX45" s="27">
        <f>PortfolioFrontier[[#This Row],[P12 Growth]]/PortfolioFrontier[[#This Row],[P12 HWM]]-1</f>
        <v>0</v>
      </c>
      <c r="AY45" s="28">
        <f>SUMPRODUCT(INDEX(PortfolioRef[[SPY]:[PE]],MATCH(AY$1,PortfolioRef[Reference '#]),0),AssetMonthlyReturns[[#This Row],[SPY]:[PE]])</f>
        <v>1.7987301268926371E-2</v>
      </c>
      <c r="AZ45" s="27">
        <f>IF(ISNUMBER(AZ44),AZ44*(1+PortfolioFrontier[[#This Row],[P13 Return]]),1+PortfolioFrontier[[#This Row],[P13 Return]])</f>
        <v>1.3533962701193938</v>
      </c>
      <c r="BA45" s="27">
        <f>MAX(BA44,PortfolioFrontier[[#This Row],[P13 Growth]])</f>
        <v>1.3533962701193938</v>
      </c>
      <c r="BB45" s="27">
        <f>PortfolioFrontier[[#This Row],[P13 Growth]]/PortfolioFrontier[[#This Row],[P13 HWM]]-1</f>
        <v>0</v>
      </c>
      <c r="BC45" s="28">
        <f>SUMPRODUCT(INDEX(PortfolioRef[[SPY]:[PE]],MATCH(BC$1,PortfolioRef[Reference '#]),0),AssetMonthlyReturns[[#This Row],[SPY]:[PE]])</f>
        <v>1.6599319799731515E-2</v>
      </c>
      <c r="BD45" s="27">
        <f>IF(ISNUMBER(BD44),BD44*(1+PortfolioFrontier[[#This Row],[P14 Return]]),1+PortfolioFrontier[[#This Row],[P14 Return]])</f>
        <v>1.3329833712163486</v>
      </c>
      <c r="BE45" s="27">
        <f>MAX(BE44,PortfolioFrontier[[#This Row],[P14 Growth]])</f>
        <v>1.3329833712163486</v>
      </c>
      <c r="BF45" s="27">
        <f>PortfolioFrontier[[#This Row],[P14 Growth]]/PortfolioFrontier[[#This Row],[P14 HWM]]-1</f>
        <v>0</v>
      </c>
      <c r="BG45" s="28">
        <f>SUMPRODUCT(INDEX(PortfolioRef[[SPY]:[PE]],MATCH(BG$1,PortfolioRef[Reference '#]),0),AssetMonthlyReturns[[#This Row],[SPY]:[PE]])</f>
        <v>1.5211338330536662E-2</v>
      </c>
      <c r="BH45" s="27">
        <f>IF(ISNUMBER(BH44),BH44*(1+PortfolioFrontier[[#This Row],[P15 Return]]),1+PortfolioFrontier[[#This Row],[P15 Return]])</f>
        <v>1.3126594373599287</v>
      </c>
      <c r="BI45" s="27">
        <f>MAX(BI44,PortfolioFrontier[[#This Row],[P15 Growth]])</f>
        <v>1.3126594373599287</v>
      </c>
      <c r="BJ45" s="27">
        <f>PortfolioFrontier[[#This Row],[P15 Growth]]/PortfolioFrontier[[#This Row],[P15 HWM]]-1</f>
        <v>0</v>
      </c>
      <c r="BK45" s="28">
        <f>SUMPRODUCT(INDEX(PortfolioRef[[SPY]:[PE]],MATCH(BK$1,PortfolioRef[Reference '#]),0),AssetMonthlyReturns[[#This Row],[SPY]:[PE]])</f>
        <v>1.5029644370793994E-2</v>
      </c>
      <c r="BL45" s="27">
        <f>IF(ISNUMBER(BL44),BL44*(1+PortfolioFrontier[[#This Row],[P16 Return]]),1+PortfolioFrontier[[#This Row],[P16 Return]])</f>
        <v>1.3062758714888485</v>
      </c>
      <c r="BM45" s="27">
        <f>MAX(BM44,PortfolioFrontier[[#This Row],[P16 Growth]])</f>
        <v>1.3062758714888485</v>
      </c>
      <c r="BN45" s="27">
        <f>PortfolioFrontier[[#This Row],[P16 Growth]]/PortfolioFrontier[[#This Row],[P16 HWM]]-1</f>
        <v>0</v>
      </c>
      <c r="BO45" s="28">
        <f>SUMPRODUCT(INDEX(PortfolioRef[[SPY]:[PE]],MATCH(BO$1,PortfolioRef[Reference '#]),0),AssetMonthlyReturns[[#This Row],[SPY]:[PE]])</f>
        <v>1.6204802803482521E-2</v>
      </c>
      <c r="BP45" s="27">
        <f>IF(ISNUMBER(BP44),BP44*(1+PortfolioFrontier[[#This Row],[P17 Return]]),1+PortfolioFrontier[[#This Row],[P17 Return]])</f>
        <v>1.3093551245650372</v>
      </c>
      <c r="BQ45" s="27">
        <f>MAX(BQ44,PortfolioFrontier[[#This Row],[P17 Growth]])</f>
        <v>1.3093551245650372</v>
      </c>
      <c r="BR45" s="27">
        <f>PortfolioFrontier[[#This Row],[P17 Growth]]/PortfolioFrontier[[#This Row],[P17 HWM]]-1</f>
        <v>0</v>
      </c>
      <c r="BS45" s="28">
        <f>SUMPRODUCT(INDEX(PortfolioRef[[SPY]:[PE]],MATCH(BS$1,PortfolioRef[Reference '#]),0),AssetMonthlyReturns[[#This Row],[SPY]:[PE]])</f>
        <v>1.5891166548779635E-2</v>
      </c>
      <c r="BT45" s="27">
        <f>IF(ISNUMBER(BT44),BT44*(1+PortfolioFrontier[[#This Row],[P18 Return]]),1+PortfolioFrontier[[#This Row],[P18 Return]])</f>
        <v>1.3184630658650123</v>
      </c>
      <c r="BU45" s="27">
        <f>MAX(BU44,PortfolioFrontier[[#This Row],[P18 Growth]])</f>
        <v>1.3184630658650123</v>
      </c>
      <c r="BV45" s="27">
        <f>PortfolioFrontier[[#This Row],[P18 Growth]]/PortfolioFrontier[[#This Row],[P18 HWM]]-1</f>
        <v>0</v>
      </c>
      <c r="BW45" s="28">
        <f>SUMPRODUCT(INDEX(PortfolioRef[[SPY]:[PE]],MATCH(BW$1,PortfolioRef[Reference '#]),0),AssetMonthlyReturns[[#This Row],[SPY]:[PE]])</f>
        <v>1.4503185079584782E-2</v>
      </c>
      <c r="BX45" s="27">
        <f>IF(ISNUMBER(BX44),BX44*(1+PortfolioFrontier[[#This Row],[P19 Return]]),1+PortfolioFrontier[[#This Row],[P19 Return]])</f>
        <v>1.29834457174442</v>
      </c>
      <c r="BY45" s="27">
        <f>MAX(BY44,PortfolioFrontier[[#This Row],[P19 Growth]])</f>
        <v>1.29834457174442</v>
      </c>
      <c r="BZ45" s="27">
        <f>PortfolioFrontier[[#This Row],[P19 Growth]]/PortfolioFrontier[[#This Row],[P19 HWM]]-1</f>
        <v>0</v>
      </c>
      <c r="CA45" s="28">
        <f>SUMPRODUCT(INDEX(PortfolioRef[[SPY]:[PE]],MATCH(CA$1,PortfolioRef[Reference '#]),0),AssetMonthlyReturns[[#This Row],[SPY]:[PE]])</f>
        <v>1.7379961236171051E-2</v>
      </c>
      <c r="CB45" s="27">
        <f>IF(ISNUMBER(CB44),CB44*(1+PortfolioFrontier[[#This Row],[P20 Return]]),1+PortfolioFrontier[[#This Row],[P20 Return]])</f>
        <v>1.3123228242145528</v>
      </c>
      <c r="CC45" s="27">
        <f>MAX(CC44,PortfolioFrontier[[#This Row],[P20 Growth]])</f>
        <v>1.3123228242145528</v>
      </c>
      <c r="CD45" s="27">
        <f>PortfolioFrontier[[#This Row],[P20 Growth]]/PortfolioFrontier[[#This Row],[P20 HWM]]-1</f>
        <v>0</v>
      </c>
      <c r="CE45" s="28">
        <f>SUMPRODUCT(INDEX(PortfolioRef[[SPY]:[PE]],MATCH(CE$1,PortfolioRef[Reference '#]),0),AssetMonthlyReturns[[#This Row],[SPY]:[PE]])</f>
        <v>1.7066324981468161E-2</v>
      </c>
      <c r="CF45" s="27">
        <f>IF(ISNUMBER(CF44),CF44*(1+PortfolioFrontier[[#This Row],[P21 Return]]),1+PortfolioFrontier[[#This Row],[P21 Return]])</f>
        <v>1.3215754391788455</v>
      </c>
      <c r="CG45" s="27">
        <f>MAX(CG44,PortfolioFrontier[[#This Row],[P21 Growth]])</f>
        <v>1.3215754391788455</v>
      </c>
      <c r="CH45" s="27">
        <f>PortfolioFrontier[[#This Row],[P21 Growth]]/PortfolioFrontier[[#This Row],[P21 HWM]]-1</f>
        <v>0</v>
      </c>
      <c r="CI45" s="28">
        <f>SUMPRODUCT(INDEX(PortfolioRef[[SPY]:[PE]],MATCH(CI$1,PortfolioRef[Reference '#]),0),AssetMonthlyReturns[[#This Row],[SPY]:[PE]])</f>
        <v>1.5678343512273308E-2</v>
      </c>
      <c r="CJ45" s="27">
        <f>IF(ISNUMBER(CJ44),CJ44*(1+PortfolioFrontier[[#This Row],[P22 Return]]),1+PortfolioFrontier[[#This Row],[P22 Return]])</f>
        <v>1.301434315010388</v>
      </c>
      <c r="CK45" s="27">
        <f>MAX(CK44,PortfolioFrontier[[#This Row],[P22 Growth]])</f>
        <v>1.301434315010388</v>
      </c>
      <c r="CL45" s="27">
        <f>PortfolioFrontier[[#This Row],[P22 Growth]]/PortfolioFrontier[[#This Row],[P22 HWM]]-1</f>
        <v>0</v>
      </c>
      <c r="CM45" s="28">
        <f>SUMPRODUCT(INDEX(PortfolioRef[[SPY]:[PE]],MATCH(CM$1,PortfolioRef[Reference '#]),0),AssetMonthlyReturns[[#This Row],[SPY]:[PE]])</f>
        <v>1.6752688726765278E-2</v>
      </c>
      <c r="CN45" s="27">
        <f>IF(ISNUMBER(CN44),CN44*(1+PortfolioFrontier[[#This Row],[P23 Return]]),1+PortfolioFrontier[[#This Row],[P23 Return]])</f>
        <v>1.3305909383412</v>
      </c>
      <c r="CO45" s="27">
        <f>MAX(CO44,PortfolioFrontier[[#This Row],[P23 Growth]])</f>
        <v>1.3305909383412</v>
      </c>
      <c r="CP45" s="27">
        <f>PortfolioFrontier[[#This Row],[P23 Growth]]/PortfolioFrontier[[#This Row],[P23 HWM]]-1</f>
        <v>0</v>
      </c>
      <c r="CQ45" s="28">
        <f>SUMPRODUCT(INDEX(PortfolioRef[[SPY]:[PE]],MATCH(CQ$1,PortfolioRef[Reference '#]),0),AssetMonthlyReturns[[#This Row],[SPY]:[PE]])</f>
        <v>1.5364707257570422E-2</v>
      </c>
      <c r="CR45" s="27">
        <f>IF(ISNUMBER(CR44),CR44*(1+PortfolioFrontier[[#This Row],[P24 Return]]),1+PortfolioFrontier[[#This Row],[P24 Return]])</f>
        <v>1.3104511990364855</v>
      </c>
      <c r="CS45" s="27">
        <f>MAX(CS44,PortfolioFrontier[[#This Row],[P24 Growth]])</f>
        <v>1.3104511990364855</v>
      </c>
      <c r="CT45" s="27">
        <f>PortfolioFrontier[[#This Row],[P24 Growth]]/PortfolioFrontier[[#This Row],[P24 HWM]]-1</f>
        <v>0</v>
      </c>
      <c r="CU45" s="28">
        <f>SUMPRODUCT(INDEX(PortfolioRef[[SPY]:[PE]],MATCH(CU$1,PortfolioRef[Reference '#]),0),AssetMonthlyReturns[[#This Row],[SPY]:[PE]])</f>
        <v>1.3976725788375569E-2</v>
      </c>
      <c r="CV45" s="27">
        <f>IF(ISNUMBER(CV44),CV44*(1+PortfolioFrontier[[#This Row],[P25 Return]]),1+PortfolioFrontier[[#This Row],[P25 Return]])</f>
        <v>1.2904010105934167</v>
      </c>
      <c r="CW45" s="27">
        <f>MAX(CW44,PortfolioFrontier[[#This Row],[P25 Growth]])</f>
        <v>1.2904010105934167</v>
      </c>
      <c r="CX45" s="27">
        <f>PortfolioFrontier[[#This Row],[P25 Growth]]/PortfolioFrontier[[#This Row],[P25 HWM]]-1</f>
        <v>0</v>
      </c>
      <c r="CY45" s="28">
        <f>SUMPRODUCT(INDEX(PortfolioRef[[SPY]:[PE]],MATCH(CY$1,PortfolioRef[Reference '#]),0),AssetMonthlyReturns[[#This Row],[SPY]:[PE]])</f>
        <v>1.8241483414156687E-2</v>
      </c>
      <c r="CZ45" s="27">
        <f>IF(ISNUMBER(CZ44),CZ44*(1+PortfolioFrontier[[#This Row],[P26 Return]]),1+PortfolioFrontier[[#This Row],[P26 Return]])</f>
        <v>1.3245753366916218</v>
      </c>
      <c r="DA45" s="27">
        <f>MAX(DA44,PortfolioFrontier[[#This Row],[P26 Growth]])</f>
        <v>1.3245753366916218</v>
      </c>
      <c r="DB45" s="27">
        <f>PortfolioFrontier[[#This Row],[P26 Growth]]/PortfolioFrontier[[#This Row],[P26 HWM]]-1</f>
        <v>0</v>
      </c>
      <c r="DC45" s="28">
        <f>SUMPRODUCT(INDEX(PortfolioRef[[SPY]:[PE]],MATCH(DC$1,PortfolioRef[Reference '#]),0),AssetMonthlyReturns[[#This Row],[SPY]:[PE]])</f>
        <v>1.6853501944961834E-2</v>
      </c>
      <c r="DD45" s="27">
        <f>IF(ISNUMBER(DD44),DD44*(1+PortfolioFrontier[[#This Row],[P27 Return]]),1+PortfolioFrontier[[#This Row],[P27 Return]])</f>
        <v>1.3044132620241282</v>
      </c>
      <c r="DE45" s="27">
        <f>MAX(DE44,PortfolioFrontier[[#This Row],[P27 Growth]])</f>
        <v>1.3044132620241282</v>
      </c>
      <c r="DF45" s="27">
        <f>PortfolioFrontier[[#This Row],[P27 Growth]]/PortfolioFrontier[[#This Row],[P27 HWM]]-1</f>
        <v>0</v>
      </c>
      <c r="DG45" s="28">
        <f>SUMPRODUCT(INDEX(PortfolioRef[[SPY]:[PE]],MATCH(DG$1,PortfolioRef[Reference '#]),0),AssetMonthlyReturns[[#This Row],[SPY]:[PE]])</f>
        <v>1.7927847159453805E-2</v>
      </c>
      <c r="DH45" s="27">
        <f>IF(ISNUMBER(DH44),DH44*(1+PortfolioFrontier[[#This Row],[P28 Return]]),1+PortfolioFrontier[[#This Row],[P28 Return]])</f>
        <v>1.3337365535027927</v>
      </c>
      <c r="DI45" s="27">
        <f>MAX(DI44,PortfolioFrontier[[#This Row],[P28 Growth]])</f>
        <v>1.3337365535027927</v>
      </c>
      <c r="DJ45" s="27">
        <f>PortfolioFrontier[[#This Row],[P28 Growth]]/PortfolioFrontier[[#This Row],[P28 HWM]]-1</f>
        <v>0</v>
      </c>
      <c r="DK45" s="28">
        <f>SUMPRODUCT(INDEX(PortfolioRef[[SPY]:[PE]],MATCH(DK$1,PortfolioRef[Reference '#]),0),AssetMonthlyReturns[[#This Row],[SPY]:[PE]])</f>
        <v>1.6539865690258948E-2</v>
      </c>
      <c r="DL45" s="27">
        <f>IF(ISNUMBER(DL44),DL44*(1+PortfolioFrontier[[#This Row],[P29 Return]]),1+PortfolioFrontier[[#This Row],[P29 Return]])</f>
        <v>1.3135741668750354</v>
      </c>
      <c r="DM45" s="27">
        <f>MAX(DM44,PortfolioFrontier[[#This Row],[P29 Growth]])</f>
        <v>1.3135741668750354</v>
      </c>
      <c r="DN45" s="27">
        <f>PortfolioFrontier[[#This Row],[P29 Growth]]/PortfolioFrontier[[#This Row],[P29 HWM]]-1</f>
        <v>0</v>
      </c>
      <c r="DO45" s="28">
        <f>SUMPRODUCT(INDEX(PortfolioRef[[SPY]:[PE]],MATCH(DO$1,PortfolioRef[Reference '#]),0),AssetMonthlyReturns[[#This Row],[SPY]:[PE]])</f>
        <v>1.5151884221064095E-2</v>
      </c>
      <c r="DP45" s="27">
        <f>IF(ISNUMBER(DP44),DP44*(1+PortfolioFrontier[[#This Row],[P30 Return]]),1+PortfolioFrontier[[#This Row],[P30 Return]])</f>
        <v>1.2935008517263602</v>
      </c>
      <c r="DQ45" s="27">
        <f>MAX(DQ44,PortfolioFrontier[[#This Row],[P30 Growth]])</f>
        <v>1.2935008517263602</v>
      </c>
      <c r="DR45" s="27">
        <f>PortfolioFrontier[[#This Row],[P30 Growth]]/PortfolioFrontier[[#This Row],[P30 HWM]]-1</f>
        <v>0</v>
      </c>
      <c r="DS45" s="28">
        <f>SUMPRODUCT(INDEX(PortfolioRef[[SPY]:[PE]],MATCH(DS$1,PortfolioRef[Reference '#]),0),AssetMonthlyReturns[[#This Row],[SPY]:[PE]])</f>
        <v>1.7614210904750915E-2</v>
      </c>
      <c r="DT45" s="27">
        <f>IF(ISNUMBER(DT44),DT44*(1+PortfolioFrontier[[#This Row],[P31 Return]]),1+PortfolioFrontier[[#This Row],[P31 Return]])</f>
        <v>1.3426556787016037</v>
      </c>
      <c r="DU45" s="27">
        <f>MAX(DU44,PortfolioFrontier[[#This Row],[P31 Growth]])</f>
        <v>1.3426556787016037</v>
      </c>
      <c r="DV45" s="27">
        <f>PortfolioFrontier[[#This Row],[P31 Growth]]/PortfolioFrontier[[#This Row],[P31 HWM]]-1</f>
        <v>0</v>
      </c>
      <c r="DW45" s="28">
        <f>SUMPRODUCT(INDEX(PortfolioRef[[SPY]:[PE]],MATCH(DW$1,PortfolioRef[Reference '#]),0),AssetMonthlyReturns[[#This Row],[SPY]:[PE]])</f>
        <v>1.6226229435556062E-2</v>
      </c>
      <c r="DX45" s="27">
        <f>IF(ISNUMBER(DX44),DX44*(1+PortfolioFrontier[[#This Row],[P32 Return]]),1+PortfolioFrontier[[#This Row],[P32 Return]])</f>
        <v>1.322498603725109</v>
      </c>
      <c r="DY45" s="27">
        <f>MAX(DY44,PortfolioFrontier[[#This Row],[P32 Growth]])</f>
        <v>1.322498603725109</v>
      </c>
      <c r="DZ45" s="27">
        <f>PortfolioFrontier[[#This Row],[P32 Growth]]/PortfolioFrontier[[#This Row],[P32 HWM]]-1</f>
        <v>0</v>
      </c>
      <c r="EA45" s="28">
        <f>SUMPRODUCT(INDEX(PortfolioRef[[SPY]:[PE]],MATCH(EA$1,PortfolioRef[Reference '#]),0),AssetMonthlyReturns[[#This Row],[SPY]:[PE]])</f>
        <v>1.4838247966361205E-2</v>
      </c>
      <c r="EB45" s="27">
        <f>IF(ISNUMBER(EB44),EB44*(1+PortfolioFrontier[[#This Row],[P33 Return]]),1+PortfolioFrontier[[#This Row],[P33 Return]])</f>
        <v>1.3024270003517826</v>
      </c>
      <c r="EC45" s="27">
        <f>MAX(EC44,PortfolioFrontier[[#This Row],[P33 Growth]])</f>
        <v>1.3024270003517826</v>
      </c>
      <c r="ED45" s="27">
        <f>PortfolioFrontier[[#This Row],[P33 Growth]]/PortfolioFrontier[[#This Row],[P33 HWM]]-1</f>
        <v>0</v>
      </c>
      <c r="EE45" s="28">
        <f>SUMPRODUCT(INDEX(PortfolioRef[[SPY]:[PE]],MATCH(EE$1,PortfolioRef[Reference '#]),0),AssetMonthlyReturns[[#This Row],[SPY]:[PE]])</f>
        <v>1.3795031828632898E-2</v>
      </c>
      <c r="EF45" s="27">
        <f>IF(ISNUMBER(EF44),EF44*(1+PortfolioFrontier[[#This Row],[P34 Return]]),1+PortfolioFrontier[[#This Row],[P34 Return]])</f>
        <v>1.2838732141724132</v>
      </c>
      <c r="EG45" s="27">
        <f>MAX(EG44,PortfolioFrontier[[#This Row],[P34 Growth]])</f>
        <v>1.2838732141724132</v>
      </c>
      <c r="EH45" s="27">
        <f>PortfolioFrontier[[#This Row],[P34 Growth]]/PortfolioFrontier[[#This Row],[P34 HWM]]-1</f>
        <v>0</v>
      </c>
      <c r="EI45" s="28">
        <f>SUMPRODUCT(INDEX(PortfolioRef[[SPY]:[PE]],MATCH(EI$1,PortfolioRef[Reference '#]),0),AssetMonthlyReturns[[#This Row],[SPY]:[PE]])</f>
        <v>1.4970190261321424E-2</v>
      </c>
      <c r="EJ45" s="27">
        <f>IF(ISNUMBER(EJ44),EJ44*(1+PortfolioFrontier[[#This Row],[P35 Return]]),1+PortfolioFrontier[[#This Row],[P35 Return]])</f>
        <v>1.2868785218140788</v>
      </c>
      <c r="EK45" s="27">
        <f>MAX(EK44,PortfolioFrontier[[#This Row],[P35 Growth]])</f>
        <v>1.2868785218140788</v>
      </c>
      <c r="EL45" s="27">
        <f>PortfolioFrontier[[#This Row],[P35 Growth]]/PortfolioFrontier[[#This Row],[P35 HWM]]-1</f>
        <v>0</v>
      </c>
      <c r="EM45" s="28">
        <f>SUMPRODUCT(INDEX(PortfolioRef[[SPY]:[PE]],MATCH(EM$1,PortfolioRef[Reference '#]),0),AssetMonthlyReturns[[#This Row],[SPY]:[PE]])</f>
        <v>1.4656554006618538E-2</v>
      </c>
      <c r="EN45" s="27">
        <f>IF(ISNUMBER(EN44),EN44*(1+PortfolioFrontier[[#This Row],[P36 Return]]),1+PortfolioFrontier[[#This Row],[P36 Return]])</f>
        <v>1.2959523559273929</v>
      </c>
      <c r="EO45" s="27">
        <f>MAX(EO44,PortfolioFrontier[[#This Row],[P36 Growth]])</f>
        <v>1.2959523559273929</v>
      </c>
      <c r="EP45" s="27">
        <f>PortfolioFrontier[[#This Row],[P36 Growth]]/PortfolioFrontier[[#This Row],[P36 HWM]]-1</f>
        <v>0</v>
      </c>
      <c r="EQ45" s="28">
        <f>SUMPRODUCT(INDEX(PortfolioRef[[SPY]:[PE]],MATCH(EQ$1,PortfolioRef[Reference '#]),0),AssetMonthlyReturns[[#This Row],[SPY]:[PE]])</f>
        <v>1.3268572537423685E-2</v>
      </c>
      <c r="ER45" s="27">
        <f>IF(ISNUMBER(ER44),ER44*(1+PortfolioFrontier[[#This Row],[P37 Return]]),1+PortfolioFrontier[[#This Row],[P37 Return]])</f>
        <v>1.2761086139431992</v>
      </c>
      <c r="ES45" s="27">
        <f>MAX(ES44,PortfolioFrontier[[#This Row],[P37 Growth]])</f>
        <v>1.2761086139431992</v>
      </c>
      <c r="ET45" s="27">
        <f>PortfolioFrontier[[#This Row],[P37 Growth]]/PortfolioFrontier[[#This Row],[P37 HWM]]-1</f>
        <v>0</v>
      </c>
      <c r="EU45" s="28">
        <f>SUMPRODUCT(INDEX(PortfolioRef[[SPY]:[PE]],MATCH(EU$1,PortfolioRef[Reference '#]),0),AssetMonthlyReturns[[#This Row],[SPY]:[PE]])</f>
        <v>1.6145348694009954E-2</v>
      </c>
      <c r="EV45" s="27">
        <f>IF(ISNUMBER(EV44),EV44*(1+PortfolioFrontier[[#This Row],[P38 Return]]),1+PortfolioFrontier[[#This Row],[P38 Return]])</f>
        <v>1.2897739559745993</v>
      </c>
      <c r="EW45" s="27">
        <f>MAX(EW44,PortfolioFrontier[[#This Row],[P38 Growth]])</f>
        <v>1.2897739559745993</v>
      </c>
      <c r="EX45" s="27">
        <f>PortfolioFrontier[[#This Row],[P38 Growth]]/PortfolioFrontier[[#This Row],[P38 HWM]]-1</f>
        <v>0</v>
      </c>
      <c r="EY45" s="28">
        <f>SUMPRODUCT(INDEX(PortfolioRef[[SPY]:[PE]],MATCH(EY$1,PortfolioRef[Reference '#]),0),AssetMonthlyReturns[[#This Row],[SPY]:[PE]])</f>
        <v>1.5831712439307064E-2</v>
      </c>
      <c r="EZ45" s="27">
        <f>IF(ISNUMBER(EZ44),EZ44*(1+PortfolioFrontier[[#This Row],[P39 Return]]),1+PortfolioFrontier[[#This Row],[P39 Return]])</f>
        <v>1.2989901411265516</v>
      </c>
      <c r="FA45" s="27">
        <f>MAX(FA44,PortfolioFrontier[[#This Row],[P39 Growth]])</f>
        <v>1.2989901411265516</v>
      </c>
      <c r="FB45" s="27">
        <f>PortfolioFrontier[[#This Row],[P39 Growth]]/PortfolioFrontier[[#This Row],[P39 HWM]]-1</f>
        <v>0</v>
      </c>
      <c r="FC45" s="28">
        <f>SUMPRODUCT(INDEX(PortfolioRef[[SPY]:[PE]],MATCH(FC$1,PortfolioRef[Reference '#]),0),AssetMonthlyReturns[[#This Row],[SPY]:[PE]])</f>
        <v>1.4443730970112211E-2</v>
      </c>
      <c r="FD45" s="27">
        <f>IF(ISNUMBER(FD44),FD44*(1+PortfolioFrontier[[#This Row],[P40 Return]]),1+PortfolioFrontier[[#This Row],[P40 Return]])</f>
        <v>1.2791243985356211</v>
      </c>
      <c r="FE45" s="27">
        <f>MAX(FE44,PortfolioFrontier[[#This Row],[P40 Growth]])</f>
        <v>1.2791243985356211</v>
      </c>
      <c r="FF45" s="27">
        <f>PortfolioFrontier[[#This Row],[P40 Growth]]/PortfolioFrontier[[#This Row],[P40 HWM]]-1</f>
        <v>0</v>
      </c>
      <c r="FG45" s="28">
        <f>SUMPRODUCT(INDEX(PortfolioRef[[SPY]:[PE]],MATCH(FG$1,PortfolioRef[Reference '#]),0),AssetMonthlyReturns[[#This Row],[SPY]:[PE]])</f>
        <v>1.5518076184604181E-2</v>
      </c>
      <c r="FH45" s="27">
        <f>IF(ISNUMBER(FH44),FH44*(1+PortfolioFrontier[[#This Row],[P41 Return]]),1+PortfolioFrontier[[#This Row],[P41 Return]])</f>
        <v>1.3079752640093405</v>
      </c>
      <c r="FI45" s="27">
        <f>MAX(FI44,PortfolioFrontier[[#This Row],[P41 Growth]])</f>
        <v>1.3079752640093405</v>
      </c>
      <c r="FJ45" s="27">
        <f>PortfolioFrontier[[#This Row],[P41 Growth]]/PortfolioFrontier[[#This Row],[P41 HWM]]-1</f>
        <v>0</v>
      </c>
      <c r="FK45" s="28">
        <f>SUMPRODUCT(INDEX(PortfolioRef[[SPY]:[PE]],MATCH(FK$1,PortfolioRef[Reference '#]),0),AssetMonthlyReturns[[#This Row],[SPY]:[PE]])</f>
        <v>1.4130094715409325E-2</v>
      </c>
      <c r="FL45" s="27">
        <f>IF(ISNUMBER(FL44),FL44*(1+PortfolioFrontier[[#This Row],[P42 Return]]),1+PortfolioFrontier[[#This Row],[P42 Return]])</f>
        <v>1.2881083943145448</v>
      </c>
      <c r="FM45" s="27">
        <f>MAX(FM44,PortfolioFrontier[[#This Row],[P42 Growth]])</f>
        <v>1.2881083943145448</v>
      </c>
      <c r="FN45" s="27">
        <f>PortfolioFrontier[[#This Row],[P42 Growth]]/PortfolioFrontier[[#This Row],[P42 HWM]]-1</f>
        <v>0</v>
      </c>
      <c r="FO45" s="28">
        <f>SUMPRODUCT(INDEX(PortfolioRef[[SPY]:[PE]],MATCH(FO$1,PortfolioRef[Reference '#]),0),AssetMonthlyReturns[[#This Row],[SPY]:[PE]])</f>
        <v>1.2742113246214472E-2</v>
      </c>
      <c r="FP45" s="27">
        <f>IF(ISNUMBER(FP44),FP44*(1+PortfolioFrontier[[#This Row],[P43 Return]]),1+PortfolioFrontier[[#This Row],[P43 Return]])</f>
        <v>1.2683315970698892</v>
      </c>
      <c r="FQ45" s="27">
        <f>MAX(FQ44,PortfolioFrontier[[#This Row],[P43 Growth]])</f>
        <v>1.2683315970698892</v>
      </c>
      <c r="FR45" s="27">
        <f>PortfolioFrontier[[#This Row],[P43 Growth]]/PortfolioFrontier[[#This Row],[P43 HWM]]-1</f>
        <v>0</v>
      </c>
      <c r="FS45" s="28">
        <f>SUMPRODUCT(INDEX(PortfolioRef[[SPY]:[PE]],MATCH(FS$1,PortfolioRef[Reference '#]),0),AssetMonthlyReturns[[#This Row],[SPY]:[PE]])</f>
        <v>1.7006870871995594E-2</v>
      </c>
      <c r="FT45" s="27">
        <f>IF(ISNUMBER(FT44),FT44*(1+PortfolioFrontier[[#This Row],[P44 Return]]),1+PortfolioFrontier[[#This Row],[P44 Return]])</f>
        <v>1.3019171354457588</v>
      </c>
      <c r="FU45" s="27">
        <f>MAX(FU44,PortfolioFrontier[[#This Row],[P44 Growth]])</f>
        <v>1.3019171354457588</v>
      </c>
      <c r="FV45" s="27">
        <f>PortfolioFrontier[[#This Row],[P44 Growth]]/PortfolioFrontier[[#This Row],[P44 HWM]]-1</f>
        <v>0</v>
      </c>
      <c r="FW45" s="28">
        <f>SUMPRODUCT(INDEX(PortfolioRef[[SPY]:[PE]],MATCH(FW$1,PortfolioRef[Reference '#]),0),AssetMonthlyReturns[[#This Row],[SPY]:[PE]])</f>
        <v>1.5618889402800741E-2</v>
      </c>
      <c r="FX45" s="27">
        <f>IF(ISNUMBER(FX44),FX44*(1+PortfolioFrontier[[#This Row],[P45 Return]]),1+PortfolioFrontier[[#This Row],[P45 Return]])</f>
        <v>1.2820310522484706</v>
      </c>
      <c r="FY45" s="27">
        <f>MAX(FY44,PortfolioFrontier[[#This Row],[P45 Growth]])</f>
        <v>1.2820310522484706</v>
      </c>
      <c r="FZ45" s="27">
        <f>PortfolioFrontier[[#This Row],[P45 Growth]]/PortfolioFrontier[[#This Row],[P45 HWM]]-1</f>
        <v>0</v>
      </c>
      <c r="GA45" s="28">
        <f>SUMPRODUCT(INDEX(PortfolioRef[[SPY]:[PE]],MATCH(GA$1,PortfolioRef[Reference '#]),0),AssetMonthlyReturns[[#This Row],[SPY]:[PE]])</f>
        <v>1.6693234617292708E-2</v>
      </c>
      <c r="GB45" s="27">
        <f>IF(ISNUMBER(GB44),GB44*(1+PortfolioFrontier[[#This Row],[P46 Return]]),1+PortfolioFrontier[[#This Row],[P46 Return]])</f>
        <v>1.311045648955236</v>
      </c>
      <c r="GC45" s="27">
        <f>MAX(GC44,PortfolioFrontier[[#This Row],[P46 Growth]])</f>
        <v>1.311045648955236</v>
      </c>
      <c r="GD45" s="27">
        <f>PortfolioFrontier[[#This Row],[P46 Growth]]/PortfolioFrontier[[#This Row],[P46 HWM]]-1</f>
        <v>0</v>
      </c>
      <c r="GE45" s="28">
        <f>SUMPRODUCT(INDEX(PortfolioRef[[SPY]:[PE]],MATCH(GE$1,PortfolioRef[Reference '#]),0),AssetMonthlyReturns[[#This Row],[SPY]:[PE]])</f>
        <v>1.5305253148097851E-2</v>
      </c>
      <c r="GF45" s="27">
        <f>IF(ISNUMBER(GF44),GF44*(1+PortfolioFrontier[[#This Row],[P47 Return]]),1+PortfolioFrontier[[#This Row],[P47 Return]])</f>
        <v>1.2911567617984732</v>
      </c>
      <c r="GG45" s="27">
        <f>MAX(GG44,PortfolioFrontier[[#This Row],[P47 Growth]])</f>
        <v>1.2911567617984732</v>
      </c>
      <c r="GH45" s="27">
        <f>PortfolioFrontier[[#This Row],[P47 Growth]]/PortfolioFrontier[[#This Row],[P47 HWM]]-1</f>
        <v>0</v>
      </c>
      <c r="GI45" s="28">
        <f>SUMPRODUCT(INDEX(PortfolioRef[[SPY]:[PE]],MATCH(GI$1,PortfolioRef[Reference '#]),0),AssetMonthlyReturns[[#This Row],[SPY]:[PE]])</f>
        <v>1.3917271678902998E-2</v>
      </c>
      <c r="GJ45" s="27">
        <f>IF(ISNUMBER(GJ44),GJ44*(1+PortfolioFrontier[[#This Row],[P48 Return]]),1+PortfolioFrontier[[#This Row],[P48 Return]])</f>
        <v>1.2713574736718853</v>
      </c>
      <c r="GK45" s="27">
        <f>MAX(GK44,PortfolioFrontier[[#This Row],[P48 Growth]])</f>
        <v>1.2713574736718853</v>
      </c>
      <c r="GL45" s="27">
        <f>PortfolioFrontier[[#This Row],[P48 Growth]]/PortfolioFrontier[[#This Row],[P48 HWM]]-1</f>
        <v>0</v>
      </c>
      <c r="GM45" s="28">
        <f>SUMPRODUCT(INDEX(PortfolioRef[[SPY]:[PE]],MATCH(GM$1,PortfolioRef[Reference '#]),0),AssetMonthlyReturns[[#This Row],[SPY]:[PE]])</f>
        <v>1.6379598362589821E-2</v>
      </c>
      <c r="GN45" s="27">
        <f>IF(ISNUMBER(GN44),GN44*(1+PortfolioFrontier[[#This Row],[P49 Return]]),1+PortfolioFrontier[[#This Row],[P49 Return]])</f>
        <v>1.3199381993722787</v>
      </c>
      <c r="GO45" s="27">
        <f>MAX(GO44,PortfolioFrontier[[#This Row],[P49 Growth]])</f>
        <v>1.3199381993722787</v>
      </c>
      <c r="GP45" s="27">
        <f>PortfolioFrontier[[#This Row],[P49 Growth]]/PortfolioFrontier[[#This Row],[P49 HWM]]-1</f>
        <v>0</v>
      </c>
      <c r="GQ45" s="28">
        <f>SUMPRODUCT(INDEX(PortfolioRef[[SPY]:[PE]],MATCH(GQ$1,PortfolioRef[Reference '#]),0),AssetMonthlyReturns[[#This Row],[SPY]:[PE]])</f>
        <v>1.4991616893394968E-2</v>
      </c>
      <c r="GR45" s="27">
        <f>IF(ISNUMBER(GR44),GR44*(1+PortfolioFrontier[[#This Row],[P50 Return]]),1+PortfolioFrontier[[#This Row],[P50 Return]])</f>
        <v>1.3000520294243956</v>
      </c>
      <c r="GS45" s="27">
        <f>MAX(GS44,PortfolioFrontier[[#This Row],[P50 Growth]])</f>
        <v>1.3000520294243956</v>
      </c>
      <c r="GT45" s="27">
        <f>PortfolioFrontier[[#This Row],[P50 Growth]]/PortfolioFrontier[[#This Row],[P50 HWM]]-1</f>
        <v>0</v>
      </c>
      <c r="GU45" s="28">
        <f>SUMPRODUCT(INDEX(PortfolioRef[[SPY]:[PE]],MATCH(GU$1,PortfolioRef[Reference '#]),0),AssetMonthlyReturns[[#This Row],[SPY]:[PE]])</f>
        <v>1.3603635424200112E-2</v>
      </c>
      <c r="GV45" s="27">
        <f>IF(ISNUMBER(GV44),GV44*(1+PortfolioFrontier[[#This Row],[P51 Return]]),1+PortfolioFrontier[[#This Row],[P51 Return]])</f>
        <v>1.2802519415918936</v>
      </c>
      <c r="GW45" s="27">
        <f>MAX(GW44,PortfolioFrontier[[#This Row],[P51 Growth]])</f>
        <v>1.2802519415918936</v>
      </c>
      <c r="GX45" s="27">
        <f>PortfolioFrontier[[#This Row],[P51 Growth]]/PortfolioFrontier[[#This Row],[P51 HWM]]-1</f>
        <v>0</v>
      </c>
      <c r="GY45" s="28">
        <f>SUMPRODUCT(INDEX(PortfolioRef[[SPY]:[PE]],MATCH(GY$1,PortfolioRef[Reference '#]),0),AssetMonthlyReturns[[#This Row],[SPY]:[PE]])</f>
        <v>1.7868393049981234E-2</v>
      </c>
      <c r="GZ45" s="27">
        <f>IF(ISNUMBER(GZ44),GZ44*(1+PortfolioFrontier[[#This Row],[P52 Return]]),1+PortfolioFrontier[[#This Row],[P52 Return]])</f>
        <v>1.3140043318199124</v>
      </c>
      <c r="HA45" s="27">
        <f>MAX(HA44,PortfolioFrontier[[#This Row],[P52 Growth]])</f>
        <v>1.3140043318199124</v>
      </c>
      <c r="HB45" s="27">
        <f>PortfolioFrontier[[#This Row],[P52 Growth]]/PortfolioFrontier[[#This Row],[P52 HWM]]-1</f>
        <v>0</v>
      </c>
      <c r="HC45" s="28">
        <f>SUMPRODUCT(INDEX(PortfolioRef[[SPY]:[PE]],MATCH(HC$1,PortfolioRef[Reference '#]),0),AssetMonthlyReturns[[#This Row],[SPY]:[PE]])</f>
        <v>1.6480411580786381E-2</v>
      </c>
      <c r="HD45" s="27">
        <f>IF(ISNUMBER(HD44),HD44*(1+PortfolioFrontier[[#This Row],[P53 Return]]),1+PortfolioFrontier[[#This Row],[P53 Return]])</f>
        <v>1.2940950882957774</v>
      </c>
      <c r="HE45" s="27">
        <f>MAX(HE44,PortfolioFrontier[[#This Row],[P53 Growth]])</f>
        <v>1.2940950882957774</v>
      </c>
      <c r="HF45" s="27">
        <f>PortfolioFrontier[[#This Row],[P53 Growth]]/PortfolioFrontier[[#This Row],[P53 HWM]]-1</f>
        <v>0</v>
      </c>
      <c r="HG45" s="28">
        <f>SUMPRODUCT(INDEX(PortfolioRef[[SPY]:[PE]],MATCH(HG$1,PortfolioRef[Reference '#]),0),AssetMonthlyReturns[[#This Row],[SPY]:[PE]])</f>
        <v>1.5092430111591525E-2</v>
      </c>
      <c r="HH45" s="27">
        <f>IF(ISNUMBER(HH44),HH44*(1+PortfolioFrontier[[#This Row],[P54 Return]]),1+PortfolioFrontier[[#This Row],[P54 Return]])</f>
        <v>1.2742749626286156</v>
      </c>
      <c r="HI45" s="27">
        <f>MAX(HI44,PortfolioFrontier[[#This Row],[P54 Growth]])</f>
        <v>1.2742749626286156</v>
      </c>
      <c r="HJ45" s="27">
        <f>PortfolioFrontier[[#This Row],[P54 Growth]]/PortfolioFrontier[[#This Row],[P54 HWM]]-1</f>
        <v>0</v>
      </c>
      <c r="HK45" s="28">
        <f>SUMPRODUCT(INDEX(PortfolioRef[[SPY]:[PE]],MATCH(HK$1,PortfolioRef[Reference '#]),0),AssetMonthlyReturns[[#This Row],[SPY]:[PE]])</f>
        <v>1.7554756795278348E-2</v>
      </c>
      <c r="HL45" s="27">
        <f>IF(ISNUMBER(HL44),HL44*(1+PortfolioFrontier[[#This Row],[P55 Return]]),1+PortfolioFrontier[[#This Row],[P55 Return]])</f>
        <v>1.3230413026201242</v>
      </c>
      <c r="HM45" s="27">
        <f>MAX(HM44,PortfolioFrontier[[#This Row],[P55 Growth]])</f>
        <v>1.3230413026201242</v>
      </c>
      <c r="HN45" s="27">
        <f>PortfolioFrontier[[#This Row],[P55 Growth]]/PortfolioFrontier[[#This Row],[P55 HWM]]-1</f>
        <v>0</v>
      </c>
      <c r="HO45" s="28">
        <f>SUMPRODUCT(INDEX(PortfolioRef[[SPY]:[PE]],MATCH(HO$1,PortfolioRef[Reference '#]),0),AssetMonthlyReturns[[#This Row],[SPY]:[PE]])</f>
        <v>1.6166775326083495E-2</v>
      </c>
      <c r="HP45" s="27">
        <f>IF(ISNUMBER(HP44),HP44*(1+PortfolioFrontier[[#This Row],[P56 Return]]),1+PortfolioFrontier[[#This Row],[P56 Return]])</f>
        <v>1.3031331012930369</v>
      </c>
      <c r="HQ45" s="27">
        <f>MAX(HQ44,PortfolioFrontier[[#This Row],[P56 Growth]])</f>
        <v>1.3031331012930369</v>
      </c>
      <c r="HR45" s="27">
        <f>PortfolioFrontier[[#This Row],[P56 Growth]]/PortfolioFrontier[[#This Row],[P56 HWM]]-1</f>
        <v>0</v>
      </c>
      <c r="HS45" s="28">
        <f>SUMPRODUCT(INDEX(PortfolioRef[[SPY]:[PE]],MATCH(HS$1,PortfolioRef[Reference '#]),0),AssetMonthlyReturns[[#This Row],[SPY]:[PE]])</f>
        <v>1.4778793856888638E-2</v>
      </c>
      <c r="HT45" s="27">
        <f>IF(ISNUMBER(HT44),HT44*(1+PortfolioFrontier[[#This Row],[P57 Return]]),1+PortfolioFrontier[[#This Row],[P57 Return]])</f>
        <v>1.2833105021731002</v>
      </c>
      <c r="HU45" s="27">
        <f>MAX(HU44,PortfolioFrontier[[#This Row],[P57 Growth]])</f>
        <v>1.2833105021731002</v>
      </c>
      <c r="HV45" s="27">
        <f>PortfolioFrontier[[#This Row],[P57 Growth]]/PortfolioFrontier[[#This Row],[P57 HWM]]-1</f>
        <v>0</v>
      </c>
      <c r="HW45" s="28">
        <f>SUMPRODUCT(INDEX(PortfolioRef[[SPY]:[PE]],MATCH(HW$1,PortfolioRef[Reference '#]),0),AssetMonthlyReturns[[#This Row],[SPY]:[PE]])</f>
        <v>1.7241120540575458E-2</v>
      </c>
      <c r="HX45" s="27">
        <f>IF(ISNUMBER(HX44),HX44*(1+PortfolioFrontier[[#This Row],[P58 Return]]),1+PortfolioFrontier[[#This Row],[P58 Return]])</f>
        <v>1.3318373910645311</v>
      </c>
      <c r="HY45" s="27">
        <f>MAX(HY44,PortfolioFrontier[[#This Row],[P58 Growth]])</f>
        <v>1.3318373910645311</v>
      </c>
      <c r="HZ45" s="27">
        <f>PortfolioFrontier[[#This Row],[P58 Growth]]/PortfolioFrontier[[#This Row],[P58 HWM]]-1</f>
        <v>0</v>
      </c>
      <c r="IA45" s="28">
        <f>SUMPRODUCT(INDEX(PortfolioRef[[SPY]:[PE]],MATCH(IA$1,PortfolioRef[Reference '#]),0),AssetMonthlyReturns[[#This Row],[SPY]:[PE]])</f>
        <v>1.5853139071380605E-2</v>
      </c>
      <c r="IB45" s="27">
        <f>IF(ISNUMBER(IB44),IB44*(1+PortfolioFrontier[[#This Row],[P59 Return]]),1+PortfolioFrontier[[#This Row],[P59 Return]])</f>
        <v>1.3119357975131996</v>
      </c>
      <c r="IC45" s="27">
        <f>MAX(IC44,PortfolioFrontier[[#This Row],[P59 Growth]])</f>
        <v>1.3119357975131996</v>
      </c>
      <c r="ID45" s="27">
        <f>PortfolioFrontier[[#This Row],[P59 Growth]]/PortfolioFrontier[[#This Row],[P59 HWM]]-1</f>
        <v>0</v>
      </c>
      <c r="IE45" s="28">
        <f>SUMPRODUCT(INDEX(PortfolioRef[[SPY]:[PE]],MATCH(IE$1,PortfolioRef[Reference '#]),0),AssetMonthlyReturns[[#This Row],[SPY]:[PE]])</f>
        <v>1.4465157602185752E-2</v>
      </c>
      <c r="IF45" s="27">
        <f>IF(ISNUMBER(IF44),IF44*(1+PortfolioFrontier[[#This Row],[P60 Return]]),1+PortfolioFrontier[[#This Row],[P60 Return]])</f>
        <v>1.2921162306785476</v>
      </c>
      <c r="IG45" s="27">
        <f>MAX(IG44,PortfolioFrontier[[#This Row],[P60 Growth]])</f>
        <v>1.2921162306785476</v>
      </c>
      <c r="IH45" s="27">
        <f>PortfolioFrontier[[#This Row],[P60 Growth]]/PortfolioFrontier[[#This Row],[P60 HWM]]-1</f>
        <v>0</v>
      </c>
      <c r="II45" s="28">
        <f>SUMPRODUCT(INDEX(PortfolioRef[[SPY]:[PE]],MATCH(II$1,PortfolioRef[Reference '#]),0),AssetMonthlyReturns[[#This Row],[SPY]:[PE]])</f>
        <v>1.2560419286471801E-2</v>
      </c>
      <c r="IJ45" s="27">
        <f>IF(ISNUMBER(IJ44),IJ44*(1+PortfolioFrontier[[#This Row],[P61 Return]]),1+PortfolioFrontier[[#This Row],[P61 Return]])</f>
        <v>1.2616680476769044</v>
      </c>
      <c r="IK45" s="27">
        <f>MAX(IK44,PortfolioFrontier[[#This Row],[P61 Growth]])</f>
        <v>1.2616680476769044</v>
      </c>
      <c r="IL45" s="27">
        <f>PortfolioFrontier[[#This Row],[P61 Growth]]/PortfolioFrontier[[#This Row],[P61 HWM]]-1</f>
        <v>0</v>
      </c>
      <c r="IM45" s="28">
        <f>SUMPRODUCT(INDEX(PortfolioRef[[SPY]:[PE]],MATCH(IM$1,PortfolioRef[Reference '#]),0),AssetMonthlyReturns[[#This Row],[SPY]:[PE]])</f>
        <v>1.3735577719160331E-2</v>
      </c>
      <c r="IN45" s="27">
        <f>IF(ISNUMBER(IN44),IN44*(1+PortfolioFrontier[[#This Row],[P62 Return]]),1+PortfolioFrontier[[#This Row],[P62 Return]])</f>
        <v>1.2646008577328769</v>
      </c>
      <c r="IO45" s="27">
        <f>MAX(IO44,PortfolioFrontier[[#This Row],[P62 Growth]])</f>
        <v>1.2646008577328769</v>
      </c>
      <c r="IP45" s="27">
        <f>PortfolioFrontier[[#This Row],[P62 Growth]]/PortfolioFrontier[[#This Row],[P62 HWM]]-1</f>
        <v>0</v>
      </c>
      <c r="IQ45" s="28">
        <f>SUMPRODUCT(INDEX(PortfolioRef[[SPY]:[PE]],MATCH(IQ$1,PortfolioRef[Reference '#]),0),AssetMonthlyReturns[[#This Row],[SPY]:[PE]])</f>
        <v>1.3421941464457441E-2</v>
      </c>
      <c r="IR45" s="27">
        <f>IF(ISNUMBER(IR44),IR44*(1+PortfolioFrontier[[#This Row],[P63 Return]]),1+PortfolioFrontier[[#This Row],[P63 Return]])</f>
        <v>1.2736371767047483</v>
      </c>
      <c r="IS45" s="27">
        <f>MAX(IS44,PortfolioFrontier[[#This Row],[P63 Growth]])</f>
        <v>1.2736371767047483</v>
      </c>
      <c r="IT45" s="27">
        <f>PortfolioFrontier[[#This Row],[P63 Growth]]/PortfolioFrontier[[#This Row],[P63 HWM]]-1</f>
        <v>0</v>
      </c>
      <c r="IU45" s="28">
        <f>SUMPRODUCT(INDEX(PortfolioRef[[SPY]:[PE]],MATCH(IU$1,PortfolioRef[Reference '#]),0),AssetMonthlyReturns[[#This Row],[SPY]:[PE]])</f>
        <v>1.2033959995262588E-2</v>
      </c>
      <c r="IV45" s="27">
        <f>IF(ISNUMBER(IV44),IV44*(1+PortfolioFrontier[[#This Row],[P64 Return]]),1+PortfolioFrontier[[#This Row],[P64 Return]])</f>
        <v>1.2540677125910735</v>
      </c>
      <c r="IW45" s="27">
        <f>MAX(IW44,PortfolioFrontier[[#This Row],[P64 Growth]])</f>
        <v>1.2540677125910735</v>
      </c>
      <c r="IX45" s="27">
        <f>PortfolioFrontier[[#This Row],[P64 Growth]]/PortfolioFrontier[[#This Row],[P64 HWM]]-1</f>
        <v>0</v>
      </c>
      <c r="IY45" s="28">
        <f>SUMPRODUCT(INDEX(PortfolioRef[[SPY]:[PE]],MATCH(IY$1,PortfolioRef[Reference '#]),0),AssetMonthlyReturns[[#This Row],[SPY]:[PE]])</f>
        <v>1.4910736151848857E-2</v>
      </c>
      <c r="IZ45" s="27">
        <f>IF(ISNUMBER(IZ44),IZ44*(1+PortfolioFrontier[[#This Row],[P65 Return]]),1+PortfolioFrontier[[#This Row],[P65 Return]])</f>
        <v>1.2674254643272864</v>
      </c>
      <c r="JA45" s="27">
        <f>MAX(JA44,PortfolioFrontier[[#This Row],[P65 Growth]])</f>
        <v>1.2674254643272864</v>
      </c>
      <c r="JB45" s="27">
        <f>PortfolioFrontier[[#This Row],[P65 Growth]]/PortfolioFrontier[[#This Row],[P65 HWM]]-1</f>
        <v>0</v>
      </c>
      <c r="JC45" s="28">
        <f>SUMPRODUCT(INDEX(PortfolioRef[[SPY]:[PE]],MATCH(JC$1,PortfolioRef[Reference '#]),0),AssetMonthlyReturns[[#This Row],[SPY]:[PE]])</f>
        <v>1.4597099897145967E-2</v>
      </c>
      <c r="JD45" s="27">
        <f>IF(ISNUMBER(JD44),JD44*(1+PortfolioFrontier[[#This Row],[P66 Return]]),1+PortfolioFrontier[[#This Row],[P66 Return]])</f>
        <v>1.2766018297279766</v>
      </c>
      <c r="JE45" s="27">
        <f>MAX(JE44,PortfolioFrontier[[#This Row],[P66 Growth]])</f>
        <v>1.2766018297279766</v>
      </c>
      <c r="JF45" s="27">
        <f>PortfolioFrontier[[#This Row],[P66 Growth]]/PortfolioFrontier[[#This Row],[P66 HWM]]-1</f>
        <v>0</v>
      </c>
      <c r="JG45" s="28">
        <f>SUMPRODUCT(INDEX(PortfolioRef[[SPY]:[PE]],MATCH(JG$1,PortfolioRef[Reference '#]),0),AssetMonthlyReturns[[#This Row],[SPY]:[PE]])</f>
        <v>1.3209118427951114E-2</v>
      </c>
      <c r="JH45" s="27">
        <f>IF(ISNUMBER(JH44),JH44*(1+PortfolioFrontier[[#This Row],[P67 Return]]),1+PortfolioFrontier[[#This Row],[P67 Return]])</f>
        <v>1.2570109805501781</v>
      </c>
      <c r="JI45" s="27">
        <f>MAX(JI44,PortfolioFrontier[[#This Row],[P67 Growth]])</f>
        <v>1.2570109805501781</v>
      </c>
      <c r="JJ45" s="27">
        <f>PortfolioFrontier[[#This Row],[P67 Growth]]/PortfolioFrontier[[#This Row],[P67 HWM]]-1</f>
        <v>0</v>
      </c>
      <c r="JK45" s="28">
        <f>SUMPRODUCT(INDEX(PortfolioRef[[SPY]:[PE]],MATCH(JK$1,PortfolioRef[Reference '#]),0),AssetMonthlyReturns[[#This Row],[SPY]:[PE]])</f>
        <v>1.4283463642443083E-2</v>
      </c>
      <c r="JL45" s="27">
        <f>IF(ISNUMBER(JL44),JL44*(1+PortfolioFrontier[[#This Row],[P68 Return]]),1+PortfolioFrontier[[#This Row],[P68 Return]])</f>
        <v>1.2855530770137999</v>
      </c>
      <c r="JM45" s="27">
        <f>MAX(JM44,PortfolioFrontier[[#This Row],[P68 Growth]])</f>
        <v>1.2855530770137999</v>
      </c>
      <c r="JN45" s="27">
        <f>PortfolioFrontier[[#This Row],[P68 Growth]]/PortfolioFrontier[[#This Row],[P68 HWM]]-1</f>
        <v>0</v>
      </c>
      <c r="JO45" s="28">
        <f>SUMPRODUCT(INDEX(PortfolioRef[[SPY]:[PE]],MATCH(JO$1,PortfolioRef[Reference '#]),0),AssetMonthlyReturns[[#This Row],[SPY]:[PE]])</f>
        <v>1.2895482173248228E-2</v>
      </c>
      <c r="JP45" s="27">
        <f>IF(ISNUMBER(JP44),JP44*(1+PortfolioFrontier[[#This Row],[P69 Return]]),1+PortfolioFrontier[[#This Row],[P69 Return]])</f>
        <v>1.2659586819358146</v>
      </c>
      <c r="JQ45" s="27">
        <f>MAX(JQ44,PortfolioFrontier[[#This Row],[P69 Growth]])</f>
        <v>1.2659586819358146</v>
      </c>
      <c r="JR45" s="27">
        <f>PortfolioFrontier[[#This Row],[P69 Growth]]/PortfolioFrontier[[#This Row],[P69 HWM]]-1</f>
        <v>0</v>
      </c>
      <c r="JS45" s="28">
        <f>SUMPRODUCT(INDEX(PortfolioRef[[SPY]:[PE]],MATCH(JS$1,PortfolioRef[Reference '#]),0),AssetMonthlyReturns[[#This Row],[SPY]:[PE]])</f>
        <v>1.1507500704053375E-2</v>
      </c>
      <c r="JT45" s="27">
        <f>IF(ISNUMBER(JT44),JT44*(1+PortfolioFrontier[[#This Row],[P70 Return]]),1+PortfolioFrontier[[#This Row],[P70 Return]])</f>
        <v>1.2464548183747235</v>
      </c>
      <c r="JU45" s="27">
        <f>MAX(JU44,PortfolioFrontier[[#This Row],[P70 Growth]])</f>
        <v>1.2464548183747235</v>
      </c>
      <c r="JV45" s="27">
        <f>PortfolioFrontier[[#This Row],[P70 Growth]]/PortfolioFrontier[[#This Row],[P70 HWM]]-1</f>
        <v>0</v>
      </c>
      <c r="JW45" s="28">
        <f>SUMPRODUCT(INDEX(PortfolioRef[[SPY]:[PE]],MATCH(JW$1,PortfolioRef[Reference '#]),0),AssetMonthlyReturns[[#This Row],[SPY]:[PE]])</f>
        <v>1.5772258329834497E-2</v>
      </c>
      <c r="JX45" s="27">
        <f>IF(ISNUMBER(JX44),JX44*(1+PortfolioFrontier[[#This Row],[P71 Return]]),1+PortfolioFrontier[[#This Row],[P71 Return]])</f>
        <v>1.2794573670889766</v>
      </c>
      <c r="JY45" s="27">
        <f>MAX(JY44,PortfolioFrontier[[#This Row],[P71 Growth]])</f>
        <v>1.2794573670889766</v>
      </c>
      <c r="JZ45" s="27">
        <f>PortfolioFrontier[[#This Row],[P71 Growth]]/PortfolioFrontier[[#This Row],[P71 HWM]]-1</f>
        <v>0</v>
      </c>
      <c r="KA45" s="28">
        <f>SUMPRODUCT(INDEX(PortfolioRef[[SPY]:[PE]],MATCH(KA$1,PortfolioRef[Reference '#]),0),AssetMonthlyReturns[[#This Row],[SPY]:[PE]])</f>
        <v>1.4384276860639644E-2</v>
      </c>
      <c r="KB45" s="27">
        <f>IF(ISNUMBER(KB44),KB44*(1+PortfolioFrontier[[#This Row],[P72 Return]]),1+PortfolioFrontier[[#This Row],[P72 Return]])</f>
        <v>1.2598467732719698</v>
      </c>
      <c r="KC45" s="27">
        <f>MAX(KC44,PortfolioFrontier[[#This Row],[P72 Growth]])</f>
        <v>1.2598467732719698</v>
      </c>
      <c r="KD45" s="27">
        <f>PortfolioFrontier[[#This Row],[P72 Growth]]/PortfolioFrontier[[#This Row],[P72 HWM]]-1</f>
        <v>0</v>
      </c>
      <c r="KE45" s="28">
        <f>SUMPRODUCT(INDEX(PortfolioRef[[SPY]:[PE]],MATCH(KE$1,PortfolioRef[Reference '#]),0),AssetMonthlyReturns[[#This Row],[SPY]:[PE]])</f>
        <v>1.5458622075131611E-2</v>
      </c>
      <c r="KF45" s="27">
        <f>IF(ISNUMBER(KF44),KF44*(1+PortfolioFrontier[[#This Row],[P73 Return]]),1+PortfolioFrontier[[#This Row],[P73 Return]])</f>
        <v>1.2885496956797369</v>
      </c>
      <c r="KG45" s="27">
        <f>MAX(KG44,PortfolioFrontier[[#This Row],[P73 Growth]])</f>
        <v>1.2885496956797369</v>
      </c>
      <c r="KH45" s="27">
        <f>PortfolioFrontier[[#This Row],[P73 Growth]]/PortfolioFrontier[[#This Row],[P73 HWM]]-1</f>
        <v>0</v>
      </c>
      <c r="KI45" s="28">
        <f>SUMPRODUCT(INDEX(PortfolioRef[[SPY]:[PE]],MATCH(KI$1,PortfolioRef[Reference '#]),0),AssetMonthlyReturns[[#This Row],[SPY]:[PE]])</f>
        <v>1.4070640605936754E-2</v>
      </c>
      <c r="KJ45" s="27">
        <f>IF(ISNUMBER(KJ44),KJ44*(1+PortfolioFrontier[[#This Row],[P74 Return]]),1+PortfolioFrontier[[#This Row],[P74 Return]])</f>
        <v>1.2689338991079571</v>
      </c>
      <c r="KK45" s="27">
        <f>MAX(KK44,PortfolioFrontier[[#This Row],[P74 Growth]])</f>
        <v>1.2689338991079571</v>
      </c>
      <c r="KL45" s="27">
        <f>PortfolioFrontier[[#This Row],[P74 Growth]]/PortfolioFrontier[[#This Row],[P74 HWM]]-1</f>
        <v>0</v>
      </c>
      <c r="KM45" s="28">
        <f>SUMPRODUCT(INDEX(PortfolioRef[[SPY]:[PE]],MATCH(KM$1,PortfolioRef[Reference '#]),0),AssetMonthlyReturns[[#This Row],[SPY]:[PE]])</f>
        <v>1.2682659136741901E-2</v>
      </c>
      <c r="KN45" s="27">
        <f>IF(ISNUMBER(KN44),KN44*(1+PortfolioFrontier[[#This Row],[P75 Return]]),1+PortfolioFrontier[[#This Row],[P75 Return]])</f>
        <v>1.2494081665889105</v>
      </c>
      <c r="KO45" s="27">
        <f>MAX(KO44,PortfolioFrontier[[#This Row],[P75 Growth]])</f>
        <v>1.2494081665889105</v>
      </c>
      <c r="KP45" s="27">
        <f>PortfolioFrontier[[#This Row],[P75 Growth]]/PortfolioFrontier[[#This Row],[P75 HWM]]-1</f>
        <v>0</v>
      </c>
      <c r="KQ45" s="28">
        <f>SUMPRODUCT(INDEX(PortfolioRef[[SPY]:[PE]],MATCH(KQ$1,PortfolioRef[Reference '#]),0),AssetMonthlyReturns[[#This Row],[SPY]:[PE]])</f>
        <v>1.5144985820428725E-2</v>
      </c>
      <c r="KR45" s="27">
        <f>IF(ISNUMBER(KR44),KR44*(1+PortfolioFrontier[[#This Row],[P76 Return]]),1+PortfolioFrontier[[#This Row],[P76 Return]])</f>
        <v>1.2974120800317128</v>
      </c>
      <c r="KS45" s="27">
        <f>MAX(KS44,PortfolioFrontier[[#This Row],[P76 Growth]])</f>
        <v>1.2974120800317128</v>
      </c>
      <c r="KT45" s="27">
        <f>PortfolioFrontier[[#This Row],[P76 Growth]]/PortfolioFrontier[[#This Row],[P76 HWM]]-1</f>
        <v>0</v>
      </c>
      <c r="KU45" s="28">
        <f>SUMPRODUCT(INDEX(PortfolioRef[[SPY]:[PE]],MATCH(KU$1,PortfolioRef[Reference '#]),0),AssetMonthlyReturns[[#This Row],[SPY]:[PE]])</f>
        <v>1.375700435123387E-2</v>
      </c>
      <c r="KV45" s="27">
        <f>IF(ISNUMBER(KV44),KV44*(1+PortfolioFrontier[[#This Row],[P77 Return]]),1+PortfolioFrontier[[#This Row],[P77 Return]])</f>
        <v>1.2777965004657763</v>
      </c>
      <c r="KW45" s="27">
        <f>MAX(KW44,PortfolioFrontier[[#This Row],[P77 Growth]])</f>
        <v>1.2777965004657763</v>
      </c>
      <c r="KX45" s="27">
        <f>PortfolioFrontier[[#This Row],[P77 Growth]]/PortfolioFrontier[[#This Row],[P77 HWM]]-1</f>
        <v>0</v>
      </c>
      <c r="KY45" s="28">
        <f>SUMPRODUCT(INDEX(PortfolioRef[[SPY]:[PE]],MATCH(KY$1,PortfolioRef[Reference '#]),0),AssetMonthlyReturns[[#This Row],[SPY]:[PE]])</f>
        <v>1.2369022882039015E-2</v>
      </c>
      <c r="KZ45" s="27">
        <f>IF(ISNUMBER(KZ44),KZ44*(1+PortfolioFrontier[[#This Row],[P78 Return]]),1+PortfolioFrontier[[#This Row],[P78 Return]])</f>
        <v>1.2582675497179592</v>
      </c>
      <c r="LA45" s="27">
        <f>MAX(LA44,PortfolioFrontier[[#This Row],[P78 Growth]])</f>
        <v>1.2582675497179592</v>
      </c>
      <c r="LB45" s="27">
        <f>PortfolioFrontier[[#This Row],[P78 Growth]]/PortfolioFrontier[[#This Row],[P78 HWM]]-1</f>
        <v>0</v>
      </c>
      <c r="LC45" s="28">
        <f>SUMPRODUCT(INDEX(PortfolioRef[[SPY]:[PE]],MATCH(LC$1,PortfolioRef[Reference '#]),0),AssetMonthlyReturns[[#This Row],[SPY]:[PE]])</f>
        <v>1.6633780507820141E-2</v>
      </c>
      <c r="LD45" s="27">
        <f>IF(ISNUMBER(LD44),LD44*(1+PortfolioFrontier[[#This Row],[P79 Return]]),1+PortfolioFrontier[[#This Row],[P79 Return]])</f>
        <v>1.2914362924236391</v>
      </c>
      <c r="LE45" s="27">
        <f>MAX(LE44,PortfolioFrontier[[#This Row],[P79 Growth]])</f>
        <v>1.2914362924236391</v>
      </c>
      <c r="LF45" s="27">
        <f>PortfolioFrontier[[#This Row],[P79 Growth]]/PortfolioFrontier[[#This Row],[P79 HWM]]-1</f>
        <v>0</v>
      </c>
      <c r="LG45" s="28">
        <f>SUMPRODUCT(INDEX(PortfolioRef[[SPY]:[PE]],MATCH(LG$1,PortfolioRef[Reference '#]),0),AssetMonthlyReturns[[#This Row],[SPY]:[PE]])</f>
        <v>1.5245799038625284E-2</v>
      </c>
      <c r="LH45" s="27">
        <f>IF(ISNUMBER(LH44),LH44*(1+PortfolioFrontier[[#This Row],[P80 Return]]),1+PortfolioFrontier[[#This Row],[P80 Return]])</f>
        <v>1.2718007360354451</v>
      </c>
      <c r="LI45" s="27">
        <f>MAX(LI44,PortfolioFrontier[[#This Row],[P80 Growth]])</f>
        <v>1.2718007360354451</v>
      </c>
      <c r="LJ45" s="27">
        <f>PortfolioFrontier[[#This Row],[P80 Growth]]/PortfolioFrontier[[#This Row],[P80 HWM]]-1</f>
        <v>0</v>
      </c>
      <c r="LK45" s="28">
        <f>SUMPRODUCT(INDEX(PortfolioRef[[SPY]:[PE]],MATCH(LK$1,PortfolioRef[Reference '#]),0),AssetMonthlyReturns[[#This Row],[SPY]:[PE]])</f>
        <v>1.3857817569430431E-2</v>
      </c>
      <c r="LL45" s="27">
        <f>IF(ISNUMBER(LL44),LL44*(1+PortfolioFrontier[[#This Row],[P81 Return]]),1+PortfolioFrontier[[#This Row],[P81 Return]])</f>
        <v>1.252254768448902</v>
      </c>
      <c r="LM45" s="27">
        <f>MAX(LM44,PortfolioFrontier[[#This Row],[P81 Growth]])</f>
        <v>1.252254768448902</v>
      </c>
      <c r="LN45" s="27">
        <f>PortfolioFrontier[[#This Row],[P81 Growth]]/PortfolioFrontier[[#This Row],[P81 HWM]]-1</f>
        <v>0</v>
      </c>
      <c r="LO45" s="28">
        <f>SUMPRODUCT(INDEX(PortfolioRef[[SPY]:[PE]],MATCH(LO$1,PortfolioRef[Reference '#]),0),AssetMonthlyReturns[[#This Row],[SPY]:[PE]])</f>
        <v>1.6320144253117251E-2</v>
      </c>
      <c r="LP45" s="27">
        <f>IF(ISNUMBER(LP44),LP44*(1+PortfolioFrontier[[#This Row],[P82 Return]]),1+PortfolioFrontier[[#This Row],[P82 Return]])</f>
        <v>1.300440783483678</v>
      </c>
      <c r="LQ45" s="27">
        <f>MAX(LQ44,PortfolioFrontier[[#This Row],[P82 Growth]])</f>
        <v>1.300440783483678</v>
      </c>
      <c r="LR45" s="27">
        <f>PortfolioFrontier[[#This Row],[P82 Growth]]/PortfolioFrontier[[#This Row],[P82 HWM]]-1</f>
        <v>0</v>
      </c>
      <c r="LS45" s="28">
        <f>SUMPRODUCT(INDEX(PortfolioRef[[SPY]:[PE]],MATCH(LS$1,PortfolioRef[Reference '#]),0),AssetMonthlyReturns[[#This Row],[SPY]:[PE]])</f>
        <v>1.4932162783922398E-2</v>
      </c>
      <c r="LT45" s="27">
        <f>IF(ISNUMBER(LT44),LT44*(1+PortfolioFrontier[[#This Row],[P83 Return]]),1+PortfolioFrontier[[#This Row],[P83 Return]])</f>
        <v>1.2808037888672961</v>
      </c>
      <c r="LU45" s="27">
        <f>MAX(LU44,PortfolioFrontier[[#This Row],[P83 Growth]])</f>
        <v>1.2808037888672961</v>
      </c>
      <c r="LV45" s="27">
        <f>PortfolioFrontier[[#This Row],[P83 Growth]]/PortfolioFrontier[[#This Row],[P83 HWM]]-1</f>
        <v>0</v>
      </c>
      <c r="LW45" s="28">
        <f>SUMPRODUCT(INDEX(PortfolioRef[[SPY]:[PE]],MATCH(LW$1,PortfolioRef[Reference '#]),0),AssetMonthlyReturns[[#This Row],[SPY]:[PE]])</f>
        <v>1.3544181314727542E-2</v>
      </c>
      <c r="LX45" s="27">
        <f>IF(ISNUMBER(LX44),LX44*(1+PortfolioFrontier[[#This Row],[P84 Return]]),1+PortfolioFrontier[[#This Row],[P84 Return]])</f>
        <v>1.2612529492044777</v>
      </c>
      <c r="LY45" s="27">
        <f>MAX(LY44,PortfolioFrontier[[#This Row],[P84 Growth]])</f>
        <v>1.2612529492044777</v>
      </c>
      <c r="LZ45" s="27">
        <f>PortfolioFrontier[[#This Row],[P84 Growth]]/PortfolioFrontier[[#This Row],[P84 HWM]]-1</f>
        <v>0</v>
      </c>
      <c r="MA45" s="28">
        <f>SUMPRODUCT(INDEX(PortfolioRef[[SPY]:[PE]],MATCH(MA$1,PortfolioRef[Reference '#]),0),AssetMonthlyReturns[[#This Row],[SPY]:[PE]])</f>
        <v>1.6006507998414365E-2</v>
      </c>
      <c r="MB45" s="27">
        <f>IF(ISNUMBER(MB44),MB44*(1+PortfolioFrontier[[#This Row],[P85 Return]]),1+PortfolioFrontier[[#This Row],[P85 Return]])</f>
        <v>1.3092104852416355</v>
      </c>
      <c r="MC45" s="27">
        <f>MAX(MC44,PortfolioFrontier[[#This Row],[P85 Growth]])</f>
        <v>1.3092104852416355</v>
      </c>
      <c r="MD45" s="27">
        <f>PortfolioFrontier[[#This Row],[P85 Growth]]/PortfolioFrontier[[#This Row],[P85 HWM]]-1</f>
        <v>0</v>
      </c>
      <c r="ME45" s="28">
        <f>SUMPRODUCT(INDEX(PortfolioRef[[SPY]:[PE]],MATCH(ME$1,PortfolioRef[Reference '#]),0),AssetMonthlyReturns[[#This Row],[SPY]:[PE]])</f>
        <v>1.4618526529219512E-2</v>
      </c>
      <c r="MF45" s="27">
        <f>IF(ISNUMBER(MF44),MF44*(1+PortfolioFrontier[[#This Row],[P86 Return]]),1+PortfolioFrontier[[#This Row],[P86 Return]])</f>
        <v>1.2895775165430239</v>
      </c>
      <c r="MG45" s="27">
        <f>MAX(MG44,PortfolioFrontier[[#This Row],[P86 Growth]])</f>
        <v>1.2895775165430239</v>
      </c>
      <c r="MH45" s="27">
        <f>PortfolioFrontier[[#This Row],[P86 Growth]]/PortfolioFrontier[[#This Row],[P86 HWM]]-1</f>
        <v>0</v>
      </c>
      <c r="MI45" s="28">
        <f>SUMPRODUCT(INDEX(PortfolioRef[[SPY]:[PE]],MATCH(MI$1,PortfolioRef[Reference '#]),0),AssetMonthlyReturns[[#This Row],[SPY]:[PE]])</f>
        <v>1.3230545060024657E-2</v>
      </c>
      <c r="MJ45" s="27">
        <f>IF(ISNUMBER(MJ44),MJ44*(1+PortfolioFrontier[[#This Row],[P87 Return]]),1+PortfolioFrontier[[#This Row],[P87 Return]])</f>
        <v>1.2700272095063669</v>
      </c>
      <c r="MK45" s="27">
        <f>MAX(MK44,PortfolioFrontier[[#This Row],[P87 Growth]])</f>
        <v>1.2700272095063669</v>
      </c>
      <c r="ML45" s="27">
        <f>PortfolioFrontier[[#This Row],[P87 Growth]]/PortfolioFrontier[[#This Row],[P87 HWM]]-1</f>
        <v>0</v>
      </c>
      <c r="MM45" s="28">
        <f>SUMPRODUCT(INDEX(PortfolioRef[[SPY]:[PE]],MATCH(MM$1,PortfolioRef[Reference '#]),0),AssetMonthlyReturns[[#This Row],[SPY]:[PE]])</f>
        <v>1.7495302685805778E-2</v>
      </c>
      <c r="MN45" s="27">
        <f>IF(ISNUMBER(MN44),MN44*(1+PortfolioFrontier[[#This Row],[P88 Return]]),1+PortfolioFrontier[[#This Row],[P88 Return]])</f>
        <v>1.3033585649727712</v>
      </c>
      <c r="MO45" s="27">
        <f>MAX(MO44,PortfolioFrontier[[#This Row],[P88 Growth]])</f>
        <v>1.3033585649727712</v>
      </c>
      <c r="MP45" s="27">
        <f>PortfolioFrontier[[#This Row],[P88 Growth]]/PortfolioFrontier[[#This Row],[P88 HWM]]-1</f>
        <v>0</v>
      </c>
      <c r="MQ45" s="28">
        <f>SUMPRODUCT(INDEX(PortfolioRef[[SPY]:[PE]],MATCH(MQ$1,PortfolioRef[Reference '#]),0),AssetMonthlyReturns[[#This Row],[SPY]:[PE]])</f>
        <v>1.6107321216610924E-2</v>
      </c>
      <c r="MR45" s="27">
        <f>IF(ISNUMBER(MR44),MR44*(1+PortfolioFrontier[[#This Row],[P89 Return]]),1+PortfolioFrontier[[#This Row],[P89 Return]])</f>
        <v>1.2837017979541492</v>
      </c>
      <c r="MS45" s="27">
        <f>MAX(MS44,PortfolioFrontier[[#This Row],[P89 Growth]])</f>
        <v>1.2837017979541492</v>
      </c>
      <c r="MT45" s="27">
        <f>PortfolioFrontier[[#This Row],[P89 Growth]]/PortfolioFrontier[[#This Row],[P89 HWM]]-1</f>
        <v>0</v>
      </c>
      <c r="MU45" s="28">
        <f>SUMPRODUCT(INDEX(PortfolioRef[[SPY]:[PE]],MATCH(MU$1,PortfolioRef[Reference '#]),0),AssetMonthlyReturns[[#This Row],[SPY]:[PE]])</f>
        <v>1.4719339747416071E-2</v>
      </c>
      <c r="MV45" s="27">
        <f>IF(ISNUMBER(MV44),MV44*(1+PortfolioFrontier[[#This Row],[P90 Return]]),1+PortfolioFrontier[[#This Row],[P90 Return]])</f>
        <v>1.2641307045225729</v>
      </c>
      <c r="MW45" s="27">
        <f>MAX(MW44,PortfolioFrontier[[#This Row],[P90 Growth]])</f>
        <v>1.2641307045225729</v>
      </c>
      <c r="MX45" s="27">
        <f>PortfolioFrontier[[#This Row],[P90 Growth]]/PortfolioFrontier[[#This Row],[P90 HWM]]-1</f>
        <v>0</v>
      </c>
      <c r="MY45" s="28">
        <f>SUMPRODUCT(INDEX(PortfolioRef[[SPY]:[PE]],MATCH(MY$1,PortfolioRef[Reference '#]),0),AssetMonthlyReturns[[#This Row],[SPY]:[PE]])</f>
        <v>1.7181666431102891E-2</v>
      </c>
      <c r="MZ45" s="27">
        <f>IF(ISNUMBER(MZ44),MZ44*(1+PortfolioFrontier[[#This Row],[P91 Return]]),1+PortfolioFrontier[[#This Row],[P91 Return]])</f>
        <v>1.3122713890230047</v>
      </c>
      <c r="NA45" s="27">
        <f>MAX(NA44,PortfolioFrontier[[#This Row],[P91 Growth]])</f>
        <v>1.3122713890230047</v>
      </c>
      <c r="NB45" s="27">
        <f>PortfolioFrontier[[#This Row],[P91 Growth]]/PortfolioFrontier[[#This Row],[P91 HWM]]-1</f>
        <v>0</v>
      </c>
      <c r="NC45" s="28">
        <f>SUMPRODUCT(INDEX(PortfolioRef[[SPY]:[PE]],MATCH(NC$1,PortfolioRef[Reference '#]),0),AssetMonthlyReturns[[#This Row],[SPY]:[PE]])</f>
        <v>1.5793684961908038E-2</v>
      </c>
      <c r="ND45" s="27">
        <f>IF(ISNUMBER(ND44),ND44*(1+PortfolioFrontier[[#This Row],[P92 Return]]),1+PortfolioFrontier[[#This Row],[P92 Return]])</f>
        <v>1.2926169946206292</v>
      </c>
      <c r="NE45" s="27">
        <f>MAX(NE44,PortfolioFrontier[[#This Row],[P92 Growth]])</f>
        <v>1.2926169946206292</v>
      </c>
      <c r="NF45" s="27">
        <f>PortfolioFrontier[[#This Row],[P92 Growth]]/PortfolioFrontier[[#This Row],[P92 HWM]]-1</f>
        <v>0</v>
      </c>
      <c r="NG45" s="28">
        <f>SUMPRODUCT(INDEX(PortfolioRef[[SPY]:[PE]],MATCH(NG$1,PortfolioRef[Reference '#]),0),AssetMonthlyReturns[[#This Row],[SPY]:[PE]])</f>
        <v>1.4405703492713185E-2</v>
      </c>
      <c r="NH45" s="27">
        <f>IF(ISNUMBER(NH44),NH44*(1+PortfolioFrontier[[#This Row],[P93 Return]]),1+PortfolioFrontier[[#This Row],[P93 Return]])</f>
        <v>1.273044781612739</v>
      </c>
      <c r="NI45" s="27">
        <f>MAX(NI44,PortfolioFrontier[[#This Row],[P93 Growth]])</f>
        <v>1.273044781612739</v>
      </c>
      <c r="NJ45" s="27">
        <f>PortfolioFrontier[[#This Row],[P93 Growth]]/PortfolioFrontier[[#This Row],[P93 HWM]]-1</f>
        <v>0</v>
      </c>
      <c r="NK45" s="28">
        <f>SUMPRODUCT(INDEX(PortfolioRef[[SPY]:[PE]],MATCH(NK$1,PortfolioRef[Reference '#]),0),AssetMonthlyReturns[[#This Row],[SPY]:[PE]])</f>
        <v>1.6868030176400005E-2</v>
      </c>
      <c r="NL45" s="27">
        <f>IF(ISNUMBER(NL44),NL44*(1+PortfolioFrontier[[#This Row],[P94 Return]]),1+PortfolioFrontier[[#This Row],[P94 Return]])</f>
        <v>1.3209445611300112</v>
      </c>
      <c r="NM45" s="27">
        <f>MAX(NM44,PortfolioFrontier[[#This Row],[P94 Growth]])</f>
        <v>1.3209445611300112</v>
      </c>
      <c r="NN45" s="27">
        <f>PortfolioFrontier[[#This Row],[P94 Growth]]/PortfolioFrontier[[#This Row],[P94 HWM]]-1</f>
        <v>0</v>
      </c>
      <c r="NO45" s="28">
        <f>SUMPRODUCT(INDEX(PortfolioRef[[SPY]:[PE]],MATCH(NO$1,PortfolioRef[Reference '#]),0),AssetMonthlyReturns[[#This Row],[SPY]:[PE]])</f>
        <v>1.5480048707205148E-2</v>
      </c>
      <c r="NP45" s="27">
        <f>IF(ISNUMBER(NP44),NP44*(1+PortfolioFrontier[[#This Row],[P95 Return]]),1+PortfolioFrontier[[#This Row],[P95 Return]])</f>
        <v>1.3012980467297912</v>
      </c>
      <c r="NQ45" s="27">
        <f>MAX(NQ44,PortfolioFrontier[[#This Row],[P95 Growth]])</f>
        <v>1.3012980467297912</v>
      </c>
      <c r="NR45" s="27">
        <f>PortfolioFrontier[[#This Row],[P95 Growth]]/PortfolioFrontier[[#This Row],[P95 HWM]]-1</f>
        <v>0</v>
      </c>
      <c r="NS45" s="28">
        <f>SUMPRODUCT(INDEX(PortfolioRef[[SPY]:[PE]],MATCH(NS$1,PortfolioRef[Reference '#]),0),AssetMonthlyReturns[[#This Row],[SPY]:[PE]])</f>
        <v>1.4092067238010295E-2</v>
      </c>
      <c r="NT45" s="27">
        <f>IF(ISNUMBER(NT44),NT44*(1+PortfolioFrontier[[#This Row],[P96 Return]]),1+PortfolioFrontier[[#This Row],[P96 Return]])</f>
        <v>1.2817301630783511</v>
      </c>
      <c r="NU45" s="27">
        <f>MAX(NU44,PortfolioFrontier[[#This Row],[P96 Growth]])</f>
        <v>1.2817301630783511</v>
      </c>
      <c r="NV45" s="27">
        <f>PortfolioFrontier[[#This Row],[P96 Growth]]/PortfolioFrontier[[#This Row],[P96 HWM]]-1</f>
        <v>0</v>
      </c>
      <c r="NW45" s="28">
        <f>SUMPRODUCT(INDEX(PortfolioRef[[SPY]:[PE]],MATCH(NW$1,PortfolioRef[Reference '#]),0),AssetMonthlyReturns[[#This Row],[SPY]:[PE]])</f>
        <v>1.1325806744310708E-2</v>
      </c>
      <c r="NX45" s="27">
        <f>IF(ISNUMBER(NX44),NX44*(1+PortfolioFrontier[[#This Row],[P97 Return]]),1+PortfolioFrontier[[#This Row],[P97 Return]])</f>
        <v>1.2396638000671902</v>
      </c>
      <c r="NY45" s="27">
        <f>MAX(NY44,PortfolioFrontier[[#This Row],[P97 Growth]])</f>
        <v>1.2396638000671902</v>
      </c>
      <c r="NZ45" s="27">
        <f>PortfolioFrontier[[#This Row],[P97 Growth]]/PortfolioFrontier[[#This Row],[P97 HWM]]-1</f>
        <v>0</v>
      </c>
      <c r="OA45" s="28">
        <f>SUMPRODUCT(INDEX(PortfolioRef[[SPY]:[PE]],MATCH(OA$1,PortfolioRef[Reference '#]),0),AssetMonthlyReturns[[#This Row],[SPY]:[PE]])</f>
        <v>1.2500965176999234E-2</v>
      </c>
      <c r="OB45" s="27">
        <f>IF(ISNUMBER(OB44),OB44*(1+PortfolioFrontier[[#This Row],[P98 Return]]),1+PortfolioFrontier[[#This Row],[P98 Return]])</f>
        <v>1.2425255432461448</v>
      </c>
      <c r="OC45" s="27">
        <f>MAX(OC44,PortfolioFrontier[[#This Row],[P98 Growth]])</f>
        <v>1.2425255432461448</v>
      </c>
      <c r="OD45" s="27">
        <f>PortfolioFrontier[[#This Row],[P98 Growth]]/PortfolioFrontier[[#This Row],[P98 HWM]]-1</f>
        <v>0</v>
      </c>
      <c r="OE45" s="28">
        <f>SUMPRODUCT(INDEX(PortfolioRef[[SPY]:[PE]],MATCH(OE$1,PortfolioRef[Reference '#]),0),AssetMonthlyReturns[[#This Row],[SPY]:[PE]])</f>
        <v>1.2187328922296348E-2</v>
      </c>
      <c r="OF45" s="27">
        <f>IF(ISNUMBER(OF44),OF44*(1+PortfolioFrontier[[#This Row],[P99 Return]]),1+PortfolioFrontier[[#This Row],[P99 Return]])</f>
        <v>1.2515210629171067</v>
      </c>
      <c r="OG45" s="27">
        <f>MAX(OG44,PortfolioFrontier[[#This Row],[P99 Growth]])</f>
        <v>1.2515210629171067</v>
      </c>
      <c r="OH45" s="27">
        <f>PortfolioFrontier[[#This Row],[P99 Growth]]/PortfolioFrontier[[#This Row],[P99 HWM]]-1</f>
        <v>0</v>
      </c>
      <c r="OI45" s="28">
        <f>SUMPRODUCT(INDEX(PortfolioRef[[SPY]:[PE]],MATCH(OI$1,PortfolioRef[Reference '#]),0),AssetMonthlyReturns[[#This Row],[SPY]:[PE]])</f>
        <v>1.0799347453101495E-2</v>
      </c>
      <c r="OJ45" s="27">
        <f>IF(ISNUMBER(OJ44),OJ44*(1+PortfolioFrontier[[#This Row],[P100 Return]]),1+PortfolioFrontier[[#This Row],[P100 Return]])</f>
        <v>1.2322253018879548</v>
      </c>
      <c r="OK45" s="27">
        <f>MAX(OK44,PortfolioFrontier[[#This Row],[P100 Growth]])</f>
        <v>1.2322253018879548</v>
      </c>
      <c r="OL45" s="27">
        <f>PortfolioFrontier[[#This Row],[P100 Growth]]/PortfolioFrontier[[#This Row],[P100 HWM]]-1</f>
        <v>0</v>
      </c>
      <c r="OM45" s="28">
        <f>SUMPRODUCT(INDEX(PortfolioRef[[SPY]:[PE]],MATCH(OM$1,PortfolioRef[Reference '#]),0),AssetMonthlyReturns[[#This Row],[SPY]:[PE]])</f>
        <v>1.3676123609687764E-2</v>
      </c>
      <c r="ON45" s="27">
        <f>IF(ISNUMBER(ON44),ON44*(1+PortfolioFrontier[[#This Row],[P101 Return]]),1+PortfolioFrontier[[#This Row],[P101 Return]])</f>
        <v>1.2452807426769079</v>
      </c>
      <c r="OO45" s="27">
        <f>MAX(OO44,PortfolioFrontier[[#This Row],[P101 Growth]])</f>
        <v>1.2452807426769079</v>
      </c>
      <c r="OP45" s="27">
        <f>PortfolioFrontier[[#This Row],[P101 Growth]]/PortfolioFrontier[[#This Row],[P101 HWM]]-1</f>
        <v>0</v>
      </c>
      <c r="OQ45" s="28">
        <f>SUMPRODUCT(INDEX(PortfolioRef[[SPY]:[PE]],MATCH(OQ$1,PortfolioRef[Reference '#]),0),AssetMonthlyReturns[[#This Row],[SPY]:[PE]])</f>
        <v>1.3362487354984874E-2</v>
      </c>
      <c r="OR45" s="27">
        <f>IF(ISNUMBER(OR44),OR44*(1+PortfolioFrontier[[#This Row],[P102 Return]]),1+PortfolioFrontier[[#This Row],[P102 Return]])</f>
        <v>1.2544140226139118</v>
      </c>
      <c r="OS45" s="27">
        <f>MAX(OS44,PortfolioFrontier[[#This Row],[P102 Growth]])</f>
        <v>1.2544140226139118</v>
      </c>
      <c r="OT45" s="27">
        <f>PortfolioFrontier[[#This Row],[P102 Growth]]/PortfolioFrontier[[#This Row],[P102 HWM]]-1</f>
        <v>0</v>
      </c>
      <c r="OU45" s="28">
        <f>SUMPRODUCT(INDEX(PortfolioRef[[SPY]:[PE]],MATCH(OU$1,PortfolioRef[Reference '#]),0),AssetMonthlyReturns[[#This Row],[SPY]:[PE]])</f>
        <v>1.1974505885790021E-2</v>
      </c>
      <c r="OV45" s="27">
        <f>IF(ISNUMBER(OV44),OV44*(1+PortfolioFrontier[[#This Row],[P103 Return]]),1+PortfolioFrontier[[#This Row],[P103 Return]])</f>
        <v>1.2350974783354829</v>
      </c>
      <c r="OW45" s="27">
        <f>MAX(OW44,PortfolioFrontier[[#This Row],[P103 Growth]])</f>
        <v>1.2350974783354829</v>
      </c>
      <c r="OX45" s="27">
        <f>PortfolioFrontier[[#This Row],[P103 Growth]]/PortfolioFrontier[[#This Row],[P103 HWM]]-1</f>
        <v>0</v>
      </c>
      <c r="OY45" s="28">
        <f>SUMPRODUCT(INDEX(PortfolioRef[[SPY]:[PE]],MATCH(OY$1,PortfolioRef[Reference '#]),0),AssetMonthlyReturns[[#This Row],[SPY]:[PE]])</f>
        <v>1.304885110028199E-2</v>
      </c>
      <c r="OZ45" s="27">
        <f>IF(ISNUMBER(OZ44),OZ44*(1+PortfolioFrontier[[#This Row],[P104 Return]]),1+PortfolioFrontier[[#This Row],[P104 Return]])</f>
        <v>1.263328019908746</v>
      </c>
      <c r="PA45" s="27">
        <f>MAX(PA44,PortfolioFrontier[[#This Row],[P104 Growth]])</f>
        <v>1.263328019908746</v>
      </c>
      <c r="PB45" s="27">
        <f>PortfolioFrontier[[#This Row],[P104 Growth]]/PortfolioFrontier[[#This Row],[P104 HWM]]-1</f>
        <v>0</v>
      </c>
      <c r="PC45" s="28">
        <f>SUMPRODUCT(INDEX(PortfolioRef[[SPY]:[PE]],MATCH(PC$1,PortfolioRef[Reference '#]),0),AssetMonthlyReturns[[#This Row],[SPY]:[PE]])</f>
        <v>1.1660869631087135E-2</v>
      </c>
      <c r="PD45" s="27">
        <f>IF(ISNUMBER(PD44),PD44*(1+PortfolioFrontier[[#This Row],[P105 Return]]),1+PortfolioFrontier[[#This Row],[P105 Return]])</f>
        <v>1.2440056023247987</v>
      </c>
      <c r="PE45" s="27">
        <f>MAX(PE44,PortfolioFrontier[[#This Row],[P105 Growth]])</f>
        <v>1.2440056023247987</v>
      </c>
      <c r="PF45" s="27">
        <f>PortfolioFrontier[[#This Row],[P105 Growth]]/PortfolioFrontier[[#This Row],[P105 HWM]]-1</f>
        <v>0</v>
      </c>
      <c r="PG45" s="28">
        <f>SUMPRODUCT(INDEX(PortfolioRef[[SPY]:[PE]],MATCH(PG$1,PortfolioRef[Reference '#]),0),AssetMonthlyReturns[[#This Row],[SPY]:[PE]])</f>
        <v>1.0272888161892282E-2</v>
      </c>
      <c r="PH45" s="27">
        <f>IF(ISNUMBER(PH44),PH44*(1+PortfolioFrontier[[#This Row],[P106 Return]]),1+PortfolioFrontier[[#This Row],[P106 Return]])</f>
        <v>1.2247741144920026</v>
      </c>
      <c r="PI45" s="27">
        <f>MAX(PI44,PortfolioFrontier[[#This Row],[P106 Growth]])</f>
        <v>1.2247741144920026</v>
      </c>
      <c r="PJ45" s="27">
        <f>PortfolioFrontier[[#This Row],[P106 Growth]]/PortfolioFrontier[[#This Row],[P106 HWM]]-1</f>
        <v>0</v>
      </c>
      <c r="PK45" s="28">
        <f>SUMPRODUCT(INDEX(PortfolioRef[[SPY]:[PE]],MATCH(PK$1,PortfolioRef[Reference '#]),0),AssetMonthlyReturns[[#This Row],[SPY]:[PE]])</f>
        <v>1.4537645787673404E-2</v>
      </c>
      <c r="PL45" s="27">
        <f>IF(ISNUMBER(PL44),PL44*(1+PortfolioFrontier[[#This Row],[P107 Return]]),1+PortfolioFrontier[[#This Row],[P107 Return]])</f>
        <v>1.257199531774144</v>
      </c>
      <c r="PM45" s="27">
        <f>MAX(PM44,PortfolioFrontier[[#This Row],[P107 Growth]])</f>
        <v>1.257199531774144</v>
      </c>
      <c r="PN45" s="27">
        <f>PortfolioFrontier[[#This Row],[P107 Growth]]/PortfolioFrontier[[#This Row],[P107 HWM]]-1</f>
        <v>0</v>
      </c>
      <c r="PO45" s="28">
        <f>SUMPRODUCT(INDEX(PortfolioRef[[SPY]:[PE]],MATCH(PO$1,PortfolioRef[Reference '#]),0),AssetMonthlyReturns[[#This Row],[SPY]:[PE]])</f>
        <v>1.3149664318478551E-2</v>
      </c>
      <c r="PP45" s="27">
        <f>IF(ISNUMBER(PP44),PP44*(1+PortfolioFrontier[[#This Row],[P108 Return]]),1+PortfolioFrontier[[#This Row],[P108 Return]])</f>
        <v>1.237863825076976</v>
      </c>
      <c r="PQ45" s="27">
        <f>MAX(PQ44,PortfolioFrontier[[#This Row],[P108 Growth]])</f>
        <v>1.237863825076976</v>
      </c>
      <c r="PR45" s="27">
        <f>PortfolioFrontier[[#This Row],[P108 Growth]]/PortfolioFrontier[[#This Row],[P108 HWM]]-1</f>
        <v>0</v>
      </c>
      <c r="PS45" s="28">
        <f>SUMPRODUCT(INDEX(PortfolioRef[[SPY]:[PE]],MATCH(PS$1,PortfolioRef[Reference '#]),0),AssetMonthlyReturns[[#This Row],[SPY]:[PE]])</f>
        <v>1.4224009532970516E-2</v>
      </c>
      <c r="PT45" s="27">
        <f>IF(ISNUMBER(PT44),PT44*(1+PortfolioFrontier[[#This Row],[P109 Return]]),1+PortfolioFrontier[[#This Row],[P109 Return]])</f>
        <v>1.2662523191954964</v>
      </c>
      <c r="PU45" s="27">
        <f>MAX(PU44,PortfolioFrontier[[#This Row],[P109 Growth]])</f>
        <v>1.2662523191954964</v>
      </c>
      <c r="PV45" s="27">
        <f>PortfolioFrontier[[#This Row],[P109 Growth]]/PortfolioFrontier[[#This Row],[P109 HWM]]-1</f>
        <v>0</v>
      </c>
      <c r="PW45" s="28">
        <f>SUMPRODUCT(INDEX(PortfolioRef[[SPY]:[PE]],MATCH(PW$1,PortfolioRef[Reference '#]),0),AssetMonthlyReturns[[#This Row],[SPY]:[PE]])</f>
        <v>1.2836028063775661E-2</v>
      </c>
      <c r="PX45" s="27">
        <f>IF(ISNUMBER(PX44),PX44*(1+PortfolioFrontier[[#This Row],[P110 Return]]),1+PortfolioFrontier[[#This Row],[P110 Return]])</f>
        <v>1.2469091023626186</v>
      </c>
      <c r="PY45" s="27">
        <f>MAX(PY44,PortfolioFrontier[[#This Row],[P110 Growth]])</f>
        <v>1.2469091023626186</v>
      </c>
      <c r="PZ45" s="27">
        <f>PortfolioFrontier[[#This Row],[P110 Growth]]/PortfolioFrontier[[#This Row],[P110 HWM]]-1</f>
        <v>0</v>
      </c>
      <c r="QA45" s="28">
        <f>SUMPRODUCT(INDEX(PortfolioRef[[SPY]:[PE]],MATCH(QA$1,PortfolioRef[Reference '#]),0),AssetMonthlyReturns[[#This Row],[SPY]:[PE]])</f>
        <v>1.1448046594580808E-2</v>
      </c>
      <c r="QB45" s="27">
        <f>IF(ISNUMBER(QB44),QB44*(1+PortfolioFrontier[[#This Row],[P111 Return]]),1+PortfolioFrontier[[#This Row],[P111 Return]])</f>
        <v>1.2276563537642862</v>
      </c>
      <c r="QC45" s="27">
        <f>MAX(QC44,PortfolioFrontier[[#This Row],[P111 Growth]])</f>
        <v>1.2276563537642862</v>
      </c>
      <c r="QD45" s="27">
        <f>PortfolioFrontier[[#This Row],[P111 Growth]]/PortfolioFrontier[[#This Row],[P111 HWM]]-1</f>
        <v>0</v>
      </c>
      <c r="QE45" s="28">
        <f>SUMPRODUCT(INDEX(PortfolioRef[[SPY]:[PE]],MATCH(QE$1,PortfolioRef[Reference '#]),0),AssetMonthlyReturns[[#This Row],[SPY]:[PE]])</f>
        <v>1.391037327826763E-2</v>
      </c>
      <c r="QF45" s="27">
        <f>IF(ISNUMBER(QF44),QF44*(1+PortfolioFrontier[[#This Row],[P112 Return]]),1+PortfolioFrontier[[#This Row],[P112 Return]])</f>
        <v>1.2750810722361612</v>
      </c>
      <c r="QG45" s="27">
        <f>MAX(QG44,PortfolioFrontier[[#This Row],[P112 Growth]])</f>
        <v>1.2750810722361612</v>
      </c>
      <c r="QH45" s="27">
        <f>PortfolioFrontier[[#This Row],[P112 Growth]]/PortfolioFrontier[[#This Row],[P112 HWM]]-1</f>
        <v>0</v>
      </c>
      <c r="QI45" s="28">
        <f>SUMPRODUCT(INDEX(PortfolioRef[[SPY]:[PE]],MATCH(QI$1,PortfolioRef[Reference '#]),0),AssetMonthlyReturns[[#This Row],[SPY]:[PE]])</f>
        <v>1.2522391809072775E-2</v>
      </c>
      <c r="QJ45" s="27">
        <f>IF(ISNUMBER(QJ44),QJ44*(1+PortfolioFrontier[[#This Row],[P113 Return]]),1+PortfolioFrontier[[#This Row],[P113 Return]])</f>
        <v>1.2557356646700504</v>
      </c>
      <c r="QK45" s="27">
        <f>MAX(QK44,PortfolioFrontier[[#This Row],[P113 Growth]])</f>
        <v>1.2557356646700504</v>
      </c>
      <c r="QL45" s="27">
        <f>PortfolioFrontier[[#This Row],[P113 Growth]]/PortfolioFrontier[[#This Row],[P113 HWM]]-1</f>
        <v>0</v>
      </c>
      <c r="QM45" s="28">
        <f>SUMPRODUCT(INDEX(PortfolioRef[[SPY]:[PE]],MATCH(QM$1,PortfolioRef[Reference '#]),0),AssetMonthlyReturns[[#This Row],[SPY]:[PE]])</f>
        <v>1.113441033987792E-2</v>
      </c>
      <c r="QN45" s="27">
        <f>IF(ISNUMBER(QN44),QN44*(1+PortfolioFrontier[[#This Row],[P114 Return]]),1+PortfolioFrontier[[#This Row],[P114 Return]])</f>
        <v>1.2364773705052936</v>
      </c>
      <c r="QO45" s="27">
        <f>MAX(QO44,PortfolioFrontier[[#This Row],[P114 Growth]])</f>
        <v>1.2364773705052936</v>
      </c>
      <c r="QP45" s="27">
        <f>PortfolioFrontier[[#This Row],[P114 Growth]]/PortfolioFrontier[[#This Row],[P114 HWM]]-1</f>
        <v>0</v>
      </c>
      <c r="QQ45" s="28">
        <f>SUMPRODUCT(INDEX(PortfolioRef[[SPY]:[PE]],MATCH(QQ$1,PortfolioRef[Reference '#]),0),AssetMonthlyReturns[[#This Row],[SPY]:[PE]])</f>
        <v>1.5399167965659044E-2</v>
      </c>
      <c r="QR45" s="27">
        <f>IF(ISNUMBER(QR44),QR44*(1+PortfolioFrontier[[#This Row],[P115 Return]]),1+PortfolioFrontier[[#This Row],[P115 Return]])</f>
        <v>1.2690682668473303</v>
      </c>
      <c r="QS45" s="27">
        <f>MAX(QS44,PortfolioFrontier[[#This Row],[P115 Growth]])</f>
        <v>1.2690682668473303</v>
      </c>
      <c r="QT45" s="27">
        <f>PortfolioFrontier[[#This Row],[P115 Growth]]/PortfolioFrontier[[#This Row],[P115 HWM]]-1</f>
        <v>0</v>
      </c>
      <c r="QU45" s="28">
        <f>SUMPRODUCT(INDEX(PortfolioRef[[SPY]:[PE]],MATCH(QU$1,PortfolioRef[Reference '#]),0),AssetMonthlyReturns[[#This Row],[SPY]:[PE]])</f>
        <v>1.4011186496464189E-2</v>
      </c>
      <c r="QV45" s="27">
        <f>IF(ISNUMBER(QV44),QV44*(1+PortfolioFrontier[[#This Row],[P116 Return]]),1+PortfolioFrontier[[#This Row],[P116 Return]])</f>
        <v>1.2497058730011987</v>
      </c>
      <c r="QW45" s="27">
        <f>MAX(QW44,PortfolioFrontier[[#This Row],[P116 Growth]])</f>
        <v>1.2497058730011987</v>
      </c>
      <c r="QX45" s="27">
        <f>PortfolioFrontier[[#This Row],[P116 Growth]]/PortfolioFrontier[[#This Row],[P116 HWM]]-1</f>
        <v>0</v>
      </c>
      <c r="QY45" s="28">
        <f>SUMPRODUCT(INDEX(PortfolioRef[[SPY]:[PE]],MATCH(QY$1,PortfolioRef[Reference '#]),0),AssetMonthlyReturns[[#This Row],[SPY]:[PE]])</f>
        <v>1.2623205027269336E-2</v>
      </c>
      <c r="QZ45" s="27">
        <f>IF(ISNUMBER(QZ44),QZ44*(1+PortfolioFrontier[[#This Row],[P117 Return]]),1+PortfolioFrontier[[#This Row],[P117 Return]])</f>
        <v>1.2304334780563368</v>
      </c>
      <c r="RA45" s="27">
        <f>MAX(RA44,PortfolioFrontier[[#This Row],[P117 Growth]])</f>
        <v>1.2304334780563368</v>
      </c>
      <c r="RB45" s="27">
        <f>PortfolioFrontier[[#This Row],[P117 Growth]]/PortfolioFrontier[[#This Row],[P117 HWM]]-1</f>
        <v>0</v>
      </c>
      <c r="RC45" s="28">
        <f>SUMPRODUCT(INDEX(PortfolioRef[[SPY]:[PE]],MATCH(RC$1,PortfolioRef[Reference '#]),0),AssetMonthlyReturns[[#This Row],[SPY]:[PE]])</f>
        <v>1.5085531710956158E-2</v>
      </c>
      <c r="RD45" s="27">
        <f>IF(ISNUMBER(RD44),RD44*(1+PortfolioFrontier[[#This Row],[P118 Return]]),1+PortfolioFrontier[[#This Row],[P118 Return]])</f>
        <v>1.2780368307527967</v>
      </c>
      <c r="RE45" s="27">
        <f>MAX(RE44,PortfolioFrontier[[#This Row],[P118 Growth]])</f>
        <v>1.2780368307527967</v>
      </c>
      <c r="RF45" s="27">
        <f>PortfolioFrontier[[#This Row],[P118 Growth]]/PortfolioFrontier[[#This Row],[P118 HWM]]-1</f>
        <v>0</v>
      </c>
      <c r="RG45" s="28">
        <f>SUMPRODUCT(INDEX(PortfolioRef[[SPY]:[PE]],MATCH(RG$1,PortfolioRef[Reference '#]),0),AssetMonthlyReturns[[#This Row],[SPY]:[PE]])</f>
        <v>1.3697550241761303E-2</v>
      </c>
      <c r="RH45" s="27">
        <f>IF(ISNUMBER(RH44),RH44*(1+PortfolioFrontier[[#This Row],[P119 Return]]),1+PortfolioFrontier[[#This Row],[P119 Return]])</f>
        <v>1.2586706107472065</v>
      </c>
      <c r="RI45" s="27">
        <f>MAX(RI44,PortfolioFrontier[[#This Row],[P119 Growth]])</f>
        <v>1.2586706107472065</v>
      </c>
      <c r="RJ45" s="27">
        <f>PortfolioFrontier[[#This Row],[P119 Growth]]/PortfolioFrontier[[#This Row],[P119 HWM]]-1</f>
        <v>0</v>
      </c>
      <c r="RK45" s="28">
        <f>SUMPRODUCT(INDEX(PortfolioRef[[SPY]:[PE]],MATCH(RK$1,PortfolioRef[Reference '#]),0),AssetMonthlyReturns[[#This Row],[SPY]:[PE]])</f>
        <v>1.2309568772566448E-2</v>
      </c>
      <c r="RL45" s="27">
        <f>IF(ISNUMBER(RL44),RL44*(1+PortfolioFrontier[[#This Row],[P120 Return]]),1+PortfolioFrontier[[#This Row],[P120 Return]])</f>
        <v>1.2393910363134633</v>
      </c>
      <c r="RM45" s="27">
        <f>MAX(RM44,PortfolioFrontier[[#This Row],[P120 Growth]])</f>
        <v>1.2393910363134633</v>
      </c>
      <c r="RN45" s="27">
        <f>PortfolioFrontier[[#This Row],[P120 Growth]]/PortfolioFrontier[[#This Row],[P120 HWM]]-1</f>
        <v>0</v>
      </c>
      <c r="RO45" s="28">
        <f>SUMPRODUCT(INDEX(PortfolioRef[[SPY]:[PE]],MATCH(RO$1,PortfolioRef[Reference '#]),0),AssetMonthlyReturns[[#This Row],[SPY]:[PE]])</f>
        <v>1.4771895456253268E-2</v>
      </c>
      <c r="RP45" s="27">
        <f>IF(ISNUMBER(RP44),RP44*(1+PortfolioFrontier[[#This Row],[P121 Return]]),1+PortfolioFrontier[[#This Row],[P121 Return]])</f>
        <v>1.2867765891277994</v>
      </c>
      <c r="RQ45" s="27">
        <f>MAX(RQ44,PortfolioFrontier[[#This Row],[P121 Growth]])</f>
        <v>1.2867765891277994</v>
      </c>
      <c r="RR45" s="27">
        <f>PortfolioFrontier[[#This Row],[P121 Growth]]/PortfolioFrontier[[#This Row],[P121 HWM]]-1</f>
        <v>0</v>
      </c>
      <c r="RS45" s="28">
        <f>SUMPRODUCT(INDEX(PortfolioRef[[SPY]:[PE]],MATCH(RS$1,PortfolioRef[Reference '#]),0),AssetMonthlyReturns[[#This Row],[SPY]:[PE]])</f>
        <v>1.3383913987058415E-2</v>
      </c>
      <c r="RT45" s="27">
        <f>IF(ISNUMBER(RT44),RT44*(1+PortfolioFrontier[[#This Row],[P122 Return]]),1+PortfolioFrontier[[#This Row],[P122 Return]])</f>
        <v>1.2674119067043499</v>
      </c>
      <c r="RU45" s="27">
        <f>MAX(RU44,PortfolioFrontier[[#This Row],[P122 Growth]])</f>
        <v>1.2674119067043499</v>
      </c>
      <c r="RV45" s="27">
        <f>PortfolioFrontier[[#This Row],[P122 Growth]]/PortfolioFrontier[[#This Row],[P122 HWM]]-1</f>
        <v>0</v>
      </c>
      <c r="RW45" s="28">
        <f>SUMPRODUCT(INDEX(PortfolioRef[[SPY]:[PE]],MATCH(RW$1,PortfolioRef[Reference '#]),0),AssetMonthlyReturns[[#This Row],[SPY]:[PE]])</f>
        <v>1.199593251786356E-2</v>
      </c>
      <c r="RX45" s="27">
        <f>IF(ISNUMBER(RX44),RX44*(1+PortfolioFrontier[[#This Row],[P123 Return]]),1+PortfolioFrontier[[#This Row],[P123 Return]])</f>
        <v>1.2481304574919638</v>
      </c>
      <c r="RY45" s="27">
        <f>MAX(RY44,PortfolioFrontier[[#This Row],[P123 Growth]])</f>
        <v>1.2481304574919638</v>
      </c>
      <c r="RZ45" s="27">
        <f>PortfolioFrontier[[#This Row],[P123 Growth]]/PortfolioFrontier[[#This Row],[P123 HWM]]-1</f>
        <v>0</v>
      </c>
      <c r="SA45" s="28">
        <f>SUMPRODUCT(INDEX(PortfolioRef[[SPY]:[PE]],MATCH(SA$1,PortfolioRef[Reference '#]),0),AssetMonthlyReturns[[#This Row],[SPY]:[PE]])</f>
        <v>1.6260690143644684E-2</v>
      </c>
      <c r="SB45" s="27">
        <f>IF(ISNUMBER(SB44),SB44*(1+PortfolioFrontier[[#This Row],[P124 Return]]),1+PortfolioFrontier[[#This Row],[P124 Return]])</f>
        <v>1.280883342499904</v>
      </c>
      <c r="SC45" s="27">
        <f>MAX(SC44,PortfolioFrontier[[#This Row],[P124 Growth]])</f>
        <v>1.280883342499904</v>
      </c>
      <c r="SD45" s="27">
        <f>PortfolioFrontier[[#This Row],[P124 Growth]]/PortfolioFrontier[[#This Row],[P124 HWM]]-1</f>
        <v>0</v>
      </c>
      <c r="SE45" s="28">
        <f>SUMPRODUCT(INDEX(PortfolioRef[[SPY]:[PE]],MATCH(SE$1,PortfolioRef[Reference '#]),0),AssetMonthlyReturns[[#This Row],[SPY]:[PE]])</f>
        <v>1.4872708674449831E-2</v>
      </c>
      <c r="SF45" s="27">
        <f>IF(ISNUMBER(SF44),SF44*(1+PortfolioFrontier[[#This Row],[P125 Return]]),1+PortfolioFrontier[[#This Row],[P125 Return]])</f>
        <v>1.2614979334191851</v>
      </c>
      <c r="SG45" s="27">
        <f>MAX(SG44,PortfolioFrontier[[#This Row],[P125 Growth]])</f>
        <v>1.2614979334191851</v>
      </c>
      <c r="SH45" s="27">
        <f>PortfolioFrontier[[#This Row],[P125 Growth]]/PortfolioFrontier[[#This Row],[P125 HWM]]-1</f>
        <v>0</v>
      </c>
      <c r="SI45" s="28">
        <f>SUMPRODUCT(INDEX(PortfolioRef[[SPY]:[PE]],MATCH(SI$1,PortfolioRef[Reference '#]),0),AssetMonthlyReturns[[#This Row],[SPY]:[PE]])</f>
        <v>1.3484727205254975E-2</v>
      </c>
      <c r="SJ45" s="27">
        <f>IF(ISNUMBER(SJ44),SJ44*(1+PortfolioFrontier[[#This Row],[P126 Return]]),1+PortfolioFrontier[[#This Row],[P126 Return]])</f>
        <v>1.2421986945436305</v>
      </c>
      <c r="SK45" s="27">
        <f>MAX(SK44,PortfolioFrontier[[#This Row],[P126 Growth]])</f>
        <v>1.2421986945436305</v>
      </c>
      <c r="SL45" s="27">
        <f>PortfolioFrontier[[#This Row],[P126 Growth]]/PortfolioFrontier[[#This Row],[P126 HWM]]-1</f>
        <v>0</v>
      </c>
      <c r="SM45" s="28">
        <f>SUMPRODUCT(INDEX(PortfolioRef[[SPY]:[PE]],MATCH(SM$1,PortfolioRef[Reference '#]),0),AssetMonthlyReturns[[#This Row],[SPY]:[PE]])</f>
        <v>1.5947053888941798E-2</v>
      </c>
      <c r="SN45" s="27">
        <f>IF(ISNUMBER(SN44),SN44*(1+PortfolioFrontier[[#This Row],[P127 Return]]),1+PortfolioFrontier[[#This Row],[P127 Return]])</f>
        <v>1.2897639230148508</v>
      </c>
      <c r="SO45" s="27">
        <f>MAX(SO44,PortfolioFrontier[[#This Row],[P127 Growth]])</f>
        <v>1.2897639230148508</v>
      </c>
      <c r="SP45" s="27">
        <f>PortfolioFrontier[[#This Row],[P127 Growth]]/PortfolioFrontier[[#This Row],[P127 HWM]]-1</f>
        <v>0</v>
      </c>
      <c r="SQ45" s="28">
        <f>SUMPRODUCT(INDEX(PortfolioRef[[SPY]:[PE]],MATCH(SQ$1,PortfolioRef[Reference '#]),0),AssetMonthlyReturns[[#This Row],[SPY]:[PE]])</f>
        <v>1.4559072419746945E-2</v>
      </c>
      <c r="SR45" s="27">
        <f>IF(ISNUMBER(SR44),SR44*(1+PortfolioFrontier[[#This Row],[P128 Return]]),1+PortfolioFrontier[[#This Row],[P128 Return]])</f>
        <v>1.2703784178007727</v>
      </c>
      <c r="SS45" s="27">
        <f>MAX(SS44,PortfolioFrontier[[#This Row],[P128 Growth]])</f>
        <v>1.2703784178007727</v>
      </c>
      <c r="ST45" s="27">
        <f>PortfolioFrontier[[#This Row],[P128 Growth]]/PortfolioFrontier[[#This Row],[P128 HWM]]-1</f>
        <v>0</v>
      </c>
      <c r="SU45" s="28">
        <f>SUMPRODUCT(INDEX(PortfolioRef[[SPY]:[PE]],MATCH(SU$1,PortfolioRef[Reference '#]),0),AssetMonthlyReturns[[#This Row],[SPY]:[PE]])</f>
        <v>1.3171090950552088E-2</v>
      </c>
      <c r="SV45" s="27">
        <f>IF(ISNUMBER(SV44),SV44*(1+PortfolioFrontier[[#This Row],[P129 Return]]),1+PortfolioFrontier[[#This Row],[P129 Return]])</f>
        <v>1.251075671652103</v>
      </c>
      <c r="SW45" s="27">
        <f>MAX(SW44,PortfolioFrontier[[#This Row],[P129 Growth]])</f>
        <v>1.251075671652103</v>
      </c>
      <c r="SX45" s="27">
        <f>PortfolioFrontier[[#This Row],[P129 Growth]]/PortfolioFrontier[[#This Row],[P129 HWM]]-1</f>
        <v>0</v>
      </c>
      <c r="SY45" s="28">
        <f>SUMPRODUCT(INDEX(PortfolioRef[[SPY]:[PE]],MATCH(SY$1,PortfolioRef[Reference '#]),0),AssetMonthlyReturns[[#This Row],[SPY]:[PE]])</f>
        <v>1.5633417634238912E-2</v>
      </c>
      <c r="SZ45" s="27">
        <f>IF(ISNUMBER(SZ44),SZ44*(1+PortfolioFrontier[[#This Row],[P130 Return]]),1+PortfolioFrontier[[#This Row],[P130 Return]])</f>
        <v>1.2984109087671731</v>
      </c>
      <c r="TA45" s="27">
        <f>MAX(TA44,PortfolioFrontier[[#This Row],[P130 Growth]])</f>
        <v>1.2984109087671731</v>
      </c>
      <c r="TB45" s="27">
        <f>PortfolioFrontier[[#This Row],[P130 Growth]]/PortfolioFrontier[[#This Row],[P130 HWM]]-1</f>
        <v>0</v>
      </c>
      <c r="TC45" s="28">
        <f>SUMPRODUCT(INDEX(PortfolioRef[[SPY]:[PE]],MATCH(TC$1,PortfolioRef[Reference '#]),0),AssetMonthlyReturns[[#This Row],[SPY]:[PE]])</f>
        <v>1.4245436165044055E-2</v>
      </c>
      <c r="TD45" s="27">
        <f>IF(ISNUMBER(TD44),TD44*(1+PortfolioFrontier[[#This Row],[P131 Return]]),1+PortfolioFrontier[[#This Row],[P131 Return]])</f>
        <v>1.2790307143875075</v>
      </c>
      <c r="TE45" s="27">
        <f>MAX(TE44,PortfolioFrontier[[#This Row],[P131 Growth]])</f>
        <v>1.2790307143875075</v>
      </c>
      <c r="TF45" s="27">
        <f>PortfolioFrontier[[#This Row],[P131 Growth]]/PortfolioFrontier[[#This Row],[P131 HWM]]-1</f>
        <v>0</v>
      </c>
      <c r="TG45" s="28">
        <f>SUMPRODUCT(INDEX(PortfolioRef[[SPY]:[PE]],MATCH(TG$1,PortfolioRef[Reference '#]),0),AssetMonthlyReturns[[#This Row],[SPY]:[PE]])</f>
        <v>1.2857454695849202E-2</v>
      </c>
      <c r="TH45" s="27">
        <f>IF(ISNUMBER(TH44),TH44*(1+PortfolioFrontier[[#This Row],[P132 Return]]),1+PortfolioFrontier[[#This Row],[P132 Return]])</f>
        <v>1.2597298098607455</v>
      </c>
      <c r="TI45" s="27">
        <f>MAX(TI44,PortfolioFrontier[[#This Row],[P132 Growth]])</f>
        <v>1.2597298098607455</v>
      </c>
      <c r="TJ45" s="27">
        <f>PortfolioFrontier[[#This Row],[P132 Growth]]/PortfolioFrontier[[#This Row],[P132 HWM]]-1</f>
        <v>0</v>
      </c>
      <c r="TK45" s="28">
        <f>SUMPRODUCT(INDEX(PortfolioRef[[SPY]:[PE]],MATCH(TK$1,PortfolioRef[Reference '#]),0),AssetMonthlyReturns[[#This Row],[SPY]:[PE]])</f>
        <v>1.7122212321630324E-2</v>
      </c>
      <c r="TL45" s="27">
        <f>IF(ISNUMBER(TL44),TL44*(1+PortfolioFrontier[[#This Row],[P133 Return]]),1+PortfolioFrontier[[#This Row],[P133 Return]])</f>
        <v>1.2926411212368099</v>
      </c>
      <c r="TM45" s="27">
        <f>MAX(TM44,PortfolioFrontier[[#This Row],[P133 Growth]])</f>
        <v>1.2926411212368099</v>
      </c>
      <c r="TN45" s="27">
        <f>PortfolioFrontier[[#This Row],[P133 Growth]]/PortfolioFrontier[[#This Row],[P133 HWM]]-1</f>
        <v>0</v>
      </c>
      <c r="TO45" s="28">
        <f>SUMPRODUCT(INDEX(PortfolioRef[[SPY]:[PE]],MATCH(TO$1,PortfolioRef[Reference '#]),0),AssetMonthlyReturns[[#This Row],[SPY]:[PE]])</f>
        <v>1.5734230852435471E-2</v>
      </c>
      <c r="TP45" s="27">
        <f>IF(ISNUMBER(TP44),TP44*(1+PortfolioFrontier[[#This Row],[P134 Return]]),1+PortfolioFrontier[[#This Row],[P134 Return]])</f>
        <v>1.2732364174457698</v>
      </c>
      <c r="TQ45" s="27">
        <f>MAX(TQ44,PortfolioFrontier[[#This Row],[P134 Growth]])</f>
        <v>1.2732364174457698</v>
      </c>
      <c r="TR45" s="27">
        <f>PortfolioFrontier[[#This Row],[P134 Growth]]/PortfolioFrontier[[#This Row],[P134 HWM]]-1</f>
        <v>0</v>
      </c>
      <c r="TS45" s="28">
        <f>SUMPRODUCT(INDEX(PortfolioRef[[SPY]:[PE]],MATCH(TS$1,PortfolioRef[Reference '#]),0),AssetMonthlyReturns[[#This Row],[SPY]:[PE]])</f>
        <v>1.4346249383240618E-2</v>
      </c>
      <c r="TT45" s="27">
        <f>IF(ISNUMBER(TT44),TT44*(1+PortfolioFrontier[[#This Row],[P135 Return]]),1+PortfolioFrontier[[#This Row],[P135 Return]])</f>
        <v>1.2539139913207957</v>
      </c>
      <c r="TU45" s="27">
        <f>MAX(TU44,PortfolioFrontier[[#This Row],[P135 Growth]])</f>
        <v>1.2539139913207957</v>
      </c>
      <c r="TV45" s="27">
        <f>PortfolioFrontier[[#This Row],[P135 Growth]]/PortfolioFrontier[[#This Row],[P135 HWM]]-1</f>
        <v>0</v>
      </c>
      <c r="TW45" s="28">
        <f>SUMPRODUCT(INDEX(PortfolioRef[[SPY]:[PE]],MATCH(TW$1,PortfolioRef[Reference '#]),0),AssetMonthlyReturns[[#This Row],[SPY]:[PE]])</f>
        <v>1.6808576066927438E-2</v>
      </c>
      <c r="TX45" s="27">
        <f>IF(ISNUMBER(TX44),TX44*(1+PortfolioFrontier[[#This Row],[P136 Return]]),1+PortfolioFrontier[[#This Row],[P136 Return]])</f>
        <v>1.301429930598943</v>
      </c>
      <c r="TY45" s="27">
        <f>MAX(TY44,PortfolioFrontier[[#This Row],[P136 Growth]])</f>
        <v>1.301429930598943</v>
      </c>
      <c r="TZ45" s="27">
        <f>PortfolioFrontier[[#This Row],[P136 Growth]]/PortfolioFrontier[[#This Row],[P136 HWM]]-1</f>
        <v>0</v>
      </c>
      <c r="UA45" s="28">
        <f>SUMPRODUCT(INDEX(PortfolioRef[[SPY]:[PE]],MATCH(UA$1,PortfolioRef[Reference '#]),0),AssetMonthlyReturns[[#This Row],[SPY]:[PE]])</f>
        <v>1.5420594597732581E-2</v>
      </c>
      <c r="UB45" s="27">
        <f>IF(ISNUMBER(UB44),UB44*(1+PortfolioFrontier[[#This Row],[P137 Return]]),1+PortfolioFrontier[[#This Row],[P137 Return]])</f>
        <v>1.28202890594645</v>
      </c>
      <c r="UC45" s="27">
        <f>MAX(UC44,PortfolioFrontier[[#This Row],[P137 Growth]])</f>
        <v>1.28202890594645</v>
      </c>
      <c r="UD45" s="27">
        <f>PortfolioFrontier[[#This Row],[P137 Growth]]/PortfolioFrontier[[#This Row],[P137 HWM]]-1</f>
        <v>0</v>
      </c>
      <c r="UE45" s="28">
        <f>SUMPRODUCT(INDEX(PortfolioRef[[SPY]:[PE]],MATCH(UE$1,PortfolioRef[Reference '#]),0),AssetMonthlyReturns[[#This Row],[SPY]:[PE]])</f>
        <v>1.4032613128537728E-2</v>
      </c>
      <c r="UF45" s="27">
        <f>IF(ISNUMBER(UF44),UF44*(1+PortfolioFrontier[[#This Row],[P138 Return]]),1+PortfolioFrontier[[#This Row],[P138 Return]])</f>
        <v>1.262706690683447</v>
      </c>
      <c r="UG45" s="27">
        <f>MAX(UG44,PortfolioFrontier[[#This Row],[P138 Growth]])</f>
        <v>1.262706690683447</v>
      </c>
      <c r="UH45" s="27">
        <f>PortfolioFrontier[[#This Row],[P138 Growth]]/PortfolioFrontier[[#This Row],[P138 HWM]]-1</f>
        <v>0</v>
      </c>
      <c r="UI45" s="28">
        <f>SUMPRODUCT(INDEX(PortfolioRef[[SPY]:[PE]],MATCH(UI$1,PortfolioRef[Reference '#]),0),AssetMonthlyReturns[[#This Row],[SPY]:[PE]])</f>
        <v>1.6494939812224552E-2</v>
      </c>
      <c r="UJ45" s="27">
        <f>IF(ISNUMBER(UJ44),UJ44*(1+PortfolioFrontier[[#This Row],[P139 Return]]),1+PortfolioFrontier[[#This Row],[P139 Return]])</f>
        <v>1.3099803392403082</v>
      </c>
      <c r="UK45" s="27">
        <f>MAX(UK44,PortfolioFrontier[[#This Row],[P139 Growth]])</f>
        <v>1.3099803392403082</v>
      </c>
      <c r="UL45" s="27">
        <f>PortfolioFrontier[[#This Row],[P139 Growth]]/PortfolioFrontier[[#This Row],[P139 HWM]]-1</f>
        <v>0</v>
      </c>
      <c r="UM45" s="28">
        <f>SUMPRODUCT(INDEX(PortfolioRef[[SPY]:[PE]],MATCH(UM$1,PortfolioRef[Reference '#]),0),AssetMonthlyReturns[[#This Row],[SPY]:[PE]])</f>
        <v>1.5106958343029699E-2</v>
      </c>
      <c r="UN45" s="27">
        <f>IF(ISNUMBER(UN44),UN44*(1+PortfolioFrontier[[#This Row],[P140 Return]]),1+PortfolioFrontier[[#This Row],[P140 Return]])</f>
        <v>1.2905884427744059</v>
      </c>
      <c r="UO45" s="27">
        <f>MAX(UO44,PortfolioFrontier[[#This Row],[P140 Growth]])</f>
        <v>1.2905884427744059</v>
      </c>
      <c r="UP45" s="27">
        <f>PortfolioFrontier[[#This Row],[P140 Growth]]/PortfolioFrontier[[#This Row],[P140 HWM]]-1</f>
        <v>0</v>
      </c>
      <c r="UQ45" s="28">
        <f>SUMPRODUCT(INDEX(PortfolioRef[[SPY]:[PE]],MATCH(UQ$1,PortfolioRef[Reference '#]),0),AssetMonthlyReturns[[#This Row],[SPY]:[PE]])</f>
        <v>1.3718976873834842E-2</v>
      </c>
      <c r="UR45" s="27">
        <f>IF(ISNUMBER(UR44),UR44*(1+PortfolioFrontier[[#This Row],[P141 Return]]),1+PortfolioFrontier[[#This Row],[P141 Return]])</f>
        <v>1.271271830344713</v>
      </c>
      <c r="US45" s="27">
        <f>MAX(US44,PortfolioFrontier[[#This Row],[P141 Growth]])</f>
        <v>1.271271830344713</v>
      </c>
      <c r="UT45" s="27">
        <f>PortfolioFrontier[[#This Row],[P141 Growth]]/PortfolioFrontier[[#This Row],[P141 HWM]]-1</f>
        <v>0</v>
      </c>
    </row>
    <row r="46" spans="2:566" x14ac:dyDescent="0.2">
      <c r="B46" s="41">
        <f>AssetMonthlyReturns[[#This Row],[Date]]</f>
        <v>43770</v>
      </c>
      <c r="C46" s="28">
        <f>SUMPRODUCT(INDEX(PortfolioRef[[SPY]:[PE]],MATCH(C$1,PortfolioRef[Reference '#]),0),AssetMonthlyReturns[[#This Row],[SPY]:[PE]])</f>
        <v>1.5028349218035995E-2</v>
      </c>
      <c r="D46" s="29">
        <f>IF(ISNUMBER(D45),D45*(1+PortfolioFrontier[[#This Row],[P1 Return]]),1+PortfolioFrontier[[#This Row],[P1 Return]])</f>
        <v>1.3952901840550527</v>
      </c>
      <c r="E46" s="29">
        <f>MAX(E45,PortfolioFrontier[[#This Row],[P1 Growth]])</f>
        <v>1.3952901840550527</v>
      </c>
      <c r="F46" s="29">
        <f>PortfolioFrontier[[#This Row],[P1 Growth]]/PortfolioFrontier[[#This Row],[P1 HWM]]-1</f>
        <v>0</v>
      </c>
      <c r="G46" s="28">
        <f>SUMPRODUCT(INDEX(PortfolioRef[[SPY]:[PE]],MATCH(G$1,PortfolioRef[Reference '#]),0),AssetMonthlyReturns[[#This Row],[SPY]:[PE]])</f>
        <v>1.3202912234171971E-2</v>
      </c>
      <c r="H46" s="27">
        <f>IF(ISNUMBER(H45),H45*(1+PortfolioFrontier[[#This Row],[P2 Return]]),1+PortfolioFrontier[[#This Row],[P2 Return]])</f>
        <v>1.3695048614098395</v>
      </c>
      <c r="I46" s="27">
        <f>MAX(I45,PortfolioFrontier[[#This Row],[P2 Growth]])</f>
        <v>1.3695048614098395</v>
      </c>
      <c r="J46" s="27">
        <f>PortfolioFrontier[[#This Row],[P2 Growth]]/PortfolioFrontier[[#This Row],[P2 HWM]]-1</f>
        <v>0</v>
      </c>
      <c r="K46" s="28">
        <f>SUMPRODUCT(INDEX(PortfolioRef[[SPY]:[PE]],MATCH(K$1,PortfolioRef[Reference '#]),0),AssetMonthlyReturns[[#This Row],[SPY]:[PE]])</f>
        <v>1.1614135051899187E-2</v>
      </c>
      <c r="L46" s="27">
        <f>IF(ISNUMBER(L45),L45*(1+PortfolioFrontier[[#This Row],[P3 Return]]),1+PortfolioFrontier[[#This Row],[P3 Return]])</f>
        <v>1.3706264631442897</v>
      </c>
      <c r="M46" s="27">
        <f>MAX(M45,PortfolioFrontier[[#This Row],[P3 Growth]])</f>
        <v>1.3706264631442897</v>
      </c>
      <c r="N46" s="27">
        <f>PortfolioFrontier[[#This Row],[P3 Growth]]/PortfolioFrontier[[#This Row],[P3 HWM]]-1</f>
        <v>0</v>
      </c>
      <c r="O46" s="28">
        <f>SUMPRODUCT(INDEX(PortfolioRef[[SPY]:[PE]],MATCH(O$1,PortfolioRef[Reference '#]),0),AssetMonthlyReturns[[#This Row],[SPY]:[PE]])</f>
        <v>1.2566252175548912E-2</v>
      </c>
      <c r="P46" s="27">
        <f>IF(ISNUMBER(P45),P45*(1+PortfolioFrontier[[#This Row],[P4 Return]]),1+PortfolioFrontier[[#This Row],[P4 Return]])</f>
        <v>1.3811970808616281</v>
      </c>
      <c r="Q46" s="27">
        <f>MAX(Q45,PortfolioFrontier[[#This Row],[P4 Growth]])</f>
        <v>1.3811970808616281</v>
      </c>
      <c r="R46" s="27">
        <f>PortfolioFrontier[[#This Row],[P4 Growth]]/PortfolioFrontier[[#This Row],[P4 HWM]]-1</f>
        <v>0</v>
      </c>
      <c r="S46" s="28">
        <f>SUMPRODUCT(INDEX(PortfolioRef[[SPY]:[PE]],MATCH(S$1,PortfolioRef[Reference '#]),0),AssetMonthlyReturns[[#This Row],[SPY]:[PE]])</f>
        <v>1.3057790415179748E-2</v>
      </c>
      <c r="T46" s="27">
        <f>IF(ISNUMBER(T45),T45*(1+PortfolioFrontier[[#This Row],[P5 Return]]),1+PortfolioFrontier[[#This Row],[P5 Return]])</f>
        <v>1.3609286702745083</v>
      </c>
      <c r="U46" s="27">
        <f>MAX(U45,PortfolioFrontier[[#This Row],[P5 Growth]])</f>
        <v>1.3609286702745083</v>
      </c>
      <c r="V46" s="27">
        <f>PortfolioFrontier[[#This Row],[P5 Growth]]/PortfolioFrontier[[#This Row],[P5 HWM]]-1</f>
        <v>0</v>
      </c>
      <c r="W46" s="28">
        <f>SUMPRODUCT(INDEX(PortfolioRef[[SPY]:[PE]],MATCH(W$1,PortfolioRef[Reference '#]),0),AssetMonthlyReturns[[#This Row],[SPY]:[PE]])</f>
        <v>1.1377475250307943E-2</v>
      </c>
      <c r="X46" s="27">
        <f>IF(ISNUMBER(X45),X45*(1+PortfolioFrontier[[#This Row],[P6 Return]]),1+PortfolioFrontier[[#This Row],[P6 Return]])</f>
        <v>1.3439916209670355</v>
      </c>
      <c r="Y46" s="27">
        <f>MAX(Y45,PortfolioFrontier[[#This Row],[P6 Growth]])</f>
        <v>1.3439916209670355</v>
      </c>
      <c r="Z46" s="27">
        <f>PortfolioFrontier[[#This Row],[P6 Growth]]/PortfolioFrontier[[#This Row],[P6 HWM]]-1</f>
        <v>0</v>
      </c>
      <c r="AA46" s="28">
        <f>SUMPRODUCT(INDEX(PortfolioRef[[SPY]:[PE]],MATCH(AA$1,PortfolioRef[Reference '#]),0),AssetMonthlyReturns[[#This Row],[SPY]:[PE]])</f>
        <v>9.7886980680351628E-3</v>
      </c>
      <c r="AB46" s="27">
        <f>IF(ISNUMBER(AB45),AB45*(1+PortfolioFrontier[[#This Row],[P7 Return]]),1+PortfolioFrontier[[#This Row],[P7 Return]])</f>
        <v>1.3450658821536452</v>
      </c>
      <c r="AC46" s="27">
        <f>MAX(AC45,PortfolioFrontier[[#This Row],[P7 Growth]])</f>
        <v>1.3450658821536452</v>
      </c>
      <c r="AD46" s="27">
        <f>PortfolioFrontier[[#This Row],[P7 Growth]]/PortfolioFrontier[[#This Row],[P7 HWM]]-1</f>
        <v>0</v>
      </c>
      <c r="AE46" s="28">
        <f>SUMPRODUCT(INDEX(PortfolioRef[[SPY]:[PE]],MATCH(AE$1,PortfolioRef[Reference '#]),0),AssetMonthlyReturns[[#This Row],[SPY]:[PE]])</f>
        <v>1.0740815191684887E-2</v>
      </c>
      <c r="AF46" s="27">
        <f>IF(ISNUMBER(AF45),AF45*(1+PortfolioFrontier[[#This Row],[P8 Return]]),1+PortfolioFrontier[[#This Row],[P8 Return]])</f>
        <v>1.3555707980658245</v>
      </c>
      <c r="AG46" s="27">
        <f>MAX(AG45,PortfolioFrontier[[#This Row],[P8 Growth]])</f>
        <v>1.3555707980658245</v>
      </c>
      <c r="AH46" s="27">
        <f>PortfolioFrontier[[#This Row],[P8 Growth]]/PortfolioFrontier[[#This Row],[P8 HWM]]-1</f>
        <v>0</v>
      </c>
      <c r="AI46" s="28">
        <f>SUMPRODUCT(INDEX(PortfolioRef[[SPY]:[PE]],MATCH(AI$1,PortfolioRef[Reference '#]),0),AssetMonthlyReturns[[#This Row],[SPY]:[PE]])</f>
        <v>1.1232353431315723E-2</v>
      </c>
      <c r="AJ46" s="27">
        <f>IF(ISNUMBER(AJ45),AJ45*(1+PortfolioFrontier[[#This Row],[P9 Return]]),1+PortfolioFrontier[[#This Row],[P9 Return]])</f>
        <v>1.335607346789079</v>
      </c>
      <c r="AK46" s="27">
        <f>MAX(AK45,PortfolioFrontier[[#This Row],[P9 Growth]])</f>
        <v>1.335607346789079</v>
      </c>
      <c r="AL46" s="27">
        <f>PortfolioFrontier[[#This Row],[P9 Growth]]/PortfolioFrontier[[#This Row],[P9 HWM]]-1</f>
        <v>0</v>
      </c>
      <c r="AM46" s="28">
        <f>SUMPRODUCT(INDEX(PortfolioRef[[SPY]:[PE]],MATCH(AM$1,PortfolioRef[Reference '#]),0),AssetMonthlyReturns[[#This Row],[SPY]:[PE]])</f>
        <v>8.1999208857623761E-3</v>
      </c>
      <c r="AN46" s="27">
        <f>IF(ISNUMBER(AN45),AN45*(1+PortfolioFrontier[[#This Row],[P10 Return]]),1+PortfolioFrontier[[#This Row],[P10 Return]])</f>
        <v>1.346015947740278</v>
      </c>
      <c r="AO46" s="27">
        <f>MAX(AO45,PortfolioFrontier[[#This Row],[P10 Growth]])</f>
        <v>1.346015947740278</v>
      </c>
      <c r="AP46" s="27">
        <f>PortfolioFrontier[[#This Row],[P10 Growth]]/PortfolioFrontier[[#This Row],[P10 HWM]]-1</f>
        <v>0</v>
      </c>
      <c r="AQ46" s="28">
        <f>SUMPRODUCT(INDEX(PortfolioRef[[SPY]:[PE]],MATCH(AQ$1,PortfolioRef[Reference '#]),0),AssetMonthlyReturns[[#This Row],[SPY]:[PE]])</f>
        <v>9.1520380094121043E-3</v>
      </c>
      <c r="AR46" s="27">
        <f>IF(ISNUMBER(AR45),AR45*(1+PortfolioFrontier[[#This Row],[P11 Return]]),1+PortfolioFrontier[[#This Row],[P11 Return]])</f>
        <v>1.3566575997059989</v>
      </c>
      <c r="AS46" s="27">
        <f>MAX(AS45,PortfolioFrontier[[#This Row],[P11 Growth]])</f>
        <v>1.3566575997059989</v>
      </c>
      <c r="AT46" s="27">
        <f>PortfolioFrontier[[#This Row],[P11 Growth]]/PortfolioFrontier[[#This Row],[P11 HWM]]-1</f>
        <v>0</v>
      </c>
      <c r="AU46" s="28">
        <f>SUMPRODUCT(INDEX(PortfolioRef[[SPY]:[PE]],MATCH(AU$1,PortfolioRef[Reference '#]),0),AssetMonthlyReturns[[#This Row],[SPY]:[PE]])</f>
        <v>9.64357624904294E-3</v>
      </c>
      <c r="AV46" s="27">
        <f>IF(ISNUMBER(AV45),AV45*(1+PortfolioFrontier[[#This Row],[P12 Return]]),1+PortfolioFrontier[[#This Row],[P12 Return]])</f>
        <v>1.3367046185844569</v>
      </c>
      <c r="AW46" s="27">
        <f>MAX(AW45,PortfolioFrontier[[#This Row],[P12 Growth]])</f>
        <v>1.3367046185844569</v>
      </c>
      <c r="AX46" s="27">
        <f>PortfolioFrontier[[#This Row],[P12 Growth]]/PortfolioFrontier[[#This Row],[P12 HWM]]-1</f>
        <v>0</v>
      </c>
      <c r="AY46" s="28">
        <f>SUMPRODUCT(INDEX(PortfolioRef[[SPY]:[PE]],MATCH(AY$1,PortfolioRef[Reference '#]),0),AssetMonthlyReturns[[#This Row],[SPY]:[PE]])</f>
        <v>1.0104155133061829E-2</v>
      </c>
      <c r="AZ46" s="27">
        <f>IF(ISNUMBER(AZ45),AZ45*(1+PortfolioFrontier[[#This Row],[P13 Return]]),1+PortfolioFrontier[[#This Row],[P13 Return]])</f>
        <v>1.3670711959891875</v>
      </c>
      <c r="BA46" s="27">
        <f>MAX(BA45,PortfolioFrontier[[#This Row],[P13 Growth]])</f>
        <v>1.3670711959891875</v>
      </c>
      <c r="BB46" s="27">
        <f>PortfolioFrontier[[#This Row],[P13 Growth]]/PortfolioFrontier[[#This Row],[P13 HWM]]-1</f>
        <v>0</v>
      </c>
      <c r="BC46" s="28">
        <f>SUMPRODUCT(INDEX(PortfolioRef[[SPY]:[PE]],MATCH(BC$1,PortfolioRef[Reference '#]),0),AssetMonthlyReturns[[#This Row],[SPY]:[PE]])</f>
        <v>1.0595693372692665E-2</v>
      </c>
      <c r="BD46" s="27">
        <f>IF(ISNUMBER(BD45),BD45*(1+PortfolioFrontier[[#This Row],[P14 Return]]),1+PortfolioFrontier[[#This Row],[P14 Return]])</f>
        <v>1.3471072542886553</v>
      </c>
      <c r="BE46" s="27">
        <f>MAX(BE45,PortfolioFrontier[[#This Row],[P14 Growth]])</f>
        <v>1.3471072542886553</v>
      </c>
      <c r="BF46" s="27">
        <f>PortfolioFrontier[[#This Row],[P14 Growth]]/PortfolioFrontier[[#This Row],[P14 HWM]]-1</f>
        <v>0</v>
      </c>
      <c r="BG46" s="28">
        <f>SUMPRODUCT(INDEX(PortfolioRef[[SPY]:[PE]],MATCH(BG$1,PortfolioRef[Reference '#]),0),AssetMonthlyReturns[[#This Row],[SPY]:[PE]])</f>
        <v>1.1087231612323499E-2</v>
      </c>
      <c r="BH46" s="27">
        <f>IF(ISNUMBER(BH45),BH45*(1+PortfolioFrontier[[#This Row],[P15 Return]]),1+PortfolioFrontier[[#This Row],[P15 Return]])</f>
        <v>1.3272131965700404</v>
      </c>
      <c r="BI46" s="27">
        <f>MAX(BI45,PortfolioFrontier[[#This Row],[P15 Growth]])</f>
        <v>1.3272131965700404</v>
      </c>
      <c r="BJ46" s="27">
        <f>PortfolioFrontier[[#This Row],[P15 Growth]]/PortfolioFrontier[[#This Row],[P15 HWM]]-1</f>
        <v>0</v>
      </c>
      <c r="BK46" s="28">
        <f>SUMPRODUCT(INDEX(PortfolioRef[[SPY]:[PE]],MATCH(BK$1,PortfolioRef[Reference '#]),0),AssetMonthlyReturns[[#This Row],[SPY]:[PE]])</f>
        <v>9.5520382664439178E-3</v>
      </c>
      <c r="BL46" s="27">
        <f>IF(ISNUMBER(BL45),BL45*(1+PortfolioFrontier[[#This Row],[P16 Return]]),1+PortfolioFrontier[[#This Row],[P16 Return]])</f>
        <v>1.3187534685998425</v>
      </c>
      <c r="BM46" s="27">
        <f>MAX(BM45,PortfolioFrontier[[#This Row],[P16 Growth]])</f>
        <v>1.3187534685998425</v>
      </c>
      <c r="BN46" s="27">
        <f>PortfolioFrontier[[#This Row],[P16 Growth]]/PortfolioFrontier[[#This Row],[P16 HWM]]-1</f>
        <v>0</v>
      </c>
      <c r="BO46" s="28">
        <f>SUMPRODUCT(INDEX(PortfolioRef[[SPY]:[PE]],MATCH(BO$1,PortfolioRef[Reference '#]),0),AssetMonthlyReturns[[#This Row],[SPY]:[PE]])</f>
        <v>7.9632610841711346E-3</v>
      </c>
      <c r="BP46" s="27">
        <f>IF(ISNUMBER(BP45),BP45*(1+PortfolioFrontier[[#This Row],[P17 Return]]),1+PortfolioFrontier[[#This Row],[P17 Return]])</f>
        <v>1.3197818612738461</v>
      </c>
      <c r="BQ46" s="27">
        <f>MAX(BQ45,PortfolioFrontier[[#This Row],[P17 Growth]])</f>
        <v>1.3197818612738461</v>
      </c>
      <c r="BR46" s="27">
        <f>PortfolioFrontier[[#This Row],[P17 Growth]]/PortfolioFrontier[[#This Row],[P17 HWM]]-1</f>
        <v>0</v>
      </c>
      <c r="BS46" s="28">
        <f>SUMPRODUCT(INDEX(PortfolioRef[[SPY]:[PE]],MATCH(BS$1,PortfolioRef[Reference '#]),0),AssetMonthlyReturns[[#This Row],[SPY]:[PE]])</f>
        <v>8.9153782078208611E-3</v>
      </c>
      <c r="BT46" s="27">
        <f>IF(ISNUMBER(BT45),BT45*(1+PortfolioFrontier[[#This Row],[P18 Return]]),1+PortfolioFrontier[[#This Row],[P18 Return]])</f>
        <v>1.3302176627502418</v>
      </c>
      <c r="BU46" s="27">
        <f>MAX(BU45,PortfolioFrontier[[#This Row],[P18 Growth]])</f>
        <v>1.3302176627502418</v>
      </c>
      <c r="BV46" s="27">
        <f>PortfolioFrontier[[#This Row],[P18 Growth]]/PortfolioFrontier[[#This Row],[P18 HWM]]-1</f>
        <v>0</v>
      </c>
      <c r="BW46" s="28">
        <f>SUMPRODUCT(INDEX(PortfolioRef[[SPY]:[PE]],MATCH(BW$1,PortfolioRef[Reference '#]),0),AssetMonthlyReturns[[#This Row],[SPY]:[PE]])</f>
        <v>9.4069164474516968E-3</v>
      </c>
      <c r="BX46" s="27">
        <f>IF(ISNUMBER(BX45),BX45*(1+PortfolioFrontier[[#This Row],[P19 Return]]),1+PortfolioFrontier[[#This Row],[P19 Return]])</f>
        <v>1.3105579906508222</v>
      </c>
      <c r="BY46" s="27">
        <f>MAX(BY45,PortfolioFrontier[[#This Row],[P19 Growth]])</f>
        <v>1.3105579906508222</v>
      </c>
      <c r="BZ46" s="27">
        <f>PortfolioFrontier[[#This Row],[P19 Growth]]/PortfolioFrontier[[#This Row],[P19 HWM]]-1</f>
        <v>0</v>
      </c>
      <c r="CA46" s="28">
        <f>SUMPRODUCT(INDEX(PortfolioRef[[SPY]:[PE]],MATCH(CA$1,PortfolioRef[Reference '#]),0),AssetMonthlyReturns[[#This Row],[SPY]:[PE]])</f>
        <v>6.3744839018983522E-3</v>
      </c>
      <c r="CB46" s="27">
        <f>IF(ISNUMBER(CB45),CB45*(1+PortfolioFrontier[[#This Row],[P20 Return]]),1+PortfolioFrontier[[#This Row],[P20 Return]])</f>
        <v>1.3206882049316024</v>
      </c>
      <c r="CC46" s="27">
        <f>MAX(CC45,PortfolioFrontier[[#This Row],[P20 Growth]])</f>
        <v>1.3206882049316024</v>
      </c>
      <c r="CD46" s="27">
        <f>PortfolioFrontier[[#This Row],[P20 Growth]]/PortfolioFrontier[[#This Row],[P20 HWM]]-1</f>
        <v>0</v>
      </c>
      <c r="CE46" s="28">
        <f>SUMPRODUCT(INDEX(PortfolioRef[[SPY]:[PE]],MATCH(CE$1,PortfolioRef[Reference '#]),0),AssetMonthlyReturns[[#This Row],[SPY]:[PE]])</f>
        <v>7.3266010255480804E-3</v>
      </c>
      <c r="CF46" s="27">
        <f>IF(ISNUMBER(CF45),CF45*(1+PortfolioFrontier[[#This Row],[P21 Return]]),1+PortfolioFrontier[[#This Row],[P21 Return]])</f>
        <v>1.3312580951468724</v>
      </c>
      <c r="CG46" s="27">
        <f>MAX(CG45,PortfolioFrontier[[#This Row],[P21 Growth]])</f>
        <v>1.3312580951468724</v>
      </c>
      <c r="CH46" s="27">
        <f>PortfolioFrontier[[#This Row],[P21 Growth]]/PortfolioFrontier[[#This Row],[P21 HWM]]-1</f>
        <v>0</v>
      </c>
      <c r="CI46" s="28">
        <f>SUMPRODUCT(INDEX(PortfolioRef[[SPY]:[PE]],MATCH(CI$1,PortfolioRef[Reference '#]),0),AssetMonthlyReturns[[#This Row],[SPY]:[PE]])</f>
        <v>7.8181392651789153E-3</v>
      </c>
      <c r="CJ46" s="27">
        <f>IF(ISNUMBER(CJ45),CJ45*(1+PortfolioFrontier[[#This Row],[P22 Return]]),1+PortfolioFrontier[[#This Row],[P22 Return]])</f>
        <v>1.3116091097296219</v>
      </c>
      <c r="CK46" s="27">
        <f>MAX(CK45,PortfolioFrontier[[#This Row],[P22 Growth]])</f>
        <v>1.3116091097296219</v>
      </c>
      <c r="CL46" s="27">
        <f>PortfolioFrontier[[#This Row],[P22 Growth]]/PortfolioFrontier[[#This Row],[P22 HWM]]-1</f>
        <v>0</v>
      </c>
      <c r="CM46" s="28">
        <f>SUMPRODUCT(INDEX(PortfolioRef[[SPY]:[PE]],MATCH(CM$1,PortfolioRef[Reference '#]),0),AssetMonthlyReturns[[#This Row],[SPY]:[PE]])</f>
        <v>8.2787181491978043E-3</v>
      </c>
      <c r="CN46" s="27">
        <f>IF(ISNUMBER(CN45),CN45*(1+PortfolioFrontier[[#This Row],[P23 Return]]),1+PortfolioFrontier[[#This Row],[P23 Return]])</f>
        <v>1.3416065256916037</v>
      </c>
      <c r="CO46" s="27">
        <f>MAX(CO45,PortfolioFrontier[[#This Row],[P23 Growth]])</f>
        <v>1.3416065256916037</v>
      </c>
      <c r="CP46" s="27">
        <f>PortfolioFrontier[[#This Row],[P23 Growth]]/PortfolioFrontier[[#This Row],[P23 HWM]]-1</f>
        <v>0</v>
      </c>
      <c r="CQ46" s="28">
        <f>SUMPRODUCT(INDEX(PortfolioRef[[SPY]:[PE]],MATCH(CQ$1,PortfolioRef[Reference '#]),0),AssetMonthlyReturns[[#This Row],[SPY]:[PE]])</f>
        <v>8.77025638882864E-3</v>
      </c>
      <c r="CR46" s="27">
        <f>IF(ISNUMBER(CR45),CR45*(1+PortfolioFrontier[[#This Row],[P24 Return]]),1+PortfolioFrontier[[#This Row],[P24 Return]])</f>
        <v>1.3219441920370834</v>
      </c>
      <c r="CS46" s="27">
        <f>MAX(CS45,PortfolioFrontier[[#This Row],[P24 Growth]])</f>
        <v>1.3219441920370834</v>
      </c>
      <c r="CT46" s="27">
        <f>PortfolioFrontier[[#This Row],[P24 Growth]]/PortfolioFrontier[[#This Row],[P24 HWM]]-1</f>
        <v>0</v>
      </c>
      <c r="CU46" s="28">
        <f>SUMPRODUCT(INDEX(PortfolioRef[[SPY]:[PE]],MATCH(CU$1,PortfolioRef[Reference '#]),0),AssetMonthlyReturns[[#This Row],[SPY]:[PE]])</f>
        <v>9.261794628459474E-3</v>
      </c>
      <c r="CV46" s="27">
        <f>IF(ISNUMBER(CV45),CV45*(1+PortfolioFrontier[[#This Row],[P25 Return]]),1+PortfolioFrontier[[#This Row],[P25 Return]])</f>
        <v>1.3023524397418895</v>
      </c>
      <c r="CW46" s="27">
        <f>MAX(CW45,PortfolioFrontier[[#This Row],[P25 Growth]])</f>
        <v>1.3023524397418895</v>
      </c>
      <c r="CX46" s="27">
        <f>PortfolioFrontier[[#This Row],[P25 Growth]]/PortfolioFrontier[[#This Row],[P25 HWM]]-1</f>
        <v>0</v>
      </c>
      <c r="CY46" s="28">
        <f>SUMPRODUCT(INDEX(PortfolioRef[[SPY]:[PE]],MATCH(CY$1,PortfolioRef[Reference '#]),0),AssetMonthlyReturns[[#This Row],[SPY]:[PE]])</f>
        <v>5.7378238432752972E-3</v>
      </c>
      <c r="CZ46" s="27">
        <f>IF(ISNUMBER(CZ45),CZ45*(1+PortfolioFrontier[[#This Row],[P26 Return]]),1+PortfolioFrontier[[#This Row],[P26 Return]])</f>
        <v>1.3321755166407052</v>
      </c>
      <c r="DA46" s="27">
        <f>MAX(DA45,PortfolioFrontier[[#This Row],[P26 Growth]])</f>
        <v>1.3321755166407052</v>
      </c>
      <c r="DB46" s="27">
        <f>PortfolioFrontier[[#This Row],[P26 Growth]]/PortfolioFrontier[[#This Row],[P26 HWM]]-1</f>
        <v>0</v>
      </c>
      <c r="DC46" s="28">
        <f>SUMPRODUCT(INDEX(PortfolioRef[[SPY]:[PE]],MATCH(DC$1,PortfolioRef[Reference '#]),0),AssetMonthlyReturns[[#This Row],[SPY]:[PE]])</f>
        <v>6.2293620829061312E-3</v>
      </c>
      <c r="DD46" s="27">
        <f>IF(ISNUMBER(DD45),DD45*(1+PortfolioFrontier[[#This Row],[P27 Return]]),1+PortfolioFrontier[[#This Row],[P27 Return]])</f>
        <v>1.3125389245390213</v>
      </c>
      <c r="DE46" s="27">
        <f>MAX(DE45,PortfolioFrontier[[#This Row],[P27 Growth]])</f>
        <v>1.3125389245390213</v>
      </c>
      <c r="DF46" s="27">
        <f>PortfolioFrontier[[#This Row],[P27 Growth]]/PortfolioFrontier[[#This Row],[P27 HWM]]-1</f>
        <v>0</v>
      </c>
      <c r="DG46" s="28">
        <f>SUMPRODUCT(INDEX(PortfolioRef[[SPY]:[PE]],MATCH(DG$1,PortfolioRef[Reference '#]),0),AssetMonthlyReturns[[#This Row],[SPY]:[PE]])</f>
        <v>6.6899409669250219E-3</v>
      </c>
      <c r="DH46" s="27">
        <f>IF(ISNUMBER(DH45),DH45*(1+PortfolioFrontier[[#This Row],[P28 Return]]),1+PortfolioFrontier[[#This Row],[P28 Return]])</f>
        <v>1.3426591723111565</v>
      </c>
      <c r="DI46" s="27">
        <f>MAX(DI45,PortfolioFrontier[[#This Row],[P28 Growth]])</f>
        <v>1.3426591723111565</v>
      </c>
      <c r="DJ46" s="27">
        <f>PortfolioFrontier[[#This Row],[P28 Growth]]/PortfolioFrontier[[#This Row],[P28 HWM]]-1</f>
        <v>0</v>
      </c>
      <c r="DK46" s="28">
        <f>SUMPRODUCT(INDEX(PortfolioRef[[SPY]:[PE]],MATCH(DK$1,PortfolioRef[Reference '#]),0),AssetMonthlyReturns[[#This Row],[SPY]:[PE]])</f>
        <v>7.1814792065558559E-3</v>
      </c>
      <c r="DL46" s="27">
        <f>IF(ISNUMBER(DL45),DL45*(1+PortfolioFrontier[[#This Row],[P29 Return]]),1+PortfolioFrontier[[#This Row],[P29 Return]])</f>
        <v>1.3230075724407173</v>
      </c>
      <c r="DM46" s="27">
        <f>MAX(DM45,PortfolioFrontier[[#This Row],[P29 Growth]])</f>
        <v>1.3230075724407173</v>
      </c>
      <c r="DN46" s="27">
        <f>PortfolioFrontier[[#This Row],[P29 Growth]]/PortfolioFrontier[[#This Row],[P29 HWM]]-1</f>
        <v>0</v>
      </c>
      <c r="DO46" s="28">
        <f>SUMPRODUCT(INDEX(PortfolioRef[[SPY]:[PE]],MATCH(DO$1,PortfolioRef[Reference '#]),0),AssetMonthlyReturns[[#This Row],[SPY]:[PE]])</f>
        <v>7.6730174461866908E-3</v>
      </c>
      <c r="DP46" s="27">
        <f>IF(ISNUMBER(DP45),DP45*(1+PortfolioFrontier[[#This Row],[P30 Return]]),1+PortfolioFrontier[[#This Row],[P30 Return]])</f>
        <v>1.303425906328314</v>
      </c>
      <c r="DQ46" s="27">
        <f>MAX(DQ45,PortfolioFrontier[[#This Row],[P30 Growth]])</f>
        <v>1.303425906328314</v>
      </c>
      <c r="DR46" s="27">
        <f>PortfolioFrontier[[#This Row],[P30 Growth]]/PortfolioFrontier[[#This Row],[P30 HWM]]-1</f>
        <v>0</v>
      </c>
      <c r="DS46" s="28">
        <f>SUMPRODUCT(INDEX(PortfolioRef[[SPY]:[PE]],MATCH(DS$1,PortfolioRef[Reference '#]),0),AssetMonthlyReturns[[#This Row],[SPY]:[PE]])</f>
        <v>7.6420580905747484E-3</v>
      </c>
      <c r="DT46" s="27">
        <f>IF(ISNUMBER(DT45),DT45*(1+PortfolioFrontier[[#This Row],[P31 Return]]),1+PortfolioFrontier[[#This Row],[P31 Return]])</f>
        <v>1.3529163313938815</v>
      </c>
      <c r="DU46" s="27">
        <f>MAX(DU45,PortfolioFrontier[[#This Row],[P31 Growth]])</f>
        <v>1.3529163313938815</v>
      </c>
      <c r="DV46" s="27">
        <f>PortfolioFrontier[[#This Row],[P31 Growth]]/PortfolioFrontier[[#This Row],[P31 HWM]]-1</f>
        <v>0</v>
      </c>
      <c r="DW46" s="28">
        <f>SUMPRODUCT(INDEX(PortfolioRef[[SPY]:[PE]],MATCH(DW$1,PortfolioRef[Reference '#]),0),AssetMonthlyReturns[[#This Row],[SPY]:[PE]])</f>
        <v>8.1335963302055832E-3</v>
      </c>
      <c r="DX46" s="27">
        <f>IF(ISNUMBER(DX45),DX45*(1+PortfolioFrontier[[#This Row],[P32 Return]]),1+PortfolioFrontier[[#This Row],[P32 Return]])</f>
        <v>1.3332552735150696</v>
      </c>
      <c r="DY46" s="27">
        <f>MAX(DY45,PortfolioFrontier[[#This Row],[P32 Growth]])</f>
        <v>1.3332552735150696</v>
      </c>
      <c r="DZ46" s="27">
        <f>PortfolioFrontier[[#This Row],[P32 Growth]]/PortfolioFrontier[[#This Row],[P32 HWM]]-1</f>
        <v>0</v>
      </c>
      <c r="EA46" s="28">
        <f>SUMPRODUCT(INDEX(PortfolioRef[[SPY]:[PE]],MATCH(EA$1,PortfolioRef[Reference '#]),0),AssetMonthlyReturns[[#This Row],[SPY]:[PE]])</f>
        <v>8.6251345698364172E-3</v>
      </c>
      <c r="EB46" s="27">
        <f>IF(ISNUMBER(EB45),EB45*(1+PortfolioFrontier[[#This Row],[P33 Return]]),1+PortfolioFrontier[[#This Row],[P33 Return]])</f>
        <v>1.3136606084972051</v>
      </c>
      <c r="EC46" s="27">
        <f>MAX(EC45,PortfolioFrontier[[#This Row],[P33 Growth]])</f>
        <v>1.3136606084972051</v>
      </c>
      <c r="ED46" s="27">
        <f>PortfolioFrontier[[#This Row],[P33 Growth]]/PortfolioFrontier[[#This Row],[P33 HWM]]-1</f>
        <v>0</v>
      </c>
      <c r="EE46" s="28">
        <f>SUMPRODUCT(INDEX(PortfolioRef[[SPY]:[PE]],MATCH(EE$1,PortfolioRef[Reference '#]),0),AssetMonthlyReturns[[#This Row],[SPY]:[PE]])</f>
        <v>7.7266012825798923E-3</v>
      </c>
      <c r="EF46" s="27">
        <f>IF(ISNUMBER(EF45),EF45*(1+PortfolioFrontier[[#This Row],[P34 Return]]),1+PortfolioFrontier[[#This Row],[P34 Return]])</f>
        <v>1.2937931905957076</v>
      </c>
      <c r="EG46" s="27">
        <f>MAX(EG45,PortfolioFrontier[[#This Row],[P34 Growth]])</f>
        <v>1.2937931905957076</v>
      </c>
      <c r="EH46" s="27">
        <f>PortfolioFrontier[[#This Row],[P34 Growth]]/PortfolioFrontier[[#This Row],[P34 HWM]]-1</f>
        <v>0</v>
      </c>
      <c r="EI46" s="28">
        <f>SUMPRODUCT(INDEX(PortfolioRef[[SPY]:[PE]],MATCH(EI$1,PortfolioRef[Reference '#]),0),AssetMonthlyReturns[[#This Row],[SPY]:[PE]])</f>
        <v>6.1378241003071099E-3</v>
      </c>
      <c r="EJ46" s="27">
        <f>IF(ISNUMBER(EJ45),EJ45*(1+PortfolioFrontier[[#This Row],[P35 Return]]),1+PortfolioFrontier[[#This Row],[P35 Return]])</f>
        <v>1.294777155819437</v>
      </c>
      <c r="EK46" s="27">
        <f>MAX(EK45,PortfolioFrontier[[#This Row],[P35 Growth]])</f>
        <v>1.294777155819437</v>
      </c>
      <c r="EL46" s="27">
        <f>PortfolioFrontier[[#This Row],[P35 Growth]]/PortfolioFrontier[[#This Row],[P35 HWM]]-1</f>
        <v>0</v>
      </c>
      <c r="EM46" s="28">
        <f>SUMPRODUCT(INDEX(PortfolioRef[[SPY]:[PE]],MATCH(EM$1,PortfolioRef[Reference '#]),0),AssetMonthlyReturns[[#This Row],[SPY]:[PE]])</f>
        <v>7.0899412239568355E-3</v>
      </c>
      <c r="EN46" s="27">
        <f>IF(ISNUMBER(EN45),EN45*(1+PortfolioFrontier[[#This Row],[P36 Return]]),1+PortfolioFrontier[[#This Row],[P36 Return]])</f>
        <v>1.3051405819599666</v>
      </c>
      <c r="EO46" s="27">
        <f>MAX(EO45,PortfolioFrontier[[#This Row],[P36 Growth]])</f>
        <v>1.3051405819599666</v>
      </c>
      <c r="EP46" s="27">
        <f>PortfolioFrontier[[#This Row],[P36 Growth]]/PortfolioFrontier[[#This Row],[P36 HWM]]-1</f>
        <v>0</v>
      </c>
      <c r="EQ46" s="28">
        <f>SUMPRODUCT(INDEX(PortfolioRef[[SPY]:[PE]],MATCH(EQ$1,PortfolioRef[Reference '#]),0),AssetMonthlyReturns[[#This Row],[SPY]:[PE]])</f>
        <v>7.5814794635876695E-3</v>
      </c>
      <c r="ER46" s="27">
        <f>IF(ISNUMBER(ER45),ER45*(1+PortfolioFrontier[[#This Row],[P37 Return]]),1+PortfolioFrontier[[#This Row],[P37 Return]])</f>
        <v>1.2857834051931167</v>
      </c>
      <c r="ES46" s="27">
        <f>MAX(ES45,PortfolioFrontier[[#This Row],[P37 Growth]])</f>
        <v>1.2857834051931167</v>
      </c>
      <c r="ET46" s="27">
        <f>PortfolioFrontier[[#This Row],[P37 Growth]]/PortfolioFrontier[[#This Row],[P37 HWM]]-1</f>
        <v>0</v>
      </c>
      <c r="EU46" s="28">
        <f>SUMPRODUCT(INDEX(PortfolioRef[[SPY]:[PE]],MATCH(EU$1,PortfolioRef[Reference '#]),0),AssetMonthlyReturns[[#This Row],[SPY]:[PE]])</f>
        <v>4.5490469180343267E-3</v>
      </c>
      <c r="EV46" s="27">
        <f>IF(ISNUMBER(EV45),EV45*(1+PortfolioFrontier[[#This Row],[P38 Return]]),1+PortfolioFrontier[[#This Row],[P38 Return]])</f>
        <v>1.2956411982139864</v>
      </c>
      <c r="EW46" s="27">
        <f>MAX(EW45,PortfolioFrontier[[#This Row],[P38 Growth]])</f>
        <v>1.2956411982139864</v>
      </c>
      <c r="EX46" s="27">
        <f>PortfolioFrontier[[#This Row],[P38 Growth]]/PortfolioFrontier[[#This Row],[P38 HWM]]-1</f>
        <v>0</v>
      </c>
      <c r="EY46" s="28">
        <f>SUMPRODUCT(INDEX(PortfolioRef[[SPY]:[PE]],MATCH(EY$1,PortfolioRef[Reference '#]),0),AssetMonthlyReturns[[#This Row],[SPY]:[PE]])</f>
        <v>5.5011640416840531E-3</v>
      </c>
      <c r="EZ46" s="27">
        <f>IF(ISNUMBER(EZ45),EZ45*(1+PortfolioFrontier[[#This Row],[P39 Return]]),1+PortfolioFrontier[[#This Row],[P39 Return]])</f>
        <v>1.306136098981419</v>
      </c>
      <c r="FA46" s="27">
        <f>MAX(FA45,PortfolioFrontier[[#This Row],[P39 Growth]])</f>
        <v>1.306136098981419</v>
      </c>
      <c r="FB46" s="27">
        <f>PortfolioFrontier[[#This Row],[P39 Growth]]/PortfolioFrontier[[#This Row],[P39 HWM]]-1</f>
        <v>0</v>
      </c>
      <c r="FC46" s="28">
        <f>SUMPRODUCT(INDEX(PortfolioRef[[SPY]:[PE]],MATCH(FC$1,PortfolioRef[Reference '#]),0),AssetMonthlyReturns[[#This Row],[SPY]:[PE]])</f>
        <v>5.9927022813148871E-3</v>
      </c>
      <c r="FD46" s="27">
        <f>IF(ISNUMBER(FD45),FD45*(1+PortfolioFrontier[[#This Row],[P40 Return]]),1+PortfolioFrontier[[#This Row],[P40 Return]])</f>
        <v>1.2867898102368109</v>
      </c>
      <c r="FE46" s="27">
        <f>MAX(FE45,PortfolioFrontier[[#This Row],[P40 Growth]])</f>
        <v>1.2867898102368109</v>
      </c>
      <c r="FF46" s="27">
        <f>PortfolioFrontier[[#This Row],[P40 Growth]]/PortfolioFrontier[[#This Row],[P40 HWM]]-1</f>
        <v>0</v>
      </c>
      <c r="FG46" s="28">
        <f>SUMPRODUCT(INDEX(PortfolioRef[[SPY]:[PE]],MATCH(FG$1,PortfolioRef[Reference '#]),0),AssetMonthlyReturns[[#This Row],[SPY]:[PE]])</f>
        <v>6.4532811653337787E-3</v>
      </c>
      <c r="FH46" s="27">
        <f>IF(ISNUMBER(FH45),FH45*(1+PortfolioFrontier[[#This Row],[P41 Return]]),1+PortfolioFrontier[[#This Row],[P41 Return]])</f>
        <v>1.3164159961452944</v>
      </c>
      <c r="FI46" s="27">
        <f>MAX(FI45,PortfolioFrontier[[#This Row],[P41 Growth]])</f>
        <v>1.3164159961452944</v>
      </c>
      <c r="FJ46" s="27">
        <f>PortfolioFrontier[[#This Row],[P41 Growth]]/PortfolioFrontier[[#This Row],[P41 HWM]]-1</f>
        <v>0</v>
      </c>
      <c r="FK46" s="28">
        <f>SUMPRODUCT(INDEX(PortfolioRef[[SPY]:[PE]],MATCH(FK$1,PortfolioRef[Reference '#]),0),AssetMonthlyReturns[[#This Row],[SPY]:[PE]])</f>
        <v>6.9448194049646127E-3</v>
      </c>
      <c r="FL46" s="27">
        <f>IF(ISNUMBER(FL45),FL45*(1+PortfolioFrontier[[#This Row],[P42 Return]]),1+PortfolioFrontier[[#This Row],[P42 Return]])</f>
        <v>1.2970540744870782</v>
      </c>
      <c r="FM46" s="27">
        <f>MAX(FM45,PortfolioFrontier[[#This Row],[P42 Growth]])</f>
        <v>1.2970540744870782</v>
      </c>
      <c r="FN46" s="27">
        <f>PortfolioFrontier[[#This Row],[P42 Growth]]/PortfolioFrontier[[#This Row],[P42 HWM]]-1</f>
        <v>0</v>
      </c>
      <c r="FO46" s="28">
        <f>SUMPRODUCT(INDEX(PortfolioRef[[SPY]:[PE]],MATCH(FO$1,PortfolioRef[Reference '#]),0),AssetMonthlyReturns[[#This Row],[SPY]:[PE]])</f>
        <v>7.4363576445954475E-3</v>
      </c>
      <c r="FP46" s="27">
        <f>IF(ISNUMBER(FP45),FP45*(1+PortfolioFrontier[[#This Row],[P43 Return]]),1+PortfolioFrontier[[#This Row],[P43 Return]])</f>
        <v>1.2777633644376418</v>
      </c>
      <c r="FQ46" s="27">
        <f>MAX(FQ45,PortfolioFrontier[[#This Row],[P43 Growth]])</f>
        <v>1.2777633644376418</v>
      </c>
      <c r="FR46" s="27">
        <f>PortfolioFrontier[[#This Row],[P43 Growth]]/PortfolioFrontier[[#This Row],[P43 HWM]]-1</f>
        <v>0</v>
      </c>
      <c r="FS46" s="28">
        <f>SUMPRODUCT(INDEX(PortfolioRef[[SPY]:[PE]],MATCH(FS$1,PortfolioRef[Reference '#]),0),AssetMonthlyReturns[[#This Row],[SPY]:[PE]])</f>
        <v>3.9123868594112699E-3</v>
      </c>
      <c r="FT46" s="27">
        <f>IF(ISNUMBER(FT45),FT45*(1+PortfolioFrontier[[#This Row],[P44 Return]]),1+PortfolioFrontier[[#This Row],[P44 Return]])</f>
        <v>1.3070107389385193</v>
      </c>
      <c r="FU46" s="27">
        <f>MAX(FU45,PortfolioFrontier[[#This Row],[P44 Growth]])</f>
        <v>1.3070107389385193</v>
      </c>
      <c r="FV46" s="27">
        <f>PortfolioFrontier[[#This Row],[P44 Growth]]/PortfolioFrontier[[#This Row],[P44 HWM]]-1</f>
        <v>0</v>
      </c>
      <c r="FW46" s="28">
        <f>SUMPRODUCT(INDEX(PortfolioRef[[SPY]:[PE]],MATCH(FW$1,PortfolioRef[Reference '#]),0),AssetMonthlyReturns[[#This Row],[SPY]:[PE]])</f>
        <v>4.4039250990421039E-3</v>
      </c>
      <c r="FX46" s="27">
        <f>IF(ISNUMBER(FX45),FX45*(1+PortfolioFrontier[[#This Row],[P45 Return]]),1+PortfolioFrontier[[#This Row],[P45 Return]])</f>
        <v>1.287677020977219</v>
      </c>
      <c r="FY46" s="27">
        <f>MAX(FY45,PortfolioFrontier[[#This Row],[P45 Growth]])</f>
        <v>1.287677020977219</v>
      </c>
      <c r="FZ46" s="27">
        <f>PortfolioFrontier[[#This Row],[P45 Growth]]/PortfolioFrontier[[#This Row],[P45 HWM]]-1</f>
        <v>0</v>
      </c>
      <c r="GA46" s="28">
        <f>SUMPRODUCT(INDEX(PortfolioRef[[SPY]:[PE]],MATCH(GA$1,PortfolioRef[Reference '#]),0),AssetMonthlyReturns[[#This Row],[SPY]:[PE]])</f>
        <v>4.8645039830609964E-3</v>
      </c>
      <c r="GB46" s="27">
        <f>IF(ISNUMBER(GB45),GB45*(1+PortfolioFrontier[[#This Row],[P46 Return]]),1+PortfolioFrontier[[#This Row],[P46 Return]])</f>
        <v>1.3174232357365536</v>
      </c>
      <c r="GC46" s="27">
        <f>MAX(GC45,PortfolioFrontier[[#This Row],[P46 Growth]])</f>
        <v>1.3174232357365536</v>
      </c>
      <c r="GD46" s="27">
        <f>PortfolioFrontier[[#This Row],[P46 Growth]]/PortfolioFrontier[[#This Row],[P46 HWM]]-1</f>
        <v>0</v>
      </c>
      <c r="GE46" s="28">
        <f>SUMPRODUCT(INDEX(PortfolioRef[[SPY]:[PE]],MATCH(GE$1,PortfolioRef[Reference '#]),0),AssetMonthlyReturns[[#This Row],[SPY]:[PE]])</f>
        <v>5.3560422226918303E-3</v>
      </c>
      <c r="GF46" s="27">
        <f>IF(ISNUMBER(GF45),GF45*(1+PortfolioFrontier[[#This Row],[P47 Return]]),1+PortfolioFrontier[[#This Row],[P47 Return]])</f>
        <v>1.2980722519307799</v>
      </c>
      <c r="GG46" s="27">
        <f>MAX(GG45,PortfolioFrontier[[#This Row],[P47 Growth]])</f>
        <v>1.2980722519307799</v>
      </c>
      <c r="GH46" s="27">
        <f>PortfolioFrontier[[#This Row],[P47 Growth]]/PortfolioFrontier[[#This Row],[P47 HWM]]-1</f>
        <v>0</v>
      </c>
      <c r="GI46" s="28">
        <f>SUMPRODUCT(INDEX(PortfolioRef[[SPY]:[PE]],MATCH(GI$1,PortfolioRef[Reference '#]),0),AssetMonthlyReturns[[#This Row],[SPY]:[PE]])</f>
        <v>5.8475804623226643E-3</v>
      </c>
      <c r="GJ46" s="27">
        <f>IF(ISNUMBER(GJ45),GJ45*(1+PortfolioFrontier[[#This Row],[P48 Return]]),1+PortfolioFrontier[[#This Row],[P48 Return]])</f>
        <v>1.2787918387955568</v>
      </c>
      <c r="GK46" s="27">
        <f>MAX(GK45,PortfolioFrontier[[#This Row],[P48 Growth]])</f>
        <v>1.2787918387955568</v>
      </c>
      <c r="GL46" s="27">
        <f>PortfolioFrontier[[#This Row],[P48 Growth]]/PortfolioFrontier[[#This Row],[P48 HWM]]-1</f>
        <v>0</v>
      </c>
      <c r="GM46" s="28">
        <f>SUMPRODUCT(INDEX(PortfolioRef[[SPY]:[PE]],MATCH(GM$1,PortfolioRef[Reference '#]),0),AssetMonthlyReturns[[#This Row],[SPY]:[PE]])</f>
        <v>5.816621106710722E-3</v>
      </c>
      <c r="GN46" s="27">
        <f>IF(ISNUMBER(GN45),GN45*(1+PortfolioFrontier[[#This Row],[P49 Return]]),1+PortfolioFrontier[[#This Row],[P49 Return]])</f>
        <v>1.3276157797623014</v>
      </c>
      <c r="GO46" s="27">
        <f>MAX(GO45,PortfolioFrontier[[#This Row],[P49 Growth]])</f>
        <v>1.3276157797623014</v>
      </c>
      <c r="GP46" s="27">
        <f>PortfolioFrontier[[#This Row],[P49 Growth]]/PortfolioFrontier[[#This Row],[P49 HWM]]-1</f>
        <v>0</v>
      </c>
      <c r="GQ46" s="28">
        <f>SUMPRODUCT(INDEX(PortfolioRef[[SPY]:[PE]],MATCH(GQ$1,PortfolioRef[Reference '#]),0),AssetMonthlyReturns[[#This Row],[SPY]:[PE]])</f>
        <v>6.3081593463415559E-3</v>
      </c>
      <c r="GR46" s="27">
        <f>IF(ISNUMBER(GR45),GR45*(1+PortfolioFrontier[[#This Row],[P50 Return]]),1+PortfolioFrontier[[#This Row],[P50 Return]])</f>
        <v>1.3082529647845396</v>
      </c>
      <c r="GS46" s="27">
        <f>MAX(GS45,PortfolioFrontier[[#This Row],[P50 Growth]])</f>
        <v>1.3082529647845396</v>
      </c>
      <c r="GT46" s="27">
        <f>PortfolioFrontier[[#This Row],[P50 Growth]]/PortfolioFrontier[[#This Row],[P50 HWM]]-1</f>
        <v>0</v>
      </c>
      <c r="GU46" s="28">
        <f>SUMPRODUCT(INDEX(PortfolioRef[[SPY]:[PE]],MATCH(GU$1,PortfolioRef[Reference '#]),0),AssetMonthlyReturns[[#This Row],[SPY]:[PE]])</f>
        <v>6.7996975859723908E-3</v>
      </c>
      <c r="GV46" s="27">
        <f>IF(ISNUMBER(GV45),GV45*(1+PortfolioFrontier[[#This Row],[P51 Return]]),1+PortfolioFrontier[[#This Row],[P51 Return]])</f>
        <v>1.2889572676285723</v>
      </c>
      <c r="GW46" s="27">
        <f>MAX(GW45,PortfolioFrontier[[#This Row],[P51 Growth]])</f>
        <v>1.2889572676285723</v>
      </c>
      <c r="GX46" s="27">
        <f>PortfolioFrontier[[#This Row],[P51 Growth]]/PortfolioFrontier[[#This Row],[P51 HWM]]-1</f>
        <v>0</v>
      </c>
      <c r="GY46" s="28">
        <f>SUMPRODUCT(INDEX(PortfolioRef[[SPY]:[PE]],MATCH(GY$1,PortfolioRef[Reference '#]),0),AssetMonthlyReturns[[#This Row],[SPY]:[PE]])</f>
        <v>3.2757268007882132E-3</v>
      </c>
      <c r="GZ46" s="27">
        <f>IF(ISNUMBER(GZ45),GZ45*(1+PortfolioFrontier[[#This Row],[P52 Return]]),1+PortfolioFrontier[[#This Row],[P52 Return]])</f>
        <v>1.3183086510260065</v>
      </c>
      <c r="HA46" s="27">
        <f>MAX(HA45,PortfolioFrontier[[#This Row],[P52 Growth]])</f>
        <v>1.3183086510260065</v>
      </c>
      <c r="HB46" s="27">
        <f>PortfolioFrontier[[#This Row],[P52 Growth]]/PortfolioFrontier[[#This Row],[P52 HWM]]-1</f>
        <v>0</v>
      </c>
      <c r="HC46" s="28">
        <f>SUMPRODUCT(INDEX(PortfolioRef[[SPY]:[PE]],MATCH(HC$1,PortfolioRef[Reference '#]),0),AssetMonthlyReturns[[#This Row],[SPY]:[PE]])</f>
        <v>3.7672650404190471E-3</v>
      </c>
      <c r="HD46" s="27">
        <f>IF(ISNUMBER(HD45),HD45*(1+PortfolioFrontier[[#This Row],[P53 Return]]),1+PortfolioFrontier[[#This Row],[P53 Return]])</f>
        <v>1.2989702874808919</v>
      </c>
      <c r="HE46" s="27">
        <f>MAX(HE45,PortfolioFrontier[[#This Row],[P53 Growth]])</f>
        <v>1.2989702874808919</v>
      </c>
      <c r="HF46" s="27">
        <f>PortfolioFrontier[[#This Row],[P53 Growth]]/PortfolioFrontier[[#This Row],[P53 HWM]]-1</f>
        <v>0</v>
      </c>
      <c r="HG46" s="28">
        <f>SUMPRODUCT(INDEX(PortfolioRef[[SPY]:[PE]],MATCH(HG$1,PortfolioRef[Reference '#]),0),AssetMonthlyReturns[[#This Row],[SPY]:[PE]])</f>
        <v>4.2588032800498811E-3</v>
      </c>
      <c r="HH46" s="27">
        <f>IF(ISNUMBER(HH45),HH45*(1+PortfolioFrontier[[#This Row],[P54 Return]]),1+PortfolioFrontier[[#This Row],[P54 Return]])</f>
        <v>1.2797018490191439</v>
      </c>
      <c r="HI46" s="27">
        <f>MAX(HI45,PortfolioFrontier[[#This Row],[P54 Growth]])</f>
        <v>1.2797018490191439</v>
      </c>
      <c r="HJ46" s="27">
        <f>PortfolioFrontier[[#This Row],[P54 Growth]]/PortfolioFrontier[[#This Row],[P54 HWM]]-1</f>
        <v>0</v>
      </c>
      <c r="HK46" s="28">
        <f>SUMPRODUCT(INDEX(PortfolioRef[[SPY]:[PE]],MATCH(HK$1,PortfolioRef[Reference '#]),0),AssetMonthlyReturns[[#This Row],[SPY]:[PE]])</f>
        <v>4.2278439244379396E-3</v>
      </c>
      <c r="HL46" s="27">
        <f>IF(ISNUMBER(HL45),HL45*(1+PortfolioFrontier[[#This Row],[P55 Return]]),1+PortfolioFrontier[[#This Row],[P55 Return]])</f>
        <v>1.3286349147531871</v>
      </c>
      <c r="HM46" s="27">
        <f>MAX(HM45,PortfolioFrontier[[#This Row],[P55 Growth]])</f>
        <v>1.3286349147531871</v>
      </c>
      <c r="HN46" s="27">
        <f>PortfolioFrontier[[#This Row],[P55 Growth]]/PortfolioFrontier[[#This Row],[P55 HWM]]-1</f>
        <v>0</v>
      </c>
      <c r="HO46" s="28">
        <f>SUMPRODUCT(INDEX(PortfolioRef[[SPY]:[PE]],MATCH(HO$1,PortfolioRef[Reference '#]),0),AssetMonthlyReturns[[#This Row],[SPY]:[PE]])</f>
        <v>4.7193821640687736E-3</v>
      </c>
      <c r="HP46" s="27">
        <f>IF(ISNUMBER(HP45),HP45*(1+PortfolioFrontier[[#This Row],[P56 Return]]),1+PortfolioFrontier[[#This Row],[P56 Return]])</f>
        <v>1.3092830844086869</v>
      </c>
      <c r="HQ46" s="27">
        <f>MAX(HQ45,PortfolioFrontier[[#This Row],[P56 Growth]])</f>
        <v>1.3092830844086869</v>
      </c>
      <c r="HR46" s="27">
        <f>PortfolioFrontier[[#This Row],[P56 Growth]]/PortfolioFrontier[[#This Row],[P56 HWM]]-1</f>
        <v>0</v>
      </c>
      <c r="HS46" s="28">
        <f>SUMPRODUCT(INDEX(PortfolioRef[[SPY]:[PE]],MATCH(HS$1,PortfolioRef[Reference '#]),0),AssetMonthlyReturns[[#This Row],[SPY]:[PE]])</f>
        <v>5.2109204036996076E-3</v>
      </c>
      <c r="HT46" s="27">
        <f>IF(ISNUMBER(HT45),HT45*(1+PortfolioFrontier[[#This Row],[P57 Return]]),1+PortfolioFrontier[[#This Row],[P57 Return]])</f>
        <v>1.2899977310531561</v>
      </c>
      <c r="HU46" s="27">
        <f>MAX(HU45,PortfolioFrontier[[#This Row],[P57 Growth]])</f>
        <v>1.2899977310531561</v>
      </c>
      <c r="HV46" s="27">
        <f>PortfolioFrontier[[#This Row],[P57 Growth]]/PortfolioFrontier[[#This Row],[P57 HWM]]-1</f>
        <v>0</v>
      </c>
      <c r="HW46" s="28">
        <f>SUMPRODUCT(INDEX(PortfolioRef[[SPY]:[PE]],MATCH(HW$1,PortfolioRef[Reference '#]),0),AssetMonthlyReturns[[#This Row],[SPY]:[PE]])</f>
        <v>5.1799610480876652E-3</v>
      </c>
      <c r="HX46" s="27">
        <f>IF(ISNUMBER(HX45),HX45*(1+PortfolioFrontier[[#This Row],[P58 Return]]),1+PortfolioFrontier[[#This Row],[P58 Return]])</f>
        <v>1.338736256872632</v>
      </c>
      <c r="HY46" s="27">
        <f>MAX(HY45,PortfolioFrontier[[#This Row],[P58 Growth]])</f>
        <v>1.338736256872632</v>
      </c>
      <c r="HZ46" s="27">
        <f>PortfolioFrontier[[#This Row],[P58 Growth]]/PortfolioFrontier[[#This Row],[P58 HWM]]-1</f>
        <v>0</v>
      </c>
      <c r="IA46" s="28">
        <f>SUMPRODUCT(INDEX(PortfolioRef[[SPY]:[PE]],MATCH(IA$1,PortfolioRef[Reference '#]),0),AssetMonthlyReturns[[#This Row],[SPY]:[PE]])</f>
        <v>5.6714992877184992E-3</v>
      </c>
      <c r="IB46" s="27">
        <f>IF(ISNUMBER(IB45),IB45*(1+PortfolioFrontier[[#This Row],[P59 Return]]),1+PortfolioFrontier[[#This Row],[P59 Return]])</f>
        <v>1.319376440454328</v>
      </c>
      <c r="IC46" s="27">
        <f>MAX(IC45,PortfolioFrontier[[#This Row],[P59 Growth]])</f>
        <v>1.319376440454328</v>
      </c>
      <c r="ID46" s="27">
        <f>PortfolioFrontier[[#This Row],[P59 Growth]]/PortfolioFrontier[[#This Row],[P59 HWM]]-1</f>
        <v>0</v>
      </c>
      <c r="IE46" s="28">
        <f>SUMPRODUCT(INDEX(PortfolioRef[[SPY]:[PE]],MATCH(IE$1,PortfolioRef[Reference '#]),0),AssetMonthlyReturns[[#This Row],[SPY]:[PE]])</f>
        <v>6.163037527349334E-3</v>
      </c>
      <c r="IF46" s="27">
        <f>IF(ISNUMBER(IF45),IF45*(1+PortfolioFrontier[[#This Row],[P60 Return]]),1+PortfolioFrontier[[#This Row],[P60 Return]])</f>
        <v>1.3000795914979166</v>
      </c>
      <c r="IG46" s="27">
        <f>MAX(IG45,PortfolioFrontier[[#This Row],[P60 Growth]])</f>
        <v>1.3000795914979166</v>
      </c>
      <c r="IH46" s="27">
        <f>PortfolioFrontier[[#This Row],[P60 Growth]]/PortfolioFrontier[[#This Row],[P60 HWM]]-1</f>
        <v>0</v>
      </c>
      <c r="II46" s="28">
        <f>SUMPRODUCT(INDEX(PortfolioRef[[SPY]:[PE]],MATCH(II$1,PortfolioRef[Reference '#]),0),AssetMonthlyReturns[[#This Row],[SPY]:[PE]])</f>
        <v>5.9011642987158641E-3</v>
      </c>
      <c r="IJ46" s="27">
        <f>IF(ISNUMBER(IJ45),IJ45*(1+PortfolioFrontier[[#This Row],[P61 Return]]),1+PortfolioFrontier[[#This Row],[P61 Return]])</f>
        <v>1.269113358116686</v>
      </c>
      <c r="IK46" s="27">
        <f>MAX(IK45,PortfolioFrontier[[#This Row],[P61 Growth]])</f>
        <v>1.269113358116686</v>
      </c>
      <c r="IL46" s="27">
        <f>PortfolioFrontier[[#This Row],[P61 Growth]]/PortfolioFrontier[[#This Row],[P61 HWM]]-1</f>
        <v>0</v>
      </c>
      <c r="IM46" s="28">
        <f>SUMPRODUCT(INDEX(PortfolioRef[[SPY]:[PE]],MATCH(IM$1,PortfolioRef[Reference '#]),0),AssetMonthlyReturns[[#This Row],[SPY]:[PE]])</f>
        <v>4.3123871164430835E-3</v>
      </c>
      <c r="IN46" s="27">
        <f>IF(ISNUMBER(IN45),IN45*(1+PortfolioFrontier[[#This Row],[P62 Return]]),1+PortfolioFrontier[[#This Row],[P62 Return]])</f>
        <v>1.2700543061792069</v>
      </c>
      <c r="IO46" s="27">
        <f>MAX(IO45,PortfolioFrontier[[#This Row],[P62 Growth]])</f>
        <v>1.2700543061792069</v>
      </c>
      <c r="IP46" s="27">
        <f>PortfolioFrontier[[#This Row],[P62 Growth]]/PortfolioFrontier[[#This Row],[P62 HWM]]-1</f>
        <v>0</v>
      </c>
      <c r="IQ46" s="28">
        <f>SUMPRODUCT(INDEX(PortfolioRef[[SPY]:[PE]],MATCH(IQ$1,PortfolioRef[Reference '#]),0),AssetMonthlyReturns[[#This Row],[SPY]:[PE]])</f>
        <v>5.2645042400928091E-3</v>
      </c>
      <c r="IR46" s="27">
        <f>IF(ISNUMBER(IR45),IR45*(1+PortfolioFrontier[[#This Row],[P63 Return]]),1+PortfolioFrontier[[#This Row],[P63 Return]])</f>
        <v>1.2803422450218502</v>
      </c>
      <c r="IS46" s="27">
        <f>MAX(IS45,PortfolioFrontier[[#This Row],[P63 Growth]])</f>
        <v>1.2803422450218502</v>
      </c>
      <c r="IT46" s="27">
        <f>PortfolioFrontier[[#This Row],[P63 Growth]]/PortfolioFrontier[[#This Row],[P63 HWM]]-1</f>
        <v>0</v>
      </c>
      <c r="IU46" s="28">
        <f>SUMPRODUCT(INDEX(PortfolioRef[[SPY]:[PE]],MATCH(IU$1,PortfolioRef[Reference '#]),0),AssetMonthlyReturns[[#This Row],[SPY]:[PE]])</f>
        <v>5.756042479723643E-3</v>
      </c>
      <c r="IV46" s="27">
        <f>IF(ISNUMBER(IV45),IV45*(1+PortfolioFrontier[[#This Row],[P64 Return]]),1+PortfolioFrontier[[#This Row],[P64 Return]])</f>
        <v>1.2612861796171975</v>
      </c>
      <c r="IW46" s="27">
        <f>MAX(IW45,PortfolioFrontier[[#This Row],[P64 Growth]])</f>
        <v>1.2612861796171975</v>
      </c>
      <c r="IX46" s="27">
        <f>PortfolioFrontier[[#This Row],[P64 Growth]]/PortfolioFrontier[[#This Row],[P64 HWM]]-1</f>
        <v>0</v>
      </c>
      <c r="IY46" s="28">
        <f>SUMPRODUCT(INDEX(PortfolioRef[[SPY]:[PE]],MATCH(IY$1,PortfolioRef[Reference '#]),0),AssetMonthlyReturns[[#This Row],[SPY]:[PE]])</f>
        <v>2.7236099341703002E-3</v>
      </c>
      <c r="IZ46" s="27">
        <f>IF(ISNUMBER(IZ45),IZ45*(1+PortfolioFrontier[[#This Row],[P65 Return]]),1+PortfolioFrontier[[#This Row],[P65 Return]])</f>
        <v>1.2708774369127487</v>
      </c>
      <c r="JA46" s="27">
        <f>MAX(JA45,PortfolioFrontier[[#This Row],[P65 Growth]])</f>
        <v>1.2708774369127487</v>
      </c>
      <c r="JB46" s="27">
        <f>PortfolioFrontier[[#This Row],[P65 Growth]]/PortfolioFrontier[[#This Row],[P65 HWM]]-1</f>
        <v>0</v>
      </c>
      <c r="JC46" s="28">
        <f>SUMPRODUCT(INDEX(PortfolioRef[[SPY]:[PE]],MATCH(JC$1,PortfolioRef[Reference '#]),0),AssetMonthlyReturns[[#This Row],[SPY]:[PE]])</f>
        <v>3.6757270578200267E-3</v>
      </c>
      <c r="JD46" s="27">
        <f>IF(ISNUMBER(JD45),JD45*(1+PortfolioFrontier[[#This Row],[P66 Return]]),1+PortfolioFrontier[[#This Row],[P66 Return]])</f>
        <v>1.2812942696155702</v>
      </c>
      <c r="JE46" s="27">
        <f>MAX(JE45,PortfolioFrontier[[#This Row],[P66 Growth]])</f>
        <v>1.2812942696155702</v>
      </c>
      <c r="JF46" s="27">
        <f>PortfolioFrontier[[#This Row],[P66 Growth]]/PortfolioFrontier[[#This Row],[P66 HWM]]-1</f>
        <v>0</v>
      </c>
      <c r="JG46" s="28">
        <f>SUMPRODUCT(INDEX(PortfolioRef[[SPY]:[PE]],MATCH(JG$1,PortfolioRef[Reference '#]),0),AssetMonthlyReturns[[#This Row],[SPY]:[PE]])</f>
        <v>4.1672652974508607E-3</v>
      </c>
      <c r="JH46" s="27">
        <f>IF(ISNUMBER(JH45),JH45*(1+PortfolioFrontier[[#This Row],[P67 Return]]),1+PortfolioFrontier[[#This Row],[P67 Return]])</f>
        <v>1.2622492787879396</v>
      </c>
      <c r="JI46" s="27">
        <f>MAX(JI45,PortfolioFrontier[[#This Row],[P67 Growth]])</f>
        <v>1.2622492787879396</v>
      </c>
      <c r="JJ46" s="27">
        <f>PortfolioFrontier[[#This Row],[P67 Growth]]/PortfolioFrontier[[#This Row],[P67 HWM]]-1</f>
        <v>0</v>
      </c>
      <c r="JK46" s="28">
        <f>SUMPRODUCT(INDEX(PortfolioRef[[SPY]:[PE]],MATCH(JK$1,PortfolioRef[Reference '#]),0),AssetMonthlyReturns[[#This Row],[SPY]:[PE]])</f>
        <v>4.6278441814697523E-3</v>
      </c>
      <c r="JL46" s="27">
        <f>IF(ISNUMBER(JL45),JL45*(1+PortfolioFrontier[[#This Row],[P68 Return]]),1+PortfolioFrontier[[#This Row],[P68 Return]])</f>
        <v>1.2915024163412288</v>
      </c>
      <c r="JM46" s="27">
        <f>MAX(JM45,PortfolioFrontier[[#This Row],[P68 Growth]])</f>
        <v>1.2915024163412288</v>
      </c>
      <c r="JN46" s="27">
        <f>PortfolioFrontier[[#This Row],[P68 Growth]]/PortfolioFrontier[[#This Row],[P68 HWM]]-1</f>
        <v>0</v>
      </c>
      <c r="JO46" s="28">
        <f>SUMPRODUCT(INDEX(PortfolioRef[[SPY]:[PE]],MATCH(JO$1,PortfolioRef[Reference '#]),0),AssetMonthlyReturns[[#This Row],[SPY]:[PE]])</f>
        <v>5.1193824211005863E-3</v>
      </c>
      <c r="JP46" s="27">
        <f>IF(ISNUMBER(JP45),JP45*(1+PortfolioFrontier[[#This Row],[P69 Return]]),1+PortfolioFrontier[[#This Row],[P69 Return]])</f>
        <v>1.2724396085579566</v>
      </c>
      <c r="JQ46" s="27">
        <f>MAX(JQ45,PortfolioFrontier[[#This Row],[P69 Growth]])</f>
        <v>1.2724396085579566</v>
      </c>
      <c r="JR46" s="27">
        <f>PortfolioFrontier[[#This Row],[P69 Growth]]/PortfolioFrontier[[#This Row],[P69 HWM]]-1</f>
        <v>0</v>
      </c>
      <c r="JS46" s="28">
        <f>SUMPRODUCT(INDEX(PortfolioRef[[SPY]:[PE]],MATCH(JS$1,PortfolioRef[Reference '#]),0),AssetMonthlyReturns[[#This Row],[SPY]:[PE]])</f>
        <v>5.6109206607314211E-3</v>
      </c>
      <c r="JT46" s="27">
        <f>IF(ISNUMBER(JT45),JT45*(1+PortfolioFrontier[[#This Row],[P70 Return]]),1+PortfolioFrontier[[#This Row],[P70 Return]])</f>
        <v>1.2534485774678104</v>
      </c>
      <c r="JU46" s="27">
        <f>MAX(JU45,PortfolioFrontier[[#This Row],[P70 Growth]])</f>
        <v>1.2534485774678104</v>
      </c>
      <c r="JV46" s="27">
        <f>PortfolioFrontier[[#This Row],[P70 Growth]]/PortfolioFrontier[[#This Row],[P70 HWM]]-1</f>
        <v>0</v>
      </c>
      <c r="JW46" s="28">
        <f>SUMPRODUCT(INDEX(PortfolioRef[[SPY]:[PE]],MATCH(JW$1,PortfolioRef[Reference '#]),0),AssetMonthlyReturns[[#This Row],[SPY]:[PE]])</f>
        <v>2.0869498755472435E-3</v>
      </c>
      <c r="JX46" s="27">
        <f>IF(ISNUMBER(JX45),JX45*(1+PortfolioFrontier[[#This Row],[P71 Return]]),1+PortfolioFrontier[[#This Row],[P71 Return]])</f>
        <v>1.2821275304819908</v>
      </c>
      <c r="JY46" s="27">
        <f>MAX(JY45,PortfolioFrontier[[#This Row],[P71 Growth]])</f>
        <v>1.2821275304819908</v>
      </c>
      <c r="JZ46" s="27">
        <f>PortfolioFrontier[[#This Row],[P71 Growth]]/PortfolioFrontier[[#This Row],[P71 HWM]]-1</f>
        <v>0</v>
      </c>
      <c r="KA46" s="28">
        <f>SUMPRODUCT(INDEX(PortfolioRef[[SPY]:[PE]],MATCH(KA$1,PortfolioRef[Reference '#]),0),AssetMonthlyReturns[[#This Row],[SPY]:[PE]])</f>
        <v>2.5784881151780775E-3</v>
      </c>
      <c r="KB46" s="27">
        <f>IF(ISNUMBER(KB45),KB45*(1+PortfolioFrontier[[#This Row],[P72 Return]]),1+PortfolioFrontier[[#This Row],[P72 Return]])</f>
        <v>1.263095273203797</v>
      </c>
      <c r="KC46" s="27">
        <f>MAX(KC45,PortfolioFrontier[[#This Row],[P72 Growth]])</f>
        <v>1.263095273203797</v>
      </c>
      <c r="KD46" s="27">
        <f>PortfolioFrontier[[#This Row],[P72 Growth]]/PortfolioFrontier[[#This Row],[P72 HWM]]-1</f>
        <v>0</v>
      </c>
      <c r="KE46" s="28">
        <f>SUMPRODUCT(INDEX(PortfolioRef[[SPY]:[PE]],MATCH(KE$1,PortfolioRef[Reference '#]),0),AssetMonthlyReturns[[#This Row],[SPY]:[PE]])</f>
        <v>3.0390669991969699E-3</v>
      </c>
      <c r="KF46" s="27">
        <f>IF(ISNUMBER(KF45),KF45*(1+PortfolioFrontier[[#This Row],[P73 Return]]),1+PortfolioFrontier[[#This Row],[P73 Return]])</f>
        <v>1.2924656845367024</v>
      </c>
      <c r="KG46" s="27">
        <f>MAX(KG45,PortfolioFrontier[[#This Row],[P73 Growth]])</f>
        <v>1.2924656845367024</v>
      </c>
      <c r="KH46" s="27">
        <f>PortfolioFrontier[[#This Row],[P73 Growth]]/PortfolioFrontier[[#This Row],[P73 HWM]]-1</f>
        <v>0</v>
      </c>
      <c r="KI46" s="28">
        <f>SUMPRODUCT(INDEX(PortfolioRef[[SPY]:[PE]],MATCH(KI$1,PortfolioRef[Reference '#]),0),AssetMonthlyReturns[[#This Row],[SPY]:[PE]])</f>
        <v>3.5306052388278039E-3</v>
      </c>
      <c r="KJ46" s="27">
        <f>IF(ISNUMBER(KJ45),KJ45*(1+PortfolioFrontier[[#This Row],[P74 Return]]),1+PortfolioFrontier[[#This Row],[P74 Return]])</f>
        <v>1.2734140037798738</v>
      </c>
      <c r="KK46" s="27">
        <f>MAX(KK45,PortfolioFrontier[[#This Row],[P74 Growth]])</f>
        <v>1.2734140037798738</v>
      </c>
      <c r="KL46" s="27">
        <f>PortfolioFrontier[[#This Row],[P74 Growth]]/PortfolioFrontier[[#This Row],[P74 HWM]]-1</f>
        <v>0</v>
      </c>
      <c r="KM46" s="28">
        <f>SUMPRODUCT(INDEX(PortfolioRef[[SPY]:[PE]],MATCH(KM$1,PortfolioRef[Reference '#]),0),AssetMonthlyReturns[[#This Row],[SPY]:[PE]])</f>
        <v>4.0221434784586379E-3</v>
      </c>
      <c r="KN46" s="27">
        <f>IF(ISNUMBER(KN45),KN45*(1+PortfolioFrontier[[#This Row],[P75 Return]]),1+PortfolioFrontier[[#This Row],[P75 Return]])</f>
        <v>1.2544334654980891</v>
      </c>
      <c r="KO46" s="27">
        <f>MAX(KO45,PortfolioFrontier[[#This Row],[P75 Growth]])</f>
        <v>1.2544334654980891</v>
      </c>
      <c r="KP46" s="27">
        <f>PortfolioFrontier[[#This Row],[P75 Growth]]/PortfolioFrontier[[#This Row],[P75 HWM]]-1</f>
        <v>0</v>
      </c>
      <c r="KQ46" s="28">
        <f>SUMPRODUCT(INDEX(PortfolioRef[[SPY]:[PE]],MATCH(KQ$1,PortfolioRef[Reference '#]),0),AssetMonthlyReturns[[#This Row],[SPY]:[PE]])</f>
        <v>3.9911841228466955E-3</v>
      </c>
      <c r="KR46" s="27">
        <f>IF(ISNUMBER(KR45),KR45*(1+PortfolioFrontier[[#This Row],[P76 Return]]),1+PortfolioFrontier[[#This Row],[P76 Return]])</f>
        <v>1.3025902905263247</v>
      </c>
      <c r="KS46" s="27">
        <f>MAX(KS45,PortfolioFrontier[[#This Row],[P76 Growth]])</f>
        <v>1.3025902905263247</v>
      </c>
      <c r="KT46" s="27">
        <f>PortfolioFrontier[[#This Row],[P76 Growth]]/PortfolioFrontier[[#This Row],[P76 HWM]]-1</f>
        <v>0</v>
      </c>
      <c r="KU46" s="28">
        <f>SUMPRODUCT(INDEX(PortfolioRef[[SPY]:[PE]],MATCH(KU$1,PortfolioRef[Reference '#]),0),AssetMonthlyReturns[[#This Row],[SPY]:[PE]])</f>
        <v>4.4827223624775295E-3</v>
      </c>
      <c r="KV46" s="27">
        <f>IF(ISNUMBER(KV45),KV45*(1+PortfolioFrontier[[#This Row],[P77 Return]]),1+PortfolioFrontier[[#This Row],[P77 Return]])</f>
        <v>1.2835245074131096</v>
      </c>
      <c r="KW46" s="27">
        <f>MAX(KW45,PortfolioFrontier[[#This Row],[P77 Growth]])</f>
        <v>1.2835245074131096</v>
      </c>
      <c r="KX46" s="27">
        <f>PortfolioFrontier[[#This Row],[P77 Growth]]/PortfolioFrontier[[#This Row],[P77 HWM]]-1</f>
        <v>0</v>
      </c>
      <c r="KY46" s="28">
        <f>SUMPRODUCT(INDEX(PortfolioRef[[SPY]:[PE]],MATCH(KY$1,PortfolioRef[Reference '#]),0),AssetMonthlyReturns[[#This Row],[SPY]:[PE]])</f>
        <v>4.9742606021083643E-3</v>
      </c>
      <c r="KZ46" s="27">
        <f>IF(ISNUMBER(KZ45),KZ45*(1+PortfolioFrontier[[#This Row],[P78 Return]]),1+PortfolioFrontier[[#This Row],[P78 Return]])</f>
        <v>1.2645265004174326</v>
      </c>
      <c r="LA46" s="27">
        <f>MAX(LA45,PortfolioFrontier[[#This Row],[P78 Growth]])</f>
        <v>1.2645265004174326</v>
      </c>
      <c r="LB46" s="27">
        <f>PortfolioFrontier[[#This Row],[P78 Growth]]/PortfolioFrontier[[#This Row],[P78 HWM]]-1</f>
        <v>0</v>
      </c>
      <c r="LC46" s="28">
        <f>SUMPRODUCT(INDEX(PortfolioRef[[SPY]:[PE]],MATCH(LC$1,PortfolioRef[Reference '#]),0),AssetMonthlyReturns[[#This Row],[SPY]:[PE]])</f>
        <v>1.4502898169241865E-3</v>
      </c>
      <c r="LD46" s="27">
        <f>IF(ISNUMBER(LD45),LD45*(1+PortfolioFrontier[[#This Row],[P79 Return]]),1+PortfolioFrontier[[#This Row],[P79 Return]])</f>
        <v>1.2933092493277474</v>
      </c>
      <c r="LE46" s="27">
        <f>MAX(LE45,PortfolioFrontier[[#This Row],[P79 Growth]])</f>
        <v>1.2933092493277474</v>
      </c>
      <c r="LF46" s="27">
        <f>PortfolioFrontier[[#This Row],[P79 Growth]]/PortfolioFrontier[[#This Row],[P79 HWM]]-1</f>
        <v>0</v>
      </c>
      <c r="LG46" s="28">
        <f>SUMPRODUCT(INDEX(PortfolioRef[[SPY]:[PE]],MATCH(LG$1,PortfolioRef[Reference '#]),0),AssetMonthlyReturns[[#This Row],[SPY]:[PE]])</f>
        <v>1.9418280565550209E-3</v>
      </c>
      <c r="LH46" s="27">
        <f>IF(ISNUMBER(LH45),LH45*(1+PortfolioFrontier[[#This Row],[P80 Return]]),1+PortfolioFrontier[[#This Row],[P80 Return]])</f>
        <v>1.2742703543870262</v>
      </c>
      <c r="LI46" s="27">
        <f>MAX(LI45,PortfolioFrontier[[#This Row],[P80 Growth]])</f>
        <v>1.2742703543870262</v>
      </c>
      <c r="LJ46" s="27">
        <f>PortfolioFrontier[[#This Row],[P80 Growth]]/PortfolioFrontier[[#This Row],[P80 HWM]]-1</f>
        <v>0</v>
      </c>
      <c r="LK46" s="28">
        <f>SUMPRODUCT(INDEX(PortfolioRef[[SPY]:[PE]],MATCH(LK$1,PortfolioRef[Reference '#]),0),AssetMonthlyReturns[[#This Row],[SPY]:[PE]])</f>
        <v>2.4333662961858551E-3</v>
      </c>
      <c r="LL46" s="27">
        <f>IF(ISNUMBER(LL45),LL45*(1+PortfolioFrontier[[#This Row],[P81 Return]]),1+PortfolioFrontier[[#This Row],[P81 Return]])</f>
        <v>1.2553019629966837</v>
      </c>
      <c r="LM46" s="27">
        <f>MAX(LM45,PortfolioFrontier[[#This Row],[P81 Growth]])</f>
        <v>1.2553019629966837</v>
      </c>
      <c r="LN46" s="27">
        <f>PortfolioFrontier[[#This Row],[P81 Growth]]/PortfolioFrontier[[#This Row],[P81 HWM]]-1</f>
        <v>0</v>
      </c>
      <c r="LO46" s="28">
        <f>SUMPRODUCT(INDEX(PortfolioRef[[SPY]:[PE]],MATCH(LO$1,PortfolioRef[Reference '#]),0),AssetMonthlyReturns[[#This Row],[SPY]:[PE]])</f>
        <v>2.4024069405739132E-3</v>
      </c>
      <c r="LP46" s="27">
        <f>IF(ISNUMBER(LP45),LP45*(1+PortfolioFrontier[[#This Row],[P82 Return]]),1+PortfolioFrontier[[#This Row],[P82 Return]])</f>
        <v>1.3035649714477247</v>
      </c>
      <c r="LQ46" s="27">
        <f>MAX(LQ45,PortfolioFrontier[[#This Row],[P82 Growth]])</f>
        <v>1.3035649714477247</v>
      </c>
      <c r="LR46" s="27">
        <f>PortfolioFrontier[[#This Row],[P82 Growth]]/PortfolioFrontier[[#This Row],[P82 HWM]]-1</f>
        <v>0</v>
      </c>
      <c r="LS46" s="28">
        <f>SUMPRODUCT(INDEX(PortfolioRef[[SPY]:[PE]],MATCH(LS$1,PortfolioRef[Reference '#]),0),AssetMonthlyReturns[[#This Row],[SPY]:[PE]])</f>
        <v>2.8939451802047472E-3</v>
      </c>
      <c r="LT46" s="27">
        <f>IF(ISNUMBER(LT45),LT45*(1+PortfolioFrontier[[#This Row],[P83 Return]]),1+PortfolioFrontier[[#This Row],[P83 Return]])</f>
        <v>1.2845103648188767</v>
      </c>
      <c r="LU46" s="27">
        <f>MAX(LU45,PortfolioFrontier[[#This Row],[P83 Growth]])</f>
        <v>1.2845103648188767</v>
      </c>
      <c r="LV46" s="27">
        <f>PortfolioFrontier[[#This Row],[P83 Growth]]/PortfolioFrontier[[#This Row],[P83 HWM]]-1</f>
        <v>0</v>
      </c>
      <c r="LW46" s="28">
        <f>SUMPRODUCT(INDEX(PortfolioRef[[SPY]:[PE]],MATCH(LW$1,PortfolioRef[Reference '#]),0),AssetMonthlyReturns[[#This Row],[SPY]:[PE]])</f>
        <v>3.3854834198355816E-3</v>
      </c>
      <c r="LX46" s="27">
        <f>IF(ISNUMBER(LX45),LX45*(1+PortfolioFrontier[[#This Row],[P84 Return]]),1+PortfolioFrontier[[#This Row],[P84 Return]])</f>
        <v>1.2655229001522283</v>
      </c>
      <c r="LY46" s="27">
        <f>MAX(LY45,PortfolioFrontier[[#This Row],[P84 Growth]])</f>
        <v>1.2655229001522283</v>
      </c>
      <c r="LZ46" s="27">
        <f>PortfolioFrontier[[#This Row],[P84 Growth]]/PortfolioFrontier[[#This Row],[P84 HWM]]-1</f>
        <v>0</v>
      </c>
      <c r="MA46" s="28">
        <f>SUMPRODUCT(INDEX(PortfolioRef[[SPY]:[PE]],MATCH(MA$1,PortfolioRef[Reference '#]),0),AssetMonthlyReturns[[#This Row],[SPY]:[PE]])</f>
        <v>3.3545240642236388E-3</v>
      </c>
      <c r="MB46" s="27">
        <f>IF(ISNUMBER(MB45),MB45*(1+PortfolioFrontier[[#This Row],[P85 Return]]),1+PortfolioFrontier[[#This Row],[P85 Return]])</f>
        <v>1.3136022633195126</v>
      </c>
      <c r="MC46" s="27">
        <f>MAX(MC45,PortfolioFrontier[[#This Row],[P85 Growth]])</f>
        <v>1.3136022633195126</v>
      </c>
      <c r="MD46" s="27">
        <f>PortfolioFrontier[[#This Row],[P85 Growth]]/PortfolioFrontier[[#This Row],[P85 HWM]]-1</f>
        <v>0</v>
      </c>
      <c r="ME46" s="28">
        <f>SUMPRODUCT(INDEX(PortfolioRef[[SPY]:[PE]],MATCH(ME$1,PortfolioRef[Reference '#]),0),AssetMonthlyReturns[[#This Row],[SPY]:[PE]])</f>
        <v>3.8460623038544728E-3</v>
      </c>
      <c r="MF46" s="27">
        <f>IF(ISNUMBER(MF45),MF45*(1+PortfolioFrontier[[#This Row],[P86 Return]]),1+PortfolioFrontier[[#This Row],[P86 Return]])</f>
        <v>1.2945373120172983</v>
      </c>
      <c r="MG46" s="27">
        <f>MAX(MG45,PortfolioFrontier[[#This Row],[P86 Growth]])</f>
        <v>1.2945373120172983</v>
      </c>
      <c r="MH46" s="27">
        <f>PortfolioFrontier[[#This Row],[P86 Growth]]/PortfolioFrontier[[#This Row],[P86 HWM]]-1</f>
        <v>0</v>
      </c>
      <c r="MI46" s="28">
        <f>SUMPRODUCT(INDEX(PortfolioRef[[SPY]:[PE]],MATCH(MI$1,PortfolioRef[Reference '#]),0),AssetMonthlyReturns[[#This Row],[SPY]:[PE]])</f>
        <v>4.3376005434853076E-3</v>
      </c>
      <c r="MJ46" s="27">
        <f>IF(ISNUMBER(MJ45),MJ45*(1+PortfolioFrontier[[#This Row],[P87 Return]]),1+PortfolioFrontier[[#This Row],[P87 Return]])</f>
        <v>1.2755360802205626</v>
      </c>
      <c r="MK46" s="27">
        <f>MAX(MK45,PortfolioFrontier[[#This Row],[P87 Growth]])</f>
        <v>1.2755360802205626</v>
      </c>
      <c r="ML46" s="27">
        <f>PortfolioFrontier[[#This Row],[P87 Growth]]/PortfolioFrontier[[#This Row],[P87 HWM]]-1</f>
        <v>0</v>
      </c>
      <c r="MM46" s="28">
        <f>SUMPRODUCT(INDEX(PortfolioRef[[SPY]:[PE]],MATCH(MM$1,PortfolioRef[Reference '#]),0),AssetMonthlyReturns[[#This Row],[SPY]:[PE]])</f>
        <v>8.1362975830112975E-4</v>
      </c>
      <c r="MN46" s="27">
        <f>IF(ISNUMBER(MN45),MN45*(1+PortfolioFrontier[[#This Row],[P88 Return]]),1+PortfolioFrontier[[#This Row],[P88 Return]])</f>
        <v>1.30441901628697</v>
      </c>
      <c r="MO46" s="27">
        <f>MAX(MO45,PortfolioFrontier[[#This Row],[P88 Growth]])</f>
        <v>1.30441901628697</v>
      </c>
      <c r="MP46" s="27">
        <f>PortfolioFrontier[[#This Row],[P88 Growth]]/PortfolioFrontier[[#This Row],[P88 HWM]]-1</f>
        <v>0</v>
      </c>
      <c r="MQ46" s="28">
        <f>SUMPRODUCT(INDEX(PortfolioRef[[SPY]:[PE]],MATCH(MQ$1,PortfolioRef[Reference '#]),0),AssetMonthlyReturns[[#This Row],[SPY]:[PE]])</f>
        <v>1.3051679979319641E-3</v>
      </c>
      <c r="MR46" s="27">
        <f>IF(ISNUMBER(MR45),MR45*(1+PortfolioFrontier[[#This Row],[P89 Return]]),1+PortfolioFrontier[[#This Row],[P89 Return]])</f>
        <v>1.2853772444597267</v>
      </c>
      <c r="MS46" s="27">
        <f>MAX(MS45,PortfolioFrontier[[#This Row],[P89 Growth]])</f>
        <v>1.2853772444597267</v>
      </c>
      <c r="MT46" s="27">
        <f>PortfolioFrontier[[#This Row],[P89 Growth]]/PortfolioFrontier[[#This Row],[P89 HWM]]-1</f>
        <v>0</v>
      </c>
      <c r="MU46" s="28">
        <f>SUMPRODUCT(INDEX(PortfolioRef[[SPY]:[PE]],MATCH(MU$1,PortfolioRef[Reference '#]),0),AssetMonthlyReturns[[#This Row],[SPY]:[PE]])</f>
        <v>1.7967062375627983E-3</v>
      </c>
      <c r="MV46" s="27">
        <f>IF(ISNUMBER(MV45),MV45*(1+PortfolioFrontier[[#This Row],[P90 Return]]),1+PortfolioFrontier[[#This Row],[P90 Return]])</f>
        <v>1.2664019760444833</v>
      </c>
      <c r="MW46" s="27">
        <f>MAX(MW45,PortfolioFrontier[[#This Row],[P90 Growth]])</f>
        <v>1.2664019760444833</v>
      </c>
      <c r="MX46" s="27">
        <f>PortfolioFrontier[[#This Row],[P90 Growth]]/PortfolioFrontier[[#This Row],[P90 HWM]]-1</f>
        <v>0</v>
      </c>
      <c r="MY46" s="28">
        <f>SUMPRODUCT(INDEX(PortfolioRef[[SPY]:[PE]],MATCH(MY$1,PortfolioRef[Reference '#]),0),AssetMonthlyReturns[[#This Row],[SPY]:[PE]])</f>
        <v>1.7657468819508562E-3</v>
      </c>
      <c r="MZ46" s="27">
        <f>IF(ISNUMBER(MZ45),MZ45*(1+PortfolioFrontier[[#This Row],[P91 Return]]),1+PortfolioFrontier[[#This Row],[P91 Return]])</f>
        <v>1.3145885281364451</v>
      </c>
      <c r="NA46" s="27">
        <f>MAX(NA45,PortfolioFrontier[[#This Row],[P91 Growth]])</f>
        <v>1.3145885281364451</v>
      </c>
      <c r="NB46" s="27">
        <f>PortfolioFrontier[[#This Row],[P91 Growth]]/PortfolioFrontier[[#This Row],[P91 HWM]]-1</f>
        <v>0</v>
      </c>
      <c r="NC46" s="28">
        <f>SUMPRODUCT(INDEX(PortfolioRef[[SPY]:[PE]],MATCH(NC$1,PortfolioRef[Reference '#]),0),AssetMonthlyReturns[[#This Row],[SPY]:[PE]])</f>
        <v>2.2572851215816904E-3</v>
      </c>
      <c r="ND46" s="27">
        <f>IF(ISNUMBER(ND45),ND45*(1+PortfolioFrontier[[#This Row],[P92 Return]]),1+PortfolioFrontier[[#This Row],[P92 Return]])</f>
        <v>1.2955347997304898</v>
      </c>
      <c r="NE46" s="27">
        <f>MAX(NE45,PortfolioFrontier[[#This Row],[P92 Growth]])</f>
        <v>1.2955347997304898</v>
      </c>
      <c r="NF46" s="27">
        <f>PortfolioFrontier[[#This Row],[P92 Growth]]/PortfolioFrontier[[#This Row],[P92 HWM]]-1</f>
        <v>0</v>
      </c>
      <c r="NG46" s="28">
        <f>SUMPRODUCT(INDEX(PortfolioRef[[SPY]:[PE]],MATCH(NG$1,PortfolioRef[Reference '#]),0),AssetMonthlyReturns[[#This Row],[SPY]:[PE]])</f>
        <v>2.7488233612125248E-3</v>
      </c>
      <c r="NH46" s="27">
        <f>IF(ISNUMBER(NH45),NH45*(1+PortfolioFrontier[[#This Row],[P93 Return]]),1+PortfolioFrontier[[#This Row],[P93 Return]])</f>
        <v>1.2765441568483058</v>
      </c>
      <c r="NI46" s="27">
        <f>MAX(NI45,PortfolioFrontier[[#This Row],[P93 Growth]])</f>
        <v>1.2765441568483058</v>
      </c>
      <c r="NJ46" s="27">
        <f>PortfolioFrontier[[#This Row],[P93 Growth]]/PortfolioFrontier[[#This Row],[P93 HWM]]-1</f>
        <v>0</v>
      </c>
      <c r="NK46" s="28">
        <f>SUMPRODUCT(INDEX(PortfolioRef[[SPY]:[PE]],MATCH(NK$1,PortfolioRef[Reference '#]),0),AssetMonthlyReturns[[#This Row],[SPY]:[PE]])</f>
        <v>2.717864005600582E-3</v>
      </c>
      <c r="NL46" s="27">
        <f>IF(ISNUMBER(NL45),NL45*(1+PortfolioFrontier[[#This Row],[P94 Return]]),1+PortfolioFrontier[[#This Row],[P94 Return]])</f>
        <v>1.3245347088061001</v>
      </c>
      <c r="NM46" s="27">
        <f>MAX(NM45,PortfolioFrontier[[#This Row],[P94 Growth]])</f>
        <v>1.3245347088061001</v>
      </c>
      <c r="NN46" s="27">
        <f>PortfolioFrontier[[#This Row],[P94 Growth]]/PortfolioFrontier[[#This Row],[P94 HWM]]-1</f>
        <v>0</v>
      </c>
      <c r="NO46" s="28">
        <f>SUMPRODUCT(INDEX(PortfolioRef[[SPY]:[PE]],MATCH(NO$1,PortfolioRef[Reference '#]),0),AssetMonthlyReturns[[#This Row],[SPY]:[PE]])</f>
        <v>3.209402245231416E-3</v>
      </c>
      <c r="NP46" s="27">
        <f>IF(ISNUMBER(NP45),NP45*(1+PortfolioFrontier[[#This Row],[P95 Return]]),1+PortfolioFrontier[[#This Row],[P95 Return]])</f>
        <v>1.3054744356026811</v>
      </c>
      <c r="NQ46" s="27">
        <f>MAX(NQ45,PortfolioFrontier[[#This Row],[P95 Growth]])</f>
        <v>1.3054744356026811</v>
      </c>
      <c r="NR46" s="27">
        <f>PortfolioFrontier[[#This Row],[P95 Growth]]/PortfolioFrontier[[#This Row],[P95 HWM]]-1</f>
        <v>0</v>
      </c>
      <c r="NS46" s="28">
        <f>SUMPRODUCT(INDEX(PortfolioRef[[SPY]:[PE]],MATCH(NS$1,PortfolioRef[Reference '#]),0),AssetMonthlyReturns[[#This Row],[SPY]:[PE]])</f>
        <v>3.7009404848622504E-3</v>
      </c>
      <c r="NT46" s="27">
        <f>IF(ISNUMBER(NT45),NT45*(1+PortfolioFrontier[[#This Row],[P96 Return]]),1+PortfolioFrontier[[#This Row],[P96 Return]])</f>
        <v>1.2864737701295568</v>
      </c>
      <c r="NU46" s="27">
        <f>MAX(NU45,PortfolioFrontier[[#This Row],[P96 Growth]])</f>
        <v>1.2864737701295568</v>
      </c>
      <c r="NV46" s="27">
        <f>PortfolioFrontier[[#This Row],[P96 Growth]]/PortfolioFrontier[[#This Row],[P96 HWM]]-1</f>
        <v>0</v>
      </c>
      <c r="NW46" s="28">
        <f>SUMPRODUCT(INDEX(PortfolioRef[[SPY]:[PE]],MATCH(NW$1,PortfolioRef[Reference '#]),0),AssetMonthlyReturns[[#This Row],[SPY]:[PE]])</f>
        <v>4.0757273148518394E-3</v>
      </c>
      <c r="NX46" s="27">
        <f>IF(ISNUMBER(NX45),NX45*(1+PortfolioFrontier[[#This Row],[P97 Return]]),1+PortfolioFrontier[[#This Row],[P97 Return]])</f>
        <v>1.2447163316783569</v>
      </c>
      <c r="NY46" s="27">
        <f>MAX(NY45,PortfolioFrontier[[#This Row],[P97 Growth]])</f>
        <v>1.2447163316783569</v>
      </c>
      <c r="NZ46" s="27">
        <f>PortfolioFrontier[[#This Row],[P97 Growth]]/PortfolioFrontier[[#This Row],[P97 HWM]]-1</f>
        <v>0</v>
      </c>
      <c r="OA46" s="28">
        <f>SUMPRODUCT(INDEX(PortfolioRef[[SPY]:[PE]],MATCH(OA$1,PortfolioRef[Reference '#]),0),AssetMonthlyReturns[[#This Row],[SPY]:[PE]])</f>
        <v>2.486950132579057E-3</v>
      </c>
      <c r="OB46" s="27">
        <f>IF(ISNUMBER(OB45),OB45*(1+PortfolioFrontier[[#This Row],[P98 Return]]),1+PortfolioFrontier[[#This Row],[P98 Return]])</f>
        <v>1.2456156423106537</v>
      </c>
      <c r="OC46" s="27">
        <f>MAX(OC45,PortfolioFrontier[[#This Row],[P98 Growth]])</f>
        <v>1.2456156423106537</v>
      </c>
      <c r="OD46" s="27">
        <f>PortfolioFrontier[[#This Row],[P98 Growth]]/PortfolioFrontier[[#This Row],[P98 HWM]]-1</f>
        <v>0</v>
      </c>
      <c r="OE46" s="28">
        <f>SUMPRODUCT(INDEX(PortfolioRef[[SPY]:[PE]],MATCH(OE$1,PortfolioRef[Reference '#]),0),AssetMonthlyReturns[[#This Row],[SPY]:[PE]])</f>
        <v>3.4390672562287826E-3</v>
      </c>
      <c r="OF46" s="27">
        <f>IF(ISNUMBER(OF45),OF45*(1+PortfolioFrontier[[#This Row],[P99 Return]]),1+PortfolioFrontier[[#This Row],[P99 Return]])</f>
        <v>1.2558251280250656</v>
      </c>
      <c r="OG46" s="27">
        <f>MAX(OG45,PortfolioFrontier[[#This Row],[P99 Growth]])</f>
        <v>1.2558251280250656</v>
      </c>
      <c r="OH46" s="27">
        <f>PortfolioFrontier[[#This Row],[P99 Growth]]/PortfolioFrontier[[#This Row],[P99 HWM]]-1</f>
        <v>0</v>
      </c>
      <c r="OI46" s="28">
        <f>SUMPRODUCT(INDEX(PortfolioRef[[SPY]:[PE]],MATCH(OI$1,PortfolioRef[Reference '#]),0),AssetMonthlyReturns[[#This Row],[SPY]:[PE]])</f>
        <v>3.9306054958596166E-3</v>
      </c>
      <c r="OJ46" s="27">
        <f>IF(ISNUMBER(OJ45),OJ45*(1+PortfolioFrontier[[#This Row],[P100 Return]]),1+PortfolioFrontier[[#This Row],[P100 Return]])</f>
        <v>1.2370686934316928</v>
      </c>
      <c r="OK46" s="27">
        <f>MAX(OK45,PortfolioFrontier[[#This Row],[P100 Growth]])</f>
        <v>1.2370686934316928</v>
      </c>
      <c r="OL46" s="27">
        <f>PortfolioFrontier[[#This Row],[P100 Growth]]/PortfolioFrontier[[#This Row],[P100 HWM]]-1</f>
        <v>0</v>
      </c>
      <c r="OM46" s="28">
        <f>SUMPRODUCT(INDEX(PortfolioRef[[SPY]:[PE]],MATCH(OM$1,PortfolioRef[Reference '#]),0),AssetMonthlyReturns[[#This Row],[SPY]:[PE]])</f>
        <v>8.9817295030627533E-4</v>
      </c>
      <c r="ON46" s="27">
        <f>IF(ISNUMBER(ON45),ON45*(1+PortfolioFrontier[[#This Row],[P101 Return]]),1+PortfolioFrontier[[#This Row],[P101 Return]])</f>
        <v>1.2463992201555176</v>
      </c>
      <c r="OO46" s="27">
        <f>MAX(OO45,PortfolioFrontier[[#This Row],[P101 Growth]])</f>
        <v>1.2463992201555176</v>
      </c>
      <c r="OP46" s="27">
        <f>PortfolioFrontier[[#This Row],[P101 Growth]]/PortfolioFrontier[[#This Row],[P101 HWM]]-1</f>
        <v>0</v>
      </c>
      <c r="OQ46" s="28">
        <f>SUMPRODUCT(INDEX(PortfolioRef[[SPY]:[PE]],MATCH(OQ$1,PortfolioRef[Reference '#]),0),AssetMonthlyReturns[[#This Row],[SPY]:[PE]])</f>
        <v>1.8502900739560018E-3</v>
      </c>
      <c r="OR46" s="27">
        <f>IF(ISNUMBER(OR45),OR45*(1+PortfolioFrontier[[#This Row],[P102 Return]]),1+PortfolioFrontier[[#This Row],[P102 Return]])</f>
        <v>1.2567350524285856</v>
      </c>
      <c r="OS46" s="27">
        <f>MAX(OS45,PortfolioFrontier[[#This Row],[P102 Growth]])</f>
        <v>1.2567350524285856</v>
      </c>
      <c r="OT46" s="27">
        <f>PortfolioFrontier[[#This Row],[P102 Growth]]/PortfolioFrontier[[#This Row],[P102 HWM]]-1</f>
        <v>0</v>
      </c>
      <c r="OU46" s="28">
        <f>SUMPRODUCT(INDEX(PortfolioRef[[SPY]:[PE]],MATCH(OU$1,PortfolioRef[Reference '#]),0),AssetMonthlyReturns[[#This Row],[SPY]:[PE]])</f>
        <v>2.341828313586836E-3</v>
      </c>
      <c r="OV46" s="27">
        <f>IF(ISNUMBER(OV45),OV45*(1+PortfolioFrontier[[#This Row],[P103 Return]]),1+PortfolioFrontier[[#This Row],[P103 Return]])</f>
        <v>1.2379898645802885</v>
      </c>
      <c r="OW46" s="27">
        <f>MAX(OW45,PortfolioFrontier[[#This Row],[P103 Growth]])</f>
        <v>1.2379898645802885</v>
      </c>
      <c r="OX46" s="27">
        <f>PortfolioFrontier[[#This Row],[P103 Growth]]/PortfolioFrontier[[#This Row],[P103 HWM]]-1</f>
        <v>0</v>
      </c>
      <c r="OY46" s="28">
        <f>SUMPRODUCT(INDEX(PortfolioRef[[SPY]:[PE]],MATCH(OY$1,PortfolioRef[Reference '#]),0),AssetMonthlyReturns[[#This Row],[SPY]:[PE]])</f>
        <v>2.8024071976057276E-3</v>
      </c>
      <c r="OZ46" s="27">
        <f>IF(ISNUMBER(OZ45),OZ45*(1+PortfolioFrontier[[#This Row],[P104 Return]]),1+PortfolioFrontier[[#This Row],[P104 Return]])</f>
        <v>1.2668683794446753</v>
      </c>
      <c r="PA46" s="27">
        <f>MAX(PA45,PortfolioFrontier[[#This Row],[P104 Growth]])</f>
        <v>1.2668683794446753</v>
      </c>
      <c r="PB46" s="27">
        <f>PortfolioFrontier[[#This Row],[P104 Growth]]/PortfolioFrontier[[#This Row],[P104 HWM]]-1</f>
        <v>0</v>
      </c>
      <c r="PC46" s="28">
        <f>SUMPRODUCT(INDEX(PortfolioRef[[SPY]:[PE]],MATCH(PC$1,PortfolioRef[Reference '#]),0),AssetMonthlyReturns[[#This Row],[SPY]:[PE]])</f>
        <v>3.2939454372365616E-3</v>
      </c>
      <c r="PD46" s="27">
        <f>IF(ISNUMBER(PD45),PD45*(1+PortfolioFrontier[[#This Row],[P105 Return]]),1+PortfolioFrontier[[#This Row],[P105 Return]])</f>
        <v>1.2481032889024732</v>
      </c>
      <c r="PE46" s="27">
        <f>MAX(PE45,PortfolioFrontier[[#This Row],[P105 Growth]])</f>
        <v>1.2481032889024732</v>
      </c>
      <c r="PF46" s="27">
        <f>PortfolioFrontier[[#This Row],[P105 Growth]]/PortfolioFrontier[[#This Row],[P105 HWM]]-1</f>
        <v>0</v>
      </c>
      <c r="PG46" s="28">
        <f>SUMPRODUCT(INDEX(PortfolioRef[[SPY]:[PE]],MATCH(PG$1,PortfolioRef[Reference '#]),0),AssetMonthlyReturns[[#This Row],[SPY]:[PE]])</f>
        <v>3.785483676867396E-3</v>
      </c>
      <c r="PH46" s="27">
        <f>IF(ISNUMBER(PH45),PH45*(1+PortfolioFrontier[[#This Row],[P106 Return]]),1+PortfolioFrontier[[#This Row],[P106 Return]])</f>
        <v>1.2294104769102618</v>
      </c>
      <c r="PI46" s="27">
        <f>MAX(PI45,PortfolioFrontier[[#This Row],[P106 Growth]])</f>
        <v>1.2294104769102618</v>
      </c>
      <c r="PJ46" s="27">
        <f>PortfolioFrontier[[#This Row],[P106 Growth]]/PortfolioFrontier[[#This Row],[P106 HWM]]-1</f>
        <v>0</v>
      </c>
      <c r="PK46" s="28">
        <f>SUMPRODUCT(INDEX(PortfolioRef[[SPY]:[PE]],MATCH(PK$1,PortfolioRef[Reference '#]),0),AssetMonthlyReturns[[#This Row],[SPY]:[PE]])</f>
        <v>2.6151289168321857E-4</v>
      </c>
      <c r="PL46" s="27">
        <f>IF(ISNUMBER(PL45),PL45*(1+PortfolioFrontier[[#This Row],[P107 Return]]),1+PortfolioFrontier[[#This Row],[P107 Return]])</f>
        <v>1.2575283056591211</v>
      </c>
      <c r="PM46" s="27">
        <f>MAX(PM45,PortfolioFrontier[[#This Row],[P107 Growth]])</f>
        <v>1.2575283056591211</v>
      </c>
      <c r="PN46" s="27">
        <f>PortfolioFrontier[[#This Row],[P107 Growth]]/PortfolioFrontier[[#This Row],[P107 HWM]]-1</f>
        <v>0</v>
      </c>
      <c r="PO46" s="28">
        <f>SUMPRODUCT(INDEX(PortfolioRef[[SPY]:[PE]],MATCH(PO$1,PortfolioRef[Reference '#]),0),AssetMonthlyReturns[[#This Row],[SPY]:[PE]])</f>
        <v>7.5305113131405297E-4</v>
      </c>
      <c r="PP46" s="27">
        <f>IF(ISNUMBER(PP45),PP45*(1+PortfolioFrontier[[#This Row],[P108 Return]]),1+PortfolioFrontier[[#This Row],[P108 Return]])</f>
        <v>1.2387959998308631</v>
      </c>
      <c r="PQ46" s="27">
        <f>MAX(PQ45,PortfolioFrontier[[#This Row],[P108 Growth]])</f>
        <v>1.2387959998308631</v>
      </c>
      <c r="PR46" s="27">
        <f>PortfolioFrontier[[#This Row],[P108 Growth]]/PortfolioFrontier[[#This Row],[P108 HWM]]-1</f>
        <v>0</v>
      </c>
      <c r="PS46" s="28">
        <f>SUMPRODUCT(INDEX(PortfolioRef[[SPY]:[PE]],MATCH(PS$1,PortfolioRef[Reference '#]),0),AssetMonthlyReturns[[#This Row],[SPY]:[PE]])</f>
        <v>1.213630015332945E-3</v>
      </c>
      <c r="PT46" s="27">
        <f>IF(ISNUMBER(PT45),PT45*(1+PortfolioFrontier[[#This Row],[P109 Return]]),1+PortfolioFrontier[[#This Row],[P109 Return]])</f>
        <v>1.2677890810170569</v>
      </c>
      <c r="PU46" s="27">
        <f>MAX(PU45,PortfolioFrontier[[#This Row],[P109 Growth]])</f>
        <v>1.2677890810170569</v>
      </c>
      <c r="PV46" s="27">
        <f>PortfolioFrontier[[#This Row],[P109 Growth]]/PortfolioFrontier[[#This Row],[P109 HWM]]-1</f>
        <v>0</v>
      </c>
      <c r="PW46" s="28">
        <f>SUMPRODUCT(INDEX(PortfolioRef[[SPY]:[PE]],MATCH(PW$1,PortfolioRef[Reference '#]),0),AssetMonthlyReturns[[#This Row],[SPY]:[PE]])</f>
        <v>1.7051682549637794E-3</v>
      </c>
      <c r="PX46" s="27">
        <f>IF(ISNUMBER(PX45),PX45*(1+PortfolioFrontier[[#This Row],[P110 Return]]),1+PortfolioFrontier[[#This Row],[P110 Return]])</f>
        <v>1.2490352921807928</v>
      </c>
      <c r="PY46" s="27">
        <f>MAX(PY45,PortfolioFrontier[[#This Row],[P110 Growth]])</f>
        <v>1.2490352921807928</v>
      </c>
      <c r="PZ46" s="27">
        <f>PortfolioFrontier[[#This Row],[P110 Growth]]/PortfolioFrontier[[#This Row],[P110 HWM]]-1</f>
        <v>0</v>
      </c>
      <c r="QA46" s="28">
        <f>SUMPRODUCT(INDEX(PortfolioRef[[SPY]:[PE]],MATCH(QA$1,PortfolioRef[Reference '#]),0),AssetMonthlyReturns[[#This Row],[SPY]:[PE]])</f>
        <v>2.1967064945946136E-3</v>
      </c>
      <c r="QB46" s="27">
        <f>IF(ISNUMBER(QB45),QB45*(1+PortfolioFrontier[[#This Row],[P111 Return]]),1+PortfolioFrontier[[#This Row],[P111 Return]])</f>
        <v>1.2303531544497306</v>
      </c>
      <c r="QC46" s="27">
        <f>MAX(QC45,PortfolioFrontier[[#This Row],[P111 Growth]])</f>
        <v>1.2303531544497306</v>
      </c>
      <c r="QD46" s="27">
        <f>PortfolioFrontier[[#This Row],[P111 Growth]]/PortfolioFrontier[[#This Row],[P111 HWM]]-1</f>
        <v>0</v>
      </c>
      <c r="QE46" s="28">
        <f>SUMPRODUCT(INDEX(PortfolioRef[[SPY]:[PE]],MATCH(QE$1,PortfolioRef[Reference '#]),0),AssetMonthlyReturns[[#This Row],[SPY]:[PE]])</f>
        <v>2.1657471389826708E-3</v>
      </c>
      <c r="QF46" s="27">
        <f>IF(ISNUMBER(QF45),QF45*(1+PortfolioFrontier[[#This Row],[P112 Return]]),1+PortfolioFrontier[[#This Row],[P112 Return]])</f>
        <v>1.2778425754203275</v>
      </c>
      <c r="QG46" s="27">
        <f>MAX(QG45,PortfolioFrontier[[#This Row],[P112 Growth]])</f>
        <v>1.2778425754203275</v>
      </c>
      <c r="QH46" s="27">
        <f>PortfolioFrontier[[#This Row],[P112 Growth]]/PortfolioFrontier[[#This Row],[P112 HWM]]-1</f>
        <v>0</v>
      </c>
      <c r="QI46" s="28">
        <f>SUMPRODUCT(INDEX(PortfolioRef[[SPY]:[PE]],MATCH(QI$1,PortfolioRef[Reference '#]),0),AssetMonthlyReturns[[#This Row],[SPY]:[PE]])</f>
        <v>2.6572853786135048E-3</v>
      </c>
      <c r="QJ46" s="27">
        <f>IF(ISNUMBER(QJ45),QJ45*(1+PortfolioFrontier[[#This Row],[P113 Return]]),1+PortfolioFrontier[[#This Row],[P113 Return]])</f>
        <v>1.2590725126911817</v>
      </c>
      <c r="QK46" s="27">
        <f>MAX(QK45,PortfolioFrontier[[#This Row],[P113 Growth]])</f>
        <v>1.2590725126911817</v>
      </c>
      <c r="QL46" s="27">
        <f>PortfolioFrontier[[#This Row],[P113 Growth]]/PortfolioFrontier[[#This Row],[P113 HWM]]-1</f>
        <v>0</v>
      </c>
      <c r="QM46" s="28">
        <f>SUMPRODUCT(INDEX(PortfolioRef[[SPY]:[PE]],MATCH(QM$1,PortfolioRef[Reference '#]),0),AssetMonthlyReturns[[#This Row],[SPY]:[PE]])</f>
        <v>3.1488236182443392E-3</v>
      </c>
      <c r="QN46" s="27">
        <f>IF(ISNUMBER(QN45),QN45*(1+PortfolioFrontier[[#This Row],[P114 Return]]),1+PortfolioFrontier[[#This Row],[P114 Return]])</f>
        <v>1.2403708196529655</v>
      </c>
      <c r="QO46" s="27">
        <f>MAX(QO45,PortfolioFrontier[[#This Row],[P114 Growth]])</f>
        <v>1.2403708196529655</v>
      </c>
      <c r="QP46" s="27">
        <f>PortfolioFrontier[[#This Row],[P114 Growth]]/PortfolioFrontier[[#This Row],[P114 HWM]]-1</f>
        <v>0</v>
      </c>
      <c r="QQ46" s="28">
        <f>SUMPRODUCT(INDEX(PortfolioRef[[SPY]:[PE]],MATCH(QQ$1,PortfolioRef[Reference '#]),0),AssetMonthlyReturns[[#This Row],[SPY]:[PE]])</f>
        <v>-3.7514716693983819E-4</v>
      </c>
      <c r="QR46" s="27">
        <f>IF(ISNUMBER(QR45),QR45*(1+PortfolioFrontier[[#This Row],[P115 Return]]),1+PortfolioFrontier[[#This Row],[P115 Return]])</f>
        <v>1.2685921794823694</v>
      </c>
      <c r="QS46" s="27">
        <f>MAX(QS45,PortfolioFrontier[[#This Row],[P115 Growth]])</f>
        <v>1.2690682668473303</v>
      </c>
      <c r="QT46" s="27">
        <f>PortfolioFrontier[[#This Row],[P115 Growth]]/PortfolioFrontier[[#This Row],[P115 HWM]]-1</f>
        <v>-3.7514716693975991E-4</v>
      </c>
      <c r="QU46" s="28">
        <f>SUMPRODUCT(INDEX(PortfolioRef[[SPY]:[PE]],MATCH(QU$1,PortfolioRef[Reference '#]),0),AssetMonthlyReturns[[#This Row],[SPY]:[PE]])</f>
        <v>1.1639107269099621E-4</v>
      </c>
      <c r="QV46" s="27">
        <f>IF(ISNUMBER(QV45),QV45*(1+PortfolioFrontier[[#This Row],[P116 Return]]),1+PortfolioFrontier[[#This Row],[P116 Return]])</f>
        <v>1.2498513276083054</v>
      </c>
      <c r="QW46" s="27">
        <f>MAX(QW45,PortfolioFrontier[[#This Row],[P116 Growth]])</f>
        <v>1.2498513276083054</v>
      </c>
      <c r="QX46" s="27">
        <f>PortfolioFrontier[[#This Row],[P116 Growth]]/PortfolioFrontier[[#This Row],[P116 HWM]]-1</f>
        <v>0</v>
      </c>
      <c r="QY46" s="28">
        <f>SUMPRODUCT(INDEX(PortfolioRef[[SPY]:[PE]],MATCH(QY$1,PortfolioRef[Reference '#]),0),AssetMonthlyReturns[[#This Row],[SPY]:[PE]])</f>
        <v>6.079293123218304E-4</v>
      </c>
      <c r="QZ46" s="27">
        <f>IF(ISNUMBER(QZ45),QZ45*(1+PortfolioFrontier[[#This Row],[P117 Return]]),1+PortfolioFrontier[[#This Row],[P117 Return]])</f>
        <v>1.2311814946345094</v>
      </c>
      <c r="RA46" s="27">
        <f>MAX(RA45,PortfolioFrontier[[#This Row],[P117 Growth]])</f>
        <v>1.2311814946345094</v>
      </c>
      <c r="RB46" s="27">
        <f>PortfolioFrontier[[#This Row],[P117 Growth]]/PortfolioFrontier[[#This Row],[P117 HWM]]-1</f>
        <v>0</v>
      </c>
      <c r="RC46" s="28">
        <f>SUMPRODUCT(INDEX(PortfolioRef[[SPY]:[PE]],MATCH(RC$1,PortfolioRef[Reference '#]),0),AssetMonthlyReturns[[#This Row],[SPY]:[PE]])</f>
        <v>5.7696995670988827E-4</v>
      </c>
      <c r="RD46" s="27">
        <f>IF(ISNUMBER(RD45),RD45*(1+PortfolioFrontier[[#This Row],[P118 Return]]),1+PortfolioFrontier[[#This Row],[P118 Return]])</f>
        <v>1.2787742196077099</v>
      </c>
      <c r="RE46" s="27">
        <f>MAX(RE45,PortfolioFrontier[[#This Row],[P118 Growth]])</f>
        <v>1.2787742196077099</v>
      </c>
      <c r="RF46" s="27">
        <f>PortfolioFrontier[[#This Row],[P118 Growth]]/PortfolioFrontier[[#This Row],[P118 HWM]]-1</f>
        <v>0</v>
      </c>
      <c r="RG46" s="28">
        <f>SUMPRODUCT(INDEX(PortfolioRef[[SPY]:[PE]],MATCH(RG$1,PortfolioRef[Reference '#]),0),AssetMonthlyReturns[[#This Row],[SPY]:[PE]])</f>
        <v>1.0685081963407227E-3</v>
      </c>
      <c r="RH46" s="27">
        <f>IF(ISNUMBER(RH45),RH45*(1+PortfolioFrontier[[#This Row],[P119 Return]]),1+PortfolioFrontier[[#This Row],[P119 Return]])</f>
        <v>1.2600155106112829</v>
      </c>
      <c r="RI46" s="27">
        <f>MAX(RI45,PortfolioFrontier[[#This Row],[P119 Growth]])</f>
        <v>1.2600155106112829</v>
      </c>
      <c r="RJ46" s="27">
        <f>PortfolioFrontier[[#This Row],[P119 Growth]]/PortfolioFrontier[[#This Row],[P119 HWM]]-1</f>
        <v>0</v>
      </c>
      <c r="RK46" s="28">
        <f>SUMPRODUCT(INDEX(PortfolioRef[[SPY]:[PE]],MATCH(RK$1,PortfolioRef[Reference '#]),0),AssetMonthlyReturns[[#This Row],[SPY]:[PE]])</f>
        <v>1.5600464359715569E-3</v>
      </c>
      <c r="RL46" s="27">
        <f>IF(ISNUMBER(RL45),RL45*(1+PortfolioFrontier[[#This Row],[P120 Return]]),1+PortfolioFrontier[[#This Row],[P120 Return]])</f>
        <v>1.2413245438824392</v>
      </c>
      <c r="RM46" s="27">
        <f>MAX(RM45,PortfolioFrontier[[#This Row],[P120 Growth]])</f>
        <v>1.2413245438824392</v>
      </c>
      <c r="RN46" s="27">
        <f>PortfolioFrontier[[#This Row],[P120 Growth]]/PortfolioFrontier[[#This Row],[P120 HWM]]-1</f>
        <v>0</v>
      </c>
      <c r="RO46" s="28">
        <f>SUMPRODUCT(INDEX(PortfolioRef[[SPY]:[PE]],MATCH(RO$1,PortfolioRef[Reference '#]),0),AssetMonthlyReturns[[#This Row],[SPY]:[PE]])</f>
        <v>1.5290870803596139E-3</v>
      </c>
      <c r="RP46" s="27">
        <f>IF(ISNUMBER(RP45),RP45*(1+PortfolioFrontier[[#This Row],[P121 Return]]),1+PortfolioFrontier[[#This Row],[P121 Return]])</f>
        <v>1.2887441825855439</v>
      </c>
      <c r="RQ46" s="27">
        <f>MAX(RQ45,PortfolioFrontier[[#This Row],[P121 Growth]])</f>
        <v>1.2887441825855439</v>
      </c>
      <c r="RR46" s="27">
        <f>PortfolioFrontier[[#This Row],[P121 Growth]]/PortfolioFrontier[[#This Row],[P121 HWM]]-1</f>
        <v>0</v>
      </c>
      <c r="RS46" s="28">
        <f>SUMPRODUCT(INDEX(PortfolioRef[[SPY]:[PE]],MATCH(RS$1,PortfolioRef[Reference '#]),0),AssetMonthlyReturns[[#This Row],[SPY]:[PE]])</f>
        <v>2.0206253199904481E-3</v>
      </c>
      <c r="RT46" s="27">
        <f>IF(ISNUMBER(RT45),RT45*(1+PortfolioFrontier[[#This Row],[P122 Return]]),1+PortfolioFrontier[[#This Row],[P122 Return]])</f>
        <v>1.269972871293894</v>
      </c>
      <c r="RU46" s="27">
        <f>MAX(RU45,PortfolioFrontier[[#This Row],[P122 Growth]])</f>
        <v>1.269972871293894</v>
      </c>
      <c r="RV46" s="27">
        <f>PortfolioFrontier[[#This Row],[P122 Growth]]/PortfolioFrontier[[#This Row],[P122 HWM]]-1</f>
        <v>0</v>
      </c>
      <c r="RW46" s="28">
        <f>SUMPRODUCT(INDEX(PortfolioRef[[SPY]:[PE]],MATCH(RW$1,PortfolioRef[Reference '#]),0),AssetMonthlyReturns[[#This Row],[SPY]:[PE]])</f>
        <v>2.5121635596212825E-3</v>
      </c>
      <c r="RX46" s="27">
        <f>IF(ISNUMBER(RX45),RX45*(1+PortfolioFrontier[[#This Row],[P123 Return]]),1+PortfolioFrontier[[#This Row],[P123 Return]])</f>
        <v>1.2512659653449285</v>
      </c>
      <c r="RY46" s="27">
        <f>MAX(RY45,PortfolioFrontier[[#This Row],[P123 Growth]])</f>
        <v>1.2512659653449285</v>
      </c>
      <c r="RZ46" s="27">
        <f>PortfolioFrontier[[#This Row],[P123 Growth]]/PortfolioFrontier[[#This Row],[P123 HWM]]-1</f>
        <v>0</v>
      </c>
      <c r="SA46" s="28">
        <f>SUMPRODUCT(INDEX(PortfolioRef[[SPY]:[PE]],MATCH(SA$1,PortfolioRef[Reference '#]),0),AssetMonthlyReturns[[#This Row],[SPY]:[PE]])</f>
        <v>-1.011807225562895E-3</v>
      </c>
      <c r="SB46" s="27">
        <f>IF(ISNUMBER(SB45),SB45*(1+PortfolioFrontier[[#This Row],[P124 Return]]),1+PortfolioFrontier[[#This Row],[P124 Return]])</f>
        <v>1.2795873354788594</v>
      </c>
      <c r="SC46" s="27">
        <f>MAX(SC45,PortfolioFrontier[[#This Row],[P124 Growth]])</f>
        <v>1.280883342499904</v>
      </c>
      <c r="SD46" s="27">
        <f>PortfolioFrontier[[#This Row],[P124 Growth]]/PortfolioFrontier[[#This Row],[P124 HWM]]-1</f>
        <v>-1.0118072255629329E-3</v>
      </c>
      <c r="SE46" s="28">
        <f>SUMPRODUCT(INDEX(PortfolioRef[[SPY]:[PE]],MATCH(SE$1,PortfolioRef[Reference '#]),0),AssetMonthlyReturns[[#This Row],[SPY]:[PE]])</f>
        <v>-5.2026898593206055E-4</v>
      </c>
      <c r="SF46" s="27">
        <f>IF(ISNUMBER(SF45),SF45*(1+PortfolioFrontier[[#This Row],[P125 Return]]),1+PortfolioFrontier[[#This Row],[P125 Return]])</f>
        <v>1.2608416151686097</v>
      </c>
      <c r="SG46" s="27">
        <f>MAX(SG45,PortfolioFrontier[[#This Row],[P125 Growth]])</f>
        <v>1.2614979334191851</v>
      </c>
      <c r="SH46" s="27">
        <f>PortfolioFrontier[[#This Row],[P125 Growth]]/PortfolioFrontier[[#This Row],[P125 HWM]]-1</f>
        <v>-5.2026898593204862E-4</v>
      </c>
      <c r="SI46" s="28">
        <f>SUMPRODUCT(INDEX(PortfolioRef[[SPY]:[PE]],MATCH(SI$1,PortfolioRef[Reference '#]),0),AssetMonthlyReturns[[#This Row],[SPY]:[PE]])</f>
        <v>-2.8730746301226361E-5</v>
      </c>
      <c r="SJ46" s="27">
        <f>IF(ISNUMBER(SJ45),SJ45*(1+PortfolioFrontier[[#This Row],[P126 Return]]),1+PortfolioFrontier[[#This Row],[P126 Return]])</f>
        <v>1.2421630052480819</v>
      </c>
      <c r="SK46" s="27">
        <f>MAX(SK45,PortfolioFrontier[[#This Row],[P126 Growth]])</f>
        <v>1.2421986945436305</v>
      </c>
      <c r="SL46" s="27">
        <f>PortfolioFrontier[[#This Row],[P126 Growth]]/PortfolioFrontier[[#This Row],[P126 HWM]]-1</f>
        <v>-2.8730746301275367E-5</v>
      </c>
      <c r="SM46" s="28">
        <f>SUMPRODUCT(INDEX(PortfolioRef[[SPY]:[PE]],MATCH(SM$1,PortfolioRef[Reference '#]),0),AssetMonthlyReturns[[#This Row],[SPY]:[PE]])</f>
        <v>-5.9690101913168489E-5</v>
      </c>
      <c r="SN46" s="27">
        <f>IF(ISNUMBER(SN45),SN45*(1+PortfolioFrontier[[#This Row],[P127 Return]]),1+PortfolioFrontier[[#This Row],[P127 Return]])</f>
        <v>1.289686936874842</v>
      </c>
      <c r="SO46" s="27">
        <f>MAX(SO45,PortfolioFrontier[[#This Row],[P127 Growth]])</f>
        <v>1.2897639230148508</v>
      </c>
      <c r="SP46" s="27">
        <f>PortfolioFrontier[[#This Row],[P127 Growth]]/PortfolioFrontier[[#This Row],[P127 HWM]]-1</f>
        <v>-5.9690101913201232E-5</v>
      </c>
      <c r="SQ46" s="28">
        <f>SUMPRODUCT(INDEX(PortfolioRef[[SPY]:[PE]],MATCH(SQ$1,PortfolioRef[Reference '#]),0),AssetMonthlyReturns[[#This Row],[SPY]:[PE]])</f>
        <v>4.3184813771766591E-4</v>
      </c>
      <c r="SR46" s="27">
        <f>IF(ISNUMBER(SR45),SR45*(1+PortfolioFrontier[[#This Row],[P128 Return]]),1+PortfolioFrontier[[#This Row],[P128 Return]])</f>
        <v>1.2709270283546967</v>
      </c>
      <c r="SS46" s="27">
        <f>MAX(SS45,PortfolioFrontier[[#This Row],[P128 Growth]])</f>
        <v>1.2709270283546967</v>
      </c>
      <c r="ST46" s="27">
        <f>PortfolioFrontier[[#This Row],[P128 Growth]]/PortfolioFrontier[[#This Row],[P128 HWM]]-1</f>
        <v>0</v>
      </c>
      <c r="SU46" s="28">
        <f>SUMPRODUCT(INDEX(PortfolioRef[[SPY]:[PE]],MATCH(SU$1,PortfolioRef[Reference '#]),0),AssetMonthlyReturns[[#This Row],[SPY]:[PE]])</f>
        <v>9.233863773485001E-4</v>
      </c>
      <c r="SV46" s="27">
        <f>IF(ISNUMBER(SV45),SV45*(1+PortfolioFrontier[[#This Row],[P129 Return]]),1+PortfolioFrontier[[#This Row],[P129 Return]])</f>
        <v>1.2522308978843388</v>
      </c>
      <c r="SW46" s="27">
        <f>MAX(SW45,PortfolioFrontier[[#This Row],[P129 Growth]])</f>
        <v>1.2522308978843388</v>
      </c>
      <c r="SX46" s="27">
        <f>PortfolioFrontier[[#This Row],[P129 Growth]]/PortfolioFrontier[[#This Row],[P129 HWM]]-1</f>
        <v>0</v>
      </c>
      <c r="SY46" s="28">
        <f>SUMPRODUCT(INDEX(PortfolioRef[[SPY]:[PE]],MATCH(SY$1,PortfolioRef[Reference '#]),0),AssetMonthlyReturns[[#This Row],[SPY]:[PE]])</f>
        <v>8.9242702173655711E-4</v>
      </c>
      <c r="SZ46" s="27">
        <f>IF(ISNUMBER(SZ45),SZ45*(1+PortfolioFrontier[[#This Row],[P130 Return]]),1+PortfolioFrontier[[#This Row],[P130 Return]])</f>
        <v>1.2995696457474744</v>
      </c>
      <c r="TA46" s="27">
        <f>MAX(TA45,PortfolioFrontier[[#This Row],[P130 Growth]])</f>
        <v>1.2995696457474744</v>
      </c>
      <c r="TB46" s="27">
        <f>PortfolioFrontier[[#This Row],[P130 Growth]]/PortfolioFrontier[[#This Row],[P130 HWM]]-1</f>
        <v>0</v>
      </c>
      <c r="TC46" s="28">
        <f>SUMPRODUCT(INDEX(PortfolioRef[[SPY]:[PE]],MATCH(TC$1,PortfolioRef[Reference '#]),0),AssetMonthlyReturns[[#This Row],[SPY]:[PE]])</f>
        <v>1.3839652613673915E-3</v>
      </c>
      <c r="TD46" s="27">
        <f>IF(ISNUMBER(TD45),TD45*(1+PortfolioFrontier[[#This Row],[P131 Return]]),1+PortfolioFrontier[[#This Row],[P131 Return]])</f>
        <v>1.2808008484644418</v>
      </c>
      <c r="TE46" s="27">
        <f>MAX(TE45,PortfolioFrontier[[#This Row],[P131 Growth]])</f>
        <v>1.2808008484644418</v>
      </c>
      <c r="TF46" s="27">
        <f>PortfolioFrontier[[#This Row],[P131 Growth]]/PortfolioFrontier[[#This Row],[P131 HWM]]-1</f>
        <v>0</v>
      </c>
      <c r="TG46" s="28">
        <f>SUMPRODUCT(INDEX(PortfolioRef[[SPY]:[PE]],MATCH(TG$1,PortfolioRef[Reference '#]),0),AssetMonthlyReturns[[#This Row],[SPY]:[PE]])</f>
        <v>1.8755035009982257E-3</v>
      </c>
      <c r="TH46" s="27">
        <f>IF(ISNUMBER(TH45),TH45*(1+PortfolioFrontier[[#This Row],[P132 Return]]),1+PortfolioFrontier[[#This Row],[P132 Return]])</f>
        <v>1.2620924375294511</v>
      </c>
      <c r="TI46" s="27">
        <f>MAX(TI45,PortfolioFrontier[[#This Row],[P132 Growth]])</f>
        <v>1.2620924375294511</v>
      </c>
      <c r="TJ46" s="27">
        <f>PortfolioFrontier[[#This Row],[P132 Growth]]/PortfolioFrontier[[#This Row],[P132 HWM]]-1</f>
        <v>0</v>
      </c>
      <c r="TK46" s="28">
        <f>SUMPRODUCT(INDEX(PortfolioRef[[SPY]:[PE]],MATCH(TK$1,PortfolioRef[Reference '#]),0),AssetMonthlyReturns[[#This Row],[SPY]:[PE]])</f>
        <v>-1.6484672841859517E-3</v>
      </c>
      <c r="TL46" s="27">
        <f>IF(ISNUMBER(TL45),TL45*(1+PortfolioFrontier[[#This Row],[P133 Return]]),1+PortfolioFrontier[[#This Row],[P133 Return]])</f>
        <v>1.2905102446382575</v>
      </c>
      <c r="TM46" s="27">
        <f>MAX(TM45,PortfolioFrontier[[#This Row],[P133 Growth]])</f>
        <v>1.2926411212368099</v>
      </c>
      <c r="TN46" s="27">
        <f>PortfolioFrontier[[#This Row],[P133 Growth]]/PortfolioFrontier[[#This Row],[P133 HWM]]-1</f>
        <v>-1.6484672841859949E-3</v>
      </c>
      <c r="TO46" s="28">
        <f>SUMPRODUCT(INDEX(PortfolioRef[[SPY]:[PE]],MATCH(TO$1,PortfolioRef[Reference '#]),0),AssetMonthlyReturns[[#This Row],[SPY]:[PE]])</f>
        <v>-1.1569290445551173E-3</v>
      </c>
      <c r="TP46" s="27">
        <f>IF(ISNUMBER(TP45),TP45*(1+PortfolioFrontier[[#This Row],[P134 Return]]),1+PortfolioFrontier[[#This Row],[P134 Return]])</f>
        <v>1.2717633732538414</v>
      </c>
      <c r="TQ46" s="27">
        <f>MAX(TQ45,PortfolioFrontier[[#This Row],[P134 Growth]])</f>
        <v>1.2732364174457698</v>
      </c>
      <c r="TR46" s="27">
        <f>PortfolioFrontier[[#This Row],[P134 Growth]]/PortfolioFrontier[[#This Row],[P134 HWM]]-1</f>
        <v>-1.1569290445552216E-3</v>
      </c>
      <c r="TS46" s="28">
        <f>SUMPRODUCT(INDEX(PortfolioRef[[SPY]:[PE]],MATCH(TS$1,PortfolioRef[Reference '#]),0),AssetMonthlyReturns[[#This Row],[SPY]:[PE]])</f>
        <v>-6.6539080492428312E-4</v>
      </c>
      <c r="TT46" s="27">
        <f>IF(ISNUMBER(TT45),TT45*(1+PortfolioFrontier[[#This Row],[P135 Return]]),1+PortfolioFrontier[[#This Row],[P135 Return]])</f>
        <v>1.2530796484808049</v>
      </c>
      <c r="TU46" s="27">
        <f>MAX(TU45,PortfolioFrontier[[#This Row],[P135 Growth]])</f>
        <v>1.2539139913207957</v>
      </c>
      <c r="TV46" s="27">
        <f>PortfolioFrontier[[#This Row],[P135 Growth]]/PortfolioFrontier[[#This Row],[P135 HWM]]-1</f>
        <v>-6.6539080492433733E-4</v>
      </c>
      <c r="TW46" s="28">
        <f>SUMPRODUCT(INDEX(PortfolioRef[[SPY]:[PE]],MATCH(TW$1,PortfolioRef[Reference '#]),0),AssetMonthlyReturns[[#This Row],[SPY]:[PE]])</f>
        <v>-6.9635016053622525E-4</v>
      </c>
      <c r="TX46" s="27">
        <f>IF(ISNUMBER(TX45),TX45*(1+PortfolioFrontier[[#This Row],[P136 Return]]),1+PortfolioFrontier[[#This Row],[P136 Return]])</f>
        <v>1.3005236796578437</v>
      </c>
      <c r="TY46" s="27">
        <f>MAX(TY45,PortfolioFrontier[[#This Row],[P136 Growth]])</f>
        <v>1.301429930598943</v>
      </c>
      <c r="TZ46" s="27">
        <f>PortfolioFrontier[[#This Row],[P136 Growth]]/PortfolioFrontier[[#This Row],[P136 HWM]]-1</f>
        <v>-6.963501605362632E-4</v>
      </c>
      <c r="UA46" s="28">
        <f>SUMPRODUCT(INDEX(PortfolioRef[[SPY]:[PE]],MATCH(UA$1,PortfolioRef[Reference '#]),0),AssetMonthlyReturns[[#This Row],[SPY]:[PE]])</f>
        <v>-2.0481192090539085E-4</v>
      </c>
      <c r="UB46" s="27">
        <f>IF(ISNUMBER(UB45),UB45*(1+PortfolioFrontier[[#This Row],[P137 Return]]),1+PortfolioFrontier[[#This Row],[P137 Return]])</f>
        <v>1.281766331143567</v>
      </c>
      <c r="UC46" s="27">
        <f>MAX(UC45,PortfolioFrontier[[#This Row],[P137 Growth]])</f>
        <v>1.28202890594645</v>
      </c>
      <c r="UD46" s="27">
        <f>PortfolioFrontier[[#This Row],[P137 Growth]]/PortfolioFrontier[[#This Row],[P137 HWM]]-1</f>
        <v>-2.0481192090537892E-4</v>
      </c>
      <c r="UE46" s="28">
        <f>SUMPRODUCT(INDEX(PortfolioRef[[SPY]:[PE]],MATCH(UE$1,PortfolioRef[Reference '#]),0),AssetMonthlyReturns[[#This Row],[SPY]:[PE]])</f>
        <v>2.8672631872544334E-4</v>
      </c>
      <c r="UF46" s="27">
        <f>IF(ISNUMBER(UF45),UF45*(1+PortfolioFrontier[[#This Row],[P138 Return]]),1+PortfolioFrontier[[#This Row],[P138 Return]])</f>
        <v>1.2630687419244966</v>
      </c>
      <c r="UG46" s="27">
        <f>MAX(UG45,PortfolioFrontier[[#This Row],[P138 Growth]])</f>
        <v>1.2630687419244966</v>
      </c>
      <c r="UH46" s="27">
        <f>PortfolioFrontier[[#This Row],[P138 Growth]]/PortfolioFrontier[[#This Row],[P138 HWM]]-1</f>
        <v>0</v>
      </c>
      <c r="UI46" s="28">
        <f>SUMPRODUCT(INDEX(PortfolioRef[[SPY]:[PE]],MATCH(UI$1,PortfolioRef[Reference '#]),0),AssetMonthlyReturns[[#This Row],[SPY]:[PE]])</f>
        <v>2.5576696311350035E-4</v>
      </c>
      <c r="UJ46" s="27">
        <f>IF(ISNUMBER(UJ45),UJ45*(1+PortfolioFrontier[[#This Row],[P139 Return]]),1+PortfolioFrontier[[#This Row],[P139 Return]])</f>
        <v>1.3103153889334143</v>
      </c>
      <c r="UK46" s="27">
        <f>MAX(UK45,PortfolioFrontier[[#This Row],[P139 Growth]])</f>
        <v>1.3103153889334143</v>
      </c>
      <c r="UL46" s="27">
        <f>PortfolioFrontier[[#This Row],[P139 Growth]]/PortfolioFrontier[[#This Row],[P139 HWM]]-1</f>
        <v>0</v>
      </c>
      <c r="UM46" s="28">
        <f>SUMPRODUCT(INDEX(PortfolioRef[[SPY]:[PE]],MATCH(UM$1,PortfolioRef[Reference '#]),0),AssetMonthlyReturns[[#This Row],[SPY]:[PE]])</f>
        <v>7.4730520274433475E-4</v>
      </c>
      <c r="UN46" s="27">
        <f>IF(ISNUMBER(UN45),UN45*(1+PortfolioFrontier[[#This Row],[P140 Return]]),1+PortfolioFrontier[[#This Row],[P140 Return]])</f>
        <v>1.2915529062322928</v>
      </c>
      <c r="UO46" s="27">
        <f>MAX(UO45,PortfolioFrontier[[#This Row],[P140 Growth]])</f>
        <v>1.2915529062322928</v>
      </c>
      <c r="UP46" s="27">
        <f>PortfolioFrontier[[#This Row],[P140 Growth]]/PortfolioFrontier[[#This Row],[P140 HWM]]-1</f>
        <v>0</v>
      </c>
      <c r="UQ46" s="28">
        <f>SUMPRODUCT(INDEX(PortfolioRef[[SPY]:[PE]],MATCH(UQ$1,PortfolioRef[Reference '#]),0),AssetMonthlyReturns[[#This Row],[SPY]:[PE]])</f>
        <v>1.2388434423751689E-3</v>
      </c>
      <c r="UR46" s="27">
        <f>IF(ISNUMBER(UR45),UR45*(1+PortfolioFrontier[[#This Row],[P141 Return]]),1+PortfolioFrontier[[#This Row],[P141 Return]])</f>
        <v>1.2728467371152119</v>
      </c>
      <c r="US46" s="27">
        <f>MAX(US45,PortfolioFrontier[[#This Row],[P141 Growth]])</f>
        <v>1.2728467371152119</v>
      </c>
      <c r="UT46" s="27">
        <f>PortfolioFrontier[[#This Row],[P141 Growth]]/PortfolioFrontier[[#This Row],[P141 HWM]]-1</f>
        <v>0</v>
      </c>
    </row>
    <row r="47" spans="2:566" x14ac:dyDescent="0.2">
      <c r="B47" s="41">
        <f>AssetMonthlyReturns[[#This Row],[Date]]</f>
        <v>43800</v>
      </c>
      <c r="C47" s="28">
        <f>SUMPRODUCT(INDEX(PortfolioRef[[SPY]:[PE]],MATCH(C$1,PortfolioRef[Reference '#]),0),AssetMonthlyReturns[[#This Row],[SPY]:[PE]])</f>
        <v>1.8961415549940325E-2</v>
      </c>
      <c r="D47" s="29">
        <f>IF(ISNUMBER(D46),D46*(1+PortfolioFrontier[[#This Row],[P1 Return]]),1+PortfolioFrontier[[#This Row],[P1 Return]])</f>
        <v>1.4217468610476731</v>
      </c>
      <c r="E47" s="29">
        <f>MAX(E46,PortfolioFrontier[[#This Row],[P1 Growth]])</f>
        <v>1.4217468610476731</v>
      </c>
      <c r="F47" s="29">
        <f>PortfolioFrontier[[#This Row],[P1 Growth]]/PortfolioFrontier[[#This Row],[P1 HWM]]-1</f>
        <v>0</v>
      </c>
      <c r="G47" s="28">
        <f>SUMPRODUCT(INDEX(PortfolioRef[[SPY]:[PE]],MATCH(G$1,PortfolioRef[Reference '#]),0),AssetMonthlyReturns[[#This Row],[SPY]:[PE]])</f>
        <v>1.7653983304263376E-2</v>
      </c>
      <c r="H47" s="27">
        <f>IF(ISNUMBER(H46),H46*(1+PortfolioFrontier[[#This Row],[P2 Return]]),1+PortfolioFrontier[[#This Row],[P2 Return]])</f>
        <v>1.3936820773682765</v>
      </c>
      <c r="I47" s="27">
        <f>MAX(I46,PortfolioFrontier[[#This Row],[P2 Growth]])</f>
        <v>1.3936820773682765</v>
      </c>
      <c r="J47" s="27">
        <f>PortfolioFrontier[[#This Row],[P2 Growth]]/PortfolioFrontier[[#This Row],[P2 HWM]]-1</f>
        <v>0</v>
      </c>
      <c r="K47" s="28">
        <f>SUMPRODUCT(INDEX(PortfolioRef[[SPY]:[PE]],MATCH(K$1,PortfolioRef[Reference '#]),0),AssetMonthlyReturns[[#This Row],[SPY]:[PE]])</f>
        <v>1.9588323214587228E-2</v>
      </c>
      <c r="L47" s="27">
        <f>IF(ISNUMBER(L46),L46*(1+PortfolioFrontier[[#This Row],[P3 Return]]),1+PortfolioFrontier[[#This Row],[P3 Return]])</f>
        <v>1.3974747373108267</v>
      </c>
      <c r="M47" s="27">
        <f>MAX(M46,PortfolioFrontier[[#This Row],[P3 Growth]])</f>
        <v>1.3974747373108267</v>
      </c>
      <c r="N47" s="27">
        <f>PortfolioFrontier[[#This Row],[P3 Growth]]/PortfolioFrontier[[#This Row],[P3 HWM]]-1</f>
        <v>0</v>
      </c>
      <c r="O47" s="28">
        <f>SUMPRODUCT(INDEX(PortfolioRef[[SPY]:[PE]],MATCH(O$1,PortfolioRef[Reference '#]),0),AssetMonthlyReturns[[#This Row],[SPY]:[PE]])</f>
        <v>1.7609960177445077E-2</v>
      </c>
      <c r="P47" s="27">
        <f>IF(ISNUMBER(P46),P46*(1+PortfolioFrontier[[#This Row],[P4 Return]]),1+PortfolioFrontier[[#This Row],[P4 Return]])</f>
        <v>1.4055199064528048</v>
      </c>
      <c r="Q47" s="27">
        <f>MAX(Q46,PortfolioFrontier[[#This Row],[P4 Growth]])</f>
        <v>1.4055199064528048</v>
      </c>
      <c r="R47" s="27">
        <f>PortfolioFrontier[[#This Row],[P4 Growth]]/PortfolioFrontier[[#This Row],[P4 HWM]]-1</f>
        <v>0</v>
      </c>
      <c r="S47" s="28">
        <f>SUMPRODUCT(INDEX(PortfolioRef[[SPY]:[PE]],MATCH(S$1,PortfolioRef[Reference '#]),0),AssetMonthlyReturns[[#This Row],[SPY]:[PE]])</f>
        <v>1.9117506529156631E-2</v>
      </c>
      <c r="T47" s="27">
        <f>IF(ISNUMBER(T46),T46*(1+PortfolioFrontier[[#This Row],[P5 Return]]),1+PortfolioFrontier[[#This Row],[P5 Return]])</f>
        <v>1.3869462330141977</v>
      </c>
      <c r="U47" s="27">
        <f>MAX(U46,PortfolioFrontier[[#This Row],[P5 Growth]])</f>
        <v>1.3869462330141977</v>
      </c>
      <c r="V47" s="27">
        <f>PortfolioFrontier[[#This Row],[P5 Growth]]/PortfolioFrontier[[#This Row],[P5 HWM]]-1</f>
        <v>0</v>
      </c>
      <c r="W47" s="28">
        <f>SUMPRODUCT(INDEX(PortfolioRef[[SPY]:[PE]],MATCH(W$1,PortfolioRef[Reference '#]),0),AssetMonthlyReturns[[#This Row],[SPY]:[PE]])</f>
        <v>1.6346551058586428E-2</v>
      </c>
      <c r="X47" s="27">
        <f>IF(ISNUMBER(X46),X46*(1+PortfolioFrontier[[#This Row],[P6 Return]]),1+PortfolioFrontier[[#This Row],[P6 Return]])</f>
        <v>1.3659612486214856</v>
      </c>
      <c r="Y47" s="27">
        <f>MAX(Y46,PortfolioFrontier[[#This Row],[P6 Growth]])</f>
        <v>1.3659612486214856</v>
      </c>
      <c r="Z47" s="27">
        <f>PortfolioFrontier[[#This Row],[P6 Growth]]/PortfolioFrontier[[#This Row],[P6 HWM]]-1</f>
        <v>0</v>
      </c>
      <c r="AA47" s="28">
        <f>SUMPRODUCT(INDEX(PortfolioRef[[SPY]:[PE]],MATCH(AA$1,PortfolioRef[Reference '#]),0),AssetMonthlyReturns[[#This Row],[SPY]:[PE]])</f>
        <v>1.8280890968910279E-2</v>
      </c>
      <c r="AB47" s="27">
        <f>IF(ISNUMBER(AB46),AB46*(1+PortfolioFrontier[[#This Row],[P7 Return]]),1+PortfolioFrontier[[#This Row],[P7 Return]])</f>
        <v>1.3696548848912971</v>
      </c>
      <c r="AC47" s="27">
        <f>MAX(AC46,PortfolioFrontier[[#This Row],[P7 Growth]])</f>
        <v>1.3696548848912971</v>
      </c>
      <c r="AD47" s="27">
        <f>PortfolioFrontier[[#This Row],[P7 Growth]]/PortfolioFrontier[[#This Row],[P7 HWM]]-1</f>
        <v>0</v>
      </c>
      <c r="AE47" s="28">
        <f>SUMPRODUCT(INDEX(PortfolioRef[[SPY]:[PE]],MATCH(AE$1,PortfolioRef[Reference '#]),0),AssetMonthlyReturns[[#This Row],[SPY]:[PE]])</f>
        <v>1.6302527931768129E-2</v>
      </c>
      <c r="AF47" s="27">
        <f>IF(ISNUMBER(AF46),AF46*(1+PortfolioFrontier[[#This Row],[P8 Return]]),1+PortfolioFrontier[[#This Row],[P8 Return]])</f>
        <v>1.3776700288647818</v>
      </c>
      <c r="AG47" s="27">
        <f>MAX(AG46,PortfolioFrontier[[#This Row],[P8 Growth]])</f>
        <v>1.3776700288647818</v>
      </c>
      <c r="AH47" s="27">
        <f>PortfolioFrontier[[#This Row],[P8 Growth]]/PortfolioFrontier[[#This Row],[P8 HWM]]-1</f>
        <v>0</v>
      </c>
      <c r="AI47" s="28">
        <f>SUMPRODUCT(INDEX(PortfolioRef[[SPY]:[PE]],MATCH(AI$1,PortfolioRef[Reference '#]),0),AssetMonthlyReturns[[#This Row],[SPY]:[PE]])</f>
        <v>1.7810074283479683E-2</v>
      </c>
      <c r="AJ47" s="27">
        <f>IF(ISNUMBER(AJ46),AJ46*(1+PortfolioFrontier[[#This Row],[P9 Return]]),1+PortfolioFrontier[[#This Row],[P9 Return]])</f>
        <v>1.3593946128489538</v>
      </c>
      <c r="AK47" s="27">
        <f>MAX(AK46,PortfolioFrontier[[#This Row],[P9 Growth]])</f>
        <v>1.3593946128489538</v>
      </c>
      <c r="AL47" s="27">
        <f>PortfolioFrontier[[#This Row],[P9 Growth]]/PortfolioFrontier[[#This Row],[P9 HWM]]-1</f>
        <v>0</v>
      </c>
      <c r="AM47" s="28">
        <f>SUMPRODUCT(INDEX(PortfolioRef[[SPY]:[PE]],MATCH(AM$1,PortfolioRef[Reference '#]),0),AssetMonthlyReturns[[#This Row],[SPY]:[PE]])</f>
        <v>2.0215230879234131E-2</v>
      </c>
      <c r="AN47" s="27">
        <f>IF(ISNUMBER(AN46),AN46*(1+PortfolioFrontier[[#This Row],[P10 Return]]),1+PortfolioFrontier[[#This Row],[P10 Return]])</f>
        <v>1.3732259708909786</v>
      </c>
      <c r="AO47" s="27">
        <f>MAX(AO46,PortfolioFrontier[[#This Row],[P10 Growth]])</f>
        <v>1.3732259708909786</v>
      </c>
      <c r="AP47" s="27">
        <f>PortfolioFrontier[[#This Row],[P10 Growth]]/PortfolioFrontier[[#This Row],[P10 HWM]]-1</f>
        <v>0</v>
      </c>
      <c r="AQ47" s="28">
        <f>SUMPRODUCT(INDEX(PortfolioRef[[SPY]:[PE]],MATCH(AQ$1,PortfolioRef[Reference '#]),0),AssetMonthlyReturns[[#This Row],[SPY]:[PE]])</f>
        <v>1.823686784209198E-2</v>
      </c>
      <c r="AR47" s="27">
        <f>IF(ISNUMBER(AR46),AR46*(1+PortfolioFrontier[[#This Row],[P11 Return]]),1+PortfolioFrontier[[#This Row],[P11 Return]])</f>
        <v>1.3813987850588068</v>
      </c>
      <c r="AS47" s="27">
        <f>MAX(AS46,PortfolioFrontier[[#This Row],[P11 Growth]])</f>
        <v>1.3813987850588068</v>
      </c>
      <c r="AT47" s="27">
        <f>PortfolioFrontier[[#This Row],[P11 Growth]]/PortfolioFrontier[[#This Row],[P11 HWM]]-1</f>
        <v>0</v>
      </c>
      <c r="AU47" s="28">
        <f>SUMPRODUCT(INDEX(PortfolioRef[[SPY]:[PE]],MATCH(AU$1,PortfolioRef[Reference '#]),0),AssetMonthlyReturns[[#This Row],[SPY]:[PE]])</f>
        <v>1.9744414193803534E-2</v>
      </c>
      <c r="AV47" s="27">
        <f>IF(ISNUMBER(AV46),AV46*(1+PortfolioFrontier[[#This Row],[P12 Return]]),1+PortfolioFrontier[[#This Row],[P12 Return]])</f>
        <v>1.3630970682285586</v>
      </c>
      <c r="AW47" s="27">
        <f>MAX(AW46,PortfolioFrontier[[#This Row],[P12 Growth]])</f>
        <v>1.3630970682285586</v>
      </c>
      <c r="AX47" s="27">
        <f>PortfolioFrontier[[#This Row],[P12 Growth]]/PortfolioFrontier[[#This Row],[P12 HWM]]-1</f>
        <v>0</v>
      </c>
      <c r="AY47" s="28">
        <f>SUMPRODUCT(INDEX(PortfolioRef[[SPY]:[PE]],MATCH(AY$1,PortfolioRef[Reference '#]),0),AssetMonthlyReturns[[#This Row],[SPY]:[PE]])</f>
        <v>1.6258504804949832E-2</v>
      </c>
      <c r="AZ47" s="27">
        <f>IF(ISNUMBER(AZ46),AZ46*(1+PortfolioFrontier[[#This Row],[P13 Return]]),1+PortfolioFrontier[[#This Row],[P13 Return]])</f>
        <v>1.3892977295978861</v>
      </c>
      <c r="BA47" s="27">
        <f>MAX(BA46,PortfolioFrontier[[#This Row],[P13 Growth]])</f>
        <v>1.3892977295978861</v>
      </c>
      <c r="BB47" s="27">
        <f>PortfolioFrontier[[#This Row],[P13 Growth]]/PortfolioFrontier[[#This Row],[P13 HWM]]-1</f>
        <v>0</v>
      </c>
      <c r="BC47" s="28">
        <f>SUMPRODUCT(INDEX(PortfolioRef[[SPY]:[PE]],MATCH(BC$1,PortfolioRef[Reference '#]),0),AssetMonthlyReturns[[#This Row],[SPY]:[PE]])</f>
        <v>1.7766051156661383E-2</v>
      </c>
      <c r="BD47" s="27">
        <f>IF(ISNUMBER(BD46),BD46*(1+PortfolioFrontier[[#This Row],[P14 Return]]),1+PortfolioFrontier[[#This Row],[P14 Return]])</f>
        <v>1.3710400306818571</v>
      </c>
      <c r="BE47" s="27">
        <f>MAX(BE46,PortfolioFrontier[[#This Row],[P14 Growth]])</f>
        <v>1.3710400306818571</v>
      </c>
      <c r="BF47" s="27">
        <f>PortfolioFrontier[[#This Row],[P14 Growth]]/PortfolioFrontier[[#This Row],[P14 HWM]]-1</f>
        <v>0</v>
      </c>
      <c r="BG47" s="28">
        <f>SUMPRODUCT(INDEX(PortfolioRef[[SPY]:[PE]],MATCH(BG$1,PortfolioRef[Reference '#]),0),AssetMonthlyReturns[[#This Row],[SPY]:[PE]])</f>
        <v>1.9273597508372937E-2</v>
      </c>
      <c r="BH47" s="27">
        <f>IF(ISNUMBER(BH46),BH46*(1+PortfolioFrontier[[#This Row],[P15 Return]]),1+PortfolioFrontier[[#This Row],[P15 Return]])</f>
        <v>1.3527933695285324</v>
      </c>
      <c r="BI47" s="27">
        <f>MAX(BI46,PortfolioFrontier[[#This Row],[P15 Growth]])</f>
        <v>1.3527933695285324</v>
      </c>
      <c r="BJ47" s="27">
        <f>PortfolioFrontier[[#This Row],[P15 Growth]]/PortfolioFrontier[[#This Row],[P15 HWM]]-1</f>
        <v>0</v>
      </c>
      <c r="BK47" s="28">
        <f>SUMPRODUCT(INDEX(PortfolioRef[[SPY]:[PE]],MATCH(BK$1,PortfolioRef[Reference '#]),0),AssetMonthlyReturns[[#This Row],[SPY]:[PE]])</f>
        <v>1.503911881290948E-2</v>
      </c>
      <c r="BL47" s="27">
        <f>IF(ISNUMBER(BL46),BL46*(1+PortfolioFrontier[[#This Row],[P16 Return]]),1+PortfolioFrontier[[#This Row],[P16 Return]])</f>
        <v>1.3385863586990521</v>
      </c>
      <c r="BM47" s="27">
        <f>MAX(BM46,PortfolioFrontier[[#This Row],[P16 Growth]])</f>
        <v>1.3385863586990521</v>
      </c>
      <c r="BN47" s="27">
        <f>PortfolioFrontier[[#This Row],[P16 Growth]]/PortfolioFrontier[[#This Row],[P16 HWM]]-1</f>
        <v>0</v>
      </c>
      <c r="BO47" s="28">
        <f>SUMPRODUCT(INDEX(PortfolioRef[[SPY]:[PE]],MATCH(BO$1,PortfolioRef[Reference '#]),0),AssetMonthlyReturns[[#This Row],[SPY]:[PE]])</f>
        <v>1.6973458723233331E-2</v>
      </c>
      <c r="BP47" s="27">
        <f>IF(ISNUMBER(BP46),BP46*(1+PortfolioFrontier[[#This Row],[P17 Return]]),1+PortfolioFrontier[[#This Row],[P17 Return]])</f>
        <v>1.3421831242198499</v>
      </c>
      <c r="BQ47" s="27">
        <f>MAX(BQ46,PortfolioFrontier[[#This Row],[P17 Growth]])</f>
        <v>1.3421831242198499</v>
      </c>
      <c r="BR47" s="27">
        <f>PortfolioFrontier[[#This Row],[P17 Growth]]/PortfolioFrontier[[#This Row],[P17 HWM]]-1</f>
        <v>0</v>
      </c>
      <c r="BS47" s="28">
        <f>SUMPRODUCT(INDEX(PortfolioRef[[SPY]:[PE]],MATCH(BS$1,PortfolioRef[Reference '#]),0),AssetMonthlyReturns[[#This Row],[SPY]:[PE]])</f>
        <v>1.499509568609118E-2</v>
      </c>
      <c r="BT47" s="27">
        <f>IF(ISNUMBER(BT46),BT46*(1+PortfolioFrontier[[#This Row],[P18 Return]]),1+PortfolioFrontier[[#This Row],[P18 Return]])</f>
        <v>1.3501644038865102</v>
      </c>
      <c r="BU47" s="27">
        <f>MAX(BU46,PortfolioFrontier[[#This Row],[P18 Growth]])</f>
        <v>1.3501644038865102</v>
      </c>
      <c r="BV47" s="27">
        <f>PortfolioFrontier[[#This Row],[P18 Growth]]/PortfolioFrontier[[#This Row],[P18 HWM]]-1</f>
        <v>0</v>
      </c>
      <c r="BW47" s="28">
        <f>SUMPRODUCT(INDEX(PortfolioRef[[SPY]:[PE]],MATCH(BW$1,PortfolioRef[Reference '#]),0),AssetMonthlyReturns[[#This Row],[SPY]:[PE]])</f>
        <v>1.6502642037802735E-2</v>
      </c>
      <c r="BX47" s="27">
        <f>IF(ISNUMBER(BX46),BX46*(1+PortfolioFrontier[[#This Row],[P19 Return]]),1+PortfolioFrontier[[#This Row],[P19 Return]])</f>
        <v>1.3321856600403148</v>
      </c>
      <c r="BY47" s="27">
        <f>MAX(BY46,PortfolioFrontier[[#This Row],[P19 Growth]])</f>
        <v>1.3321856600403148</v>
      </c>
      <c r="BZ47" s="27">
        <f>PortfolioFrontier[[#This Row],[P19 Growth]]/PortfolioFrontier[[#This Row],[P19 HWM]]-1</f>
        <v>0</v>
      </c>
      <c r="CA47" s="28">
        <f>SUMPRODUCT(INDEX(PortfolioRef[[SPY]:[PE]],MATCH(CA$1,PortfolioRef[Reference '#]),0),AssetMonthlyReturns[[#This Row],[SPY]:[PE]])</f>
        <v>1.8907798633557182E-2</v>
      </c>
      <c r="CB47" s="27">
        <f>IF(ISNUMBER(CB46),CB46*(1+PortfolioFrontier[[#This Row],[P20 Return]]),1+PortfolioFrontier[[#This Row],[P20 Return]])</f>
        <v>1.3456595115681631</v>
      </c>
      <c r="CC47" s="27">
        <f>MAX(CC46,PortfolioFrontier[[#This Row],[P20 Growth]])</f>
        <v>1.3456595115681631</v>
      </c>
      <c r="CD47" s="27">
        <f>PortfolioFrontier[[#This Row],[P20 Growth]]/PortfolioFrontier[[#This Row],[P20 HWM]]-1</f>
        <v>0</v>
      </c>
      <c r="CE47" s="28">
        <f>SUMPRODUCT(INDEX(PortfolioRef[[SPY]:[PE]],MATCH(CE$1,PortfolioRef[Reference '#]),0),AssetMonthlyReturns[[#This Row],[SPY]:[PE]])</f>
        <v>1.6929435596415032E-2</v>
      </c>
      <c r="CF47" s="27">
        <f>IF(ISNUMBER(CF46),CF46*(1+PortfolioFrontier[[#This Row],[P21 Return]]),1+PortfolioFrontier[[#This Row],[P21 Return]])</f>
        <v>1.3537955433308677</v>
      </c>
      <c r="CG47" s="27">
        <f>MAX(CG46,PortfolioFrontier[[#This Row],[P21 Growth]])</f>
        <v>1.3537955433308677</v>
      </c>
      <c r="CH47" s="27">
        <f>PortfolioFrontier[[#This Row],[P21 Growth]]/PortfolioFrontier[[#This Row],[P21 HWM]]-1</f>
        <v>0</v>
      </c>
      <c r="CI47" s="28">
        <f>SUMPRODUCT(INDEX(PortfolioRef[[SPY]:[PE]],MATCH(CI$1,PortfolioRef[Reference '#]),0),AssetMonthlyReturns[[#This Row],[SPY]:[PE]])</f>
        <v>1.8436981948126586E-2</v>
      </c>
      <c r="CJ47" s="27">
        <f>IF(ISNUMBER(CJ46),CJ46*(1+PortfolioFrontier[[#This Row],[P22 Return]]),1+PortfolioFrontier[[#This Row],[P22 Return]])</f>
        <v>1.3357912232087052</v>
      </c>
      <c r="CK47" s="27">
        <f>MAX(CK46,PortfolioFrontier[[#This Row],[P22 Growth]])</f>
        <v>1.3357912232087052</v>
      </c>
      <c r="CL47" s="27">
        <f>PortfolioFrontier[[#This Row],[P22 Growth]]/PortfolioFrontier[[#This Row],[P22 HWM]]-1</f>
        <v>0</v>
      </c>
      <c r="CM47" s="28">
        <f>SUMPRODUCT(INDEX(PortfolioRef[[SPY]:[PE]],MATCH(CM$1,PortfolioRef[Reference '#]),0),AssetMonthlyReturns[[#This Row],[SPY]:[PE]])</f>
        <v>1.4951072559272881E-2</v>
      </c>
      <c r="CN47" s="27">
        <f>IF(ISNUMBER(CN46),CN46*(1+PortfolioFrontier[[#This Row],[P23 Return]]),1+PortfolioFrontier[[#This Row],[P23 Return]])</f>
        <v>1.361664982203213</v>
      </c>
      <c r="CO47" s="27">
        <f>MAX(CO46,PortfolioFrontier[[#This Row],[P23 Growth]])</f>
        <v>1.361664982203213</v>
      </c>
      <c r="CP47" s="27">
        <f>PortfolioFrontier[[#This Row],[P23 Growth]]/PortfolioFrontier[[#This Row],[P23 HWM]]-1</f>
        <v>0</v>
      </c>
      <c r="CQ47" s="28">
        <f>SUMPRODUCT(INDEX(PortfolioRef[[SPY]:[PE]],MATCH(CQ$1,PortfolioRef[Reference '#]),0),AssetMonthlyReturns[[#This Row],[SPY]:[PE]])</f>
        <v>1.6458618910984435E-2</v>
      </c>
      <c r="CR47" s="27">
        <f>IF(ISNUMBER(CR46),CR46*(1+PortfolioFrontier[[#This Row],[P24 Return]]),1+PortfolioFrontier[[#This Row],[P24 Return]])</f>
        <v>1.3437015677154107</v>
      </c>
      <c r="CS47" s="27">
        <f>MAX(CS46,PortfolioFrontier[[#This Row],[P24 Growth]])</f>
        <v>1.3437015677154107</v>
      </c>
      <c r="CT47" s="27">
        <f>PortfolioFrontier[[#This Row],[P24 Growth]]/PortfolioFrontier[[#This Row],[P24 HWM]]-1</f>
        <v>0</v>
      </c>
      <c r="CU47" s="28">
        <f>SUMPRODUCT(INDEX(PortfolioRef[[SPY]:[PE]],MATCH(CU$1,PortfolioRef[Reference '#]),0),AssetMonthlyReturns[[#This Row],[SPY]:[PE]])</f>
        <v>1.7966165262695989E-2</v>
      </c>
      <c r="CV47" s="27">
        <f>IF(ISNUMBER(CV46),CV46*(1+PortfolioFrontier[[#This Row],[P25 Return]]),1+PortfolioFrontier[[#This Row],[P25 Return]])</f>
        <v>1.3257507189045674</v>
      </c>
      <c r="CW47" s="27">
        <f>MAX(CW46,PortfolioFrontier[[#This Row],[P25 Growth]])</f>
        <v>1.3257507189045674</v>
      </c>
      <c r="CX47" s="27">
        <f>PortfolioFrontier[[#This Row],[P25 Growth]]/PortfolioFrontier[[#This Row],[P25 HWM]]-1</f>
        <v>0</v>
      </c>
      <c r="CY47" s="28">
        <f>SUMPRODUCT(INDEX(PortfolioRef[[SPY]:[PE]],MATCH(CY$1,PortfolioRef[Reference '#]),0),AssetMonthlyReturns[[#This Row],[SPY]:[PE]])</f>
        <v>1.8863775506738883E-2</v>
      </c>
      <c r="CZ47" s="27">
        <f>IF(ISNUMBER(CZ46),CZ46*(1+PortfolioFrontier[[#This Row],[P26 Return]]),1+PortfolioFrontier[[#This Row],[P26 Return]])</f>
        <v>1.3573053765221894</v>
      </c>
      <c r="DA47" s="27">
        <f>MAX(DA46,PortfolioFrontier[[#This Row],[P26 Growth]])</f>
        <v>1.3573053765221894</v>
      </c>
      <c r="DB47" s="27">
        <f>PortfolioFrontier[[#This Row],[P26 Growth]]/PortfolioFrontier[[#This Row],[P26 HWM]]-1</f>
        <v>0</v>
      </c>
      <c r="DC47" s="28">
        <f>SUMPRODUCT(INDEX(PortfolioRef[[SPY]:[PE]],MATCH(DC$1,PortfolioRef[Reference '#]),0),AssetMonthlyReturns[[#This Row],[SPY]:[PE]])</f>
        <v>2.0371321858450437E-2</v>
      </c>
      <c r="DD47" s="27">
        <f>IF(ISNUMBER(DD46),DD46*(1+PortfolioFrontier[[#This Row],[P27 Return]]),1+PortfolioFrontier[[#This Row],[P27 Return]])</f>
        <v>1.3392770774225502</v>
      </c>
      <c r="DE47" s="27">
        <f>MAX(DE46,PortfolioFrontier[[#This Row],[P27 Growth]])</f>
        <v>1.3392770774225502</v>
      </c>
      <c r="DF47" s="27">
        <f>PortfolioFrontier[[#This Row],[P27 Growth]]/PortfolioFrontier[[#This Row],[P27 HWM]]-1</f>
        <v>0</v>
      </c>
      <c r="DG47" s="28">
        <f>SUMPRODUCT(INDEX(PortfolioRef[[SPY]:[PE]],MATCH(DG$1,PortfolioRef[Reference '#]),0),AssetMonthlyReturns[[#This Row],[SPY]:[PE]])</f>
        <v>1.6885412469596732E-2</v>
      </c>
      <c r="DH47" s="27">
        <f>IF(ISNUMBER(DH46),DH46*(1+PortfolioFrontier[[#This Row],[P28 Return]]),1+PortfolioFrontier[[#This Row],[P28 Return]])</f>
        <v>1.3653305262417177</v>
      </c>
      <c r="DI47" s="27">
        <f>MAX(DI46,PortfolioFrontier[[#This Row],[P28 Growth]])</f>
        <v>1.3653305262417177</v>
      </c>
      <c r="DJ47" s="27">
        <f>PortfolioFrontier[[#This Row],[P28 Growth]]/PortfolioFrontier[[#This Row],[P28 HWM]]-1</f>
        <v>0</v>
      </c>
      <c r="DK47" s="28">
        <f>SUMPRODUCT(INDEX(PortfolioRef[[SPY]:[PE]],MATCH(DK$1,PortfolioRef[Reference '#]),0),AssetMonthlyReturns[[#This Row],[SPY]:[PE]])</f>
        <v>1.8392958821308286E-2</v>
      </c>
      <c r="DL47" s="27">
        <f>IF(ISNUMBER(DL46),DL46*(1+PortfolioFrontier[[#This Row],[P29 Return]]),1+PortfolioFrontier[[#This Row],[P29 Return]])</f>
        <v>1.3473415962408986</v>
      </c>
      <c r="DM47" s="27">
        <f>MAX(DM46,PortfolioFrontier[[#This Row],[P29 Growth]])</f>
        <v>1.3473415962408986</v>
      </c>
      <c r="DN47" s="27">
        <f>PortfolioFrontier[[#This Row],[P29 Growth]]/PortfolioFrontier[[#This Row],[P29 HWM]]-1</f>
        <v>0</v>
      </c>
      <c r="DO47" s="28">
        <f>SUMPRODUCT(INDEX(PortfolioRef[[SPY]:[PE]],MATCH(DO$1,PortfolioRef[Reference '#]),0),AssetMonthlyReturns[[#This Row],[SPY]:[PE]])</f>
        <v>1.990050517301984E-2</v>
      </c>
      <c r="DP47" s="27">
        <f>IF(ISNUMBER(DP46),DP46*(1+PortfolioFrontier[[#This Row],[P30 Return]]),1+PortfolioFrontier[[#This Row],[P30 Return]])</f>
        <v>1.3293647403198487</v>
      </c>
      <c r="DQ47" s="27">
        <f>MAX(DQ46,PortfolioFrontier[[#This Row],[P30 Growth]])</f>
        <v>1.3293647403198487</v>
      </c>
      <c r="DR47" s="27">
        <f>PortfolioFrontier[[#This Row],[P30 Growth]]/PortfolioFrontier[[#This Row],[P30 HWM]]-1</f>
        <v>0</v>
      </c>
      <c r="DS47" s="28">
        <f>SUMPRODUCT(INDEX(PortfolioRef[[SPY]:[PE]],MATCH(DS$1,PortfolioRef[Reference '#]),0),AssetMonthlyReturns[[#This Row],[SPY]:[PE]])</f>
        <v>1.4907049432454585E-2</v>
      </c>
      <c r="DT47" s="27">
        <f>IF(ISNUMBER(DT46),DT46*(1+PortfolioFrontier[[#This Row],[P31 Return]]),1+PortfolioFrontier[[#This Row],[P31 Return]])</f>
        <v>1.373084322023945</v>
      </c>
      <c r="DU47" s="27">
        <f>MAX(DU46,PortfolioFrontier[[#This Row],[P31 Growth]])</f>
        <v>1.373084322023945</v>
      </c>
      <c r="DV47" s="27">
        <f>PortfolioFrontier[[#This Row],[P31 Growth]]/PortfolioFrontier[[#This Row],[P31 HWM]]-1</f>
        <v>0</v>
      </c>
      <c r="DW47" s="28">
        <f>SUMPRODUCT(INDEX(PortfolioRef[[SPY]:[PE]],MATCH(DW$1,PortfolioRef[Reference '#]),0),AssetMonthlyReturns[[#This Row],[SPY]:[PE]])</f>
        <v>1.6414595784166135E-2</v>
      </c>
      <c r="DX47" s="27">
        <f>IF(ISNUMBER(DX46),DX46*(1+PortfolioFrontier[[#This Row],[P32 Return]]),1+PortfolioFrontier[[#This Row],[P32 Return]])</f>
        <v>1.3551401199069273</v>
      </c>
      <c r="DY47" s="27">
        <f>MAX(DY46,PortfolioFrontier[[#This Row],[P32 Growth]])</f>
        <v>1.3551401199069273</v>
      </c>
      <c r="DZ47" s="27">
        <f>PortfolioFrontier[[#This Row],[P32 Growth]]/PortfolioFrontier[[#This Row],[P32 HWM]]-1</f>
        <v>0</v>
      </c>
      <c r="EA47" s="28">
        <f>SUMPRODUCT(INDEX(PortfolioRef[[SPY]:[PE]],MATCH(EA$1,PortfolioRef[Reference '#]),0),AssetMonthlyReturns[[#This Row],[SPY]:[PE]])</f>
        <v>1.792214213587769E-2</v>
      </c>
      <c r="EB47" s="27">
        <f>IF(ISNUMBER(EB46),EB46*(1+PortfolioFrontier[[#This Row],[P33 Return]]),1+PortfolioFrontier[[#This Row],[P33 Return]])</f>
        <v>1.3372042206409958</v>
      </c>
      <c r="EC47" s="27">
        <f>MAX(EC46,PortfolioFrontier[[#This Row],[P33 Growth]])</f>
        <v>1.3372042206409958</v>
      </c>
      <c r="ED47" s="27">
        <f>PortfolioFrontier[[#This Row],[P33 Growth]]/PortfolioFrontier[[#This Row],[P33 HWM]]-1</f>
        <v>0</v>
      </c>
      <c r="EE47" s="28">
        <f>SUMPRODUCT(INDEX(PortfolioRef[[SPY]:[PE]],MATCH(EE$1,PortfolioRef[Reference '#]),0),AssetMonthlyReturns[[#This Row],[SPY]:[PE]])</f>
        <v>1.3731686567232532E-2</v>
      </c>
      <c r="EF47" s="27">
        <f>IF(ISNUMBER(EF46),EF46*(1+PortfolioFrontier[[#This Row],[P34 Return]]),1+PortfolioFrontier[[#This Row],[P34 Return]])</f>
        <v>1.3115591531717876</v>
      </c>
      <c r="EG47" s="27">
        <f>MAX(EG46,PortfolioFrontier[[#This Row],[P34 Growth]])</f>
        <v>1.3115591531717876</v>
      </c>
      <c r="EH47" s="27">
        <f>PortfolioFrontier[[#This Row],[P34 Growth]]/PortfolioFrontier[[#This Row],[P34 HWM]]-1</f>
        <v>0</v>
      </c>
      <c r="EI47" s="28">
        <f>SUMPRODUCT(INDEX(PortfolioRef[[SPY]:[PE]],MATCH(EI$1,PortfolioRef[Reference '#]),0),AssetMonthlyReturns[[#This Row],[SPY]:[PE]])</f>
        <v>1.5666026477556383E-2</v>
      </c>
      <c r="EJ47" s="27">
        <f>IF(ISNUMBER(EJ46),EJ46*(1+PortfolioFrontier[[#This Row],[P35 Return]]),1+PortfolioFrontier[[#This Row],[P35 Return]])</f>
        <v>1.3150611690250393</v>
      </c>
      <c r="EK47" s="27">
        <f>MAX(EK46,PortfolioFrontier[[#This Row],[P35 Growth]])</f>
        <v>1.3150611690250393</v>
      </c>
      <c r="EL47" s="27">
        <f>PortfolioFrontier[[#This Row],[P35 Growth]]/PortfolioFrontier[[#This Row],[P35 HWM]]-1</f>
        <v>0</v>
      </c>
      <c r="EM47" s="28">
        <f>SUMPRODUCT(INDEX(PortfolioRef[[SPY]:[PE]],MATCH(EM$1,PortfolioRef[Reference '#]),0),AssetMonthlyReturns[[#This Row],[SPY]:[PE]])</f>
        <v>1.3687663440414232E-2</v>
      </c>
      <c r="EN47" s="27">
        <f>IF(ISNUMBER(EN46),EN46*(1+PortfolioFrontier[[#This Row],[P36 Return]]),1+PortfolioFrontier[[#This Row],[P36 Return]])</f>
        <v>1.323004906988261</v>
      </c>
      <c r="EO47" s="27">
        <f>MAX(EO46,PortfolioFrontier[[#This Row],[P36 Growth]])</f>
        <v>1.323004906988261</v>
      </c>
      <c r="EP47" s="27">
        <f>PortfolioFrontier[[#This Row],[P36 Growth]]/PortfolioFrontier[[#This Row],[P36 HWM]]-1</f>
        <v>0</v>
      </c>
      <c r="EQ47" s="28">
        <f>SUMPRODUCT(INDEX(PortfolioRef[[SPY]:[PE]],MATCH(EQ$1,PortfolioRef[Reference '#]),0),AssetMonthlyReturns[[#This Row],[SPY]:[PE]])</f>
        <v>1.5195209792125786E-2</v>
      </c>
      <c r="ER47" s="27">
        <f>IF(ISNUMBER(ER46),ER46*(1+PortfolioFrontier[[#This Row],[P37 Return]]),1+PortfolioFrontier[[#This Row],[P37 Return]])</f>
        <v>1.30532115378226</v>
      </c>
      <c r="ES47" s="27">
        <f>MAX(ES46,PortfolioFrontier[[#This Row],[P37 Growth]])</f>
        <v>1.30532115378226</v>
      </c>
      <c r="ET47" s="27">
        <f>PortfolioFrontier[[#This Row],[P37 Growth]]/PortfolioFrontier[[#This Row],[P37 HWM]]-1</f>
        <v>0</v>
      </c>
      <c r="EU47" s="28">
        <f>SUMPRODUCT(INDEX(PortfolioRef[[SPY]:[PE]],MATCH(EU$1,PortfolioRef[Reference '#]),0),AssetMonthlyReturns[[#This Row],[SPY]:[PE]])</f>
        <v>1.7600366387880234E-2</v>
      </c>
      <c r="EV47" s="27">
        <f>IF(ISNUMBER(EV46),EV46*(1+PortfolioFrontier[[#This Row],[P38 Return]]),1+PortfolioFrontier[[#This Row],[P38 Return]])</f>
        <v>1.3184449580097848</v>
      </c>
      <c r="EW47" s="27">
        <f>MAX(EW46,PortfolioFrontier[[#This Row],[P38 Growth]])</f>
        <v>1.3184449580097848</v>
      </c>
      <c r="EX47" s="27">
        <f>PortfolioFrontier[[#This Row],[P38 Growth]]/PortfolioFrontier[[#This Row],[P38 HWM]]-1</f>
        <v>0</v>
      </c>
      <c r="EY47" s="28">
        <f>SUMPRODUCT(INDEX(PortfolioRef[[SPY]:[PE]],MATCH(EY$1,PortfolioRef[Reference '#]),0),AssetMonthlyReturns[[#This Row],[SPY]:[PE]])</f>
        <v>1.5622003350738083E-2</v>
      </c>
      <c r="EZ47" s="27">
        <f>IF(ISNUMBER(EZ46),EZ46*(1+PortfolioFrontier[[#This Row],[P39 Return]]),1+PortfolioFrontier[[#This Row],[P39 Return]])</f>
        <v>1.3265405614962269</v>
      </c>
      <c r="FA47" s="27">
        <f>MAX(FA46,PortfolioFrontier[[#This Row],[P39 Growth]])</f>
        <v>1.3265405614962269</v>
      </c>
      <c r="FB47" s="27">
        <f>PortfolioFrontier[[#This Row],[P39 Growth]]/PortfolioFrontier[[#This Row],[P39 HWM]]-1</f>
        <v>0</v>
      </c>
      <c r="FC47" s="28">
        <f>SUMPRODUCT(INDEX(PortfolioRef[[SPY]:[PE]],MATCH(FC$1,PortfolioRef[Reference '#]),0),AssetMonthlyReturns[[#This Row],[SPY]:[PE]])</f>
        <v>1.7129549702449638E-2</v>
      </c>
      <c r="FD47" s="27">
        <f>IF(ISNUMBER(FD46),FD46*(1+PortfolioFrontier[[#This Row],[P40 Return]]),1+PortfolioFrontier[[#This Row],[P40 Return]])</f>
        <v>1.3088319402478683</v>
      </c>
      <c r="FE47" s="27">
        <f>MAX(FE46,PortfolioFrontier[[#This Row],[P40 Growth]])</f>
        <v>1.3088319402478683</v>
      </c>
      <c r="FF47" s="27">
        <f>PortfolioFrontier[[#This Row],[P40 Growth]]/PortfolioFrontier[[#This Row],[P40 HWM]]-1</f>
        <v>0</v>
      </c>
      <c r="FG47" s="28">
        <f>SUMPRODUCT(INDEX(PortfolioRef[[SPY]:[PE]],MATCH(FG$1,PortfolioRef[Reference '#]),0),AssetMonthlyReturns[[#This Row],[SPY]:[PE]])</f>
        <v>1.3643640313595932E-2</v>
      </c>
      <c r="FH47" s="27">
        <f>IF(ISNUMBER(FH46),FH46*(1+PortfolioFrontier[[#This Row],[P41 Return]]),1+PortfolioFrontier[[#This Row],[P41 Return]])</f>
        <v>1.334376702499765</v>
      </c>
      <c r="FI47" s="27">
        <f>MAX(FI46,PortfolioFrontier[[#This Row],[P41 Growth]])</f>
        <v>1.334376702499765</v>
      </c>
      <c r="FJ47" s="27">
        <f>PortfolioFrontier[[#This Row],[P41 Growth]]/PortfolioFrontier[[#This Row],[P41 HWM]]-1</f>
        <v>0</v>
      </c>
      <c r="FK47" s="28">
        <f>SUMPRODUCT(INDEX(PortfolioRef[[SPY]:[PE]],MATCH(FK$1,PortfolioRef[Reference '#]),0),AssetMonthlyReturns[[#This Row],[SPY]:[PE]])</f>
        <v>1.5151186665307487E-2</v>
      </c>
      <c r="FL47" s="27">
        <f>IF(ISNUMBER(FL46),FL46*(1+PortfolioFrontier[[#This Row],[P42 Return]]),1+PortfolioFrontier[[#This Row],[P42 Return]])</f>
        <v>1.3167059828846297</v>
      </c>
      <c r="FM47" s="27">
        <f>MAX(FM46,PortfolioFrontier[[#This Row],[P42 Growth]])</f>
        <v>1.3167059828846297</v>
      </c>
      <c r="FN47" s="27">
        <f>PortfolioFrontier[[#This Row],[P42 Growth]]/PortfolioFrontier[[#This Row],[P42 HWM]]-1</f>
        <v>0</v>
      </c>
      <c r="FO47" s="28">
        <f>SUMPRODUCT(INDEX(PortfolioRef[[SPY]:[PE]],MATCH(FO$1,PortfolioRef[Reference '#]),0),AssetMonthlyReturns[[#This Row],[SPY]:[PE]])</f>
        <v>1.6658733017019041E-2</v>
      </c>
      <c r="FP47" s="27">
        <f>IF(ISNUMBER(FP46),FP46*(1+PortfolioFrontier[[#This Row],[P43 Return]]),1+PortfolioFrontier[[#This Row],[P43 Return]])</f>
        <v>1.2990492831847367</v>
      </c>
      <c r="FQ47" s="27">
        <f>MAX(FQ46,PortfolioFrontier[[#This Row],[P43 Growth]])</f>
        <v>1.2990492831847367</v>
      </c>
      <c r="FR47" s="27">
        <f>PortfolioFrontier[[#This Row],[P43 Growth]]/PortfolioFrontier[[#This Row],[P43 HWM]]-1</f>
        <v>0</v>
      </c>
      <c r="FS47" s="28">
        <f>SUMPRODUCT(INDEX(PortfolioRef[[SPY]:[PE]],MATCH(FS$1,PortfolioRef[Reference '#]),0),AssetMonthlyReturns[[#This Row],[SPY]:[PE]])</f>
        <v>1.7556343261061935E-2</v>
      </c>
      <c r="FT47" s="27">
        <f>IF(ISNUMBER(FT46),FT46*(1+PortfolioFrontier[[#This Row],[P44 Return]]),1+PortfolioFrontier[[#This Row],[P44 Return]])</f>
        <v>1.3299570681172181</v>
      </c>
      <c r="FU47" s="27">
        <f>MAX(FU46,PortfolioFrontier[[#This Row],[P44 Growth]])</f>
        <v>1.3299570681172181</v>
      </c>
      <c r="FV47" s="27">
        <f>PortfolioFrontier[[#This Row],[P44 Growth]]/PortfolioFrontier[[#This Row],[P44 HWM]]-1</f>
        <v>0</v>
      </c>
      <c r="FW47" s="28">
        <f>SUMPRODUCT(INDEX(PortfolioRef[[SPY]:[PE]],MATCH(FW$1,PortfolioRef[Reference '#]),0),AssetMonthlyReturns[[#This Row],[SPY]:[PE]])</f>
        <v>1.9063889612773489E-2</v>
      </c>
      <c r="FX47" s="27">
        <f>IF(ISNUMBER(FX46),FX46*(1+PortfolioFrontier[[#This Row],[P45 Return]]),1+PortfolioFrontier[[#This Row],[P45 Return]])</f>
        <v>1.3122251535620337</v>
      </c>
      <c r="FY47" s="27">
        <f>MAX(FY46,PortfolioFrontier[[#This Row],[P45 Growth]])</f>
        <v>1.3122251535620337</v>
      </c>
      <c r="FZ47" s="27">
        <f>PortfolioFrontier[[#This Row],[P45 Growth]]/PortfolioFrontier[[#This Row],[P45 HWM]]-1</f>
        <v>0</v>
      </c>
      <c r="GA47" s="28">
        <f>SUMPRODUCT(INDEX(PortfolioRef[[SPY]:[PE]],MATCH(GA$1,PortfolioRef[Reference '#]),0),AssetMonthlyReturns[[#This Row],[SPY]:[PE]])</f>
        <v>1.5577980223919784E-2</v>
      </c>
      <c r="GB47" s="27">
        <f>IF(ISNUMBER(GB46),GB46*(1+PortfolioFrontier[[#This Row],[P46 Return]]),1+PortfolioFrontier[[#This Row],[P46 Return]])</f>
        <v>1.3379460288493901</v>
      </c>
      <c r="GC47" s="27">
        <f>MAX(GC46,PortfolioFrontier[[#This Row],[P46 Growth]])</f>
        <v>1.3379460288493901</v>
      </c>
      <c r="GD47" s="27">
        <f>PortfolioFrontier[[#This Row],[P46 Growth]]/PortfolioFrontier[[#This Row],[P46 HWM]]-1</f>
        <v>0</v>
      </c>
      <c r="GE47" s="28">
        <f>SUMPRODUCT(INDEX(PortfolioRef[[SPY]:[PE]],MATCH(GE$1,PortfolioRef[Reference '#]),0),AssetMonthlyReturns[[#This Row],[SPY]:[PE]])</f>
        <v>1.7085526575631338E-2</v>
      </c>
      <c r="GF47" s="27">
        <f>IF(ISNUMBER(GF46),GF46*(1+PortfolioFrontier[[#This Row],[P47 Return]]),1+PortfolioFrontier[[#This Row],[P47 Return]])</f>
        <v>1.320250499888233</v>
      </c>
      <c r="GG47" s="27">
        <f>MAX(GG46,PortfolioFrontier[[#This Row],[P47 Growth]])</f>
        <v>1.320250499888233</v>
      </c>
      <c r="GH47" s="27">
        <f>PortfolioFrontier[[#This Row],[P47 Growth]]/PortfolioFrontier[[#This Row],[P47 HWM]]-1</f>
        <v>0</v>
      </c>
      <c r="GI47" s="28">
        <f>SUMPRODUCT(INDEX(PortfolioRef[[SPY]:[PE]],MATCH(GI$1,PortfolioRef[Reference '#]),0),AssetMonthlyReturns[[#This Row],[SPY]:[PE]])</f>
        <v>1.8593072927342892E-2</v>
      </c>
      <c r="GJ47" s="27">
        <f>IF(ISNUMBER(GJ46),GJ46*(1+PortfolioFrontier[[#This Row],[P48 Return]]),1+PortfolioFrontier[[#This Row],[P48 Return]])</f>
        <v>1.3025685087131735</v>
      </c>
      <c r="GK47" s="27">
        <f>MAX(GK46,PortfolioFrontier[[#This Row],[P48 Growth]])</f>
        <v>1.3025685087131735</v>
      </c>
      <c r="GL47" s="27">
        <f>PortfolioFrontier[[#This Row],[P48 Growth]]/PortfolioFrontier[[#This Row],[P48 HWM]]-1</f>
        <v>0</v>
      </c>
      <c r="GM47" s="28">
        <f>SUMPRODUCT(INDEX(PortfolioRef[[SPY]:[PE]],MATCH(GM$1,PortfolioRef[Reference '#]),0),AssetMonthlyReturns[[#This Row],[SPY]:[PE]])</f>
        <v>1.3599617186777633E-2</v>
      </c>
      <c r="GN47" s="27">
        <f>IF(ISNUMBER(GN46),GN46*(1+PortfolioFrontier[[#This Row],[P49 Return]]),1+PortfolioFrontier[[#This Row],[P49 Return]])</f>
        <v>1.3456708461381939</v>
      </c>
      <c r="GO47" s="27">
        <f>MAX(GO46,PortfolioFrontier[[#This Row],[P49 Growth]])</f>
        <v>1.3456708461381939</v>
      </c>
      <c r="GP47" s="27">
        <f>PortfolioFrontier[[#This Row],[P49 Growth]]/PortfolioFrontier[[#This Row],[P49 HWM]]-1</f>
        <v>0</v>
      </c>
      <c r="GQ47" s="28">
        <f>SUMPRODUCT(INDEX(PortfolioRef[[SPY]:[PE]],MATCH(GQ$1,PortfolioRef[Reference '#]),0),AssetMonthlyReturns[[#This Row],[SPY]:[PE]])</f>
        <v>1.5107163538489187E-2</v>
      </c>
      <c r="GR47" s="27">
        <f>IF(ISNUMBER(GR46),GR46*(1+PortfolioFrontier[[#This Row],[P50 Return]]),1+PortfolioFrontier[[#This Row],[P50 Return]])</f>
        <v>1.3280169562732529</v>
      </c>
      <c r="GS47" s="27">
        <f>MAX(GS46,PortfolioFrontier[[#This Row],[P50 Growth]])</f>
        <v>1.3280169562732529</v>
      </c>
      <c r="GT47" s="27">
        <f>PortfolioFrontier[[#This Row],[P50 Growth]]/PortfolioFrontier[[#This Row],[P50 HWM]]-1</f>
        <v>0</v>
      </c>
      <c r="GU47" s="28">
        <f>SUMPRODUCT(INDEX(PortfolioRef[[SPY]:[PE]],MATCH(GU$1,PortfolioRef[Reference '#]),0),AssetMonthlyReturns[[#This Row],[SPY]:[PE]])</f>
        <v>1.6614709890200738E-2</v>
      </c>
      <c r="GV47" s="27">
        <f>IF(ISNUMBER(GV46),GV46*(1+PortfolioFrontier[[#This Row],[P51 Return]]),1+PortfolioFrontier[[#This Row],[P51 Return]])</f>
        <v>1.3103729186910869</v>
      </c>
      <c r="GW47" s="27">
        <f>MAX(GW46,PortfolioFrontier[[#This Row],[P51 Growth]])</f>
        <v>1.3103729186910869</v>
      </c>
      <c r="GX47" s="27">
        <f>PortfolioFrontier[[#This Row],[P51 Growth]]/PortfolioFrontier[[#This Row],[P51 HWM]]-1</f>
        <v>0</v>
      </c>
      <c r="GY47" s="28">
        <f>SUMPRODUCT(INDEX(PortfolioRef[[SPY]:[PE]],MATCH(GY$1,PortfolioRef[Reference '#]),0),AssetMonthlyReturns[[#This Row],[SPY]:[PE]])</f>
        <v>1.7512320134243635E-2</v>
      </c>
      <c r="GZ47" s="27">
        <f>IF(ISNUMBER(GZ46),GZ46*(1+PortfolioFrontier[[#This Row],[P52 Return]]),1+PortfolioFrontier[[#This Row],[P52 Return]])</f>
        <v>1.3413952941585165</v>
      </c>
      <c r="HA47" s="27">
        <f>MAX(HA46,PortfolioFrontier[[#This Row],[P52 Growth]])</f>
        <v>1.3413952941585165</v>
      </c>
      <c r="HB47" s="27">
        <f>PortfolioFrontier[[#This Row],[P52 Growth]]/PortfolioFrontier[[#This Row],[P52 HWM]]-1</f>
        <v>0</v>
      </c>
      <c r="HC47" s="28">
        <f>SUMPRODUCT(INDEX(PortfolioRef[[SPY]:[PE]],MATCH(HC$1,PortfolioRef[Reference '#]),0),AssetMonthlyReturns[[#This Row],[SPY]:[PE]])</f>
        <v>1.9019866485955189E-2</v>
      </c>
      <c r="HD47" s="27">
        <f>IF(ISNUMBER(HD46),HD46*(1+PortfolioFrontier[[#This Row],[P53 Return]]),1+PortfolioFrontier[[#This Row],[P53 Return]])</f>
        <v>1.3236765289180012</v>
      </c>
      <c r="HE47" s="27">
        <f>MAX(HE46,PortfolioFrontier[[#This Row],[P53 Growth]])</f>
        <v>1.3236765289180012</v>
      </c>
      <c r="HF47" s="27">
        <f>PortfolioFrontier[[#This Row],[P53 Growth]]/PortfolioFrontier[[#This Row],[P53 HWM]]-1</f>
        <v>0</v>
      </c>
      <c r="HG47" s="28">
        <f>SUMPRODUCT(INDEX(PortfolioRef[[SPY]:[PE]],MATCH(HG$1,PortfolioRef[Reference '#]),0),AssetMonthlyReturns[[#This Row],[SPY]:[PE]])</f>
        <v>2.0527412837666743E-2</v>
      </c>
      <c r="HH47" s="27">
        <f>IF(ISNUMBER(HH46),HH46*(1+PortfolioFrontier[[#This Row],[P54 Return]]),1+PortfolioFrontier[[#This Row],[P54 Return]])</f>
        <v>1.3059708171830853</v>
      </c>
      <c r="HI47" s="27">
        <f>MAX(HI46,PortfolioFrontier[[#This Row],[P54 Growth]])</f>
        <v>1.3059708171830853</v>
      </c>
      <c r="HJ47" s="27">
        <f>PortfolioFrontier[[#This Row],[P54 Growth]]/PortfolioFrontier[[#This Row],[P54 HWM]]-1</f>
        <v>0</v>
      </c>
      <c r="HK47" s="28">
        <f>SUMPRODUCT(INDEX(PortfolioRef[[SPY]:[PE]],MATCH(HK$1,PortfolioRef[Reference '#]),0),AssetMonthlyReturns[[#This Row],[SPY]:[PE]])</f>
        <v>1.5533957097101484E-2</v>
      </c>
      <c r="HL47" s="27">
        <f>IF(ISNUMBER(HL46),HL46*(1+PortfolioFrontier[[#This Row],[P55 Return]]),1+PortfolioFrontier[[#This Row],[P55 Return]])</f>
        <v>1.3492738725166744</v>
      </c>
      <c r="HM47" s="27">
        <f>MAX(HM46,PortfolioFrontier[[#This Row],[P55 Growth]])</f>
        <v>1.3492738725166744</v>
      </c>
      <c r="HN47" s="27">
        <f>PortfolioFrontier[[#This Row],[P55 Growth]]/PortfolioFrontier[[#This Row],[P55 HWM]]-1</f>
        <v>0</v>
      </c>
      <c r="HO47" s="28">
        <f>SUMPRODUCT(INDEX(PortfolioRef[[SPY]:[PE]],MATCH(HO$1,PortfolioRef[Reference '#]),0),AssetMonthlyReturns[[#This Row],[SPY]:[PE]])</f>
        <v>1.7041503448813038E-2</v>
      </c>
      <c r="HP47" s="27">
        <f>IF(ISNUMBER(HP46),HP46*(1+PortfolioFrontier[[#This Row],[P56 Return]]),1+PortfolioFrontier[[#This Row],[P56 Return]])</f>
        <v>1.33159523660711</v>
      </c>
      <c r="HQ47" s="27">
        <f>MAX(HQ46,PortfolioFrontier[[#This Row],[P56 Growth]])</f>
        <v>1.33159523660711</v>
      </c>
      <c r="HR47" s="27">
        <f>PortfolioFrontier[[#This Row],[P56 Growth]]/PortfolioFrontier[[#This Row],[P56 HWM]]-1</f>
        <v>0</v>
      </c>
      <c r="HS47" s="28">
        <f>SUMPRODUCT(INDEX(PortfolioRef[[SPY]:[PE]],MATCH(HS$1,PortfolioRef[Reference '#]),0),AssetMonthlyReturns[[#This Row],[SPY]:[PE]])</f>
        <v>1.8549049800524589E-2</v>
      </c>
      <c r="HT47" s="27">
        <f>IF(ISNUMBER(HT46),HT46*(1+PortfolioFrontier[[#This Row],[P57 Return]]),1+PortfolioFrontier[[#This Row],[P57 Return]])</f>
        <v>1.3139259632090248</v>
      </c>
      <c r="HU47" s="27">
        <f>MAX(HU46,PortfolioFrontier[[#This Row],[P57 Growth]])</f>
        <v>1.3139259632090248</v>
      </c>
      <c r="HV47" s="27">
        <f>PortfolioFrontier[[#This Row],[P57 Growth]]/PortfolioFrontier[[#This Row],[P57 HWM]]-1</f>
        <v>0</v>
      </c>
      <c r="HW47" s="28">
        <f>SUMPRODUCT(INDEX(PortfolioRef[[SPY]:[PE]],MATCH(HW$1,PortfolioRef[Reference '#]),0),AssetMonthlyReturns[[#This Row],[SPY]:[PE]])</f>
        <v>1.3555594059959337E-2</v>
      </c>
      <c r="HX47" s="27">
        <f>IF(ISNUMBER(HX46),HX46*(1+PortfolioFrontier[[#This Row],[P58 Return]]),1+PortfolioFrontier[[#This Row],[P58 Return]])</f>
        <v>1.3568836221241469</v>
      </c>
      <c r="HY47" s="27">
        <f>MAX(HY46,PortfolioFrontier[[#This Row],[P58 Growth]])</f>
        <v>1.3568836221241469</v>
      </c>
      <c r="HZ47" s="27">
        <f>PortfolioFrontier[[#This Row],[P58 Growth]]/PortfolioFrontier[[#This Row],[P58 HWM]]-1</f>
        <v>0</v>
      </c>
      <c r="IA47" s="28">
        <f>SUMPRODUCT(INDEX(PortfolioRef[[SPY]:[PE]],MATCH(IA$1,PortfolioRef[Reference '#]),0),AssetMonthlyReturns[[#This Row],[SPY]:[PE]])</f>
        <v>1.5063140411670888E-2</v>
      </c>
      <c r="IB47" s="27">
        <f>IF(ISNUMBER(IB46),IB46*(1+PortfolioFrontier[[#This Row],[P59 Return]]),1+PortfolioFrontier[[#This Row],[P59 Return]])</f>
        <v>1.339250393032742</v>
      </c>
      <c r="IC47" s="27">
        <f>MAX(IC46,PortfolioFrontier[[#This Row],[P59 Growth]])</f>
        <v>1.339250393032742</v>
      </c>
      <c r="ID47" s="27">
        <f>PortfolioFrontier[[#This Row],[P59 Growth]]/PortfolioFrontier[[#This Row],[P59 HWM]]-1</f>
        <v>0</v>
      </c>
      <c r="IE47" s="28">
        <f>SUMPRODUCT(INDEX(PortfolioRef[[SPY]:[PE]],MATCH(IE$1,PortfolioRef[Reference '#]),0),AssetMonthlyReturns[[#This Row],[SPY]:[PE]])</f>
        <v>1.6570686763382442E-2</v>
      </c>
      <c r="IF47" s="27">
        <f>IF(ISNUMBER(IF46),IF46*(1+PortfolioFrontier[[#This Row],[P60 Return]]),1+PortfolioFrontier[[#This Row],[P60 Return]])</f>
        <v>1.3216228031760946</v>
      </c>
      <c r="IG47" s="27">
        <f>MAX(IG46,PortfolioFrontier[[#This Row],[P60 Growth]])</f>
        <v>1.3216228031760946</v>
      </c>
      <c r="IH47" s="27">
        <f>PortfolioFrontier[[#This Row],[P60 Growth]]/PortfolioFrontier[[#This Row],[P60 HWM]]-1</f>
        <v>0</v>
      </c>
      <c r="II47" s="28">
        <f>SUMPRODUCT(INDEX(PortfolioRef[[SPY]:[PE]],MATCH(II$1,PortfolioRef[Reference '#]),0),AssetMonthlyReturns[[#This Row],[SPY]:[PE]])</f>
        <v>1.2424254321555583E-2</v>
      </c>
      <c r="IJ47" s="27">
        <f>IF(ISNUMBER(IJ46),IJ46*(1+PortfolioFrontier[[#This Row],[P61 Return]]),1+PortfolioFrontier[[#This Row],[P61 Return]])</f>
        <v>1.2848811452408111</v>
      </c>
      <c r="IK47" s="27">
        <f>MAX(IK46,PortfolioFrontier[[#This Row],[P61 Growth]])</f>
        <v>1.2848811452408111</v>
      </c>
      <c r="IL47" s="27">
        <f>PortfolioFrontier[[#This Row],[P61 Growth]]/PortfolioFrontier[[#This Row],[P61 HWM]]-1</f>
        <v>0</v>
      </c>
      <c r="IM47" s="28">
        <f>SUMPRODUCT(INDEX(PortfolioRef[[SPY]:[PE]],MATCH(IM$1,PortfolioRef[Reference '#]),0),AssetMonthlyReturns[[#This Row],[SPY]:[PE]])</f>
        <v>1.4358594231879435E-2</v>
      </c>
      <c r="IN47" s="27">
        <f>IF(ISNUMBER(IN46),IN46*(1+PortfolioFrontier[[#This Row],[P62 Return]]),1+PortfolioFrontier[[#This Row],[P62 Return]])</f>
        <v>1.2882905006140852</v>
      </c>
      <c r="IO47" s="27">
        <f>MAX(IO46,PortfolioFrontier[[#This Row],[P62 Growth]])</f>
        <v>1.2882905006140852</v>
      </c>
      <c r="IP47" s="27">
        <f>PortfolioFrontier[[#This Row],[P62 Growth]]/PortfolioFrontier[[#This Row],[P62 HWM]]-1</f>
        <v>0</v>
      </c>
      <c r="IQ47" s="28">
        <f>SUMPRODUCT(INDEX(PortfolioRef[[SPY]:[PE]],MATCH(IQ$1,PortfolioRef[Reference '#]),0),AssetMonthlyReturns[[#This Row],[SPY]:[PE]])</f>
        <v>1.2380231194737284E-2</v>
      </c>
      <c r="IR47" s="27">
        <f>IF(ISNUMBER(IR46),IR46*(1+PortfolioFrontier[[#This Row],[P63 Return]]),1+PortfolioFrontier[[#This Row],[P63 Return]])</f>
        <v>1.2961931780236096</v>
      </c>
      <c r="IS47" s="27">
        <f>MAX(IS46,PortfolioFrontier[[#This Row],[P63 Growth]])</f>
        <v>1.2961931780236096</v>
      </c>
      <c r="IT47" s="27">
        <f>PortfolioFrontier[[#This Row],[P63 Growth]]/PortfolioFrontier[[#This Row],[P63 HWM]]-1</f>
        <v>0</v>
      </c>
      <c r="IU47" s="28">
        <f>SUMPRODUCT(INDEX(PortfolioRef[[SPY]:[PE]],MATCH(IU$1,PortfolioRef[Reference '#]),0),AssetMonthlyReturns[[#This Row],[SPY]:[PE]])</f>
        <v>1.3887777546448838E-2</v>
      </c>
      <c r="IV47" s="27">
        <f>IF(ISNUMBER(IV46),IV46*(1+PortfolioFrontier[[#This Row],[P64 Return]]),1+PortfolioFrontier[[#This Row],[P64 Return]])</f>
        <v>1.2788026415021314</v>
      </c>
      <c r="IW47" s="27">
        <f>MAX(IW46,PortfolioFrontier[[#This Row],[P64 Growth]])</f>
        <v>1.2788026415021314</v>
      </c>
      <c r="IX47" s="27">
        <f>PortfolioFrontier[[#This Row],[P64 Growth]]/PortfolioFrontier[[#This Row],[P64 HWM]]-1</f>
        <v>0</v>
      </c>
      <c r="IY47" s="28">
        <f>SUMPRODUCT(INDEX(PortfolioRef[[SPY]:[PE]],MATCH(IY$1,PortfolioRef[Reference '#]),0),AssetMonthlyReturns[[#This Row],[SPY]:[PE]])</f>
        <v>1.6292934142203286E-2</v>
      </c>
      <c r="IZ47" s="27">
        <f>IF(ISNUMBER(IZ46),IZ46*(1+PortfolioFrontier[[#This Row],[P65 Return]]),1+PortfolioFrontier[[#This Row],[P65 Return]])</f>
        <v>1.2915837592951802</v>
      </c>
      <c r="JA47" s="27">
        <f>MAX(JA46,PortfolioFrontier[[#This Row],[P65 Growth]])</f>
        <v>1.2915837592951802</v>
      </c>
      <c r="JB47" s="27">
        <f>PortfolioFrontier[[#This Row],[P65 Growth]]/PortfolioFrontier[[#This Row],[P65 HWM]]-1</f>
        <v>0</v>
      </c>
      <c r="JC47" s="28">
        <f>SUMPRODUCT(INDEX(PortfolioRef[[SPY]:[PE]],MATCH(JC$1,PortfolioRef[Reference '#]),0),AssetMonthlyReturns[[#This Row],[SPY]:[PE]])</f>
        <v>1.4314571105061135E-2</v>
      </c>
      <c r="JD47" s="27">
        <f>IF(ISNUMBER(JD46),JD46*(1+PortfolioFrontier[[#This Row],[P66 Return]]),1+PortfolioFrontier[[#This Row],[P66 Return]])</f>
        <v>1.2996354475444898</v>
      </c>
      <c r="JE47" s="27">
        <f>MAX(JE46,PortfolioFrontier[[#This Row],[P66 Growth]])</f>
        <v>1.2996354475444898</v>
      </c>
      <c r="JF47" s="27">
        <f>PortfolioFrontier[[#This Row],[P66 Growth]]/PortfolioFrontier[[#This Row],[P66 HWM]]-1</f>
        <v>0</v>
      </c>
      <c r="JG47" s="28">
        <f>SUMPRODUCT(INDEX(PortfolioRef[[SPY]:[PE]],MATCH(JG$1,PortfolioRef[Reference '#]),0),AssetMonthlyReturns[[#This Row],[SPY]:[PE]])</f>
        <v>1.5822117456772689E-2</v>
      </c>
      <c r="JH47" s="27">
        <f>IF(ISNUMBER(JH46),JH46*(1+PortfolioFrontier[[#This Row],[P67 Return]]),1+PortfolioFrontier[[#This Row],[P67 Return]])</f>
        <v>1.282220735136649</v>
      </c>
      <c r="JI47" s="27">
        <f>MAX(JI46,PortfolioFrontier[[#This Row],[P67 Growth]])</f>
        <v>1.282220735136649</v>
      </c>
      <c r="JJ47" s="27">
        <f>PortfolioFrontier[[#This Row],[P67 Growth]]/PortfolioFrontier[[#This Row],[P67 HWM]]-1</f>
        <v>0</v>
      </c>
      <c r="JK47" s="28">
        <f>SUMPRODUCT(INDEX(PortfolioRef[[SPY]:[PE]],MATCH(JK$1,PortfolioRef[Reference '#]),0),AssetMonthlyReturns[[#This Row],[SPY]:[PE]])</f>
        <v>1.2336208067918984E-2</v>
      </c>
      <c r="JL47" s="27">
        <f>IF(ISNUMBER(JL46),JL46*(1+PortfolioFrontier[[#This Row],[P68 Return]]),1+PortfolioFrontier[[#This Row],[P68 Return]])</f>
        <v>1.3074346588694343</v>
      </c>
      <c r="JM47" s="27">
        <f>MAX(JM46,PortfolioFrontier[[#This Row],[P68 Growth]])</f>
        <v>1.3074346588694343</v>
      </c>
      <c r="JN47" s="27">
        <f>PortfolioFrontier[[#This Row],[P68 Growth]]/PortfolioFrontier[[#This Row],[P68 HWM]]-1</f>
        <v>0</v>
      </c>
      <c r="JO47" s="28">
        <f>SUMPRODUCT(INDEX(PortfolioRef[[SPY]:[PE]],MATCH(JO$1,PortfolioRef[Reference '#]),0),AssetMonthlyReturns[[#This Row],[SPY]:[PE]])</f>
        <v>1.3843754419630538E-2</v>
      </c>
      <c r="JP47" s="27">
        <f>IF(ISNUMBER(JP46),JP46*(1+PortfolioFrontier[[#This Row],[P69 Return]]),1+PortfolioFrontier[[#This Row],[P69 Return]])</f>
        <v>1.2900549500126437</v>
      </c>
      <c r="JQ47" s="27">
        <f>MAX(JQ46,PortfolioFrontier[[#This Row],[P69 Growth]])</f>
        <v>1.2900549500126437</v>
      </c>
      <c r="JR47" s="27">
        <f>PortfolioFrontier[[#This Row],[P69 Growth]]/PortfolioFrontier[[#This Row],[P69 HWM]]-1</f>
        <v>0</v>
      </c>
      <c r="JS47" s="28">
        <f>SUMPRODUCT(INDEX(PortfolioRef[[SPY]:[PE]],MATCH(JS$1,PortfolioRef[Reference '#]),0),AssetMonthlyReturns[[#This Row],[SPY]:[PE]])</f>
        <v>1.5351300771342091E-2</v>
      </c>
      <c r="JT47" s="27">
        <f>IF(ISNUMBER(JT46),JT46*(1+PortfolioFrontier[[#This Row],[P70 Return]]),1+PortfolioFrontier[[#This Row],[P70 Return]])</f>
        <v>1.2726906435819296</v>
      </c>
      <c r="JU47" s="27">
        <f>MAX(JU46,PortfolioFrontier[[#This Row],[P70 Growth]])</f>
        <v>1.2726906435819296</v>
      </c>
      <c r="JV47" s="27">
        <f>PortfolioFrontier[[#This Row],[P70 Growth]]/PortfolioFrontier[[#This Row],[P70 HWM]]-1</f>
        <v>0</v>
      </c>
      <c r="JW47" s="28">
        <f>SUMPRODUCT(INDEX(PortfolioRef[[SPY]:[PE]],MATCH(JW$1,PortfolioRef[Reference '#]),0),AssetMonthlyReturns[[#This Row],[SPY]:[PE]])</f>
        <v>1.6248911015384986E-2</v>
      </c>
      <c r="JX47" s="27">
        <f>IF(ISNUMBER(JX46),JX46*(1+PortfolioFrontier[[#This Row],[P71 Return]]),1+PortfolioFrontier[[#This Row],[P71 Return]])</f>
        <v>1.3029607066351678</v>
      </c>
      <c r="JY47" s="27">
        <f>MAX(JY46,PortfolioFrontier[[#This Row],[P71 Growth]])</f>
        <v>1.3029607066351678</v>
      </c>
      <c r="JZ47" s="27">
        <f>PortfolioFrontier[[#This Row],[P71 Growth]]/PortfolioFrontier[[#This Row],[P71 HWM]]-1</f>
        <v>0</v>
      </c>
      <c r="KA47" s="28">
        <f>SUMPRODUCT(INDEX(PortfolioRef[[SPY]:[PE]],MATCH(KA$1,PortfolioRef[Reference '#]),0),AssetMonthlyReturns[[#This Row],[SPY]:[PE]])</f>
        <v>1.775645736709654E-2</v>
      </c>
      <c r="KB47" s="27">
        <f>IF(ISNUMBER(KB46),KB46*(1+PortfolioFrontier[[#This Row],[P72 Return]]),1+PortfolioFrontier[[#This Row],[P72 Return]])</f>
        <v>1.2855233705730214</v>
      </c>
      <c r="KC47" s="27">
        <f>MAX(KC46,PortfolioFrontier[[#This Row],[P72 Growth]])</f>
        <v>1.2855233705730214</v>
      </c>
      <c r="KD47" s="27">
        <f>PortfolioFrontier[[#This Row],[P72 Growth]]/PortfolioFrontier[[#This Row],[P72 HWM]]-1</f>
        <v>0</v>
      </c>
      <c r="KE47" s="28">
        <f>SUMPRODUCT(INDEX(PortfolioRef[[SPY]:[PE]],MATCH(KE$1,PortfolioRef[Reference '#]),0),AssetMonthlyReturns[[#This Row],[SPY]:[PE]])</f>
        <v>1.4270547978242835E-2</v>
      </c>
      <c r="KF47" s="27">
        <f>IF(ISNUMBER(KF46),KF46*(1+PortfolioFrontier[[#This Row],[P73 Return]]),1+PortfolioFrontier[[#This Row],[P73 Return]])</f>
        <v>1.3109098780981159</v>
      </c>
      <c r="KG47" s="27">
        <f>MAX(KG46,PortfolioFrontier[[#This Row],[P73 Growth]])</f>
        <v>1.3109098780981159</v>
      </c>
      <c r="KH47" s="27">
        <f>PortfolioFrontier[[#This Row],[P73 Growth]]/PortfolioFrontier[[#This Row],[P73 HWM]]-1</f>
        <v>0</v>
      </c>
      <c r="KI47" s="28">
        <f>SUMPRODUCT(INDEX(PortfolioRef[[SPY]:[PE]],MATCH(KI$1,PortfolioRef[Reference '#]),0),AssetMonthlyReturns[[#This Row],[SPY]:[PE]])</f>
        <v>1.577809432995439E-2</v>
      </c>
      <c r="KJ47" s="27">
        <f>IF(ISNUMBER(KJ46),KJ46*(1+PortfolioFrontier[[#This Row],[P74 Return]]),1+PortfolioFrontier[[#This Row],[P74 Return]])</f>
        <v>1.2935060500525974</v>
      </c>
      <c r="KK47" s="27">
        <f>MAX(KK46,PortfolioFrontier[[#This Row],[P74 Growth]])</f>
        <v>1.2935060500525974</v>
      </c>
      <c r="KL47" s="27">
        <f>PortfolioFrontier[[#This Row],[P74 Growth]]/PortfolioFrontier[[#This Row],[P74 HWM]]-1</f>
        <v>0</v>
      </c>
      <c r="KM47" s="28">
        <f>SUMPRODUCT(INDEX(PortfolioRef[[SPY]:[PE]],MATCH(KM$1,PortfolioRef[Reference '#]),0),AssetMonthlyReturns[[#This Row],[SPY]:[PE]])</f>
        <v>1.7285640681665944E-2</v>
      </c>
      <c r="KN47" s="27">
        <f>IF(ISNUMBER(KN46),KN46*(1+PortfolioFrontier[[#This Row],[P75 Return]]),1+PortfolioFrontier[[#This Row],[P75 Return]])</f>
        <v>1.276117151641746</v>
      </c>
      <c r="KO47" s="27">
        <f>MAX(KO46,PortfolioFrontier[[#This Row],[P75 Growth]])</f>
        <v>1.276117151641746</v>
      </c>
      <c r="KP47" s="27">
        <f>PortfolioFrontier[[#This Row],[P75 Growth]]/PortfolioFrontier[[#This Row],[P75 HWM]]-1</f>
        <v>0</v>
      </c>
      <c r="KQ47" s="28">
        <f>SUMPRODUCT(INDEX(PortfolioRef[[SPY]:[PE]],MATCH(KQ$1,PortfolioRef[Reference '#]),0),AssetMonthlyReturns[[#This Row],[SPY]:[PE]])</f>
        <v>1.2292184941100688E-2</v>
      </c>
      <c r="KR47" s="27">
        <f>IF(ISNUMBER(KR46),KR46*(1+PortfolioFrontier[[#This Row],[P76 Return]]),1+PortfolioFrontier[[#This Row],[P76 Return]])</f>
        <v>1.3186019712799564</v>
      </c>
      <c r="KS47" s="27">
        <f>MAX(KS46,PortfolioFrontier[[#This Row],[P76 Growth]])</f>
        <v>1.3186019712799564</v>
      </c>
      <c r="KT47" s="27">
        <f>PortfolioFrontier[[#This Row],[P76 Growth]]/PortfolioFrontier[[#This Row],[P76 HWM]]-1</f>
        <v>0</v>
      </c>
      <c r="KU47" s="28">
        <f>SUMPRODUCT(INDEX(PortfolioRef[[SPY]:[PE]],MATCH(KU$1,PortfolioRef[Reference '#]),0),AssetMonthlyReturns[[#This Row],[SPY]:[PE]])</f>
        <v>1.3799731292812239E-2</v>
      </c>
      <c r="KV47" s="27">
        <f>IF(ISNUMBER(KV46),KV46*(1+PortfolioFrontier[[#This Row],[P77 Return]]),1+PortfolioFrontier[[#This Row],[P77 Return]])</f>
        <v>1.3012368007231496</v>
      </c>
      <c r="KW47" s="27">
        <f>MAX(KW46,PortfolioFrontier[[#This Row],[P77 Growth]])</f>
        <v>1.3012368007231496</v>
      </c>
      <c r="KX47" s="27">
        <f>PortfolioFrontier[[#This Row],[P77 Growth]]/PortfolioFrontier[[#This Row],[P77 HWM]]-1</f>
        <v>0</v>
      </c>
      <c r="KY47" s="28">
        <f>SUMPRODUCT(INDEX(PortfolioRef[[SPY]:[PE]],MATCH(KY$1,PortfolioRef[Reference '#]),0),AssetMonthlyReturns[[#This Row],[SPY]:[PE]])</f>
        <v>1.5307277644523793E-2</v>
      </c>
      <c r="KZ47" s="27">
        <f>IF(ISNUMBER(KZ46),KZ46*(1+PortfolioFrontier[[#This Row],[P78 Return]]),1+PortfolioFrontier[[#This Row],[P78 Return]])</f>
        <v>1.2838829586481804</v>
      </c>
      <c r="LA47" s="27">
        <f>MAX(LA46,PortfolioFrontier[[#This Row],[P78 Growth]])</f>
        <v>1.2838829586481804</v>
      </c>
      <c r="LB47" s="27">
        <f>PortfolioFrontier[[#This Row],[P78 Growth]]/PortfolioFrontier[[#This Row],[P78 HWM]]-1</f>
        <v>0</v>
      </c>
      <c r="LC47" s="28">
        <f>SUMPRODUCT(INDEX(PortfolioRef[[SPY]:[PE]],MATCH(LC$1,PortfolioRef[Reference '#]),0),AssetMonthlyReturns[[#This Row],[SPY]:[PE]])</f>
        <v>1.6204887888566687E-2</v>
      </c>
      <c r="LD47" s="27">
        <f>IF(ISNUMBER(LD46),LD46*(1+PortfolioFrontier[[#This Row],[P79 Return]]),1+PortfolioFrontier[[#This Row],[P79 Return]])</f>
        <v>1.3142671807183499</v>
      </c>
      <c r="LE47" s="27">
        <f>MAX(LE46,PortfolioFrontier[[#This Row],[P79 Growth]])</f>
        <v>1.3142671807183499</v>
      </c>
      <c r="LF47" s="27">
        <f>PortfolioFrontier[[#This Row],[P79 Growth]]/PortfolioFrontier[[#This Row],[P79 HWM]]-1</f>
        <v>0</v>
      </c>
      <c r="LG47" s="28">
        <f>SUMPRODUCT(INDEX(PortfolioRef[[SPY]:[PE]],MATCH(LG$1,PortfolioRef[Reference '#]),0),AssetMonthlyReturns[[#This Row],[SPY]:[PE]])</f>
        <v>1.7712434240278241E-2</v>
      </c>
      <c r="LH47" s="27">
        <f>IF(ISNUMBER(LH46),LH46*(1+PortfolioFrontier[[#This Row],[P80 Return]]),1+PortfolioFrontier[[#This Row],[P80 Return]])</f>
        <v>1.2968407842434426</v>
      </c>
      <c r="LI47" s="27">
        <f>MAX(LI46,PortfolioFrontier[[#This Row],[P80 Growth]])</f>
        <v>1.2968407842434426</v>
      </c>
      <c r="LJ47" s="27">
        <f>PortfolioFrontier[[#This Row],[P80 Growth]]/PortfolioFrontier[[#This Row],[P80 HWM]]-1</f>
        <v>0</v>
      </c>
      <c r="LK47" s="28">
        <f>SUMPRODUCT(INDEX(PortfolioRef[[SPY]:[PE]],MATCH(LK$1,PortfolioRef[Reference '#]),0),AssetMonthlyReturns[[#This Row],[SPY]:[PE]])</f>
        <v>1.9219980591989795E-2</v>
      </c>
      <c r="LL47" s="27">
        <f>IF(ISNUMBER(LL46),LL46*(1+PortfolioFrontier[[#This Row],[P81 Return]]),1+PortfolioFrontier[[#This Row],[P81 Return]])</f>
        <v>1.2794288423625666</v>
      </c>
      <c r="LM47" s="27">
        <f>MAX(LM46,PortfolioFrontier[[#This Row],[P81 Growth]])</f>
        <v>1.2794288423625666</v>
      </c>
      <c r="LN47" s="27">
        <f>PortfolioFrontier[[#This Row],[P81 Growth]]/PortfolioFrontier[[#This Row],[P81 HWM]]-1</f>
        <v>0</v>
      </c>
      <c r="LO47" s="28">
        <f>SUMPRODUCT(INDEX(PortfolioRef[[SPY]:[PE]],MATCH(LO$1,PortfolioRef[Reference '#]),0),AssetMonthlyReturns[[#This Row],[SPY]:[PE]])</f>
        <v>1.4226524851424536E-2</v>
      </c>
      <c r="LP47" s="27">
        <f>IF(ISNUMBER(LP46),LP46*(1+PortfolioFrontier[[#This Row],[P82 Return]]),1+PortfolioFrontier[[#This Row],[P82 Return]])</f>
        <v>1.3221101709094722</v>
      </c>
      <c r="LQ47" s="27">
        <f>MAX(LQ46,PortfolioFrontier[[#This Row],[P82 Growth]])</f>
        <v>1.3221101709094722</v>
      </c>
      <c r="LR47" s="27">
        <f>PortfolioFrontier[[#This Row],[P82 Growth]]/PortfolioFrontier[[#This Row],[P82 HWM]]-1</f>
        <v>0</v>
      </c>
      <c r="LS47" s="28">
        <f>SUMPRODUCT(INDEX(PortfolioRef[[SPY]:[PE]],MATCH(LS$1,PortfolioRef[Reference '#]),0),AssetMonthlyReturns[[#This Row],[SPY]:[PE]])</f>
        <v>1.573407120313609E-2</v>
      </c>
      <c r="LT47" s="27">
        <f>IF(ISNUMBER(LT46),LT46*(1+PortfolioFrontier[[#This Row],[P83 Return]]),1+PortfolioFrontier[[#This Row],[P83 Return]])</f>
        <v>1.3047209423601034</v>
      </c>
      <c r="LU47" s="27">
        <f>MAX(LU46,PortfolioFrontier[[#This Row],[P83 Growth]])</f>
        <v>1.3047209423601034</v>
      </c>
      <c r="LV47" s="27">
        <f>PortfolioFrontier[[#This Row],[P83 Growth]]/PortfolioFrontier[[#This Row],[P83 HWM]]-1</f>
        <v>0</v>
      </c>
      <c r="LW47" s="28">
        <f>SUMPRODUCT(INDEX(PortfolioRef[[SPY]:[PE]],MATCH(LW$1,PortfolioRef[Reference '#]),0),AssetMonthlyReturns[[#This Row],[SPY]:[PE]])</f>
        <v>1.7241617554847641E-2</v>
      </c>
      <c r="LX47" s="27">
        <f>IF(ISNUMBER(LX46),LX46*(1+PortfolioFrontier[[#This Row],[P84 Return]]),1+PortfolioFrontier[[#This Row],[P84 Return]])</f>
        <v>1.2873425620035546</v>
      </c>
      <c r="LY47" s="27">
        <f>MAX(LY46,PortfolioFrontier[[#This Row],[P84 Growth]])</f>
        <v>1.2873425620035546</v>
      </c>
      <c r="LZ47" s="27">
        <f>PortfolioFrontier[[#This Row],[P84 Growth]]/PortfolioFrontier[[#This Row],[P84 HWM]]-1</f>
        <v>0</v>
      </c>
      <c r="MA47" s="28">
        <f>SUMPRODUCT(INDEX(PortfolioRef[[SPY]:[PE]],MATCH(MA$1,PortfolioRef[Reference '#]),0),AssetMonthlyReturns[[#This Row],[SPY]:[PE]])</f>
        <v>1.2248161814282389E-2</v>
      </c>
      <c r="MB47" s="27">
        <f>IF(ISNUMBER(MB46),MB46*(1+PortfolioFrontier[[#This Row],[P85 Return]]),1+PortfolioFrontier[[#This Row],[P85 Return]])</f>
        <v>1.3296914764002576</v>
      </c>
      <c r="MC47" s="27">
        <f>MAX(MC46,PortfolioFrontier[[#This Row],[P85 Growth]])</f>
        <v>1.3296914764002576</v>
      </c>
      <c r="MD47" s="27">
        <f>PortfolioFrontier[[#This Row],[P85 Growth]]/PortfolioFrontier[[#This Row],[P85 HWM]]-1</f>
        <v>0</v>
      </c>
      <c r="ME47" s="28">
        <f>SUMPRODUCT(INDEX(PortfolioRef[[SPY]:[PE]],MATCH(ME$1,PortfolioRef[Reference '#]),0),AssetMonthlyReturns[[#This Row],[SPY]:[PE]])</f>
        <v>1.3755708165993939E-2</v>
      </c>
      <c r="MF47" s="27">
        <f>IF(ISNUMBER(MF46),MF46*(1+PortfolioFrontier[[#This Row],[P86 Return]]),1+PortfolioFrontier[[#This Row],[P86 Return]])</f>
        <v>1.3123445894913985</v>
      </c>
      <c r="MG47" s="27">
        <f>MAX(MG46,PortfolioFrontier[[#This Row],[P86 Growth]])</f>
        <v>1.3123445894913985</v>
      </c>
      <c r="MH47" s="27">
        <f>PortfolioFrontier[[#This Row],[P86 Growth]]/PortfolioFrontier[[#This Row],[P86 HWM]]-1</f>
        <v>0</v>
      </c>
      <c r="MI47" s="28">
        <f>SUMPRODUCT(INDEX(PortfolioRef[[SPY]:[PE]],MATCH(MI$1,PortfolioRef[Reference '#]),0),AssetMonthlyReturns[[#This Row],[SPY]:[PE]])</f>
        <v>1.5263254517705493E-2</v>
      </c>
      <c r="MJ47" s="27">
        <f>IF(ISNUMBER(MJ46),MJ46*(1+PortfolioFrontier[[#This Row],[P87 Return]]),1+PortfolioFrontier[[#This Row],[P87 Return]])</f>
        <v>1.2950049120594855</v>
      </c>
      <c r="MK47" s="27">
        <f>MAX(MK46,PortfolioFrontier[[#This Row],[P87 Growth]])</f>
        <v>1.2950049120594855</v>
      </c>
      <c r="ML47" s="27">
        <f>PortfolioFrontier[[#This Row],[P87 Growth]]/PortfolioFrontier[[#This Row],[P87 HWM]]-1</f>
        <v>0</v>
      </c>
      <c r="MM47" s="28">
        <f>SUMPRODUCT(INDEX(PortfolioRef[[SPY]:[PE]],MATCH(MM$1,PortfolioRef[Reference '#]),0),AssetMonthlyReturns[[#This Row],[SPY]:[PE]])</f>
        <v>1.6160864761748391E-2</v>
      </c>
      <c r="MN47" s="27">
        <f>IF(ISNUMBER(MN46),MN46*(1+PortfolioFrontier[[#This Row],[P88 Return]]),1+PortfolioFrontier[[#This Row],[P88 Return]])</f>
        <v>1.3254995556018365</v>
      </c>
      <c r="MO47" s="27">
        <f>MAX(MO46,PortfolioFrontier[[#This Row],[P88 Growth]])</f>
        <v>1.3254995556018365</v>
      </c>
      <c r="MP47" s="27">
        <f>PortfolioFrontier[[#This Row],[P88 Growth]]/PortfolioFrontier[[#This Row],[P88 HWM]]-1</f>
        <v>0</v>
      </c>
      <c r="MQ47" s="28">
        <f>SUMPRODUCT(INDEX(PortfolioRef[[SPY]:[PE]],MATCH(MQ$1,PortfolioRef[Reference '#]),0),AssetMonthlyReturns[[#This Row],[SPY]:[PE]])</f>
        <v>1.7668411113459941E-2</v>
      </c>
      <c r="MR47" s="27">
        <f>IF(ISNUMBER(MR46),MR46*(1+PortfolioFrontier[[#This Row],[P89 Return]]),1+PortfolioFrontier[[#This Row],[P89 Return]])</f>
        <v>1.3080878180507274</v>
      </c>
      <c r="MS47" s="27">
        <f>MAX(MS46,PortfolioFrontier[[#This Row],[P89 Growth]])</f>
        <v>1.3080878180507274</v>
      </c>
      <c r="MT47" s="27">
        <f>PortfolioFrontier[[#This Row],[P89 Growth]]/PortfolioFrontier[[#This Row],[P89 HWM]]-1</f>
        <v>0</v>
      </c>
      <c r="MU47" s="28">
        <f>SUMPRODUCT(INDEX(PortfolioRef[[SPY]:[PE]],MATCH(MU$1,PortfolioRef[Reference '#]),0),AssetMonthlyReturns[[#This Row],[SPY]:[PE]])</f>
        <v>1.9175957465171495E-2</v>
      </c>
      <c r="MV47" s="27">
        <f>IF(ISNUMBER(MV46),MV46*(1+PortfolioFrontier[[#This Row],[P90 Return]]),1+PortfolioFrontier[[#This Row],[P90 Return]])</f>
        <v>1.2906864464709216</v>
      </c>
      <c r="MW47" s="27">
        <f>MAX(MW46,PortfolioFrontier[[#This Row],[P90 Growth]])</f>
        <v>1.2906864464709216</v>
      </c>
      <c r="MX47" s="27">
        <f>PortfolioFrontier[[#This Row],[P90 Growth]]/PortfolioFrontier[[#This Row],[P90 HWM]]-1</f>
        <v>0</v>
      </c>
      <c r="MY47" s="28">
        <f>SUMPRODUCT(INDEX(PortfolioRef[[SPY]:[PE]],MATCH(MY$1,PortfolioRef[Reference '#]),0),AssetMonthlyReturns[[#This Row],[SPY]:[PE]])</f>
        <v>1.418250172460624E-2</v>
      </c>
      <c r="MZ47" s="27">
        <f>IF(ISNUMBER(MZ46),MZ46*(1+PortfolioFrontier[[#This Row],[P91 Return]]),1+PortfolioFrontier[[#This Row],[P91 Return]])</f>
        <v>1.3332326822038878</v>
      </c>
      <c r="NA47" s="27">
        <f>MAX(NA46,PortfolioFrontier[[#This Row],[P91 Growth]])</f>
        <v>1.3332326822038878</v>
      </c>
      <c r="NB47" s="27">
        <f>PortfolioFrontier[[#This Row],[P91 Growth]]/PortfolioFrontier[[#This Row],[P91 HWM]]-1</f>
        <v>0</v>
      </c>
      <c r="NC47" s="28">
        <f>SUMPRODUCT(INDEX(PortfolioRef[[SPY]:[PE]],MATCH(NC$1,PortfolioRef[Reference '#]),0),AssetMonthlyReturns[[#This Row],[SPY]:[PE]])</f>
        <v>1.569004807631779E-2</v>
      </c>
      <c r="ND47" s="27">
        <f>IF(ISNUMBER(ND46),ND46*(1+PortfolioFrontier[[#This Row],[P92 Return]]),1+PortfolioFrontier[[#This Row],[P92 Return]])</f>
        <v>1.315861803022804</v>
      </c>
      <c r="NE47" s="27">
        <f>MAX(NE46,PortfolioFrontier[[#This Row],[P92 Growth]])</f>
        <v>1.315861803022804</v>
      </c>
      <c r="NF47" s="27">
        <f>PortfolioFrontier[[#This Row],[P92 Growth]]/PortfolioFrontier[[#This Row],[P92 HWM]]-1</f>
        <v>0</v>
      </c>
      <c r="NG47" s="28">
        <f>SUMPRODUCT(INDEX(PortfolioRef[[SPY]:[PE]],MATCH(NG$1,PortfolioRef[Reference '#]),0),AssetMonthlyReturns[[#This Row],[SPY]:[PE]])</f>
        <v>1.7197594428029345E-2</v>
      </c>
      <c r="NH47" s="27">
        <f>IF(ISNUMBER(NH46),NH46*(1+PortfolioFrontier[[#This Row],[P93 Return]]),1+PortfolioFrontier[[#This Row],[P93 Return]])</f>
        <v>1.2984976455272537</v>
      </c>
      <c r="NI47" s="27">
        <f>MAX(NI46,PortfolioFrontier[[#This Row],[P93 Growth]])</f>
        <v>1.2984976455272537</v>
      </c>
      <c r="NJ47" s="27">
        <f>PortfolioFrontier[[#This Row],[P93 Growth]]/PortfolioFrontier[[#This Row],[P93 HWM]]-1</f>
        <v>0</v>
      </c>
      <c r="NK47" s="28">
        <f>SUMPRODUCT(INDEX(PortfolioRef[[SPY]:[PE]],MATCH(NK$1,PortfolioRef[Reference '#]),0),AssetMonthlyReturns[[#This Row],[SPY]:[PE]])</f>
        <v>1.2204138687464089E-2</v>
      </c>
      <c r="NL47" s="27">
        <f>IF(ISNUMBER(NL46),NL46*(1+PortfolioFrontier[[#This Row],[P94 Return]]),1+PortfolioFrontier[[#This Row],[P94 Return]])</f>
        <v>1.3406995140887297</v>
      </c>
      <c r="NM47" s="27">
        <f>MAX(NM46,PortfolioFrontier[[#This Row],[P94 Growth]])</f>
        <v>1.3406995140887297</v>
      </c>
      <c r="NN47" s="27">
        <f>PortfolioFrontier[[#This Row],[P94 Growth]]/PortfolioFrontier[[#This Row],[P94 HWM]]-1</f>
        <v>0</v>
      </c>
      <c r="NO47" s="28">
        <f>SUMPRODUCT(INDEX(PortfolioRef[[SPY]:[PE]],MATCH(NO$1,PortfolioRef[Reference '#]),0),AssetMonthlyReturns[[#This Row],[SPY]:[PE]])</f>
        <v>1.3711685039175643E-2</v>
      </c>
      <c r="NP47" s="27">
        <f>IF(ISNUMBER(NP46),NP46*(1+PortfolioFrontier[[#This Row],[P95 Return]]),1+PortfolioFrontier[[#This Row],[P95 Return]])</f>
        <v>1.3233746898903607</v>
      </c>
      <c r="NQ47" s="27">
        <f>MAX(NQ46,PortfolioFrontier[[#This Row],[P95 Growth]])</f>
        <v>1.3233746898903607</v>
      </c>
      <c r="NR47" s="27">
        <f>PortfolioFrontier[[#This Row],[P95 Growth]]/PortfolioFrontier[[#This Row],[P95 HWM]]-1</f>
        <v>0</v>
      </c>
      <c r="NS47" s="28">
        <f>SUMPRODUCT(INDEX(PortfolioRef[[SPY]:[PE]],MATCH(NS$1,PortfolioRef[Reference '#]),0),AssetMonthlyReturns[[#This Row],[SPY]:[PE]])</f>
        <v>1.5219231390887196E-2</v>
      </c>
      <c r="NT47" s="27">
        <f>IF(ISNUMBER(NT46),NT46*(1+PortfolioFrontier[[#This Row],[P96 Return]]),1+PortfolioFrontier[[#This Row],[P96 Return]])</f>
        <v>1.3060529121154656</v>
      </c>
      <c r="NU47" s="27">
        <f>MAX(NU46,PortfolioFrontier[[#This Row],[P96 Growth]])</f>
        <v>1.3060529121154656</v>
      </c>
      <c r="NV47" s="27">
        <f>PortfolioFrontier[[#This Row],[P96 Growth]]/PortfolioFrontier[[#This Row],[P96 HWM]]-1</f>
        <v>0</v>
      </c>
      <c r="NW47" s="28">
        <f>SUMPRODUCT(INDEX(PortfolioRef[[SPY]:[PE]],MATCH(NW$1,PortfolioRef[Reference '#]),0),AssetMonthlyReturns[[#This Row],[SPY]:[PE]])</f>
        <v>1.1116822075878635E-2</v>
      </c>
      <c r="NX47" s="27">
        <f>IF(ISNUMBER(NX46),NX46*(1+PortfolioFrontier[[#This Row],[P97 Return]]),1+PortfolioFrontier[[#This Row],[P97 Return]])</f>
        <v>1.2585536216725655</v>
      </c>
      <c r="NY47" s="27">
        <f>MAX(NY46,PortfolioFrontier[[#This Row],[P97 Growth]])</f>
        <v>1.2585536216725655</v>
      </c>
      <c r="NZ47" s="27">
        <f>PortfolioFrontier[[#This Row],[P97 Growth]]/PortfolioFrontier[[#This Row],[P97 HWM]]-1</f>
        <v>0</v>
      </c>
      <c r="OA47" s="28">
        <f>SUMPRODUCT(INDEX(PortfolioRef[[SPY]:[PE]],MATCH(OA$1,PortfolioRef[Reference '#]),0),AssetMonthlyReturns[[#This Row],[SPY]:[PE]])</f>
        <v>1.3051161986202486E-2</v>
      </c>
      <c r="OB47" s="27">
        <f>IF(ISNUMBER(OB46),OB46*(1+PortfolioFrontier[[#This Row],[P98 Return]]),1+PortfolioFrontier[[#This Row],[P98 Return]])</f>
        <v>1.2618723738309978</v>
      </c>
      <c r="OC47" s="27">
        <f>MAX(OC46,PortfolioFrontier[[#This Row],[P98 Growth]])</f>
        <v>1.2618723738309978</v>
      </c>
      <c r="OD47" s="27">
        <f>PortfolioFrontier[[#This Row],[P98 Growth]]/PortfolioFrontier[[#This Row],[P98 HWM]]-1</f>
        <v>0</v>
      </c>
      <c r="OE47" s="28">
        <f>SUMPRODUCT(INDEX(PortfolioRef[[SPY]:[PE]],MATCH(OE$1,PortfolioRef[Reference '#]),0),AssetMonthlyReturns[[#This Row],[SPY]:[PE]])</f>
        <v>1.1072798949060336E-2</v>
      </c>
      <c r="OF47" s="27">
        <f>IF(ISNUMBER(OF46),OF46*(1+PortfolioFrontier[[#This Row],[P99 Return]]),1+PortfolioFrontier[[#This Row],[P99 Return]])</f>
        <v>1.2697306271828652</v>
      </c>
      <c r="OG47" s="27">
        <f>MAX(OG46,PortfolioFrontier[[#This Row],[P99 Growth]])</f>
        <v>1.2697306271828652</v>
      </c>
      <c r="OH47" s="27">
        <f>PortfolioFrontier[[#This Row],[P99 Growth]]/PortfolioFrontier[[#This Row],[P99 HWM]]-1</f>
        <v>0</v>
      </c>
      <c r="OI47" s="28">
        <f>SUMPRODUCT(INDEX(PortfolioRef[[SPY]:[PE]],MATCH(OI$1,PortfolioRef[Reference '#]),0),AssetMonthlyReturns[[#This Row],[SPY]:[PE]])</f>
        <v>1.258034530077189E-2</v>
      </c>
      <c r="OJ47" s="27">
        <f>IF(ISNUMBER(OJ46),OJ46*(1+PortfolioFrontier[[#This Row],[P100 Return]]),1+PortfolioFrontier[[#This Row],[P100 Return]])</f>
        <v>1.252631444755838</v>
      </c>
      <c r="OK47" s="27">
        <f>MAX(OK46,PortfolioFrontier[[#This Row],[P100 Growth]])</f>
        <v>1.252631444755838</v>
      </c>
      <c r="OL47" s="27">
        <f>PortfolioFrontier[[#This Row],[P100 Growth]]/PortfolioFrontier[[#This Row],[P100 HWM]]-1</f>
        <v>0</v>
      </c>
      <c r="OM47" s="28">
        <f>SUMPRODUCT(INDEX(PortfolioRef[[SPY]:[PE]],MATCH(OM$1,PortfolioRef[Reference '#]),0),AssetMonthlyReturns[[#This Row],[SPY]:[PE]])</f>
        <v>1.4985501896526338E-2</v>
      </c>
      <c r="ON47" s="27">
        <f>IF(ISNUMBER(ON46),ON46*(1+PortfolioFrontier[[#This Row],[P101 Return]]),1+PortfolioFrontier[[#This Row],[P101 Return]])</f>
        <v>1.265077138032987</v>
      </c>
      <c r="OO47" s="27">
        <f>MAX(OO46,PortfolioFrontier[[#This Row],[P101 Growth]])</f>
        <v>1.265077138032987</v>
      </c>
      <c r="OP47" s="27">
        <f>PortfolioFrontier[[#This Row],[P101 Growth]]/PortfolioFrontier[[#This Row],[P101 HWM]]-1</f>
        <v>0</v>
      </c>
      <c r="OQ47" s="28">
        <f>SUMPRODUCT(INDEX(PortfolioRef[[SPY]:[PE]],MATCH(OQ$1,PortfolioRef[Reference '#]),0),AssetMonthlyReturns[[#This Row],[SPY]:[PE]])</f>
        <v>1.3007138859384187E-2</v>
      </c>
      <c r="OR47" s="27">
        <f>IF(ISNUMBER(OR46),OR46*(1+PortfolioFrontier[[#This Row],[P102 Return]]),1+PortfolioFrontier[[#This Row],[P102 Return]])</f>
        <v>1.2730815797649797</v>
      </c>
      <c r="OS47" s="27">
        <f>MAX(OS46,PortfolioFrontier[[#This Row],[P102 Growth]])</f>
        <v>1.2730815797649797</v>
      </c>
      <c r="OT47" s="27">
        <f>PortfolioFrontier[[#This Row],[P102 Growth]]/PortfolioFrontier[[#This Row],[P102 HWM]]-1</f>
        <v>0</v>
      </c>
      <c r="OU47" s="28">
        <f>SUMPRODUCT(INDEX(PortfolioRef[[SPY]:[PE]],MATCH(OU$1,PortfolioRef[Reference '#]),0),AssetMonthlyReturns[[#This Row],[SPY]:[PE]])</f>
        <v>1.4514685211095741E-2</v>
      </c>
      <c r="OV47" s="27">
        <f>IF(ISNUMBER(OV46),OV46*(1+PortfolioFrontier[[#This Row],[P103 Return]]),1+PortfolioFrontier[[#This Row],[P103 Return]])</f>
        <v>1.2559588977591984</v>
      </c>
      <c r="OW47" s="27">
        <f>MAX(OW46,PortfolioFrontier[[#This Row],[P103 Growth]])</f>
        <v>1.2559588977591984</v>
      </c>
      <c r="OX47" s="27">
        <f>PortfolioFrontier[[#This Row],[P103 Growth]]/PortfolioFrontier[[#This Row],[P103 HWM]]-1</f>
        <v>0</v>
      </c>
      <c r="OY47" s="28">
        <f>SUMPRODUCT(INDEX(PortfolioRef[[SPY]:[PE]],MATCH(OY$1,PortfolioRef[Reference '#]),0),AssetMonthlyReturns[[#This Row],[SPY]:[PE]])</f>
        <v>1.1028775822242036E-2</v>
      </c>
      <c r="OZ47" s="27">
        <f>IF(ISNUMBER(OZ46),OZ46*(1+PortfolioFrontier[[#This Row],[P104 Return]]),1+PortfolioFrontier[[#This Row],[P104 Return]])</f>
        <v>1.2808403867978577</v>
      </c>
      <c r="PA47" s="27">
        <f>MAX(PA46,PortfolioFrontier[[#This Row],[P104 Growth]])</f>
        <v>1.2808403867978577</v>
      </c>
      <c r="PB47" s="27">
        <f>PortfolioFrontier[[#This Row],[P104 Growth]]/PortfolioFrontier[[#This Row],[P104 HWM]]-1</f>
        <v>0</v>
      </c>
      <c r="PC47" s="28">
        <f>SUMPRODUCT(INDEX(PortfolioRef[[SPY]:[PE]],MATCH(PC$1,PortfolioRef[Reference '#]),0),AssetMonthlyReturns[[#This Row],[SPY]:[PE]])</f>
        <v>1.253632217395359E-2</v>
      </c>
      <c r="PD47" s="27">
        <f>IF(ISNUMBER(PD46),PD46*(1+PortfolioFrontier[[#This Row],[P105 Return]]),1+PortfolioFrontier[[#This Row],[P105 Return]])</f>
        <v>1.2637499138385258</v>
      </c>
      <c r="PE47" s="27">
        <f>MAX(PE46,PortfolioFrontier[[#This Row],[P105 Growth]])</f>
        <v>1.2637499138385258</v>
      </c>
      <c r="PF47" s="27">
        <f>PortfolioFrontier[[#This Row],[P105 Growth]]/PortfolioFrontier[[#This Row],[P105 HWM]]-1</f>
        <v>0</v>
      </c>
      <c r="PG47" s="28">
        <f>SUMPRODUCT(INDEX(PortfolioRef[[SPY]:[PE]],MATCH(PG$1,PortfolioRef[Reference '#]),0),AssetMonthlyReturns[[#This Row],[SPY]:[PE]])</f>
        <v>1.4043868525665143E-2</v>
      </c>
      <c r="PH47" s="27">
        <f>IF(ISNUMBER(PH46),PH46*(1+PortfolioFrontier[[#This Row],[P106 Return]]),1+PortfolioFrontier[[#This Row],[P106 Return]])</f>
        <v>1.2466761560120649</v>
      </c>
      <c r="PI47" s="27">
        <f>MAX(PI46,PortfolioFrontier[[#This Row],[P106 Growth]])</f>
        <v>1.2466761560120649</v>
      </c>
      <c r="PJ47" s="27">
        <f>PortfolioFrontier[[#This Row],[P106 Growth]]/PortfolioFrontier[[#This Row],[P106 HWM]]-1</f>
        <v>0</v>
      </c>
      <c r="PK47" s="28">
        <f>SUMPRODUCT(INDEX(PortfolioRef[[SPY]:[PE]],MATCH(PK$1,PortfolioRef[Reference '#]),0),AssetMonthlyReturns[[#This Row],[SPY]:[PE]])</f>
        <v>1.4941478769708038E-2</v>
      </c>
      <c r="PL47" s="27">
        <f>IF(ISNUMBER(PL46),PL46*(1+PortfolioFrontier[[#This Row],[P107 Return]]),1+PortfolioFrontier[[#This Row],[P107 Return]])</f>
        <v>1.2763176381404338</v>
      </c>
      <c r="PM47" s="27">
        <f>MAX(PM46,PortfolioFrontier[[#This Row],[P107 Growth]])</f>
        <v>1.2763176381404338</v>
      </c>
      <c r="PN47" s="27">
        <f>PortfolioFrontier[[#This Row],[P107 Growth]]/PortfolioFrontier[[#This Row],[P107 HWM]]-1</f>
        <v>0</v>
      </c>
      <c r="PO47" s="28">
        <f>SUMPRODUCT(INDEX(PortfolioRef[[SPY]:[PE]],MATCH(PO$1,PortfolioRef[Reference '#]),0),AssetMonthlyReturns[[#This Row],[SPY]:[PE]])</f>
        <v>1.6449025121419592E-2</v>
      </c>
      <c r="PP47" s="27">
        <f>IF(ISNUMBER(PP46),PP46*(1+PortfolioFrontier[[#This Row],[P108 Return]]),1+PortfolioFrontier[[#This Row],[P108 Return]])</f>
        <v>1.2591729863523951</v>
      </c>
      <c r="PQ47" s="27">
        <f>MAX(PQ46,PortfolioFrontier[[#This Row],[P108 Growth]])</f>
        <v>1.2591729863523951</v>
      </c>
      <c r="PR47" s="27">
        <f>PortfolioFrontier[[#This Row],[P108 Growth]]/PortfolioFrontier[[#This Row],[P108 HWM]]-1</f>
        <v>0</v>
      </c>
      <c r="PS47" s="28">
        <f>SUMPRODUCT(INDEX(PortfolioRef[[SPY]:[PE]],MATCH(PS$1,PortfolioRef[Reference '#]),0),AssetMonthlyReturns[[#This Row],[SPY]:[PE]])</f>
        <v>1.2963115732565887E-2</v>
      </c>
      <c r="PT47" s="27">
        <f>IF(ISNUMBER(PT46),PT46*(1+PortfolioFrontier[[#This Row],[P109 Return]]),1+PortfolioFrontier[[#This Row],[P109 Return]])</f>
        <v>1.2842235775987643</v>
      </c>
      <c r="PU47" s="27">
        <f>MAX(PU46,PortfolioFrontier[[#This Row],[P109 Growth]])</f>
        <v>1.2842235775987643</v>
      </c>
      <c r="PV47" s="27">
        <f>PortfolioFrontier[[#This Row],[P109 Growth]]/PortfolioFrontier[[#This Row],[P109 HWM]]-1</f>
        <v>0</v>
      </c>
      <c r="PW47" s="28">
        <f>SUMPRODUCT(INDEX(PortfolioRef[[SPY]:[PE]],MATCH(PW$1,PortfolioRef[Reference '#]),0),AssetMonthlyReturns[[#This Row],[SPY]:[PE]])</f>
        <v>1.4470662084277441E-2</v>
      </c>
      <c r="PX47" s="27">
        <f>IF(ISNUMBER(PX46),PX46*(1+PortfolioFrontier[[#This Row],[P110 Return]]),1+PortfolioFrontier[[#This Row],[P110 Return]])</f>
        <v>1.2671096598252778</v>
      </c>
      <c r="PY47" s="27">
        <f>MAX(PY46,PortfolioFrontier[[#This Row],[P110 Growth]])</f>
        <v>1.2671096598252778</v>
      </c>
      <c r="PZ47" s="27">
        <f>PortfolioFrontier[[#This Row],[P110 Growth]]/PortfolioFrontier[[#This Row],[P110 HWM]]-1</f>
        <v>0</v>
      </c>
      <c r="QA47" s="28">
        <f>SUMPRODUCT(INDEX(PortfolioRef[[SPY]:[PE]],MATCH(QA$1,PortfolioRef[Reference '#]),0),AssetMonthlyReturns[[#This Row],[SPY]:[PE]])</f>
        <v>1.5978208435988996E-2</v>
      </c>
      <c r="QB47" s="27">
        <f>IF(ISNUMBER(QB46),QB46*(1+PortfolioFrontier[[#This Row],[P111 Return]]),1+PortfolioFrontier[[#This Row],[P111 Return]])</f>
        <v>1.2500119936014049</v>
      </c>
      <c r="QC47" s="27">
        <f>MAX(QC46,PortfolioFrontier[[#This Row],[P111 Growth]])</f>
        <v>1.2500119936014049</v>
      </c>
      <c r="QD47" s="27">
        <f>PortfolioFrontier[[#This Row],[P111 Growth]]/PortfolioFrontier[[#This Row],[P111 HWM]]-1</f>
        <v>0</v>
      </c>
      <c r="QE47" s="28">
        <f>SUMPRODUCT(INDEX(PortfolioRef[[SPY]:[PE]],MATCH(QE$1,PortfolioRef[Reference '#]),0),AssetMonthlyReturns[[#This Row],[SPY]:[PE]])</f>
        <v>1.098475269542374E-2</v>
      </c>
      <c r="QF47" s="27">
        <f>IF(ISNUMBER(QF46),QF46*(1+PortfolioFrontier[[#This Row],[P112 Return]]),1+PortfolioFrontier[[#This Row],[P112 Return]])</f>
        <v>1.2918793600950031</v>
      </c>
      <c r="QG47" s="27">
        <f>MAX(QG46,PortfolioFrontier[[#This Row],[P112 Growth]])</f>
        <v>1.2918793600950031</v>
      </c>
      <c r="QH47" s="27">
        <f>PortfolioFrontier[[#This Row],[P112 Growth]]/PortfolioFrontier[[#This Row],[P112 HWM]]-1</f>
        <v>0</v>
      </c>
      <c r="QI47" s="28">
        <f>SUMPRODUCT(INDEX(PortfolioRef[[SPY]:[PE]],MATCH(QI$1,PortfolioRef[Reference '#]),0),AssetMonthlyReturns[[#This Row],[SPY]:[PE]])</f>
        <v>1.2492299047135291E-2</v>
      </c>
      <c r="QJ47" s="27">
        <f>IF(ISNUMBER(QJ46),QJ46*(1+PortfolioFrontier[[#This Row],[P113 Return]]),1+PortfolioFrontier[[#This Row],[P113 Return]])</f>
        <v>1.2748012230417478</v>
      </c>
      <c r="QK47" s="27">
        <f>MAX(QK46,PortfolioFrontier[[#This Row],[P113 Growth]])</f>
        <v>1.2748012230417478</v>
      </c>
      <c r="QL47" s="27">
        <f>PortfolioFrontier[[#This Row],[P113 Growth]]/PortfolioFrontier[[#This Row],[P113 HWM]]-1</f>
        <v>0</v>
      </c>
      <c r="QM47" s="28">
        <f>SUMPRODUCT(INDEX(PortfolioRef[[SPY]:[PE]],MATCH(QM$1,PortfolioRef[Reference '#]),0),AssetMonthlyReturns[[#This Row],[SPY]:[PE]])</f>
        <v>1.3999845398846845E-2</v>
      </c>
      <c r="QN47" s="27">
        <f>IF(ISNUMBER(QN46),QN46*(1+PortfolioFrontier[[#This Row],[P114 Return]]),1+PortfolioFrontier[[#This Row],[P114 Return]])</f>
        <v>1.2577358193653478</v>
      </c>
      <c r="QO47" s="27">
        <f>MAX(QO46,PortfolioFrontier[[#This Row],[P114 Growth]])</f>
        <v>1.2577358193653478</v>
      </c>
      <c r="QP47" s="27">
        <f>PortfolioFrontier[[#This Row],[P114 Growth]]/PortfolioFrontier[[#This Row],[P114 HWM]]-1</f>
        <v>0</v>
      </c>
      <c r="QQ47" s="28">
        <f>SUMPRODUCT(INDEX(PortfolioRef[[SPY]:[PE]],MATCH(QQ$1,PortfolioRef[Reference '#]),0),AssetMonthlyReturns[[#This Row],[SPY]:[PE]])</f>
        <v>1.4897455642889738E-2</v>
      </c>
      <c r="QR47" s="27">
        <f>IF(ISNUMBER(QR46),QR46*(1+PortfolioFrontier[[#This Row],[P115 Return]]),1+PortfolioFrontier[[#This Row],[P115 Return]])</f>
        <v>1.2874909752051249</v>
      </c>
      <c r="QS47" s="27">
        <f>MAX(QS46,PortfolioFrontier[[#This Row],[P115 Growth]])</f>
        <v>1.2874909752051249</v>
      </c>
      <c r="QT47" s="27">
        <f>PortfolioFrontier[[#This Row],[P115 Growth]]/PortfolioFrontier[[#This Row],[P115 HWM]]-1</f>
        <v>0</v>
      </c>
      <c r="QU47" s="28">
        <f>SUMPRODUCT(INDEX(PortfolioRef[[SPY]:[PE]],MATCH(QU$1,PortfolioRef[Reference '#]),0),AssetMonthlyReturns[[#This Row],[SPY]:[PE]])</f>
        <v>1.6405001994601293E-2</v>
      </c>
      <c r="QV47" s="27">
        <f>IF(ISNUMBER(QV46),QV46*(1+PortfolioFrontier[[#This Row],[P116 Return]]),1+PortfolioFrontier[[#This Row],[P116 Return]])</f>
        <v>1.2703551411306748</v>
      </c>
      <c r="QW47" s="27">
        <f>MAX(QW46,PortfolioFrontier[[#This Row],[P116 Growth]])</f>
        <v>1.2703551411306748</v>
      </c>
      <c r="QX47" s="27">
        <f>PortfolioFrontier[[#This Row],[P116 Growth]]/PortfolioFrontier[[#This Row],[P116 HWM]]-1</f>
        <v>0</v>
      </c>
      <c r="QY47" s="28">
        <f>SUMPRODUCT(INDEX(PortfolioRef[[SPY]:[PE]],MATCH(QY$1,PortfolioRef[Reference '#]),0),AssetMonthlyReturns[[#This Row],[SPY]:[PE]])</f>
        <v>1.7912548346312847E-2</v>
      </c>
      <c r="QZ47" s="27">
        <f>IF(ISNUMBER(QZ46),QZ46*(1+PortfolioFrontier[[#This Row],[P117 Return]]),1+PortfolioFrontier[[#This Row],[P117 Return]])</f>
        <v>1.253235092680236</v>
      </c>
      <c r="RA47" s="27">
        <f>MAX(RA46,PortfolioFrontier[[#This Row],[P117 Growth]])</f>
        <v>1.253235092680236</v>
      </c>
      <c r="RB47" s="27">
        <f>PortfolioFrontier[[#This Row],[P117 Growth]]/PortfolioFrontier[[#This Row],[P117 HWM]]-1</f>
        <v>0</v>
      </c>
      <c r="RC47" s="28">
        <f>SUMPRODUCT(INDEX(PortfolioRef[[SPY]:[PE]],MATCH(RC$1,PortfolioRef[Reference '#]),0),AssetMonthlyReturns[[#This Row],[SPY]:[PE]])</f>
        <v>1.2919092605747588E-2</v>
      </c>
      <c r="RD47" s="27">
        <f>IF(ISNUMBER(RD46),RD46*(1+PortfolioFrontier[[#This Row],[P118 Return]]),1+PortfolioFrontier[[#This Row],[P118 Return]])</f>
        <v>1.2952948221726646</v>
      </c>
      <c r="RE47" s="27">
        <f>MAX(RE46,PortfolioFrontier[[#This Row],[P118 Growth]])</f>
        <v>1.2952948221726646</v>
      </c>
      <c r="RF47" s="27">
        <f>PortfolioFrontier[[#This Row],[P118 Growth]]/PortfolioFrontier[[#This Row],[P118 HWM]]-1</f>
        <v>0</v>
      </c>
      <c r="RG47" s="28">
        <f>SUMPRODUCT(INDEX(PortfolioRef[[SPY]:[PE]],MATCH(RG$1,PortfolioRef[Reference '#]),0),AssetMonthlyReturns[[#This Row],[SPY]:[PE]])</f>
        <v>1.4426638957459142E-2</v>
      </c>
      <c r="RH47" s="27">
        <f>IF(ISNUMBER(RH46),RH46*(1+PortfolioFrontier[[#This Row],[P119 Return]]),1+PortfolioFrontier[[#This Row],[P119 Return]])</f>
        <v>1.2781932994636704</v>
      </c>
      <c r="RI47" s="27">
        <f>MAX(RI46,PortfolioFrontier[[#This Row],[P119 Growth]])</f>
        <v>1.2781932994636704</v>
      </c>
      <c r="RJ47" s="27">
        <f>PortfolioFrontier[[#This Row],[P119 Growth]]/PortfolioFrontier[[#This Row],[P119 HWM]]-1</f>
        <v>0</v>
      </c>
      <c r="RK47" s="28">
        <f>SUMPRODUCT(INDEX(PortfolioRef[[SPY]:[PE]],MATCH(RK$1,PortfolioRef[Reference '#]),0),AssetMonthlyReturns[[#This Row],[SPY]:[PE]])</f>
        <v>1.5934185309170693E-2</v>
      </c>
      <c r="RL47" s="27">
        <f>IF(ISNUMBER(RL46),RL46*(1+PortfolioFrontier[[#This Row],[P120 Return]]),1+PortfolioFrontier[[#This Row],[P120 Return]])</f>
        <v>1.2611040391934838</v>
      </c>
      <c r="RM47" s="27">
        <f>MAX(RM46,PortfolioFrontier[[#This Row],[P120 Growth]])</f>
        <v>1.2611040391934838</v>
      </c>
      <c r="RN47" s="27">
        <f>PortfolioFrontier[[#This Row],[P120 Growth]]/PortfolioFrontier[[#This Row],[P120 HWM]]-1</f>
        <v>0</v>
      </c>
      <c r="RO47" s="28">
        <f>SUMPRODUCT(INDEX(PortfolioRef[[SPY]:[PE]],MATCH(RO$1,PortfolioRef[Reference '#]),0),AssetMonthlyReturns[[#This Row],[SPY]:[PE]])</f>
        <v>1.094072956860544E-2</v>
      </c>
      <c r="RP47" s="27">
        <f>IF(ISNUMBER(RP46),RP46*(1+PortfolioFrontier[[#This Row],[P121 Return]]),1+PortfolioFrontier[[#This Row],[P121 Return]])</f>
        <v>1.3028439841703259</v>
      </c>
      <c r="RQ47" s="27">
        <f>MAX(RQ46,PortfolioFrontier[[#This Row],[P121 Growth]])</f>
        <v>1.3028439841703259</v>
      </c>
      <c r="RR47" s="27">
        <f>PortfolioFrontier[[#This Row],[P121 Growth]]/PortfolioFrontier[[#This Row],[P121 HWM]]-1</f>
        <v>0</v>
      </c>
      <c r="RS47" s="28">
        <f>SUMPRODUCT(INDEX(PortfolioRef[[SPY]:[PE]],MATCH(RS$1,PortfolioRef[Reference '#]),0),AssetMonthlyReturns[[#This Row],[SPY]:[PE]])</f>
        <v>1.2448275920316991E-2</v>
      </c>
      <c r="RT47" s="27">
        <f>IF(ISNUMBER(RT46),RT46*(1+PortfolioFrontier[[#This Row],[P122 Return]]),1+PortfolioFrontier[[#This Row],[P122 Return]])</f>
        <v>1.2857818440070776</v>
      </c>
      <c r="RU47" s="27">
        <f>MAX(RU46,PortfolioFrontier[[#This Row],[P122 Growth]])</f>
        <v>1.2857818440070776</v>
      </c>
      <c r="RV47" s="27">
        <f>PortfolioFrontier[[#This Row],[P122 Growth]]/PortfolioFrontier[[#This Row],[P122 HWM]]-1</f>
        <v>0</v>
      </c>
      <c r="RW47" s="28">
        <f>SUMPRODUCT(INDEX(PortfolioRef[[SPY]:[PE]],MATCH(RW$1,PortfolioRef[Reference '#]),0),AssetMonthlyReturns[[#This Row],[SPY]:[PE]])</f>
        <v>1.3955822272028545E-2</v>
      </c>
      <c r="RX47" s="27">
        <f>IF(ISNUMBER(RX46),RX46*(1+PortfolioFrontier[[#This Row],[P123 Return]]),1+PortfolioFrontier[[#This Row],[P123 Return]])</f>
        <v>1.2687284107723207</v>
      </c>
      <c r="RY47" s="27">
        <f>MAX(RY46,PortfolioFrontier[[#This Row],[P123 Growth]])</f>
        <v>1.2687284107723207</v>
      </c>
      <c r="RZ47" s="27">
        <f>PortfolioFrontier[[#This Row],[P123 Growth]]/PortfolioFrontier[[#This Row],[P123 HWM]]-1</f>
        <v>0</v>
      </c>
      <c r="SA47" s="28">
        <f>SUMPRODUCT(INDEX(PortfolioRef[[SPY]:[PE]],MATCH(SA$1,PortfolioRef[Reference '#]),0),AssetMonthlyReturns[[#This Row],[SPY]:[PE]])</f>
        <v>1.4853432516071442E-2</v>
      </c>
      <c r="SB47" s="27">
        <f>IF(ISNUMBER(SB46),SB46*(1+PortfolioFrontier[[#This Row],[P124 Return]]),1+PortfolioFrontier[[#This Row],[P124 Return]])</f>
        <v>1.2985935996148144</v>
      </c>
      <c r="SC47" s="27">
        <f>MAX(SC46,PortfolioFrontier[[#This Row],[P124 Growth]])</f>
        <v>1.2985935996148144</v>
      </c>
      <c r="SD47" s="27">
        <f>PortfolioFrontier[[#This Row],[P124 Growth]]/PortfolioFrontier[[#This Row],[P124 HWM]]-1</f>
        <v>0</v>
      </c>
      <c r="SE47" s="28">
        <f>SUMPRODUCT(INDEX(PortfolioRef[[SPY]:[PE]],MATCH(SE$1,PortfolioRef[Reference '#]),0),AssetMonthlyReturns[[#This Row],[SPY]:[PE]])</f>
        <v>1.6360978867782993E-2</v>
      </c>
      <c r="SF47" s="27">
        <f>IF(ISNUMBER(SF46),SF46*(1+PortfolioFrontier[[#This Row],[P125 Return]]),1+PortfolioFrontier[[#This Row],[P125 Return]])</f>
        <v>1.2814702181900046</v>
      </c>
      <c r="SG47" s="27">
        <f>MAX(SG46,PortfolioFrontier[[#This Row],[P125 Growth]])</f>
        <v>1.2814702181900046</v>
      </c>
      <c r="SH47" s="27">
        <f>PortfolioFrontier[[#This Row],[P125 Growth]]/PortfolioFrontier[[#This Row],[P125 HWM]]-1</f>
        <v>0</v>
      </c>
      <c r="SI47" s="28">
        <f>SUMPRODUCT(INDEX(PortfolioRef[[SPY]:[PE]],MATCH(SI$1,PortfolioRef[Reference '#]),0),AssetMonthlyReturns[[#This Row],[SPY]:[PE]])</f>
        <v>1.7868525219494547E-2</v>
      </c>
      <c r="SJ47" s="27">
        <f>IF(ISNUMBER(SJ46),SJ46*(1+PortfolioFrontier[[#This Row],[P126 Return]]),1+PortfolioFrontier[[#This Row],[P126 Return]])</f>
        <v>1.2643586262340805</v>
      </c>
      <c r="SK47" s="27">
        <f>MAX(SK46,PortfolioFrontier[[#This Row],[P126 Growth]])</f>
        <v>1.2643586262340805</v>
      </c>
      <c r="SL47" s="27">
        <f>PortfolioFrontier[[#This Row],[P126 Growth]]/PortfolioFrontier[[#This Row],[P126 HWM]]-1</f>
        <v>0</v>
      </c>
      <c r="SM47" s="28">
        <f>SUMPRODUCT(INDEX(PortfolioRef[[SPY]:[PE]],MATCH(SM$1,PortfolioRef[Reference '#]),0),AssetMonthlyReturns[[#This Row],[SPY]:[PE]])</f>
        <v>1.2875069478929291E-2</v>
      </c>
      <c r="SN47" s="27">
        <f>IF(ISNUMBER(SN46),SN46*(1+PortfolioFrontier[[#This Row],[P127 Return]]),1+PortfolioFrontier[[#This Row],[P127 Return]])</f>
        <v>1.3062917457931731</v>
      </c>
      <c r="SO47" s="27">
        <f>MAX(SO46,PortfolioFrontier[[#This Row],[P127 Growth]])</f>
        <v>1.3062917457931731</v>
      </c>
      <c r="SP47" s="27">
        <f>PortfolioFrontier[[#This Row],[P127 Growth]]/PortfolioFrontier[[#This Row],[P127 HWM]]-1</f>
        <v>0</v>
      </c>
      <c r="SQ47" s="28">
        <f>SUMPRODUCT(INDEX(PortfolioRef[[SPY]:[PE]],MATCH(SQ$1,PortfolioRef[Reference '#]),0),AssetMonthlyReturns[[#This Row],[SPY]:[PE]])</f>
        <v>1.4382615830640842E-2</v>
      </c>
      <c r="SR47" s="27">
        <f>IF(ISNUMBER(SR46),SR46*(1+PortfolioFrontier[[#This Row],[P128 Return]]),1+PortfolioFrontier[[#This Row],[P128 Return]])</f>
        <v>1.2892062835523004</v>
      </c>
      <c r="SS47" s="27">
        <f>MAX(SS46,PortfolioFrontier[[#This Row],[P128 Growth]])</f>
        <v>1.2892062835523004</v>
      </c>
      <c r="ST47" s="27">
        <f>PortfolioFrontier[[#This Row],[P128 Growth]]/PortfolioFrontier[[#This Row],[P128 HWM]]-1</f>
        <v>0</v>
      </c>
      <c r="SU47" s="28">
        <f>SUMPRODUCT(INDEX(PortfolioRef[[SPY]:[PE]],MATCH(SU$1,PortfolioRef[Reference '#]),0),AssetMonthlyReturns[[#This Row],[SPY]:[PE]])</f>
        <v>1.5890162182352396E-2</v>
      </c>
      <c r="SV47" s="27">
        <f>IF(ISNUMBER(SV46),SV46*(1+PortfolioFrontier[[#This Row],[P129 Return]]),1+PortfolioFrontier[[#This Row],[P129 Return]])</f>
        <v>1.2721290499414737</v>
      </c>
      <c r="SW47" s="27">
        <f>MAX(SW46,PortfolioFrontier[[#This Row],[P129 Growth]])</f>
        <v>1.2721290499414737</v>
      </c>
      <c r="SX47" s="27">
        <f>PortfolioFrontier[[#This Row],[P129 Growth]]/PortfolioFrontier[[#This Row],[P129 HWM]]-1</f>
        <v>0</v>
      </c>
      <c r="SY47" s="28">
        <f>SUMPRODUCT(INDEX(PortfolioRef[[SPY]:[PE]],MATCH(SY$1,PortfolioRef[Reference '#]),0),AssetMonthlyReturns[[#This Row],[SPY]:[PE]])</f>
        <v>1.0896706441787141E-2</v>
      </c>
      <c r="SZ47" s="27">
        <f>IF(ISNUMBER(SZ46),SZ46*(1+PortfolioFrontier[[#This Row],[P130 Return]]),1+PortfolioFrontier[[#This Row],[P130 Return]])</f>
        <v>1.3137306746778419</v>
      </c>
      <c r="TA47" s="27">
        <f>MAX(TA46,PortfolioFrontier[[#This Row],[P130 Growth]])</f>
        <v>1.3137306746778419</v>
      </c>
      <c r="TB47" s="27">
        <f>PortfolioFrontier[[#This Row],[P130 Growth]]/PortfolioFrontier[[#This Row],[P130 HWM]]-1</f>
        <v>0</v>
      </c>
      <c r="TC47" s="28">
        <f>SUMPRODUCT(INDEX(PortfolioRef[[SPY]:[PE]],MATCH(TC$1,PortfolioRef[Reference '#]),0),AssetMonthlyReturns[[#This Row],[SPY]:[PE]])</f>
        <v>1.2404252793498695E-2</v>
      </c>
      <c r="TD47" s="27">
        <f>IF(ISNUMBER(TD46),TD46*(1+PortfolioFrontier[[#This Row],[P131 Return]]),1+PortfolioFrontier[[#This Row],[P131 Return]])</f>
        <v>1.2966882259669223</v>
      </c>
      <c r="TE47" s="27">
        <f>MAX(TE46,PortfolioFrontier[[#This Row],[P131 Growth]])</f>
        <v>1.2966882259669223</v>
      </c>
      <c r="TF47" s="27">
        <f>PortfolioFrontier[[#This Row],[P131 Growth]]/PortfolioFrontier[[#This Row],[P131 HWM]]-1</f>
        <v>0</v>
      </c>
      <c r="TG47" s="28">
        <f>SUMPRODUCT(INDEX(PortfolioRef[[SPY]:[PE]],MATCH(TG$1,PortfolioRef[Reference '#]),0),AssetMonthlyReturns[[#This Row],[SPY]:[PE]])</f>
        <v>1.3911799145210247E-2</v>
      </c>
      <c r="TH47" s="27">
        <f>IF(ISNUMBER(TH46),TH46*(1+PortfolioFrontier[[#This Row],[P132 Return]]),1+PortfolioFrontier[[#This Row],[P132 Return]])</f>
        <v>1.2796504140230496</v>
      </c>
      <c r="TI47" s="27">
        <f>MAX(TI46,PortfolioFrontier[[#This Row],[P132 Growth]])</f>
        <v>1.2796504140230496</v>
      </c>
      <c r="TJ47" s="27">
        <f>PortfolioFrontier[[#This Row],[P132 Growth]]/PortfolioFrontier[[#This Row],[P132 HWM]]-1</f>
        <v>0</v>
      </c>
      <c r="TK47" s="28">
        <f>SUMPRODUCT(INDEX(PortfolioRef[[SPY]:[PE]],MATCH(TK$1,PortfolioRef[Reference '#]),0),AssetMonthlyReturns[[#This Row],[SPY]:[PE]])</f>
        <v>1.4809409389253143E-2</v>
      </c>
      <c r="TL47" s="27">
        <f>IF(ISNUMBER(TL46),TL46*(1+PortfolioFrontier[[#This Row],[P133 Return]]),1+PortfolioFrontier[[#This Row],[P133 Return]])</f>
        <v>1.3096219391721309</v>
      </c>
      <c r="TM47" s="27">
        <f>MAX(TM46,PortfolioFrontier[[#This Row],[P133 Growth]])</f>
        <v>1.3096219391721309</v>
      </c>
      <c r="TN47" s="27">
        <f>PortfolioFrontier[[#This Row],[P133 Growth]]/PortfolioFrontier[[#This Row],[P133 HWM]]-1</f>
        <v>0</v>
      </c>
      <c r="TO47" s="28">
        <f>SUMPRODUCT(INDEX(PortfolioRef[[SPY]:[PE]],MATCH(TO$1,PortfolioRef[Reference '#]),0),AssetMonthlyReturns[[#This Row],[SPY]:[PE]])</f>
        <v>1.6316955740964697E-2</v>
      </c>
      <c r="TP47" s="27">
        <f>IF(ISNUMBER(TP46),TP46*(1+PortfolioFrontier[[#This Row],[P134 Return]]),1+PortfolioFrontier[[#This Row],[P134 Return]])</f>
        <v>1.2925146799282041</v>
      </c>
      <c r="TQ47" s="27">
        <f>MAX(TQ46,PortfolioFrontier[[#This Row],[P134 Growth]])</f>
        <v>1.2925146799282041</v>
      </c>
      <c r="TR47" s="27">
        <f>PortfolioFrontier[[#This Row],[P134 Growth]]/PortfolioFrontier[[#This Row],[P134 HWM]]-1</f>
        <v>0</v>
      </c>
      <c r="TS47" s="28">
        <f>SUMPRODUCT(INDEX(PortfolioRef[[SPY]:[PE]],MATCH(TS$1,PortfolioRef[Reference '#]),0),AssetMonthlyReturns[[#This Row],[SPY]:[PE]])</f>
        <v>1.7824502092676248E-2</v>
      </c>
      <c r="TT47" s="27">
        <f>IF(ISNUMBER(TT46),TT46*(1+PortfolioFrontier[[#This Row],[P135 Return]]),1+PortfolioFrontier[[#This Row],[P135 Return]])</f>
        <v>1.2754151692974409</v>
      </c>
      <c r="TU47" s="27">
        <f>MAX(TU46,PortfolioFrontier[[#This Row],[P135 Growth]])</f>
        <v>1.2754151692974409</v>
      </c>
      <c r="TV47" s="27">
        <f>PortfolioFrontier[[#This Row],[P135 Growth]]/PortfolioFrontier[[#This Row],[P135 HWM]]-1</f>
        <v>0</v>
      </c>
      <c r="TW47" s="28">
        <f>SUMPRODUCT(INDEX(PortfolioRef[[SPY]:[PE]],MATCH(TW$1,PortfolioRef[Reference '#]),0),AssetMonthlyReturns[[#This Row],[SPY]:[PE]])</f>
        <v>1.2831046352110992E-2</v>
      </c>
      <c r="TX47" s="27">
        <f>IF(ISNUMBER(TX46),TX46*(1+PortfolioFrontier[[#This Row],[P136 Return]]),1+PortfolioFrontier[[#This Row],[P136 Return]])</f>
        <v>1.3172107592735516</v>
      </c>
      <c r="TY47" s="27">
        <f>MAX(TY46,PortfolioFrontier[[#This Row],[P136 Growth]])</f>
        <v>1.3172107592735516</v>
      </c>
      <c r="TZ47" s="27">
        <f>PortfolioFrontier[[#This Row],[P136 Growth]]/PortfolioFrontier[[#This Row],[P136 HWM]]-1</f>
        <v>0</v>
      </c>
      <c r="UA47" s="28">
        <f>SUMPRODUCT(INDEX(PortfolioRef[[SPY]:[PE]],MATCH(UA$1,PortfolioRef[Reference '#]),0),AssetMonthlyReturns[[#This Row],[SPY]:[PE]])</f>
        <v>1.4338592703822546E-2</v>
      </c>
      <c r="UB47" s="27">
        <f>IF(ISNUMBER(UB46),UB46*(1+PortfolioFrontier[[#This Row],[P137 Return]]),1+PortfolioFrontier[[#This Row],[P137 Return]])</f>
        <v>1.3001450565073076</v>
      </c>
      <c r="UC47" s="27">
        <f>MAX(UC46,PortfolioFrontier[[#This Row],[P137 Growth]])</f>
        <v>1.3001450565073076</v>
      </c>
      <c r="UD47" s="27">
        <f>PortfolioFrontier[[#This Row],[P137 Growth]]/PortfolioFrontier[[#This Row],[P137 HWM]]-1</f>
        <v>0</v>
      </c>
      <c r="UE47" s="28">
        <f>SUMPRODUCT(INDEX(PortfolioRef[[SPY]:[PE]],MATCH(UE$1,PortfolioRef[Reference '#]),0),AssetMonthlyReturns[[#This Row],[SPY]:[PE]])</f>
        <v>1.58461390555341E-2</v>
      </c>
      <c r="UF47" s="27">
        <f>IF(ISNUMBER(UF46),UF46*(1+PortfolioFrontier[[#This Row],[P138 Return]]),1+PortfolioFrontier[[#This Row],[P138 Return]])</f>
        <v>1.2830835048457305</v>
      </c>
      <c r="UG47" s="27">
        <f>MAX(UG46,PortfolioFrontier[[#This Row],[P138 Growth]])</f>
        <v>1.2830835048457305</v>
      </c>
      <c r="UH47" s="27">
        <f>PortfolioFrontier[[#This Row],[P138 Growth]]/PortfolioFrontier[[#This Row],[P138 HWM]]-1</f>
        <v>0</v>
      </c>
      <c r="UI47" s="28">
        <f>SUMPRODUCT(INDEX(PortfolioRef[[SPY]:[PE]],MATCH(UI$1,PortfolioRef[Reference '#]),0),AssetMonthlyReturns[[#This Row],[SPY]:[PE]])</f>
        <v>1.0852683314968841E-2</v>
      </c>
      <c r="UJ47" s="27">
        <f>IF(ISNUMBER(UJ46),UJ46*(1+PortfolioFrontier[[#This Row],[P139 Return]]),1+PortfolioFrontier[[#This Row],[P139 Return]])</f>
        <v>1.3245358268922389</v>
      </c>
      <c r="UK47" s="27">
        <f>MAX(UK46,PortfolioFrontier[[#This Row],[P139 Growth]])</f>
        <v>1.3245358268922389</v>
      </c>
      <c r="UL47" s="27">
        <f>PortfolioFrontier[[#This Row],[P139 Growth]]/PortfolioFrontier[[#This Row],[P139 HWM]]-1</f>
        <v>0</v>
      </c>
      <c r="UM47" s="28">
        <f>SUMPRODUCT(INDEX(PortfolioRef[[SPY]:[PE]],MATCH(UM$1,PortfolioRef[Reference '#]),0),AssetMonthlyReturns[[#This Row],[SPY]:[PE]])</f>
        <v>1.2360229666680395E-2</v>
      </c>
      <c r="UN47" s="27">
        <f>IF(ISNUMBER(UN46),UN46*(1+PortfolioFrontier[[#This Row],[P140 Return]]),1+PortfolioFrontier[[#This Row],[P140 Return]])</f>
        <v>1.3075167967799926</v>
      </c>
      <c r="UO47" s="27">
        <f>MAX(UO46,PortfolioFrontier[[#This Row],[P140 Growth]])</f>
        <v>1.3075167967799926</v>
      </c>
      <c r="UP47" s="27">
        <f>PortfolioFrontier[[#This Row],[P140 Growth]]/PortfolioFrontier[[#This Row],[P140 HWM]]-1</f>
        <v>0</v>
      </c>
      <c r="UQ47" s="28">
        <f>SUMPRODUCT(INDEX(PortfolioRef[[SPY]:[PE]],MATCH(UQ$1,PortfolioRef[Reference '#]),0),AssetMonthlyReturns[[#This Row],[SPY]:[PE]])</f>
        <v>1.3867776018391948E-2</v>
      </c>
      <c r="UR47" s="27">
        <f>IF(ISNUMBER(UR46),UR46*(1+PortfolioFrontier[[#This Row],[P141 Return]]),1+PortfolioFrontier[[#This Row],[P141 Return]])</f>
        <v>1.2904982905712665</v>
      </c>
      <c r="US47" s="27">
        <f>MAX(US46,PortfolioFrontier[[#This Row],[P141 Growth]])</f>
        <v>1.2904982905712665</v>
      </c>
      <c r="UT47" s="27">
        <f>PortfolioFrontier[[#This Row],[P141 Growth]]/PortfolioFrontier[[#This Row],[P141 HWM]]-1</f>
        <v>0</v>
      </c>
    </row>
    <row r="48" spans="2:566" x14ac:dyDescent="0.2">
      <c r="B48" s="41">
        <f>AssetMonthlyReturns[[#This Row],[Date]]</f>
        <v>43831</v>
      </c>
      <c r="C48" s="28">
        <f>SUMPRODUCT(INDEX(PortfolioRef[[SPY]:[PE]],MATCH(C$1,PortfolioRef[Reference '#]),0),AssetMonthlyReturns[[#This Row],[SPY]:[PE]])</f>
        <v>1.4221651575144304E-2</v>
      </c>
      <c r="D48" s="29">
        <f>IF(ISNUMBER(D47),D47*(1+PortfolioFrontier[[#This Row],[P1 Return]]),1+PortfolioFrontier[[#This Row],[P1 Return]])</f>
        <v>1.4419664495335482</v>
      </c>
      <c r="E48" s="29">
        <f>MAX(E47,PortfolioFrontier[[#This Row],[P1 Growth]])</f>
        <v>1.4419664495335482</v>
      </c>
      <c r="F48" s="29">
        <f>PortfolioFrontier[[#This Row],[P1 Growth]]/PortfolioFrontier[[#This Row],[P1 HWM]]-1</f>
        <v>0</v>
      </c>
      <c r="G48" s="28">
        <f>SUMPRODUCT(INDEX(PortfolioRef[[SPY]:[PE]],MATCH(G$1,PortfolioRef[Reference '#]),0),AssetMonthlyReturns[[#This Row],[SPY]:[PE]])</f>
        <v>1.5209116521874401E-2</v>
      </c>
      <c r="H48" s="27">
        <f>IF(ISNUMBER(H47),H47*(1+PortfolioFrontier[[#This Row],[P2 Return]]),1+PortfolioFrontier[[#This Row],[P2 Return]])</f>
        <v>1.4148787504774187</v>
      </c>
      <c r="I48" s="27">
        <f>MAX(I47,PortfolioFrontier[[#This Row],[P2 Growth]])</f>
        <v>1.4148787504774187</v>
      </c>
      <c r="J48" s="27">
        <f>PortfolioFrontier[[#This Row],[P2 Growth]]/PortfolioFrontier[[#This Row],[P2 HWM]]-1</f>
        <v>0</v>
      </c>
      <c r="K48" s="28">
        <f>SUMPRODUCT(INDEX(PortfolioRef[[SPY]:[PE]],MATCH(K$1,PortfolioRef[Reference '#]),0),AssetMonthlyReturns[[#This Row],[SPY]:[PE]])</f>
        <v>1.6245943211649905E-2</v>
      </c>
      <c r="L48" s="27">
        <f>IF(ISNUMBER(L47),L47*(1+PortfolioFrontier[[#This Row],[P3 Return]]),1+PortfolioFrontier[[#This Row],[P3 Return]])</f>
        <v>1.4201780325328939</v>
      </c>
      <c r="M48" s="27">
        <f>MAX(M47,PortfolioFrontier[[#This Row],[P3 Growth]])</f>
        <v>1.4201780325328939</v>
      </c>
      <c r="N48" s="27">
        <f>PortfolioFrontier[[#This Row],[P3 Growth]]/PortfolioFrontier[[#This Row],[P3 HWM]]-1</f>
        <v>0</v>
      </c>
      <c r="O48" s="28">
        <f>SUMPRODUCT(INDEX(PortfolioRef[[SPY]:[PE]],MATCH(O$1,PortfolioRef[Reference '#]),0),AssetMonthlyReturns[[#This Row],[SPY]:[PE]])</f>
        <v>1.5153543558516525E-2</v>
      </c>
      <c r="P48" s="27">
        <f>IF(ISNUMBER(P47),P47*(1+PortfolioFrontier[[#This Row],[P4 Return]]),1+PortfolioFrontier[[#This Row],[P4 Return]])</f>
        <v>1.4268185135775995</v>
      </c>
      <c r="Q48" s="27">
        <f>MAX(Q47,PortfolioFrontier[[#This Row],[P4 Growth]])</f>
        <v>1.4268185135775995</v>
      </c>
      <c r="R48" s="27">
        <f>PortfolioFrontier[[#This Row],[P4 Growth]]/PortfolioFrontier[[#This Row],[P4 HWM]]-1</f>
        <v>0</v>
      </c>
      <c r="S48" s="28">
        <f>SUMPRODUCT(INDEX(PortfolioRef[[SPY]:[PE]],MATCH(S$1,PortfolioRef[Reference '#]),0),AssetMonthlyReturns[[#This Row],[SPY]:[PE]])</f>
        <v>1.4639733560861156E-2</v>
      </c>
      <c r="T48" s="27">
        <f>IF(ISNUMBER(T47),T47*(1+PortfolioFrontier[[#This Row],[P5 Return]]),1+PortfolioFrontier[[#This Row],[P5 Return]])</f>
        <v>1.4072507563287657</v>
      </c>
      <c r="U48" s="27">
        <f>MAX(U47,PortfolioFrontier[[#This Row],[P5 Growth]])</f>
        <v>1.4072507563287657</v>
      </c>
      <c r="V48" s="27">
        <f>PortfolioFrontier[[#This Row],[P5 Growth]]/PortfolioFrontier[[#This Row],[P5 HWM]]-1</f>
        <v>0</v>
      </c>
      <c r="W48" s="28">
        <f>SUMPRODUCT(INDEX(PortfolioRef[[SPY]:[PE]],MATCH(W$1,PortfolioRef[Reference '#]),0),AssetMonthlyReturns[[#This Row],[SPY]:[PE]])</f>
        <v>1.6196581468604497E-2</v>
      </c>
      <c r="X48" s="27">
        <f>IF(ISNUMBER(X47),X47*(1+PortfolioFrontier[[#This Row],[P6 Return]]),1+PortfolioFrontier[[#This Row],[P6 Return]])</f>
        <v>1.3880851512677401</v>
      </c>
      <c r="Y48" s="27">
        <f>MAX(Y47,PortfolioFrontier[[#This Row],[P6 Growth]])</f>
        <v>1.3880851512677401</v>
      </c>
      <c r="Z48" s="27">
        <f>PortfolioFrontier[[#This Row],[P6 Growth]]/PortfolioFrontier[[#This Row],[P6 HWM]]-1</f>
        <v>0</v>
      </c>
      <c r="AA48" s="28">
        <f>SUMPRODUCT(INDEX(PortfolioRef[[SPY]:[PE]],MATCH(AA$1,PortfolioRef[Reference '#]),0),AssetMonthlyReturns[[#This Row],[SPY]:[PE]])</f>
        <v>1.7233408158380002E-2</v>
      </c>
      <c r="AB48" s="27">
        <f>IF(ISNUMBER(AB47),AB47*(1+PortfolioFrontier[[#This Row],[P7 Return]]),1+PortfolioFrontier[[#This Row],[P7 Return]])</f>
        <v>1.3932587065587478</v>
      </c>
      <c r="AC48" s="27">
        <f>MAX(AC47,PortfolioFrontier[[#This Row],[P7 Growth]])</f>
        <v>1.3932587065587478</v>
      </c>
      <c r="AD48" s="27">
        <f>PortfolioFrontier[[#This Row],[P7 Growth]]/PortfolioFrontier[[#This Row],[P7 HWM]]-1</f>
        <v>0</v>
      </c>
      <c r="AE48" s="28">
        <f>SUMPRODUCT(INDEX(PortfolioRef[[SPY]:[PE]],MATCH(AE$1,PortfolioRef[Reference '#]),0),AssetMonthlyReturns[[#This Row],[SPY]:[PE]])</f>
        <v>1.6141008505246624E-2</v>
      </c>
      <c r="AF48" s="27">
        <f>IF(ISNUMBER(AF47),AF47*(1+PortfolioFrontier[[#This Row],[P8 Return]]),1+PortfolioFrontier[[#This Row],[P8 Return]])</f>
        <v>1.3999070125181117</v>
      </c>
      <c r="AG48" s="27">
        <f>MAX(AG47,PortfolioFrontier[[#This Row],[P8 Growth]])</f>
        <v>1.3999070125181117</v>
      </c>
      <c r="AH48" s="27">
        <f>PortfolioFrontier[[#This Row],[P8 Growth]]/PortfolioFrontier[[#This Row],[P8 HWM]]-1</f>
        <v>0</v>
      </c>
      <c r="AI48" s="28">
        <f>SUMPRODUCT(INDEX(PortfolioRef[[SPY]:[PE]],MATCH(AI$1,PortfolioRef[Reference '#]),0),AssetMonthlyReturns[[#This Row],[SPY]:[PE]])</f>
        <v>1.5627198507591259E-2</v>
      </c>
      <c r="AJ48" s="27">
        <f>IF(ISNUMBER(AJ47),AJ47*(1+PortfolioFrontier[[#This Row],[P9 Return]]),1+PortfolioFrontier[[#This Row],[P9 Return]])</f>
        <v>1.3806381423140945</v>
      </c>
      <c r="AK48" s="27">
        <f>MAX(AK47,PortfolioFrontier[[#This Row],[P9 Growth]])</f>
        <v>1.3806381423140945</v>
      </c>
      <c r="AL48" s="27">
        <f>PortfolioFrontier[[#This Row],[P9 Growth]]/PortfolioFrontier[[#This Row],[P9 HWM]]-1</f>
        <v>0</v>
      </c>
      <c r="AM48" s="28">
        <f>SUMPRODUCT(INDEX(PortfolioRef[[SPY]:[PE]],MATCH(AM$1,PortfolioRef[Reference '#]),0),AssetMonthlyReturns[[#This Row],[SPY]:[PE]])</f>
        <v>1.8270234848155511E-2</v>
      </c>
      <c r="AN48" s="27">
        <f>IF(ISNUMBER(AN47),AN47*(1+PortfolioFrontier[[#This Row],[P10 Return]]),1+PortfolioFrontier[[#This Row],[P10 Return]])</f>
        <v>1.3983151318787432</v>
      </c>
      <c r="AO48" s="27">
        <f>MAX(AO47,PortfolioFrontier[[#This Row],[P10 Growth]])</f>
        <v>1.3983151318787432</v>
      </c>
      <c r="AP48" s="27">
        <f>PortfolioFrontier[[#This Row],[P10 Growth]]/PortfolioFrontier[[#This Row],[P10 HWM]]-1</f>
        <v>0</v>
      </c>
      <c r="AQ48" s="28">
        <f>SUMPRODUCT(INDEX(PortfolioRef[[SPY]:[PE]],MATCH(AQ$1,PortfolioRef[Reference '#]),0),AssetMonthlyReturns[[#This Row],[SPY]:[PE]])</f>
        <v>1.7177835195022129E-2</v>
      </c>
      <c r="AR48" s="27">
        <f>IF(ISNUMBER(AR47),AR47*(1+PortfolioFrontier[[#This Row],[P11 Return]]),1+PortfolioFrontier[[#This Row],[P11 Return]])</f>
        <v>1.4051282257271507</v>
      </c>
      <c r="AS48" s="27">
        <f>MAX(AS47,PortfolioFrontier[[#This Row],[P11 Growth]])</f>
        <v>1.4051282257271507</v>
      </c>
      <c r="AT48" s="27">
        <f>PortfolioFrontier[[#This Row],[P11 Growth]]/PortfolioFrontier[[#This Row],[P11 HWM]]-1</f>
        <v>0</v>
      </c>
      <c r="AU48" s="28">
        <f>SUMPRODUCT(INDEX(PortfolioRef[[SPY]:[PE]],MATCH(AU$1,PortfolioRef[Reference '#]),0),AssetMonthlyReturns[[#This Row],[SPY]:[PE]])</f>
        <v>1.6664025197366761E-2</v>
      </c>
      <c r="AV48" s="27">
        <f>IF(ISNUMBER(AV47),AV47*(1+PortfolioFrontier[[#This Row],[P12 Return]]),1+PortfolioFrontier[[#This Row],[P12 Return]])</f>
        <v>1.3858117521199762</v>
      </c>
      <c r="AW48" s="27">
        <f>MAX(AW47,PortfolioFrontier[[#This Row],[P12 Growth]])</f>
        <v>1.3858117521199762</v>
      </c>
      <c r="AX48" s="27">
        <f>PortfolioFrontier[[#This Row],[P12 Growth]]/PortfolioFrontier[[#This Row],[P12 HWM]]-1</f>
        <v>0</v>
      </c>
      <c r="AY48" s="28">
        <f>SUMPRODUCT(INDEX(PortfolioRef[[SPY]:[PE]],MATCH(AY$1,PortfolioRef[Reference '#]),0),AssetMonthlyReturns[[#This Row],[SPY]:[PE]])</f>
        <v>1.6085435541888751E-2</v>
      </c>
      <c r="AZ48" s="27">
        <f>IF(ISNUMBER(AZ47),AZ47*(1+PortfolioFrontier[[#This Row],[P13 Return]]),1+PortfolioFrontier[[#This Row],[P13 Return]])</f>
        <v>1.4116451886758252</v>
      </c>
      <c r="BA48" s="27">
        <f>MAX(BA47,PortfolioFrontier[[#This Row],[P13 Growth]])</f>
        <v>1.4116451886758252</v>
      </c>
      <c r="BB48" s="27">
        <f>PortfolioFrontier[[#This Row],[P13 Growth]]/PortfolioFrontier[[#This Row],[P13 HWM]]-1</f>
        <v>0</v>
      </c>
      <c r="BC48" s="28">
        <f>SUMPRODUCT(INDEX(PortfolioRef[[SPY]:[PE]],MATCH(BC$1,PortfolioRef[Reference '#]),0),AssetMonthlyReturns[[#This Row],[SPY]:[PE]])</f>
        <v>1.5571625544233381E-2</v>
      </c>
      <c r="BD48" s="27">
        <f>IF(ISNUMBER(BD47),BD47*(1+PortfolioFrontier[[#This Row],[P14 Return]]),1+PortfolioFrontier[[#This Row],[P14 Return]])</f>
        <v>1.3923893526457891</v>
      </c>
      <c r="BE48" s="27">
        <f>MAX(BE47,PortfolioFrontier[[#This Row],[P14 Growth]])</f>
        <v>1.3923893526457891</v>
      </c>
      <c r="BF48" s="27">
        <f>PortfolioFrontier[[#This Row],[P14 Growth]]/PortfolioFrontier[[#This Row],[P14 HWM]]-1</f>
        <v>0</v>
      </c>
      <c r="BG48" s="28">
        <f>SUMPRODUCT(INDEX(PortfolioRef[[SPY]:[PE]],MATCH(BG$1,PortfolioRef[Reference '#]),0),AssetMonthlyReturns[[#This Row],[SPY]:[PE]])</f>
        <v>1.5057815546578014E-2</v>
      </c>
      <c r="BH48" s="27">
        <f>IF(ISNUMBER(BH47),BH47*(1+PortfolioFrontier[[#This Row],[P15 Return]]),1+PortfolioFrontier[[#This Row],[P15 Return]])</f>
        <v>1.3731634825595267</v>
      </c>
      <c r="BI48" s="27">
        <f>MAX(BI47,PortfolioFrontier[[#This Row],[P15 Growth]])</f>
        <v>1.3731634825595267</v>
      </c>
      <c r="BJ48" s="27">
        <f>PortfolioFrontier[[#This Row],[P15 Growth]]/PortfolioFrontier[[#This Row],[P15 HWM]]-1</f>
        <v>0</v>
      </c>
      <c r="BK48" s="28">
        <f>SUMPRODUCT(INDEX(PortfolioRef[[SPY]:[PE]],MATCH(BK$1,PortfolioRef[Reference '#]),0),AssetMonthlyReturns[[#This Row],[SPY]:[PE]])</f>
        <v>1.7184046415334598E-2</v>
      </c>
      <c r="BL48" s="27">
        <f>IF(ISNUMBER(BL47),BL47*(1+PortfolioFrontier[[#This Row],[P16 Return]]),1+PortfolioFrontier[[#This Row],[P16 Return]])</f>
        <v>1.3615886888178703</v>
      </c>
      <c r="BM48" s="27">
        <f>MAX(BM47,PortfolioFrontier[[#This Row],[P16 Growth]])</f>
        <v>1.3615886888178703</v>
      </c>
      <c r="BN48" s="27">
        <f>PortfolioFrontier[[#This Row],[P16 Growth]]/PortfolioFrontier[[#This Row],[P16 HWM]]-1</f>
        <v>0</v>
      </c>
      <c r="BO48" s="28">
        <f>SUMPRODUCT(INDEX(PortfolioRef[[SPY]:[PE]],MATCH(BO$1,PortfolioRef[Reference '#]),0),AssetMonthlyReturns[[#This Row],[SPY]:[PE]])</f>
        <v>1.82208731051101E-2</v>
      </c>
      <c r="BP48" s="27">
        <f>IF(ISNUMBER(BP47),BP47*(1+PortfolioFrontier[[#This Row],[P17 Return]]),1+PortfolioFrontier[[#This Row],[P17 Return]])</f>
        <v>1.36663887261008</v>
      </c>
      <c r="BQ48" s="27">
        <f>MAX(BQ47,PortfolioFrontier[[#This Row],[P17 Growth]])</f>
        <v>1.36663887261008</v>
      </c>
      <c r="BR48" s="27">
        <f>PortfolioFrontier[[#This Row],[P17 Growth]]/PortfolioFrontier[[#This Row],[P17 HWM]]-1</f>
        <v>0</v>
      </c>
      <c r="BS48" s="28">
        <f>SUMPRODUCT(INDEX(PortfolioRef[[SPY]:[PE]],MATCH(BS$1,PortfolioRef[Reference '#]),0),AssetMonthlyReturns[[#This Row],[SPY]:[PE]])</f>
        <v>1.7128473451976725E-2</v>
      </c>
      <c r="BT48" s="27">
        <f>IF(ISNUMBER(BT47),BT47*(1+PortfolioFrontier[[#This Row],[P18 Return]]),1+PortfolioFrontier[[#This Row],[P18 Return]])</f>
        <v>1.3732906590342844</v>
      </c>
      <c r="BU48" s="27">
        <f>MAX(BU47,PortfolioFrontier[[#This Row],[P18 Growth]])</f>
        <v>1.3732906590342844</v>
      </c>
      <c r="BV48" s="27">
        <f>PortfolioFrontier[[#This Row],[P18 Growth]]/PortfolioFrontier[[#This Row],[P18 HWM]]-1</f>
        <v>0</v>
      </c>
      <c r="BW48" s="28">
        <f>SUMPRODUCT(INDEX(PortfolioRef[[SPY]:[PE]],MATCH(BW$1,PortfolioRef[Reference '#]),0),AssetMonthlyReturns[[#This Row],[SPY]:[PE]])</f>
        <v>1.6614663454321357E-2</v>
      </c>
      <c r="BX48" s="27">
        <f>IF(ISNUMBER(BX47),BX47*(1+PortfolioFrontier[[#This Row],[P19 Return]]),1+PortfolioFrontier[[#This Row],[P19 Return]])</f>
        <v>1.3543194764405577</v>
      </c>
      <c r="BY48" s="27">
        <f>MAX(BY47,PortfolioFrontier[[#This Row],[P19 Growth]])</f>
        <v>1.3543194764405577</v>
      </c>
      <c r="BZ48" s="27">
        <f>PortfolioFrontier[[#This Row],[P19 Growth]]/PortfolioFrontier[[#This Row],[P19 HWM]]-1</f>
        <v>0</v>
      </c>
      <c r="CA48" s="28">
        <f>SUMPRODUCT(INDEX(PortfolioRef[[SPY]:[PE]],MATCH(CA$1,PortfolioRef[Reference '#]),0),AssetMonthlyReturns[[#This Row],[SPY]:[PE]])</f>
        <v>1.9257699794885608E-2</v>
      </c>
      <c r="CB48" s="27">
        <f>IF(ISNUMBER(CB47),CB47*(1+PortfolioFrontier[[#This Row],[P20 Return]]),1+PortfolioFrontier[[#This Row],[P20 Return]])</f>
        <v>1.3715738184680752</v>
      </c>
      <c r="CC48" s="27">
        <f>MAX(CC47,PortfolioFrontier[[#This Row],[P20 Growth]])</f>
        <v>1.3715738184680752</v>
      </c>
      <c r="CD48" s="27">
        <f>PortfolioFrontier[[#This Row],[P20 Growth]]/PortfolioFrontier[[#This Row],[P20 HWM]]-1</f>
        <v>0</v>
      </c>
      <c r="CE48" s="28">
        <f>SUMPRODUCT(INDEX(PortfolioRef[[SPY]:[PE]],MATCH(CE$1,PortfolioRef[Reference '#]),0),AssetMonthlyReturns[[#This Row],[SPY]:[PE]])</f>
        <v>1.816530014175223E-2</v>
      </c>
      <c r="CF48" s="27">
        <f>IF(ISNUMBER(CF47),CF47*(1+PortfolioFrontier[[#This Row],[P21 Return]]),1+PortfolioFrontier[[#This Row],[P21 Return]])</f>
        <v>1.3783876457060396</v>
      </c>
      <c r="CG48" s="27">
        <f>MAX(CG47,PortfolioFrontier[[#This Row],[P21 Growth]])</f>
        <v>1.3783876457060396</v>
      </c>
      <c r="CH48" s="27">
        <f>PortfolioFrontier[[#This Row],[P21 Growth]]/PortfolioFrontier[[#This Row],[P21 HWM]]-1</f>
        <v>0</v>
      </c>
      <c r="CI48" s="28">
        <f>SUMPRODUCT(INDEX(PortfolioRef[[SPY]:[PE]],MATCH(CI$1,PortfolioRef[Reference '#]),0),AssetMonthlyReturns[[#This Row],[SPY]:[PE]])</f>
        <v>1.7651490144096858E-2</v>
      </c>
      <c r="CJ48" s="27">
        <f>IF(ISNUMBER(CJ47),CJ47*(1+PortfolioFrontier[[#This Row],[P22 Return]]),1+PortfolioFrontier[[#This Row],[P22 Return]])</f>
        <v>1.3593699288197449</v>
      </c>
      <c r="CK48" s="27">
        <f>MAX(CK47,PortfolioFrontier[[#This Row],[P22 Growth]])</f>
        <v>1.3593699288197449</v>
      </c>
      <c r="CL48" s="27">
        <f>PortfolioFrontier[[#This Row],[P22 Growth]]/PortfolioFrontier[[#This Row],[P22 HWM]]-1</f>
        <v>0</v>
      </c>
      <c r="CM48" s="28">
        <f>SUMPRODUCT(INDEX(PortfolioRef[[SPY]:[PE]],MATCH(CM$1,PortfolioRef[Reference '#]),0),AssetMonthlyReturns[[#This Row],[SPY]:[PE]])</f>
        <v>1.7072900488618849E-2</v>
      </c>
      <c r="CN48" s="27">
        <f>IF(ISNUMBER(CN47),CN47*(1+PortfolioFrontier[[#This Row],[P23 Return]]),1+PortfolioFrontier[[#This Row],[P23 Return]])</f>
        <v>1.3849125529432054</v>
      </c>
      <c r="CO48" s="27">
        <f>MAX(CO47,PortfolioFrontier[[#This Row],[P23 Growth]])</f>
        <v>1.3849125529432054</v>
      </c>
      <c r="CP48" s="27">
        <f>PortfolioFrontier[[#This Row],[P23 Growth]]/PortfolioFrontier[[#This Row],[P23 HWM]]-1</f>
        <v>0</v>
      </c>
      <c r="CQ48" s="28">
        <f>SUMPRODUCT(INDEX(PortfolioRef[[SPY]:[PE]],MATCH(CQ$1,PortfolioRef[Reference '#]),0),AssetMonthlyReturns[[#This Row],[SPY]:[PE]])</f>
        <v>1.655909049096348E-2</v>
      </c>
      <c r="CR48" s="27">
        <f>IF(ISNUMBER(CR47),CR47*(1+PortfolioFrontier[[#This Row],[P24 Return]]),1+PortfolioFrontier[[#This Row],[P24 Return]])</f>
        <v>1.3659520435680597</v>
      </c>
      <c r="CS48" s="27">
        <f>MAX(CS47,PortfolioFrontier[[#This Row],[P24 Growth]])</f>
        <v>1.3659520435680597</v>
      </c>
      <c r="CT48" s="27">
        <f>PortfolioFrontier[[#This Row],[P24 Growth]]/PortfolioFrontier[[#This Row],[P24 HWM]]-1</f>
        <v>0</v>
      </c>
      <c r="CU48" s="28">
        <f>SUMPRODUCT(INDEX(PortfolioRef[[SPY]:[PE]],MATCH(CU$1,PortfolioRef[Reference '#]),0),AssetMonthlyReturns[[#This Row],[SPY]:[PE]])</f>
        <v>1.6045280493308112E-2</v>
      </c>
      <c r="CV48" s="27">
        <f>IF(ISNUMBER(CV47),CV47*(1+PortfolioFrontier[[#This Row],[P25 Return]]),1+PortfolioFrontier[[#This Row],[P25 Return]])</f>
        <v>1.3470227610535963</v>
      </c>
      <c r="CW48" s="27">
        <f>MAX(CW47,PortfolioFrontier[[#This Row],[P25 Growth]])</f>
        <v>1.3470227610535963</v>
      </c>
      <c r="CX48" s="27">
        <f>PortfolioFrontier[[#This Row],[P25 Growth]]/PortfolioFrontier[[#This Row],[P25 HWM]]-1</f>
        <v>0</v>
      </c>
      <c r="CY48" s="28">
        <f>SUMPRODUCT(INDEX(PortfolioRef[[SPY]:[PE]],MATCH(CY$1,PortfolioRef[Reference '#]),0),AssetMonthlyReturns[[#This Row],[SPY]:[PE]])</f>
        <v>1.9202126831527735E-2</v>
      </c>
      <c r="CZ48" s="27">
        <f>IF(ISNUMBER(CZ47),CZ47*(1+PortfolioFrontier[[#This Row],[P26 Return]]),1+PortfolioFrontier[[#This Row],[P26 Return]])</f>
        <v>1.3833685265112829</v>
      </c>
      <c r="DA48" s="27">
        <f>MAX(DA47,PortfolioFrontier[[#This Row],[P26 Growth]])</f>
        <v>1.3833685265112829</v>
      </c>
      <c r="DB48" s="27">
        <f>PortfolioFrontier[[#This Row],[P26 Growth]]/PortfolioFrontier[[#This Row],[P26 HWM]]-1</f>
        <v>0</v>
      </c>
      <c r="DC48" s="28">
        <f>SUMPRODUCT(INDEX(PortfolioRef[[SPY]:[PE]],MATCH(DC$1,PortfolioRef[Reference '#]),0),AssetMonthlyReturns[[#This Row],[SPY]:[PE]])</f>
        <v>1.8688316833872363E-2</v>
      </c>
      <c r="DD48" s="27">
        <f>IF(ISNUMBER(DD47),DD47*(1+PortfolioFrontier[[#This Row],[P27 Return]]),1+PortfolioFrontier[[#This Row],[P27 Return]])</f>
        <v>1.3643059117737653</v>
      </c>
      <c r="DE48" s="27">
        <f>MAX(DE47,PortfolioFrontier[[#This Row],[P27 Growth]])</f>
        <v>1.3643059117737653</v>
      </c>
      <c r="DF48" s="27">
        <f>PortfolioFrontier[[#This Row],[P27 Growth]]/PortfolioFrontier[[#This Row],[P27 HWM]]-1</f>
        <v>0</v>
      </c>
      <c r="DG48" s="28">
        <f>SUMPRODUCT(INDEX(PortfolioRef[[SPY]:[PE]],MATCH(DG$1,PortfolioRef[Reference '#]),0),AssetMonthlyReturns[[#This Row],[SPY]:[PE]])</f>
        <v>1.8109727178394354E-2</v>
      </c>
      <c r="DH48" s="27">
        <f>IF(ISNUMBER(DH47),DH47*(1+PortfolioFrontier[[#This Row],[P28 Return]]),1+PortfolioFrontier[[#This Row],[P28 Return]])</f>
        <v>1.3900562895802888</v>
      </c>
      <c r="DI48" s="27">
        <f>MAX(DI47,PortfolioFrontier[[#This Row],[P28 Growth]])</f>
        <v>1.3900562895802888</v>
      </c>
      <c r="DJ48" s="27">
        <f>PortfolioFrontier[[#This Row],[P28 Growth]]/PortfolioFrontier[[#This Row],[P28 HWM]]-1</f>
        <v>0</v>
      </c>
      <c r="DK48" s="28">
        <f>SUMPRODUCT(INDEX(PortfolioRef[[SPY]:[PE]],MATCH(DK$1,PortfolioRef[Reference '#]),0),AssetMonthlyReturns[[#This Row],[SPY]:[PE]])</f>
        <v>1.7595917180738985E-2</v>
      </c>
      <c r="DL48" s="27">
        <f>IF(ISNUMBER(DL47),DL47*(1+PortfolioFrontier[[#This Row],[P29 Return]]),1+PortfolioFrontier[[#This Row],[P29 Return]])</f>
        <v>1.3710493073825181</v>
      </c>
      <c r="DM48" s="27">
        <f>MAX(DM47,PortfolioFrontier[[#This Row],[P29 Growth]])</f>
        <v>1.3710493073825181</v>
      </c>
      <c r="DN48" s="27">
        <f>PortfolioFrontier[[#This Row],[P29 Growth]]/PortfolioFrontier[[#This Row],[P29 HWM]]-1</f>
        <v>0</v>
      </c>
      <c r="DO48" s="28">
        <f>SUMPRODUCT(INDEX(PortfolioRef[[SPY]:[PE]],MATCH(DO$1,PortfolioRef[Reference '#]),0),AssetMonthlyReturns[[#This Row],[SPY]:[PE]])</f>
        <v>1.7082107183083617E-2</v>
      </c>
      <c r="DP48" s="27">
        <f>IF(ISNUMBER(DP47),DP47*(1+PortfolioFrontier[[#This Row],[P30 Return]]),1+PortfolioFrontier[[#This Row],[P30 Return]])</f>
        <v>1.3520730912994043</v>
      </c>
      <c r="DQ48" s="27">
        <f>MAX(DQ47,PortfolioFrontier[[#This Row],[P30 Growth]])</f>
        <v>1.3520730912994043</v>
      </c>
      <c r="DR48" s="27">
        <f>PortfolioFrontier[[#This Row],[P30 Growth]]/PortfolioFrontier[[#This Row],[P30 HWM]]-1</f>
        <v>0</v>
      </c>
      <c r="DS48" s="28">
        <f>SUMPRODUCT(INDEX(PortfolioRef[[SPY]:[PE]],MATCH(DS$1,PortfolioRef[Reference '#]),0),AssetMonthlyReturns[[#This Row],[SPY]:[PE]])</f>
        <v>1.7017327525260972E-2</v>
      </c>
      <c r="DT48" s="27">
        <f>IF(ISNUMBER(DT47),DT47*(1+PortfolioFrontier[[#This Row],[P31 Return]]),1+PortfolioFrontier[[#This Row],[P31 Return]])</f>
        <v>1.3964505476516273</v>
      </c>
      <c r="DU48" s="27">
        <f>MAX(DU47,PortfolioFrontier[[#This Row],[P31 Growth]])</f>
        <v>1.3964505476516273</v>
      </c>
      <c r="DV48" s="27">
        <f>PortfolioFrontier[[#This Row],[P31 Growth]]/PortfolioFrontier[[#This Row],[P31 HWM]]-1</f>
        <v>0</v>
      </c>
      <c r="DW48" s="28">
        <f>SUMPRODUCT(INDEX(PortfolioRef[[SPY]:[PE]],MATCH(DW$1,PortfolioRef[Reference '#]),0),AssetMonthlyReturns[[#This Row],[SPY]:[PE]])</f>
        <v>1.6503517527605604E-2</v>
      </c>
      <c r="DX48" s="27">
        <f>IF(ISNUMBER(DX47),DX47*(1+PortfolioFrontier[[#This Row],[P32 Return]]),1+PortfolioFrontier[[#This Row],[P32 Return]])</f>
        <v>1.3775046986281727</v>
      </c>
      <c r="DY48" s="27">
        <f>MAX(DY47,PortfolioFrontier[[#This Row],[P32 Growth]])</f>
        <v>1.3775046986281727</v>
      </c>
      <c r="DZ48" s="27">
        <f>PortfolioFrontier[[#This Row],[P32 Growth]]/PortfolioFrontier[[#This Row],[P32 HWM]]-1</f>
        <v>0</v>
      </c>
      <c r="EA48" s="28">
        <f>SUMPRODUCT(INDEX(PortfolioRef[[SPY]:[PE]],MATCH(EA$1,PortfolioRef[Reference '#]),0),AssetMonthlyReturns[[#This Row],[SPY]:[PE]])</f>
        <v>1.5989707529950235E-2</v>
      </c>
      <c r="EB48" s="27">
        <f>IF(ISNUMBER(EB47),EB47*(1+PortfolioFrontier[[#This Row],[P33 Return]]),1+PortfolioFrontier[[#This Row],[P33 Return]])</f>
        <v>1.3585857250368603</v>
      </c>
      <c r="EC48" s="27">
        <f>MAX(EC47,PortfolioFrontier[[#This Row],[P33 Growth]])</f>
        <v>1.3585857250368603</v>
      </c>
      <c r="ED48" s="27">
        <f>PortfolioFrontier[[#This Row],[P33 Growth]]/PortfolioFrontier[[#This Row],[P33 HWM]]-1</f>
        <v>0</v>
      </c>
      <c r="EE48" s="28">
        <f>SUMPRODUCT(INDEX(PortfolioRef[[SPY]:[PE]],MATCH(EE$1,PortfolioRef[Reference '#]),0),AssetMonthlyReturns[[#This Row],[SPY]:[PE]])</f>
        <v>1.8171511362064695E-2</v>
      </c>
      <c r="EF48" s="27">
        <f>IF(ISNUMBER(EF47),EF47*(1+PortfolioFrontier[[#This Row],[P34 Return]]),1+PortfolioFrontier[[#This Row],[P34 Return]])</f>
        <v>1.3353921652256686</v>
      </c>
      <c r="EG48" s="27">
        <f>MAX(EG47,PortfolioFrontier[[#This Row],[P34 Growth]])</f>
        <v>1.3353921652256686</v>
      </c>
      <c r="EH48" s="27">
        <f>PortfolioFrontier[[#This Row],[P34 Growth]]/PortfolioFrontier[[#This Row],[P34 HWM]]-1</f>
        <v>0</v>
      </c>
      <c r="EI48" s="28">
        <f>SUMPRODUCT(INDEX(PortfolioRef[[SPY]:[PE]],MATCH(EI$1,PortfolioRef[Reference '#]),0),AssetMonthlyReturns[[#This Row],[SPY]:[PE]])</f>
        <v>1.9208338051840201E-2</v>
      </c>
      <c r="EJ48" s="27">
        <f>IF(ISNUMBER(EJ47),EJ47*(1+PortfolioFrontier[[#This Row],[P35 Return]]),1+PortfolioFrontier[[#This Row],[P35 Return]])</f>
        <v>1.3403213085185204</v>
      </c>
      <c r="EK48" s="27">
        <f>MAX(EK47,PortfolioFrontier[[#This Row],[P35 Growth]])</f>
        <v>1.3403213085185204</v>
      </c>
      <c r="EL48" s="27">
        <f>PortfolioFrontier[[#This Row],[P35 Growth]]/PortfolioFrontier[[#This Row],[P35 HWM]]-1</f>
        <v>0</v>
      </c>
      <c r="EM48" s="28">
        <f>SUMPRODUCT(INDEX(PortfolioRef[[SPY]:[PE]],MATCH(EM$1,PortfolioRef[Reference '#]),0),AssetMonthlyReturns[[#This Row],[SPY]:[PE]])</f>
        <v>1.8115938398706823E-2</v>
      </c>
      <c r="EN48" s="27">
        <f>IF(ISNUMBER(EN47),EN47*(1+PortfolioFrontier[[#This Row],[P36 Return]]),1+PortfolioFrontier[[#This Row],[P36 Return]])</f>
        <v>1.3469723823844473</v>
      </c>
      <c r="EO48" s="27">
        <f>MAX(EO47,PortfolioFrontier[[#This Row],[P36 Growth]])</f>
        <v>1.3469723823844473</v>
      </c>
      <c r="EP48" s="27">
        <f>PortfolioFrontier[[#This Row],[P36 Growth]]/PortfolioFrontier[[#This Row],[P36 HWM]]-1</f>
        <v>0</v>
      </c>
      <c r="EQ48" s="28">
        <f>SUMPRODUCT(INDEX(PortfolioRef[[SPY]:[PE]],MATCH(EQ$1,PortfolioRef[Reference '#]),0),AssetMonthlyReturns[[#This Row],[SPY]:[PE]])</f>
        <v>1.7602128401051451E-2</v>
      </c>
      <c r="ER48" s="27">
        <f>IF(ISNUMBER(ER47),ER47*(1+PortfolioFrontier[[#This Row],[P37 Return]]),1+PortfolioFrontier[[#This Row],[P37 Return]])</f>
        <v>1.3282975843357441</v>
      </c>
      <c r="ES48" s="27">
        <f>MAX(ES47,PortfolioFrontier[[#This Row],[P37 Growth]])</f>
        <v>1.3282975843357441</v>
      </c>
      <c r="ET48" s="27">
        <f>PortfolioFrontier[[#This Row],[P37 Growth]]/PortfolioFrontier[[#This Row],[P37 HWM]]-1</f>
        <v>0</v>
      </c>
      <c r="EU48" s="28">
        <f>SUMPRODUCT(INDEX(PortfolioRef[[SPY]:[PE]],MATCH(EU$1,PortfolioRef[Reference '#]),0),AssetMonthlyReturns[[#This Row],[SPY]:[PE]])</f>
        <v>2.0245164741615706E-2</v>
      </c>
      <c r="EV48" s="27">
        <f>IF(ISNUMBER(EV47),EV47*(1+PortfolioFrontier[[#This Row],[P38 Return]]),1+PortfolioFrontier[[#This Row],[P38 Return]])</f>
        <v>1.3451370933874456</v>
      </c>
      <c r="EW48" s="27">
        <f>MAX(EW47,PortfolioFrontier[[#This Row],[P38 Growth]])</f>
        <v>1.3451370933874456</v>
      </c>
      <c r="EX48" s="27">
        <f>PortfolioFrontier[[#This Row],[P38 Growth]]/PortfolioFrontier[[#This Row],[P38 HWM]]-1</f>
        <v>0</v>
      </c>
      <c r="EY48" s="28">
        <f>SUMPRODUCT(INDEX(PortfolioRef[[SPY]:[PE]],MATCH(EY$1,PortfolioRef[Reference '#]),0),AssetMonthlyReturns[[#This Row],[SPY]:[PE]])</f>
        <v>1.9152765088482328E-2</v>
      </c>
      <c r="EZ48" s="27">
        <f>IF(ISNUMBER(EZ47),EZ47*(1+PortfolioFrontier[[#This Row],[P39 Return]]),1+PortfolioFrontier[[#This Row],[P39 Return]])</f>
        <v>1.3519474812509076</v>
      </c>
      <c r="FA48" s="27">
        <f>MAX(FA47,PortfolioFrontier[[#This Row],[P39 Growth]])</f>
        <v>1.3519474812509076</v>
      </c>
      <c r="FB48" s="27">
        <f>PortfolioFrontier[[#This Row],[P39 Growth]]/PortfolioFrontier[[#This Row],[P39 HWM]]-1</f>
        <v>0</v>
      </c>
      <c r="FC48" s="28">
        <f>SUMPRODUCT(INDEX(PortfolioRef[[SPY]:[PE]],MATCH(FC$1,PortfolioRef[Reference '#]),0),AssetMonthlyReturns[[#This Row],[SPY]:[PE]])</f>
        <v>1.8638955090826956E-2</v>
      </c>
      <c r="FD48" s="27">
        <f>IF(ISNUMBER(FD47),FD47*(1+PortfolioFrontier[[#This Row],[P40 Return]]),1+PortfolioFrontier[[#This Row],[P40 Return]])</f>
        <v>1.3332272000035883</v>
      </c>
      <c r="FE48" s="27">
        <f>MAX(FE47,PortfolioFrontier[[#This Row],[P40 Growth]])</f>
        <v>1.3332272000035883</v>
      </c>
      <c r="FF48" s="27">
        <f>PortfolioFrontier[[#This Row],[P40 Growth]]/PortfolioFrontier[[#This Row],[P40 HWM]]-1</f>
        <v>0</v>
      </c>
      <c r="FG48" s="28">
        <f>SUMPRODUCT(INDEX(PortfolioRef[[SPY]:[PE]],MATCH(FG$1,PortfolioRef[Reference '#]),0),AssetMonthlyReturns[[#This Row],[SPY]:[PE]])</f>
        <v>1.8060365435348946E-2</v>
      </c>
      <c r="FH48" s="27">
        <f>IF(ISNUMBER(FH47),FH47*(1+PortfolioFrontier[[#This Row],[P41 Return]]),1+PortfolioFrontier[[#This Row],[P41 Return]])</f>
        <v>1.3584760333753265</v>
      </c>
      <c r="FI48" s="27">
        <f>MAX(FI47,PortfolioFrontier[[#This Row],[P41 Growth]])</f>
        <v>1.3584760333753265</v>
      </c>
      <c r="FJ48" s="27">
        <f>PortfolioFrontier[[#This Row],[P41 Growth]]/PortfolioFrontier[[#This Row],[P41 HWM]]-1</f>
        <v>0</v>
      </c>
      <c r="FK48" s="28">
        <f>SUMPRODUCT(INDEX(PortfolioRef[[SPY]:[PE]],MATCH(FK$1,PortfolioRef[Reference '#]),0),AssetMonthlyReturns[[#This Row],[SPY]:[PE]])</f>
        <v>1.7546555437693578E-2</v>
      </c>
      <c r="FL48" s="27">
        <f>IF(ISNUMBER(FL47),FL47*(1+PortfolioFrontier[[#This Row],[P42 Return]]),1+PortfolioFrontier[[#This Row],[P42 Return]])</f>
        <v>1.3398096374084578</v>
      </c>
      <c r="FM48" s="27">
        <f>MAX(FM47,PortfolioFrontier[[#This Row],[P42 Growth]])</f>
        <v>1.3398096374084578</v>
      </c>
      <c r="FN48" s="27">
        <f>PortfolioFrontier[[#This Row],[P42 Growth]]/PortfolioFrontier[[#This Row],[P42 HWM]]-1</f>
        <v>0</v>
      </c>
      <c r="FO48" s="28">
        <f>SUMPRODUCT(INDEX(PortfolioRef[[SPY]:[PE]],MATCH(FO$1,PortfolioRef[Reference '#]),0),AssetMonthlyReturns[[#This Row],[SPY]:[PE]])</f>
        <v>1.7032745440038213E-2</v>
      </c>
      <c r="FP48" s="27">
        <f>IF(ISNUMBER(FP47),FP47*(1+PortfolioFrontier[[#This Row],[P43 Return]]),1+PortfolioFrontier[[#This Row],[P43 Return]])</f>
        <v>1.3211756589392865</v>
      </c>
      <c r="FQ48" s="27">
        <f>MAX(FQ47,PortfolioFrontier[[#This Row],[P43 Growth]])</f>
        <v>1.3211756589392865</v>
      </c>
      <c r="FR48" s="27">
        <f>PortfolioFrontier[[#This Row],[P43 Growth]]/PortfolioFrontier[[#This Row],[P43 HWM]]-1</f>
        <v>0</v>
      </c>
      <c r="FS48" s="28">
        <f>SUMPRODUCT(INDEX(PortfolioRef[[SPY]:[PE]],MATCH(FS$1,PortfolioRef[Reference '#]),0),AssetMonthlyReturns[[#This Row],[SPY]:[PE]])</f>
        <v>2.0189591778257833E-2</v>
      </c>
      <c r="FT48" s="27">
        <f>IF(ISNUMBER(FT47),FT47*(1+PortfolioFrontier[[#This Row],[P44 Return]]),1+PortfolioFrontier[[#This Row],[P44 Return]])</f>
        <v>1.3568083584051134</v>
      </c>
      <c r="FU48" s="27">
        <f>MAX(FU47,PortfolioFrontier[[#This Row],[P44 Growth]])</f>
        <v>1.3568083584051134</v>
      </c>
      <c r="FV48" s="27">
        <f>PortfolioFrontier[[#This Row],[P44 Growth]]/PortfolioFrontier[[#This Row],[P44 HWM]]-1</f>
        <v>0</v>
      </c>
      <c r="FW48" s="28">
        <f>SUMPRODUCT(INDEX(PortfolioRef[[SPY]:[PE]],MATCH(FW$1,PortfolioRef[Reference '#]),0),AssetMonthlyReturns[[#This Row],[SPY]:[PE]])</f>
        <v>1.9675781780602464E-2</v>
      </c>
      <c r="FX48" s="27">
        <f>IF(ISNUMBER(FX47),FX47*(1+PortfolioFrontier[[#This Row],[P45 Return]]),1+PortfolioFrontier[[#This Row],[P45 Return]])</f>
        <v>1.3380442093305378</v>
      </c>
      <c r="FY48" s="27">
        <f>MAX(FY47,PortfolioFrontier[[#This Row],[P45 Growth]])</f>
        <v>1.3380442093305378</v>
      </c>
      <c r="FZ48" s="27">
        <f>PortfolioFrontier[[#This Row],[P45 Growth]]/PortfolioFrontier[[#This Row],[P45 HWM]]-1</f>
        <v>0</v>
      </c>
      <c r="GA48" s="28">
        <f>SUMPRODUCT(INDEX(PortfolioRef[[SPY]:[PE]],MATCH(GA$1,PortfolioRef[Reference '#]),0),AssetMonthlyReturns[[#This Row],[SPY]:[PE]])</f>
        <v>1.9097192125124451E-2</v>
      </c>
      <c r="GB48" s="27">
        <f>IF(ISNUMBER(GB47),GB47*(1+PortfolioFrontier[[#This Row],[P46 Return]]),1+PortfolioFrontier[[#This Row],[P46 Return]])</f>
        <v>1.3634970412153742</v>
      </c>
      <c r="GC48" s="27">
        <f>MAX(GC47,PortfolioFrontier[[#This Row],[P46 Growth]])</f>
        <v>1.3634970412153742</v>
      </c>
      <c r="GD48" s="27">
        <f>PortfolioFrontier[[#This Row],[P46 Growth]]/PortfolioFrontier[[#This Row],[P46 HWM]]-1</f>
        <v>0</v>
      </c>
      <c r="GE48" s="28">
        <f>SUMPRODUCT(INDEX(PortfolioRef[[SPY]:[PE]],MATCH(GE$1,PortfolioRef[Reference '#]),0),AssetMonthlyReturns[[#This Row],[SPY]:[PE]])</f>
        <v>1.8583382127469083E-2</v>
      </c>
      <c r="GF48" s="27">
        <f>IF(ISNUMBER(GF47),GF47*(1+PortfolioFrontier[[#This Row],[P47 Return]]),1+PortfolioFrontier[[#This Row],[P47 Return]])</f>
        <v>1.3447852194316379</v>
      </c>
      <c r="GG48" s="27">
        <f>MAX(GG47,PortfolioFrontier[[#This Row],[P47 Growth]])</f>
        <v>1.3447852194316379</v>
      </c>
      <c r="GH48" s="27">
        <f>PortfolioFrontier[[#This Row],[P47 Growth]]/PortfolioFrontier[[#This Row],[P47 HWM]]-1</f>
        <v>0</v>
      </c>
      <c r="GI48" s="28">
        <f>SUMPRODUCT(INDEX(PortfolioRef[[SPY]:[PE]],MATCH(GI$1,PortfolioRef[Reference '#]),0),AssetMonthlyReturns[[#This Row],[SPY]:[PE]])</f>
        <v>1.8069572129813714E-2</v>
      </c>
      <c r="GJ48" s="27">
        <f>IF(ISNUMBER(GJ47),GJ47*(1+PortfolioFrontier[[#This Row],[P48 Return]]),1+PortfolioFrontier[[#This Row],[P48 Return]])</f>
        <v>1.3261053643353899</v>
      </c>
      <c r="GK48" s="27">
        <f>MAX(GK47,PortfolioFrontier[[#This Row],[P48 Growth]])</f>
        <v>1.3261053643353899</v>
      </c>
      <c r="GL48" s="27">
        <f>PortfolioFrontier[[#This Row],[P48 Growth]]/PortfolioFrontier[[#This Row],[P48 HWM]]-1</f>
        <v>0</v>
      </c>
      <c r="GM48" s="28">
        <f>SUMPRODUCT(INDEX(PortfolioRef[[SPY]:[PE]],MATCH(GM$1,PortfolioRef[Reference '#]),0),AssetMonthlyReturns[[#This Row],[SPY]:[PE]])</f>
        <v>1.8004792471991073E-2</v>
      </c>
      <c r="GN48" s="27">
        <f>IF(ISNUMBER(GN47),GN47*(1+PortfolioFrontier[[#This Row],[P49 Return]]),1+PortfolioFrontier[[#This Row],[P49 Return]])</f>
        <v>1.3698993704585207</v>
      </c>
      <c r="GO48" s="27">
        <f>MAX(GO47,PortfolioFrontier[[#This Row],[P49 Growth]])</f>
        <v>1.3698993704585207</v>
      </c>
      <c r="GP48" s="27">
        <f>PortfolioFrontier[[#This Row],[P49 Growth]]/PortfolioFrontier[[#This Row],[P49 HWM]]-1</f>
        <v>0</v>
      </c>
      <c r="GQ48" s="28">
        <f>SUMPRODUCT(INDEX(PortfolioRef[[SPY]:[PE]],MATCH(GQ$1,PortfolioRef[Reference '#]),0),AssetMonthlyReturns[[#This Row],[SPY]:[PE]])</f>
        <v>1.7490982474335705E-2</v>
      </c>
      <c r="GR48" s="27">
        <f>IF(ISNUMBER(GR47),GR47*(1+PortfolioFrontier[[#This Row],[P50 Return]]),1+PortfolioFrontier[[#This Row],[P50 Return]])</f>
        <v>1.3512452775810491</v>
      </c>
      <c r="GS48" s="27">
        <f>MAX(GS47,PortfolioFrontier[[#This Row],[P50 Growth]])</f>
        <v>1.3512452775810491</v>
      </c>
      <c r="GT48" s="27">
        <f>PortfolioFrontier[[#This Row],[P50 Growth]]/PortfolioFrontier[[#This Row],[P50 HWM]]-1</f>
        <v>0</v>
      </c>
      <c r="GU48" s="28">
        <f>SUMPRODUCT(INDEX(PortfolioRef[[SPY]:[PE]],MATCH(GU$1,PortfolioRef[Reference '#]),0),AssetMonthlyReturns[[#This Row],[SPY]:[PE]])</f>
        <v>1.6977172476680336E-2</v>
      </c>
      <c r="GV48" s="27">
        <f>IF(ISNUMBER(GV47),GV47*(1+PortfolioFrontier[[#This Row],[P51 Return]]),1+PortfolioFrontier[[#This Row],[P51 Return]])</f>
        <v>1.3326193457404765</v>
      </c>
      <c r="GW48" s="27">
        <f>MAX(GW47,PortfolioFrontier[[#This Row],[P51 Growth]])</f>
        <v>1.3326193457404765</v>
      </c>
      <c r="GX48" s="27">
        <f>PortfolioFrontier[[#This Row],[P51 Growth]]/PortfolioFrontier[[#This Row],[P51 HWM]]-1</f>
        <v>0</v>
      </c>
      <c r="GY48" s="28">
        <f>SUMPRODUCT(INDEX(PortfolioRef[[SPY]:[PE]],MATCH(GY$1,PortfolioRef[Reference '#]),0),AssetMonthlyReturns[[#This Row],[SPY]:[PE]])</f>
        <v>2.0134018814899957E-2</v>
      </c>
      <c r="GZ48" s="27">
        <f>IF(ISNUMBER(GZ47),GZ47*(1+PortfolioFrontier[[#This Row],[P52 Return]]),1+PortfolioFrontier[[#This Row],[P52 Return]])</f>
        <v>1.3684029722493223</v>
      </c>
      <c r="HA48" s="27">
        <f>MAX(HA47,PortfolioFrontier[[#This Row],[P52 Growth]])</f>
        <v>1.3684029722493223</v>
      </c>
      <c r="HB48" s="27">
        <f>PortfolioFrontier[[#This Row],[P52 Growth]]/PortfolioFrontier[[#This Row],[P52 HWM]]-1</f>
        <v>0</v>
      </c>
      <c r="HC48" s="28">
        <f>SUMPRODUCT(INDEX(PortfolioRef[[SPY]:[PE]],MATCH(HC$1,PortfolioRef[Reference '#]),0),AssetMonthlyReturns[[#This Row],[SPY]:[PE]])</f>
        <v>1.9620208817244588E-2</v>
      </c>
      <c r="HD48" s="27">
        <f>IF(ISNUMBER(HD47),HD47*(1+PortfolioFrontier[[#This Row],[P53 Return]]),1+PortfolioFrontier[[#This Row],[P53 Return]])</f>
        <v>1.3496473388218579</v>
      </c>
      <c r="HE48" s="27">
        <f>MAX(HE47,PortfolioFrontier[[#This Row],[P53 Growth]])</f>
        <v>1.3496473388218579</v>
      </c>
      <c r="HF48" s="27">
        <f>PortfolioFrontier[[#This Row],[P53 Growth]]/PortfolioFrontier[[#This Row],[P53 HWM]]-1</f>
        <v>0</v>
      </c>
      <c r="HG48" s="28">
        <f>SUMPRODUCT(INDEX(PortfolioRef[[SPY]:[PE]],MATCH(HG$1,PortfolioRef[Reference '#]),0),AssetMonthlyReturns[[#This Row],[SPY]:[PE]])</f>
        <v>1.9106398819589223E-2</v>
      </c>
      <c r="HH48" s="27">
        <f>IF(ISNUMBER(HH47),HH47*(1+PortfolioFrontier[[#This Row],[P54 Return]]),1+PortfolioFrontier[[#This Row],[P54 Return]])</f>
        <v>1.3309232164629301</v>
      </c>
      <c r="HI48" s="27">
        <f>MAX(HI47,PortfolioFrontier[[#This Row],[P54 Growth]])</f>
        <v>1.3309232164629301</v>
      </c>
      <c r="HJ48" s="27">
        <f>PortfolioFrontier[[#This Row],[P54 Growth]]/PortfolioFrontier[[#This Row],[P54 HWM]]-1</f>
        <v>0</v>
      </c>
      <c r="HK48" s="28">
        <f>SUMPRODUCT(INDEX(PortfolioRef[[SPY]:[PE]],MATCH(HK$1,PortfolioRef[Reference '#]),0),AssetMonthlyReturns[[#This Row],[SPY]:[PE]])</f>
        <v>1.9041619161766575E-2</v>
      </c>
      <c r="HL48" s="27">
        <f>IF(ISNUMBER(HL47),HL47*(1+PortfolioFrontier[[#This Row],[P55 Return]]),1+PortfolioFrontier[[#This Row],[P55 Return]])</f>
        <v>1.374966231742059</v>
      </c>
      <c r="HM48" s="27">
        <f>MAX(HM47,PortfolioFrontier[[#This Row],[P55 Growth]])</f>
        <v>1.374966231742059</v>
      </c>
      <c r="HN48" s="27">
        <f>PortfolioFrontier[[#This Row],[P55 Growth]]/PortfolioFrontier[[#This Row],[P55 HWM]]-1</f>
        <v>0</v>
      </c>
      <c r="HO48" s="28">
        <f>SUMPRODUCT(INDEX(PortfolioRef[[SPY]:[PE]],MATCH(HO$1,PortfolioRef[Reference '#]),0),AssetMonthlyReturns[[#This Row],[SPY]:[PE]])</f>
        <v>1.8527809164111207E-2</v>
      </c>
      <c r="HP48" s="27">
        <f>IF(ISNUMBER(HP47),HP47*(1+PortfolioFrontier[[#This Row],[P56 Return]]),1+PortfolioFrontier[[#This Row],[P56 Return]])</f>
        <v>1.356266779034806</v>
      </c>
      <c r="HQ48" s="27">
        <f>MAX(HQ47,PortfolioFrontier[[#This Row],[P56 Growth]])</f>
        <v>1.356266779034806</v>
      </c>
      <c r="HR48" s="27">
        <f>PortfolioFrontier[[#This Row],[P56 Growth]]/PortfolioFrontier[[#This Row],[P56 HWM]]-1</f>
        <v>0</v>
      </c>
      <c r="HS48" s="28">
        <f>SUMPRODUCT(INDEX(PortfolioRef[[SPY]:[PE]],MATCH(HS$1,PortfolioRef[Reference '#]),0),AssetMonthlyReturns[[#This Row],[SPY]:[PE]])</f>
        <v>1.8013999166455838E-2</v>
      </c>
      <c r="HT48" s="27">
        <f>IF(ISNUMBER(HT47),HT47*(1+PortfolioFrontier[[#This Row],[P57 Return]]),1+PortfolioFrontier[[#This Row],[P57 Return]])</f>
        <v>1.337595024415057</v>
      </c>
      <c r="HU48" s="27">
        <f>MAX(HU47,PortfolioFrontier[[#This Row],[P57 Growth]])</f>
        <v>1.337595024415057</v>
      </c>
      <c r="HV48" s="27">
        <f>PortfolioFrontier[[#This Row],[P57 Growth]]/PortfolioFrontier[[#This Row],[P57 HWM]]-1</f>
        <v>0</v>
      </c>
      <c r="HW48" s="28">
        <f>SUMPRODUCT(INDEX(PortfolioRef[[SPY]:[PE]],MATCH(HW$1,PortfolioRef[Reference '#]),0),AssetMonthlyReturns[[#This Row],[SPY]:[PE]])</f>
        <v>1.7949219508633197E-2</v>
      </c>
      <c r="HX48" s="27">
        <f>IF(ISNUMBER(HX47),HX47*(1+PortfolioFrontier[[#This Row],[P58 Return]]),1+PortfolioFrontier[[#This Row],[P58 Return]])</f>
        <v>1.3812386241053227</v>
      </c>
      <c r="HY48" s="27">
        <f>MAX(HY47,PortfolioFrontier[[#This Row],[P58 Growth]])</f>
        <v>1.3812386241053227</v>
      </c>
      <c r="HZ48" s="27">
        <f>PortfolioFrontier[[#This Row],[P58 Growth]]/PortfolioFrontier[[#This Row],[P58 HWM]]-1</f>
        <v>0</v>
      </c>
      <c r="IA48" s="28">
        <f>SUMPRODUCT(INDEX(PortfolioRef[[SPY]:[PE]],MATCH(IA$1,PortfolioRef[Reference '#]),0),AssetMonthlyReturns[[#This Row],[SPY]:[PE]])</f>
        <v>1.7435409510977828E-2</v>
      </c>
      <c r="IB48" s="27">
        <f>IF(ISNUMBER(IB47),IB47*(1+PortfolioFrontier[[#This Row],[P59 Return]]),1+PortfolioFrontier[[#This Row],[P59 Return]])</f>
        <v>1.362600772073006</v>
      </c>
      <c r="IC48" s="27">
        <f>MAX(IC47,PortfolioFrontier[[#This Row],[P59 Growth]])</f>
        <v>1.362600772073006</v>
      </c>
      <c r="ID48" s="27">
        <f>PortfolioFrontier[[#This Row],[P59 Growth]]/PortfolioFrontier[[#This Row],[P59 HWM]]-1</f>
        <v>0</v>
      </c>
      <c r="IE48" s="28">
        <f>SUMPRODUCT(INDEX(PortfolioRef[[SPY]:[PE]],MATCH(IE$1,PortfolioRef[Reference '#]),0),AssetMonthlyReturns[[#This Row],[SPY]:[PE]])</f>
        <v>1.6921599513322463E-2</v>
      </c>
      <c r="IF48" s="27">
        <f>IF(ISNUMBER(IF47),IF47*(1+PortfolioFrontier[[#This Row],[P60 Return]]),1+PortfolioFrontier[[#This Row],[P60 Return]])</f>
        <v>1.3439867749591152</v>
      </c>
      <c r="IG48" s="27">
        <f>MAX(IG47,PortfolioFrontier[[#This Row],[P60 Growth]])</f>
        <v>1.3439867749591152</v>
      </c>
      <c r="IH48" s="27">
        <f>PortfolioFrontier[[#This Row],[P60 Growth]]/PortfolioFrontier[[#This Row],[P60 HWM]]-1</f>
        <v>0</v>
      </c>
      <c r="II48" s="28">
        <f>SUMPRODUCT(INDEX(PortfolioRef[[SPY]:[PE]],MATCH(II$1,PortfolioRef[Reference '#]),0),AssetMonthlyReturns[[#This Row],[SPY]:[PE]])</f>
        <v>1.9158976308794796E-2</v>
      </c>
      <c r="IJ48" s="27">
        <f>IF(ISNUMBER(IJ47),IJ47*(1+PortfolioFrontier[[#This Row],[P61 Return]]),1+PortfolioFrontier[[#This Row],[P61 Return]])</f>
        <v>1.3094981526620968</v>
      </c>
      <c r="IK48" s="27">
        <f>MAX(IK47,PortfolioFrontier[[#This Row],[P61 Growth]])</f>
        <v>1.3094981526620968</v>
      </c>
      <c r="IL48" s="27">
        <f>PortfolioFrontier[[#This Row],[P61 Growth]]/PortfolioFrontier[[#This Row],[P61 HWM]]-1</f>
        <v>0</v>
      </c>
      <c r="IM48" s="28">
        <f>SUMPRODUCT(INDEX(PortfolioRef[[SPY]:[PE]],MATCH(IM$1,PortfolioRef[Reference '#]),0),AssetMonthlyReturns[[#This Row],[SPY]:[PE]])</f>
        <v>2.0195802998570298E-2</v>
      </c>
      <c r="IN48" s="27">
        <f>IF(ISNUMBER(IN47),IN47*(1+PortfolioFrontier[[#This Row],[P62 Return]]),1+PortfolioFrontier[[#This Row],[P62 Return]])</f>
        <v>1.3143085617694168</v>
      </c>
      <c r="IO48" s="27">
        <f>MAX(IO47,PortfolioFrontier[[#This Row],[P62 Growth]])</f>
        <v>1.3143085617694168</v>
      </c>
      <c r="IP48" s="27">
        <f>PortfolioFrontier[[#This Row],[P62 Growth]]/PortfolioFrontier[[#This Row],[P62 HWM]]-1</f>
        <v>0</v>
      </c>
      <c r="IQ48" s="28">
        <f>SUMPRODUCT(INDEX(PortfolioRef[[SPY]:[PE]],MATCH(IQ$1,PortfolioRef[Reference '#]),0),AssetMonthlyReturns[[#This Row],[SPY]:[PE]])</f>
        <v>1.9103403345436924E-2</v>
      </c>
      <c r="IR48" s="27">
        <f>IF(ISNUMBER(IR47),IR47*(1+PortfolioFrontier[[#This Row],[P63 Return]]),1+PortfolioFrontier[[#This Row],[P63 Return]])</f>
        <v>1.3209548791169983</v>
      </c>
      <c r="IS48" s="27">
        <f>MAX(IS47,PortfolioFrontier[[#This Row],[P63 Growth]])</f>
        <v>1.3209548791169983</v>
      </c>
      <c r="IT48" s="27">
        <f>PortfolioFrontier[[#This Row],[P63 Growth]]/PortfolioFrontier[[#This Row],[P63 HWM]]-1</f>
        <v>0</v>
      </c>
      <c r="IU48" s="28">
        <f>SUMPRODUCT(INDEX(PortfolioRef[[SPY]:[PE]],MATCH(IU$1,PortfolioRef[Reference '#]),0),AssetMonthlyReturns[[#This Row],[SPY]:[PE]])</f>
        <v>1.8589593347781552E-2</v>
      </c>
      <c r="IV48" s="27">
        <f>IF(ISNUMBER(IV47),IV47*(1+PortfolioFrontier[[#This Row],[P64 Return]]),1+PortfolioFrontier[[#This Row],[P64 Return]])</f>
        <v>1.302575062579725</v>
      </c>
      <c r="IW48" s="27">
        <f>MAX(IW47,PortfolioFrontier[[#This Row],[P64 Growth]])</f>
        <v>1.302575062579725</v>
      </c>
      <c r="IX48" s="27">
        <f>PortfolioFrontier[[#This Row],[P64 Growth]]/PortfolioFrontier[[#This Row],[P64 HWM]]-1</f>
        <v>0</v>
      </c>
      <c r="IY48" s="28">
        <f>SUMPRODUCT(INDEX(PortfolioRef[[SPY]:[PE]],MATCH(IY$1,PortfolioRef[Reference '#]),0),AssetMonthlyReturns[[#This Row],[SPY]:[PE]])</f>
        <v>2.1232629688345803E-2</v>
      </c>
      <c r="IZ48" s="27">
        <f>IF(ISNUMBER(IZ47),IZ47*(1+PortfolioFrontier[[#This Row],[P65 Return]]),1+PortfolioFrontier[[#This Row],[P65 Return]])</f>
        <v>1.3190074789677764</v>
      </c>
      <c r="JA48" s="27">
        <f>MAX(JA47,PortfolioFrontier[[#This Row],[P65 Growth]])</f>
        <v>1.3190074789677764</v>
      </c>
      <c r="JB48" s="27">
        <f>PortfolioFrontier[[#This Row],[P65 Growth]]/PortfolioFrontier[[#This Row],[P65 HWM]]-1</f>
        <v>0</v>
      </c>
      <c r="JC48" s="28">
        <f>SUMPRODUCT(INDEX(PortfolioRef[[SPY]:[PE]],MATCH(JC$1,PortfolioRef[Reference '#]),0),AssetMonthlyReturns[[#This Row],[SPY]:[PE]])</f>
        <v>2.0140230035212425E-2</v>
      </c>
      <c r="JD48" s="27">
        <f>IF(ISNUMBER(JD47),JD47*(1+PortfolioFrontier[[#This Row],[P66 Return]]),1+PortfolioFrontier[[#This Row],[P66 Return]])</f>
        <v>1.3258104044199521</v>
      </c>
      <c r="JE48" s="27">
        <f>MAX(JE47,PortfolioFrontier[[#This Row],[P66 Growth]])</f>
        <v>1.3258104044199521</v>
      </c>
      <c r="JF48" s="27">
        <f>PortfolioFrontier[[#This Row],[P66 Growth]]/PortfolioFrontier[[#This Row],[P66 HWM]]-1</f>
        <v>0</v>
      </c>
      <c r="JG48" s="28">
        <f>SUMPRODUCT(INDEX(PortfolioRef[[SPY]:[PE]],MATCH(JG$1,PortfolioRef[Reference '#]),0),AssetMonthlyReturns[[#This Row],[SPY]:[PE]])</f>
        <v>1.9626420037557053E-2</v>
      </c>
      <c r="JH48" s="27">
        <f>IF(ISNUMBER(JH47),JH47*(1+PortfolioFrontier[[#This Row],[P67 Return]]),1+PortfolioFrontier[[#This Row],[P67 Return]])</f>
        <v>1.3073861378653062</v>
      </c>
      <c r="JI48" s="27">
        <f>MAX(JI47,PortfolioFrontier[[#This Row],[P67 Growth]])</f>
        <v>1.3073861378653062</v>
      </c>
      <c r="JJ48" s="27">
        <f>PortfolioFrontier[[#This Row],[P67 Growth]]/PortfolioFrontier[[#This Row],[P67 HWM]]-1</f>
        <v>0</v>
      </c>
      <c r="JK48" s="28">
        <f>SUMPRODUCT(INDEX(PortfolioRef[[SPY]:[PE]],MATCH(JK$1,PortfolioRef[Reference '#]),0),AssetMonthlyReturns[[#This Row],[SPY]:[PE]])</f>
        <v>1.9047830382079047E-2</v>
      </c>
      <c r="JL48" s="27">
        <f>IF(ISNUMBER(JL47),JL47*(1+PortfolioFrontier[[#This Row],[P68 Return]]),1+PortfolioFrontier[[#This Row],[P68 Return]])</f>
        <v>1.3323384524872308</v>
      </c>
      <c r="JM48" s="27">
        <f>MAX(JM47,PortfolioFrontier[[#This Row],[P68 Growth]])</f>
        <v>1.3323384524872308</v>
      </c>
      <c r="JN48" s="27">
        <f>PortfolioFrontier[[#This Row],[P68 Growth]]/PortfolioFrontier[[#This Row],[P68 HWM]]-1</f>
        <v>0</v>
      </c>
      <c r="JO48" s="28">
        <f>SUMPRODUCT(INDEX(PortfolioRef[[SPY]:[PE]],MATCH(JO$1,PortfolioRef[Reference '#]),0),AssetMonthlyReturns[[#This Row],[SPY]:[PE]])</f>
        <v>1.8534020384423679E-2</v>
      </c>
      <c r="JP48" s="27">
        <f>IF(ISNUMBER(JP47),JP47*(1+PortfolioFrontier[[#This Row],[P69 Return]]),1+PortfolioFrontier[[#This Row],[P69 Return]])</f>
        <v>1.3139648547532048</v>
      </c>
      <c r="JQ48" s="27">
        <f>MAX(JQ47,PortfolioFrontier[[#This Row],[P69 Growth]])</f>
        <v>1.3139648547532048</v>
      </c>
      <c r="JR48" s="27">
        <f>PortfolioFrontier[[#This Row],[P69 Growth]]/PortfolioFrontier[[#This Row],[P69 HWM]]-1</f>
        <v>0</v>
      </c>
      <c r="JS48" s="28">
        <f>SUMPRODUCT(INDEX(PortfolioRef[[SPY]:[PE]],MATCH(JS$1,PortfolioRef[Reference '#]),0),AssetMonthlyReturns[[#This Row],[SPY]:[PE]])</f>
        <v>1.802021038676831E-2</v>
      </c>
      <c r="JT48" s="27">
        <f>IF(ISNUMBER(JT47),JT47*(1+PortfolioFrontier[[#This Row],[P70 Return]]),1+PortfolioFrontier[[#This Row],[P70 Return]])</f>
        <v>1.2956247967365477</v>
      </c>
      <c r="JU48" s="27">
        <f>MAX(JU47,PortfolioFrontier[[#This Row],[P70 Growth]])</f>
        <v>1.2956247967365477</v>
      </c>
      <c r="JV48" s="27">
        <f>PortfolioFrontier[[#This Row],[P70 Growth]]/PortfolioFrontier[[#This Row],[P70 HWM]]-1</f>
        <v>0</v>
      </c>
      <c r="JW48" s="28">
        <f>SUMPRODUCT(INDEX(PortfolioRef[[SPY]:[PE]],MATCH(JW$1,PortfolioRef[Reference '#]),0),AssetMonthlyReturns[[#This Row],[SPY]:[PE]])</f>
        <v>2.1177056724987934E-2</v>
      </c>
      <c r="JX48" s="27">
        <f>IF(ISNUMBER(JX47),JX47*(1+PortfolioFrontier[[#This Row],[P71 Return]]),1+PortfolioFrontier[[#This Row],[P71 Return]])</f>
        <v>1.3305535794300112</v>
      </c>
      <c r="JY48" s="27">
        <f>MAX(JY47,PortfolioFrontier[[#This Row],[P71 Growth]])</f>
        <v>1.3305535794300112</v>
      </c>
      <c r="JZ48" s="27">
        <f>PortfolioFrontier[[#This Row],[P71 Growth]]/PortfolioFrontier[[#This Row],[P71 HWM]]-1</f>
        <v>0</v>
      </c>
      <c r="KA48" s="28">
        <f>SUMPRODUCT(INDEX(PortfolioRef[[SPY]:[PE]],MATCH(KA$1,PortfolioRef[Reference '#]),0),AssetMonthlyReturns[[#This Row],[SPY]:[PE]])</f>
        <v>2.0663246727332562E-2</v>
      </c>
      <c r="KB48" s="27">
        <f>IF(ISNUMBER(KB47),KB47*(1+PortfolioFrontier[[#This Row],[P72 Return]]),1+PortfolioFrontier[[#This Row],[P72 Return]])</f>
        <v>1.312086457152924</v>
      </c>
      <c r="KC48" s="27">
        <f>MAX(KC47,PortfolioFrontier[[#This Row],[P72 Growth]])</f>
        <v>1.312086457152924</v>
      </c>
      <c r="KD48" s="27">
        <f>PortfolioFrontier[[#This Row],[P72 Growth]]/PortfolioFrontier[[#This Row],[P72 HWM]]-1</f>
        <v>0</v>
      </c>
      <c r="KE48" s="28">
        <f>SUMPRODUCT(INDEX(PortfolioRef[[SPY]:[PE]],MATCH(KE$1,PortfolioRef[Reference '#]),0),AssetMonthlyReturns[[#This Row],[SPY]:[PE]])</f>
        <v>2.0084657071854552E-2</v>
      </c>
      <c r="KF48" s="27">
        <f>IF(ISNUMBER(KF47),KF47*(1+PortfolioFrontier[[#This Row],[P73 Return]]),1+PortfolioFrontier[[#This Row],[P73 Return]])</f>
        <v>1.337239053451823</v>
      </c>
      <c r="KG48" s="27">
        <f>MAX(KG47,PortfolioFrontier[[#This Row],[P73 Growth]])</f>
        <v>1.337239053451823</v>
      </c>
      <c r="KH48" s="27">
        <f>PortfolioFrontier[[#This Row],[P73 Growth]]/PortfolioFrontier[[#This Row],[P73 HWM]]-1</f>
        <v>0</v>
      </c>
      <c r="KI48" s="28">
        <f>SUMPRODUCT(INDEX(PortfolioRef[[SPY]:[PE]],MATCH(KI$1,PortfolioRef[Reference '#]),0),AssetMonthlyReturns[[#This Row],[SPY]:[PE]])</f>
        <v>1.9570847074199184E-2</v>
      </c>
      <c r="KJ48" s="27">
        <f>IF(ISNUMBER(KJ47),KJ47*(1+PortfolioFrontier[[#This Row],[P74 Return]]),1+PortfolioFrontier[[#This Row],[P74 Return]])</f>
        <v>1.3188210591477281</v>
      </c>
      <c r="KK48" s="27">
        <f>MAX(KK47,PortfolioFrontier[[#This Row],[P74 Growth]])</f>
        <v>1.3188210591477281</v>
      </c>
      <c r="KL48" s="27">
        <f>PortfolioFrontier[[#This Row],[P74 Growth]]/PortfolioFrontier[[#This Row],[P74 HWM]]-1</f>
        <v>0</v>
      </c>
      <c r="KM48" s="28">
        <f>SUMPRODUCT(INDEX(PortfolioRef[[SPY]:[PE]],MATCH(KM$1,PortfolioRef[Reference '#]),0),AssetMonthlyReturns[[#This Row],[SPY]:[PE]])</f>
        <v>1.9057037076543815E-2</v>
      </c>
      <c r="KN48" s="27">
        <f>IF(ISNUMBER(KN47),KN47*(1+PortfolioFrontier[[#This Row],[P75 Return]]),1+PortfolioFrontier[[#This Row],[P75 Return]])</f>
        <v>1.300436163514596</v>
      </c>
      <c r="KO48" s="27">
        <f>MAX(KO47,PortfolioFrontier[[#This Row],[P75 Growth]])</f>
        <v>1.300436163514596</v>
      </c>
      <c r="KP48" s="27">
        <f>PortfolioFrontier[[#This Row],[P75 Growth]]/PortfolioFrontier[[#This Row],[P75 HWM]]-1</f>
        <v>0</v>
      </c>
      <c r="KQ48" s="28">
        <f>SUMPRODUCT(INDEX(PortfolioRef[[SPY]:[PE]],MATCH(KQ$1,PortfolioRef[Reference '#]),0),AssetMonthlyReturns[[#This Row],[SPY]:[PE]])</f>
        <v>1.8992257418721171E-2</v>
      </c>
      <c r="KR48" s="27">
        <f>IF(ISNUMBER(KR47),KR47*(1+PortfolioFrontier[[#This Row],[P76 Return]]),1+PortfolioFrontier[[#This Row],[P76 Return]])</f>
        <v>1.3436451993513385</v>
      </c>
      <c r="KS48" s="27">
        <f>MAX(KS47,PortfolioFrontier[[#This Row],[P76 Growth]])</f>
        <v>1.3436451993513385</v>
      </c>
      <c r="KT48" s="27">
        <f>PortfolioFrontier[[#This Row],[P76 Growth]]/PortfolioFrontier[[#This Row],[P76 HWM]]-1</f>
        <v>0</v>
      </c>
      <c r="KU48" s="28">
        <f>SUMPRODUCT(INDEX(PortfolioRef[[SPY]:[PE]],MATCH(KU$1,PortfolioRef[Reference '#]),0),AssetMonthlyReturns[[#This Row],[SPY]:[PE]])</f>
        <v>1.8478447421065802E-2</v>
      </c>
      <c r="KV48" s="27">
        <f>IF(ISNUMBER(KV47),KV47*(1+PortfolioFrontier[[#This Row],[P77 Return]]),1+PortfolioFrontier[[#This Row],[P77 Return]])</f>
        <v>1.3252816365276681</v>
      </c>
      <c r="KW48" s="27">
        <f>MAX(KW47,PortfolioFrontier[[#This Row],[P77 Growth]])</f>
        <v>1.3252816365276681</v>
      </c>
      <c r="KX48" s="27">
        <f>PortfolioFrontier[[#This Row],[P77 Growth]]/PortfolioFrontier[[#This Row],[P77 HWM]]-1</f>
        <v>0</v>
      </c>
      <c r="KY48" s="28">
        <f>SUMPRODUCT(INDEX(PortfolioRef[[SPY]:[PE]],MATCH(KY$1,PortfolioRef[Reference '#]),0),AssetMonthlyReturns[[#This Row],[SPY]:[PE]])</f>
        <v>1.7964637423410434E-2</v>
      </c>
      <c r="KZ48" s="27">
        <f>IF(ISNUMBER(KZ47),KZ47*(1+PortfolioFrontier[[#This Row],[P78 Return]]),1+PortfolioFrontier[[#This Row],[P78 Return]])</f>
        <v>1.3069474504943903</v>
      </c>
      <c r="LA48" s="27">
        <f>MAX(LA47,PortfolioFrontier[[#This Row],[P78 Growth]])</f>
        <v>1.3069474504943903</v>
      </c>
      <c r="LB48" s="27">
        <f>PortfolioFrontier[[#This Row],[P78 Growth]]/PortfolioFrontier[[#This Row],[P78 HWM]]-1</f>
        <v>0</v>
      </c>
      <c r="LC48" s="28">
        <f>SUMPRODUCT(INDEX(PortfolioRef[[SPY]:[PE]],MATCH(LC$1,PortfolioRef[Reference '#]),0),AssetMonthlyReturns[[#This Row],[SPY]:[PE]])</f>
        <v>2.1121483761630058E-2</v>
      </c>
      <c r="LD48" s="27">
        <f>IF(ISNUMBER(LD47),LD47*(1+PortfolioFrontier[[#This Row],[P79 Return]]),1+PortfolioFrontier[[#This Row],[P79 Return]])</f>
        <v>1.3420264536343358</v>
      </c>
      <c r="LE48" s="27">
        <f>MAX(LE47,PortfolioFrontier[[#This Row],[P79 Growth]])</f>
        <v>1.3420264536343358</v>
      </c>
      <c r="LF48" s="27">
        <f>PortfolioFrontier[[#This Row],[P79 Growth]]/PortfolioFrontier[[#This Row],[P79 HWM]]-1</f>
        <v>0</v>
      </c>
      <c r="LG48" s="28">
        <f>SUMPRODUCT(INDEX(PortfolioRef[[SPY]:[PE]],MATCH(LG$1,PortfolioRef[Reference '#]),0),AssetMonthlyReturns[[#This Row],[SPY]:[PE]])</f>
        <v>2.0607673763974689E-2</v>
      </c>
      <c r="LH48" s="27">
        <f>IF(ISNUMBER(LH47),LH47*(1+PortfolioFrontier[[#This Row],[P80 Return]]),1+PortfolioFrontier[[#This Row],[P80 Return]])</f>
        <v>1.3235656560489486</v>
      </c>
      <c r="LI48" s="27">
        <f>MAX(LI47,PortfolioFrontier[[#This Row],[P80 Growth]])</f>
        <v>1.3235656560489486</v>
      </c>
      <c r="LJ48" s="27">
        <f>PortfolioFrontier[[#This Row],[P80 Growth]]/PortfolioFrontier[[#This Row],[P80 HWM]]-1</f>
        <v>0</v>
      </c>
      <c r="LK48" s="28">
        <f>SUMPRODUCT(INDEX(PortfolioRef[[SPY]:[PE]],MATCH(LK$1,PortfolioRef[Reference '#]),0),AssetMonthlyReturns[[#This Row],[SPY]:[PE]])</f>
        <v>2.0093863766319321E-2</v>
      </c>
      <c r="LL48" s="27">
        <f>IF(ISNUMBER(LL47),LL47*(1+PortfolioFrontier[[#This Row],[P81 Return]]),1+PortfolioFrontier[[#This Row],[P81 Return]])</f>
        <v>1.3051375112196997</v>
      </c>
      <c r="LM48" s="27">
        <f>MAX(LM47,PortfolioFrontier[[#This Row],[P81 Growth]])</f>
        <v>1.3051375112196997</v>
      </c>
      <c r="LN48" s="27">
        <f>PortfolioFrontier[[#This Row],[P81 Growth]]/PortfolioFrontier[[#This Row],[P81 HWM]]-1</f>
        <v>0</v>
      </c>
      <c r="LO48" s="28">
        <f>SUMPRODUCT(INDEX(PortfolioRef[[SPY]:[PE]],MATCH(LO$1,PortfolioRef[Reference '#]),0),AssetMonthlyReturns[[#This Row],[SPY]:[PE]])</f>
        <v>2.0029084108496676E-2</v>
      </c>
      <c r="LP48" s="27">
        <f>IF(ISNUMBER(LP47),LP47*(1+PortfolioFrontier[[#This Row],[P82 Return]]),1+PortfolioFrontier[[#This Row],[P82 Return]])</f>
        <v>1.3485908267233171</v>
      </c>
      <c r="LQ48" s="27">
        <f>MAX(LQ47,PortfolioFrontier[[#This Row],[P82 Growth]])</f>
        <v>1.3485908267233171</v>
      </c>
      <c r="LR48" s="27">
        <f>PortfolioFrontier[[#This Row],[P82 Growth]]/PortfolioFrontier[[#This Row],[P82 HWM]]-1</f>
        <v>0</v>
      </c>
      <c r="LS48" s="28">
        <f>SUMPRODUCT(INDEX(PortfolioRef[[SPY]:[PE]],MATCH(LS$1,PortfolioRef[Reference '#]),0),AssetMonthlyReturns[[#This Row],[SPY]:[PE]])</f>
        <v>1.9515274110841307E-2</v>
      </c>
      <c r="LT48" s="27">
        <f>IF(ISNUMBER(LT47),LT47*(1+PortfolioFrontier[[#This Row],[P83 Return]]),1+PortfolioFrontier[[#This Row],[P83 Return]])</f>
        <v>1.330182929188416</v>
      </c>
      <c r="LU48" s="27">
        <f>MAX(LU47,PortfolioFrontier[[#This Row],[P83 Growth]])</f>
        <v>1.330182929188416</v>
      </c>
      <c r="LV48" s="27">
        <f>PortfolioFrontier[[#This Row],[P83 Growth]]/PortfolioFrontier[[#This Row],[P83 HWM]]-1</f>
        <v>0</v>
      </c>
      <c r="LW48" s="28">
        <f>SUMPRODUCT(INDEX(PortfolioRef[[SPY]:[PE]],MATCH(LW$1,PortfolioRef[Reference '#]),0),AssetMonthlyReturns[[#This Row],[SPY]:[PE]])</f>
        <v>1.9001464113185942E-2</v>
      </c>
      <c r="LX48" s="27">
        <f>IF(ISNUMBER(LX47),LX47*(1+PortfolioFrontier[[#This Row],[P84 Return]]),1+PortfolioFrontier[[#This Row],[P84 Return]])</f>
        <v>1.3118039554968419</v>
      </c>
      <c r="LY48" s="27">
        <f>MAX(LY47,PortfolioFrontier[[#This Row],[P84 Growth]])</f>
        <v>1.3118039554968419</v>
      </c>
      <c r="LZ48" s="27">
        <f>PortfolioFrontier[[#This Row],[P84 Growth]]/PortfolioFrontier[[#This Row],[P84 HWM]]-1</f>
        <v>0</v>
      </c>
      <c r="MA48" s="28">
        <f>SUMPRODUCT(INDEX(PortfolioRef[[SPY]:[PE]],MATCH(MA$1,PortfolioRef[Reference '#]),0),AssetMonthlyReturns[[#This Row],[SPY]:[PE]])</f>
        <v>1.8936684455363294E-2</v>
      </c>
      <c r="MB48" s="27">
        <f>IF(ISNUMBER(MB47),MB47*(1+PortfolioFrontier[[#This Row],[P85 Return]]),1+PortfolioFrontier[[#This Row],[P85 Return]])</f>
        <v>1.3548714243118356</v>
      </c>
      <c r="MC48" s="27">
        <f>MAX(MC47,PortfolioFrontier[[#This Row],[P85 Growth]])</f>
        <v>1.3548714243118356</v>
      </c>
      <c r="MD48" s="27">
        <f>PortfolioFrontier[[#This Row],[P85 Growth]]/PortfolioFrontier[[#This Row],[P85 HWM]]-1</f>
        <v>0</v>
      </c>
      <c r="ME48" s="28">
        <f>SUMPRODUCT(INDEX(PortfolioRef[[SPY]:[PE]],MATCH(ME$1,PortfolioRef[Reference '#]),0),AssetMonthlyReturns[[#This Row],[SPY]:[PE]])</f>
        <v>1.8422874457707926E-2</v>
      </c>
      <c r="MF48" s="27">
        <f>IF(ISNUMBER(MF47),MF47*(1+PortfolioFrontier[[#This Row],[P86 Return]]),1+PortfolioFrontier[[#This Row],[P86 Return]])</f>
        <v>1.3365217491088508</v>
      </c>
      <c r="MG48" s="27">
        <f>MAX(MG47,PortfolioFrontier[[#This Row],[P86 Growth]])</f>
        <v>1.3365217491088508</v>
      </c>
      <c r="MH48" s="27">
        <f>PortfolioFrontier[[#This Row],[P86 Growth]]/PortfolioFrontier[[#This Row],[P86 HWM]]-1</f>
        <v>0</v>
      </c>
      <c r="MI48" s="28">
        <f>SUMPRODUCT(INDEX(PortfolioRef[[SPY]:[PE]],MATCH(MI$1,PortfolioRef[Reference '#]),0),AssetMonthlyReturns[[#This Row],[SPY]:[PE]])</f>
        <v>1.7909064460052561E-2</v>
      </c>
      <c r="MJ48" s="27">
        <f>IF(ISNUMBER(MJ47),MJ47*(1+PortfolioFrontier[[#This Row],[P87 Return]]),1+PortfolioFrontier[[#This Row],[P87 Return]])</f>
        <v>1.3181972385056435</v>
      </c>
      <c r="MK48" s="27">
        <f>MAX(MK47,PortfolioFrontier[[#This Row],[P87 Growth]])</f>
        <v>1.3181972385056435</v>
      </c>
      <c r="ML48" s="27">
        <f>PortfolioFrontier[[#This Row],[P87 Growth]]/PortfolioFrontier[[#This Row],[P87 HWM]]-1</f>
        <v>0</v>
      </c>
      <c r="MM48" s="28">
        <f>SUMPRODUCT(INDEX(PortfolioRef[[SPY]:[PE]],MATCH(MM$1,PortfolioRef[Reference '#]),0),AssetMonthlyReturns[[#This Row],[SPY]:[PE]])</f>
        <v>2.1065910798272181E-2</v>
      </c>
      <c r="MN48" s="27">
        <f>IF(ISNUMBER(MN47),MN47*(1+PortfolioFrontier[[#This Row],[P88 Return]]),1+PortfolioFrontier[[#This Row],[P88 Return]])</f>
        <v>1.3534224110032944</v>
      </c>
      <c r="MO48" s="27">
        <f>MAX(MO47,PortfolioFrontier[[#This Row],[P88 Growth]])</f>
        <v>1.3534224110032944</v>
      </c>
      <c r="MP48" s="27">
        <f>PortfolioFrontier[[#This Row],[P88 Growth]]/PortfolioFrontier[[#This Row],[P88 HWM]]-1</f>
        <v>0</v>
      </c>
      <c r="MQ48" s="28">
        <f>SUMPRODUCT(INDEX(PortfolioRef[[SPY]:[PE]],MATCH(MQ$1,PortfolioRef[Reference '#]),0),AssetMonthlyReturns[[#This Row],[SPY]:[PE]])</f>
        <v>2.0552100800616813E-2</v>
      </c>
      <c r="MR48" s="27">
        <f>IF(ISNUMBER(MR47),MR47*(1+PortfolioFrontier[[#This Row],[P89 Return]]),1+PortfolioFrontier[[#This Row],[P89 Return]])</f>
        <v>1.3349717707433648</v>
      </c>
      <c r="MS48" s="27">
        <f>MAX(MS47,PortfolioFrontier[[#This Row],[P89 Growth]])</f>
        <v>1.3349717707433648</v>
      </c>
      <c r="MT48" s="27">
        <f>PortfolioFrontier[[#This Row],[P89 Growth]]/PortfolioFrontier[[#This Row],[P89 HWM]]-1</f>
        <v>0</v>
      </c>
      <c r="MU48" s="28">
        <f>SUMPRODUCT(INDEX(PortfolioRef[[SPY]:[PE]],MATCH(MU$1,PortfolioRef[Reference '#]),0),AssetMonthlyReturns[[#This Row],[SPY]:[PE]])</f>
        <v>2.0038290802961448E-2</v>
      </c>
      <c r="MV48" s="27">
        <f>IF(ISNUMBER(MV47),MV47*(1+PortfolioFrontier[[#This Row],[P90 Return]]),1+PortfolioFrontier[[#This Row],[P90 Return]])</f>
        <v>1.3165495968207468</v>
      </c>
      <c r="MW48" s="27">
        <f>MAX(MW47,PortfolioFrontier[[#This Row],[P90 Growth]])</f>
        <v>1.3165495968207468</v>
      </c>
      <c r="MX48" s="27">
        <f>PortfolioFrontier[[#This Row],[P90 Growth]]/PortfolioFrontier[[#This Row],[P90 HWM]]-1</f>
        <v>0</v>
      </c>
      <c r="MY48" s="28">
        <f>SUMPRODUCT(INDEX(PortfolioRef[[SPY]:[PE]],MATCH(MY$1,PortfolioRef[Reference '#]),0),AssetMonthlyReturns[[#This Row],[SPY]:[PE]])</f>
        <v>1.99735111451388E-2</v>
      </c>
      <c r="MZ48" s="27">
        <f>IF(ISNUMBER(MZ47),MZ47*(1+PortfolioFrontier[[#This Row],[P91 Return]]),1+PortfolioFrontier[[#This Row],[P91 Return]])</f>
        <v>1.3598620200409506</v>
      </c>
      <c r="NA48" s="27">
        <f>MAX(NA47,PortfolioFrontier[[#This Row],[P91 Growth]])</f>
        <v>1.3598620200409506</v>
      </c>
      <c r="NB48" s="27">
        <f>PortfolioFrontier[[#This Row],[P91 Growth]]/PortfolioFrontier[[#This Row],[P91 HWM]]-1</f>
        <v>0</v>
      </c>
      <c r="NC48" s="28">
        <f>SUMPRODUCT(INDEX(PortfolioRef[[SPY]:[PE]],MATCH(NC$1,PortfolioRef[Reference '#]),0),AssetMonthlyReturns[[#This Row],[SPY]:[PE]])</f>
        <v>1.9459701147483431E-2</v>
      </c>
      <c r="ND48" s="27">
        <f>IF(ISNUMBER(ND47),ND47*(1+PortfolioFrontier[[#This Row],[P92 Return]]),1+PortfolioFrontier[[#This Row],[P92 Return]])</f>
        <v>1.3414680804610166</v>
      </c>
      <c r="NE48" s="27">
        <f>MAX(NE47,PortfolioFrontier[[#This Row],[P92 Growth]])</f>
        <v>1.3414680804610166</v>
      </c>
      <c r="NF48" s="27">
        <f>PortfolioFrontier[[#This Row],[P92 Growth]]/PortfolioFrontier[[#This Row],[P92 HWM]]-1</f>
        <v>0</v>
      </c>
      <c r="NG48" s="28">
        <f>SUMPRODUCT(INDEX(PortfolioRef[[SPY]:[PE]],MATCH(NG$1,PortfolioRef[Reference '#]),0),AssetMonthlyReturns[[#This Row],[SPY]:[PE]])</f>
        <v>1.8945891149828066E-2</v>
      </c>
      <c r="NH48" s="27">
        <f>IF(ISNUMBER(NH47),NH47*(1+PortfolioFrontier[[#This Row],[P93 Return]]),1+PortfolioFrontier[[#This Row],[P93 Return]])</f>
        <v>1.3230988405777211</v>
      </c>
      <c r="NI48" s="27">
        <f>MAX(NI47,PortfolioFrontier[[#This Row],[P93 Growth]])</f>
        <v>1.3230988405777211</v>
      </c>
      <c r="NJ48" s="27">
        <f>PortfolioFrontier[[#This Row],[P93 Growth]]/PortfolioFrontier[[#This Row],[P93 HWM]]-1</f>
        <v>0</v>
      </c>
      <c r="NK48" s="28">
        <f>SUMPRODUCT(INDEX(PortfolioRef[[SPY]:[PE]],MATCH(NK$1,PortfolioRef[Reference '#]),0),AssetMonthlyReturns[[#This Row],[SPY]:[PE]])</f>
        <v>1.8881111492005422E-2</v>
      </c>
      <c r="NL48" s="27">
        <f>IF(ISNUMBER(NL47),NL47*(1+PortfolioFrontier[[#This Row],[P94 Return]]),1+PortfolioFrontier[[#This Row],[P94 Return]])</f>
        <v>1.3660134110915163</v>
      </c>
      <c r="NM48" s="27">
        <f>MAX(NM47,PortfolioFrontier[[#This Row],[P94 Growth]])</f>
        <v>1.3660134110915163</v>
      </c>
      <c r="NN48" s="27">
        <f>PortfolioFrontier[[#This Row],[P94 Growth]]/PortfolioFrontier[[#This Row],[P94 HWM]]-1</f>
        <v>0</v>
      </c>
      <c r="NO48" s="28">
        <f>SUMPRODUCT(INDEX(PortfolioRef[[SPY]:[PE]],MATCH(NO$1,PortfolioRef[Reference '#]),0),AssetMonthlyReturns[[#This Row],[SPY]:[PE]])</f>
        <v>1.8367301494350053E-2</v>
      </c>
      <c r="NP48" s="27">
        <f>IF(ISNUMBER(NP47),NP47*(1+PortfolioFrontier[[#This Row],[P95 Return]]),1+PortfolioFrontier[[#This Row],[P95 Return]])</f>
        <v>1.3476815118095689</v>
      </c>
      <c r="NQ48" s="27">
        <f>MAX(NQ47,PortfolioFrontier[[#This Row],[P95 Growth]])</f>
        <v>1.3476815118095689</v>
      </c>
      <c r="NR48" s="27">
        <f>PortfolioFrontier[[#This Row],[P95 Growth]]/PortfolioFrontier[[#This Row],[P95 HWM]]-1</f>
        <v>0</v>
      </c>
      <c r="NS48" s="28">
        <f>SUMPRODUCT(INDEX(PortfolioRef[[SPY]:[PE]],MATCH(NS$1,PortfolioRef[Reference '#]),0),AssetMonthlyReturns[[#This Row],[SPY]:[PE]])</f>
        <v>1.7853491496694684E-2</v>
      </c>
      <c r="NT48" s="27">
        <f>IF(ISNUMBER(NT47),NT47*(1+PortfolioFrontier[[#This Row],[P96 Return]]),1+PortfolioFrontier[[#This Row],[P96 Return]])</f>
        <v>1.3293705166761522</v>
      </c>
      <c r="NU48" s="27">
        <f>MAX(NU47,PortfolioFrontier[[#This Row],[P96 Growth]])</f>
        <v>1.3293705166761522</v>
      </c>
      <c r="NV48" s="27">
        <f>PortfolioFrontier[[#This Row],[P96 Growth]]/PortfolioFrontier[[#This Row],[P96 HWM]]-1</f>
        <v>0</v>
      </c>
      <c r="NW48" s="28">
        <f>SUMPRODUCT(INDEX(PortfolioRef[[SPY]:[PE]],MATCH(NW$1,PortfolioRef[Reference '#]),0),AssetMonthlyReturns[[#This Row],[SPY]:[PE]])</f>
        <v>2.0146441255524894E-2</v>
      </c>
      <c r="NX48" s="27">
        <f>IF(ISNUMBER(NX47),NX47*(1+PortfolioFrontier[[#This Row],[P97 Return]]),1+PortfolioFrontier[[#This Row],[P97 Return]])</f>
        <v>1.2839089982785201</v>
      </c>
      <c r="NY48" s="27">
        <f>MAX(NY47,PortfolioFrontier[[#This Row],[P97 Growth]])</f>
        <v>1.2839089982785201</v>
      </c>
      <c r="NZ48" s="27">
        <f>PortfolioFrontier[[#This Row],[P97 Growth]]/PortfolioFrontier[[#This Row],[P97 HWM]]-1</f>
        <v>0</v>
      </c>
      <c r="OA48" s="28">
        <f>SUMPRODUCT(INDEX(PortfolioRef[[SPY]:[PE]],MATCH(OA$1,PortfolioRef[Reference '#]),0),AssetMonthlyReturns[[#This Row],[SPY]:[PE]])</f>
        <v>2.1183267945300399E-2</v>
      </c>
      <c r="OB48" s="27">
        <f>IF(ISNUMBER(OB47),OB47*(1+PortfolioFrontier[[#This Row],[P98 Return]]),1+PortfolioFrontier[[#This Row],[P98 Return]])</f>
        <v>1.2886029544386322</v>
      </c>
      <c r="OC48" s="27">
        <f>MAX(OC47,PortfolioFrontier[[#This Row],[P98 Growth]])</f>
        <v>1.2886029544386322</v>
      </c>
      <c r="OD48" s="27">
        <f>PortfolioFrontier[[#This Row],[P98 Growth]]/PortfolioFrontier[[#This Row],[P98 HWM]]-1</f>
        <v>0</v>
      </c>
      <c r="OE48" s="28">
        <f>SUMPRODUCT(INDEX(PortfolioRef[[SPY]:[PE]],MATCH(OE$1,PortfolioRef[Reference '#]),0),AssetMonthlyReturns[[#This Row],[SPY]:[PE]])</f>
        <v>2.0090868292167021E-2</v>
      </c>
      <c r="OF48" s="27">
        <f>IF(ISNUMBER(OF47),OF47*(1+PortfolioFrontier[[#This Row],[P99 Return]]),1+PortfolioFrontier[[#This Row],[P99 Return]])</f>
        <v>1.2952406179801268</v>
      </c>
      <c r="OG48" s="27">
        <f>MAX(OG47,PortfolioFrontier[[#This Row],[P99 Growth]])</f>
        <v>1.2952406179801268</v>
      </c>
      <c r="OH48" s="27">
        <f>PortfolioFrontier[[#This Row],[P99 Growth]]/PortfolioFrontier[[#This Row],[P99 HWM]]-1</f>
        <v>0</v>
      </c>
      <c r="OI48" s="28">
        <f>SUMPRODUCT(INDEX(PortfolioRef[[SPY]:[PE]],MATCH(OI$1,PortfolioRef[Reference '#]),0),AssetMonthlyReturns[[#This Row],[SPY]:[PE]])</f>
        <v>1.9577058294511649E-2</v>
      </c>
      <c r="OJ48" s="27">
        <f>IF(ISNUMBER(OJ47),OJ47*(1+PortfolioFrontier[[#This Row],[P100 Return]]),1+PortfolioFrontier[[#This Row],[P100 Return]])</f>
        <v>1.2771542835713614</v>
      </c>
      <c r="OK48" s="27">
        <f>MAX(OK47,PortfolioFrontier[[#This Row],[P100 Growth]])</f>
        <v>1.2771542835713614</v>
      </c>
      <c r="OL48" s="27">
        <f>PortfolioFrontier[[#This Row],[P100 Growth]]/PortfolioFrontier[[#This Row],[P100 HWM]]-1</f>
        <v>0</v>
      </c>
      <c r="OM48" s="28">
        <f>SUMPRODUCT(INDEX(PortfolioRef[[SPY]:[PE]],MATCH(OM$1,PortfolioRef[Reference '#]),0),AssetMonthlyReturns[[#This Row],[SPY]:[PE]])</f>
        <v>2.2220094635075904E-2</v>
      </c>
      <c r="ON48" s="27">
        <f>IF(ISNUMBER(ON47),ON47*(1+PortfolioFrontier[[#This Row],[P101 Return]]),1+PortfolioFrontier[[#This Row],[P101 Return]])</f>
        <v>1.2931872717607511</v>
      </c>
      <c r="OO48" s="27">
        <f>MAX(OO47,PortfolioFrontier[[#This Row],[P101 Growth]])</f>
        <v>1.2931872717607511</v>
      </c>
      <c r="OP48" s="27">
        <f>PortfolioFrontier[[#This Row],[P101 Growth]]/PortfolioFrontier[[#This Row],[P101 HWM]]-1</f>
        <v>0</v>
      </c>
      <c r="OQ48" s="28">
        <f>SUMPRODUCT(INDEX(PortfolioRef[[SPY]:[PE]],MATCH(OQ$1,PortfolioRef[Reference '#]),0),AssetMonthlyReturns[[#This Row],[SPY]:[PE]])</f>
        <v>2.1127694981942526E-2</v>
      </c>
      <c r="OR48" s="27">
        <f>IF(ISNUMBER(OR47),OR47*(1+PortfolioFrontier[[#This Row],[P102 Return]]),1+PortfolioFrontier[[#This Row],[P102 Return]])</f>
        <v>1.2999788590693837</v>
      </c>
      <c r="OS48" s="27">
        <f>MAX(OS47,PortfolioFrontier[[#This Row],[P102 Growth]])</f>
        <v>1.2999788590693837</v>
      </c>
      <c r="OT48" s="27">
        <f>PortfolioFrontier[[#This Row],[P102 Growth]]/PortfolioFrontier[[#This Row],[P102 HWM]]-1</f>
        <v>0</v>
      </c>
      <c r="OU48" s="28">
        <f>SUMPRODUCT(INDEX(PortfolioRef[[SPY]:[PE]],MATCH(OU$1,PortfolioRef[Reference '#]),0),AssetMonthlyReturns[[#This Row],[SPY]:[PE]])</f>
        <v>2.0613884984287154E-2</v>
      </c>
      <c r="OV48" s="27">
        <f>IF(ISNUMBER(OV47),OV47*(1+PortfolioFrontier[[#This Row],[P103 Return]]),1+PortfolioFrontier[[#This Row],[P103 Return]])</f>
        <v>1.2818490900225987</v>
      </c>
      <c r="OW48" s="27">
        <f>MAX(OW47,PortfolioFrontier[[#This Row],[P103 Growth]])</f>
        <v>1.2818490900225987</v>
      </c>
      <c r="OX48" s="27">
        <f>PortfolioFrontier[[#This Row],[P103 Growth]]/PortfolioFrontier[[#This Row],[P103 HWM]]-1</f>
        <v>0</v>
      </c>
      <c r="OY48" s="28">
        <f>SUMPRODUCT(INDEX(PortfolioRef[[SPY]:[PE]],MATCH(OY$1,PortfolioRef[Reference '#]),0),AssetMonthlyReturns[[#This Row],[SPY]:[PE]])</f>
        <v>2.0035295328809145E-2</v>
      </c>
      <c r="OZ48" s="27">
        <f>IF(ISNUMBER(OZ47),OZ47*(1+PortfolioFrontier[[#This Row],[P104 Return]]),1+PortfolioFrontier[[#This Row],[P104 Return]])</f>
        <v>1.3065024022164191</v>
      </c>
      <c r="PA48" s="27">
        <f>MAX(PA47,PortfolioFrontier[[#This Row],[P104 Growth]])</f>
        <v>1.3065024022164191</v>
      </c>
      <c r="PB48" s="27">
        <f>PortfolioFrontier[[#This Row],[P104 Growth]]/PortfolioFrontier[[#This Row],[P104 HWM]]-1</f>
        <v>0</v>
      </c>
      <c r="PC48" s="28">
        <f>SUMPRODUCT(INDEX(PortfolioRef[[SPY]:[PE]],MATCH(PC$1,PortfolioRef[Reference '#]),0),AssetMonthlyReturns[[#This Row],[SPY]:[PE]])</f>
        <v>1.9521485331153776E-2</v>
      </c>
      <c r="PD48" s="27">
        <f>IF(ISNUMBER(PD47),PD47*(1+PortfolioFrontier[[#This Row],[P105 Return]]),1+PortfolioFrontier[[#This Row],[P105 Return]])</f>
        <v>1.2884201892437714</v>
      </c>
      <c r="PE48" s="27">
        <f>MAX(PE47,PortfolioFrontier[[#This Row],[P105 Growth]])</f>
        <v>1.2884201892437714</v>
      </c>
      <c r="PF48" s="27">
        <f>PortfolioFrontier[[#This Row],[P105 Growth]]/PortfolioFrontier[[#This Row],[P105 HWM]]-1</f>
        <v>0</v>
      </c>
      <c r="PG48" s="28">
        <f>SUMPRODUCT(INDEX(PortfolioRef[[SPY]:[PE]],MATCH(PG$1,PortfolioRef[Reference '#]),0),AssetMonthlyReturns[[#This Row],[SPY]:[PE]])</f>
        <v>1.9007675333498408E-2</v>
      </c>
      <c r="PH48" s="27">
        <f>IF(ISNUMBER(PH47),PH47*(1+PortfolioFrontier[[#This Row],[P106 Return]]),1+PortfolioFrontier[[#This Row],[P106 Return]])</f>
        <v>1.2703725716315561</v>
      </c>
      <c r="PI48" s="27">
        <f>MAX(PI47,PortfolioFrontier[[#This Row],[P106 Growth]])</f>
        <v>1.2703725716315561</v>
      </c>
      <c r="PJ48" s="27">
        <f>PortfolioFrontier[[#This Row],[P106 Growth]]/PortfolioFrontier[[#This Row],[P106 HWM]]-1</f>
        <v>0</v>
      </c>
      <c r="PK48" s="28">
        <f>SUMPRODUCT(INDEX(PortfolioRef[[SPY]:[PE]],MATCH(PK$1,PortfolioRef[Reference '#]),0),AssetMonthlyReturns[[#This Row],[SPY]:[PE]])</f>
        <v>2.2164521671718031E-2</v>
      </c>
      <c r="PL48" s="27">
        <f>IF(ISNUMBER(PL47),PL47*(1+PortfolioFrontier[[#This Row],[P107 Return]]),1+PortfolioFrontier[[#This Row],[P107 Return]])</f>
        <v>1.3046066080909935</v>
      </c>
      <c r="PM48" s="27">
        <f>MAX(PM47,PortfolioFrontier[[#This Row],[P107 Growth]])</f>
        <v>1.3046066080909935</v>
      </c>
      <c r="PN48" s="27">
        <f>PortfolioFrontier[[#This Row],[P107 Growth]]/PortfolioFrontier[[#This Row],[P107 HWM]]-1</f>
        <v>0</v>
      </c>
      <c r="PO48" s="28">
        <f>SUMPRODUCT(INDEX(PortfolioRef[[SPY]:[PE]],MATCH(PO$1,PortfolioRef[Reference '#]),0),AssetMonthlyReturns[[#This Row],[SPY]:[PE]])</f>
        <v>2.1650711674062659E-2</v>
      </c>
      <c r="PP48" s="27">
        <f>IF(ISNUMBER(PP47),PP47*(1+PortfolioFrontier[[#This Row],[P108 Return]]),1+PortfolioFrontier[[#This Row],[P108 Return]])</f>
        <v>1.2864349776276793</v>
      </c>
      <c r="PQ48" s="27">
        <f>MAX(PQ47,PortfolioFrontier[[#This Row],[P108 Growth]])</f>
        <v>1.2864349776276793</v>
      </c>
      <c r="PR48" s="27">
        <f>PortfolioFrontier[[#This Row],[P108 Growth]]/PortfolioFrontier[[#This Row],[P108 HWM]]-1</f>
        <v>0</v>
      </c>
      <c r="PS48" s="28">
        <f>SUMPRODUCT(INDEX(PortfolioRef[[SPY]:[PE]],MATCH(PS$1,PortfolioRef[Reference '#]),0),AssetMonthlyReturns[[#This Row],[SPY]:[PE]])</f>
        <v>2.107212201858465E-2</v>
      </c>
      <c r="PT48" s="27">
        <f>IF(ISNUMBER(PT47),PT47*(1+PortfolioFrontier[[#This Row],[P109 Return]]),1+PortfolioFrontier[[#This Row],[P109 Return]])</f>
        <v>1.3112848935250687</v>
      </c>
      <c r="PU48" s="27">
        <f>MAX(PU47,PortfolioFrontier[[#This Row],[P109 Growth]])</f>
        <v>1.3112848935250687</v>
      </c>
      <c r="PV48" s="27">
        <f>PortfolioFrontier[[#This Row],[P109 Growth]]/PortfolioFrontier[[#This Row],[P109 HWM]]-1</f>
        <v>0</v>
      </c>
      <c r="PW48" s="28">
        <f>SUMPRODUCT(INDEX(PortfolioRef[[SPY]:[PE]],MATCH(PW$1,PortfolioRef[Reference '#]),0),AssetMonthlyReturns[[#This Row],[SPY]:[PE]])</f>
        <v>2.0558312020929281E-2</v>
      </c>
      <c r="PX48" s="27">
        <f>IF(ISNUMBER(PX47),PX47*(1+PortfolioFrontier[[#This Row],[P110 Return]]),1+PortfolioFrontier[[#This Row],[P110 Return]])</f>
        <v>1.2931592955766995</v>
      </c>
      <c r="PY48" s="27">
        <f>MAX(PY47,PortfolioFrontier[[#This Row],[P110 Growth]])</f>
        <v>1.2931592955766995</v>
      </c>
      <c r="PZ48" s="27">
        <f>PortfolioFrontier[[#This Row],[P110 Growth]]/PortfolioFrontier[[#This Row],[P110 HWM]]-1</f>
        <v>0</v>
      </c>
      <c r="QA48" s="28">
        <f>SUMPRODUCT(INDEX(PortfolioRef[[SPY]:[PE]],MATCH(QA$1,PortfolioRef[Reference '#]),0),AssetMonthlyReturns[[#This Row],[SPY]:[PE]])</f>
        <v>2.0044502023273913E-2</v>
      </c>
      <c r="QB48" s="27">
        <f>IF(ISNUMBER(QB47),QB47*(1+PortfolioFrontier[[#This Row],[P111 Return]]),1+PortfolioFrontier[[#This Row],[P111 Return]])</f>
        <v>1.2750678615362652</v>
      </c>
      <c r="QC48" s="27">
        <f>MAX(QC47,PortfolioFrontier[[#This Row],[P111 Growth]])</f>
        <v>1.2750678615362652</v>
      </c>
      <c r="QD48" s="27">
        <f>PortfolioFrontier[[#This Row],[P111 Growth]]/PortfolioFrontier[[#This Row],[P111 HWM]]-1</f>
        <v>0</v>
      </c>
      <c r="QE48" s="28">
        <f>SUMPRODUCT(INDEX(PortfolioRef[[SPY]:[PE]],MATCH(QE$1,PortfolioRef[Reference '#]),0),AssetMonthlyReturns[[#This Row],[SPY]:[PE]])</f>
        <v>1.9979722365451272E-2</v>
      </c>
      <c r="QF48" s="27">
        <f>IF(ISNUMBER(QF47),QF47*(1+PortfolioFrontier[[#This Row],[P112 Return]]),1+PortfolioFrontier[[#This Row],[P112 Return]])</f>
        <v>1.3176907510393581</v>
      </c>
      <c r="QG48" s="27">
        <f>MAX(QG47,PortfolioFrontier[[#This Row],[P112 Growth]])</f>
        <v>1.3176907510393581</v>
      </c>
      <c r="QH48" s="27">
        <f>PortfolioFrontier[[#This Row],[P112 Growth]]/PortfolioFrontier[[#This Row],[P112 HWM]]-1</f>
        <v>0</v>
      </c>
      <c r="QI48" s="28">
        <f>SUMPRODUCT(INDEX(PortfolioRef[[SPY]:[PE]],MATCH(QI$1,PortfolioRef[Reference '#]),0),AssetMonthlyReturns[[#This Row],[SPY]:[PE]])</f>
        <v>1.9465912367795903E-2</v>
      </c>
      <c r="QJ48" s="27">
        <f>IF(ISNUMBER(QJ47),QJ47*(1+PortfolioFrontier[[#This Row],[P113 Return]]),1+PortfolioFrontier[[#This Row],[P113 Return]])</f>
        <v>1.2996163919358374</v>
      </c>
      <c r="QK48" s="27">
        <f>MAX(QK47,PortfolioFrontier[[#This Row],[P113 Growth]])</f>
        <v>1.2996163919358374</v>
      </c>
      <c r="QL48" s="27">
        <f>PortfolioFrontier[[#This Row],[P113 Growth]]/PortfolioFrontier[[#This Row],[P113 HWM]]-1</f>
        <v>0</v>
      </c>
      <c r="QM48" s="28">
        <f>SUMPRODUCT(INDEX(PortfolioRef[[SPY]:[PE]],MATCH(QM$1,PortfolioRef[Reference '#]),0),AssetMonthlyReturns[[#This Row],[SPY]:[PE]])</f>
        <v>1.8952102370140538E-2</v>
      </c>
      <c r="QN48" s="27">
        <f>IF(ISNUMBER(QN47),QN47*(1+PortfolioFrontier[[#This Row],[P114 Return]]),1+PortfolioFrontier[[#This Row],[P114 Return]])</f>
        <v>1.2815725573685524</v>
      </c>
      <c r="QO48" s="27">
        <f>MAX(QO47,PortfolioFrontier[[#This Row],[P114 Growth]])</f>
        <v>1.2815725573685524</v>
      </c>
      <c r="QP48" s="27">
        <f>PortfolioFrontier[[#This Row],[P114 Growth]]/PortfolioFrontier[[#This Row],[P114 HWM]]-1</f>
        <v>0</v>
      </c>
      <c r="QQ48" s="28">
        <f>SUMPRODUCT(INDEX(PortfolioRef[[SPY]:[PE]],MATCH(QQ$1,PortfolioRef[Reference '#]),0),AssetMonthlyReturns[[#This Row],[SPY]:[PE]])</f>
        <v>2.2108948708360159E-2</v>
      </c>
      <c r="QR48" s="27">
        <f>IF(ISNUMBER(QR47),QR47*(1+PortfolioFrontier[[#This Row],[P115 Return]]),1+PortfolioFrontier[[#This Row],[P115 Return]])</f>
        <v>1.3159560471384115</v>
      </c>
      <c r="QS48" s="27">
        <f>MAX(QS47,PortfolioFrontier[[#This Row],[P115 Growth]])</f>
        <v>1.3159560471384115</v>
      </c>
      <c r="QT48" s="27">
        <f>PortfolioFrontier[[#This Row],[P115 Growth]]/PortfolioFrontier[[#This Row],[P115 HWM]]-1</f>
        <v>0</v>
      </c>
      <c r="QU48" s="28">
        <f>SUMPRODUCT(INDEX(PortfolioRef[[SPY]:[PE]],MATCH(QU$1,PortfolioRef[Reference '#]),0),AssetMonthlyReturns[[#This Row],[SPY]:[PE]])</f>
        <v>2.159513871070479E-2</v>
      </c>
      <c r="QV48" s="27">
        <f>IF(ISNUMBER(QV47),QV47*(1+PortfolioFrontier[[#This Row],[P116 Return]]),1+PortfolioFrontier[[#This Row],[P116 Return]])</f>
        <v>1.2977886366152487</v>
      </c>
      <c r="QW48" s="27">
        <f>MAX(QW47,PortfolioFrontier[[#This Row],[P116 Growth]])</f>
        <v>1.2977886366152487</v>
      </c>
      <c r="QX48" s="27">
        <f>PortfolioFrontier[[#This Row],[P116 Growth]]/PortfolioFrontier[[#This Row],[P116 HWM]]-1</f>
        <v>0</v>
      </c>
      <c r="QY48" s="28">
        <f>SUMPRODUCT(INDEX(PortfolioRef[[SPY]:[PE]],MATCH(QY$1,PortfolioRef[Reference '#]),0),AssetMonthlyReturns[[#This Row],[SPY]:[PE]])</f>
        <v>2.1081328713049421E-2</v>
      </c>
      <c r="QZ48" s="27">
        <f>IF(ISNUMBER(QZ47),QZ47*(1+PortfolioFrontier[[#This Row],[P117 Return]]),1+PortfolioFrontier[[#This Row],[P117 Return]])</f>
        <v>1.2796549536237569</v>
      </c>
      <c r="RA48" s="27">
        <f>MAX(RA47,PortfolioFrontier[[#This Row],[P117 Growth]])</f>
        <v>1.2796549536237569</v>
      </c>
      <c r="RB48" s="27">
        <f>PortfolioFrontier[[#This Row],[P117 Growth]]/PortfolioFrontier[[#This Row],[P117 HWM]]-1</f>
        <v>0</v>
      </c>
      <c r="RC48" s="28">
        <f>SUMPRODUCT(INDEX(PortfolioRef[[SPY]:[PE]],MATCH(RC$1,PortfolioRef[Reference '#]),0),AssetMonthlyReturns[[#This Row],[SPY]:[PE]])</f>
        <v>2.1016549055226773E-2</v>
      </c>
      <c r="RD48" s="27">
        <f>IF(ISNUMBER(RD47),RD47*(1+PortfolioFrontier[[#This Row],[P118 Return]]),1+PortfolioFrontier[[#This Row],[P118 Return]])</f>
        <v>1.3225174493438376</v>
      </c>
      <c r="RE48" s="27">
        <f>MAX(RE47,PortfolioFrontier[[#This Row],[P118 Growth]])</f>
        <v>1.3225174493438376</v>
      </c>
      <c r="RF48" s="27">
        <f>PortfolioFrontier[[#This Row],[P118 Growth]]/PortfolioFrontier[[#This Row],[P118 HWM]]-1</f>
        <v>0</v>
      </c>
      <c r="RG48" s="28">
        <f>SUMPRODUCT(INDEX(PortfolioRef[[SPY]:[PE]],MATCH(RG$1,PortfolioRef[Reference '#]),0),AssetMonthlyReturns[[#This Row],[SPY]:[PE]])</f>
        <v>2.0502739057571405E-2</v>
      </c>
      <c r="RH48" s="27">
        <f>IF(ISNUMBER(RH47),RH47*(1+PortfolioFrontier[[#This Row],[P119 Return]]),1+PortfolioFrontier[[#This Row],[P119 Return]])</f>
        <v>1.3043997631477102</v>
      </c>
      <c r="RI48" s="27">
        <f>MAX(RI47,PortfolioFrontier[[#This Row],[P119 Growth]])</f>
        <v>1.3043997631477102</v>
      </c>
      <c r="RJ48" s="27">
        <f>PortfolioFrontier[[#This Row],[P119 Growth]]/PortfolioFrontier[[#This Row],[P119 HWM]]-1</f>
        <v>0</v>
      </c>
      <c r="RK48" s="28">
        <f>SUMPRODUCT(INDEX(PortfolioRef[[SPY]:[PE]],MATCH(RK$1,PortfolioRef[Reference '#]),0),AssetMonthlyReturns[[#This Row],[SPY]:[PE]])</f>
        <v>1.998892905991604E-2</v>
      </c>
      <c r="RL48" s="27">
        <f>IF(ISNUMBER(RL47),RL47*(1+PortfolioFrontier[[#This Row],[P120 Return]]),1+PortfolioFrontier[[#This Row],[P120 Return]])</f>
        <v>1.2863121583700958</v>
      </c>
      <c r="RM48" s="27">
        <f>MAX(RM47,PortfolioFrontier[[#This Row],[P120 Growth]])</f>
        <v>1.2863121583700958</v>
      </c>
      <c r="RN48" s="27">
        <f>PortfolioFrontier[[#This Row],[P120 Growth]]/PortfolioFrontier[[#This Row],[P120 HWM]]-1</f>
        <v>0</v>
      </c>
      <c r="RO48" s="28">
        <f>SUMPRODUCT(INDEX(PortfolioRef[[SPY]:[PE]],MATCH(RO$1,PortfolioRef[Reference '#]),0),AssetMonthlyReturns[[#This Row],[SPY]:[PE]])</f>
        <v>1.9924149402093395E-2</v>
      </c>
      <c r="RP48" s="27">
        <f>IF(ISNUMBER(RP47),RP47*(1+PortfolioFrontier[[#This Row],[P121 Return]]),1+PortfolioFrontier[[#This Row],[P121 Return]])</f>
        <v>1.328802042358554</v>
      </c>
      <c r="RQ48" s="27">
        <f>MAX(RQ47,PortfolioFrontier[[#This Row],[P121 Growth]])</f>
        <v>1.328802042358554</v>
      </c>
      <c r="RR48" s="27">
        <f>PortfolioFrontier[[#This Row],[P121 Growth]]/PortfolioFrontier[[#This Row],[P121 HWM]]-1</f>
        <v>0</v>
      </c>
      <c r="RS48" s="28">
        <f>SUMPRODUCT(INDEX(PortfolioRef[[SPY]:[PE]],MATCH(RS$1,PortfolioRef[Reference '#]),0),AssetMonthlyReturns[[#This Row],[SPY]:[PE]])</f>
        <v>1.9410339404438027E-2</v>
      </c>
      <c r="RT48" s="27">
        <f>IF(ISNUMBER(RT47),RT47*(1+PortfolioFrontier[[#This Row],[P122 Return]]),1+PortfolioFrontier[[#This Row],[P122 Return]])</f>
        <v>1.3107393059993191</v>
      </c>
      <c r="RU48" s="27">
        <f>MAX(RU47,PortfolioFrontier[[#This Row],[P122 Growth]])</f>
        <v>1.3107393059993191</v>
      </c>
      <c r="RV48" s="27">
        <f>PortfolioFrontier[[#This Row],[P122 Growth]]/PortfolioFrontier[[#This Row],[P122 HWM]]-1</f>
        <v>0</v>
      </c>
      <c r="RW48" s="28">
        <f>SUMPRODUCT(INDEX(PortfolioRef[[SPY]:[PE]],MATCH(RW$1,PortfolioRef[Reference '#]),0),AssetMonthlyReturns[[#This Row],[SPY]:[PE]])</f>
        <v>1.8896529406782662E-2</v>
      </c>
      <c r="RX48" s="27">
        <f>IF(ISNUMBER(RX47),RX47*(1+PortfolioFrontier[[#This Row],[P123 Return]]),1+PortfolioFrontier[[#This Row],[P123 Return]])</f>
        <v>1.2927029744957004</v>
      </c>
      <c r="RY48" s="27">
        <f>MAX(RY47,PortfolioFrontier[[#This Row],[P123 Growth]])</f>
        <v>1.2927029744957004</v>
      </c>
      <c r="RZ48" s="27">
        <f>PortfolioFrontier[[#This Row],[P123 Growth]]/PortfolioFrontier[[#This Row],[P123 HWM]]-1</f>
        <v>0</v>
      </c>
      <c r="SA48" s="28">
        <f>SUMPRODUCT(INDEX(PortfolioRef[[SPY]:[PE]],MATCH(SA$1,PortfolioRef[Reference '#]),0),AssetMonthlyReturns[[#This Row],[SPY]:[PE]])</f>
        <v>2.2053375745002282E-2</v>
      </c>
      <c r="SB48" s="27">
        <f>IF(ISNUMBER(SB47),SB47*(1+PortfolioFrontier[[#This Row],[P124 Return]]),1+PortfolioFrontier[[#This Row],[P124 Return]])</f>
        <v>1.327231972207175</v>
      </c>
      <c r="SC48" s="27">
        <f>MAX(SC47,PortfolioFrontier[[#This Row],[P124 Growth]])</f>
        <v>1.327231972207175</v>
      </c>
      <c r="SD48" s="27">
        <f>PortfolioFrontier[[#This Row],[P124 Growth]]/PortfolioFrontier[[#This Row],[P124 HWM]]-1</f>
        <v>0</v>
      </c>
      <c r="SE48" s="28">
        <f>SUMPRODUCT(INDEX(PortfolioRef[[SPY]:[PE]],MATCH(SE$1,PortfolioRef[Reference '#]),0),AssetMonthlyReturns[[#This Row],[SPY]:[PE]])</f>
        <v>2.1539565747346914E-2</v>
      </c>
      <c r="SF48" s="27">
        <f>IF(ISNUMBER(SF47),SF47*(1+PortfolioFrontier[[#This Row],[P125 Return]]),1+PortfolioFrontier[[#This Row],[P125 Return]])</f>
        <v>1.3090725302079753</v>
      </c>
      <c r="SG48" s="27">
        <f>MAX(SG47,PortfolioFrontier[[#This Row],[P125 Growth]])</f>
        <v>1.3090725302079753</v>
      </c>
      <c r="SH48" s="27">
        <f>PortfolioFrontier[[#This Row],[P125 Growth]]/PortfolioFrontier[[#This Row],[P125 HWM]]-1</f>
        <v>0</v>
      </c>
      <c r="SI48" s="28">
        <f>SUMPRODUCT(INDEX(PortfolioRef[[SPY]:[PE]],MATCH(SI$1,PortfolioRef[Reference '#]),0),AssetMonthlyReturns[[#This Row],[SPY]:[PE]])</f>
        <v>2.1025755749691549E-2</v>
      </c>
      <c r="SJ48" s="27">
        <f>IF(ISNUMBER(SJ47),SJ47*(1+PortfolioFrontier[[#This Row],[P126 Return]]),1+PortfolioFrontier[[#This Row],[P126 Return]])</f>
        <v>1.2909427218892937</v>
      </c>
      <c r="SK48" s="27">
        <f>MAX(SK47,PortfolioFrontier[[#This Row],[P126 Growth]])</f>
        <v>1.2909427218892937</v>
      </c>
      <c r="SL48" s="27">
        <f>PortfolioFrontier[[#This Row],[P126 Growth]]/PortfolioFrontier[[#This Row],[P126 HWM]]-1</f>
        <v>0</v>
      </c>
      <c r="SM48" s="28">
        <f>SUMPRODUCT(INDEX(PortfolioRef[[SPY]:[PE]],MATCH(SM$1,PortfolioRef[Reference '#]),0),AssetMonthlyReturns[[#This Row],[SPY]:[PE]])</f>
        <v>2.0960976091868901E-2</v>
      </c>
      <c r="SN48" s="27">
        <f>IF(ISNUMBER(SN47),SN47*(1+PortfolioFrontier[[#This Row],[P127 Return]]),1+PortfolioFrontier[[#This Row],[P127 Return]])</f>
        <v>1.3336728958457496</v>
      </c>
      <c r="SO48" s="27">
        <f>MAX(SO47,PortfolioFrontier[[#This Row],[P127 Growth]])</f>
        <v>1.3336728958457496</v>
      </c>
      <c r="SP48" s="27">
        <f>PortfolioFrontier[[#This Row],[P127 Growth]]/PortfolioFrontier[[#This Row],[P127 HWM]]-1</f>
        <v>0</v>
      </c>
      <c r="SQ48" s="28">
        <f>SUMPRODUCT(INDEX(PortfolioRef[[SPY]:[PE]],MATCH(SQ$1,PortfolioRef[Reference '#]),0),AssetMonthlyReturns[[#This Row],[SPY]:[PE]])</f>
        <v>2.0447166094213532E-2</v>
      </c>
      <c r="SR48" s="27">
        <f>IF(ISNUMBER(SR47),SR47*(1+PortfolioFrontier[[#This Row],[P128 Return]]),1+PortfolioFrontier[[#This Row],[P128 Return]])</f>
        <v>1.3155668985617981</v>
      </c>
      <c r="SS48" s="27">
        <f>MAX(SS47,PortfolioFrontier[[#This Row],[P128 Growth]])</f>
        <v>1.3155668985617981</v>
      </c>
      <c r="ST48" s="27">
        <f>PortfolioFrontier[[#This Row],[P128 Growth]]/PortfolioFrontier[[#This Row],[P128 HWM]]-1</f>
        <v>0</v>
      </c>
      <c r="SU48" s="28">
        <f>SUMPRODUCT(INDEX(PortfolioRef[[SPY]:[PE]],MATCH(SU$1,PortfolioRef[Reference '#]),0),AssetMonthlyReturns[[#This Row],[SPY]:[PE]])</f>
        <v>1.9933356096558164E-2</v>
      </c>
      <c r="SV48" s="27">
        <f>IF(ISNUMBER(SV47),SV47*(1+PortfolioFrontier[[#This Row],[P129 Return]]),1+PortfolioFrontier[[#This Row],[P129 Return]])</f>
        <v>1.2974868512947333</v>
      </c>
      <c r="SW48" s="27">
        <f>MAX(SW47,PortfolioFrontier[[#This Row],[P129 Growth]])</f>
        <v>1.2974868512947333</v>
      </c>
      <c r="SX48" s="27">
        <f>PortfolioFrontier[[#This Row],[P129 Growth]]/PortfolioFrontier[[#This Row],[P129 HWM]]-1</f>
        <v>0</v>
      </c>
      <c r="SY48" s="28">
        <f>SUMPRODUCT(INDEX(PortfolioRef[[SPY]:[PE]],MATCH(SY$1,PortfolioRef[Reference '#]),0),AssetMonthlyReturns[[#This Row],[SPY]:[PE]])</f>
        <v>1.9868576438735523E-2</v>
      </c>
      <c r="SZ48" s="27">
        <f>IF(ISNUMBER(SZ47),SZ47*(1+PortfolioFrontier[[#This Row],[P130 Return]]),1+PortfolioFrontier[[#This Row],[P130 Return]])</f>
        <v>1.3398326330075903</v>
      </c>
      <c r="TA48" s="27">
        <f>MAX(TA47,PortfolioFrontier[[#This Row],[P130 Growth]])</f>
        <v>1.3398326330075903</v>
      </c>
      <c r="TB48" s="27">
        <f>PortfolioFrontier[[#This Row],[P130 Growth]]/PortfolioFrontier[[#This Row],[P130 HWM]]-1</f>
        <v>0</v>
      </c>
      <c r="TC48" s="28">
        <f>SUMPRODUCT(INDEX(PortfolioRef[[SPY]:[PE]],MATCH(TC$1,PortfolioRef[Reference '#]),0),AssetMonthlyReturns[[#This Row],[SPY]:[PE]])</f>
        <v>1.9354766441080151E-2</v>
      </c>
      <c r="TD48" s="27">
        <f>IF(ISNUMBER(TD47),TD47*(1+PortfolioFrontier[[#This Row],[P131 Return]]),1+PortfolioFrontier[[#This Row],[P131 Return]])</f>
        <v>1.3217853237274109</v>
      </c>
      <c r="TE48" s="27">
        <f>MAX(TE47,PortfolioFrontier[[#This Row],[P131 Growth]])</f>
        <v>1.3217853237274109</v>
      </c>
      <c r="TF48" s="27">
        <f>PortfolioFrontier[[#This Row],[P131 Growth]]/PortfolioFrontier[[#This Row],[P131 HWM]]-1</f>
        <v>0</v>
      </c>
      <c r="TG48" s="28">
        <f>SUMPRODUCT(INDEX(PortfolioRef[[SPY]:[PE]],MATCH(TG$1,PortfolioRef[Reference '#]),0),AssetMonthlyReturns[[#This Row],[SPY]:[PE]])</f>
        <v>1.8840956443424785E-2</v>
      </c>
      <c r="TH48" s="27">
        <f>IF(ISNUMBER(TH47),TH47*(1+PortfolioFrontier[[#This Row],[P132 Return]]),1+PortfolioFrontier[[#This Row],[P132 Return]])</f>
        <v>1.3037602517364684</v>
      </c>
      <c r="TI48" s="27">
        <f>MAX(TI47,PortfolioFrontier[[#This Row],[P132 Growth]])</f>
        <v>1.3037602517364684</v>
      </c>
      <c r="TJ48" s="27">
        <f>PortfolioFrontier[[#This Row],[P132 Growth]]/PortfolioFrontier[[#This Row],[P132 HWM]]-1</f>
        <v>0</v>
      </c>
      <c r="TK48" s="28">
        <f>SUMPRODUCT(INDEX(PortfolioRef[[SPY]:[PE]],MATCH(TK$1,PortfolioRef[Reference '#]),0),AssetMonthlyReturns[[#This Row],[SPY]:[PE]])</f>
        <v>2.1997802781644406E-2</v>
      </c>
      <c r="TL48" s="27">
        <f>IF(ISNUMBER(TL47),TL47*(1+PortfolioFrontier[[#This Row],[P133 Return]]),1+PortfolioFrontier[[#This Row],[P133 Return]])</f>
        <v>1.3384307443085539</v>
      </c>
      <c r="TM48" s="27">
        <f>MAX(TM47,PortfolioFrontier[[#This Row],[P133 Growth]])</f>
        <v>1.3384307443085539</v>
      </c>
      <c r="TN48" s="27">
        <f>PortfolioFrontier[[#This Row],[P133 Growth]]/PortfolioFrontier[[#This Row],[P133 HWM]]-1</f>
        <v>0</v>
      </c>
      <c r="TO48" s="28">
        <f>SUMPRODUCT(INDEX(PortfolioRef[[SPY]:[PE]],MATCH(TO$1,PortfolioRef[Reference '#]),0),AssetMonthlyReturns[[#This Row],[SPY]:[PE]])</f>
        <v>2.1483992783989037E-2</v>
      </c>
      <c r="TP48" s="27">
        <f>IF(ISNUMBER(TP47),TP47*(1+PortfolioFrontier[[#This Row],[P134 Return]]),1+PortfolioFrontier[[#This Row],[P134 Return]])</f>
        <v>1.3202830559849814</v>
      </c>
      <c r="TQ48" s="27">
        <f>MAX(TQ47,PortfolioFrontier[[#This Row],[P134 Growth]])</f>
        <v>1.3202830559849814</v>
      </c>
      <c r="TR48" s="27">
        <f>PortfolioFrontier[[#This Row],[P134 Growth]]/PortfolioFrontier[[#This Row],[P134 HWM]]-1</f>
        <v>0</v>
      </c>
      <c r="TS48" s="28">
        <f>SUMPRODUCT(INDEX(PortfolioRef[[SPY]:[PE]],MATCH(TS$1,PortfolioRef[Reference '#]),0),AssetMonthlyReturns[[#This Row],[SPY]:[PE]])</f>
        <v>2.0970182786333672E-2</v>
      </c>
      <c r="TT48" s="27">
        <f>IF(ISNUMBER(TT47),TT47*(1+PortfolioFrontier[[#This Row],[P135 Return]]),1+PortfolioFrontier[[#This Row],[P135 Return]])</f>
        <v>1.3021608585260711</v>
      </c>
      <c r="TU48" s="27">
        <f>MAX(TU47,PortfolioFrontier[[#This Row],[P135 Growth]])</f>
        <v>1.3021608585260711</v>
      </c>
      <c r="TV48" s="27">
        <f>PortfolioFrontier[[#This Row],[P135 Growth]]/PortfolioFrontier[[#This Row],[P135 HWM]]-1</f>
        <v>0</v>
      </c>
      <c r="TW48" s="28">
        <f>SUMPRODUCT(INDEX(PortfolioRef[[SPY]:[PE]],MATCH(TW$1,PortfolioRef[Reference '#]),0),AssetMonthlyReturns[[#This Row],[SPY]:[PE]])</f>
        <v>2.0905403128511028E-2</v>
      </c>
      <c r="TX48" s="27">
        <f>IF(ISNUMBER(TX47),TX47*(1+PortfolioFrontier[[#This Row],[P136 Return]]),1+PortfolioFrontier[[#This Row],[P136 Return]])</f>
        <v>1.3447475812013772</v>
      </c>
      <c r="TY48" s="27">
        <f>MAX(TY47,PortfolioFrontier[[#This Row],[P136 Growth]])</f>
        <v>1.3447475812013772</v>
      </c>
      <c r="TZ48" s="27">
        <f>PortfolioFrontier[[#This Row],[P136 Growth]]/PortfolioFrontier[[#This Row],[P136 HWM]]-1</f>
        <v>0</v>
      </c>
      <c r="UA48" s="28">
        <f>SUMPRODUCT(INDEX(PortfolioRef[[SPY]:[PE]],MATCH(UA$1,PortfolioRef[Reference '#]),0),AssetMonthlyReturns[[#This Row],[SPY]:[PE]])</f>
        <v>2.0391593130855656E-2</v>
      </c>
      <c r="UB48" s="27">
        <f>IF(ISNUMBER(UB47),UB47*(1+PortfolioFrontier[[#This Row],[P137 Return]]),1+PortfolioFrontier[[#This Row],[P137 Return]])</f>
        <v>1.3266570855106978</v>
      </c>
      <c r="UC48" s="27">
        <f>MAX(UC47,PortfolioFrontier[[#This Row],[P137 Growth]])</f>
        <v>1.3266570855106978</v>
      </c>
      <c r="UD48" s="27">
        <f>PortfolioFrontier[[#This Row],[P137 Growth]]/PortfolioFrontier[[#This Row],[P137 HWM]]-1</f>
        <v>0</v>
      </c>
      <c r="UE48" s="28">
        <f>SUMPRODUCT(INDEX(PortfolioRef[[SPY]:[PE]],MATCH(UE$1,PortfolioRef[Reference '#]),0),AssetMonthlyReturns[[#This Row],[SPY]:[PE]])</f>
        <v>1.9877783133200291E-2</v>
      </c>
      <c r="UF48" s="27">
        <f>IF(ISNUMBER(UF47),UF47*(1+PortfolioFrontier[[#This Row],[P138 Return]]),1+PortfolioFrontier[[#This Row],[P138 Return]])</f>
        <v>1.3085883604968405</v>
      </c>
      <c r="UG48" s="27">
        <f>MAX(UG47,PortfolioFrontier[[#This Row],[P138 Growth]])</f>
        <v>1.3085883604968405</v>
      </c>
      <c r="UH48" s="27">
        <f>PortfolioFrontier[[#This Row],[P138 Growth]]/PortfolioFrontier[[#This Row],[P138 HWM]]-1</f>
        <v>0</v>
      </c>
      <c r="UI48" s="28">
        <f>SUMPRODUCT(INDEX(PortfolioRef[[SPY]:[PE]],MATCH(UI$1,PortfolioRef[Reference '#]),0),AssetMonthlyReturns[[#This Row],[SPY]:[PE]])</f>
        <v>1.9813003475377646E-2</v>
      </c>
      <c r="UJ48" s="27">
        <f>IF(ISNUMBER(UJ47),UJ47*(1+PortfolioFrontier[[#This Row],[P139 Return]]),1+PortfolioFrontier[[#This Row],[P139 Return]])</f>
        <v>1.3507788598337169</v>
      </c>
      <c r="UK48" s="27">
        <f>MAX(UK47,PortfolioFrontier[[#This Row],[P139 Growth]])</f>
        <v>1.3507788598337169</v>
      </c>
      <c r="UL48" s="27">
        <f>PortfolioFrontier[[#This Row],[P139 Growth]]/PortfolioFrontier[[#This Row],[P139 HWM]]-1</f>
        <v>0</v>
      </c>
      <c r="UM48" s="28">
        <f>SUMPRODUCT(INDEX(PortfolioRef[[SPY]:[PE]],MATCH(UM$1,PortfolioRef[Reference '#]),0),AssetMonthlyReturns[[#This Row],[SPY]:[PE]])</f>
        <v>1.9299193477722274E-2</v>
      </c>
      <c r="UN48" s="27">
        <f>IF(ISNUMBER(UN47),UN47*(1+PortfolioFrontier[[#This Row],[P140 Return]]),1+PortfolioFrontier[[#This Row],[P140 Return]])</f>
        <v>1.3327508164164212</v>
      </c>
      <c r="UO48" s="27">
        <f>MAX(UO47,PortfolioFrontier[[#This Row],[P140 Growth]])</f>
        <v>1.3327508164164212</v>
      </c>
      <c r="UP48" s="27">
        <f>PortfolioFrontier[[#This Row],[P140 Growth]]/PortfolioFrontier[[#This Row],[P140 HWM]]-1</f>
        <v>0</v>
      </c>
      <c r="UQ48" s="28">
        <f>SUMPRODUCT(INDEX(PortfolioRef[[SPY]:[PE]],MATCH(UQ$1,PortfolioRef[Reference '#]),0),AssetMonthlyReturns[[#This Row],[SPY]:[PE]])</f>
        <v>1.8785383480066909E-2</v>
      </c>
      <c r="UR48" s="27">
        <f>IF(ISNUMBER(UR47),UR47*(1+PortfolioFrontier[[#This Row],[P141 Return]]),1+PortfolioFrontier[[#This Row],[P141 Return]])</f>
        <v>1.3147407958400186</v>
      </c>
      <c r="US48" s="27">
        <f>MAX(US47,PortfolioFrontier[[#This Row],[P141 Growth]])</f>
        <v>1.3147407958400186</v>
      </c>
      <c r="UT48" s="27">
        <f>PortfolioFrontier[[#This Row],[P141 Growth]]/PortfolioFrontier[[#This Row],[P141 HWM]]-1</f>
        <v>0</v>
      </c>
    </row>
    <row r="49" spans="2:566" x14ac:dyDescent="0.2">
      <c r="B49" s="41">
        <f>AssetMonthlyReturns[[#This Row],[Date]]</f>
        <v>43862</v>
      </c>
      <c r="C49" s="28">
        <f>SUMPRODUCT(INDEX(PortfolioRef[[SPY]:[PE]],MATCH(C$1,PortfolioRef[Reference '#]),0),AssetMonthlyReturns[[#This Row],[SPY]:[PE]])</f>
        <v>-5.2075764019279464E-2</v>
      </c>
      <c r="D49" s="29">
        <f>IF(ISNUMBER(D48),D48*(1+PortfolioFrontier[[#This Row],[P1 Return]]),1+PortfolioFrontier[[#This Row],[P1 Return]])</f>
        <v>1.3668749449839208</v>
      </c>
      <c r="E49" s="29">
        <f>MAX(E48,PortfolioFrontier[[#This Row],[P1 Growth]])</f>
        <v>1.4419664495335482</v>
      </c>
      <c r="F49" s="29">
        <f>PortfolioFrontier[[#This Row],[P1 Growth]]/PortfolioFrontier[[#This Row],[P1 HWM]]-1</f>
        <v>-5.2075764019279602E-2</v>
      </c>
      <c r="G49" s="28">
        <f>SUMPRODUCT(INDEX(PortfolioRef[[SPY]:[PE]],MATCH(G$1,PortfolioRef[Reference '#]),0),AssetMonthlyReturns[[#This Row],[SPY]:[PE]])</f>
        <v>-4.7432775373240046E-2</v>
      </c>
      <c r="H49" s="27">
        <f>IF(ISNUMBER(H48),H48*(1+PortfolioFrontier[[#This Row],[P2 Return]]),1+PortfolioFrontier[[#This Row],[P2 Return]])</f>
        <v>1.3477671245256526</v>
      </c>
      <c r="I49" s="27">
        <f>MAX(I48,PortfolioFrontier[[#This Row],[P2 Growth]])</f>
        <v>1.4148787504774187</v>
      </c>
      <c r="J49" s="27">
        <f>PortfolioFrontier[[#This Row],[P2 Growth]]/PortfolioFrontier[[#This Row],[P2 HWM]]-1</f>
        <v>-4.7432775373240199E-2</v>
      </c>
      <c r="K49" s="28">
        <f>SUMPRODUCT(INDEX(PortfolioRef[[SPY]:[PE]],MATCH(K$1,PortfolioRef[Reference '#]),0),AssetMonthlyReturns[[#This Row],[SPY]:[PE]])</f>
        <v>-4.8435566771541948E-2</v>
      </c>
      <c r="L49" s="27">
        <f>IF(ISNUMBER(L48),L48*(1+PortfolioFrontier[[#This Row],[P3 Return]]),1+PortfolioFrontier[[#This Row],[P3 Return]])</f>
        <v>1.3513909046106698</v>
      </c>
      <c r="M49" s="27">
        <f>MAX(M48,PortfolioFrontier[[#This Row],[P3 Growth]])</f>
        <v>1.4201780325328939</v>
      </c>
      <c r="N49" s="27">
        <f>PortfolioFrontier[[#This Row],[P3 Growth]]/PortfolioFrontier[[#This Row],[P3 HWM]]-1</f>
        <v>-4.8435566771541927E-2</v>
      </c>
      <c r="O49" s="28">
        <f>SUMPRODUCT(INDEX(PortfolioRef[[SPY]:[PE]],MATCH(O$1,PortfolioRef[Reference '#]),0),AssetMonthlyReturns[[#This Row],[SPY]:[PE]])</f>
        <v>-5.1630733140909636E-2</v>
      </c>
      <c r="P49" s="27">
        <f>IF(ISNUMBER(P48),P48*(1+PortfolioFrontier[[#This Row],[P4 Return]]),1+PortfolioFrontier[[#This Row],[P4 Return]])</f>
        <v>1.3531508276625652</v>
      </c>
      <c r="Q49" s="27">
        <f>MAX(Q48,PortfolioFrontier[[#This Row],[P4 Growth]])</f>
        <v>1.4268185135775995</v>
      </c>
      <c r="R49" s="27">
        <f>PortfolioFrontier[[#This Row],[P4 Growth]]/PortfolioFrontier[[#This Row],[P4 HWM]]-1</f>
        <v>-5.1630733140909491E-2</v>
      </c>
      <c r="S49" s="28">
        <f>SUMPRODUCT(INDEX(PortfolioRef[[SPY]:[PE]],MATCH(S$1,PortfolioRef[Reference '#]),0),AssetMonthlyReturns[[#This Row],[SPY]:[PE]])</f>
        <v>-4.9580520491654963E-2</v>
      </c>
      <c r="T49" s="27">
        <f>IF(ISNUMBER(T48),T48*(1+PortfolioFrontier[[#This Row],[P5 Return]]),1+PortfolioFrontier[[#This Row],[P5 Return]])</f>
        <v>1.3374785313677104</v>
      </c>
      <c r="U49" s="27">
        <f>MAX(U48,PortfolioFrontier[[#This Row],[P5 Growth]])</f>
        <v>1.4072507563287657</v>
      </c>
      <c r="V49" s="27">
        <f>PortfolioFrontier[[#This Row],[P5 Growth]]/PortfolioFrontier[[#This Row],[P5 HWM]]-1</f>
        <v>-4.9580520491654956E-2</v>
      </c>
      <c r="W49" s="28">
        <f>SUMPRODUCT(INDEX(PortfolioRef[[SPY]:[PE]],MATCH(W$1,PortfolioRef[Reference '#]),0),AssetMonthlyReturns[[#This Row],[SPY]:[PE]])</f>
        <v>-4.2789786727200636E-2</v>
      </c>
      <c r="X49" s="27">
        <f>IF(ISNUMBER(X48),X48*(1+PortfolioFrontier[[#This Row],[P6 Return]]),1+PortfolioFrontier[[#This Row],[P6 Return]])</f>
        <v>1.3286892836857995</v>
      </c>
      <c r="Y49" s="27">
        <f>MAX(Y48,PortfolioFrontier[[#This Row],[P6 Growth]])</f>
        <v>1.3880851512677401</v>
      </c>
      <c r="Z49" s="27">
        <f>PortfolioFrontier[[#This Row],[P6 Growth]]/PortfolioFrontier[[#This Row],[P6 HWM]]-1</f>
        <v>-4.2789786727200574E-2</v>
      </c>
      <c r="AA49" s="28">
        <f>SUMPRODUCT(INDEX(PortfolioRef[[SPY]:[PE]],MATCH(AA$1,PortfolioRef[Reference '#]),0),AssetMonthlyReturns[[#This Row],[SPY]:[PE]])</f>
        <v>-4.3792578125502538E-2</v>
      </c>
      <c r="AB49" s="27">
        <f>IF(ISNUMBER(AB48),AB48*(1+PortfolioFrontier[[#This Row],[P7 Return]]),1+PortfolioFrontier[[#This Row],[P7 Return]])</f>
        <v>1.3322443158027373</v>
      </c>
      <c r="AC49" s="27">
        <f>MAX(AC48,PortfolioFrontier[[#This Row],[P7 Growth]])</f>
        <v>1.3932587065587478</v>
      </c>
      <c r="AD49" s="27">
        <f>PortfolioFrontier[[#This Row],[P7 Growth]]/PortfolioFrontier[[#This Row],[P7 HWM]]-1</f>
        <v>-4.3792578125502524E-2</v>
      </c>
      <c r="AE49" s="28">
        <f>SUMPRODUCT(INDEX(PortfolioRef[[SPY]:[PE]],MATCH(AE$1,PortfolioRef[Reference '#]),0),AssetMonthlyReturns[[#This Row],[SPY]:[PE]])</f>
        <v>-4.6987744494870226E-2</v>
      </c>
      <c r="AF49" s="27">
        <f>IF(ISNUMBER(AF48),AF48*(1+PortfolioFrontier[[#This Row],[P8 Return]]),1+PortfolioFrontier[[#This Row],[P8 Return]])</f>
        <v>1.3341285394973337</v>
      </c>
      <c r="AG49" s="27">
        <f>MAX(AG48,PortfolioFrontier[[#This Row],[P8 Growth]])</f>
        <v>1.3999070125181117</v>
      </c>
      <c r="AH49" s="27">
        <f>PortfolioFrontier[[#This Row],[P8 Growth]]/PortfolioFrontier[[#This Row],[P8 HWM]]-1</f>
        <v>-4.6987744494870087E-2</v>
      </c>
      <c r="AI49" s="28">
        <f>SUMPRODUCT(INDEX(PortfolioRef[[SPY]:[PE]],MATCH(AI$1,PortfolioRef[Reference '#]),0),AssetMonthlyReturns[[#This Row],[SPY]:[PE]])</f>
        <v>-4.4937531845615553E-2</v>
      </c>
      <c r="AJ49" s="27">
        <f>IF(ISNUMBER(AJ48),AJ48*(1+PortfolioFrontier[[#This Row],[P9 Return]]),1+PortfolioFrontier[[#This Row],[P9 Return]])</f>
        <v>1.3185956718265834</v>
      </c>
      <c r="AK49" s="27">
        <f>MAX(AK48,PortfolioFrontier[[#This Row],[P9 Growth]])</f>
        <v>1.3806381423140945</v>
      </c>
      <c r="AL49" s="27">
        <f>PortfolioFrontier[[#This Row],[P9 Growth]]/PortfolioFrontier[[#This Row],[P9 HWM]]-1</f>
        <v>-4.4937531845615553E-2</v>
      </c>
      <c r="AM49" s="28">
        <f>SUMPRODUCT(INDEX(PortfolioRef[[SPY]:[PE]],MATCH(AM$1,PortfolioRef[Reference '#]),0),AssetMonthlyReturns[[#This Row],[SPY]:[PE]])</f>
        <v>-4.4795369523804432E-2</v>
      </c>
      <c r="AN49" s="27">
        <f>IF(ISNUMBER(AN48),AN48*(1+PortfolioFrontier[[#This Row],[P10 Return]]),1+PortfolioFrontier[[#This Row],[P10 Return]])</f>
        <v>1.3356770888355076</v>
      </c>
      <c r="AO49" s="27">
        <f>MAX(AO48,PortfolioFrontier[[#This Row],[P10 Growth]])</f>
        <v>1.3983151318787432</v>
      </c>
      <c r="AP49" s="27">
        <f>PortfolioFrontier[[#This Row],[P10 Growth]]/PortfolioFrontier[[#This Row],[P10 HWM]]-1</f>
        <v>-4.4795369523804474E-2</v>
      </c>
      <c r="AQ49" s="28">
        <f>SUMPRODUCT(INDEX(PortfolioRef[[SPY]:[PE]],MATCH(AQ$1,PortfolioRef[Reference '#]),0),AssetMonthlyReturns[[#This Row],[SPY]:[PE]])</f>
        <v>-4.7990535893172127E-2</v>
      </c>
      <c r="AR49" s="27">
        <f>IF(ISNUMBER(AR48),AR48*(1+PortfolioFrontier[[#This Row],[P11 Return]]),1+PortfolioFrontier[[#This Row],[P11 Return]])</f>
        <v>1.3376953691758826</v>
      </c>
      <c r="AS49" s="27">
        <f>MAX(AS48,PortfolioFrontier[[#This Row],[P11 Growth]])</f>
        <v>1.4051282257271507</v>
      </c>
      <c r="AT49" s="27">
        <f>PortfolioFrontier[[#This Row],[P11 Growth]]/PortfolioFrontier[[#This Row],[P11 HWM]]-1</f>
        <v>-4.7990535893172148E-2</v>
      </c>
      <c r="AU49" s="28">
        <f>SUMPRODUCT(INDEX(PortfolioRef[[SPY]:[PE]],MATCH(AU$1,PortfolioRef[Reference '#]),0),AssetMonthlyReturns[[#This Row],[SPY]:[PE]])</f>
        <v>-4.5940323243917454E-2</v>
      </c>
      <c r="AV49" s="27">
        <f>IF(ISNUMBER(AV48),AV48*(1+PortfolioFrontier[[#This Row],[P12 Return]]),1+PortfolioFrontier[[#This Row],[P12 Return]])</f>
        <v>1.3221471122723649</v>
      </c>
      <c r="AW49" s="27">
        <f>MAX(AW48,PortfolioFrontier[[#This Row],[P12 Growth]])</f>
        <v>1.3858117521199762</v>
      </c>
      <c r="AX49" s="27">
        <f>PortfolioFrontier[[#This Row],[P12 Growth]]/PortfolioFrontier[[#This Row],[P12 HWM]]-1</f>
        <v>-4.5940323243917391E-2</v>
      </c>
      <c r="AY49" s="28">
        <f>SUMPRODUCT(INDEX(PortfolioRef[[SPY]:[PE]],MATCH(AY$1,PortfolioRef[Reference '#]),0),AssetMonthlyReturns[[#This Row],[SPY]:[PE]])</f>
        <v>-5.1185702262539823E-2</v>
      </c>
      <c r="AZ49" s="27">
        <f>IF(ISNUMBER(AZ48),AZ48*(1+PortfolioFrontier[[#This Row],[P13 Return]]),1+PortfolioFrontier[[#This Row],[P13 Return]])</f>
        <v>1.3393891383479175</v>
      </c>
      <c r="BA49" s="27">
        <f>MAX(BA48,PortfolioFrontier[[#This Row],[P13 Growth]])</f>
        <v>1.4116451886758252</v>
      </c>
      <c r="BB49" s="27">
        <f>PortfolioFrontier[[#This Row],[P13 Growth]]/PortfolioFrontier[[#This Row],[P13 HWM]]-1</f>
        <v>-5.1185702262539823E-2</v>
      </c>
      <c r="BC49" s="28">
        <f>SUMPRODUCT(INDEX(PortfolioRef[[SPY]:[PE]],MATCH(BC$1,PortfolioRef[Reference '#]),0),AssetMonthlyReturns[[#This Row],[SPY]:[PE]])</f>
        <v>-4.9135489613285142E-2</v>
      </c>
      <c r="BD49" s="27">
        <f>IF(ISNUMBER(BD48),BD48*(1+PortfolioFrontier[[#This Row],[P14 Return]]),1+PortfolioFrontier[[#This Row],[P14 Return]])</f>
        <v>1.3239736200712131</v>
      </c>
      <c r="BE49" s="27">
        <f>MAX(BE48,PortfolioFrontier[[#This Row],[P14 Growth]])</f>
        <v>1.3923893526457891</v>
      </c>
      <c r="BF49" s="27">
        <f>PortfolioFrontier[[#This Row],[P14 Growth]]/PortfolioFrontier[[#This Row],[P14 HWM]]-1</f>
        <v>-4.9135489613285177E-2</v>
      </c>
      <c r="BG49" s="28">
        <f>SUMPRODUCT(INDEX(PortfolioRef[[SPY]:[PE]],MATCH(BG$1,PortfolioRef[Reference '#]),0),AssetMonthlyReturns[[#This Row],[SPY]:[PE]])</f>
        <v>-4.7085276964030476E-2</v>
      </c>
      <c r="BH49" s="27">
        <f>IF(ISNUMBER(BH48),BH48*(1+PortfolioFrontier[[#This Row],[P15 Return]]),1+PortfolioFrontier[[#This Row],[P15 Return]])</f>
        <v>1.3085076996663187</v>
      </c>
      <c r="BI49" s="27">
        <f>MAX(BI48,PortfolioFrontier[[#This Row],[P15 Growth]])</f>
        <v>1.3731634825595267</v>
      </c>
      <c r="BJ49" s="27">
        <f>PortfolioFrontier[[#This Row],[P15 Growth]]/PortfolioFrontier[[#This Row],[P15 HWM]]-1</f>
        <v>-4.7085276964030531E-2</v>
      </c>
      <c r="BK49" s="28">
        <f>SUMPRODUCT(INDEX(PortfolioRef[[SPY]:[PE]],MATCH(BK$1,PortfolioRef[Reference '#]),0),AssetMonthlyReturns[[#This Row],[SPY]:[PE]])</f>
        <v>-3.8146798081161219E-2</v>
      </c>
      <c r="BL49" s="27">
        <f>IF(ISNUMBER(BL48),BL48*(1+PortfolioFrontier[[#This Row],[P16 Return]]),1+PortfolioFrontier[[#This Row],[P16 Return]])</f>
        <v>1.3096484400359421</v>
      </c>
      <c r="BM49" s="27">
        <f>MAX(BM48,PortfolioFrontier[[#This Row],[P16 Growth]])</f>
        <v>1.3615886888178703</v>
      </c>
      <c r="BN49" s="27">
        <f>PortfolioFrontier[[#This Row],[P16 Growth]]/PortfolioFrontier[[#This Row],[P16 HWM]]-1</f>
        <v>-3.8146798081161171E-2</v>
      </c>
      <c r="BO49" s="28">
        <f>SUMPRODUCT(INDEX(PortfolioRef[[SPY]:[PE]],MATCH(BO$1,PortfolioRef[Reference '#]),0),AssetMonthlyReturns[[#This Row],[SPY]:[PE]])</f>
        <v>-3.9149589479463121E-2</v>
      </c>
      <c r="BP49" s="27">
        <f>IF(ISNUMBER(BP48),BP48*(1+PortfolioFrontier[[#This Row],[P17 Return]]),1+PortfolioFrontier[[#This Row],[P17 Return]])</f>
        <v>1.313135521780719</v>
      </c>
      <c r="BQ49" s="27">
        <f>MAX(BQ48,PortfolioFrontier[[#This Row],[P17 Growth]])</f>
        <v>1.36663887261008</v>
      </c>
      <c r="BR49" s="27">
        <f>PortfolioFrontier[[#This Row],[P17 Growth]]/PortfolioFrontier[[#This Row],[P17 HWM]]-1</f>
        <v>-3.9149589479463121E-2</v>
      </c>
      <c r="BS49" s="28">
        <f>SUMPRODUCT(INDEX(PortfolioRef[[SPY]:[PE]],MATCH(BS$1,PortfolioRef[Reference '#]),0),AssetMonthlyReturns[[#This Row],[SPY]:[PE]])</f>
        <v>-4.2344755848830809E-2</v>
      </c>
      <c r="BT49" s="27">
        <f>IF(ISNUMBER(BT48),BT48*(1+PortfolioFrontier[[#This Row],[P18 Return]]),1+PortfolioFrontier[[#This Row],[P18 Return]])</f>
        <v>1.3151390013679978</v>
      </c>
      <c r="BU49" s="27">
        <f>MAX(BU48,PortfolioFrontier[[#This Row],[P18 Growth]])</f>
        <v>1.3732906590342844</v>
      </c>
      <c r="BV49" s="27">
        <f>PortfolioFrontier[[#This Row],[P18 Growth]]/PortfolioFrontier[[#This Row],[P18 HWM]]-1</f>
        <v>-4.2344755848830684E-2</v>
      </c>
      <c r="BW49" s="28">
        <f>SUMPRODUCT(INDEX(PortfolioRef[[SPY]:[PE]],MATCH(BW$1,PortfolioRef[Reference '#]),0),AssetMonthlyReturns[[#This Row],[SPY]:[PE]])</f>
        <v>-4.0294543199576136E-2</v>
      </c>
      <c r="BX49" s="27">
        <f>IF(ISNUMBER(BX48),BX48*(1+PortfolioFrontier[[#This Row],[P19 Return]]),1+PortfolioFrontier[[#This Row],[P19 Return]])</f>
        <v>1.2997477917910962</v>
      </c>
      <c r="BY49" s="27">
        <f>MAX(BY48,PortfolioFrontier[[#This Row],[P19 Growth]])</f>
        <v>1.3543194764405577</v>
      </c>
      <c r="BZ49" s="27">
        <f>PortfolioFrontier[[#This Row],[P19 Growth]]/PortfolioFrontier[[#This Row],[P19 HWM]]-1</f>
        <v>-4.029454319957626E-2</v>
      </c>
      <c r="CA49" s="28">
        <f>SUMPRODUCT(INDEX(PortfolioRef[[SPY]:[PE]],MATCH(CA$1,PortfolioRef[Reference '#]),0),AssetMonthlyReturns[[#This Row],[SPY]:[PE]])</f>
        <v>-4.0152380877765015E-2</v>
      </c>
      <c r="CB49" s="27">
        <f>IF(ISNUMBER(CB48),CB48*(1+PortfolioFrontier[[#This Row],[P20 Return]]),1+PortfolioFrontier[[#This Row],[P20 Return]])</f>
        <v>1.3165018641069746</v>
      </c>
      <c r="CC49" s="27">
        <f>MAX(CC48,PortfolioFrontier[[#This Row],[P20 Growth]])</f>
        <v>1.3715738184680752</v>
      </c>
      <c r="CD49" s="27">
        <f>PortfolioFrontier[[#This Row],[P20 Growth]]/PortfolioFrontier[[#This Row],[P20 HWM]]-1</f>
        <v>-4.0152380877764959E-2</v>
      </c>
      <c r="CE49" s="28">
        <f>SUMPRODUCT(INDEX(PortfolioRef[[SPY]:[PE]],MATCH(CE$1,PortfolioRef[Reference '#]),0),AssetMonthlyReturns[[#This Row],[SPY]:[PE]])</f>
        <v>-4.334754724713271E-2</v>
      </c>
      <c r="CF49" s="27">
        <f>IF(ISNUMBER(CF48),CF48*(1+PortfolioFrontier[[#This Row],[P21 Return]]),1+PortfolioFrontier[[#This Row],[P21 Return]])</f>
        <v>1.3186379221089328</v>
      </c>
      <c r="CG49" s="27">
        <f>MAX(CG48,PortfolioFrontier[[#This Row],[P21 Growth]])</f>
        <v>1.3783876457060396</v>
      </c>
      <c r="CH49" s="27">
        <f>PortfolioFrontier[[#This Row],[P21 Growth]]/PortfolioFrontier[[#This Row],[P21 HWM]]-1</f>
        <v>-4.3347547247132856E-2</v>
      </c>
      <c r="CI49" s="28">
        <f>SUMPRODUCT(INDEX(PortfolioRef[[SPY]:[PE]],MATCH(CI$1,PortfolioRef[Reference '#]),0),AssetMonthlyReturns[[#This Row],[SPY]:[PE]])</f>
        <v>-4.1297334597878037E-2</v>
      </c>
      <c r="CJ49" s="27">
        <f>IF(ISNUMBER(CJ48),CJ48*(1+PortfolioFrontier[[#This Row],[P22 Return]]),1+PortfolioFrontier[[#This Row],[P22 Return]])</f>
        <v>1.3032315740269824</v>
      </c>
      <c r="CK49" s="27">
        <f>MAX(CK48,PortfolioFrontier[[#This Row],[P22 Growth]])</f>
        <v>1.3593699288197449</v>
      </c>
      <c r="CL49" s="27">
        <f>PortfolioFrontier[[#This Row],[P22 Growth]]/PortfolioFrontier[[#This Row],[P22 HWM]]-1</f>
        <v>-4.1297334597877988E-2</v>
      </c>
      <c r="CM49" s="28">
        <f>SUMPRODUCT(INDEX(PortfolioRef[[SPY]:[PE]],MATCH(CM$1,PortfolioRef[Reference '#]),0),AssetMonthlyReturns[[#This Row],[SPY]:[PE]])</f>
        <v>-4.6542713616500406E-2</v>
      </c>
      <c r="CN49" s="27">
        <f>IF(ISNUMBER(CN48),CN48*(1+PortfolioFrontier[[#This Row],[P23 Return]]),1+PortfolioFrontier[[#This Row],[P23 Return]])</f>
        <v>1.3204549646076733</v>
      </c>
      <c r="CO49" s="27">
        <f>MAX(CO48,PortfolioFrontier[[#This Row],[P23 Growth]])</f>
        <v>1.3849125529432054</v>
      </c>
      <c r="CP49" s="27">
        <f>PortfolioFrontier[[#This Row],[P23 Growth]]/PortfolioFrontier[[#This Row],[P23 HWM]]-1</f>
        <v>-4.654271361650042E-2</v>
      </c>
      <c r="CQ49" s="28">
        <f>SUMPRODUCT(INDEX(PortfolioRef[[SPY]:[PE]],MATCH(CQ$1,PortfolioRef[Reference '#]),0),AssetMonthlyReturns[[#This Row],[SPY]:[PE]])</f>
        <v>-4.4492500967245725E-2</v>
      </c>
      <c r="CR49" s="27">
        <f>IF(ISNUMBER(CR48),CR48*(1+PortfolioFrontier[[#This Row],[P24 Return]]),1+PortfolioFrontier[[#This Row],[P24 Return]])</f>
        <v>1.3051774209483964</v>
      </c>
      <c r="CS49" s="27">
        <f>MAX(CS48,PortfolioFrontier[[#This Row],[P24 Growth]])</f>
        <v>1.3659520435680597</v>
      </c>
      <c r="CT49" s="27">
        <f>PortfolioFrontier[[#This Row],[P24 Growth]]/PortfolioFrontier[[#This Row],[P24 HWM]]-1</f>
        <v>-4.4492500967245774E-2</v>
      </c>
      <c r="CU49" s="28">
        <f>SUMPRODUCT(INDEX(PortfolioRef[[SPY]:[PE]],MATCH(CU$1,PortfolioRef[Reference '#]),0),AssetMonthlyReturns[[#This Row],[SPY]:[PE]])</f>
        <v>-4.2442288317991059E-2</v>
      </c>
      <c r="CV49" s="27">
        <f>IF(ISNUMBER(CV48),CV48*(1+PortfolioFrontier[[#This Row],[P25 Return]]),1+PortfolioFrontier[[#This Row],[P25 Return]])</f>
        <v>1.2898520326580631</v>
      </c>
      <c r="CW49" s="27">
        <f>MAX(CW48,PortfolioFrontier[[#This Row],[P25 Growth]])</f>
        <v>1.3470227610535963</v>
      </c>
      <c r="CX49" s="27">
        <f>PortfolioFrontier[[#This Row],[P25 Growth]]/PortfolioFrontier[[#This Row],[P25 HWM]]-1</f>
        <v>-4.2442288317991128E-2</v>
      </c>
      <c r="CY49" s="28">
        <f>SUMPRODUCT(INDEX(PortfolioRef[[SPY]:[PE]],MATCH(CY$1,PortfolioRef[Reference '#]),0),AssetMonthlyReturns[[#This Row],[SPY]:[PE]])</f>
        <v>-4.4350338645434612E-2</v>
      </c>
      <c r="CZ49" s="27">
        <f>IF(ISNUMBER(CZ48),CZ48*(1+PortfolioFrontier[[#This Row],[P26 Return]]),1+PortfolioFrontier[[#This Row],[P26 Return]])</f>
        <v>1.3220156638890717</v>
      </c>
      <c r="DA49" s="27">
        <f>MAX(DA48,PortfolioFrontier[[#This Row],[P26 Growth]])</f>
        <v>1.3833685265112829</v>
      </c>
      <c r="DB49" s="27">
        <f>PortfolioFrontier[[#This Row],[P26 Growth]]/PortfolioFrontier[[#This Row],[P26 HWM]]-1</f>
        <v>-4.4350338645434584E-2</v>
      </c>
      <c r="DC49" s="28">
        <f>SUMPRODUCT(INDEX(PortfolioRef[[SPY]:[PE]],MATCH(DC$1,PortfolioRef[Reference '#]),0),AssetMonthlyReturns[[#This Row],[SPY]:[PE]])</f>
        <v>-4.2300125996179938E-2</v>
      </c>
      <c r="DD49" s="27">
        <f>IF(ISNUMBER(DD48),DD48*(1+PortfolioFrontier[[#This Row],[P27 Return]]),1+PortfolioFrontier[[#This Row],[P27 Return]])</f>
        <v>1.3065955998084018</v>
      </c>
      <c r="DE49" s="27">
        <f>MAX(DE48,PortfolioFrontier[[#This Row],[P27 Growth]])</f>
        <v>1.3643059117737653</v>
      </c>
      <c r="DF49" s="27">
        <f>PortfolioFrontier[[#This Row],[P27 Growth]]/PortfolioFrontier[[#This Row],[P27 HWM]]-1</f>
        <v>-4.2300125996179938E-2</v>
      </c>
      <c r="DG49" s="28">
        <f>SUMPRODUCT(INDEX(PortfolioRef[[SPY]:[PE]],MATCH(DG$1,PortfolioRef[Reference '#]),0),AssetMonthlyReturns[[#This Row],[SPY]:[PE]])</f>
        <v>-4.7545505014802314E-2</v>
      </c>
      <c r="DH49" s="27">
        <f>IF(ISNUMBER(DH48),DH48*(1+PortfolioFrontier[[#This Row],[P28 Return]]),1+PortfolioFrontier[[#This Row],[P28 Return]])</f>
        <v>1.3239653612931916</v>
      </c>
      <c r="DI49" s="27">
        <f>MAX(DI48,PortfolioFrontier[[#This Row],[P28 Growth]])</f>
        <v>1.3900562895802888</v>
      </c>
      <c r="DJ49" s="27">
        <f>PortfolioFrontier[[#This Row],[P28 Growth]]/PortfolioFrontier[[#This Row],[P28 HWM]]-1</f>
        <v>-4.7545505014802369E-2</v>
      </c>
      <c r="DK49" s="28">
        <f>SUMPRODUCT(INDEX(PortfolioRef[[SPY]:[PE]],MATCH(DK$1,PortfolioRef[Reference '#]),0),AssetMonthlyReturns[[#This Row],[SPY]:[PE]])</f>
        <v>-4.5495292365547634E-2</v>
      </c>
      <c r="DL49" s="27">
        <f>IF(ISNUMBER(DL48),DL48*(1+PortfolioFrontier[[#This Row],[P29 Return]]),1+PortfolioFrontier[[#This Row],[P29 Return]])</f>
        <v>1.3086730182955688</v>
      </c>
      <c r="DM49" s="27">
        <f>MAX(DM48,PortfolioFrontier[[#This Row],[P29 Growth]])</f>
        <v>1.3710493073825181</v>
      </c>
      <c r="DN49" s="27">
        <f>PortfolioFrontier[[#This Row],[P29 Growth]]/PortfolioFrontier[[#This Row],[P29 HWM]]-1</f>
        <v>-4.5495292365547613E-2</v>
      </c>
      <c r="DO49" s="28">
        <f>SUMPRODUCT(INDEX(PortfolioRef[[SPY]:[PE]],MATCH(DO$1,PortfolioRef[Reference '#]),0),AssetMonthlyReturns[[#This Row],[SPY]:[PE]])</f>
        <v>-4.344507971629296E-2</v>
      </c>
      <c r="DP49" s="27">
        <f>IF(ISNUMBER(DP48),DP48*(1+PortfolioFrontier[[#This Row],[P30 Return]]),1+PortfolioFrontier[[#This Row],[P30 Return]])</f>
        <v>1.2933321680656471</v>
      </c>
      <c r="DQ49" s="27">
        <f>MAX(DQ48,PortfolioFrontier[[#This Row],[P30 Growth]])</f>
        <v>1.3520730912994043</v>
      </c>
      <c r="DR49" s="27">
        <f>PortfolioFrontier[[#This Row],[P30 Growth]]/PortfolioFrontier[[#This Row],[P30 HWM]]-1</f>
        <v>-4.3445079716292967E-2</v>
      </c>
      <c r="DS49" s="28">
        <f>SUMPRODUCT(INDEX(PortfolioRef[[SPY]:[PE]],MATCH(DS$1,PortfolioRef[Reference '#]),0),AssetMonthlyReturns[[#This Row],[SPY]:[PE]])</f>
        <v>-5.0740671384170002E-2</v>
      </c>
      <c r="DT49" s="27">
        <f>IF(ISNUMBER(DT48),DT48*(1+PortfolioFrontier[[#This Row],[P31 Return]]),1+PortfolioFrontier[[#This Row],[P31 Return]])</f>
        <v>1.3255937093089918</v>
      </c>
      <c r="DU49" s="27">
        <f>MAX(DU48,PortfolioFrontier[[#This Row],[P31 Growth]])</f>
        <v>1.3964505476516273</v>
      </c>
      <c r="DV49" s="27">
        <f>PortfolioFrontier[[#This Row],[P31 Growth]]/PortfolioFrontier[[#This Row],[P31 HWM]]-1</f>
        <v>-5.0740671384170044E-2</v>
      </c>
      <c r="DW49" s="28">
        <f>SUMPRODUCT(INDEX(PortfolioRef[[SPY]:[PE]],MATCH(DW$1,PortfolioRef[Reference '#]),0),AssetMonthlyReturns[[#This Row],[SPY]:[PE]])</f>
        <v>-4.8690458734915329E-2</v>
      </c>
      <c r="DX49" s="27">
        <f>IF(ISNUMBER(DX48),DX48*(1+PortfolioFrontier[[#This Row],[P32 Return]]),1+PortfolioFrontier[[#This Row],[P32 Return]])</f>
        <v>1.3104333629424658</v>
      </c>
      <c r="DY49" s="27">
        <f>MAX(DY48,PortfolioFrontier[[#This Row],[P32 Growth]])</f>
        <v>1.3775046986281727</v>
      </c>
      <c r="DZ49" s="27">
        <f>PortfolioFrontier[[#This Row],[P32 Growth]]/PortfolioFrontier[[#This Row],[P32 HWM]]-1</f>
        <v>-4.8690458734915287E-2</v>
      </c>
      <c r="EA49" s="28">
        <f>SUMPRODUCT(INDEX(PortfolioRef[[SPY]:[PE]],MATCH(EA$1,PortfolioRef[Reference '#]),0),AssetMonthlyReturns[[#This Row],[SPY]:[PE]])</f>
        <v>-4.6640246085660655E-2</v>
      </c>
      <c r="EB49" s="27">
        <f>IF(ISNUMBER(EB48),EB48*(1+PortfolioFrontier[[#This Row],[P33 Return]]),1+PortfolioFrontier[[#This Row],[P33 Return]])</f>
        <v>1.2952209524926754</v>
      </c>
      <c r="EC49" s="27">
        <f>MAX(EC48,PortfolioFrontier[[#This Row],[P33 Growth]])</f>
        <v>1.3585857250368603</v>
      </c>
      <c r="ED49" s="27">
        <f>PortfolioFrontier[[#This Row],[P33 Growth]]/PortfolioFrontier[[#This Row],[P33 HWM]]-1</f>
        <v>-4.6640246085660642E-2</v>
      </c>
      <c r="EE49" s="28">
        <f>SUMPRODUCT(INDEX(PortfolioRef[[SPY]:[PE]],MATCH(EE$1,PortfolioRef[Reference '#]),0),AssetMonthlyReturns[[#This Row],[SPY]:[PE]])</f>
        <v>-3.3503809435121795E-2</v>
      </c>
      <c r="EF49" s="27">
        <f>IF(ISNUMBER(EF48),EF48*(1+PortfolioFrontier[[#This Row],[P34 Return]]),1+PortfolioFrontier[[#This Row],[P34 Return]])</f>
        <v>1.2906514406007932</v>
      </c>
      <c r="EG49" s="27">
        <f>MAX(EG48,PortfolioFrontier[[#This Row],[P34 Growth]])</f>
        <v>1.3353921652256686</v>
      </c>
      <c r="EH49" s="27">
        <f>PortfolioFrontier[[#This Row],[P34 Growth]]/PortfolioFrontier[[#This Row],[P34 HWM]]-1</f>
        <v>-3.3503809435121767E-2</v>
      </c>
      <c r="EI49" s="28">
        <f>SUMPRODUCT(INDEX(PortfolioRef[[SPY]:[PE]],MATCH(EI$1,PortfolioRef[Reference '#]),0),AssetMonthlyReturns[[#This Row],[SPY]:[PE]])</f>
        <v>-3.4506600833423703E-2</v>
      </c>
      <c r="EJ49" s="27">
        <f>IF(ISNUMBER(EJ48),EJ48*(1+PortfolioFrontier[[#This Row],[P35 Return]]),1+PortfolioFrontier[[#This Row],[P35 Return]])</f>
        <v>1.2940713761369396</v>
      </c>
      <c r="EK49" s="27">
        <f>MAX(EK48,PortfolioFrontier[[#This Row],[P35 Growth]])</f>
        <v>1.3403213085185204</v>
      </c>
      <c r="EL49" s="27">
        <f>PortfolioFrontier[[#This Row],[P35 Growth]]/PortfolioFrontier[[#This Row],[P35 HWM]]-1</f>
        <v>-3.4506600833423717E-2</v>
      </c>
      <c r="EM49" s="28">
        <f>SUMPRODUCT(INDEX(PortfolioRef[[SPY]:[PE]],MATCH(EM$1,PortfolioRef[Reference '#]),0),AssetMonthlyReturns[[#This Row],[SPY]:[PE]])</f>
        <v>-3.7701767202791399E-2</v>
      </c>
      <c r="EN49" s="27">
        <f>IF(ISNUMBER(EN48),EN48*(1+PortfolioFrontier[[#This Row],[P36 Return]]),1+PortfolioFrontier[[#This Row],[P36 Return]])</f>
        <v>1.2961891431951995</v>
      </c>
      <c r="EO49" s="27">
        <f>MAX(EO48,PortfolioFrontier[[#This Row],[P36 Growth]])</f>
        <v>1.3469723823844473</v>
      </c>
      <c r="EP49" s="27">
        <f>PortfolioFrontier[[#This Row],[P36 Growth]]/PortfolioFrontier[[#This Row],[P36 HWM]]-1</f>
        <v>-3.7701767202791392E-2</v>
      </c>
      <c r="EQ49" s="28">
        <f>SUMPRODUCT(INDEX(PortfolioRef[[SPY]:[PE]],MATCH(EQ$1,PortfolioRef[Reference '#]),0),AssetMonthlyReturns[[#This Row],[SPY]:[PE]])</f>
        <v>-3.5651554553536718E-2</v>
      </c>
      <c r="ER49" s="27">
        <f>IF(ISNUMBER(ER48),ER48*(1+PortfolioFrontier[[#This Row],[P37 Return]]),1+PortfolioFrontier[[#This Row],[P37 Return]])</f>
        <v>1.2809417105444671</v>
      </c>
      <c r="ES49" s="27">
        <f>MAX(ES48,PortfolioFrontier[[#This Row],[P37 Growth]])</f>
        <v>1.3282975843357441</v>
      </c>
      <c r="ET49" s="27">
        <f>PortfolioFrontier[[#This Row],[P37 Growth]]/PortfolioFrontier[[#This Row],[P37 HWM]]-1</f>
        <v>-3.5651554553536746E-2</v>
      </c>
      <c r="EU49" s="28">
        <f>SUMPRODUCT(INDEX(PortfolioRef[[SPY]:[PE]],MATCH(EU$1,PortfolioRef[Reference '#]),0),AssetMonthlyReturns[[#This Row],[SPY]:[PE]])</f>
        <v>-3.5509392231725605E-2</v>
      </c>
      <c r="EV49" s="27">
        <f>IF(ISNUMBER(EV48),EV48*(1+PortfolioFrontier[[#This Row],[P38 Return]]),1+PortfolioFrontier[[#This Row],[P38 Return]])</f>
        <v>1.2973720927329075</v>
      </c>
      <c r="EW49" s="27">
        <f>MAX(EW48,PortfolioFrontier[[#This Row],[P38 Growth]])</f>
        <v>1.3451370933874456</v>
      </c>
      <c r="EX49" s="27">
        <f>PortfolioFrontier[[#This Row],[P38 Growth]]/PortfolioFrontier[[#This Row],[P38 HWM]]-1</f>
        <v>-3.5509392231725556E-2</v>
      </c>
      <c r="EY49" s="28">
        <f>SUMPRODUCT(INDEX(PortfolioRef[[SPY]:[PE]],MATCH(EY$1,PortfolioRef[Reference '#]),0),AssetMonthlyReturns[[#This Row],[SPY]:[PE]])</f>
        <v>-3.87045586010933E-2</v>
      </c>
      <c r="EZ49" s="27">
        <f>IF(ISNUMBER(EZ48),EZ48*(1+PortfolioFrontier[[#This Row],[P39 Return]]),1+PortfolioFrontier[[#This Row],[P39 Return]])</f>
        <v>1.2996209507372314</v>
      </c>
      <c r="FA49" s="27">
        <f>MAX(FA48,PortfolioFrontier[[#This Row],[P39 Growth]])</f>
        <v>1.3519474812509076</v>
      </c>
      <c r="FB49" s="27">
        <f>PortfolioFrontier[[#This Row],[P39 Growth]]/PortfolioFrontier[[#This Row],[P39 HWM]]-1</f>
        <v>-3.8704558601093231E-2</v>
      </c>
      <c r="FC49" s="28">
        <f>SUMPRODUCT(INDEX(PortfolioRef[[SPY]:[PE]],MATCH(FC$1,PortfolioRef[Reference '#]),0),AssetMonthlyReturns[[#This Row],[SPY]:[PE]])</f>
        <v>-3.665434595183862E-2</v>
      </c>
      <c r="FD49" s="27">
        <f>IF(ISNUMBER(FD48),FD48*(1+PortfolioFrontier[[#This Row],[P40 Return]]),1+PortfolioFrontier[[#This Row],[P40 Return]])</f>
        <v>1.2843586289822557</v>
      </c>
      <c r="FE49" s="27">
        <f>MAX(FE48,PortfolioFrontier[[#This Row],[P40 Growth]])</f>
        <v>1.3332272000035883</v>
      </c>
      <c r="FF49" s="27">
        <f>PortfolioFrontier[[#This Row],[P40 Growth]]/PortfolioFrontier[[#This Row],[P40 HWM]]-1</f>
        <v>-3.6654345951838585E-2</v>
      </c>
      <c r="FG49" s="28">
        <f>SUMPRODUCT(INDEX(PortfolioRef[[SPY]:[PE]],MATCH(FG$1,PortfolioRef[Reference '#]),0),AssetMonthlyReturns[[#This Row],[SPY]:[PE]])</f>
        <v>-4.1899724970460996E-2</v>
      </c>
      <c r="FH49" s="27">
        <f>IF(ISNUMBER(FH48),FH48*(1+PortfolioFrontier[[#This Row],[P41 Return]]),1+PortfolioFrontier[[#This Row],[P41 Return]])</f>
        <v>1.3015562611979374</v>
      </c>
      <c r="FI49" s="27">
        <f>MAX(FI48,PortfolioFrontier[[#This Row],[P41 Growth]])</f>
        <v>1.3584760333753265</v>
      </c>
      <c r="FJ49" s="27">
        <f>PortfolioFrontier[[#This Row],[P41 Growth]]/PortfolioFrontier[[#This Row],[P41 HWM]]-1</f>
        <v>-4.1899724970461127E-2</v>
      </c>
      <c r="FK49" s="28">
        <f>SUMPRODUCT(INDEX(PortfolioRef[[SPY]:[PE]],MATCH(FK$1,PortfolioRef[Reference '#]),0),AssetMonthlyReturns[[#This Row],[SPY]:[PE]])</f>
        <v>-3.9849512321206315E-2</v>
      </c>
      <c r="FL49" s="27">
        <f>IF(ISNUMBER(FL48),FL48*(1+PortfolioFrontier[[#This Row],[P42 Return]]),1+PortfolioFrontier[[#This Row],[P42 Return]])</f>
        <v>1.2864188767544784</v>
      </c>
      <c r="FM49" s="27">
        <f>MAX(FM48,PortfolioFrontier[[#This Row],[P42 Growth]])</f>
        <v>1.3398096374084578</v>
      </c>
      <c r="FN49" s="27">
        <f>PortfolioFrontier[[#This Row],[P42 Growth]]/PortfolioFrontier[[#This Row],[P42 HWM]]-1</f>
        <v>-3.9849512321206371E-2</v>
      </c>
      <c r="FO49" s="28">
        <f>SUMPRODUCT(INDEX(PortfolioRef[[SPY]:[PE]],MATCH(FO$1,PortfolioRef[Reference '#]),0),AssetMonthlyReturns[[#This Row],[SPY]:[PE]])</f>
        <v>-3.7799299671951642E-2</v>
      </c>
      <c r="FP49" s="27">
        <f>IF(ISNUMBER(FP48),FP48*(1+PortfolioFrontier[[#This Row],[P43 Return]]),1+PortfolioFrontier[[#This Row],[P43 Return]])</f>
        <v>1.2712361442877522</v>
      </c>
      <c r="FQ49" s="27">
        <f>MAX(FQ48,PortfolioFrontier[[#This Row],[P43 Growth]])</f>
        <v>1.3211756589392865</v>
      </c>
      <c r="FR49" s="27">
        <f>PortfolioFrontier[[#This Row],[P43 Growth]]/PortfolioFrontier[[#This Row],[P43 HWM]]-1</f>
        <v>-3.7799299671951614E-2</v>
      </c>
      <c r="FS49" s="28">
        <f>SUMPRODUCT(INDEX(PortfolioRef[[SPY]:[PE]],MATCH(FS$1,PortfolioRef[Reference '#]),0),AssetMonthlyReturns[[#This Row],[SPY]:[PE]])</f>
        <v>-3.9707349999395194E-2</v>
      </c>
      <c r="FT49" s="27">
        <f>IF(ISNUMBER(FT48),FT48*(1+PortfolioFrontier[[#This Row],[P44 Return]]),1+PortfolioFrontier[[#This Row],[P44 Return]])</f>
        <v>1.3029330940358168</v>
      </c>
      <c r="FU49" s="27">
        <f>MAX(FU48,PortfolioFrontier[[#This Row],[P44 Growth]])</f>
        <v>1.3568083584051134</v>
      </c>
      <c r="FV49" s="27">
        <f>PortfolioFrontier[[#This Row],[P44 Growth]]/PortfolioFrontier[[#This Row],[P44 HWM]]-1</f>
        <v>-3.970734999939507E-2</v>
      </c>
      <c r="FW49" s="28">
        <f>SUMPRODUCT(INDEX(PortfolioRef[[SPY]:[PE]],MATCH(FW$1,PortfolioRef[Reference '#]),0),AssetMonthlyReturns[[#This Row],[SPY]:[PE]])</f>
        <v>-3.7657137350140521E-2</v>
      </c>
      <c r="FX49" s="27">
        <f>IF(ISNUMBER(FX48),FX48*(1+PortfolioFrontier[[#This Row],[P45 Return]]),1+PortfolioFrontier[[#This Row],[P45 Return]])</f>
        <v>1.2876572947592175</v>
      </c>
      <c r="FY49" s="27">
        <f>MAX(FY48,PortfolioFrontier[[#This Row],[P45 Growth]])</f>
        <v>1.3380442093305378</v>
      </c>
      <c r="FZ49" s="27">
        <f>PortfolioFrontier[[#This Row],[P45 Growth]]/PortfolioFrontier[[#This Row],[P45 HWM]]-1</f>
        <v>-3.7657137350140535E-2</v>
      </c>
      <c r="GA49" s="28">
        <f>SUMPRODUCT(INDEX(PortfolioRef[[SPY]:[PE]],MATCH(GA$1,PortfolioRef[Reference '#]),0),AssetMonthlyReturns[[#This Row],[SPY]:[PE]])</f>
        <v>-4.2902516368762897E-2</v>
      </c>
      <c r="GB49" s="27">
        <f>IF(ISNUMBER(GB48),GB48*(1+PortfolioFrontier[[#This Row],[P46 Return]]),1+PortfolioFrontier[[#This Row],[P46 Return]])</f>
        <v>1.3049995870858719</v>
      </c>
      <c r="GC49" s="27">
        <f>MAX(GC48,PortfolioFrontier[[#This Row],[P46 Growth]])</f>
        <v>1.3634970412153742</v>
      </c>
      <c r="GD49" s="27">
        <f>PortfolioFrontier[[#This Row],[P46 Growth]]/PortfolioFrontier[[#This Row],[P46 HWM]]-1</f>
        <v>-4.2902516368762855E-2</v>
      </c>
      <c r="GE49" s="28">
        <f>SUMPRODUCT(INDEX(PortfolioRef[[SPY]:[PE]],MATCH(GE$1,PortfolioRef[Reference '#]),0),AssetMonthlyReturns[[#This Row],[SPY]:[PE]])</f>
        <v>-4.0852303719508216E-2</v>
      </c>
      <c r="GF49" s="27">
        <f>IF(ISNUMBER(GF48),GF48*(1+PortfolioFrontier[[#This Row],[P47 Return]]),1+PortfolioFrontier[[#This Row],[P47 Return]])</f>
        <v>1.289847645209911</v>
      </c>
      <c r="GG49" s="27">
        <f>MAX(GG48,PortfolioFrontier[[#This Row],[P47 Growth]])</f>
        <v>1.3447852194316379</v>
      </c>
      <c r="GH49" s="27">
        <f>PortfolioFrontier[[#This Row],[P47 Growth]]/PortfolioFrontier[[#This Row],[P47 HWM]]-1</f>
        <v>-4.0852303719508321E-2</v>
      </c>
      <c r="GI49" s="28">
        <f>SUMPRODUCT(INDEX(PortfolioRef[[SPY]:[PE]],MATCH(GI$1,PortfolioRef[Reference '#]),0),AssetMonthlyReturns[[#This Row],[SPY]:[PE]])</f>
        <v>-3.8802091070253543E-2</v>
      </c>
      <c r="GJ49" s="27">
        <f>IF(ISNUMBER(GJ48),GJ48*(1+PortfolioFrontier[[#This Row],[P48 Return]]),1+PortfolioFrontier[[#This Row],[P48 Return]])</f>
        <v>1.2746497032196964</v>
      </c>
      <c r="GK49" s="27">
        <f>MAX(GK48,PortfolioFrontier[[#This Row],[P48 Growth]])</f>
        <v>1.3261053643353899</v>
      </c>
      <c r="GL49" s="27">
        <f>PortfolioFrontier[[#This Row],[P48 Growth]]/PortfolioFrontier[[#This Row],[P48 HWM]]-1</f>
        <v>-3.8802091070253564E-2</v>
      </c>
      <c r="GM49" s="28">
        <f>SUMPRODUCT(INDEX(PortfolioRef[[SPY]:[PE]],MATCH(GM$1,PortfolioRef[Reference '#]),0),AssetMonthlyReturns[[#This Row],[SPY]:[PE]])</f>
        <v>-4.6097682738130585E-2</v>
      </c>
      <c r="GN49" s="27">
        <f>IF(ISNUMBER(GN48),GN48*(1+PortfolioFrontier[[#This Row],[P49 Return]]),1+PortfolioFrontier[[#This Row],[P49 Return]])</f>
        <v>1.3067501838959592</v>
      </c>
      <c r="GO49" s="27">
        <f>MAX(GO48,PortfolioFrontier[[#This Row],[P49 Growth]])</f>
        <v>1.3698993704585207</v>
      </c>
      <c r="GP49" s="27">
        <f>PortfolioFrontier[[#This Row],[P49 Growth]]/PortfolioFrontier[[#This Row],[P49 HWM]]-1</f>
        <v>-4.6097682738130419E-2</v>
      </c>
      <c r="GQ49" s="28">
        <f>SUMPRODUCT(INDEX(PortfolioRef[[SPY]:[PE]],MATCH(GQ$1,PortfolioRef[Reference '#]),0),AssetMonthlyReturns[[#This Row],[SPY]:[PE]])</f>
        <v>-4.4047470088875912E-2</v>
      </c>
      <c r="GR49" s="27">
        <f>IF(ISNUMBER(GR48),GR48*(1+PortfolioFrontier[[#This Row],[P50 Return]]),1+PortfolioFrontier[[#This Row],[P50 Return]])</f>
        <v>1.291726341634063</v>
      </c>
      <c r="GS49" s="27">
        <f>MAX(GS48,PortfolioFrontier[[#This Row],[P50 Growth]])</f>
        <v>1.3512452775810491</v>
      </c>
      <c r="GT49" s="27">
        <f>PortfolioFrontier[[#This Row],[P50 Growth]]/PortfolioFrontier[[#This Row],[P50 HWM]]-1</f>
        <v>-4.4047470088875884E-2</v>
      </c>
      <c r="GU49" s="28">
        <f>SUMPRODUCT(INDEX(PortfolioRef[[SPY]:[PE]],MATCH(GU$1,PortfolioRef[Reference '#]),0),AssetMonthlyReturns[[#This Row],[SPY]:[PE]])</f>
        <v>-4.1997257439621238E-2</v>
      </c>
      <c r="GV49" s="27">
        <f>IF(ISNUMBER(GV48),GV48*(1+PortfolioFrontier[[#This Row],[P51 Return]]),1+PortfolioFrontier[[#This Row],[P51 Return]])</f>
        <v>1.2766529880083941</v>
      </c>
      <c r="GW49" s="27">
        <f>MAX(GW48,PortfolioFrontier[[#This Row],[P51 Growth]])</f>
        <v>1.3326193457404765</v>
      </c>
      <c r="GX49" s="27">
        <f>PortfolioFrontier[[#This Row],[P51 Growth]]/PortfolioFrontier[[#This Row],[P51 HWM]]-1</f>
        <v>-4.1997257439621238E-2</v>
      </c>
      <c r="GY49" s="28">
        <f>SUMPRODUCT(INDEX(PortfolioRef[[SPY]:[PE]],MATCH(GY$1,PortfolioRef[Reference '#]),0),AssetMonthlyReturns[[#This Row],[SPY]:[PE]])</f>
        <v>-4.3905307767064798E-2</v>
      </c>
      <c r="GZ49" s="27">
        <f>IF(ISNUMBER(GZ48),GZ48*(1+PortfolioFrontier[[#This Row],[P52 Return]]),1+PortfolioFrontier[[#This Row],[P52 Return]])</f>
        <v>1.3083228186033495</v>
      </c>
      <c r="HA49" s="27">
        <f>MAX(HA48,PortfolioFrontier[[#This Row],[P52 Growth]])</f>
        <v>1.3684029722493223</v>
      </c>
      <c r="HB49" s="27">
        <f>PortfolioFrontier[[#This Row],[P52 Growth]]/PortfolioFrontier[[#This Row],[P52 HWM]]-1</f>
        <v>-4.3905307767064805E-2</v>
      </c>
      <c r="HC49" s="28">
        <f>SUMPRODUCT(INDEX(PortfolioRef[[SPY]:[PE]],MATCH(HC$1,PortfolioRef[Reference '#]),0),AssetMonthlyReturns[[#This Row],[SPY]:[PE]])</f>
        <v>-4.1855095117810118E-2</v>
      </c>
      <c r="HD49" s="27">
        <f>IF(ISNUMBER(HD48),HD48*(1+PortfolioFrontier[[#This Row],[P53 Return]]),1+PortfolioFrontier[[#This Row],[P53 Return]])</f>
        <v>1.2931577210799696</v>
      </c>
      <c r="HE49" s="27">
        <f>MAX(HE48,PortfolioFrontier[[#This Row],[P53 Growth]])</f>
        <v>1.3496473388218579</v>
      </c>
      <c r="HF49" s="27">
        <f>PortfolioFrontier[[#This Row],[P53 Growth]]/PortfolioFrontier[[#This Row],[P53 HWM]]-1</f>
        <v>-4.185509511781027E-2</v>
      </c>
      <c r="HG49" s="28">
        <f>SUMPRODUCT(INDEX(PortfolioRef[[SPY]:[PE]],MATCH(HG$1,PortfolioRef[Reference '#]),0),AssetMonthlyReturns[[#This Row],[SPY]:[PE]])</f>
        <v>-3.9804882468555444E-2</v>
      </c>
      <c r="HH49" s="27">
        <f>IF(ISNUMBER(HH48),HH48*(1+PortfolioFrontier[[#This Row],[P54 Return]]),1+PortfolioFrontier[[#This Row],[P54 Return]])</f>
        <v>1.2779459742569514</v>
      </c>
      <c r="HI49" s="27">
        <f>MAX(HI48,PortfolioFrontier[[#This Row],[P54 Growth]])</f>
        <v>1.3309232164629301</v>
      </c>
      <c r="HJ49" s="27">
        <f>PortfolioFrontier[[#This Row],[P54 Growth]]/PortfolioFrontier[[#This Row],[P54 HWM]]-1</f>
        <v>-3.9804882468555403E-2</v>
      </c>
      <c r="HK49" s="28">
        <f>SUMPRODUCT(INDEX(PortfolioRef[[SPY]:[PE]],MATCH(HK$1,PortfolioRef[Reference '#]),0),AssetMonthlyReturns[[#This Row],[SPY]:[PE]])</f>
        <v>-4.7100474136432494E-2</v>
      </c>
      <c r="HL49" s="27">
        <f>IF(ISNUMBER(HL48),HL48*(1+PortfolioFrontier[[#This Row],[P55 Return]]),1+PortfolioFrontier[[#This Row],[P55 Return]])</f>
        <v>1.3102046703054242</v>
      </c>
      <c r="HM49" s="27">
        <f>MAX(HM48,PortfolioFrontier[[#This Row],[P55 Growth]])</f>
        <v>1.374966231742059</v>
      </c>
      <c r="HN49" s="27">
        <f>PortfolioFrontier[[#This Row],[P55 Growth]]/PortfolioFrontier[[#This Row],[P55 HWM]]-1</f>
        <v>-4.710047413643248E-2</v>
      </c>
      <c r="HO49" s="28">
        <f>SUMPRODUCT(INDEX(PortfolioRef[[SPY]:[PE]],MATCH(HO$1,PortfolioRef[Reference '#]),0),AssetMonthlyReturns[[#This Row],[SPY]:[PE]])</f>
        <v>-4.5050261487177813E-2</v>
      </c>
      <c r="HP49" s="27">
        <f>IF(ISNUMBER(HP48),HP48*(1+PortfolioFrontier[[#This Row],[P56 Return]]),1+PortfolioFrontier[[#This Row],[P56 Return]])</f>
        <v>1.2951666059929154</v>
      </c>
      <c r="HQ49" s="27">
        <f>MAX(HQ48,PortfolioFrontier[[#This Row],[P56 Growth]])</f>
        <v>1.356266779034806</v>
      </c>
      <c r="HR49" s="27">
        <f>PortfolioFrontier[[#This Row],[P56 Growth]]/PortfolioFrontier[[#This Row],[P56 HWM]]-1</f>
        <v>-4.5050261487177945E-2</v>
      </c>
      <c r="HS49" s="28">
        <f>SUMPRODUCT(INDEX(PortfolioRef[[SPY]:[PE]],MATCH(HS$1,PortfolioRef[Reference '#]),0),AssetMonthlyReturns[[#This Row],[SPY]:[PE]])</f>
        <v>-4.300004883792314E-2</v>
      </c>
      <c r="HT49" s="27">
        <f>IF(ISNUMBER(HT48),HT48*(1+PortfolioFrontier[[#This Row],[P57 Return]]),1+PortfolioFrontier[[#This Row],[P57 Return]])</f>
        <v>1.2800783730398464</v>
      </c>
      <c r="HU49" s="27">
        <f>MAX(HU48,PortfolioFrontier[[#This Row],[P57 Growth]])</f>
        <v>1.337595024415057</v>
      </c>
      <c r="HV49" s="27">
        <f>PortfolioFrontier[[#This Row],[P57 Growth]]/PortfolioFrontier[[#This Row],[P57 HWM]]-1</f>
        <v>-4.3000048837923188E-2</v>
      </c>
      <c r="HW49" s="28">
        <f>SUMPRODUCT(INDEX(PortfolioRef[[SPY]:[PE]],MATCH(HW$1,PortfolioRef[Reference '#]),0),AssetMonthlyReturns[[#This Row],[SPY]:[PE]])</f>
        <v>-5.0295640505800182E-2</v>
      </c>
      <c r="HX49" s="27">
        <f>IF(ISNUMBER(HX48),HX48*(1+PortfolioFrontier[[#This Row],[P58 Return]]),1+PortfolioFrontier[[#This Row],[P58 Return]])</f>
        <v>1.3117683428145954</v>
      </c>
      <c r="HY49" s="27">
        <f>MAX(HY48,PortfolioFrontier[[#This Row],[P58 Growth]])</f>
        <v>1.3812386241053227</v>
      </c>
      <c r="HZ49" s="27">
        <f>PortfolioFrontier[[#This Row],[P58 Growth]]/PortfolioFrontier[[#This Row],[P58 HWM]]-1</f>
        <v>-5.0295640505800154E-2</v>
      </c>
      <c r="IA49" s="28">
        <f>SUMPRODUCT(INDEX(PortfolioRef[[SPY]:[PE]],MATCH(IA$1,PortfolioRef[Reference '#]),0),AssetMonthlyReturns[[#This Row],[SPY]:[PE]])</f>
        <v>-4.8245427856545509E-2</v>
      </c>
      <c r="IB49" s="27">
        <f>IF(ISNUMBER(IB48),IB48*(1+PortfolioFrontier[[#This Row],[P59 Return]]),1+PortfolioFrontier[[#This Row],[P59 Return]])</f>
        <v>1.2968615148266847</v>
      </c>
      <c r="IC49" s="27">
        <f>MAX(IC48,PortfolioFrontier[[#This Row],[P59 Growth]])</f>
        <v>1.362600772073006</v>
      </c>
      <c r="ID49" s="27">
        <f>PortfolioFrontier[[#This Row],[P59 Growth]]/PortfolioFrontier[[#This Row],[P59 HWM]]-1</f>
        <v>-4.8245427856545509E-2</v>
      </c>
      <c r="IE49" s="28">
        <f>SUMPRODUCT(INDEX(PortfolioRef[[SPY]:[PE]],MATCH(IE$1,PortfolioRef[Reference '#]),0),AssetMonthlyReturns[[#This Row],[SPY]:[PE]])</f>
        <v>-4.6195215207290835E-2</v>
      </c>
      <c r="IF49" s="27">
        <f>IF(ISNUMBER(IF48),IF48*(1+PortfolioFrontier[[#This Row],[P60 Return]]),1+PortfolioFrontier[[#This Row],[P60 Return]])</f>
        <v>1.281901016654126</v>
      </c>
      <c r="IG49" s="27">
        <f>MAX(IG48,PortfolioFrontier[[#This Row],[P60 Growth]])</f>
        <v>1.3439867749591152</v>
      </c>
      <c r="IH49" s="27">
        <f>PortfolioFrontier[[#This Row],[P60 Growth]]/PortfolioFrontier[[#This Row],[P60 HWM]]-1</f>
        <v>-4.6195215207290863E-2</v>
      </c>
      <c r="II49" s="28">
        <f>SUMPRODUCT(INDEX(PortfolioRef[[SPY]:[PE]],MATCH(II$1,PortfolioRef[Reference '#]),0),AssetMonthlyReturns[[#This Row],[SPY]:[PE]])</f>
        <v>-2.8860820789082385E-2</v>
      </c>
      <c r="IJ49" s="27">
        <f>IF(ISNUMBER(IJ48),IJ48*(1+PortfolioFrontier[[#This Row],[P61 Return]]),1+PortfolioFrontier[[#This Row],[P61 Return]])</f>
        <v>1.2717049611544815</v>
      </c>
      <c r="IK49" s="27">
        <f>MAX(IK48,PortfolioFrontier[[#This Row],[P61 Growth]])</f>
        <v>1.3094981526620968</v>
      </c>
      <c r="IL49" s="27">
        <f>PortfolioFrontier[[#This Row],[P61 Growth]]/PortfolioFrontier[[#This Row],[P61 HWM]]-1</f>
        <v>-2.8860820789082475E-2</v>
      </c>
      <c r="IM49" s="28">
        <f>SUMPRODUCT(INDEX(PortfolioRef[[SPY]:[PE]],MATCH(IM$1,PortfolioRef[Reference '#]),0),AssetMonthlyReturns[[#This Row],[SPY]:[PE]])</f>
        <v>-2.9863612187384286E-2</v>
      </c>
      <c r="IN49" s="27">
        <f>IF(ISNUMBER(IN48),IN48*(1+PortfolioFrontier[[#This Row],[P62 Return]]),1+PortfolioFrontier[[#This Row],[P62 Return]])</f>
        <v>1.2750585605861762</v>
      </c>
      <c r="IO49" s="27">
        <f>MAX(IO48,PortfolioFrontier[[#This Row],[P62 Growth]])</f>
        <v>1.3143085617694168</v>
      </c>
      <c r="IP49" s="27">
        <f>PortfolioFrontier[[#This Row],[P62 Growth]]/PortfolioFrontier[[#This Row],[P62 HWM]]-1</f>
        <v>-2.9863612187384203E-2</v>
      </c>
      <c r="IQ49" s="28">
        <f>SUMPRODUCT(INDEX(PortfolioRef[[SPY]:[PE]],MATCH(IQ$1,PortfolioRef[Reference '#]),0),AssetMonthlyReturns[[#This Row],[SPY]:[PE]])</f>
        <v>-3.3058778556751982E-2</v>
      </c>
      <c r="IR49" s="27">
        <f>IF(ISNUMBER(IR48),IR48*(1+PortfolioFrontier[[#This Row],[P63 Return]]),1+PortfolioFrontier[[#This Row],[P63 Return]])</f>
        <v>1.2772857242848084</v>
      </c>
      <c r="IS49" s="27">
        <f>MAX(IS48,PortfolioFrontier[[#This Row],[P63 Growth]])</f>
        <v>1.3209548791169983</v>
      </c>
      <c r="IT49" s="27">
        <f>PortfolioFrontier[[#This Row],[P63 Growth]]/PortfolioFrontier[[#This Row],[P63 HWM]]-1</f>
        <v>-3.3058778556751989E-2</v>
      </c>
      <c r="IU49" s="28">
        <f>SUMPRODUCT(INDEX(PortfolioRef[[SPY]:[PE]],MATCH(IU$1,PortfolioRef[Reference '#]),0),AssetMonthlyReturns[[#This Row],[SPY]:[PE]])</f>
        <v>-3.1008565907497308E-2</v>
      </c>
      <c r="IV49" s="27">
        <f>IF(ISNUMBER(IV48),IV48*(1+PortfolioFrontier[[#This Row],[P64 Return]]),1+PortfolioFrontier[[#This Row],[P64 Return]])</f>
        <v>1.2621840779022591</v>
      </c>
      <c r="IW49" s="27">
        <f>MAX(IW48,PortfolioFrontier[[#This Row],[P64 Growth]])</f>
        <v>1.302575062579725</v>
      </c>
      <c r="IX49" s="27">
        <f>PortfolioFrontier[[#This Row],[P64 Growth]]/PortfolioFrontier[[#This Row],[P64 HWM]]-1</f>
        <v>-3.1008565907497343E-2</v>
      </c>
      <c r="IY49" s="28">
        <f>SUMPRODUCT(INDEX(PortfolioRef[[SPY]:[PE]],MATCH(IY$1,PortfolioRef[Reference '#]),0),AssetMonthlyReturns[[#This Row],[SPY]:[PE]])</f>
        <v>-3.0866403585686188E-2</v>
      </c>
      <c r="IZ49" s="27">
        <f>IF(ISNUMBER(IZ48),IZ48*(1+PortfolioFrontier[[#This Row],[P65 Return]]),1+PortfolioFrontier[[#This Row],[P65 Return]])</f>
        <v>1.2782944617894185</v>
      </c>
      <c r="JA49" s="27">
        <f>MAX(JA48,PortfolioFrontier[[#This Row],[P65 Growth]])</f>
        <v>1.3190074789677764</v>
      </c>
      <c r="JB49" s="27">
        <f>PortfolioFrontier[[#This Row],[P65 Growth]]/PortfolioFrontier[[#This Row],[P65 HWM]]-1</f>
        <v>-3.0866403585686153E-2</v>
      </c>
      <c r="JC49" s="28">
        <f>SUMPRODUCT(INDEX(PortfolioRef[[SPY]:[PE]],MATCH(JC$1,PortfolioRef[Reference '#]),0),AssetMonthlyReturns[[#This Row],[SPY]:[PE]])</f>
        <v>-3.406156995505389E-2</v>
      </c>
      <c r="JD49" s="27">
        <f>IF(ISNUMBER(JD48),JD48*(1+PortfolioFrontier[[#This Row],[P66 Return]]),1+PortfolioFrontier[[#This Row],[P66 Return]])</f>
        <v>1.2806512205826637</v>
      </c>
      <c r="JE49" s="27">
        <f>MAX(JE48,PortfolioFrontier[[#This Row],[P66 Growth]])</f>
        <v>1.3258104044199521</v>
      </c>
      <c r="JF49" s="27">
        <f>PortfolioFrontier[[#This Row],[P66 Growth]]/PortfolioFrontier[[#This Row],[P66 HWM]]-1</f>
        <v>-3.4061569955053828E-2</v>
      </c>
      <c r="JG49" s="28">
        <f>SUMPRODUCT(INDEX(PortfolioRef[[SPY]:[PE]],MATCH(JG$1,PortfolioRef[Reference '#]),0),AssetMonthlyReturns[[#This Row],[SPY]:[PE]])</f>
        <v>-3.201135730579921E-2</v>
      </c>
      <c r="JH49" s="27">
        <f>IF(ISNUMBER(JH48),JH48*(1+PortfolioFrontier[[#This Row],[P67 Return]]),1+PortfolioFrontier[[#This Row],[P67 Return]])</f>
        <v>1.265534933069451</v>
      </c>
      <c r="JI49" s="27">
        <f>MAX(JI48,PortfolioFrontier[[#This Row],[P67 Growth]])</f>
        <v>1.3073861378653062</v>
      </c>
      <c r="JJ49" s="27">
        <f>PortfolioFrontier[[#This Row],[P67 Growth]]/PortfolioFrontier[[#This Row],[P67 HWM]]-1</f>
        <v>-3.2011357305799293E-2</v>
      </c>
      <c r="JK49" s="28">
        <f>SUMPRODUCT(INDEX(PortfolioRef[[SPY]:[PE]],MATCH(JK$1,PortfolioRef[Reference '#]),0),AssetMonthlyReturns[[#This Row],[SPY]:[PE]])</f>
        <v>-3.7256736324421585E-2</v>
      </c>
      <c r="JL49" s="27">
        <f>IF(ISNUMBER(JL48),JL48*(1+PortfolioFrontier[[#This Row],[P68 Return]]),1+PortfolioFrontier[[#This Row],[P68 Return]])</f>
        <v>1.2826998700680261</v>
      </c>
      <c r="JM49" s="27">
        <f>MAX(JM48,PortfolioFrontier[[#This Row],[P68 Growth]])</f>
        <v>1.3323384524872308</v>
      </c>
      <c r="JN49" s="27">
        <f>PortfolioFrontier[[#This Row],[P68 Growth]]/PortfolioFrontier[[#This Row],[P68 HWM]]-1</f>
        <v>-3.7256736324421613E-2</v>
      </c>
      <c r="JO49" s="28">
        <f>SUMPRODUCT(INDEX(PortfolioRef[[SPY]:[PE]],MATCH(JO$1,PortfolioRef[Reference '#]),0),AssetMonthlyReturns[[#This Row],[SPY]:[PE]])</f>
        <v>-3.5206523675166905E-2</v>
      </c>
      <c r="JP49" s="27">
        <f>IF(ISNUMBER(JP48),JP48*(1+PortfolioFrontier[[#This Row],[P69 Return]]),1+PortfolioFrontier[[#This Row],[P69 Return]])</f>
        <v>1.267704719985999</v>
      </c>
      <c r="JQ49" s="27">
        <f>MAX(JQ48,PortfolioFrontier[[#This Row],[P69 Growth]])</f>
        <v>1.3139648547532048</v>
      </c>
      <c r="JR49" s="27">
        <f>PortfolioFrontier[[#This Row],[P69 Growth]]/PortfolioFrontier[[#This Row],[P69 HWM]]-1</f>
        <v>-3.5206523675166745E-2</v>
      </c>
      <c r="JS49" s="28">
        <f>SUMPRODUCT(INDEX(PortfolioRef[[SPY]:[PE]],MATCH(JS$1,PortfolioRef[Reference '#]),0),AssetMonthlyReturns[[#This Row],[SPY]:[PE]])</f>
        <v>-3.3156311025912232E-2</v>
      </c>
      <c r="JT49" s="27">
        <f>IF(ISNUMBER(JT48),JT48*(1+PortfolioFrontier[[#This Row],[P70 Return]]),1+PortfolioFrontier[[#This Row],[P70 Return]])</f>
        <v>1.2526666580030665</v>
      </c>
      <c r="JU49" s="27">
        <f>MAX(JU48,PortfolioFrontier[[#This Row],[P70 Growth]])</f>
        <v>1.2956247967365477</v>
      </c>
      <c r="JV49" s="27">
        <f>PortfolioFrontier[[#This Row],[P70 Growth]]/PortfolioFrontier[[#This Row],[P70 HWM]]-1</f>
        <v>-3.3156311025912211E-2</v>
      </c>
      <c r="JW49" s="28">
        <f>SUMPRODUCT(INDEX(PortfolioRef[[SPY]:[PE]],MATCH(JW$1,PortfolioRef[Reference '#]),0),AssetMonthlyReturns[[#This Row],[SPY]:[PE]])</f>
        <v>-3.5064361353355784E-2</v>
      </c>
      <c r="JX49" s="27">
        <f>IF(ISNUMBER(JX48),JX48*(1+PortfolioFrontier[[#This Row],[P71 Return]]),1+PortfolioFrontier[[#This Row],[P71 Return]])</f>
        <v>1.2838985679208763</v>
      </c>
      <c r="JY49" s="27">
        <f>MAX(JY48,PortfolioFrontier[[#This Row],[P71 Growth]])</f>
        <v>1.3305535794300112</v>
      </c>
      <c r="JZ49" s="27">
        <f>PortfolioFrontier[[#This Row],[P71 Growth]]/PortfolioFrontier[[#This Row],[P71 HWM]]-1</f>
        <v>-3.5064361353355777E-2</v>
      </c>
      <c r="KA49" s="28">
        <f>SUMPRODUCT(INDEX(PortfolioRef[[SPY]:[PE]],MATCH(KA$1,PortfolioRef[Reference '#]),0),AssetMonthlyReturns[[#This Row],[SPY]:[PE]])</f>
        <v>-3.3014148704101111E-2</v>
      </c>
      <c r="KB49" s="27">
        <f>IF(ISNUMBER(KB48),KB48*(1+PortfolioFrontier[[#This Row],[P72 Return]]),1+PortfolioFrontier[[#This Row],[P72 Return]])</f>
        <v>1.2687690397438403</v>
      </c>
      <c r="KC49" s="27">
        <f>MAX(KC48,PortfolioFrontier[[#This Row],[P72 Growth]])</f>
        <v>1.312086457152924</v>
      </c>
      <c r="KD49" s="27">
        <f>PortfolioFrontier[[#This Row],[P72 Growth]]/PortfolioFrontier[[#This Row],[P72 HWM]]-1</f>
        <v>-3.3014148704101132E-2</v>
      </c>
      <c r="KE49" s="28">
        <f>SUMPRODUCT(INDEX(PortfolioRef[[SPY]:[PE]],MATCH(KE$1,PortfolioRef[Reference '#]),0),AssetMonthlyReturns[[#This Row],[SPY]:[PE]])</f>
        <v>-3.8259527722723487E-2</v>
      </c>
      <c r="KF49" s="27">
        <f>IF(ISNUMBER(KF48),KF48*(1+PortfolioFrontier[[#This Row],[P73 Return]]),1+PortfolioFrontier[[#This Row],[P73 Return]])</f>
        <v>1.2860769188143746</v>
      </c>
      <c r="KG49" s="27">
        <f>MAX(KG48,PortfolioFrontier[[#This Row],[P73 Growth]])</f>
        <v>1.337239053451823</v>
      </c>
      <c r="KH49" s="27">
        <f>PortfolioFrontier[[#This Row],[P73 Growth]]/PortfolioFrontier[[#This Row],[P73 HWM]]-1</f>
        <v>-3.8259527722723452E-2</v>
      </c>
      <c r="KI49" s="28">
        <f>SUMPRODUCT(INDEX(PortfolioRef[[SPY]:[PE]],MATCH(KI$1,PortfolioRef[Reference '#]),0),AssetMonthlyReturns[[#This Row],[SPY]:[PE]])</f>
        <v>-3.6209315073468806E-2</v>
      </c>
      <c r="KJ49" s="27">
        <f>IF(ISNUMBER(KJ48),KJ48*(1+PortfolioFrontier[[#This Row],[P74 Return]]),1+PortfolioFrontier[[#This Row],[P74 Return]])</f>
        <v>1.2710674518915221</v>
      </c>
      <c r="KK49" s="27">
        <f>MAX(KK48,PortfolioFrontier[[#This Row],[P74 Growth]])</f>
        <v>1.3188210591477281</v>
      </c>
      <c r="KL49" s="27">
        <f>PortfolioFrontier[[#This Row],[P74 Growth]]/PortfolioFrontier[[#This Row],[P74 HWM]]-1</f>
        <v>-3.6209315073468806E-2</v>
      </c>
      <c r="KM49" s="28">
        <f>SUMPRODUCT(INDEX(PortfolioRef[[SPY]:[PE]],MATCH(KM$1,PortfolioRef[Reference '#]),0),AssetMonthlyReturns[[#This Row],[SPY]:[PE]])</f>
        <v>-3.4159102424214133E-2</v>
      </c>
      <c r="KN49" s="27">
        <f>IF(ISNUMBER(KN48),KN48*(1+PortfolioFrontier[[#This Row],[P75 Return]]),1+PortfolioFrontier[[#This Row],[P75 Return]])</f>
        <v>1.2560144314089488</v>
      </c>
      <c r="KO49" s="27">
        <f>MAX(KO48,PortfolioFrontier[[#This Row],[P75 Growth]])</f>
        <v>1.300436163514596</v>
      </c>
      <c r="KP49" s="27">
        <f>PortfolioFrontier[[#This Row],[P75 Growth]]/PortfolioFrontier[[#This Row],[P75 HWM]]-1</f>
        <v>-3.4159102424214161E-2</v>
      </c>
      <c r="KQ49" s="28">
        <f>SUMPRODUCT(INDEX(PortfolioRef[[SPY]:[PE]],MATCH(KQ$1,PortfolioRef[Reference '#]),0),AssetMonthlyReturns[[#This Row],[SPY]:[PE]])</f>
        <v>-4.1454694092091182E-2</v>
      </c>
      <c r="KR49" s="27">
        <f>IF(ISNUMBER(KR48),KR48*(1+PortfolioFrontier[[#This Row],[P76 Return]]),1+PortfolioFrontier[[#This Row],[P76 Return]])</f>
        <v>1.2879447986439219</v>
      </c>
      <c r="KS49" s="27">
        <f>MAX(KS48,PortfolioFrontier[[#This Row],[P76 Growth]])</f>
        <v>1.3436451993513385</v>
      </c>
      <c r="KT49" s="27">
        <f>PortfolioFrontier[[#This Row],[P76 Growth]]/PortfolioFrontier[[#This Row],[P76 HWM]]-1</f>
        <v>-4.1454694092091238E-2</v>
      </c>
      <c r="KU49" s="28">
        <f>SUMPRODUCT(INDEX(PortfolioRef[[SPY]:[PE]],MATCH(KU$1,PortfolioRef[Reference '#]),0),AssetMonthlyReturns[[#This Row],[SPY]:[PE]])</f>
        <v>-3.9404481442836502E-2</v>
      </c>
      <c r="KV49" s="27">
        <f>IF(ISNUMBER(KV48),KV48*(1+PortfolioFrontier[[#This Row],[P77 Return]]),1+PortfolioFrontier[[#This Row],[P77 Return]])</f>
        <v>1.2730596008745816</v>
      </c>
      <c r="KW49" s="27">
        <f>MAX(KW48,PortfolioFrontier[[#This Row],[P77 Growth]])</f>
        <v>1.3252816365276681</v>
      </c>
      <c r="KX49" s="27">
        <f>PortfolioFrontier[[#This Row],[P77 Growth]]/PortfolioFrontier[[#This Row],[P77 HWM]]-1</f>
        <v>-3.9404481442836481E-2</v>
      </c>
      <c r="KY49" s="28">
        <f>SUMPRODUCT(INDEX(PortfolioRef[[SPY]:[PE]],MATCH(KY$1,PortfolioRef[Reference '#]),0),AssetMonthlyReturns[[#This Row],[SPY]:[PE]])</f>
        <v>-3.7354268793581828E-2</v>
      </c>
      <c r="KZ49" s="27">
        <f>IF(ISNUMBER(KZ48),KZ48*(1+PortfolioFrontier[[#This Row],[P78 Return]]),1+PortfolioFrontier[[#This Row],[P78 Return]])</f>
        <v>1.2581273841295364</v>
      </c>
      <c r="LA49" s="27">
        <f>MAX(LA48,PortfolioFrontier[[#This Row],[P78 Growth]])</f>
        <v>1.3069474504943903</v>
      </c>
      <c r="LB49" s="27">
        <f>PortfolioFrontier[[#This Row],[P78 Growth]]/PortfolioFrontier[[#This Row],[P78 HWM]]-1</f>
        <v>-3.7354268793581835E-2</v>
      </c>
      <c r="LC49" s="28">
        <f>SUMPRODUCT(INDEX(PortfolioRef[[SPY]:[PE]],MATCH(LC$1,PortfolioRef[Reference '#]),0),AssetMonthlyReturns[[#This Row],[SPY]:[PE]])</f>
        <v>-3.9262319121025381E-2</v>
      </c>
      <c r="LD49" s="27">
        <f>IF(ISNUMBER(LD48),LD48*(1+PortfolioFrontier[[#This Row],[P79 Return]]),1+PortfolioFrontier[[#This Row],[P79 Return]])</f>
        <v>1.2893353827428866</v>
      </c>
      <c r="LE49" s="27">
        <f>MAX(LE48,PortfolioFrontier[[#This Row],[P79 Growth]])</f>
        <v>1.3420264536343358</v>
      </c>
      <c r="LF49" s="27">
        <f>PortfolioFrontier[[#This Row],[P79 Growth]]/PortfolioFrontier[[#This Row],[P79 HWM]]-1</f>
        <v>-3.9262319121025291E-2</v>
      </c>
      <c r="LG49" s="28">
        <f>SUMPRODUCT(INDEX(PortfolioRef[[SPY]:[PE]],MATCH(LG$1,PortfolioRef[Reference '#]),0),AssetMonthlyReturns[[#This Row],[SPY]:[PE]])</f>
        <v>-3.7212106471770701E-2</v>
      </c>
      <c r="LH49" s="27">
        <f>IF(ISNUMBER(LH48),LH48*(1+PortfolioFrontier[[#This Row],[P80 Return]]),1+PortfolioFrontier[[#This Row],[P80 Return]])</f>
        <v>1.274312989933676</v>
      </c>
      <c r="LI49" s="27">
        <f>MAX(LI48,PortfolioFrontier[[#This Row],[P80 Growth]])</f>
        <v>1.3235656560489486</v>
      </c>
      <c r="LJ49" s="27">
        <f>PortfolioFrontier[[#This Row],[P80 Growth]]/PortfolioFrontier[[#This Row],[P80 HWM]]-1</f>
        <v>-3.7212106471770756E-2</v>
      </c>
      <c r="LK49" s="28">
        <f>SUMPRODUCT(INDEX(PortfolioRef[[SPY]:[PE]],MATCH(LK$1,PortfolioRef[Reference '#]),0),AssetMonthlyReturns[[#This Row],[SPY]:[PE]])</f>
        <v>-3.5161893822516034E-2</v>
      </c>
      <c r="LL49" s="27">
        <f>IF(ISNUMBER(LL48),LL48*(1+PortfolioFrontier[[#This Row],[P81 Return]]),1+PortfolioFrontier[[#This Row],[P81 Return]])</f>
        <v>1.2592464046264098</v>
      </c>
      <c r="LM49" s="27">
        <f>MAX(LM48,PortfolioFrontier[[#This Row],[P81 Growth]])</f>
        <v>1.3051375112196997</v>
      </c>
      <c r="LN49" s="27">
        <f>PortfolioFrontier[[#This Row],[P81 Growth]]/PortfolioFrontier[[#This Row],[P81 HWM]]-1</f>
        <v>-3.5161893822515999E-2</v>
      </c>
      <c r="LO49" s="28">
        <f>SUMPRODUCT(INDEX(PortfolioRef[[SPY]:[PE]],MATCH(LO$1,PortfolioRef[Reference '#]),0),AssetMonthlyReturns[[#This Row],[SPY]:[PE]])</f>
        <v>-4.2457485490393077E-2</v>
      </c>
      <c r="LP49" s="27">
        <f>IF(ISNUMBER(LP48),LP48*(1+PortfolioFrontier[[#This Row],[P82 Return]]),1+PortfolioFrontier[[#This Row],[P82 Return]])</f>
        <v>1.2913330512652346</v>
      </c>
      <c r="LQ49" s="27">
        <f>MAX(LQ48,PortfolioFrontier[[#This Row],[P82 Growth]])</f>
        <v>1.3485908267233171</v>
      </c>
      <c r="LR49" s="27">
        <f>PortfolioFrontier[[#This Row],[P82 Growth]]/PortfolioFrontier[[#This Row],[P82 HWM]]-1</f>
        <v>-4.2457485490393188E-2</v>
      </c>
      <c r="LS49" s="28">
        <f>SUMPRODUCT(INDEX(PortfolioRef[[SPY]:[PE]],MATCH(LS$1,PortfolioRef[Reference '#]),0),AssetMonthlyReturns[[#This Row],[SPY]:[PE]])</f>
        <v>-4.0407272841138403E-2</v>
      </c>
      <c r="LT49" s="27">
        <f>IF(ISNUMBER(LT48),LT48*(1+PortfolioFrontier[[#This Row],[P83 Return]]),1+PortfolioFrontier[[#This Row],[P83 Return]])</f>
        <v>1.276433864640075</v>
      </c>
      <c r="LU49" s="27">
        <f>MAX(LU48,PortfolioFrontier[[#This Row],[P83 Growth]])</f>
        <v>1.330182929188416</v>
      </c>
      <c r="LV49" s="27">
        <f>PortfolioFrontier[[#This Row],[P83 Growth]]/PortfolioFrontier[[#This Row],[P83 HWM]]-1</f>
        <v>-4.040727284113832E-2</v>
      </c>
      <c r="LW49" s="28">
        <f>SUMPRODUCT(INDEX(PortfolioRef[[SPY]:[PE]],MATCH(LW$1,PortfolioRef[Reference '#]),0),AssetMonthlyReturns[[#This Row],[SPY]:[PE]])</f>
        <v>-3.835706019188373E-2</v>
      </c>
      <c r="LX49" s="27">
        <f>IF(ISNUMBER(LX48),LX48*(1+PortfolioFrontier[[#This Row],[P84 Return]]),1+PortfolioFrontier[[#This Row],[P84 Return]])</f>
        <v>1.2614870122158985</v>
      </c>
      <c r="LY49" s="27">
        <f>MAX(LY48,PortfolioFrontier[[#This Row],[P84 Growth]])</f>
        <v>1.3118039554968419</v>
      </c>
      <c r="LZ49" s="27">
        <f>PortfolioFrontier[[#This Row],[P84 Growth]]/PortfolioFrontier[[#This Row],[P84 HWM]]-1</f>
        <v>-3.8357060191883563E-2</v>
      </c>
      <c r="MA49" s="28">
        <f>SUMPRODUCT(INDEX(PortfolioRef[[SPY]:[PE]],MATCH(MA$1,PortfolioRef[Reference '#]),0),AssetMonthlyReturns[[#This Row],[SPY]:[PE]])</f>
        <v>-4.5652651859760772E-2</v>
      </c>
      <c r="MB49" s="27">
        <f>IF(ISNUMBER(MB48),MB48*(1+PortfolioFrontier[[#This Row],[P85 Return]]),1+PortfolioFrontier[[#This Row],[P85 Return]])</f>
        <v>1.2930179508629891</v>
      </c>
      <c r="MC49" s="27">
        <f>MAX(MC48,PortfolioFrontier[[#This Row],[P85 Growth]])</f>
        <v>1.3548714243118356</v>
      </c>
      <c r="MD49" s="27">
        <f>PortfolioFrontier[[#This Row],[P85 Growth]]/PortfolioFrontier[[#This Row],[P85 HWM]]-1</f>
        <v>-4.5652651859760862E-2</v>
      </c>
      <c r="ME49" s="28">
        <f>SUMPRODUCT(INDEX(PortfolioRef[[SPY]:[PE]],MATCH(ME$1,PortfolioRef[Reference '#]),0),AssetMonthlyReturns[[#This Row],[SPY]:[PE]])</f>
        <v>-4.3602439210506092E-2</v>
      </c>
      <c r="MF49" s="27">
        <f>IF(ISNUMBER(MF48),MF48*(1+PortfolioFrontier[[#This Row],[P86 Return]]),1+PortfolioFrontier[[#This Row],[P86 Return]])</f>
        <v>1.2782461407898129</v>
      </c>
      <c r="MG49" s="27">
        <f>MAX(MG48,PortfolioFrontier[[#This Row],[P86 Growth]])</f>
        <v>1.3365217491088508</v>
      </c>
      <c r="MH49" s="27">
        <f>PortfolioFrontier[[#This Row],[P86 Growth]]/PortfolioFrontier[[#This Row],[P86 HWM]]-1</f>
        <v>-4.3602439210506105E-2</v>
      </c>
      <c r="MI49" s="28">
        <f>SUMPRODUCT(INDEX(PortfolioRef[[SPY]:[PE]],MATCH(MI$1,PortfolioRef[Reference '#]),0),AssetMonthlyReturns[[#This Row],[SPY]:[PE]])</f>
        <v>-4.1552226561251425E-2</v>
      </c>
      <c r="MJ49" s="27">
        <f>IF(ISNUMBER(MJ48),MJ48*(1+PortfolioFrontier[[#This Row],[P87 Return]]),1+PortfolioFrontier[[#This Row],[P87 Return]])</f>
        <v>1.263423208198841</v>
      </c>
      <c r="MK49" s="27">
        <f>MAX(MK48,PortfolioFrontier[[#This Row],[P87 Growth]])</f>
        <v>1.3181972385056435</v>
      </c>
      <c r="ML49" s="27">
        <f>PortfolioFrontier[[#This Row],[P87 Growth]]/PortfolioFrontier[[#This Row],[P87 HWM]]-1</f>
        <v>-4.155222656125146E-2</v>
      </c>
      <c r="MM49" s="28">
        <f>SUMPRODUCT(INDEX(PortfolioRef[[SPY]:[PE]],MATCH(MM$1,PortfolioRef[Reference '#]),0),AssetMonthlyReturns[[#This Row],[SPY]:[PE]])</f>
        <v>-4.3460276888694985E-2</v>
      </c>
      <c r="MN49" s="27">
        <f>IF(ISNUMBER(MN48),MN48*(1+PortfolioFrontier[[#This Row],[P88 Return]]),1+PortfolioFrontier[[#This Row],[P88 Return]])</f>
        <v>1.294602298273726</v>
      </c>
      <c r="MO49" s="27">
        <f>MAX(MO48,PortfolioFrontier[[#This Row],[P88 Growth]])</f>
        <v>1.3534224110032944</v>
      </c>
      <c r="MP49" s="27">
        <f>PortfolioFrontier[[#This Row],[P88 Growth]]/PortfolioFrontier[[#This Row],[P88 HWM]]-1</f>
        <v>-4.3460276888695026E-2</v>
      </c>
      <c r="MQ49" s="28">
        <f>SUMPRODUCT(INDEX(PortfolioRef[[SPY]:[PE]],MATCH(MQ$1,PortfolioRef[Reference '#]),0),AssetMonthlyReturns[[#This Row],[SPY]:[PE]])</f>
        <v>-4.1410064239440304E-2</v>
      </c>
      <c r="MR49" s="27">
        <f>IF(ISNUMBER(MR48),MR48*(1+PortfolioFrontier[[#This Row],[P89 Return]]),1+PortfolioFrontier[[#This Row],[P89 Return]])</f>
        <v>1.2796905039590427</v>
      </c>
      <c r="MS49" s="27">
        <f>MAX(MS48,PortfolioFrontier[[#This Row],[P89 Growth]])</f>
        <v>1.3349717707433648</v>
      </c>
      <c r="MT49" s="27">
        <f>PortfolioFrontier[[#This Row],[P89 Growth]]/PortfolioFrontier[[#This Row],[P89 HWM]]-1</f>
        <v>-4.141006423944027E-2</v>
      </c>
      <c r="MU49" s="28">
        <f>SUMPRODUCT(INDEX(PortfolioRef[[SPY]:[PE]],MATCH(MU$1,PortfolioRef[Reference '#]),0),AssetMonthlyReturns[[#This Row],[SPY]:[PE]])</f>
        <v>-3.9359851590185631E-2</v>
      </c>
      <c r="MV49" s="27">
        <f>IF(ISNUMBER(MV48),MV48*(1+PortfolioFrontier[[#This Row],[P90 Return]]),1+PortfolioFrontier[[#This Row],[P90 Return]])</f>
        <v>1.2647304000787636</v>
      </c>
      <c r="MW49" s="27">
        <f>MAX(MW48,PortfolioFrontier[[#This Row],[P90 Growth]])</f>
        <v>1.3165495968207468</v>
      </c>
      <c r="MX49" s="27">
        <f>PortfolioFrontier[[#This Row],[P90 Growth]]/PortfolioFrontier[[#This Row],[P90 HWM]]-1</f>
        <v>-3.9359851590185513E-2</v>
      </c>
      <c r="MY49" s="28">
        <f>SUMPRODUCT(INDEX(PortfolioRef[[SPY]:[PE]],MATCH(MY$1,PortfolioRef[Reference '#]),0),AssetMonthlyReturns[[#This Row],[SPY]:[PE]])</f>
        <v>-4.6655443258062673E-2</v>
      </c>
      <c r="MZ49" s="27">
        <f>IF(ISNUMBER(MZ48),MZ48*(1+PortfolioFrontier[[#This Row],[P91 Return]]),1+PortfolioFrontier[[#This Row],[P91 Return]])</f>
        <v>1.2964170547261356</v>
      </c>
      <c r="NA49" s="27">
        <f>MAX(NA48,PortfolioFrontier[[#This Row],[P91 Growth]])</f>
        <v>1.3598620200409506</v>
      </c>
      <c r="NB49" s="27">
        <f>PortfolioFrontier[[#This Row],[P91 Growth]]/PortfolioFrontier[[#This Row],[P91 HWM]]-1</f>
        <v>-4.6655443258062701E-2</v>
      </c>
      <c r="NC49" s="28">
        <f>SUMPRODUCT(INDEX(PortfolioRef[[SPY]:[PE]],MATCH(NC$1,PortfolioRef[Reference '#]),0),AssetMonthlyReturns[[#This Row],[SPY]:[PE]])</f>
        <v>-4.4605230608808E-2</v>
      </c>
      <c r="ND49" s="27">
        <f>IF(ISNUMBER(ND48),ND48*(1+PortfolioFrontier[[#This Row],[P92 Return]]),1+PortfolioFrontier[[#This Row],[P92 Return]])</f>
        <v>1.281631587377698</v>
      </c>
      <c r="NE49" s="27">
        <f>MAX(NE48,PortfolioFrontier[[#This Row],[P92 Growth]])</f>
        <v>1.3414680804610166</v>
      </c>
      <c r="NF49" s="27">
        <f>PortfolioFrontier[[#This Row],[P92 Growth]]/PortfolioFrontier[[#This Row],[P92 HWM]]-1</f>
        <v>-4.4605230608807944E-2</v>
      </c>
      <c r="NG49" s="28">
        <f>SUMPRODUCT(INDEX(PortfolioRef[[SPY]:[PE]],MATCH(NG$1,PortfolioRef[Reference '#]),0),AssetMonthlyReturns[[#This Row],[SPY]:[PE]])</f>
        <v>-4.2555017959553326E-2</v>
      </c>
      <c r="NH49" s="27">
        <f>IF(ISNUMBER(NH48),NH48*(1+PortfolioFrontier[[#This Row],[P93 Return]]),1+PortfolioFrontier[[#This Row],[P93 Return]])</f>
        <v>1.266794345654672</v>
      </c>
      <c r="NI49" s="27">
        <f>MAX(NI48,PortfolioFrontier[[#This Row],[P93 Growth]])</f>
        <v>1.3230988405777211</v>
      </c>
      <c r="NJ49" s="27">
        <f>PortfolioFrontier[[#This Row],[P93 Growth]]/PortfolioFrontier[[#This Row],[P93 HWM]]-1</f>
        <v>-4.2555017959553298E-2</v>
      </c>
      <c r="NK49" s="28">
        <f>SUMPRODUCT(INDEX(PortfolioRef[[SPY]:[PE]],MATCH(NK$1,PortfolioRef[Reference '#]),0),AssetMonthlyReturns[[#This Row],[SPY]:[PE]])</f>
        <v>-4.9850609627430376E-2</v>
      </c>
      <c r="NL49" s="27">
        <f>IF(ISNUMBER(NL48),NL48*(1+PortfolioFrontier[[#This Row],[P94 Return]]),1+PortfolioFrontier[[#This Row],[P94 Return]])</f>
        <v>1.2979168097893585</v>
      </c>
      <c r="NM49" s="27">
        <f>MAX(NM48,PortfolioFrontier[[#This Row],[P94 Growth]])</f>
        <v>1.3660134110915163</v>
      </c>
      <c r="NN49" s="27">
        <f>PortfolioFrontier[[#This Row],[P94 Growth]]/PortfolioFrontier[[#This Row],[P94 HWM]]-1</f>
        <v>-4.9850609627430376E-2</v>
      </c>
      <c r="NO49" s="28">
        <f>SUMPRODUCT(INDEX(PortfolioRef[[SPY]:[PE]],MATCH(NO$1,PortfolioRef[Reference '#]),0),AssetMonthlyReturns[[#This Row],[SPY]:[PE]])</f>
        <v>-4.7800396978175688E-2</v>
      </c>
      <c r="NP49" s="27">
        <f>IF(ISNUMBER(NP48),NP48*(1+PortfolioFrontier[[#This Row],[P95 Return]]),1+PortfolioFrontier[[#This Row],[P95 Return]])</f>
        <v>1.2832618005449234</v>
      </c>
      <c r="NQ49" s="27">
        <f>MAX(NQ48,PortfolioFrontier[[#This Row],[P95 Growth]])</f>
        <v>1.3476815118095689</v>
      </c>
      <c r="NR49" s="27">
        <f>PortfolioFrontier[[#This Row],[P95 Growth]]/PortfolioFrontier[[#This Row],[P95 HWM]]-1</f>
        <v>-4.780039697817573E-2</v>
      </c>
      <c r="NS49" s="28">
        <f>SUMPRODUCT(INDEX(PortfolioRef[[SPY]:[PE]],MATCH(NS$1,PortfolioRef[Reference '#]),0),AssetMonthlyReturns[[#This Row],[SPY]:[PE]])</f>
        <v>-4.5750184328921022E-2</v>
      </c>
      <c r="NT49" s="27">
        <f>IF(ISNUMBER(NT48),NT48*(1+PortfolioFrontier[[#This Row],[P96 Return]]),1+PortfolioFrontier[[#This Row],[P96 Return]])</f>
        <v>1.2685515704967854</v>
      </c>
      <c r="NU49" s="27">
        <f>MAX(NU48,PortfolioFrontier[[#This Row],[P96 Growth]])</f>
        <v>1.3293705166761522</v>
      </c>
      <c r="NV49" s="27">
        <f>PortfolioFrontier[[#This Row],[P96 Growth]]/PortfolioFrontier[[#This Row],[P96 HWM]]-1</f>
        <v>-4.5750184328920973E-2</v>
      </c>
      <c r="NW49" s="28">
        <f>SUMPRODUCT(INDEX(PortfolioRef[[SPY]:[PE]],MATCH(NW$1,PortfolioRef[Reference '#]),0),AssetMonthlyReturns[[#This Row],[SPY]:[PE]])</f>
        <v>-2.4217832143042971E-2</v>
      </c>
      <c r="NX49" s="27">
        <f>IF(ISNUMBER(NX48),NX48*(1+PortfolioFrontier[[#This Row],[P97 Return]]),1+PortfolioFrontier[[#This Row],[P97 Return]])</f>
        <v>1.2528155056712684</v>
      </c>
      <c r="NY49" s="27">
        <f>MAX(NY48,PortfolioFrontier[[#This Row],[P97 Growth]])</f>
        <v>1.2839089982785201</v>
      </c>
      <c r="NZ49" s="27">
        <f>PortfolioFrontier[[#This Row],[P97 Growth]]/PortfolioFrontier[[#This Row],[P97 HWM]]-1</f>
        <v>-2.4217832143042961E-2</v>
      </c>
      <c r="OA49" s="28">
        <f>SUMPRODUCT(INDEX(PortfolioRef[[SPY]:[PE]],MATCH(OA$1,PortfolioRef[Reference '#]),0),AssetMonthlyReturns[[#This Row],[SPY]:[PE]])</f>
        <v>-2.5220623541344873E-2</v>
      </c>
      <c r="OB49" s="27">
        <f>IF(ISNUMBER(OB48),OB48*(1+PortfolioFrontier[[#This Row],[P98 Return]]),1+PortfolioFrontier[[#This Row],[P98 Return]])</f>
        <v>1.2561035844304707</v>
      </c>
      <c r="OC49" s="27">
        <f>MAX(OC48,PortfolioFrontier[[#This Row],[P98 Growth]])</f>
        <v>1.2886029544386322</v>
      </c>
      <c r="OD49" s="27">
        <f>PortfolioFrontier[[#This Row],[P98 Growth]]/PortfolioFrontier[[#This Row],[P98 HWM]]-1</f>
        <v>-2.5220623541344911E-2</v>
      </c>
      <c r="OE49" s="28">
        <f>SUMPRODUCT(INDEX(PortfolioRef[[SPY]:[PE]],MATCH(OE$1,PortfolioRef[Reference '#]),0),AssetMonthlyReturns[[#This Row],[SPY]:[PE]])</f>
        <v>-2.8415789910712568E-2</v>
      </c>
      <c r="OF49" s="27">
        <f>IF(ISNUMBER(OF48),OF48*(1+PortfolioFrontier[[#This Row],[P99 Return]]),1+PortfolioFrontier[[#This Row],[P99 Return]])</f>
        <v>1.258435332695782</v>
      </c>
      <c r="OG49" s="27">
        <f>MAX(OG48,PortfolioFrontier[[#This Row],[P99 Growth]])</f>
        <v>1.2952406179801268</v>
      </c>
      <c r="OH49" s="27">
        <f>PortfolioFrontier[[#This Row],[P99 Growth]]/PortfolioFrontier[[#This Row],[P99 HWM]]-1</f>
        <v>-2.8415789910712586E-2</v>
      </c>
      <c r="OI49" s="28">
        <f>SUMPRODUCT(INDEX(PortfolioRef[[SPY]:[PE]],MATCH(OI$1,PortfolioRef[Reference '#]),0),AssetMonthlyReturns[[#This Row],[SPY]:[PE]])</f>
        <v>-2.6365577261457898E-2</v>
      </c>
      <c r="OJ49" s="27">
        <f>IF(ISNUMBER(OJ48),OJ48*(1+PortfolioFrontier[[#This Row],[P100 Return]]),1+PortfolioFrontier[[#This Row],[P100 Return]])</f>
        <v>1.2434813736330588</v>
      </c>
      <c r="OK49" s="27">
        <f>MAX(OK48,PortfolioFrontier[[#This Row],[P100 Growth]])</f>
        <v>1.2771542835713614</v>
      </c>
      <c r="OL49" s="27">
        <f>PortfolioFrontier[[#This Row],[P100 Growth]]/PortfolioFrontier[[#This Row],[P100 HWM]]-1</f>
        <v>-2.636557726145794E-2</v>
      </c>
      <c r="OM49" s="28">
        <f>SUMPRODUCT(INDEX(PortfolioRef[[SPY]:[PE]],MATCH(OM$1,PortfolioRef[Reference '#]),0),AssetMonthlyReturns[[#This Row],[SPY]:[PE]])</f>
        <v>-2.6223414939646771E-2</v>
      </c>
      <c r="ON49" s="27">
        <f>IF(ISNUMBER(ON48),ON48*(1+PortfolioFrontier[[#This Row],[P101 Return]]),1+PortfolioFrontier[[#This Row],[P101 Return]])</f>
        <v>1.2592754853386992</v>
      </c>
      <c r="OO49" s="27">
        <f>MAX(OO48,PortfolioFrontier[[#This Row],[P101 Growth]])</f>
        <v>1.2931872717607511</v>
      </c>
      <c r="OP49" s="27">
        <f>PortfolioFrontier[[#This Row],[P101 Growth]]/PortfolioFrontier[[#This Row],[P101 HWM]]-1</f>
        <v>-2.622341493964675E-2</v>
      </c>
      <c r="OQ49" s="28">
        <f>SUMPRODUCT(INDEX(PortfolioRef[[SPY]:[PE]],MATCH(OQ$1,PortfolioRef[Reference '#]),0),AssetMonthlyReturns[[#This Row],[SPY]:[PE]])</f>
        <v>-2.9418581309014469E-2</v>
      </c>
      <c r="OR49" s="27">
        <f>IF(ISNUMBER(OR48),OR48*(1+PortfolioFrontier[[#This Row],[P102 Return]]),1+PortfolioFrontier[[#This Row],[P102 Return]])</f>
        <v>1.2617353253038512</v>
      </c>
      <c r="OS49" s="27">
        <f>MAX(OS48,PortfolioFrontier[[#This Row],[P102 Growth]])</f>
        <v>1.2999788590693837</v>
      </c>
      <c r="OT49" s="27">
        <f>PortfolioFrontier[[#This Row],[P102 Growth]]/PortfolioFrontier[[#This Row],[P102 HWM]]-1</f>
        <v>-2.9418581309014424E-2</v>
      </c>
      <c r="OU49" s="28">
        <f>SUMPRODUCT(INDEX(PortfolioRef[[SPY]:[PE]],MATCH(OU$1,PortfolioRef[Reference '#]),0),AssetMonthlyReturns[[#This Row],[SPY]:[PE]])</f>
        <v>-2.7368368659759796E-2</v>
      </c>
      <c r="OV49" s="27">
        <f>IF(ISNUMBER(OV48),OV48*(1+PortfolioFrontier[[#This Row],[P103 Return]]),1+PortfolioFrontier[[#This Row],[P103 Return]])</f>
        <v>1.2467669715606826</v>
      </c>
      <c r="OW49" s="27">
        <f>MAX(OW48,PortfolioFrontier[[#This Row],[P103 Growth]])</f>
        <v>1.2818490900225987</v>
      </c>
      <c r="OX49" s="27">
        <f>PortfolioFrontier[[#This Row],[P103 Growth]]/PortfolioFrontier[[#This Row],[P103 HWM]]-1</f>
        <v>-2.7368368659759779E-2</v>
      </c>
      <c r="OY49" s="28">
        <f>SUMPRODUCT(INDEX(PortfolioRef[[SPY]:[PE]],MATCH(OY$1,PortfolioRef[Reference '#]),0),AssetMonthlyReturns[[#This Row],[SPY]:[PE]])</f>
        <v>-3.2613747678382168E-2</v>
      </c>
      <c r="OZ49" s="27">
        <f>IF(ISNUMBER(OZ48),OZ48*(1+PortfolioFrontier[[#This Row],[P104 Return]]),1+PortfolioFrontier[[#This Row],[P104 Return]])</f>
        <v>1.2638924625293326</v>
      </c>
      <c r="PA49" s="27">
        <f>MAX(PA48,PortfolioFrontier[[#This Row],[P104 Growth]])</f>
        <v>1.3065024022164191</v>
      </c>
      <c r="PB49" s="27">
        <f>PortfolioFrontier[[#This Row],[P104 Growth]]/PortfolioFrontier[[#This Row],[P104 HWM]]-1</f>
        <v>-3.261374767838221E-2</v>
      </c>
      <c r="PC49" s="28">
        <f>SUMPRODUCT(INDEX(PortfolioRef[[SPY]:[PE]],MATCH(PC$1,PortfolioRef[Reference '#]),0),AssetMonthlyReturns[[#This Row],[SPY]:[PE]])</f>
        <v>-3.0563535029127491E-2</v>
      </c>
      <c r="PD49" s="27">
        <f>IF(ISNUMBER(PD48),PD48*(1+PortfolioFrontier[[#This Row],[P105 Return]]),1+PortfolioFrontier[[#This Row],[P105 Return]])</f>
        <v>1.2490415136575843</v>
      </c>
      <c r="PE49" s="27">
        <f>MAX(PE48,PortfolioFrontier[[#This Row],[P105 Growth]])</f>
        <v>1.2884201892437714</v>
      </c>
      <c r="PF49" s="27">
        <f>PortfolioFrontier[[#This Row],[P105 Growth]]/PortfolioFrontier[[#This Row],[P105 HWM]]-1</f>
        <v>-3.0563535029127564E-2</v>
      </c>
      <c r="PG49" s="28">
        <f>SUMPRODUCT(INDEX(PortfolioRef[[SPY]:[PE]],MATCH(PG$1,PortfolioRef[Reference '#]),0),AssetMonthlyReturns[[#This Row],[SPY]:[PE]])</f>
        <v>-2.8513322379872814E-2</v>
      </c>
      <c r="PH49" s="27">
        <f>IF(ISNUMBER(PH48),PH48*(1+PortfolioFrontier[[#This Row],[P106 Return]]),1+PortfolioFrontier[[#This Row],[P106 Return]])</f>
        <v>1.2341500289540774</v>
      </c>
      <c r="PI49" s="27">
        <f>MAX(PI48,PortfolioFrontier[[#This Row],[P106 Growth]])</f>
        <v>1.2703725716315561</v>
      </c>
      <c r="PJ49" s="27">
        <f>PortfolioFrontier[[#This Row],[P106 Growth]]/PortfolioFrontier[[#This Row],[P106 HWM]]-1</f>
        <v>-2.8513322379872919E-2</v>
      </c>
      <c r="PK49" s="28">
        <f>SUMPRODUCT(INDEX(PortfolioRef[[SPY]:[PE]],MATCH(PK$1,PortfolioRef[Reference '#]),0),AssetMonthlyReturns[[#This Row],[SPY]:[PE]])</f>
        <v>-3.0421372707316371E-2</v>
      </c>
      <c r="PL49" s="27">
        <f>IF(ISNUMBER(PL48),PL48*(1+PortfolioFrontier[[#This Row],[P107 Return]]),1+PortfolioFrontier[[#This Row],[P107 Return]])</f>
        <v>1.2649186842298294</v>
      </c>
      <c r="PM49" s="27">
        <f>MAX(PM48,PortfolioFrontier[[#This Row],[P107 Growth]])</f>
        <v>1.3046066080909935</v>
      </c>
      <c r="PN49" s="27">
        <f>PortfolioFrontier[[#This Row],[P107 Growth]]/PortfolioFrontier[[#This Row],[P107 HWM]]-1</f>
        <v>-3.0421372707316485E-2</v>
      </c>
      <c r="PO49" s="28">
        <f>SUMPRODUCT(INDEX(PortfolioRef[[SPY]:[PE]],MATCH(PO$1,PortfolioRef[Reference '#]),0),AssetMonthlyReturns[[#This Row],[SPY]:[PE]])</f>
        <v>-2.8371160058061697E-2</v>
      </c>
      <c r="PP49" s="27">
        <f>IF(ISNUMBER(PP48),PP48*(1+PortfolioFrontier[[#This Row],[P108 Return]]),1+PortfolioFrontier[[#This Row],[P108 Return]])</f>
        <v>1.2499373249731154</v>
      </c>
      <c r="PQ49" s="27">
        <f>MAX(PQ48,PortfolioFrontier[[#This Row],[P108 Growth]])</f>
        <v>1.2864349776276793</v>
      </c>
      <c r="PR49" s="27">
        <f>PortfolioFrontier[[#This Row],[P108 Growth]]/PortfolioFrontier[[#This Row],[P108 HWM]]-1</f>
        <v>-2.8371160058061728E-2</v>
      </c>
      <c r="PS49" s="28">
        <f>SUMPRODUCT(INDEX(PortfolioRef[[SPY]:[PE]],MATCH(PS$1,PortfolioRef[Reference '#]),0),AssetMonthlyReturns[[#This Row],[SPY]:[PE]])</f>
        <v>-3.361653907668407E-2</v>
      </c>
      <c r="PT49" s="27">
        <f>IF(ISNUMBER(PT48),PT48*(1+PortfolioFrontier[[#This Row],[P109 Return]]),1+PortfolioFrontier[[#This Row],[P109 Return]])</f>
        <v>1.2672040336612178</v>
      </c>
      <c r="PU49" s="27">
        <f>MAX(PU48,PortfolioFrontier[[#This Row],[P109 Growth]])</f>
        <v>1.3112848935250687</v>
      </c>
      <c r="PV49" s="27">
        <f>PortfolioFrontier[[#This Row],[P109 Growth]]/PortfolioFrontier[[#This Row],[P109 HWM]]-1</f>
        <v>-3.3616539076684049E-2</v>
      </c>
      <c r="PW49" s="28">
        <f>SUMPRODUCT(INDEX(PortfolioRef[[SPY]:[PE]],MATCH(PW$1,PortfolioRef[Reference '#]),0),AssetMonthlyReturns[[#This Row],[SPY]:[PE]])</f>
        <v>-3.1566326427429389E-2</v>
      </c>
      <c r="PX49" s="27">
        <f>IF(ISNUMBER(PX48),PX48*(1+PortfolioFrontier[[#This Row],[P110 Return]]),1+PortfolioFrontier[[#This Row],[P110 Return]])</f>
        <v>1.2523390071298608</v>
      </c>
      <c r="PY49" s="27">
        <f>MAX(PY48,PortfolioFrontier[[#This Row],[P110 Growth]])</f>
        <v>1.2931592955766995</v>
      </c>
      <c r="PZ49" s="27">
        <f>PortfolioFrontier[[#This Row],[P110 Growth]]/PortfolioFrontier[[#This Row],[P110 HWM]]-1</f>
        <v>-3.1566326427429403E-2</v>
      </c>
      <c r="QA49" s="28">
        <f>SUMPRODUCT(INDEX(PortfolioRef[[SPY]:[PE]],MATCH(QA$1,PortfolioRef[Reference '#]),0),AssetMonthlyReturns[[#This Row],[SPY]:[PE]])</f>
        <v>-2.9516113778174723E-2</v>
      </c>
      <c r="QB49" s="27">
        <f>IF(ISNUMBER(QB48),QB48*(1+PortfolioFrontier[[#This Row],[P111 Return]]),1+PortfolioFrontier[[#This Row],[P111 Return]])</f>
        <v>1.2374328134602668</v>
      </c>
      <c r="QC49" s="27">
        <f>MAX(QC48,PortfolioFrontier[[#This Row],[P111 Growth]])</f>
        <v>1.2750678615362652</v>
      </c>
      <c r="QD49" s="27">
        <f>PortfolioFrontier[[#This Row],[P111 Growth]]/PortfolioFrontier[[#This Row],[P111 HWM]]-1</f>
        <v>-2.9516113778174757E-2</v>
      </c>
      <c r="QE49" s="28">
        <f>SUMPRODUCT(INDEX(PortfolioRef[[SPY]:[PE]],MATCH(QE$1,PortfolioRef[Reference '#]),0),AssetMonthlyReturns[[#This Row],[SPY]:[PE]])</f>
        <v>-3.6811705446051765E-2</v>
      </c>
      <c r="QF49" s="27">
        <f>IF(ISNUMBER(QF48),QF48*(1+PortfolioFrontier[[#This Row],[P112 Return]]),1+PortfolioFrontier[[#This Row],[P112 Return]])</f>
        <v>1.2691843072431106</v>
      </c>
      <c r="QG49" s="27">
        <f>MAX(QG48,PortfolioFrontier[[#This Row],[P112 Growth]])</f>
        <v>1.3176907510393581</v>
      </c>
      <c r="QH49" s="27">
        <f>PortfolioFrontier[[#This Row],[P112 Growth]]/PortfolioFrontier[[#This Row],[P112 HWM]]-1</f>
        <v>-3.6811705446051723E-2</v>
      </c>
      <c r="QI49" s="28">
        <f>SUMPRODUCT(INDEX(PortfolioRef[[SPY]:[PE]],MATCH(QI$1,PortfolioRef[Reference '#]),0),AssetMonthlyReturns[[#This Row],[SPY]:[PE]])</f>
        <v>-3.4761492796797085E-2</v>
      </c>
      <c r="QJ49" s="27">
        <f>IF(ISNUMBER(QJ48),QJ48*(1+PortfolioFrontier[[#This Row],[P113 Return]]),1+PortfolioFrontier[[#This Row],[P113 Return]])</f>
        <v>1.2544397860889605</v>
      </c>
      <c r="QK49" s="27">
        <f>MAX(QK48,PortfolioFrontier[[#This Row],[P113 Growth]])</f>
        <v>1.2996163919358374</v>
      </c>
      <c r="QL49" s="27">
        <f>PortfolioFrontier[[#This Row],[P113 Growth]]/PortfolioFrontier[[#This Row],[P113 HWM]]-1</f>
        <v>-3.4761492796797078E-2</v>
      </c>
      <c r="QM49" s="28">
        <f>SUMPRODUCT(INDEX(PortfolioRef[[SPY]:[PE]],MATCH(QM$1,PortfolioRef[Reference '#]),0),AssetMonthlyReturns[[#This Row],[SPY]:[PE]])</f>
        <v>-3.2711280147542411E-2</v>
      </c>
      <c r="QN49" s="27">
        <f>IF(ISNUMBER(QN48),QN48*(1+PortfolioFrontier[[#This Row],[P114 Return]]),1+PortfolioFrontier[[#This Row],[P114 Return]])</f>
        <v>1.2396506784150672</v>
      </c>
      <c r="QO49" s="27">
        <f>MAX(QO48,PortfolioFrontier[[#This Row],[P114 Growth]])</f>
        <v>1.2815725573685524</v>
      </c>
      <c r="QP49" s="27">
        <f>PortfolioFrontier[[#This Row],[P114 Growth]]/PortfolioFrontier[[#This Row],[P114 HWM]]-1</f>
        <v>-3.2711280147542543E-2</v>
      </c>
      <c r="QQ49" s="28">
        <f>SUMPRODUCT(INDEX(PortfolioRef[[SPY]:[PE]],MATCH(QQ$1,PortfolioRef[Reference '#]),0),AssetMonthlyReturns[[#This Row],[SPY]:[PE]])</f>
        <v>-3.4619330474985971E-2</v>
      </c>
      <c r="QR49" s="27">
        <f>IF(ISNUMBER(QR48),QR48*(1+PortfolioFrontier[[#This Row],[P115 Return]]),1+PortfolioFrontier[[#This Row],[P115 Return]])</f>
        <v>1.2703985298519707</v>
      </c>
      <c r="QS49" s="27">
        <f>MAX(QS48,PortfolioFrontier[[#This Row],[P115 Growth]])</f>
        <v>1.3159560471384115</v>
      </c>
      <c r="QT49" s="27">
        <f>PortfolioFrontier[[#This Row],[P115 Growth]]/PortfolioFrontier[[#This Row],[P115 HWM]]-1</f>
        <v>-3.4619330474985999E-2</v>
      </c>
      <c r="QU49" s="28">
        <f>SUMPRODUCT(INDEX(PortfolioRef[[SPY]:[PE]],MATCH(QU$1,PortfolioRef[Reference '#]),0),AssetMonthlyReturns[[#This Row],[SPY]:[PE]])</f>
        <v>-3.256911782573129E-2</v>
      </c>
      <c r="QV49" s="27">
        <f>IF(ISNUMBER(QV48),QV48*(1+PortfolioFrontier[[#This Row],[P116 Return]]),1+PortfolioFrontier[[#This Row],[P116 Return]])</f>
        <v>1.2555208055964315</v>
      </c>
      <c r="QW49" s="27">
        <f>MAX(QW48,PortfolioFrontier[[#This Row],[P116 Growth]])</f>
        <v>1.2977886366152487</v>
      </c>
      <c r="QX49" s="27">
        <f>PortfolioFrontier[[#This Row],[P116 Growth]]/PortfolioFrontier[[#This Row],[P116 HWM]]-1</f>
        <v>-3.2569117825731242E-2</v>
      </c>
      <c r="QY49" s="28">
        <f>SUMPRODUCT(INDEX(PortfolioRef[[SPY]:[PE]],MATCH(QY$1,PortfolioRef[Reference '#]),0),AssetMonthlyReturns[[#This Row],[SPY]:[PE]])</f>
        <v>-3.0518905176476617E-2</v>
      </c>
      <c r="QZ49" s="27">
        <f>IF(ISNUMBER(QZ48),QZ48*(1+PortfolioFrontier[[#This Row],[P117 Return]]),1+PortfolioFrontier[[#This Row],[P117 Return]])</f>
        <v>1.2406012854355049</v>
      </c>
      <c r="RA49" s="27">
        <f>MAX(RA48,PortfolioFrontier[[#This Row],[P117 Growth]])</f>
        <v>1.2796549536237569</v>
      </c>
      <c r="RB49" s="27">
        <f>PortfolioFrontier[[#This Row],[P117 Growth]]/PortfolioFrontier[[#This Row],[P117 HWM]]-1</f>
        <v>-3.0518905176476707E-2</v>
      </c>
      <c r="RC49" s="28">
        <f>SUMPRODUCT(INDEX(PortfolioRef[[SPY]:[PE]],MATCH(RC$1,PortfolioRef[Reference '#]),0),AssetMonthlyReturns[[#This Row],[SPY]:[PE]])</f>
        <v>-3.7814496844353666E-2</v>
      </c>
      <c r="RD49" s="27">
        <f>IF(ISNUMBER(RD48),RD48*(1+PortfolioFrontier[[#This Row],[P118 Return]]),1+PortfolioFrontier[[#This Row],[P118 Return]])</f>
        <v>1.2725071174290223</v>
      </c>
      <c r="RE49" s="27">
        <f>MAX(RE48,PortfolioFrontier[[#This Row],[P118 Growth]])</f>
        <v>1.3225174493438376</v>
      </c>
      <c r="RF49" s="27">
        <f>PortfolioFrontier[[#This Row],[P118 Growth]]/PortfolioFrontier[[#This Row],[P118 HWM]]-1</f>
        <v>-3.7814496844353784E-2</v>
      </c>
      <c r="RG49" s="28">
        <f>SUMPRODUCT(INDEX(PortfolioRef[[SPY]:[PE]],MATCH(RG$1,PortfolioRef[Reference '#]),0),AssetMonthlyReturns[[#This Row],[SPY]:[PE]])</f>
        <v>-3.5764284195098986E-2</v>
      </c>
      <c r="RH49" s="27">
        <f>IF(ISNUMBER(RH48),RH48*(1+PortfolioFrontier[[#This Row],[P119 Return]]),1+PortfolioFrontier[[#This Row],[P119 Return]])</f>
        <v>1.2577488393144756</v>
      </c>
      <c r="RI49" s="27">
        <f>MAX(RI48,PortfolioFrontier[[#This Row],[P119 Growth]])</f>
        <v>1.3043997631477102</v>
      </c>
      <c r="RJ49" s="27">
        <f>PortfolioFrontier[[#This Row],[P119 Growth]]/PortfolioFrontier[[#This Row],[P119 HWM]]-1</f>
        <v>-3.5764284195099139E-2</v>
      </c>
      <c r="RK49" s="28">
        <f>SUMPRODUCT(INDEX(PortfolioRef[[SPY]:[PE]],MATCH(RK$1,PortfolioRef[Reference '#]),0),AssetMonthlyReturns[[#This Row],[SPY]:[PE]])</f>
        <v>-3.3714071545844312E-2</v>
      </c>
      <c r="RL49" s="27">
        <f>IF(ISNUMBER(RL48),RL48*(1+PortfolioFrontier[[#This Row],[P120 Return]]),1+PortfolioFrontier[[#This Row],[P120 Return]])</f>
        <v>1.2429453382325171</v>
      </c>
      <c r="RM49" s="27">
        <f>MAX(RM48,PortfolioFrontier[[#This Row],[P120 Growth]])</f>
        <v>1.2863121583700958</v>
      </c>
      <c r="RN49" s="27">
        <f>PortfolioFrontier[[#This Row],[P120 Growth]]/PortfolioFrontier[[#This Row],[P120 HWM]]-1</f>
        <v>-3.3714071545844271E-2</v>
      </c>
      <c r="RO49" s="28">
        <f>SUMPRODUCT(INDEX(PortfolioRef[[SPY]:[PE]],MATCH(RO$1,PortfolioRef[Reference '#]),0),AssetMonthlyReturns[[#This Row],[SPY]:[PE]])</f>
        <v>-4.1009663213721362E-2</v>
      </c>
      <c r="RP49" s="27">
        <f>IF(ISNUMBER(RP48),RP48*(1+PortfolioFrontier[[#This Row],[P121 Return]]),1+PortfolioFrontier[[#This Row],[P121 Return]])</f>
        <v>1.2743083181237247</v>
      </c>
      <c r="RQ49" s="27">
        <f>MAX(RQ48,PortfolioFrontier[[#This Row],[P121 Growth]])</f>
        <v>1.328802042358554</v>
      </c>
      <c r="RR49" s="27">
        <f>PortfolioFrontier[[#This Row],[P121 Growth]]/PortfolioFrontier[[#This Row],[P121 HWM]]-1</f>
        <v>-4.1009663213721348E-2</v>
      </c>
      <c r="RS49" s="28">
        <f>SUMPRODUCT(INDEX(PortfolioRef[[SPY]:[PE]],MATCH(RS$1,PortfolioRef[Reference '#]),0),AssetMonthlyReturns[[#This Row],[SPY]:[PE]])</f>
        <v>-3.8959450564466681E-2</v>
      </c>
      <c r="RT49" s="27">
        <f>IF(ISNUMBER(RT48),RT48*(1+PortfolioFrontier[[#This Row],[P122 Return]]),1+PortfolioFrontier[[#This Row],[P122 Return]])</f>
        <v>1.2596736228043353</v>
      </c>
      <c r="RU49" s="27">
        <f>MAX(RU48,PortfolioFrontier[[#This Row],[P122 Growth]])</f>
        <v>1.3107393059993191</v>
      </c>
      <c r="RV49" s="27">
        <f>PortfolioFrontier[[#This Row],[P122 Growth]]/PortfolioFrontier[[#This Row],[P122 HWM]]-1</f>
        <v>-3.8959450564466702E-2</v>
      </c>
      <c r="RW49" s="28">
        <f>SUMPRODUCT(INDEX(PortfolioRef[[SPY]:[PE]],MATCH(RW$1,PortfolioRef[Reference '#]),0),AssetMonthlyReturns[[#This Row],[SPY]:[PE]])</f>
        <v>-3.6909237915212008E-2</v>
      </c>
      <c r="RX49" s="27">
        <f>IF(ISNUMBER(RX48),RX48*(1+PortfolioFrontier[[#This Row],[P123 Return]]),1+PortfolioFrontier[[#This Row],[P123 Return]])</f>
        <v>1.2449902928563363</v>
      </c>
      <c r="RY49" s="27">
        <f>MAX(RY48,PortfolioFrontier[[#This Row],[P123 Growth]])</f>
        <v>1.2927029744957004</v>
      </c>
      <c r="RZ49" s="27">
        <f>PortfolioFrontier[[#This Row],[P123 Growth]]/PortfolioFrontier[[#This Row],[P123 HWM]]-1</f>
        <v>-3.6909237915212056E-2</v>
      </c>
      <c r="SA49" s="28">
        <f>SUMPRODUCT(INDEX(PortfolioRef[[SPY]:[PE]],MATCH(SA$1,PortfolioRef[Reference '#]),0),AssetMonthlyReturns[[#This Row],[SPY]:[PE]])</f>
        <v>-3.8817288242655568E-2</v>
      </c>
      <c r="SB49" s="27">
        <f>IF(ISNUMBER(SB48),SB48*(1+PortfolioFrontier[[#This Row],[P124 Return]]),1+PortfolioFrontier[[#This Row],[P124 Return]])</f>
        <v>1.2757124261771409</v>
      </c>
      <c r="SC49" s="27">
        <f>MAX(SC48,PortfolioFrontier[[#This Row],[P124 Growth]])</f>
        <v>1.327231972207175</v>
      </c>
      <c r="SD49" s="27">
        <f>PortfolioFrontier[[#This Row],[P124 Growth]]/PortfolioFrontier[[#This Row],[P124 HWM]]-1</f>
        <v>-3.8817288242655623E-2</v>
      </c>
      <c r="SE49" s="28">
        <f>SUMPRODUCT(INDEX(PortfolioRef[[SPY]:[PE]],MATCH(SE$1,PortfolioRef[Reference '#]),0),AssetMonthlyReturns[[#This Row],[SPY]:[PE]])</f>
        <v>-3.6767075593400887E-2</v>
      </c>
      <c r="SF49" s="27">
        <f>IF(ISNUMBER(SF48),SF48*(1+PortfolioFrontier[[#This Row],[P125 Return]]),1+PortfolioFrontier[[#This Row],[P125 Return]])</f>
        <v>1.2609417615325742</v>
      </c>
      <c r="SG49" s="27">
        <f>MAX(SG48,PortfolioFrontier[[#This Row],[P125 Growth]])</f>
        <v>1.3090725302079753</v>
      </c>
      <c r="SH49" s="27">
        <f>PortfolioFrontier[[#This Row],[P125 Growth]]/PortfolioFrontier[[#This Row],[P125 HWM]]-1</f>
        <v>-3.6767075593400866E-2</v>
      </c>
      <c r="SI49" s="28">
        <f>SUMPRODUCT(INDEX(PortfolioRef[[SPY]:[PE]],MATCH(SI$1,PortfolioRef[Reference '#]),0),AssetMonthlyReturns[[#This Row],[SPY]:[PE]])</f>
        <v>-3.4716862944146214E-2</v>
      </c>
      <c r="SJ49" s="27">
        <f>IF(ISNUMBER(SJ48),SJ48*(1+PortfolioFrontier[[#This Row],[P126 Return]]),1+PortfolioFrontier[[#This Row],[P126 Return]])</f>
        <v>1.2461252403447201</v>
      </c>
      <c r="SK49" s="27">
        <f>MAX(SK48,PortfolioFrontier[[#This Row],[P126 Growth]])</f>
        <v>1.2909427218892937</v>
      </c>
      <c r="SL49" s="27">
        <f>PortfolioFrontier[[#This Row],[P126 Growth]]/PortfolioFrontier[[#This Row],[P126 HWM]]-1</f>
        <v>-3.4716862944146221E-2</v>
      </c>
      <c r="SM49" s="28">
        <f>SUMPRODUCT(INDEX(PortfolioRef[[SPY]:[PE]],MATCH(SM$1,PortfolioRef[Reference '#]),0),AssetMonthlyReturns[[#This Row],[SPY]:[PE]])</f>
        <v>-4.2012454612023256E-2</v>
      </c>
      <c r="SN49" s="27">
        <f>IF(ISNUMBER(SN48),SN48*(1+PortfolioFrontier[[#This Row],[P127 Return]]),1+PortfolioFrontier[[#This Row],[P127 Return]])</f>
        <v>1.2776420238417443</v>
      </c>
      <c r="SO49" s="27">
        <f>MAX(SO48,PortfolioFrontier[[#This Row],[P127 Growth]])</f>
        <v>1.3336728958457496</v>
      </c>
      <c r="SP49" s="27">
        <f>PortfolioFrontier[[#This Row],[P127 Growth]]/PortfolioFrontier[[#This Row],[P127 HWM]]-1</f>
        <v>-4.2012454612023298E-2</v>
      </c>
      <c r="SQ49" s="28">
        <f>SUMPRODUCT(INDEX(PortfolioRef[[SPY]:[PE]],MATCH(SQ$1,PortfolioRef[Reference '#]),0),AssetMonthlyReturns[[#This Row],[SPY]:[PE]])</f>
        <v>-3.9962241962768583E-2</v>
      </c>
      <c r="SR49" s="27">
        <f>IF(ISNUMBER(SR48),SR48*(1+PortfolioFrontier[[#This Row],[P128 Return]]),1+PortfolioFrontier[[#This Row],[P128 Return]])</f>
        <v>1.2629938958432625</v>
      </c>
      <c r="SS49" s="27">
        <f>MAX(SS48,PortfolioFrontier[[#This Row],[P128 Growth]])</f>
        <v>1.3155668985617981</v>
      </c>
      <c r="ST49" s="27">
        <f>PortfolioFrontier[[#This Row],[P128 Growth]]/PortfolioFrontier[[#This Row],[P128 HWM]]-1</f>
        <v>-3.9962241962768541E-2</v>
      </c>
      <c r="SU49" s="28">
        <f>SUMPRODUCT(INDEX(PortfolioRef[[SPY]:[PE]],MATCH(SU$1,PortfolioRef[Reference '#]),0),AssetMonthlyReturns[[#This Row],[SPY]:[PE]])</f>
        <v>-3.7912029313513909E-2</v>
      </c>
      <c r="SV49" s="27">
        <f>IF(ISNUMBER(SV48),SV48*(1+PortfolioFrontier[[#This Row],[P129 Return]]),1+PortfolioFrontier[[#This Row],[P129 Return]])</f>
        <v>1.2482964917545485</v>
      </c>
      <c r="SW49" s="27">
        <f>MAX(SW48,PortfolioFrontier[[#This Row],[P129 Growth]])</f>
        <v>1.2974868512947333</v>
      </c>
      <c r="SX49" s="27">
        <f>PortfolioFrontier[[#This Row],[P129 Growth]]/PortfolioFrontier[[#This Row],[P129 HWM]]-1</f>
        <v>-3.7912029313513895E-2</v>
      </c>
      <c r="SY49" s="28">
        <f>SUMPRODUCT(INDEX(PortfolioRef[[SPY]:[PE]],MATCH(SY$1,PortfolioRef[Reference '#]),0),AssetMonthlyReturns[[#This Row],[SPY]:[PE]])</f>
        <v>-4.5207620981390959E-2</v>
      </c>
      <c r="SZ49" s="27">
        <f>IF(ISNUMBER(SZ48),SZ48*(1+PortfolioFrontier[[#This Row],[P130 Return]]),1+PortfolioFrontier[[#This Row],[P130 Return]])</f>
        <v>1.279261987156084</v>
      </c>
      <c r="TA49" s="27">
        <f>MAX(TA48,PortfolioFrontier[[#This Row],[P130 Growth]])</f>
        <v>1.3398326330075903</v>
      </c>
      <c r="TB49" s="27">
        <f>PortfolioFrontier[[#This Row],[P130 Growth]]/PortfolioFrontier[[#This Row],[P130 HWM]]-1</f>
        <v>-4.5207620981390972E-2</v>
      </c>
      <c r="TC49" s="28">
        <f>SUMPRODUCT(INDEX(PortfolioRef[[SPY]:[PE]],MATCH(TC$1,PortfolioRef[Reference '#]),0),AssetMonthlyReturns[[#This Row],[SPY]:[PE]])</f>
        <v>-4.3157408332136271E-2</v>
      </c>
      <c r="TD49" s="27">
        <f>IF(ISNUMBER(TD48),TD48*(1+PortfolioFrontier[[#This Row],[P131 Return]]),1+PortfolioFrontier[[#This Row],[P131 Return]])</f>
        <v>1.2647404947838821</v>
      </c>
      <c r="TE49" s="27">
        <f>MAX(TE48,PortfolioFrontier[[#This Row],[P131 Growth]])</f>
        <v>1.3217853237274109</v>
      </c>
      <c r="TF49" s="27">
        <f>PortfolioFrontier[[#This Row],[P131 Growth]]/PortfolioFrontier[[#This Row],[P131 HWM]]-1</f>
        <v>-4.3157408332136327E-2</v>
      </c>
      <c r="TG49" s="28">
        <f>SUMPRODUCT(INDEX(PortfolioRef[[SPY]:[PE]],MATCH(TG$1,PortfolioRef[Reference '#]),0),AssetMonthlyReturns[[#This Row],[SPY]:[PE]])</f>
        <v>-4.1107195682881605E-2</v>
      </c>
      <c r="TH49" s="27">
        <f>IF(ISNUMBER(TH48),TH48*(1+PortfolioFrontier[[#This Row],[P132 Return]]),1+PortfolioFrontier[[#This Row],[P132 Return]])</f>
        <v>1.2501663239447744</v>
      </c>
      <c r="TI49" s="27">
        <f>MAX(TI48,PortfolioFrontier[[#This Row],[P132 Growth]])</f>
        <v>1.3037602517364684</v>
      </c>
      <c r="TJ49" s="27">
        <f>PortfolioFrontier[[#This Row],[P132 Growth]]/PortfolioFrontier[[#This Row],[P132 HWM]]-1</f>
        <v>-4.110719568288157E-2</v>
      </c>
      <c r="TK49" s="28">
        <f>SUMPRODUCT(INDEX(PortfolioRef[[SPY]:[PE]],MATCH(TK$1,PortfolioRef[Reference '#]),0),AssetMonthlyReturns[[#This Row],[SPY]:[PE]])</f>
        <v>-4.3015246010325164E-2</v>
      </c>
      <c r="TL49" s="27">
        <f>IF(ISNUMBER(TL48),TL48*(1+PortfolioFrontier[[#This Row],[P133 Return]]),1+PortfolioFrontier[[#This Row],[P133 Return]])</f>
        <v>1.2808578165743389</v>
      </c>
      <c r="TM49" s="27">
        <f>MAX(TM48,PortfolioFrontier[[#This Row],[P133 Growth]])</f>
        <v>1.3384307443085539</v>
      </c>
      <c r="TN49" s="27">
        <f>PortfolioFrontier[[#This Row],[P133 Growth]]/PortfolioFrontier[[#This Row],[P133 HWM]]-1</f>
        <v>-4.3015246010325137E-2</v>
      </c>
      <c r="TO49" s="28">
        <f>SUMPRODUCT(INDEX(PortfolioRef[[SPY]:[PE]],MATCH(TO$1,PortfolioRef[Reference '#]),0),AssetMonthlyReturns[[#This Row],[SPY]:[PE]])</f>
        <v>-4.0965033361070484E-2</v>
      </c>
      <c r="TP49" s="27">
        <f>IF(ISNUMBER(TP48),TP48*(1+PortfolioFrontier[[#This Row],[P134 Return]]),1+PortfolioFrontier[[#This Row],[P134 Return]])</f>
        <v>1.2661976165505004</v>
      </c>
      <c r="TQ49" s="27">
        <f>MAX(TQ48,PortfolioFrontier[[#This Row],[P134 Growth]])</f>
        <v>1.3202830559849814</v>
      </c>
      <c r="TR49" s="27">
        <f>PortfolioFrontier[[#This Row],[P134 Growth]]/PortfolioFrontier[[#This Row],[P134 HWM]]-1</f>
        <v>-4.0965033361070602E-2</v>
      </c>
      <c r="TS49" s="28">
        <f>SUMPRODUCT(INDEX(PortfolioRef[[SPY]:[PE]],MATCH(TS$1,PortfolioRef[Reference '#]),0),AssetMonthlyReturns[[#This Row],[SPY]:[PE]])</f>
        <v>-3.891482071181581E-2</v>
      </c>
      <c r="TT49" s="27">
        <f>IF(ISNUMBER(TT48),TT48*(1+PortfolioFrontier[[#This Row],[P135 Return]]),1+PortfolioFrontier[[#This Row],[P135 Return]])</f>
        <v>1.251487502178585</v>
      </c>
      <c r="TU49" s="27">
        <f>MAX(TU48,PortfolioFrontier[[#This Row],[P135 Growth]])</f>
        <v>1.3021608585260711</v>
      </c>
      <c r="TV49" s="27">
        <f>PortfolioFrontier[[#This Row],[P135 Growth]]/PortfolioFrontier[[#This Row],[P135 HWM]]-1</f>
        <v>-3.8914820711815734E-2</v>
      </c>
      <c r="TW49" s="28">
        <f>SUMPRODUCT(INDEX(PortfolioRef[[SPY]:[PE]],MATCH(TW$1,PortfolioRef[Reference '#]),0),AssetMonthlyReturns[[#This Row],[SPY]:[PE]])</f>
        <v>-4.621041237969286E-2</v>
      </c>
      <c r="TX49" s="27">
        <f>IF(ISNUMBER(TX48),TX48*(1+PortfolioFrontier[[#This Row],[P136 Return]]),1+PortfolioFrontier[[#This Row],[P136 Return]])</f>
        <v>1.282606240927467</v>
      </c>
      <c r="TY49" s="27">
        <f>MAX(TY48,PortfolioFrontier[[#This Row],[P136 Growth]])</f>
        <v>1.3447475812013772</v>
      </c>
      <c r="TZ49" s="27">
        <f>PortfolioFrontier[[#This Row],[P136 Growth]]/PortfolioFrontier[[#This Row],[P136 HWM]]-1</f>
        <v>-4.6210412379692922E-2</v>
      </c>
      <c r="UA49" s="28">
        <f>SUMPRODUCT(INDEX(PortfolioRef[[SPY]:[PE]],MATCH(UA$1,PortfolioRef[Reference '#]),0),AssetMonthlyReturns[[#This Row],[SPY]:[PE]])</f>
        <v>-4.4160199730438179E-2</v>
      </c>
      <c r="UB49" s="27">
        <f>IF(ISNUMBER(UB48),UB48*(1+PortfolioFrontier[[#This Row],[P137 Return]]),1+PortfolioFrontier[[#This Row],[P137 Return]])</f>
        <v>1.2680716436407444</v>
      </c>
      <c r="UC49" s="27">
        <f>MAX(UC48,PortfolioFrontier[[#This Row],[P137 Growth]])</f>
        <v>1.3266570855106978</v>
      </c>
      <c r="UD49" s="27">
        <f>PortfolioFrontier[[#This Row],[P137 Growth]]/PortfolioFrontier[[#This Row],[P137 HWM]]-1</f>
        <v>-4.4160199730438165E-2</v>
      </c>
      <c r="UE49" s="28">
        <f>SUMPRODUCT(INDEX(PortfolioRef[[SPY]:[PE]],MATCH(UE$1,PortfolioRef[Reference '#]),0),AssetMonthlyReturns[[#This Row],[SPY]:[PE]])</f>
        <v>-4.2109987081183513E-2</v>
      </c>
      <c r="UF49" s="27">
        <f>IF(ISNUMBER(UF48),UF48*(1+PortfolioFrontier[[#This Row],[P138 Return]]),1+PortfolioFrontier[[#This Row],[P138 Return]])</f>
        <v>1.2534837215417314</v>
      </c>
      <c r="UG49" s="27">
        <f>MAX(UG48,PortfolioFrontier[[#This Row],[P138 Growth]])</f>
        <v>1.3085883604968405</v>
      </c>
      <c r="UH49" s="27">
        <f>PortfolioFrontier[[#This Row],[P138 Growth]]/PortfolioFrontier[[#This Row],[P138 HWM]]-1</f>
        <v>-4.210998708118352E-2</v>
      </c>
      <c r="UI49" s="28">
        <f>SUMPRODUCT(INDEX(PortfolioRef[[SPY]:[PE]],MATCH(UI$1,PortfolioRef[Reference '#]),0),AssetMonthlyReturns[[#This Row],[SPY]:[PE]])</f>
        <v>-4.9405578749060555E-2</v>
      </c>
      <c r="UJ49" s="27">
        <f>IF(ISNUMBER(UJ48),UJ48*(1+PortfolioFrontier[[#This Row],[P139 Return]]),1+PortfolioFrontier[[#This Row],[P139 Return]])</f>
        <v>1.284042848501636</v>
      </c>
      <c r="UK49" s="27">
        <f>MAX(UK48,PortfolioFrontier[[#This Row],[P139 Growth]])</f>
        <v>1.3507788598337169</v>
      </c>
      <c r="UL49" s="27">
        <f>PortfolioFrontier[[#This Row],[P139 Growth]]/PortfolioFrontier[[#This Row],[P139 HWM]]-1</f>
        <v>-4.9405578749060597E-2</v>
      </c>
      <c r="UM49" s="28">
        <f>SUMPRODUCT(INDEX(PortfolioRef[[SPY]:[PE]],MATCH(UM$1,PortfolioRef[Reference '#]),0),AssetMonthlyReturns[[#This Row],[SPY]:[PE]])</f>
        <v>-4.7355366099805875E-2</v>
      </c>
      <c r="UN49" s="27">
        <f>IF(ISNUMBER(UN48),UN48*(1+PortfolioFrontier[[#This Row],[P140 Return]]),1+PortfolioFrontier[[#This Row],[P140 Return]])</f>
        <v>1.2696379135852065</v>
      </c>
      <c r="UO49" s="27">
        <f>MAX(UO48,PortfolioFrontier[[#This Row],[P140 Growth]])</f>
        <v>1.3327508164164212</v>
      </c>
      <c r="UP49" s="27">
        <f>PortfolioFrontier[[#This Row],[P140 Growth]]/PortfolioFrontier[[#This Row],[P140 HWM]]-1</f>
        <v>-4.735536609980584E-2</v>
      </c>
      <c r="UQ49" s="28">
        <f>SUMPRODUCT(INDEX(PortfolioRef[[SPY]:[PE]],MATCH(UQ$1,PortfolioRef[Reference '#]),0),AssetMonthlyReturns[[#This Row],[SPY]:[PE]])</f>
        <v>-4.5305153450551201E-2</v>
      </c>
      <c r="UR49" s="27">
        <f>IF(ISNUMBER(UR48),UR48*(1+PortfolioFrontier[[#This Row],[P141 Return]]),1+PortfolioFrontier[[#This Row],[P141 Return]])</f>
        <v>1.2551762623367868</v>
      </c>
      <c r="US49" s="27">
        <f>MAX(US48,PortfolioFrontier[[#This Row],[P141 Growth]])</f>
        <v>1.3147407958400186</v>
      </c>
      <c r="UT49" s="27">
        <f>PortfolioFrontier[[#This Row],[P141 Growth]]/PortfolioFrontier[[#This Row],[P141 HWM]]-1</f>
        <v>-4.5305153450551083E-2</v>
      </c>
    </row>
    <row r="50" spans="2:566" x14ac:dyDescent="0.2">
      <c r="B50" s="41">
        <f>AssetMonthlyReturns[[#This Row],[Date]]</f>
        <v>43891</v>
      </c>
      <c r="C50" s="28">
        <f>SUMPRODUCT(INDEX(PortfolioRef[[SPY]:[PE]],MATCH(C$1,PortfolioRef[Reference '#]),0),AssetMonthlyReturns[[#This Row],[SPY]:[PE]])</f>
        <v>-9.1264181296324867E-2</v>
      </c>
      <c r="D50" s="29">
        <f>IF(ISNUMBER(D49),D49*(1+PortfolioFrontier[[#This Row],[P1 Return]]),1+PortfolioFrontier[[#This Row],[P1 Return]])</f>
        <v>1.2421282221955041</v>
      </c>
      <c r="E50" s="29">
        <f>MAX(E49,PortfolioFrontier[[#This Row],[P1 Growth]])</f>
        <v>1.4419664495335482</v>
      </c>
      <c r="F50" s="29">
        <f>PortfolioFrontier[[#This Row],[P1 Growth]]/PortfolioFrontier[[#This Row],[P1 HWM]]-1</f>
        <v>-0.13858729334700426</v>
      </c>
      <c r="G50" s="28">
        <f>SUMPRODUCT(INDEX(PortfolioRef[[SPY]:[PE]],MATCH(G$1,PortfolioRef[Reference '#]),0),AssetMonthlyReturns[[#This Row],[SPY]:[PE]])</f>
        <v>-8.5025098566096927E-2</v>
      </c>
      <c r="H50" s="27">
        <f>IF(ISNUMBER(H49),H49*(1+PortfolioFrontier[[#This Row],[P2 Return]]),1+PortfolioFrontier[[#This Row],[P2 Return]])</f>
        <v>1.2331730919187138</v>
      </c>
      <c r="I50" s="27">
        <f>MAX(I49,PortfolioFrontier[[#This Row],[P2 Growth]])</f>
        <v>1.4148787504774187</v>
      </c>
      <c r="J50" s="27">
        <f>PortfolioFrontier[[#This Row],[P2 Growth]]/PortfolioFrontier[[#This Row],[P2 HWM]]-1</f>
        <v>-0.12842489753796393</v>
      </c>
      <c r="K50" s="28">
        <f>SUMPRODUCT(INDEX(PortfolioRef[[SPY]:[PE]],MATCH(K$1,PortfolioRef[Reference '#]),0),AssetMonthlyReturns[[#This Row],[SPY]:[PE]])</f>
        <v>-8.487601448560346E-2</v>
      </c>
      <c r="L50" s="27">
        <f>IF(ISNUMBER(L49),L49*(1+PortfolioFrontier[[#This Row],[P3 Return]]),1+PortfolioFrontier[[#This Row],[P3 Return]])</f>
        <v>1.2366902306152219</v>
      </c>
      <c r="M50" s="27">
        <f>MAX(M49,PortfolioFrontier[[#This Row],[P3 Growth]])</f>
        <v>1.4201780325328939</v>
      </c>
      <c r="N50" s="27">
        <f>PortfolioFrontier[[#This Row],[P3 Growth]]/PortfolioFrontier[[#This Row],[P3 HWM]]-1</f>
        <v>-0.12920056339022556</v>
      </c>
      <c r="O50" s="28">
        <f>SUMPRODUCT(INDEX(PortfolioRef[[SPY]:[PE]],MATCH(O$1,PortfolioRef[Reference '#]),0),AssetMonthlyReturns[[#This Row],[SPY]:[PE]])</f>
        <v>-9.4772831340084615E-2</v>
      </c>
      <c r="P50" s="27">
        <f>IF(ISNUMBER(P49),P49*(1+PortfolioFrontier[[#This Row],[P4 Return]]),1+PortfolioFrontier[[#This Row],[P4 Return]])</f>
        <v>1.2249088924948051</v>
      </c>
      <c r="Q50" s="27">
        <f>MAX(Q49,PortfolioFrontier[[#This Row],[P4 Growth]])</f>
        <v>1.4268185135775995</v>
      </c>
      <c r="R50" s="27">
        <f>PortfolioFrontier[[#This Row],[P4 Growth]]/PortfolioFrontier[[#This Row],[P4 HWM]]-1</f>
        <v>-0.14151037371706576</v>
      </c>
      <c r="S50" s="28">
        <f>SUMPRODUCT(INDEX(PortfolioRef[[SPY]:[PE]],MATCH(S$1,PortfolioRef[Reference '#]),0),AssetMonthlyReturns[[#This Row],[SPY]:[PE]])</f>
        <v>-8.4140728965979864E-2</v>
      </c>
      <c r="T50" s="27">
        <f>IF(ISNUMBER(T49),T49*(1+PortfolioFrontier[[#This Row],[P5 Return]]),1+PortfolioFrontier[[#This Row],[P5 Return]])</f>
        <v>1.224942112762083</v>
      </c>
      <c r="U50" s="27">
        <f>MAX(U49,PortfolioFrontier[[#This Row],[P5 Growth]])</f>
        <v>1.4072507563287657</v>
      </c>
      <c r="V50" s="27">
        <f>PortfolioFrontier[[#This Row],[P5 Growth]]/PortfolioFrontier[[#This Row],[P5 HWM]]-1</f>
        <v>-0.12954950832095435</v>
      </c>
      <c r="W50" s="28">
        <f>SUMPRODUCT(INDEX(PortfolioRef[[SPY]:[PE]],MATCH(W$1,PortfolioRef[Reference '#]),0),AssetMonthlyReturns[[#This Row],[SPY]:[PE]])</f>
        <v>-7.8786015835869E-2</v>
      </c>
      <c r="X50" s="27">
        <f>IF(ISNUMBER(X49),X49*(1+PortfolioFrontier[[#This Row],[P6 Return]]),1+PortfolioFrontier[[#This Row],[P6 Return]])</f>
        <v>1.2240071487403807</v>
      </c>
      <c r="Y50" s="27">
        <f>MAX(Y49,PortfolioFrontier[[#This Row],[P6 Growth]])</f>
        <v>1.3880851512677401</v>
      </c>
      <c r="Z50" s="27">
        <f>PortfolioFrontier[[#This Row],[P6 Growth]]/PortfolioFrontier[[#This Row],[P6 HWM]]-1</f>
        <v>-0.11820456574836691</v>
      </c>
      <c r="AA50" s="28">
        <f>SUMPRODUCT(INDEX(PortfolioRef[[SPY]:[PE]],MATCH(AA$1,PortfolioRef[Reference '#]),0),AssetMonthlyReturns[[#This Row],[SPY]:[PE]])</f>
        <v>-7.8636931755375533E-2</v>
      </c>
      <c r="AB50" s="27">
        <f>IF(ISNUMBER(AB49),AB49*(1+PortfolioFrontier[[#This Row],[P7 Return]]),1+PortfolioFrontier[[#This Row],[P7 Return]])</f>
        <v>1.2274807104594705</v>
      </c>
      <c r="AC50" s="27">
        <f>MAX(AC49,PortfolioFrontier[[#This Row],[P7 Growth]])</f>
        <v>1.3932587065587478</v>
      </c>
      <c r="AD50" s="27">
        <f>PortfolioFrontier[[#This Row],[P7 Growth]]/PortfolioFrontier[[#This Row],[P7 HWM]]-1</f>
        <v>-0.11898579590343095</v>
      </c>
      <c r="AE50" s="28">
        <f>SUMPRODUCT(INDEX(PortfolioRef[[SPY]:[PE]],MATCH(AE$1,PortfolioRef[Reference '#]),0),AssetMonthlyReturns[[#This Row],[SPY]:[PE]])</f>
        <v>-8.8533748609856688E-2</v>
      </c>
      <c r="AF50" s="27">
        <f>IF(ISNUMBER(AF49),AF49*(1+PortfolioFrontier[[#This Row],[P8 Return]]),1+PortfolioFrontier[[#This Row],[P8 Return]])</f>
        <v>1.2160131387682414</v>
      </c>
      <c r="AG50" s="27">
        <f>MAX(AG49,PortfolioFrontier[[#This Row],[P8 Growth]])</f>
        <v>1.3999070125181117</v>
      </c>
      <c r="AH50" s="27">
        <f>PortfolioFrontier[[#This Row],[P8 Growth]]/PortfolioFrontier[[#This Row],[P8 HWM]]-1</f>
        <v>-0.13136149194587388</v>
      </c>
      <c r="AI50" s="28">
        <f>SUMPRODUCT(INDEX(PortfolioRef[[SPY]:[PE]],MATCH(AI$1,PortfolioRef[Reference '#]),0),AssetMonthlyReturns[[#This Row],[SPY]:[PE]])</f>
        <v>-7.7901646235751937E-2</v>
      </c>
      <c r="AJ50" s="27">
        <f>IF(ISNUMBER(AJ49),AJ49*(1+PortfolioFrontier[[#This Row],[P9 Return]]),1+PortfolioFrontier[[#This Row],[P9 Return]])</f>
        <v>1.2158748982719554</v>
      </c>
      <c r="AK50" s="27">
        <f>MAX(AK49,PortfolioFrontier[[#This Row],[P9 Growth]])</f>
        <v>1.3806381423140945</v>
      </c>
      <c r="AL50" s="27">
        <f>PortfolioFrontier[[#This Row],[P9 Growth]]/PortfolioFrontier[[#This Row],[P9 HWM]]-1</f>
        <v>-0.11933847037282241</v>
      </c>
      <c r="AM50" s="28">
        <f>SUMPRODUCT(INDEX(PortfolioRef[[SPY]:[PE]],MATCH(AM$1,PortfolioRef[Reference '#]),0),AssetMonthlyReturns[[#This Row],[SPY]:[PE]])</f>
        <v>-7.8487847674882066E-2</v>
      </c>
      <c r="AN50" s="27">
        <f>IF(ISNUMBER(AN49),AN49*(1+PortfolioFrontier[[#This Row],[P10 Return]]),1+PortfolioFrontier[[#This Row],[P10 Return]])</f>
        <v>1.2308426689441565</v>
      </c>
      <c r="AO50" s="27">
        <f>MAX(AO49,PortfolioFrontier[[#This Row],[P10 Growth]])</f>
        <v>1.3983151318787432</v>
      </c>
      <c r="AP50" s="27">
        <f>PortfolioFrontier[[#This Row],[P10 Growth]]/PortfolioFrontier[[#This Row],[P10 HWM]]-1</f>
        <v>-0.11976732505896193</v>
      </c>
      <c r="AQ50" s="28">
        <f>SUMPRODUCT(INDEX(PortfolioRef[[SPY]:[PE]],MATCH(AQ$1,PortfolioRef[Reference '#]),0),AssetMonthlyReturns[[#This Row],[SPY]:[PE]])</f>
        <v>-8.8384664529363222E-2</v>
      </c>
      <c r="AR50" s="27">
        <f>IF(ISNUMBER(AR49),AR49*(1+PortfolioFrontier[[#This Row],[P11 Return]]),1+PortfolioFrontier[[#This Row],[P11 Return]])</f>
        <v>1.2194636127287894</v>
      </c>
      <c r="AS50" s="27">
        <f>MAX(AS49,PortfolioFrontier[[#This Row],[P11 Growth]])</f>
        <v>1.4051282257271507</v>
      </c>
      <c r="AT50" s="27">
        <f>PortfolioFrontier[[#This Row],[P11 Growth]]/PortfolioFrontier[[#This Row],[P11 HWM]]-1</f>
        <v>-0.13213357300703299</v>
      </c>
      <c r="AU50" s="28">
        <f>SUMPRODUCT(INDEX(PortfolioRef[[SPY]:[PE]],MATCH(AU$1,PortfolioRef[Reference '#]),0),AssetMonthlyReturns[[#This Row],[SPY]:[PE]])</f>
        <v>-7.775256215525847E-2</v>
      </c>
      <c r="AV50" s="27">
        <f>IF(ISNUMBER(AV49),AV49*(1+PortfolioFrontier[[#This Row],[P12 Return]]),1+PortfolioFrontier[[#This Row],[P12 Return]])</f>
        <v>1.2193467867470122</v>
      </c>
      <c r="AW50" s="27">
        <f>MAX(AW49,PortfolioFrontier[[#This Row],[P12 Growth]])</f>
        <v>1.3858117521199762</v>
      </c>
      <c r="AX50" s="27">
        <f>PortfolioFrontier[[#This Row],[P12 Growth]]/PortfolioFrontier[[#This Row],[P12 HWM]]-1</f>
        <v>-0.12012090756072058</v>
      </c>
      <c r="AY50" s="28">
        <f>SUMPRODUCT(INDEX(PortfolioRef[[SPY]:[PE]],MATCH(AY$1,PortfolioRef[Reference '#]),0),AssetMonthlyReturns[[#This Row],[SPY]:[PE]])</f>
        <v>-9.8281481383844391E-2</v>
      </c>
      <c r="AZ50" s="27">
        <f>IF(ISNUMBER(AZ49),AZ49*(1+PortfolioFrontier[[#This Row],[P13 Return]]),1+PortfolioFrontier[[#This Row],[P13 Return]])</f>
        <v>1.2077519896816533</v>
      </c>
      <c r="BA50" s="27">
        <f>MAX(BA49,PortfolioFrontier[[#This Row],[P13 Growth]])</f>
        <v>1.4116451886758252</v>
      </c>
      <c r="BB50" s="27">
        <f>PortfolioFrontier[[#This Row],[P13 Growth]]/PortfolioFrontier[[#This Row],[P13 HWM]]-1</f>
        <v>-0.14443657700234946</v>
      </c>
      <c r="BC50" s="28">
        <f>SUMPRODUCT(INDEX(PortfolioRef[[SPY]:[PE]],MATCH(BC$1,PortfolioRef[Reference '#]),0),AssetMonthlyReturns[[#This Row],[SPY]:[PE]])</f>
        <v>-8.7649379009739625E-2</v>
      </c>
      <c r="BD50" s="27">
        <f>IF(ISNUMBER(BD49),BD49*(1+PortfolioFrontier[[#This Row],[P14 Return]]),1+PortfolioFrontier[[#This Row],[P14 Return]])</f>
        <v>1.2079281544466942</v>
      </c>
      <c r="BE50" s="27">
        <f>MAX(BE49,PortfolioFrontier[[#This Row],[P14 Growth]])</f>
        <v>1.3923893526457891</v>
      </c>
      <c r="BF50" s="27">
        <f>PortfolioFrontier[[#This Row],[P14 Growth]]/PortfolioFrontier[[#This Row],[P14 HWM]]-1</f>
        <v>-0.13247817347108093</v>
      </c>
      <c r="BG50" s="28">
        <f>SUMPRODUCT(INDEX(PortfolioRef[[SPY]:[PE]],MATCH(BG$1,PortfolioRef[Reference '#]),0),AssetMonthlyReturns[[#This Row],[SPY]:[PE]])</f>
        <v>-7.7017276635634874E-2</v>
      </c>
      <c r="BH50" s="27">
        <f>IF(ISNUMBER(BH49),BH49*(1+PortfolioFrontier[[#This Row],[P15 Return]]),1+PortfolioFrontier[[#This Row],[P15 Return]])</f>
        <v>1.2077300001812596</v>
      </c>
      <c r="BI50" s="27">
        <f>MAX(BI49,PortfolioFrontier[[#This Row],[P15 Growth]])</f>
        <v>1.3731634825595267</v>
      </c>
      <c r="BJ50" s="27">
        <f>PortfolioFrontier[[#This Row],[P15 Growth]]/PortfolioFrontier[[#This Row],[P15 HWM]]-1</f>
        <v>-0.12047617379826114</v>
      </c>
      <c r="BK50" s="28">
        <f>SUMPRODUCT(INDEX(PortfolioRef[[SPY]:[PE]],MATCH(BK$1,PortfolioRef[Reference '#]),0),AssetMonthlyReturns[[#This Row],[SPY]:[PE]])</f>
        <v>-7.2546933105641073E-2</v>
      </c>
      <c r="BL50" s="27">
        <f>IF(ISNUMBER(BL49),BL49*(1+PortfolioFrontier[[#This Row],[P16 Return]]),1+PortfolioFrontier[[#This Row],[P16 Return]])</f>
        <v>1.2146374622647473</v>
      </c>
      <c r="BM50" s="27">
        <f>MAX(BM49,PortfolioFrontier[[#This Row],[P16 Growth]])</f>
        <v>1.3615886888178703</v>
      </c>
      <c r="BN50" s="27">
        <f>PortfolioFrontier[[#This Row],[P16 Growth]]/PortfolioFrontier[[#This Row],[P16 HWM]]-1</f>
        <v>-0.10792629797821385</v>
      </c>
      <c r="BO50" s="28">
        <f>SUMPRODUCT(INDEX(PortfolioRef[[SPY]:[PE]],MATCH(BO$1,PortfolioRef[Reference '#]),0),AssetMonthlyReturns[[#This Row],[SPY]:[PE]])</f>
        <v>-7.2397849025147606E-2</v>
      </c>
      <c r="BP50" s="27">
        <f>IF(ISNUMBER(BP49),BP49*(1+PortfolioFrontier[[#This Row],[P17 Return]]),1+PortfolioFrontier[[#This Row],[P17 Return]])</f>
        <v>1.2180673345252802</v>
      </c>
      <c r="BQ50" s="27">
        <f>MAX(BQ49,PortfolioFrontier[[#This Row],[P17 Growth]])</f>
        <v>1.36663887261008</v>
      </c>
      <c r="BR50" s="27">
        <f>PortfolioFrontier[[#This Row],[P17 Growth]]/PortfolioFrontier[[#This Row],[P17 HWM]]-1</f>
        <v>-0.10871309243608007</v>
      </c>
      <c r="BS50" s="28">
        <f>SUMPRODUCT(INDEX(PortfolioRef[[SPY]:[PE]],MATCH(BS$1,PortfolioRef[Reference '#]),0),AssetMonthlyReturns[[#This Row],[SPY]:[PE]])</f>
        <v>-8.2294665879628762E-2</v>
      </c>
      <c r="BT50" s="27">
        <f>IF(ISNUMBER(BT49),BT49*(1+PortfolioFrontier[[#This Row],[P18 Return]]),1+PortfolioFrontier[[#This Row],[P18 Return]])</f>
        <v>1.2069100766651497</v>
      </c>
      <c r="BU50" s="27">
        <f>MAX(BU49,PortfolioFrontier[[#This Row],[P18 Growth]])</f>
        <v>1.3732906590342844</v>
      </c>
      <c r="BV50" s="27">
        <f>PortfolioFrontier[[#This Row],[P18 Growth]]/PortfolioFrontier[[#This Row],[P18 HWM]]-1</f>
        <v>-0.12115467419412551</v>
      </c>
      <c r="BW50" s="28">
        <f>SUMPRODUCT(INDEX(PortfolioRef[[SPY]:[PE]],MATCH(BW$1,PortfolioRef[Reference '#]),0),AssetMonthlyReturns[[#This Row],[SPY]:[PE]])</f>
        <v>-7.166256350552401E-2</v>
      </c>
      <c r="BX50" s="27">
        <f>IF(ISNUMBER(BX49),BX49*(1+PortfolioFrontier[[#This Row],[P19 Return]]),1+PortfolioFrontier[[#This Row],[P19 Return]])</f>
        <v>1.2066045331207023</v>
      </c>
      <c r="BY50" s="27">
        <f>MAX(BY49,PortfolioFrontier[[#This Row],[P19 Growth]])</f>
        <v>1.3543194764405577</v>
      </c>
      <c r="BZ50" s="27">
        <f>PortfolioFrontier[[#This Row],[P19 Growth]]/PortfolioFrontier[[#This Row],[P19 HWM]]-1</f>
        <v>-0.10906949644413444</v>
      </c>
      <c r="CA50" s="28">
        <f>SUMPRODUCT(INDEX(PortfolioRef[[SPY]:[PE]],MATCH(CA$1,PortfolioRef[Reference '#]),0),AssetMonthlyReturns[[#This Row],[SPY]:[PE]])</f>
        <v>-7.224876494465414E-2</v>
      </c>
      <c r="CB50" s="27">
        <f>IF(ISNUMBER(CB49),CB49*(1+PortfolioFrontier[[#This Row],[P20 Return]]),1+PortfolioFrontier[[#This Row],[P20 Return]])</f>
        <v>1.2213862303779108</v>
      </c>
      <c r="CC50" s="27">
        <f>MAX(CC49,PortfolioFrontier[[#This Row],[P20 Growth]])</f>
        <v>1.3715738184680752</v>
      </c>
      <c r="CD50" s="27">
        <f>PortfolioFrontier[[#This Row],[P20 Growth]]/PortfolioFrontier[[#This Row],[P20 HWM]]-1</f>
        <v>-0.10950018589441324</v>
      </c>
      <c r="CE50" s="28">
        <f>SUMPRODUCT(INDEX(PortfolioRef[[SPY]:[PE]],MATCH(CE$1,PortfolioRef[Reference '#]),0),AssetMonthlyReturns[[#This Row],[SPY]:[PE]])</f>
        <v>-8.2145581799135295E-2</v>
      </c>
      <c r="CF50" s="27">
        <f>IF(ISNUMBER(CF49),CF49*(1+PortfolioFrontier[[#This Row],[P21 Return]]),1+PortfolioFrontier[[#This Row],[P21 Return]])</f>
        <v>1.2103176428148916</v>
      </c>
      <c r="CG50" s="27">
        <f>MAX(CG49,PortfolioFrontier[[#This Row],[P21 Growth]])</f>
        <v>1.3783876457060396</v>
      </c>
      <c r="CH50" s="27">
        <f>PortfolioFrontier[[#This Row],[P21 Growth]]/PortfolioFrontier[[#This Row],[P21 HWM]]-1</f>
        <v>-0.12193231955808692</v>
      </c>
      <c r="CI50" s="28">
        <f>SUMPRODUCT(INDEX(PortfolioRef[[SPY]:[PE]],MATCH(CI$1,PortfolioRef[Reference '#]),0),AssetMonthlyReturns[[#This Row],[SPY]:[PE]])</f>
        <v>-7.1513479425030543E-2</v>
      </c>
      <c r="CJ50" s="27">
        <f>IF(ISNUMBER(CJ49),CJ49*(1+PortfolioFrontier[[#This Row],[P22 Return]]),1+PortfolioFrontier[[#This Row],[P22 Return]])</f>
        <v>1.2100329496717537</v>
      </c>
      <c r="CK50" s="27">
        <f>MAX(CK49,PortfolioFrontier[[#This Row],[P22 Growth]])</f>
        <v>1.3593699288197449</v>
      </c>
      <c r="CL50" s="27">
        <f>PortfolioFrontier[[#This Row],[P22 Growth]]/PortfolioFrontier[[#This Row],[P22 HWM]]-1</f>
        <v>-0.10985749793483446</v>
      </c>
      <c r="CM50" s="28">
        <f>SUMPRODUCT(INDEX(PortfolioRef[[SPY]:[PE]],MATCH(CM$1,PortfolioRef[Reference '#]),0),AssetMonthlyReturns[[#This Row],[SPY]:[PE]])</f>
        <v>-9.2042398653616464E-2</v>
      </c>
      <c r="CN50" s="27">
        <f>IF(ISNUMBER(CN49),CN49*(1+PortfolioFrontier[[#This Row],[P23 Return]]),1+PortfolioFrontier[[#This Row],[P23 Return]])</f>
        <v>1.1989171223511068</v>
      </c>
      <c r="CO50" s="27">
        <f>MAX(CO49,PortfolioFrontier[[#This Row],[P23 Growth]])</f>
        <v>1.3849125529432054</v>
      </c>
      <c r="CP50" s="27">
        <f>PortfolioFrontier[[#This Row],[P23 Growth]]/PortfolioFrontier[[#This Row],[P23 HWM]]-1</f>
        <v>-0.13430120926900579</v>
      </c>
      <c r="CQ50" s="28">
        <f>SUMPRODUCT(INDEX(PortfolioRef[[SPY]:[PE]],MATCH(CQ$1,PortfolioRef[Reference '#]),0),AssetMonthlyReturns[[#This Row],[SPY]:[PE]])</f>
        <v>-8.1410296279511699E-2</v>
      </c>
      <c r="CR50" s="27">
        <f>IF(ISNUMBER(CR49),CR49*(1+PortfolioFrontier[[#This Row],[P24 Return]]),1+PortfolioFrontier[[#This Row],[P24 Return]])</f>
        <v>1.1989225404116586</v>
      </c>
      <c r="CS50" s="27">
        <f>MAX(CS49,PortfolioFrontier[[#This Row],[P24 Growth]])</f>
        <v>1.3659520435680597</v>
      </c>
      <c r="CT50" s="27">
        <f>PortfolioFrontier[[#This Row],[P24 Growth]]/PortfolioFrontier[[#This Row],[P24 HWM]]-1</f>
        <v>-0.12228064956079754</v>
      </c>
      <c r="CU50" s="28">
        <f>SUMPRODUCT(INDEX(PortfolioRef[[SPY]:[PE]],MATCH(CU$1,PortfolioRef[Reference '#]),0),AssetMonthlyReturns[[#This Row],[SPY]:[PE]])</f>
        <v>-7.0778193905406947E-2</v>
      </c>
      <c r="CV50" s="27">
        <f>IF(ISNUMBER(CV49),CV49*(1+PortfolioFrontier[[#This Row],[P25 Return]]),1+PortfolioFrontier[[#This Row],[P25 Return]])</f>
        <v>1.1985586353813074</v>
      </c>
      <c r="CW50" s="27">
        <f>MAX(CW49,PortfolioFrontier[[#This Row],[P25 Growth]])</f>
        <v>1.3470227610535963</v>
      </c>
      <c r="CX50" s="27">
        <f>PortfolioFrontier[[#This Row],[P25 Growth]]/PortfolioFrontier[[#This Row],[P25 HWM]]-1</f>
        <v>-0.11021649371103814</v>
      </c>
      <c r="CY50" s="28">
        <f>SUMPRODUCT(INDEX(PortfolioRef[[SPY]:[PE]],MATCH(CY$1,PortfolioRef[Reference '#]),0),AssetMonthlyReturns[[#This Row],[SPY]:[PE]])</f>
        <v>-8.1996497718641828E-2</v>
      </c>
      <c r="CZ50" s="27">
        <f>IF(ISNUMBER(CZ49),CZ49*(1+PortfolioFrontier[[#This Row],[P26 Return]]),1+PortfolioFrontier[[#This Row],[P26 Return]])</f>
        <v>1.2136150095209826</v>
      </c>
      <c r="DA50" s="27">
        <f>MAX(DA49,PortfolioFrontier[[#This Row],[P26 Growth]])</f>
        <v>1.3833685265112829</v>
      </c>
      <c r="DB50" s="27">
        <f>PortfolioFrontier[[#This Row],[P26 Growth]]/PortfolioFrontier[[#This Row],[P26 HWM]]-1</f>
        <v>-0.12271026392251516</v>
      </c>
      <c r="DC50" s="28">
        <f>SUMPRODUCT(INDEX(PortfolioRef[[SPY]:[PE]],MATCH(DC$1,PortfolioRef[Reference '#]),0),AssetMonthlyReturns[[#This Row],[SPY]:[PE]])</f>
        <v>-7.1364395344537077E-2</v>
      </c>
      <c r="DD50" s="27">
        <f>IF(ISNUMBER(DD49),DD49*(1+PortfolioFrontier[[#This Row],[P27 Return]]),1+PortfolioFrontier[[#This Row],[P27 Return]])</f>
        <v>1.2133511948682425</v>
      </c>
      <c r="DE50" s="27">
        <f>MAX(DE49,PortfolioFrontier[[#This Row],[P27 Growth]])</f>
        <v>1.3643059117737653</v>
      </c>
      <c r="DF50" s="27">
        <f>PortfolioFrontier[[#This Row],[P27 Growth]]/PortfolioFrontier[[#This Row],[P27 HWM]]-1</f>
        <v>-0.11064579842600186</v>
      </c>
      <c r="DG50" s="28">
        <f>SUMPRODUCT(INDEX(PortfolioRef[[SPY]:[PE]],MATCH(DG$1,PortfolioRef[Reference '#]),0),AssetMonthlyReturns[[#This Row],[SPY]:[PE]])</f>
        <v>-9.1893314573122997E-2</v>
      </c>
      <c r="DH50" s="27">
        <f>IF(ISNUMBER(DH49),DH49*(1+PortfolioFrontier[[#This Row],[P28 Return]]),1+PortfolioFrontier[[#This Row],[P28 Return]])</f>
        <v>1.2023017958639579</v>
      </c>
      <c r="DI50" s="27">
        <f>MAX(DI49,PortfolioFrontier[[#This Row],[P28 Growth]])</f>
        <v>1.3900562895802888</v>
      </c>
      <c r="DJ50" s="27">
        <f>PortfolioFrontier[[#This Row],[P28 Growth]]/PortfolioFrontier[[#This Row],[P28 HWM]]-1</f>
        <v>-0.13506970553906217</v>
      </c>
      <c r="DK50" s="28">
        <f>SUMPRODUCT(INDEX(PortfolioRef[[SPY]:[PE]],MATCH(DK$1,PortfolioRef[Reference '#]),0),AssetMonthlyReturns[[#This Row],[SPY]:[PE]])</f>
        <v>-8.1261212199018232E-2</v>
      </c>
      <c r="DL50" s="27">
        <f>IF(ISNUMBER(DL49),DL49*(1+PortfolioFrontier[[#This Row],[P29 Return]]),1+PortfolioFrontier[[#This Row],[P29 Return]])</f>
        <v>1.2023286624567229</v>
      </c>
      <c r="DM50" s="27">
        <f>MAX(DM49,PortfolioFrontier[[#This Row],[P29 Growth]])</f>
        <v>1.3710493073825181</v>
      </c>
      <c r="DN50" s="27">
        <f>PortfolioFrontier[[#This Row],[P29 Growth]]/PortfolioFrontier[[#This Row],[P29 HWM]]-1</f>
        <v>-0.12305950195759274</v>
      </c>
      <c r="DO50" s="28">
        <f>SUMPRODUCT(INDEX(PortfolioRef[[SPY]:[PE]],MATCH(DO$1,PortfolioRef[Reference '#]),0),AssetMonthlyReturns[[#This Row],[SPY]:[PE]])</f>
        <v>-7.062910982491348E-2</v>
      </c>
      <c r="DP50" s="27">
        <f>IF(ISNUMBER(DP49),DP49*(1+PortfolioFrontier[[#This Row],[P30 Return]]),1+PortfolioFrontier[[#This Row],[P30 Return]])</f>
        <v>1.2019852683272452</v>
      </c>
      <c r="DQ50" s="27">
        <f>MAX(DQ49,PortfolioFrontier[[#This Row],[P30 Growth]])</f>
        <v>1.3520730912994043</v>
      </c>
      <c r="DR50" s="27">
        <f>PortfolioFrontier[[#This Row],[P30 Growth]]/PortfolioFrontier[[#This Row],[P30 HWM]]-1</f>
        <v>-0.11100570223457218</v>
      </c>
      <c r="DS50" s="28">
        <f>SUMPRODUCT(INDEX(PortfolioRef[[SPY]:[PE]],MATCH(DS$1,PortfolioRef[Reference '#]),0),AssetMonthlyReturns[[#This Row],[SPY]:[PE]])</f>
        <v>-0.10179013142760415</v>
      </c>
      <c r="DT50" s="27">
        <f>IF(ISNUMBER(DT49),DT49*(1+PortfolioFrontier[[#This Row],[P31 Return]]),1+PortfolioFrontier[[#This Row],[P31 Return]])</f>
        <v>1.1906613514188242</v>
      </c>
      <c r="DU50" s="27">
        <f>MAX(DU49,PortfolioFrontier[[#This Row],[P31 Growth]])</f>
        <v>1.3964505476516273</v>
      </c>
      <c r="DV50" s="27">
        <f>PortfolioFrontier[[#This Row],[P31 Growth]]/PortfolioFrontier[[#This Row],[P31 HWM]]-1</f>
        <v>-0.1473659032028547</v>
      </c>
      <c r="DW50" s="28">
        <f>SUMPRODUCT(INDEX(PortfolioRef[[SPY]:[PE]],MATCH(DW$1,PortfolioRef[Reference '#]),0),AssetMonthlyReturns[[#This Row],[SPY]:[PE]])</f>
        <v>-9.1158029053499401E-2</v>
      </c>
      <c r="DX50" s="27">
        <f>IF(ISNUMBER(DX49),DX49*(1+PortfolioFrontier[[#This Row],[P32 Return]]),1+PortfolioFrontier[[#This Row],[P32 Return]])</f>
        <v>1.1909768403706815</v>
      </c>
      <c r="DY50" s="27">
        <f>MAX(DY49,PortfolioFrontier[[#This Row],[P32 Growth]])</f>
        <v>1.3775046986281727</v>
      </c>
      <c r="DZ50" s="27">
        <f>PortfolioFrontier[[#This Row],[P32 Growth]]/PortfolioFrontier[[#This Row],[P32 HWM]]-1</f>
        <v>-0.13540996153642904</v>
      </c>
      <c r="EA50" s="28">
        <f>SUMPRODUCT(INDEX(PortfolioRef[[SPY]:[PE]],MATCH(EA$1,PortfolioRef[Reference '#]),0),AssetMonthlyReturns[[#This Row],[SPY]:[PE]])</f>
        <v>-8.0525926679394635E-2</v>
      </c>
      <c r="EB50" s="27">
        <f>IF(ISNUMBER(EB49),EB49*(1+PortfolioFrontier[[#This Row],[P33 Return]]),1+PortfolioFrontier[[#This Row],[P33 Return]])</f>
        <v>1.1909220850386346</v>
      </c>
      <c r="EC50" s="27">
        <f>MAX(EC49,PortfolioFrontier[[#This Row],[P33 Growth]])</f>
        <v>1.3585857250368603</v>
      </c>
      <c r="ED50" s="27">
        <f>PortfolioFrontier[[#This Row],[P33 Growth]]/PortfolioFrontier[[#This Row],[P33 HWM]]-1</f>
        <v>-0.12341042372845235</v>
      </c>
      <c r="EE50" s="28">
        <f>SUMPRODUCT(INDEX(PortfolioRef[[SPY]:[PE]],MATCH(EE$1,PortfolioRef[Reference '#]),0),AssetMonthlyReturns[[#This Row],[SPY]:[PE]])</f>
        <v>-6.6307850375413133E-2</v>
      </c>
      <c r="EF50" s="27">
        <f>IF(ISNUMBER(EF49),EF49*(1+PortfolioFrontier[[#This Row],[P34 Return]]),1+PortfolioFrontier[[#This Row],[P34 Return]])</f>
        <v>1.2050711179906244</v>
      </c>
      <c r="EG50" s="27">
        <f>MAX(EG49,PortfolioFrontier[[#This Row],[P34 Growth]])</f>
        <v>1.3353921652256686</v>
      </c>
      <c r="EH50" s="27">
        <f>PortfolioFrontier[[#This Row],[P34 Growth]]/PortfolioFrontier[[#This Row],[P34 HWM]]-1</f>
        <v>-9.7590094227504531E-2</v>
      </c>
      <c r="EI50" s="28">
        <f>SUMPRODUCT(INDEX(PortfolioRef[[SPY]:[PE]],MATCH(EI$1,PortfolioRef[Reference '#]),0),AssetMonthlyReturns[[#This Row],[SPY]:[PE]])</f>
        <v>-6.6158766294919666E-2</v>
      </c>
      <c r="EJ50" s="27">
        <f>IF(ISNUMBER(EJ49),EJ49*(1+PortfolioFrontier[[#This Row],[P35 Return]]),1+PortfolioFrontier[[#This Row],[P35 Return]])</f>
        <v>1.2084572103941507</v>
      </c>
      <c r="EK50" s="27">
        <f>MAX(EK49,PortfolioFrontier[[#This Row],[P35 Growth]])</f>
        <v>1.3403213085185204</v>
      </c>
      <c r="EL50" s="27">
        <f>PortfolioFrontier[[#This Row],[P35 Growth]]/PortfolioFrontier[[#This Row],[P35 HWM]]-1</f>
        <v>-9.8382452988172941E-2</v>
      </c>
      <c r="EM50" s="28">
        <f>SUMPRODUCT(INDEX(PortfolioRef[[SPY]:[PE]],MATCH(EM$1,PortfolioRef[Reference '#]),0),AssetMonthlyReturns[[#This Row],[SPY]:[PE]])</f>
        <v>-7.6055583149400821E-2</v>
      </c>
      <c r="EN50" s="27">
        <f>IF(ISNUMBER(EN49),EN49*(1+PortfolioFrontier[[#This Row],[P36 Return]]),1+PortfolioFrontier[[#This Row],[P36 Return]])</f>
        <v>1.1976067220375664</v>
      </c>
      <c r="EO50" s="27">
        <f>MAX(EO49,PortfolioFrontier[[#This Row],[P36 Growth]])</f>
        <v>1.3469723823844473</v>
      </c>
      <c r="EP50" s="27">
        <f>PortfolioFrontier[[#This Row],[P36 Growth]]/PortfolioFrontier[[#This Row],[P36 HWM]]-1</f>
        <v>-0.110889920461821</v>
      </c>
      <c r="EQ50" s="28">
        <f>SUMPRODUCT(INDEX(PortfolioRef[[SPY]:[PE]],MATCH(EQ$1,PortfolioRef[Reference '#]),0),AssetMonthlyReturns[[#This Row],[SPY]:[PE]])</f>
        <v>-6.542348077529607E-2</v>
      </c>
      <c r="ER50" s="27">
        <f>IF(ISNUMBER(ER49),ER49*(1+PortfolioFrontier[[#This Row],[P37 Return]]),1+PortfolioFrontier[[#This Row],[P37 Return]])</f>
        <v>1.1971380451703864</v>
      </c>
      <c r="ES50" s="27">
        <f>MAX(ES49,PortfolioFrontier[[#This Row],[P37 Growth]])</f>
        <v>1.3282975843357441</v>
      </c>
      <c r="ET50" s="27">
        <f>PortfolioFrontier[[#This Row],[P37 Growth]]/PortfolioFrontier[[#This Row],[P37 HWM]]-1</f>
        <v>-9.8742586534890098E-2</v>
      </c>
      <c r="EU50" s="28">
        <f>SUMPRODUCT(INDEX(PortfolioRef[[SPY]:[PE]],MATCH(EU$1,PortfolioRef[Reference '#]),0),AssetMonthlyReturns[[#This Row],[SPY]:[PE]])</f>
        <v>-6.6009682214426199E-2</v>
      </c>
      <c r="EV50" s="27">
        <f>IF(ISNUMBER(EV49),EV49*(1+PortfolioFrontier[[#This Row],[P38 Return]]),1+PortfolioFrontier[[#This Row],[P38 Return]])</f>
        <v>1.2117329731777433</v>
      </c>
      <c r="EW50" s="27">
        <f>MAX(EW49,PortfolioFrontier[[#This Row],[P38 Growth]])</f>
        <v>1.3451370933874456</v>
      </c>
      <c r="EX50" s="27">
        <f>PortfolioFrontier[[#This Row],[P38 Growth]]/PortfolioFrontier[[#This Row],[P38 HWM]]-1</f>
        <v>-9.9175110749308071E-2</v>
      </c>
      <c r="EY50" s="28">
        <f>SUMPRODUCT(INDEX(PortfolioRef[[SPY]:[PE]],MATCH(EY$1,PortfolioRef[Reference '#]),0),AssetMonthlyReturns[[#This Row],[SPY]:[PE]])</f>
        <v>-7.5906499068907354E-2</v>
      </c>
      <c r="EZ50" s="27">
        <f>IF(ISNUMBER(EZ49),EZ49*(1+PortfolioFrontier[[#This Row],[P39 Return]]),1+PortfolioFrontier[[#This Row],[P39 Return]])</f>
        <v>1.2009712742501633</v>
      </c>
      <c r="FA50" s="27">
        <f>MAX(FA49,PortfolioFrontier[[#This Row],[P39 Growth]])</f>
        <v>1.3519474812509076</v>
      </c>
      <c r="FB50" s="27">
        <f>PortfolioFrontier[[#This Row],[P39 Growth]]/PortfolioFrontier[[#This Row],[P39 HWM]]-1</f>
        <v>-0.11167313012858426</v>
      </c>
      <c r="FC50" s="28">
        <f>SUMPRODUCT(INDEX(PortfolioRef[[SPY]:[PE]],MATCH(FC$1,PortfolioRef[Reference '#]),0),AssetMonthlyReturns[[#This Row],[SPY]:[PE]])</f>
        <v>-6.5274396694802603E-2</v>
      </c>
      <c r="FD50" s="27">
        <f>IF(ISNUMBER(FD49),FD49*(1+PortfolioFrontier[[#This Row],[P40 Return]]),1+PortfolioFrontier[[#This Row],[P40 Return]])</f>
        <v>1.2005228943356752</v>
      </c>
      <c r="FE50" s="27">
        <f>MAX(FE49,PortfolioFrontier[[#This Row],[P40 Growth]])</f>
        <v>1.3332272000035883</v>
      </c>
      <c r="FF50" s="27">
        <f>PortfolioFrontier[[#This Row],[P40 Growth]]/PortfolioFrontier[[#This Row],[P40 HWM]]-1</f>
        <v>-9.9536152328392302E-2</v>
      </c>
      <c r="FG50" s="28">
        <f>SUMPRODUCT(INDEX(PortfolioRef[[SPY]:[PE]],MATCH(FG$1,PortfolioRef[Reference '#]),0),AssetMonthlyReturns[[#This Row],[SPY]:[PE]])</f>
        <v>-8.5803315923388523E-2</v>
      </c>
      <c r="FH50" s="27">
        <f>IF(ISNUMBER(FH49),FH49*(1+PortfolioFrontier[[#This Row],[P41 Return]]),1+PortfolioFrontier[[#This Row],[P41 Return]])</f>
        <v>1.1898784181263065</v>
      </c>
      <c r="FI50" s="27">
        <f>MAX(FI49,PortfolioFrontier[[#This Row],[P41 Growth]])</f>
        <v>1.3584760333753265</v>
      </c>
      <c r="FJ50" s="27">
        <f>PortfolioFrontier[[#This Row],[P41 Growth]]/PortfolioFrontier[[#This Row],[P41 HWM]]-1</f>
        <v>-0.12410790555510598</v>
      </c>
      <c r="FK50" s="28">
        <f>SUMPRODUCT(INDEX(PortfolioRef[[SPY]:[PE]],MATCH(FK$1,PortfolioRef[Reference '#]),0),AssetMonthlyReturns[[#This Row],[SPY]:[PE]])</f>
        <v>-7.5171213549283758E-2</v>
      </c>
      <c r="FL50" s="27">
        <f>IF(ISNUMBER(FL49),FL49*(1+PortfolioFrontier[[#This Row],[P42 Return]]),1+PortfolioFrontier[[#This Row],[P42 Return]])</f>
        <v>1.1897172086561376</v>
      </c>
      <c r="FM50" s="27">
        <f>MAX(FM49,PortfolioFrontier[[#This Row],[P42 Growth]])</f>
        <v>1.3398096374084578</v>
      </c>
      <c r="FN50" s="27">
        <f>PortfolioFrontier[[#This Row],[P42 Growth]]/PortfolioFrontier[[#This Row],[P42 HWM]]-1</f>
        <v>-0.112025189669958</v>
      </c>
      <c r="FO50" s="28">
        <f>SUMPRODUCT(INDEX(PortfolioRef[[SPY]:[PE]],MATCH(FO$1,PortfolioRef[Reference '#]),0),AssetMonthlyReturns[[#This Row],[SPY]:[PE]])</f>
        <v>-6.4539111175179006E-2</v>
      </c>
      <c r="FP50" s="27">
        <f>IF(ISNUMBER(FP49),FP49*(1+PortfolioFrontier[[#This Row],[P43 Return]]),1+PortfolioFrontier[[#This Row],[P43 Return]])</f>
        <v>1.1891916934416591</v>
      </c>
      <c r="FQ50" s="27">
        <f>MAX(FQ49,PortfolioFrontier[[#This Row],[P43 Growth]])</f>
        <v>1.3211756589392865</v>
      </c>
      <c r="FR50" s="27">
        <f>PortfolioFrontier[[#This Row],[P43 Growth]]/PortfolioFrontier[[#This Row],[P43 HWM]]-1</f>
        <v>-9.9898877643258666E-2</v>
      </c>
      <c r="FS50" s="28">
        <f>SUMPRODUCT(INDEX(PortfolioRef[[SPY]:[PE]],MATCH(FS$1,PortfolioRef[Reference '#]),0),AssetMonthlyReturns[[#This Row],[SPY]:[PE]])</f>
        <v>-7.5757414988413888E-2</v>
      </c>
      <c r="FT50" s="27">
        <f>IF(ISNUMBER(FT49),FT49*(1+PortfolioFrontier[[#This Row],[P44 Return]]),1+PortfolioFrontier[[#This Row],[P44 Return]])</f>
        <v>1.2042262509288073</v>
      </c>
      <c r="FU50" s="27">
        <f>MAX(FU49,PortfolioFrontier[[#This Row],[P44 Growth]])</f>
        <v>1.3568083584051134</v>
      </c>
      <c r="FV50" s="27">
        <f>PortfolioFrontier[[#This Row],[P44 Growth]]/PortfolioFrontier[[#This Row],[P44 HWM]]-1</f>
        <v>-0.11245663879581469</v>
      </c>
      <c r="FW50" s="28">
        <f>SUMPRODUCT(INDEX(PortfolioRef[[SPY]:[PE]],MATCH(FW$1,PortfolioRef[Reference '#]),0),AssetMonthlyReturns[[#This Row],[SPY]:[PE]])</f>
        <v>-6.5125312614309136E-2</v>
      </c>
      <c r="FX50" s="27">
        <f>IF(ISNUMBER(FX49),FX49*(1+PortfolioFrontier[[#This Row],[P45 Return]]),1+PortfolioFrontier[[#This Row],[P45 Return]])</f>
        <v>1.2037982108979279</v>
      </c>
      <c r="FY50" s="27">
        <f>MAX(FY49,PortfolioFrontier[[#This Row],[P45 Growth]])</f>
        <v>1.3380442093305378</v>
      </c>
      <c r="FZ50" s="27">
        <f>PortfolioFrontier[[#This Row],[P45 Growth]]/PortfolioFrontier[[#This Row],[P45 HWM]]-1</f>
        <v>-0.10033001712236178</v>
      </c>
      <c r="GA50" s="28">
        <f>SUMPRODUCT(INDEX(PortfolioRef[[SPY]:[PE]],MATCH(GA$1,PortfolioRef[Reference '#]),0),AssetMonthlyReturns[[#This Row],[SPY]:[PE]])</f>
        <v>-8.5654231842895057E-2</v>
      </c>
      <c r="GB50" s="27">
        <f>IF(ISNUMBER(GB49),GB49*(1+PortfolioFrontier[[#This Row],[P46 Return]]),1+PortfolioFrontier[[#This Row],[P46 Return]])</f>
        <v>1.1932208498987364</v>
      </c>
      <c r="GC50" s="27">
        <f>MAX(GC49,PortfolioFrontier[[#This Row],[P46 Growth]])</f>
        <v>1.3634970412153742</v>
      </c>
      <c r="GD50" s="27">
        <f>PortfolioFrontier[[#This Row],[P46 Growth]]/PortfolioFrontier[[#This Row],[P46 HWM]]-1</f>
        <v>-0.12488196612796421</v>
      </c>
      <c r="GE50" s="28">
        <f>SUMPRODUCT(INDEX(PortfolioRef[[SPY]:[PE]],MATCH(GE$1,PortfolioRef[Reference '#]),0),AssetMonthlyReturns[[#This Row],[SPY]:[PE]])</f>
        <v>-7.5022129468790291E-2</v>
      </c>
      <c r="GF50" s="27">
        <f>IF(ISNUMBER(GF49),GF49*(1+PortfolioFrontier[[#This Row],[P47 Return]]),1+PortfolioFrontier[[#This Row],[P47 Return]])</f>
        <v>1.1930805281759589</v>
      </c>
      <c r="GG50" s="27">
        <f>MAX(GG49,PortfolioFrontier[[#This Row],[P47 Growth]])</f>
        <v>1.3447852194316379</v>
      </c>
      <c r="GH50" s="27">
        <f>PortfolioFrontier[[#This Row],[P47 Growth]]/PortfolioFrontier[[#This Row],[P47 HWM]]-1</f>
        <v>-0.11280960636955517</v>
      </c>
      <c r="GI50" s="28">
        <f>SUMPRODUCT(INDEX(PortfolioRef[[SPY]:[PE]],MATCH(GI$1,PortfolioRef[Reference '#]),0),AssetMonthlyReturns[[#This Row],[SPY]:[PE]])</f>
        <v>-6.439002709468554E-2</v>
      </c>
      <c r="GJ50" s="27">
        <f>IF(ISNUMBER(GJ49),GJ49*(1+PortfolioFrontier[[#This Row],[P48 Return]]),1+PortfolioFrontier[[#This Row],[P48 Return]])</f>
        <v>1.1925749742931473</v>
      </c>
      <c r="GK50" s="27">
        <f>MAX(GK49,PortfolioFrontier[[#This Row],[P48 Growth]])</f>
        <v>1.3261053643353899</v>
      </c>
      <c r="GL50" s="27">
        <f>PortfolioFrontier[[#This Row],[P48 Growth]]/PortfolioFrontier[[#This Row],[P48 HWM]]-1</f>
        <v>-0.100693650469595</v>
      </c>
      <c r="GM50" s="28">
        <f>SUMPRODUCT(INDEX(PortfolioRef[[SPY]:[PE]],MATCH(GM$1,PortfolioRef[Reference '#]),0),AssetMonthlyReturns[[#This Row],[SPY]:[PE]])</f>
        <v>-9.5551048697376212E-2</v>
      </c>
      <c r="GN50" s="27">
        <f>IF(ISNUMBER(GN49),GN49*(1+PortfolioFrontier[[#This Row],[P49 Return]]),1+PortfolioFrontier[[#This Row],[P49 Return]])</f>
        <v>1.181888833439211</v>
      </c>
      <c r="GO50" s="27">
        <f>MAX(GO49,PortfolioFrontier[[#This Row],[P49 Growth]])</f>
        <v>1.3698993704585207</v>
      </c>
      <c r="GP50" s="27">
        <f>PortfolioFrontier[[#This Row],[P49 Growth]]/PortfolioFrontier[[#This Row],[P49 HWM]]-1</f>
        <v>-0.13724404950735936</v>
      </c>
      <c r="GQ50" s="28">
        <f>SUMPRODUCT(INDEX(PortfolioRef[[SPY]:[PE]],MATCH(GQ$1,PortfolioRef[Reference '#]),0),AssetMonthlyReturns[[#This Row],[SPY]:[PE]])</f>
        <v>-8.491894632327146E-2</v>
      </c>
      <c r="GR50" s="27">
        <f>IF(ISNUMBER(GR49),GR49*(1+PortfolioFrontier[[#This Row],[P50 Return]]),1+PortfolioFrontier[[#This Row],[P50 Return]])</f>
        <v>1.1820343017644841</v>
      </c>
      <c r="GS50" s="27">
        <f>MAX(GS49,PortfolioFrontier[[#This Row],[P50 Growth]])</f>
        <v>1.3512452775810491</v>
      </c>
      <c r="GT50" s="27">
        <f>PortfolioFrontier[[#This Row],[P50 Growth]]/PortfolioFrontier[[#This Row],[P50 HWM]]-1</f>
        <v>-0.12522595166399431</v>
      </c>
      <c r="GU50" s="28">
        <f>SUMPRODUCT(INDEX(PortfolioRef[[SPY]:[PE]],MATCH(GU$1,PortfolioRef[Reference '#]),0),AssetMonthlyReturns[[#This Row],[SPY]:[PE]])</f>
        <v>-7.4286843949166695E-2</v>
      </c>
      <c r="GV50" s="27">
        <f>IF(ISNUMBER(GV49),GV49*(1+PortfolioFrontier[[#This Row],[P51 Return]]),1+PortfolioFrontier[[#This Row],[P51 Return]])</f>
        <v>1.1818144667109771</v>
      </c>
      <c r="GW50" s="27">
        <f>MAX(GW49,PortfolioFrontier[[#This Row],[P51 Growth]])</f>
        <v>1.3326193457404765</v>
      </c>
      <c r="GX50" s="27">
        <f>PortfolioFrontier[[#This Row],[P51 Growth]]/PortfolioFrontier[[#This Row],[P51 HWM]]-1</f>
        <v>-0.11316425767907778</v>
      </c>
      <c r="GY50" s="28">
        <f>SUMPRODUCT(INDEX(PortfolioRef[[SPY]:[PE]],MATCH(GY$1,PortfolioRef[Reference '#]),0),AssetMonthlyReturns[[#This Row],[SPY]:[PE]])</f>
        <v>-8.550514776240159E-2</v>
      </c>
      <c r="GZ50" s="27">
        <f>IF(ISNUMBER(GZ49),GZ49*(1+PortfolioFrontier[[#This Row],[P52 Return]]),1+PortfolioFrontier[[#This Row],[P52 Return]])</f>
        <v>1.1964544826777483</v>
      </c>
      <c r="HA50" s="27">
        <f>MAX(HA49,PortfolioFrontier[[#This Row],[P52 Growth]])</f>
        <v>1.3684029722493223</v>
      </c>
      <c r="HB50" s="27">
        <f>PortfolioFrontier[[#This Row],[P52 Growth]]/PortfolioFrontier[[#This Row],[P52 HWM]]-1</f>
        <v>-0.12565632570128982</v>
      </c>
      <c r="HC50" s="28">
        <f>SUMPRODUCT(INDEX(PortfolioRef[[SPY]:[PE]],MATCH(HC$1,PortfolioRef[Reference '#]),0),AssetMonthlyReturns[[#This Row],[SPY]:[PE]])</f>
        <v>-7.4873045388296824E-2</v>
      </c>
      <c r="HD50" s="27">
        <f>IF(ISNUMBER(HD49),HD49*(1+PortfolioFrontier[[#This Row],[P53 Return]]),1+PortfolioFrontier[[#This Row],[P53 Return]])</f>
        <v>1.1963350643353226</v>
      </c>
      <c r="HE50" s="27">
        <f>MAX(HE49,PortfolioFrontier[[#This Row],[P53 Growth]])</f>
        <v>1.3496473388218579</v>
      </c>
      <c r="HF50" s="27">
        <f>PortfolioFrontier[[#This Row],[P53 Growth]]/PortfolioFrontier[[#This Row],[P53 HWM]]-1</f>
        <v>-0.11359432206961984</v>
      </c>
      <c r="HG50" s="28">
        <f>SUMPRODUCT(INDEX(PortfolioRef[[SPY]:[PE]],MATCH(HG$1,PortfolioRef[Reference '#]),0),AssetMonthlyReturns[[#This Row],[SPY]:[PE]])</f>
        <v>-6.4240943014192073E-2</v>
      </c>
      <c r="HH50" s="27">
        <f>IF(ISNUMBER(HH49),HH49*(1+PortfolioFrontier[[#This Row],[P54 Return]]),1+PortfolioFrontier[[#This Row],[P54 Return]])</f>
        <v>1.1958495197494945</v>
      </c>
      <c r="HI50" s="27">
        <f>MAX(HI49,PortfolioFrontier[[#This Row],[P54 Growth]])</f>
        <v>1.3309232164629301</v>
      </c>
      <c r="HJ50" s="27">
        <f>PortfolioFrontier[[#This Row],[P54 Growth]]/PortfolioFrontier[[#This Row],[P54 HWM]]-1</f>
        <v>-0.10148872229639838</v>
      </c>
      <c r="HK50" s="28">
        <f>SUMPRODUCT(INDEX(PortfolioRef[[SPY]:[PE]],MATCH(HK$1,PortfolioRef[Reference '#]),0),AssetMonthlyReturns[[#This Row],[SPY]:[PE]])</f>
        <v>-9.5401964616882745E-2</v>
      </c>
      <c r="HL50" s="27">
        <f>IF(ISNUMBER(HL49),HL49*(1+PortfolioFrontier[[#This Row],[P55 Return]]),1+PortfolioFrontier[[#This Row],[P55 Return]])</f>
        <v>1.1852085707080715</v>
      </c>
      <c r="HM50" s="27">
        <f>MAX(HM49,PortfolioFrontier[[#This Row],[P55 Growth]])</f>
        <v>1.374966231742059</v>
      </c>
      <c r="HN50" s="27">
        <f>PortfolioFrontier[[#This Row],[P55 Growth]]/PortfolioFrontier[[#This Row],[P55 HWM]]-1</f>
        <v>-0.13800896098631288</v>
      </c>
      <c r="HO50" s="28">
        <f>SUMPRODUCT(INDEX(PortfolioRef[[SPY]:[PE]],MATCH(HO$1,PortfolioRef[Reference '#]),0),AssetMonthlyReturns[[#This Row],[SPY]:[PE]])</f>
        <v>-8.4769862242777994E-2</v>
      </c>
      <c r="HP50" s="27">
        <f>IF(ISNUMBER(HP49),HP49*(1+PortfolioFrontier[[#This Row],[P56 Return]]),1+PortfolioFrontier[[#This Row],[P56 Return]])</f>
        <v>1.1853755112214497</v>
      </c>
      <c r="HQ50" s="27">
        <f>MAX(HQ49,PortfolioFrontier[[#This Row],[P56 Growth]])</f>
        <v>1.356266779034806</v>
      </c>
      <c r="HR50" s="27">
        <f>PortfolioFrontier[[#This Row],[P56 Growth]]/PortfolioFrontier[[#This Row],[P56 HWM]]-1</f>
        <v>-0.12600121926968666</v>
      </c>
      <c r="HS50" s="28">
        <f>SUMPRODUCT(INDEX(PortfolioRef[[SPY]:[PE]],MATCH(HS$1,PortfolioRef[Reference '#]),0),AssetMonthlyReturns[[#This Row],[SPY]:[PE]])</f>
        <v>-7.4137759868673228E-2</v>
      </c>
      <c r="HT50" s="27">
        <f>IF(ISNUMBER(HT49),HT49*(1+PortfolioFrontier[[#This Row],[P57 Return]]),1+PortfolioFrontier[[#This Row],[P57 Return]])</f>
        <v>1.1851762300063364</v>
      </c>
      <c r="HU50" s="27">
        <f>MAX(HU49,PortfolioFrontier[[#This Row],[P57 Growth]])</f>
        <v>1.337595024415057</v>
      </c>
      <c r="HV50" s="27">
        <f>PortfolioFrontier[[#This Row],[P57 Growth]]/PortfolioFrontier[[#This Row],[P57 HWM]]-1</f>
        <v>-0.11394988141150919</v>
      </c>
      <c r="HW50" s="28">
        <f>SUMPRODUCT(INDEX(PortfolioRef[[SPY]:[PE]],MATCH(HW$1,PortfolioRef[Reference '#]),0),AssetMonthlyReturns[[#This Row],[SPY]:[PE]])</f>
        <v>-0.1052987814713639</v>
      </c>
      <c r="HX50" s="27">
        <f>IF(ISNUMBER(HX49),HX49*(1+PortfolioFrontier[[#This Row],[P58 Return]]),1+PortfolioFrontier[[#This Row],[P58 Return]])</f>
        <v>1.1736407347435081</v>
      </c>
      <c r="HY50" s="27">
        <f>MAX(HY49,PortfolioFrontier[[#This Row],[P58 Growth]])</f>
        <v>1.3812386241053227</v>
      </c>
      <c r="HZ50" s="27">
        <f>PortfolioFrontier[[#This Row],[P58 Growth]]/PortfolioFrontier[[#This Row],[P58 HWM]]-1</f>
        <v>-0.15029835231858157</v>
      </c>
      <c r="IA50" s="28">
        <f>SUMPRODUCT(INDEX(PortfolioRef[[SPY]:[PE]],MATCH(IA$1,PortfolioRef[Reference '#]),0),AssetMonthlyReturns[[#This Row],[SPY]:[PE]])</f>
        <v>-9.4666679097259149E-2</v>
      </c>
      <c r="IB50" s="27">
        <f>IF(ISNUMBER(IB49),IB49*(1+PortfolioFrontier[[#This Row],[P59 Return]]),1+PortfolioFrontier[[#This Row],[P59 Return]])</f>
        <v>1.1740919419690015</v>
      </c>
      <c r="IC50" s="27">
        <f>MAX(IC49,PortfolioFrontier[[#This Row],[P59 Growth]])</f>
        <v>1.362600772073006</v>
      </c>
      <c r="ID50" s="27">
        <f>PortfolioFrontier[[#This Row],[P59 Growth]]/PortfolioFrontier[[#This Row],[P59 HWM]]-1</f>
        <v>-0.13834487251699912</v>
      </c>
      <c r="IE50" s="28">
        <f>SUMPRODUCT(INDEX(PortfolioRef[[SPY]:[PE]],MATCH(IE$1,PortfolioRef[Reference '#]),0),AssetMonthlyReturns[[#This Row],[SPY]:[PE]])</f>
        <v>-8.4034576723154397E-2</v>
      </c>
      <c r="IF50" s="27">
        <f>IF(ISNUMBER(IF49),IF49*(1+PortfolioFrontier[[#This Row],[P60 Return]]),1+PortfolioFrontier[[#This Row],[P60 Return]])</f>
        <v>1.1741770073186153</v>
      </c>
      <c r="IG50" s="27">
        <f>MAX(IG49,PortfolioFrontier[[#This Row],[P60 Growth]])</f>
        <v>1.3439867749591152</v>
      </c>
      <c r="IH50" s="27">
        <f>PortfolioFrontier[[#This Row],[P60 Growth]]/PortfolioFrontier[[#This Row],[P60 HWM]]-1</f>
        <v>-0.12634779657386552</v>
      </c>
      <c r="II50" s="28">
        <f>SUMPRODUCT(INDEX(PortfolioRef[[SPY]:[PE]],MATCH(II$1,PortfolioRef[Reference '#]),0),AssetMonthlyReturns[[#This Row],[SPY]:[PE]])</f>
        <v>-6.0068767645185206E-2</v>
      </c>
      <c r="IJ50" s="27">
        <f>IF(ISNUMBER(IJ49),IJ49*(1+PortfolioFrontier[[#This Row],[P61 Return]]),1+PortfolioFrontier[[#This Row],[P61 Return]])</f>
        <v>1.1953152113296637</v>
      </c>
      <c r="IK50" s="27">
        <f>MAX(IK49,PortfolioFrontier[[#This Row],[P61 Growth]])</f>
        <v>1.3094981526620968</v>
      </c>
      <c r="IL50" s="27">
        <f>PortfolioFrontier[[#This Row],[P61 Growth]]/PortfolioFrontier[[#This Row],[P61 HWM]]-1</f>
        <v>-8.7195954496238959E-2</v>
      </c>
      <c r="IM50" s="28">
        <f>SUMPRODUCT(INDEX(PortfolioRef[[SPY]:[PE]],MATCH(IM$1,PortfolioRef[Reference '#]),0),AssetMonthlyReturns[[#This Row],[SPY]:[PE]])</f>
        <v>-5.9919683564691739E-2</v>
      </c>
      <c r="IN50" s="27">
        <f>IF(ISNUMBER(IN49),IN49*(1+PortfolioFrontier[[#This Row],[P62 Return]]),1+PortfolioFrontier[[#This Row],[P62 Return]])</f>
        <v>1.1986574551094011</v>
      </c>
      <c r="IO50" s="27">
        <f>MAX(IO49,PortfolioFrontier[[#This Row],[P62 Growth]])</f>
        <v>1.3143085617694168</v>
      </c>
      <c r="IP50" s="27">
        <f>PortfolioFrontier[[#This Row],[P62 Growth]]/PortfolioFrontier[[#This Row],[P62 HWM]]-1</f>
        <v>-8.7993877559709222E-2</v>
      </c>
      <c r="IQ50" s="28">
        <f>SUMPRODUCT(INDEX(PortfolioRef[[SPY]:[PE]],MATCH(IQ$1,PortfolioRef[Reference '#]),0),AssetMonthlyReturns[[#This Row],[SPY]:[PE]])</f>
        <v>-6.9816500419172894E-2</v>
      </c>
      <c r="IR50" s="27">
        <f>IF(ISNUMBER(IR49),IR49*(1+PortfolioFrontier[[#This Row],[P63 Return]]),1+PortfolioFrontier[[#This Row],[P63 Return]])</f>
        <v>1.1881101049798746</v>
      </c>
      <c r="IS50" s="27">
        <f>MAX(IS49,PortfolioFrontier[[#This Row],[P63 Growth]])</f>
        <v>1.3209548791169983</v>
      </c>
      <c r="IT50" s="27">
        <f>PortfolioFrontier[[#This Row],[P63 Growth]]/PortfolioFrontier[[#This Row],[P63 HWM]]-1</f>
        <v>-0.10056723074896001</v>
      </c>
      <c r="IU50" s="28">
        <f>SUMPRODUCT(INDEX(PortfolioRef[[SPY]:[PE]],MATCH(IU$1,PortfolioRef[Reference '#]),0),AssetMonthlyReturns[[#This Row],[SPY]:[PE]])</f>
        <v>-5.9184398045068143E-2</v>
      </c>
      <c r="IV50" s="27">
        <f>IF(ISNUMBER(IV49),IV49*(1+PortfolioFrontier[[#This Row],[P64 Return]]),1+PortfolioFrontier[[#This Row],[P64 Return]])</f>
        <v>1.1874824730295446</v>
      </c>
      <c r="IW50" s="27">
        <f>MAX(IW49,PortfolioFrontier[[#This Row],[P64 Growth]])</f>
        <v>1.302575062579725</v>
      </c>
      <c r="IX50" s="27">
        <f>PortfolioFrontier[[#This Row],[P64 Growth]]/PortfolioFrontier[[#This Row],[P64 HWM]]-1</f>
        <v>-8.8357740645089389E-2</v>
      </c>
      <c r="IY50" s="28">
        <f>SUMPRODUCT(INDEX(PortfolioRef[[SPY]:[PE]],MATCH(IY$1,PortfolioRef[Reference '#]),0),AssetMonthlyReturns[[#This Row],[SPY]:[PE]])</f>
        <v>-5.9770599484198272E-2</v>
      </c>
      <c r="IZ50" s="27">
        <f>IF(ISNUMBER(IZ49),IZ49*(1+PortfolioFrontier[[#This Row],[P65 Return]]),1+PortfolioFrontier[[#This Row],[P65 Return]])</f>
        <v>1.2018900354909343</v>
      </c>
      <c r="JA50" s="27">
        <f>MAX(JA49,PortfolioFrontier[[#This Row],[P65 Growth]])</f>
        <v>1.3190074789677764</v>
      </c>
      <c r="JB50" s="27">
        <f>PortfolioFrontier[[#This Row],[P65 Growth]]/PortfolioFrontier[[#This Row],[P65 HWM]]-1</f>
        <v>-8.879209962364687E-2</v>
      </c>
      <c r="JC50" s="28">
        <f>SUMPRODUCT(INDEX(PortfolioRef[[SPY]:[PE]],MATCH(JC$1,PortfolioRef[Reference '#]),0),AssetMonthlyReturns[[#This Row],[SPY]:[PE]])</f>
        <v>-6.9667416338679428E-2</v>
      </c>
      <c r="JD50" s="27">
        <f>IF(ISNUMBER(JD49),JD49*(1+PortfolioFrontier[[#This Row],[P66 Return]]),1+PortfolioFrontier[[#This Row],[P66 Return]])</f>
        <v>1.1914315588136932</v>
      </c>
      <c r="JE50" s="27">
        <f>MAX(JE49,PortfolioFrontier[[#This Row],[P66 Growth]])</f>
        <v>1.3258104044199521</v>
      </c>
      <c r="JF50" s="27">
        <f>PortfolioFrontier[[#This Row],[P66 Growth]]/PortfolioFrontier[[#This Row],[P66 HWM]]-1</f>
        <v>-0.10135600471852557</v>
      </c>
      <c r="JG50" s="28">
        <f>SUMPRODUCT(INDEX(PortfolioRef[[SPY]:[PE]],MATCH(JG$1,PortfolioRef[Reference '#]),0),AssetMonthlyReturns[[#This Row],[SPY]:[PE]])</f>
        <v>-5.9035313964574676E-2</v>
      </c>
      <c r="JH50" s="27">
        <f>IF(ISNUMBER(JH49),JH49*(1+PortfolioFrontier[[#This Row],[P67 Return]]),1+PortfolioFrontier[[#This Row],[P67 Return]])</f>
        <v>1.190823680962559</v>
      </c>
      <c r="JI50" s="27">
        <f>MAX(JI49,PortfolioFrontier[[#This Row],[P67 Growth]])</f>
        <v>1.3073861378653062</v>
      </c>
      <c r="JJ50" s="27">
        <f>PortfolioFrontier[[#This Row],[P67 Growth]]/PortfolioFrontier[[#This Row],[P67 HWM]]-1</f>
        <v>-8.915687074139389E-2</v>
      </c>
      <c r="JK50" s="28">
        <f>SUMPRODUCT(INDEX(PortfolioRef[[SPY]:[PE]],MATCH(JK$1,PortfolioRef[Reference '#]),0),AssetMonthlyReturns[[#This Row],[SPY]:[PE]])</f>
        <v>-7.9564233193160597E-2</v>
      </c>
      <c r="JL50" s="27">
        <f>IF(ISNUMBER(JL49),JL49*(1+PortfolioFrontier[[#This Row],[P68 Return]]),1+PortfolioFrontier[[#This Row],[P68 Return]])</f>
        <v>1.1806428384890968</v>
      </c>
      <c r="JM50" s="27">
        <f>MAX(JM49,PortfolioFrontier[[#This Row],[P68 Growth]])</f>
        <v>1.3323384524872308</v>
      </c>
      <c r="JN50" s="27">
        <f>PortfolioFrontier[[#This Row],[P68 Growth]]/PortfolioFrontier[[#This Row],[P68 HWM]]-1</f>
        <v>-0.11385666586064991</v>
      </c>
      <c r="JO50" s="28">
        <f>SUMPRODUCT(INDEX(PortfolioRef[[SPY]:[PE]],MATCH(JO$1,PortfolioRef[Reference '#]),0),AssetMonthlyReturns[[#This Row],[SPY]:[PE]])</f>
        <v>-6.8932130819055831E-2</v>
      </c>
      <c r="JP50" s="27">
        <f>IF(ISNUMBER(JP49),JP49*(1+PortfolioFrontier[[#This Row],[P69 Return]]),1+PortfolioFrontier[[#This Row],[P69 Return]])</f>
        <v>1.1803191323879896</v>
      </c>
      <c r="JQ50" s="27">
        <f>MAX(JQ49,PortfolioFrontier[[#This Row],[P69 Growth]])</f>
        <v>1.3139648547532048</v>
      </c>
      <c r="JR50" s="27">
        <f>PortfolioFrontier[[#This Row],[P69 Growth]]/PortfolioFrontier[[#This Row],[P69 HWM]]-1</f>
        <v>-0.10171179379856188</v>
      </c>
      <c r="JS50" s="28">
        <f>SUMPRODUCT(INDEX(PortfolioRef[[SPY]:[PE]],MATCH(JS$1,PortfolioRef[Reference '#]),0),AssetMonthlyReturns[[#This Row],[SPY]:[PE]])</f>
        <v>-5.830002844495108E-2</v>
      </c>
      <c r="JT50" s="27">
        <f>IF(ISNUMBER(JT49),JT49*(1+PortfolioFrontier[[#This Row],[P70 Return]]),1+PortfolioFrontier[[#This Row],[P70 Return]])</f>
        <v>1.179636156209446</v>
      </c>
      <c r="JU50" s="27">
        <f>MAX(JU49,PortfolioFrontier[[#This Row],[P70 Growth]])</f>
        <v>1.2956247967365477</v>
      </c>
      <c r="JV50" s="27">
        <f>PortfolioFrontier[[#This Row],[P70 Growth]]/PortfolioFrontier[[#This Row],[P70 HWM]]-1</f>
        <v>-8.9523325594922931E-2</v>
      </c>
      <c r="JW50" s="28">
        <f>SUMPRODUCT(INDEX(PortfolioRef[[SPY]:[PE]],MATCH(JW$1,PortfolioRef[Reference '#]),0),AssetMonthlyReturns[[#This Row],[SPY]:[PE]])</f>
        <v>-6.9518332258185961E-2</v>
      </c>
      <c r="JX50" s="27">
        <f>IF(ISNUMBER(JX49),JX49*(1+PortfolioFrontier[[#This Row],[P71 Return]]),1+PortfolioFrontier[[#This Row],[P71 Return]])</f>
        <v>1.1946440806903438</v>
      </c>
      <c r="JY50" s="27">
        <f>MAX(JY49,PortfolioFrontier[[#This Row],[P71 Growth]])</f>
        <v>1.3305535794300112</v>
      </c>
      <c r="JZ50" s="27">
        <f>PortfolioFrontier[[#This Row],[P71 Growth]]/PortfolioFrontier[[#This Row],[P71 HWM]]-1</f>
        <v>-0.10214507768855796</v>
      </c>
      <c r="KA50" s="28">
        <f>SUMPRODUCT(INDEX(PortfolioRef[[SPY]:[PE]],MATCH(KA$1,PortfolioRef[Reference '#]),0),AssetMonthlyReturns[[#This Row],[SPY]:[PE]])</f>
        <v>-5.8886229884081209E-2</v>
      </c>
      <c r="KB50" s="27">
        <f>IF(ISNUMBER(KB49),KB49*(1+PortfolioFrontier[[#This Row],[P72 Return]]),1+PortfolioFrontier[[#This Row],[P72 Return]])</f>
        <v>1.1940560143996795</v>
      </c>
      <c r="KC50" s="27">
        <f>MAX(KC49,PortfolioFrontier[[#This Row],[P72 Growth]])</f>
        <v>1.312086457152924</v>
      </c>
      <c r="KD50" s="27">
        <f>PortfolioFrontier[[#This Row],[P72 Growth]]/PortfolioFrontier[[#This Row],[P72 HWM]]-1</f>
        <v>-8.9956299838165443E-2</v>
      </c>
      <c r="KE50" s="28">
        <f>SUMPRODUCT(INDEX(PortfolioRef[[SPY]:[PE]],MATCH(KE$1,PortfolioRef[Reference '#]),0),AssetMonthlyReturns[[#This Row],[SPY]:[PE]])</f>
        <v>-7.941514911266713E-2</v>
      </c>
      <c r="KF50" s="27">
        <f>IF(ISNUMBER(KF49),KF49*(1+PortfolioFrontier[[#This Row],[P73 Return]]),1+PortfolioFrontier[[#This Row],[P73 Return]])</f>
        <v>1.1839429285363716</v>
      </c>
      <c r="KG50" s="27">
        <f>MAX(KG49,PortfolioFrontier[[#This Row],[P73 Growth]])</f>
        <v>1.337239053451823</v>
      </c>
      <c r="KH50" s="27">
        <f>PortfolioFrontier[[#This Row],[P73 Growth]]/PortfolioFrontier[[#This Row],[P73 HWM]]-1</f>
        <v>-0.11463629073631021</v>
      </c>
      <c r="KI50" s="28">
        <f>SUMPRODUCT(INDEX(PortfolioRef[[SPY]:[PE]],MATCH(KI$1,PortfolioRef[Reference '#]),0),AssetMonthlyReturns[[#This Row],[SPY]:[PE]])</f>
        <v>-6.8783046738562365E-2</v>
      </c>
      <c r="KJ50" s="27">
        <f>IF(ISNUMBER(KJ49),KJ49*(1+PortfolioFrontier[[#This Row],[P74 Return]]),1+PortfolioFrontier[[#This Row],[P74 Return]])</f>
        <v>1.1836395599402021</v>
      </c>
      <c r="KK50" s="27">
        <f>MAX(KK49,PortfolioFrontier[[#This Row],[P74 Growth]])</f>
        <v>1.3188210591477281</v>
      </c>
      <c r="KL50" s="27">
        <f>PortfolioFrontier[[#This Row],[P74 Growth]]/PortfolioFrontier[[#This Row],[P74 HWM]]-1</f>
        <v>-0.10250177480096156</v>
      </c>
      <c r="KM50" s="28">
        <f>SUMPRODUCT(INDEX(PortfolioRef[[SPY]:[PE]],MATCH(KM$1,PortfolioRef[Reference '#]),0),AssetMonthlyReturns[[#This Row],[SPY]:[PE]])</f>
        <v>-5.8150944364457613E-2</v>
      </c>
      <c r="KN50" s="27">
        <f>IF(ISNUMBER(KN49),KN49*(1+PortfolioFrontier[[#This Row],[P75 Return]]),1+PortfolioFrontier[[#This Row],[P75 Return]])</f>
        <v>1.182976006087131</v>
      </c>
      <c r="KO50" s="27">
        <f>MAX(KO49,PortfolioFrontier[[#This Row],[P75 Growth]])</f>
        <v>1.300436163514596</v>
      </c>
      <c r="KP50" s="27">
        <f>PortfolioFrontier[[#This Row],[P75 Growth]]/PortfolioFrontier[[#This Row],[P75 HWM]]-1</f>
        <v>-9.032366272406156E-2</v>
      </c>
      <c r="KQ50" s="28">
        <f>SUMPRODUCT(INDEX(PortfolioRef[[SPY]:[PE]],MATCH(KQ$1,PortfolioRef[Reference '#]),0),AssetMonthlyReturns[[#This Row],[SPY]:[PE]])</f>
        <v>-8.9311965967148285E-2</v>
      </c>
      <c r="KR50" s="27">
        <f>IF(ISNUMBER(KR49),KR49*(1+PortfolioFrontier[[#This Row],[P76 Return]]),1+PortfolioFrontier[[#This Row],[P76 Return]])</f>
        <v>1.1729159166198702</v>
      </c>
      <c r="KS50" s="27">
        <f>MAX(KS49,PortfolioFrontier[[#This Row],[P76 Growth]])</f>
        <v>1.3436451993513385</v>
      </c>
      <c r="KT50" s="27">
        <f>PortfolioFrontier[[#This Row],[P76 Growth]]/PortfolioFrontier[[#This Row],[P76 HWM]]-1</f>
        <v>-0.1270642598313082</v>
      </c>
      <c r="KU50" s="28">
        <f>SUMPRODUCT(INDEX(PortfolioRef[[SPY]:[PE]],MATCH(KU$1,PortfolioRef[Reference '#]),0),AssetMonthlyReturns[[#This Row],[SPY]:[PE]])</f>
        <v>-7.8679863593043534E-2</v>
      </c>
      <c r="KV50" s="27">
        <f>IF(ISNUMBER(KV49),KV49*(1+PortfolioFrontier[[#This Row],[P77 Return]]),1+PortfolioFrontier[[#This Row],[P77 Return]])</f>
        <v>1.1728954451319551</v>
      </c>
      <c r="KW50" s="27">
        <f>MAX(KW49,PortfolioFrontier[[#This Row],[P77 Growth]])</f>
        <v>1.3252816365276681</v>
      </c>
      <c r="KX50" s="27">
        <f>PortfolioFrontier[[#This Row],[P77 Growth]]/PortfolioFrontier[[#This Row],[P77 HWM]]-1</f>
        <v>-0.11498400581100299</v>
      </c>
      <c r="KY50" s="28">
        <f>SUMPRODUCT(INDEX(PortfolioRef[[SPY]:[PE]],MATCH(KY$1,PortfolioRef[Reference '#]),0),AssetMonthlyReturns[[#This Row],[SPY]:[PE]])</f>
        <v>-6.8047761218938768E-2</v>
      </c>
      <c r="KZ50" s="27">
        <f>IF(ISNUMBER(KZ49),KZ49*(1+PortfolioFrontier[[#This Row],[P78 Return]]),1+PortfolioFrontier[[#This Row],[P78 Return]])</f>
        <v>1.1725146323112816</v>
      </c>
      <c r="LA50" s="27">
        <f>MAX(LA49,PortfolioFrontier[[#This Row],[P78 Growth]])</f>
        <v>1.3069474504943903</v>
      </c>
      <c r="LB50" s="27">
        <f>PortfolioFrontier[[#This Row],[P78 Growth]]/PortfolioFrontier[[#This Row],[P78 HWM]]-1</f>
        <v>-0.10286015564914686</v>
      </c>
      <c r="LC50" s="28">
        <f>SUMPRODUCT(INDEX(PortfolioRef[[SPY]:[PE]],MATCH(LC$1,PortfolioRef[Reference '#]),0),AssetMonthlyReturns[[#This Row],[SPY]:[PE]])</f>
        <v>-7.9266065032173663E-2</v>
      </c>
      <c r="LD50" s="27">
        <f>IF(ISNUMBER(LD49),LD49*(1+PortfolioFrontier[[#This Row],[P79 Return]]),1+PortfolioFrontier[[#This Row],[P79 Return]])</f>
        <v>1.1871348404461064</v>
      </c>
      <c r="LE50" s="27">
        <f>MAX(LE49,PortfolioFrontier[[#This Row],[P79 Growth]])</f>
        <v>1.3420264536343358</v>
      </c>
      <c r="LF50" s="27">
        <f>PortfolioFrontier[[#This Row],[P79 Growth]]/PortfolioFrontier[[#This Row],[P79 HWM]]-1</f>
        <v>-0.1154162146124379</v>
      </c>
      <c r="LG50" s="28">
        <f>SUMPRODUCT(INDEX(PortfolioRef[[SPY]:[PE]],MATCH(LG$1,PortfolioRef[Reference '#]),0),AssetMonthlyReturns[[#This Row],[SPY]:[PE]])</f>
        <v>-6.8633962658068898E-2</v>
      </c>
      <c r="LH50" s="27">
        <f>IF(ISNUMBER(LH49),LH49*(1+PortfolioFrontier[[#This Row],[P80 Return]]),1+PortfolioFrontier[[#This Row],[P80 Return]])</f>
        <v>1.186851839767876</v>
      </c>
      <c r="LI50" s="27">
        <f>MAX(LI49,PortfolioFrontier[[#This Row],[P80 Growth]])</f>
        <v>1.3235656560489486</v>
      </c>
      <c r="LJ50" s="27">
        <f>PortfolioFrontier[[#This Row],[P80 Growth]]/PortfolioFrontier[[#This Row],[P80 HWM]]-1</f>
        <v>-0.10329205480382808</v>
      </c>
      <c r="LK50" s="28">
        <f>SUMPRODUCT(INDEX(PortfolioRef[[SPY]:[PE]],MATCH(LK$1,PortfolioRef[Reference '#]),0),AssetMonthlyReturns[[#This Row],[SPY]:[PE]])</f>
        <v>-5.8001860283964146E-2</v>
      </c>
      <c r="LL50" s="27">
        <f>IF(ISNUMBER(LL49),LL49*(1+PortfolioFrontier[[#This Row],[P81 Return]]),1+PortfolioFrontier[[#This Row],[P81 Return]])</f>
        <v>1.1862077706021845</v>
      </c>
      <c r="LM50" s="27">
        <f>MAX(LM49,PortfolioFrontier[[#This Row],[P81 Growth]])</f>
        <v>1.3051375112196997</v>
      </c>
      <c r="LN50" s="27">
        <f>PortfolioFrontier[[#This Row],[P81 Growth]]/PortfolioFrontier[[#This Row],[P81 HWM]]-1</f>
        <v>-9.1124298853667018E-2</v>
      </c>
      <c r="LO50" s="28">
        <f>SUMPRODUCT(INDEX(PortfolioRef[[SPY]:[PE]],MATCH(LO$1,PortfolioRef[Reference '#]),0),AssetMonthlyReturns[[#This Row],[SPY]:[PE]])</f>
        <v>-8.9162881886654818E-2</v>
      </c>
      <c r="LP50" s="27">
        <f>IF(ISNUMBER(LP49),LP49*(1+PortfolioFrontier[[#This Row],[P82 Return]]),1+PortfolioFrontier[[#This Row],[P82 Return]])</f>
        <v>1.176194074938939</v>
      </c>
      <c r="LQ50" s="27">
        <f>MAX(LQ49,PortfolioFrontier[[#This Row],[P82 Growth]])</f>
        <v>1.3485908267233171</v>
      </c>
      <c r="LR50" s="27">
        <f>PortfolioFrontier[[#This Row],[P82 Growth]]/PortfolioFrontier[[#This Row],[P82 HWM]]-1</f>
        <v>-0.12783473561306358</v>
      </c>
      <c r="LS50" s="28">
        <f>SUMPRODUCT(INDEX(PortfolioRef[[SPY]:[PE]],MATCH(LS$1,PortfolioRef[Reference '#]),0),AssetMonthlyReturns[[#This Row],[SPY]:[PE]])</f>
        <v>-7.8530779512550067E-2</v>
      </c>
      <c r="LT50" s="27">
        <f>IF(ISNUMBER(LT49),LT49*(1+PortfolioFrontier[[#This Row],[P83 Return]]),1+PortfolioFrontier[[#This Row],[P83 Return]])</f>
        <v>1.176194518253673</v>
      </c>
      <c r="LU50" s="27">
        <f>MAX(LU49,PortfolioFrontier[[#This Row],[P83 Growth]])</f>
        <v>1.330182929188416</v>
      </c>
      <c r="LV50" s="27">
        <f>PortfolioFrontier[[#This Row],[P83 Growth]]/PortfolioFrontier[[#This Row],[P83 HWM]]-1</f>
        <v>-0.11576483771949753</v>
      </c>
      <c r="LW50" s="28">
        <f>SUMPRODUCT(INDEX(PortfolioRef[[SPY]:[PE]],MATCH(LW$1,PortfolioRef[Reference '#]),0),AssetMonthlyReturns[[#This Row],[SPY]:[PE]])</f>
        <v>-6.7898677138445301E-2</v>
      </c>
      <c r="LX50" s="27">
        <f>IF(ISNUMBER(LX49),LX49*(1+PortfolioFrontier[[#This Row],[P84 Return]]),1+PortfolioFrontier[[#This Row],[P84 Return]])</f>
        <v>1.1758337128591092</v>
      </c>
      <c r="LY50" s="27">
        <f>MAX(LY49,PortfolioFrontier[[#This Row],[P84 Growth]])</f>
        <v>1.3118039554968419</v>
      </c>
      <c r="LZ50" s="27">
        <f>PortfolioFrontier[[#This Row],[P84 Growth]]/PortfolioFrontier[[#This Row],[P84 HWM]]-1</f>
        <v>-0.10365134368438034</v>
      </c>
      <c r="MA50" s="28">
        <f>SUMPRODUCT(INDEX(PortfolioRef[[SPY]:[PE]],MATCH(MA$1,PortfolioRef[Reference '#]),0),AssetMonthlyReturns[[#This Row],[SPY]:[PE]])</f>
        <v>-9.9059698741135974E-2</v>
      </c>
      <c r="MB50" s="27">
        <f>IF(ISNUMBER(MB49),MB49*(1+PortfolioFrontier[[#This Row],[P85 Return]]),1+PortfolioFrontier[[#This Row],[P85 Return]])</f>
        <v>1.1649319821836204</v>
      </c>
      <c r="MC50" s="27">
        <f>MAX(MC49,PortfolioFrontier[[#This Row],[P85 Growth]])</f>
        <v>1.3548714243118356</v>
      </c>
      <c r="MD50" s="27">
        <f>PortfolioFrontier[[#This Row],[P85 Growth]]/PortfolioFrontier[[#This Row],[P85 HWM]]-1</f>
        <v>-0.140190012660935</v>
      </c>
      <c r="ME50" s="28">
        <f>SUMPRODUCT(INDEX(PortfolioRef[[SPY]:[PE]],MATCH(ME$1,PortfolioRef[Reference '#]),0),AssetMonthlyReturns[[#This Row],[SPY]:[PE]])</f>
        <v>-8.8427596367031222E-2</v>
      </c>
      <c r="MF50" s="27">
        <f>IF(ISNUMBER(MF49),MF49*(1+PortfolioFrontier[[#This Row],[P86 Return]]),1+PortfolioFrontier[[#This Row],[P86 Return]])</f>
        <v>1.1652139069943359</v>
      </c>
      <c r="MG50" s="27">
        <f>MAX(MG49,PortfolioFrontier[[#This Row],[P86 Growth]])</f>
        <v>1.3365217491088508</v>
      </c>
      <c r="MH50" s="27">
        <f>PortfolioFrontier[[#This Row],[P86 Growth]]/PortfolioFrontier[[#This Row],[P86 HWM]]-1</f>
        <v>-0.12817437668241272</v>
      </c>
      <c r="MI50" s="28">
        <f>SUMPRODUCT(INDEX(PortfolioRef[[SPY]:[PE]],MATCH(MI$1,PortfolioRef[Reference '#]),0),AssetMonthlyReturns[[#This Row],[SPY]:[PE]])</f>
        <v>-7.779549399292647E-2</v>
      </c>
      <c r="MJ50" s="27">
        <f>IF(ISNUMBER(MJ49),MJ49*(1+PortfolioFrontier[[#This Row],[P87 Return]]),1+PortfolioFrontier[[#This Row],[P87 Return]])</f>
        <v>1.1651345755948841</v>
      </c>
      <c r="MK50" s="27">
        <f>MAX(MK49,PortfolioFrontier[[#This Row],[P87 Growth]])</f>
        <v>1.3181972385056435</v>
      </c>
      <c r="ML50" s="27">
        <f>PortfolioFrontier[[#This Row],[P87 Growth]]/PortfolioFrontier[[#This Row],[P87 HWM]]-1</f>
        <v>-0.1161151445623394</v>
      </c>
      <c r="MM50" s="28">
        <f>SUMPRODUCT(INDEX(PortfolioRef[[SPY]:[PE]],MATCH(MM$1,PortfolioRef[Reference '#]),0),AssetMonthlyReturns[[#This Row],[SPY]:[PE]])</f>
        <v>-8.9013797806161352E-2</v>
      </c>
      <c r="MN50" s="27">
        <f>IF(ISNUMBER(MN49),MN49*(1+PortfolioFrontier[[#This Row],[P88 Return]]),1+PortfolioFrontier[[#This Row],[P88 Return]])</f>
        <v>1.1793648310557967</v>
      </c>
      <c r="MO50" s="27">
        <f>MAX(MO49,PortfolioFrontier[[#This Row],[P88 Growth]])</f>
        <v>1.3534224110032944</v>
      </c>
      <c r="MP50" s="27">
        <f>PortfolioFrontier[[#This Row],[P88 Growth]]/PortfolioFrontier[[#This Row],[P88 HWM]]-1</f>
        <v>-0.12860551039528634</v>
      </c>
      <c r="MQ50" s="28">
        <f>SUMPRODUCT(INDEX(PortfolioRef[[SPY]:[PE]],MATCH(MQ$1,PortfolioRef[Reference '#]),0),AssetMonthlyReturns[[#This Row],[SPY]:[PE]])</f>
        <v>-7.83816954320566E-2</v>
      </c>
      <c r="MR50" s="27">
        <f>IF(ISNUMBER(MR49),MR49*(1+PortfolioFrontier[[#This Row],[P89 Return]]),1+PortfolioFrontier[[#This Row],[P89 Return]])</f>
        <v>1.1793861926304299</v>
      </c>
      <c r="MS50" s="27">
        <f>MAX(MS49,PortfolioFrontier[[#This Row],[P89 Growth]])</f>
        <v>1.3349717707433648</v>
      </c>
      <c r="MT50" s="27">
        <f>PortfolioFrontier[[#This Row],[P89 Growth]]/PortfolioFrontier[[#This Row],[P89 HWM]]-1</f>
        <v>-0.11654596862845934</v>
      </c>
      <c r="MU50" s="28">
        <f>SUMPRODUCT(INDEX(PortfolioRef[[SPY]:[PE]],MATCH(MU$1,PortfolioRef[Reference '#]),0),AssetMonthlyReturns[[#This Row],[SPY]:[PE]])</f>
        <v>-6.7749593057951835E-2</v>
      </c>
      <c r="MV50" s="27">
        <f>IF(ISNUMBER(MV49),MV49*(1+PortfolioFrontier[[#This Row],[P90 Return]]),1+PortfolioFrontier[[#This Row],[P90 Return]])</f>
        <v>1.1790454301454067</v>
      </c>
      <c r="MW50" s="27">
        <f>MAX(MW49,PortfolioFrontier[[#This Row],[P90 Growth]])</f>
        <v>1.3165495968207468</v>
      </c>
      <c r="MX50" s="27">
        <f>PortfolioFrontier[[#This Row],[P90 Growth]]/PortfolioFrontier[[#This Row],[P90 HWM]]-1</f>
        <v>-0.10444283072008087</v>
      </c>
      <c r="MY50" s="28">
        <f>SUMPRODUCT(INDEX(PortfolioRef[[SPY]:[PE]],MATCH(MY$1,PortfolioRef[Reference '#]),0),AssetMonthlyReturns[[#This Row],[SPY]:[PE]])</f>
        <v>-9.8910614660642507E-2</v>
      </c>
      <c r="MZ50" s="27">
        <f>IF(ISNUMBER(MZ49),MZ49*(1+PortfolioFrontier[[#This Row],[P91 Return]]),1+PortfolioFrontier[[#This Row],[P91 Return]])</f>
        <v>1.1681876469866337</v>
      </c>
      <c r="NA50" s="27">
        <f>MAX(NA49,PortfolioFrontier[[#This Row],[P91 Growth]])</f>
        <v>1.3598620200409506</v>
      </c>
      <c r="NB50" s="27">
        <f>PortfolioFrontier[[#This Row],[P91 Growth]]/PortfolioFrontier[[#This Row],[P91 HWM]]-1</f>
        <v>-0.14095133934878545</v>
      </c>
      <c r="NC50" s="28">
        <f>SUMPRODUCT(INDEX(PortfolioRef[[SPY]:[PE]],MATCH(NC$1,PortfolioRef[Reference '#]),0),AssetMonthlyReturns[[#This Row],[SPY]:[PE]])</f>
        <v>-8.8278512286537755E-2</v>
      </c>
      <c r="ND50" s="27">
        <f>IF(ISNUMBER(ND49),ND49*(1+PortfolioFrontier[[#This Row],[P92 Return]]),1+PortfolioFrontier[[#This Row],[P92 Return]])</f>
        <v>1.1684910575445611</v>
      </c>
      <c r="NE50" s="27">
        <f>MAX(NE49,PortfolioFrontier[[#This Row],[P92 Growth]])</f>
        <v>1.3414680804610166</v>
      </c>
      <c r="NF50" s="27">
        <f>PortfolioFrontier[[#This Row],[P92 Growth]]/PortfolioFrontier[[#This Row],[P92 HWM]]-1</f>
        <v>-0.12894605949700222</v>
      </c>
      <c r="NG50" s="28">
        <f>SUMPRODUCT(INDEX(PortfolioRef[[SPY]:[PE]],MATCH(NG$1,PortfolioRef[Reference '#]),0),AssetMonthlyReturns[[#This Row],[SPY]:[PE]])</f>
        <v>-7.7646409912433004E-2</v>
      </c>
      <c r="NH50" s="27">
        <f>IF(ISNUMBER(NH49),NH49*(1+PortfolioFrontier[[#This Row],[P93 Return]]),1+PortfolioFrontier[[#This Row],[P93 Return]])</f>
        <v>1.1684323126172169</v>
      </c>
      <c r="NI50" s="27">
        <f>MAX(NI49,PortfolioFrontier[[#This Row],[P93 Growth]])</f>
        <v>1.3230988405777211</v>
      </c>
      <c r="NJ50" s="27">
        <f>PortfolioFrontier[[#This Row],[P93 Growth]]/PortfolioFrontier[[#This Row],[P93 HWM]]-1</f>
        <v>-0.11689718350366796</v>
      </c>
      <c r="NK50" s="28">
        <f>SUMPRODUCT(INDEX(PortfolioRef[[SPY]:[PE]],MATCH(NK$1,PortfolioRef[Reference '#]),0),AssetMonthlyReturns[[#This Row],[SPY]:[PE]])</f>
        <v>-0.10880743151512366</v>
      </c>
      <c r="NL50" s="27">
        <f>IF(ISNUMBER(NL49),NL49*(1+PortfolioFrontier[[#This Row],[P94 Return]]),1+PortfolioFrontier[[#This Row],[P94 Return]])</f>
        <v>1.1566938153958752</v>
      </c>
      <c r="NM50" s="27">
        <f>MAX(NM49,PortfolioFrontier[[#This Row],[P94 Growth]])</f>
        <v>1.3660134110915163</v>
      </c>
      <c r="NN50" s="27">
        <f>PortfolioFrontier[[#This Row],[P94 Growth]]/PortfolioFrontier[[#This Row],[P94 HWM]]-1</f>
        <v>-0.1532339243495302</v>
      </c>
      <c r="NO50" s="28">
        <f>SUMPRODUCT(INDEX(PortfolioRef[[SPY]:[PE]],MATCH(NO$1,PortfolioRef[Reference '#]),0),AssetMonthlyReturns[[#This Row],[SPY]:[PE]])</f>
        <v>-9.8175329141018911E-2</v>
      </c>
      <c r="NP50" s="27">
        <f>IF(ISNUMBER(NP49),NP49*(1+PortfolioFrontier[[#This Row],[P95 Return]]),1+PortfolioFrontier[[#This Row],[P95 Return]])</f>
        <v>1.157277150902329</v>
      </c>
      <c r="NQ50" s="27">
        <f>MAX(NQ49,PortfolioFrontier[[#This Row],[P95 Growth]])</f>
        <v>1.3476815118095689</v>
      </c>
      <c r="NR50" s="27">
        <f>PortfolioFrontier[[#This Row],[P95 Growth]]/PortfolioFrontier[[#This Row],[P95 HWM]]-1</f>
        <v>-0.14128290641279095</v>
      </c>
      <c r="NS50" s="28">
        <f>SUMPRODUCT(INDEX(PortfolioRef[[SPY]:[PE]],MATCH(NS$1,PortfolioRef[Reference '#]),0),AssetMonthlyReturns[[#This Row],[SPY]:[PE]])</f>
        <v>-8.7543226766914159E-2</v>
      </c>
      <c r="NT50" s="27">
        <f>IF(ISNUMBER(NT49),NT49*(1+PortfolioFrontier[[#This Row],[P96 Return]]),1+PortfolioFrontier[[#This Row],[P96 Return]])</f>
        <v>1.1574984726952602</v>
      </c>
      <c r="NU50" s="27">
        <f>MAX(NU49,PortfolioFrontier[[#This Row],[P96 Growth]])</f>
        <v>1.3293705166761522</v>
      </c>
      <c r="NV50" s="27">
        <f>PortfolioFrontier[[#This Row],[P96 Growth]]/PortfolioFrontier[[#This Row],[P96 HWM]]-1</f>
        <v>-0.12928829233450034</v>
      </c>
      <c r="NW50" s="28">
        <f>SUMPRODUCT(INDEX(PortfolioRef[[SPY]:[PE]],MATCH(NW$1,PortfolioRef[Reference '#]),0),AssetMonthlyReturns[[#This Row],[SPY]:[PE]])</f>
        <v>-5.3829684914957279E-2</v>
      </c>
      <c r="NX50" s="27">
        <f>IF(ISNUMBER(NX49),NX49*(1+PortfolioFrontier[[#This Row],[P97 Return]]),1+PortfolioFrontier[[#This Row],[P97 Return]])</f>
        <v>1.185376841744411</v>
      </c>
      <c r="NY50" s="27">
        <f>MAX(NY49,PortfolioFrontier[[#This Row],[P97 Growth]])</f>
        <v>1.2839089982785201</v>
      </c>
      <c r="NZ50" s="27">
        <f>PortfolioFrontier[[#This Row],[P97 Growth]]/PortfolioFrontier[[#This Row],[P97 HWM]]-1</f>
        <v>-7.6743878784417019E-2</v>
      </c>
      <c r="OA50" s="28">
        <f>SUMPRODUCT(INDEX(PortfolioRef[[SPY]:[PE]],MATCH(OA$1,PortfolioRef[Reference '#]),0),AssetMonthlyReturns[[#This Row],[SPY]:[PE]])</f>
        <v>-5.3680600834463812E-2</v>
      </c>
      <c r="OB50" s="27">
        <f>IF(ISNUMBER(OB49),OB49*(1+PortfolioFrontier[[#This Row],[P98 Return]]),1+PortfolioFrontier[[#This Row],[P98 Return]])</f>
        <v>1.1886751893079193</v>
      </c>
      <c r="OC50" s="27">
        <f>MAX(OC49,PortfolioFrontier[[#This Row],[P98 Growth]])</f>
        <v>1.2886029544386322</v>
      </c>
      <c r="OD50" s="27">
        <f>PortfolioFrontier[[#This Row],[P98 Growth]]/PortfolioFrontier[[#This Row],[P98 HWM]]-1</f>
        <v>-7.7547366150689467E-2</v>
      </c>
      <c r="OE50" s="28">
        <f>SUMPRODUCT(INDEX(PortfolioRef[[SPY]:[PE]],MATCH(OE$1,PortfolioRef[Reference '#]),0),AssetMonthlyReturns[[#This Row],[SPY]:[PE]])</f>
        <v>-6.3577417688944968E-2</v>
      </c>
      <c r="OF50" s="27">
        <f>IF(ISNUMBER(OF49),OF49*(1+PortfolioFrontier[[#This Row],[P99 Return]]),1+PortfolioFrontier[[#This Row],[P99 Return]])</f>
        <v>1.1784272639144557</v>
      </c>
      <c r="OG50" s="27">
        <f>MAX(OG49,PortfolioFrontier[[#This Row],[P99 Growth]])</f>
        <v>1.2952406179801268</v>
      </c>
      <c r="OH50" s="27">
        <f>PortfolioFrontier[[#This Row],[P99 Growth]]/PortfolioFrontier[[#This Row],[P99 HWM]]-1</f>
        <v>-9.018660505554299E-2</v>
      </c>
      <c r="OI50" s="28">
        <f>SUMPRODUCT(INDEX(PortfolioRef[[SPY]:[PE]],MATCH(OI$1,PortfolioRef[Reference '#]),0),AssetMonthlyReturns[[#This Row],[SPY]:[PE]])</f>
        <v>-5.2945315314840216E-2</v>
      </c>
      <c r="OJ50" s="27">
        <f>IF(ISNUMBER(OJ49),OJ49*(1+PortfolioFrontier[[#This Row],[P100 Return]]),1+PortfolioFrontier[[#This Row],[P100 Return]])</f>
        <v>1.1776448602179257</v>
      </c>
      <c r="OK50" s="27">
        <f>MAX(OK49,PortfolioFrontier[[#This Row],[P100 Growth]])</f>
        <v>1.2771542835713614</v>
      </c>
      <c r="OL50" s="27">
        <f>PortfolioFrontier[[#This Row],[P100 Growth]]/PortfolioFrontier[[#This Row],[P100 HWM]]-1</f>
        <v>-7.7914958774732535E-2</v>
      </c>
      <c r="OM50" s="28">
        <f>SUMPRODUCT(INDEX(PortfolioRef[[SPY]:[PE]],MATCH(OM$1,PortfolioRef[Reference '#]),0),AssetMonthlyReturns[[#This Row],[SPY]:[PE]])</f>
        <v>-5.3531516753970346E-2</v>
      </c>
      <c r="ON50" s="27">
        <f>IF(ISNUMBER(ON49),ON49*(1+PortfolioFrontier[[#This Row],[P101 Return]]),1+PortfolioFrontier[[#This Row],[P101 Return]])</f>
        <v>1.1918645585974263</v>
      </c>
      <c r="OO50" s="27">
        <f>MAX(OO49,PortfolioFrontier[[#This Row],[P101 Growth]])</f>
        <v>1.2931872717607511</v>
      </c>
      <c r="OP50" s="27">
        <f>PortfolioFrontier[[#This Row],[P101 Growth]]/PortfolioFrontier[[#This Row],[P101 HWM]]-1</f>
        <v>-7.835115251742919E-2</v>
      </c>
      <c r="OQ50" s="28">
        <f>SUMPRODUCT(INDEX(PortfolioRef[[SPY]:[PE]],MATCH(OQ$1,PortfolioRef[Reference '#]),0),AssetMonthlyReturns[[#This Row],[SPY]:[PE]])</f>
        <v>-6.3428333608451501E-2</v>
      </c>
      <c r="OR50" s="27">
        <f>IF(ISNUMBER(OR49),OR49*(1+PortfolioFrontier[[#This Row],[P102 Return]]),1+PortfolioFrontier[[#This Row],[P102 Return]])</f>
        <v>1.1817055561649106</v>
      </c>
      <c r="OS50" s="27">
        <f>MAX(OS49,PortfolioFrontier[[#This Row],[P102 Growth]])</f>
        <v>1.2999788590693837</v>
      </c>
      <c r="OT50" s="27">
        <f>PortfolioFrontier[[#This Row],[P102 Growth]]/PortfolioFrontier[[#This Row],[P102 HWM]]-1</f>
        <v>-9.0980943327910291E-2</v>
      </c>
      <c r="OU50" s="28">
        <f>SUMPRODUCT(INDEX(PortfolioRef[[SPY]:[PE]],MATCH(OU$1,PortfolioRef[Reference '#]),0),AssetMonthlyReturns[[#This Row],[SPY]:[PE]])</f>
        <v>-5.2796231234346749E-2</v>
      </c>
      <c r="OV50" s="27">
        <f>IF(ISNUMBER(OV49),OV49*(1+PortfolioFrontier[[#This Row],[P103 Return]]),1+PortfolioFrontier[[#This Row],[P103 Return]])</f>
        <v>1.1809423742348186</v>
      </c>
      <c r="OW50" s="27">
        <f>MAX(OW49,PortfolioFrontier[[#This Row],[P103 Growth]])</f>
        <v>1.2818490900225987</v>
      </c>
      <c r="OX50" s="27">
        <f>PortfolioFrontier[[#This Row],[P103 Growth]]/PortfolioFrontier[[#This Row],[P103 HWM]]-1</f>
        <v>-7.8719653173838999E-2</v>
      </c>
      <c r="OY50" s="28">
        <f>SUMPRODUCT(INDEX(PortfolioRef[[SPY]:[PE]],MATCH(OY$1,PortfolioRef[Reference '#]),0),AssetMonthlyReturns[[#This Row],[SPY]:[PE]])</f>
        <v>-7.332515046293267E-2</v>
      </c>
      <c r="OZ50" s="27">
        <f>IF(ISNUMBER(OZ49),OZ49*(1+PortfolioFrontier[[#This Row],[P104 Return]]),1+PortfolioFrontier[[#This Row],[P104 Return]])</f>
        <v>1.1712173575454028</v>
      </c>
      <c r="PA50" s="27">
        <f>MAX(PA49,PortfolioFrontier[[#This Row],[P104 Growth]])</f>
        <v>1.3065024022164191</v>
      </c>
      <c r="PB50" s="27">
        <f>PortfolioFrontier[[#This Row],[P104 Growth]]/PortfolioFrontier[[#This Row],[P104 HWM]]-1</f>
        <v>-0.10354749018563736</v>
      </c>
      <c r="PC50" s="28">
        <f>SUMPRODUCT(INDEX(PortfolioRef[[SPY]:[PE]],MATCH(PC$1,PortfolioRef[Reference '#]),0),AssetMonthlyReturns[[#This Row],[SPY]:[PE]])</f>
        <v>-6.2693048088827905E-2</v>
      </c>
      <c r="PD50" s="27">
        <f>IF(ISNUMBER(PD49),PD49*(1+PortfolioFrontier[[#This Row],[P105 Return]]),1+PortfolioFrontier[[#This Row],[P105 Return]])</f>
        <v>1.1707352939769069</v>
      </c>
      <c r="PE50" s="27">
        <f>MAX(PE49,PortfolioFrontier[[#This Row],[P105 Growth]])</f>
        <v>1.2884201892437714</v>
      </c>
      <c r="PF50" s="27">
        <f>PortfolioFrontier[[#This Row],[P105 Growth]]/PortfolioFrontier[[#This Row],[P105 HWM]]-1</f>
        <v>-9.134046194660983E-2</v>
      </c>
      <c r="PG50" s="28">
        <f>SUMPRODUCT(INDEX(PortfolioRef[[SPY]:[PE]],MATCH(PG$1,PortfolioRef[Reference '#]),0),AssetMonthlyReturns[[#This Row],[SPY]:[PE]])</f>
        <v>-5.2060945714723153E-2</v>
      </c>
      <c r="PH50" s="27">
        <f>IF(ISNUMBER(PH49),PH49*(1+PortfolioFrontier[[#This Row],[P106 Return]]),1+PortfolioFrontier[[#This Row],[P106 Return]])</f>
        <v>1.1698990112928751</v>
      </c>
      <c r="PI50" s="27">
        <f>MAX(PI49,PortfolioFrontier[[#This Row],[P106 Growth]])</f>
        <v>1.2703725716315561</v>
      </c>
      <c r="PJ50" s="27">
        <f>PortfolioFrontier[[#This Row],[P106 Growth]]/PortfolioFrontier[[#This Row],[P106 HWM]]-1</f>
        <v>-7.9089837566031163E-2</v>
      </c>
      <c r="PK50" s="28">
        <f>SUMPRODUCT(INDEX(PortfolioRef[[SPY]:[PE]],MATCH(PK$1,PortfolioRef[Reference '#]),0),AssetMonthlyReturns[[#This Row],[SPY]:[PE]])</f>
        <v>-6.3279249527958034E-2</v>
      </c>
      <c r="PL50" s="27">
        <f>IF(ISNUMBER(PL49),PL49*(1+PortfolioFrontier[[#This Row],[P107 Return]]),1+PortfolioFrontier[[#This Row],[P107 Return]])</f>
        <v>1.1848755791778738</v>
      </c>
      <c r="PM50" s="27">
        <f>MAX(PM49,PortfolioFrontier[[#This Row],[P107 Growth]])</f>
        <v>1.3046066080909935</v>
      </c>
      <c r="PN50" s="27">
        <f>PortfolioFrontier[[#This Row],[P107 Growth]]/PortfolioFrontier[[#This Row],[P107 HWM]]-1</f>
        <v>-9.1775580600745199E-2</v>
      </c>
      <c r="PO50" s="28">
        <f>SUMPRODUCT(INDEX(PortfolioRef[[SPY]:[PE]],MATCH(PO$1,PortfolioRef[Reference '#]),0),AssetMonthlyReturns[[#This Row],[SPY]:[PE]])</f>
        <v>-5.2647147153853283E-2</v>
      </c>
      <c r="PP50" s="27">
        <f>IF(ISNUMBER(PP49),PP49*(1+PortfolioFrontier[[#This Row],[P108 Return]]),1+PortfolioFrontier[[#This Row],[P108 Return]])</f>
        <v>1.184131690692162</v>
      </c>
      <c r="PQ50" s="27">
        <f>MAX(PQ49,PortfolioFrontier[[#This Row],[P108 Growth]])</f>
        <v>1.2864349776276793</v>
      </c>
      <c r="PR50" s="27">
        <f>PortfolioFrontier[[#This Row],[P108 Growth]]/PortfolioFrontier[[#This Row],[P108 HWM]]-1</f>
        <v>-7.9524646573412738E-2</v>
      </c>
      <c r="PS50" s="28">
        <f>SUMPRODUCT(INDEX(PortfolioRef[[SPY]:[PE]],MATCH(PS$1,PortfolioRef[Reference '#]),0),AssetMonthlyReturns[[#This Row],[SPY]:[PE]])</f>
        <v>-7.3176066382439203E-2</v>
      </c>
      <c r="PT50" s="27">
        <f>IF(ISNUMBER(PT49),PT49*(1+PortfolioFrontier[[#This Row],[P109 Return]]),1+PortfolioFrontier[[#This Row],[P109 Return]])</f>
        <v>1.1744750271739297</v>
      </c>
      <c r="PU50" s="27">
        <f>MAX(PU49,PortfolioFrontier[[#This Row],[P109 Growth]])</f>
        <v>1.3112848935250687</v>
      </c>
      <c r="PV50" s="27">
        <f>PortfolioFrontier[[#This Row],[P109 Growth]]/PortfolioFrontier[[#This Row],[P109 HWM]]-1</f>
        <v>-0.10433267936409996</v>
      </c>
      <c r="PW50" s="28">
        <f>SUMPRODUCT(INDEX(PortfolioRef[[SPY]:[PE]],MATCH(PW$1,PortfolioRef[Reference '#]),0),AssetMonthlyReturns[[#This Row],[SPY]:[PE]])</f>
        <v>-6.2543964008334438E-2</v>
      </c>
      <c r="PX50" s="27">
        <f>IF(ISNUMBER(PX49),PX49*(1+PortfolioFrontier[[#This Row],[P110 Return]]),1+PortfolioFrontier[[#This Row],[P110 Return]])</f>
        <v>1.1740127613416975</v>
      </c>
      <c r="PY50" s="27">
        <f>MAX(PY49,PortfolioFrontier[[#This Row],[P110 Growth]])</f>
        <v>1.2931592955766995</v>
      </c>
      <c r="PZ50" s="27">
        <f>PortfolioFrontier[[#This Row],[P110 Growth]]/PortfolioFrontier[[#This Row],[P110 HWM]]-1</f>
        <v>-9.2136007251811258E-2</v>
      </c>
      <c r="QA50" s="28">
        <f>SUMPRODUCT(INDEX(PortfolioRef[[SPY]:[PE]],MATCH(QA$1,PortfolioRef[Reference '#]),0),AssetMonthlyReturns[[#This Row],[SPY]:[PE]])</f>
        <v>-5.1911861634229686E-2</v>
      </c>
      <c r="QB50" s="27">
        <f>IF(ISNUMBER(QB49),QB49*(1+PortfolioFrontier[[#This Row],[P111 Return]]),1+PortfolioFrontier[[#This Row],[P111 Return]])</f>
        <v>1.1731953724662618</v>
      </c>
      <c r="QC50" s="27">
        <f>MAX(QC49,PortfolioFrontier[[#This Row],[P111 Growth]])</f>
        <v>1.2750678615362652</v>
      </c>
      <c r="QD50" s="27">
        <f>PortfolioFrontier[[#This Row],[P111 Growth]]/PortfolioFrontier[[#This Row],[P111 HWM]]-1</f>
        <v>-7.9895738997971644E-2</v>
      </c>
      <c r="QE50" s="28">
        <f>SUMPRODUCT(INDEX(PortfolioRef[[SPY]:[PE]],MATCH(QE$1,PortfolioRef[Reference '#]),0),AssetMonthlyReturns[[#This Row],[SPY]:[PE]])</f>
        <v>-8.3072883236920358E-2</v>
      </c>
      <c r="QF50" s="27">
        <f>IF(ISNUMBER(QF49),QF49*(1+PortfolioFrontier[[#This Row],[P112 Return]]),1+PortfolioFrontier[[#This Row],[P112 Return]])</f>
        <v>1.1637495074813722</v>
      </c>
      <c r="QG50" s="27">
        <f>MAX(QG49,PortfolioFrontier[[#This Row],[P112 Growth]])</f>
        <v>1.3176907510393581</v>
      </c>
      <c r="QH50" s="27">
        <f>PortfolioFrontier[[#This Row],[P112 Growth]]/PortfolioFrontier[[#This Row],[P112 HWM]]-1</f>
        <v>-0.11682653417470013</v>
      </c>
      <c r="QI50" s="28">
        <f>SUMPRODUCT(INDEX(PortfolioRef[[SPY]:[PE]],MATCH(QI$1,PortfolioRef[Reference '#]),0),AssetMonthlyReturns[[#This Row],[SPY]:[PE]])</f>
        <v>-7.2440780862815607E-2</v>
      </c>
      <c r="QJ50" s="27">
        <f>IF(ISNUMBER(QJ49),QJ49*(1+PortfolioFrontier[[#This Row],[P113 Return]]),1+PortfolioFrontier[[#This Row],[P113 Return]])</f>
        <v>1.1635671884392929</v>
      </c>
      <c r="QK50" s="27">
        <f>MAX(QK49,PortfolioFrontier[[#This Row],[P113 Growth]])</f>
        <v>1.2996163919358374</v>
      </c>
      <c r="QL50" s="27">
        <f>PortfolioFrontier[[#This Row],[P113 Growth]]/PortfolioFrontier[[#This Row],[P113 HWM]]-1</f>
        <v>-0.10468412397745552</v>
      </c>
      <c r="QM50" s="28">
        <f>SUMPRODUCT(INDEX(PortfolioRef[[SPY]:[PE]],MATCH(QM$1,PortfolioRef[Reference '#]),0),AssetMonthlyReturns[[#This Row],[SPY]:[PE]])</f>
        <v>-6.1808678488710841E-2</v>
      </c>
      <c r="QN50" s="27">
        <f>IF(ISNUMBER(QN49),QN49*(1+PortfolioFrontier[[#This Row],[P114 Return]]),1+PortfolioFrontier[[#This Row],[P114 Return]])</f>
        <v>1.163029508194598</v>
      </c>
      <c r="QO50" s="27">
        <f>MAX(QO49,PortfolioFrontier[[#This Row],[P114 Growth]])</f>
        <v>1.2815725573685524</v>
      </c>
      <c r="QP50" s="27">
        <f>PortfolioFrontier[[#This Row],[P114 Growth]]/PortfolioFrontier[[#This Row],[P114 HWM]]-1</f>
        <v>-9.2498117638659672E-2</v>
      </c>
      <c r="QQ50" s="28">
        <f>SUMPRODUCT(INDEX(PortfolioRef[[SPY]:[PE]],MATCH(QQ$1,PortfolioRef[Reference '#]),0),AssetMonthlyReturns[[#This Row],[SPY]:[PE]])</f>
        <v>-7.3026982301945736E-2</v>
      </c>
      <c r="QR50" s="27">
        <f>IF(ISNUMBER(QR49),QR49*(1+PortfolioFrontier[[#This Row],[P115 Return]]),1+PortfolioFrontier[[#This Row],[P115 Return]])</f>
        <v>1.1776251588960529</v>
      </c>
      <c r="QS50" s="27">
        <f>MAX(QS49,PortfolioFrontier[[#This Row],[P115 Growth]])</f>
        <v>1.3159560471384115</v>
      </c>
      <c r="QT50" s="27">
        <f>PortfolioFrontier[[#This Row],[P115 Growth]]/PortfolioFrontier[[#This Row],[P115 HWM]]-1</f>
        <v>-0.10511816754302972</v>
      </c>
      <c r="QU50" s="28">
        <f>SUMPRODUCT(INDEX(PortfolioRef[[SPY]:[PE]],MATCH(QU$1,PortfolioRef[Reference '#]),0),AssetMonthlyReturns[[#This Row],[SPY]:[PE]])</f>
        <v>-6.2394879927840971E-2</v>
      </c>
      <c r="QV50" s="27">
        <f>IF(ISNUMBER(QV49),QV49*(1+PortfolioFrontier[[#This Row],[P116 Return]]),1+PortfolioFrontier[[#This Row],[P116 Return]])</f>
        <v>1.1771827356843361</v>
      </c>
      <c r="QW50" s="27">
        <f>MAX(QW49,PortfolioFrontier[[#This Row],[P116 Growth]])</f>
        <v>1.2977886366152487</v>
      </c>
      <c r="QX50" s="27">
        <f>PortfolioFrontier[[#This Row],[P116 Growth]]/PortfolioFrontier[[#This Row],[P116 HWM]]-1</f>
        <v>-9.2931851557479961E-2</v>
      </c>
      <c r="QY50" s="28">
        <f>SUMPRODUCT(INDEX(PortfolioRef[[SPY]:[PE]],MATCH(QY$1,PortfolioRef[Reference '#]),0),AssetMonthlyReturns[[#This Row],[SPY]:[PE]])</f>
        <v>-5.1762777553736219E-2</v>
      </c>
      <c r="QZ50" s="27">
        <f>IF(ISNUMBER(QZ49),QZ49*(1+PortfolioFrontier[[#This Row],[P117 Return]]),1+PortfolioFrontier[[#This Row],[P117 Return]])</f>
        <v>1.1763843170646275</v>
      </c>
      <c r="RA50" s="27">
        <f>MAX(RA49,PortfolioFrontier[[#This Row],[P117 Growth]])</f>
        <v>1.2796549536237569</v>
      </c>
      <c r="RB50" s="27">
        <f>PortfolioFrontier[[#This Row],[P117 Growth]]/PortfolioFrontier[[#This Row],[P117 HWM]]-1</f>
        <v>-8.0701939430379399E-2</v>
      </c>
      <c r="RC50" s="28">
        <f>SUMPRODUCT(INDEX(PortfolioRef[[SPY]:[PE]],MATCH(RC$1,PortfolioRef[Reference '#]),0),AssetMonthlyReturns[[#This Row],[SPY]:[PE]])</f>
        <v>-8.2923799156426892E-2</v>
      </c>
      <c r="RD50" s="27">
        <f>IF(ISNUMBER(RD49),RD49*(1+PortfolioFrontier[[#This Row],[P118 Return]]),1+PortfolioFrontier[[#This Row],[P118 Return]])</f>
        <v>1.1669859927982145</v>
      </c>
      <c r="RE50" s="27">
        <f>MAX(RE49,PortfolioFrontier[[#This Row],[P118 Growth]])</f>
        <v>1.3225174493438376</v>
      </c>
      <c r="RF50" s="27">
        <f>PortfolioFrontier[[#This Row],[P118 Growth]]/PortfolioFrontier[[#This Row],[P118 HWM]]-1</f>
        <v>-0.11760257425925802</v>
      </c>
      <c r="RG50" s="28">
        <f>SUMPRODUCT(INDEX(PortfolioRef[[SPY]:[PE]],MATCH(RG$1,PortfolioRef[Reference '#]),0),AssetMonthlyReturns[[#This Row],[SPY]:[PE]])</f>
        <v>-7.229169678232214E-2</v>
      </c>
      <c r="RH50" s="27">
        <f>IF(ISNUMBER(RH49),RH49*(1+PortfolioFrontier[[#This Row],[P119 Return]]),1+PortfolioFrontier[[#This Row],[P119 Return]])</f>
        <v>1.1668240415944358</v>
      </c>
      <c r="RI50" s="27">
        <f>MAX(RI49,PortfolioFrontier[[#This Row],[P119 Growth]])</f>
        <v>1.3043997631477102</v>
      </c>
      <c r="RJ50" s="27">
        <f>PortfolioFrontier[[#This Row],[P119 Growth]]/PortfolioFrontier[[#This Row],[P119 HWM]]-1</f>
        <v>-0.10547052018875247</v>
      </c>
      <c r="RK50" s="28">
        <f>SUMPRODUCT(INDEX(PortfolioRef[[SPY]:[PE]],MATCH(RK$1,PortfolioRef[Reference '#]),0),AssetMonthlyReturns[[#This Row],[SPY]:[PE]])</f>
        <v>-6.1659594408217375E-2</v>
      </c>
      <c r="RL50" s="27">
        <f>IF(ISNUMBER(RL49),RL49*(1+PortfolioFrontier[[#This Row],[P120 Return]]),1+PortfolioFrontier[[#This Row],[P120 Return]])</f>
        <v>1.1663058328055156</v>
      </c>
      <c r="RM50" s="27">
        <f>MAX(RM49,PortfolioFrontier[[#This Row],[P120 Growth]])</f>
        <v>1.2863121583700958</v>
      </c>
      <c r="RN50" s="27">
        <f>PortfolioFrontier[[#This Row],[P120 Growth]]/PortfolioFrontier[[#This Row],[P120 HWM]]-1</f>
        <v>-9.3294869976695227E-2</v>
      </c>
      <c r="RO50" s="28">
        <f>SUMPRODUCT(INDEX(PortfolioRef[[SPY]:[PE]],MATCH(RO$1,PortfolioRef[Reference '#]),0),AssetMonthlyReturns[[#This Row],[SPY]:[PE]])</f>
        <v>-9.2820616010908047E-2</v>
      </c>
      <c r="RP50" s="27">
        <f>IF(ISNUMBER(RP49),RP49*(1+PortfolioFrontier[[#This Row],[P121 Return]]),1+PortfolioFrontier[[#This Row],[P121 Return]])</f>
        <v>1.1560262350476564</v>
      </c>
      <c r="RQ50" s="27">
        <f>MAX(RQ49,PortfolioFrontier[[#This Row],[P121 Growth]])</f>
        <v>1.328802042358554</v>
      </c>
      <c r="RR50" s="27">
        <f>PortfolioFrontier[[#This Row],[P121 Growth]]/PortfolioFrontier[[#This Row],[P121 HWM]]-1</f>
        <v>-0.13002373702273184</v>
      </c>
      <c r="RS50" s="28">
        <f>SUMPRODUCT(INDEX(PortfolioRef[[SPY]:[PE]],MATCH(RS$1,PortfolioRef[Reference '#]),0),AssetMonthlyReturns[[#This Row],[SPY]:[PE]])</f>
        <v>-8.2188513636803295E-2</v>
      </c>
      <c r="RT50" s="27">
        <f>IF(ISNUMBER(RT49),RT49*(1+PortfolioFrontier[[#This Row],[P122 Return]]),1+PortfolioFrontier[[#This Row],[P122 Return]])</f>
        <v>1.1561429200785598</v>
      </c>
      <c r="RU50" s="27">
        <f>MAX(RU49,PortfolioFrontier[[#This Row],[P122 Growth]])</f>
        <v>1.3107393059993191</v>
      </c>
      <c r="RV50" s="27">
        <f>PortfolioFrontier[[#This Row],[P122 Growth]]/PortfolioFrontier[[#This Row],[P122 HWM]]-1</f>
        <v>-0.11794594486726995</v>
      </c>
      <c r="RW50" s="28">
        <f>SUMPRODUCT(INDEX(PortfolioRef[[SPY]:[PE]],MATCH(RW$1,PortfolioRef[Reference '#]),0),AssetMonthlyReturns[[#This Row],[SPY]:[PE]])</f>
        <v>-7.1556411262698544E-2</v>
      </c>
      <c r="RX50" s="27">
        <f>IF(ISNUMBER(RX49),RX49*(1+PortfolioFrontier[[#This Row],[P123 Return]]),1+PortfolioFrontier[[#This Row],[P123 Return]])</f>
        <v>1.1559032554426409</v>
      </c>
      <c r="RY50" s="27">
        <f>MAX(RY49,PortfolioFrontier[[#This Row],[P123 Growth]])</f>
        <v>1.2927029744957004</v>
      </c>
      <c r="RZ50" s="27">
        <f>PortfolioFrontier[[#This Row],[P123 Growth]]/PortfolioFrontier[[#This Row],[P123 HWM]]-1</f>
        <v>-0.1058245565702568</v>
      </c>
      <c r="SA50" s="28">
        <f>SUMPRODUCT(INDEX(PortfolioRef[[SPY]:[PE]],MATCH(SA$1,PortfolioRef[Reference '#]),0),AssetMonthlyReturns[[#This Row],[SPY]:[PE]])</f>
        <v>-8.2774715075933425E-2</v>
      </c>
      <c r="SB50" s="27">
        <f>IF(ISNUMBER(SB49),SB49*(1+PortfolioFrontier[[#This Row],[P124 Return]]),1+PortfolioFrontier[[#This Row],[P124 Return]])</f>
        <v>1.1701156935815002</v>
      </c>
      <c r="SC50" s="27">
        <f>MAX(SC49,PortfolioFrontier[[#This Row],[P124 Growth]])</f>
        <v>1.327231972207175</v>
      </c>
      <c r="SD50" s="27">
        <f>PortfolioFrontier[[#This Row],[P124 Growth]]/PortfolioFrontier[[#This Row],[P124 HWM]]-1</f>
        <v>-0.11837891334428285</v>
      </c>
      <c r="SE50" s="28">
        <f>SUMPRODUCT(INDEX(PortfolioRef[[SPY]:[PE]],MATCH(SE$1,PortfolioRef[Reference '#]),0),AssetMonthlyReturns[[#This Row],[SPY]:[PE]])</f>
        <v>-7.2142612701828673E-2</v>
      </c>
      <c r="SF50" s="27">
        <f>IF(ISNUMBER(SF49),SF49*(1+PortfolioFrontier[[#This Row],[P125 Return]]),1+PortfolioFrontier[[#This Row],[P125 Return]])</f>
        <v>1.1699741283907681</v>
      </c>
      <c r="SG50" s="27">
        <f>MAX(SG49,PortfolioFrontier[[#This Row],[P125 Growth]])</f>
        <v>1.3090725302079753</v>
      </c>
      <c r="SH50" s="27">
        <f>PortfolioFrontier[[#This Row],[P125 Growth]]/PortfolioFrontier[[#This Row],[P125 HWM]]-1</f>
        <v>-0.10625721540051591</v>
      </c>
      <c r="SI50" s="28">
        <f>SUMPRODUCT(INDEX(PortfolioRef[[SPY]:[PE]],MATCH(SI$1,PortfolioRef[Reference '#]),0),AssetMonthlyReturns[[#This Row],[SPY]:[PE]])</f>
        <v>-6.1510510327723908E-2</v>
      </c>
      <c r="SJ50" s="27">
        <f>IF(ISNUMBER(SJ49),SJ49*(1+PortfolioFrontier[[#This Row],[P126 Return]]),1+PortfolioFrontier[[#This Row],[P126 Return]])</f>
        <v>1.1694754408788588</v>
      </c>
      <c r="SK50" s="27">
        <f>MAX(SK49,PortfolioFrontier[[#This Row],[P126 Growth]])</f>
        <v>1.2909427218892937</v>
      </c>
      <c r="SL50" s="27">
        <f>PortfolioFrontier[[#This Row],[P126 Growth]]/PortfolioFrontier[[#This Row],[P126 HWM]]-1</f>
        <v>-9.4091921315197946E-2</v>
      </c>
      <c r="SM50" s="28">
        <f>SUMPRODUCT(INDEX(PortfolioRef[[SPY]:[PE]],MATCH(SM$1,PortfolioRef[Reference '#]),0),AssetMonthlyReturns[[#This Row],[SPY]:[PE]])</f>
        <v>-9.267153193041458E-2</v>
      </c>
      <c r="SN50" s="27">
        <f>IF(ISNUMBER(SN49),SN49*(1+PortfolioFrontier[[#This Row],[P127 Return]]),1+PortfolioFrontier[[#This Row],[P127 Return]])</f>
        <v>1.1592409802336545</v>
      </c>
      <c r="SO50" s="27">
        <f>MAX(SO49,PortfolioFrontier[[#This Row],[P127 Growth]])</f>
        <v>1.3336728958457496</v>
      </c>
      <c r="SP50" s="27">
        <f>PortfolioFrontier[[#This Row],[P127 Growth]]/PortfolioFrontier[[#This Row],[P127 HWM]]-1</f>
        <v>-0.1307906280133847</v>
      </c>
      <c r="SQ50" s="28">
        <f>SUMPRODUCT(INDEX(PortfolioRef[[SPY]:[PE]],MATCH(SQ$1,PortfolioRef[Reference '#]),0),AssetMonthlyReturns[[#This Row],[SPY]:[PE]])</f>
        <v>-8.2039429556309829E-2</v>
      </c>
      <c r="SR50" s="27">
        <f>IF(ISNUMBER(SR49),SR49*(1+PortfolioFrontier[[#This Row],[P128 Return]]),1+PortfolioFrontier[[#This Row],[P128 Return]])</f>
        <v>1.1593785970951798</v>
      </c>
      <c r="SS50" s="27">
        <f>MAX(SS49,PortfolioFrontier[[#This Row],[P128 Growth]])</f>
        <v>1.3155668985617981</v>
      </c>
      <c r="ST50" s="27">
        <f>PortfolioFrontier[[#This Row],[P128 Growth]]/PortfolioFrontier[[#This Row],[P128 HWM]]-1</f>
        <v>-0.11872319198466175</v>
      </c>
      <c r="SU50" s="28">
        <f>SUMPRODUCT(INDEX(PortfolioRef[[SPY]:[PE]],MATCH(SU$1,PortfolioRef[Reference '#]),0),AssetMonthlyReturns[[#This Row],[SPY]:[PE]])</f>
        <v>-7.1407327182205077E-2</v>
      </c>
      <c r="SV50" s="27">
        <f>IF(ISNUMBER(SV49),SV49*(1+PortfolioFrontier[[#This Row],[P129 Return]]),1+PortfolioFrontier[[#This Row],[P129 Return]])</f>
        <v>1.1591589757474325</v>
      </c>
      <c r="SW50" s="27">
        <f>MAX(SW49,PortfolioFrontier[[#This Row],[P129 Growth]])</f>
        <v>1.2974868512947333</v>
      </c>
      <c r="SX50" s="27">
        <f>PortfolioFrontier[[#This Row],[P129 Growth]]/PortfolioFrontier[[#This Row],[P129 HWM]]-1</f>
        <v>-0.10661215981438765</v>
      </c>
      <c r="SY50" s="28">
        <f>SUMPRODUCT(INDEX(PortfolioRef[[SPY]:[PE]],MATCH(SY$1,PortfolioRef[Reference '#]),0),AssetMonthlyReturns[[#This Row],[SPY]:[PE]])</f>
        <v>-0.10256834878489574</v>
      </c>
      <c r="SZ50" s="27">
        <f>IF(ISNUMBER(SZ49),SZ49*(1+PortfolioFrontier[[#This Row],[P130 Return]]),1+PortfolioFrontier[[#This Row],[P130 Return]])</f>
        <v>1.1480501974702</v>
      </c>
      <c r="TA50" s="27">
        <f>MAX(TA49,PortfolioFrontier[[#This Row],[P130 Growth]])</f>
        <v>1.3398326330075903</v>
      </c>
      <c r="TB50" s="27">
        <f>PortfolioFrontier[[#This Row],[P130 Growth]]/PortfolioFrontier[[#This Row],[P130 HWM]]-1</f>
        <v>-0.14313909872973207</v>
      </c>
      <c r="TC50" s="28">
        <f>SUMPRODUCT(INDEX(PortfolioRef[[SPY]:[PE]],MATCH(TC$1,PortfolioRef[Reference '#]),0),AssetMonthlyReturns[[#This Row],[SPY]:[PE]])</f>
        <v>-9.1936246410790984E-2</v>
      </c>
      <c r="TD50" s="27">
        <f>IF(ISNUMBER(TD49),TD49*(1+PortfolioFrontier[[#This Row],[P131 Return]]),1+PortfolioFrontier[[#This Row],[P131 Return]])</f>
        <v>1.1484650010097253</v>
      </c>
      <c r="TE50" s="27">
        <f>MAX(TE49,PortfolioFrontier[[#This Row],[P131 Growth]])</f>
        <v>1.3217853237274109</v>
      </c>
      <c r="TF50" s="27">
        <f>PortfolioFrontier[[#This Row],[P131 Growth]]/PortfolioFrontier[[#This Row],[P131 HWM]]-1</f>
        <v>-0.13112592461605299</v>
      </c>
      <c r="TG50" s="28">
        <f>SUMPRODUCT(INDEX(PortfolioRef[[SPY]:[PE]],MATCH(TG$1,PortfolioRef[Reference '#]),0),AssetMonthlyReturns[[#This Row],[SPY]:[PE]])</f>
        <v>-8.1304144036686232E-2</v>
      </c>
      <c r="TH50" s="27">
        <f>IF(ISNUMBER(TH49),TH49*(1+PortfolioFrontier[[#This Row],[P132 Return]]),1+PortfolioFrontier[[#This Row],[P132 Return]])</f>
        <v>1.148522621072954</v>
      </c>
      <c r="TI50" s="27">
        <f>MAX(TI49,PortfolioFrontier[[#This Row],[P132 Growth]])</f>
        <v>1.3037602517364684</v>
      </c>
      <c r="TJ50" s="27">
        <f>PortfolioFrontier[[#This Row],[P132 Growth]]/PortfolioFrontier[[#This Row],[P132 HWM]]-1</f>
        <v>-0.11906915436082255</v>
      </c>
      <c r="TK50" s="28">
        <f>SUMPRODUCT(INDEX(PortfolioRef[[SPY]:[PE]],MATCH(TK$1,PortfolioRef[Reference '#]),0),AssetMonthlyReturns[[#This Row],[SPY]:[PE]])</f>
        <v>-9.2522447849921113E-2</v>
      </c>
      <c r="TL50" s="27">
        <f>IF(ISNUMBER(TL49),TL49*(1+PortfolioFrontier[[#This Row],[P133 Return]]),1+PortfolioFrontier[[#This Row],[P133 Return]])</f>
        <v>1.1623497160371759</v>
      </c>
      <c r="TM50" s="27">
        <f>MAX(TM49,PortfolioFrontier[[#This Row],[P133 Growth]])</f>
        <v>1.3384307443085539</v>
      </c>
      <c r="TN50" s="27">
        <f>PortfolioFrontier[[#This Row],[P133 Growth]]/PortfolioFrontier[[#This Row],[P133 HWM]]-1</f>
        <v>-0.13155781800450439</v>
      </c>
      <c r="TO50" s="28">
        <f>SUMPRODUCT(INDEX(PortfolioRef[[SPY]:[PE]],MATCH(TO$1,PortfolioRef[Reference '#]),0),AssetMonthlyReturns[[#This Row],[SPY]:[PE]])</f>
        <v>-8.1890345475816362E-2</v>
      </c>
      <c r="TP50" s="27">
        <f>IF(ISNUMBER(TP49),TP49*(1+PortfolioFrontier[[#This Row],[P134 Return]]),1+PortfolioFrontier[[#This Row],[P134 Return]])</f>
        <v>1.1625082562905247</v>
      </c>
      <c r="TQ50" s="27">
        <f>MAX(TQ49,PortfolioFrontier[[#This Row],[P134 Growth]])</f>
        <v>1.3202830559849814</v>
      </c>
      <c r="TR50" s="27">
        <f>PortfolioFrontier[[#This Row],[P134 Growth]]/PortfolioFrontier[[#This Row],[P134 HWM]]-1</f>
        <v>-0.1195007381025206</v>
      </c>
      <c r="TS50" s="28">
        <f>SUMPRODUCT(INDEX(PortfolioRef[[SPY]:[PE]],MATCH(TS$1,PortfolioRef[Reference '#]),0),AssetMonthlyReturns[[#This Row],[SPY]:[PE]])</f>
        <v>-7.125824310171161E-2</v>
      </c>
      <c r="TT50" s="27">
        <f>IF(ISNUMBER(TT49),TT49*(1+PortfolioFrontier[[#This Row],[P135 Return]]),1+PortfolioFrontier[[#This Row],[P135 Return]])</f>
        <v>1.1623087015095896</v>
      </c>
      <c r="TU50" s="27">
        <f>MAX(TU49,PortfolioFrontier[[#This Row],[P135 Growth]])</f>
        <v>1.3021608585260711</v>
      </c>
      <c r="TV50" s="27">
        <f>PortfolioFrontier[[#This Row],[P135 Growth]]/PortfolioFrontier[[#This Row],[P135 HWM]]-1</f>
        <v>-0.10740006205898522</v>
      </c>
      <c r="TW50" s="28">
        <f>SUMPRODUCT(INDEX(PortfolioRef[[SPY]:[PE]],MATCH(TW$1,PortfolioRef[Reference '#]),0),AssetMonthlyReturns[[#This Row],[SPY]:[PE]])</f>
        <v>-0.10241926470440227</v>
      </c>
      <c r="TX50" s="27">
        <f>IF(ISNUMBER(TX49),TX49*(1+PortfolioFrontier[[#This Row],[P136 Return]]),1+PortfolioFrontier[[#This Row],[P136 Return]])</f>
        <v>1.1512426528263984</v>
      </c>
      <c r="TY50" s="27">
        <f>MAX(TY49,PortfolioFrontier[[#This Row],[P136 Growth]])</f>
        <v>1.3447475812013772</v>
      </c>
      <c r="TZ50" s="27">
        <f>PortfolioFrontier[[#This Row],[P136 Growth]]/PortfolioFrontier[[#This Row],[P136 HWM]]-1</f>
        <v>-0.14389684062647978</v>
      </c>
      <c r="UA50" s="28">
        <f>SUMPRODUCT(INDEX(PortfolioRef[[SPY]:[PE]],MATCH(UA$1,PortfolioRef[Reference '#]),0),AssetMonthlyReturns[[#This Row],[SPY]:[PE]])</f>
        <v>-9.1787162330297517E-2</v>
      </c>
      <c r="UB50" s="27">
        <f>IF(ISNUMBER(UB49),UB49*(1+PortfolioFrontier[[#This Row],[P137 Return]]),1+PortfolioFrontier[[#This Row],[P137 Return]])</f>
        <v>1.1516789458394443</v>
      </c>
      <c r="UC50" s="27">
        <f>MAX(UC49,PortfolioFrontier[[#This Row],[P137 Growth]])</f>
        <v>1.3266570855106978</v>
      </c>
      <c r="UD50" s="27">
        <f>PortfolioFrontier[[#This Row],[P137 Growth]]/PortfolioFrontier[[#This Row],[P137 HWM]]-1</f>
        <v>-0.13189402263953953</v>
      </c>
      <c r="UE50" s="28">
        <f>SUMPRODUCT(INDEX(PortfolioRef[[SPY]:[PE]],MATCH(UE$1,PortfolioRef[Reference '#]),0),AssetMonthlyReturns[[#This Row],[SPY]:[PE]])</f>
        <v>-8.1155059956192765E-2</v>
      </c>
      <c r="UF50" s="27">
        <f>IF(ISNUMBER(UF49),UF49*(1+PortfolioFrontier[[#This Row],[P138 Return]]),1+PortfolioFrontier[[#This Row],[P138 Return]])</f>
        <v>1.1517571749659006</v>
      </c>
      <c r="UG50" s="27">
        <f>MAX(UG49,PortfolioFrontier[[#This Row],[P138 Growth]])</f>
        <v>1.3085883604968405</v>
      </c>
      <c r="UH50" s="27">
        <f>PortfolioFrontier[[#This Row],[P138 Growth]]/PortfolioFrontier[[#This Row],[P138 HWM]]-1</f>
        <v>-0.11984760851104825</v>
      </c>
      <c r="UI50" s="28">
        <f>SUMPRODUCT(INDEX(PortfolioRef[[SPY]:[PE]],MATCH(UI$1,PortfolioRef[Reference '#]),0),AssetMonthlyReturns[[#This Row],[SPY]:[PE]])</f>
        <v>-0.11231608155888345</v>
      </c>
      <c r="UJ50" s="27">
        <f>IF(ISNUMBER(UJ49),UJ49*(1+PortfolioFrontier[[#This Row],[P139 Return]]),1+PortfolioFrontier[[#This Row],[P139 Return]])</f>
        <v>1.1398241872042252</v>
      </c>
      <c r="UK50" s="27">
        <f>MAX(UK49,PortfolioFrontier[[#This Row],[P139 Growth]])</f>
        <v>1.3507788598337169</v>
      </c>
      <c r="UL50" s="27">
        <f>PortfolioFrontier[[#This Row],[P139 Growth]]/PortfolioFrontier[[#This Row],[P139 HWM]]-1</f>
        <v>-0.1561726192957007</v>
      </c>
      <c r="UM50" s="28">
        <f>SUMPRODUCT(INDEX(PortfolioRef[[SPY]:[PE]],MATCH(UM$1,PortfolioRef[Reference '#]),0),AssetMonthlyReturns[[#This Row],[SPY]:[PE]])</f>
        <v>-0.10168397918477867</v>
      </c>
      <c r="UN50" s="27">
        <f>IF(ISNUMBER(UN49),UN49*(1+PortfolioFrontier[[#This Row],[P140 Return]]),1+PortfolioFrontier[[#This Row],[P140 Return]])</f>
        <v>1.1405360784080025</v>
      </c>
      <c r="UO50" s="27">
        <f>MAX(UO49,PortfolioFrontier[[#This Row],[P140 Growth]])</f>
        <v>1.3327508164164212</v>
      </c>
      <c r="UP50" s="27">
        <f>PortfolioFrontier[[#This Row],[P140 Growth]]/PortfolioFrontier[[#This Row],[P140 HWM]]-1</f>
        <v>-0.14422406322380432</v>
      </c>
      <c r="UQ50" s="28">
        <f>SUMPRODUCT(INDEX(PortfolioRef[[SPY]:[PE]],MATCH(UQ$1,PortfolioRef[Reference '#]),0),AssetMonthlyReturns[[#This Row],[SPY]:[PE]])</f>
        <v>-9.1051876810673921E-2</v>
      </c>
      <c r="UR50" s="27">
        <f>IF(ISNUMBER(UR49),UR49*(1+PortfolioFrontier[[#This Row],[P141 Return]]),1+PortfolioFrontier[[#This Row],[P141 Return]])</f>
        <v>1.1408901079228155</v>
      </c>
      <c r="US50" s="27">
        <f>MAX(US49,PortfolioFrontier[[#This Row],[P141 Growth]])</f>
        <v>1.3147407958400186</v>
      </c>
      <c r="UT50" s="27">
        <f>PortfolioFrontier[[#This Row],[P141 Growth]]/PortfolioFrontier[[#This Row],[P141 HWM]]-1</f>
        <v>-0.13223191101035681</v>
      </c>
    </row>
    <row r="51" spans="2:566" x14ac:dyDescent="0.2">
      <c r="B51" s="41">
        <f>AssetMonthlyReturns[[#This Row],[Date]]</f>
        <v>43922</v>
      </c>
      <c r="C51" s="28">
        <f>SUMPRODUCT(INDEX(PortfolioRef[[SPY]:[PE]],MATCH(C$1,PortfolioRef[Reference '#]),0),AssetMonthlyReturns[[#This Row],[SPY]:[PE]])</f>
        <v>9.2949256287326157E-2</v>
      </c>
      <c r="D51" s="29">
        <f>IF(ISNUMBER(D50),D50*(1+PortfolioFrontier[[#This Row],[P1 Return]]),1+PortfolioFrontier[[#This Row],[P1 Return]])</f>
        <v>1.3575831166620749</v>
      </c>
      <c r="E51" s="29">
        <f>MAX(E50,PortfolioFrontier[[#This Row],[P1 Growth]])</f>
        <v>1.4419664495335482</v>
      </c>
      <c r="F51" s="29">
        <f>PortfolioFrontier[[#This Row],[P1 Growth]]/PortfolioFrontier[[#This Row],[P1 HWM]]-1</f>
        <v>-5.8519622907155733E-2</v>
      </c>
      <c r="G51" s="28">
        <f>SUMPRODUCT(INDEX(PortfolioRef[[SPY]:[PE]],MATCH(G$1,PortfolioRef[Reference '#]),0),AssetMonthlyReturns[[#This Row],[SPY]:[PE]])</f>
        <v>8.7123333848447587E-2</v>
      </c>
      <c r="H51" s="27">
        <f>IF(ISNUMBER(H50),H50*(1+PortfolioFrontier[[#This Row],[P2 Return]]),1+PortfolioFrontier[[#This Row],[P2 Return]])</f>
        <v>1.3406112428988703</v>
      </c>
      <c r="I51" s="27">
        <f>MAX(I50,PortfolioFrontier[[#This Row],[P2 Growth]])</f>
        <v>1.4148787504774187</v>
      </c>
      <c r="J51" s="27">
        <f>PortfolioFrontier[[#This Row],[P2 Growth]]/PortfolioFrontier[[#This Row],[P2 HWM]]-1</f>
        <v>-5.2490368912168961E-2</v>
      </c>
      <c r="K51" s="28">
        <f>SUMPRODUCT(INDEX(PortfolioRef[[SPY]:[PE]],MATCH(K$1,PortfolioRef[Reference '#]),0),AssetMonthlyReturns[[#This Row],[SPY]:[PE]])</f>
        <v>8.9899522579982419E-2</v>
      </c>
      <c r="L51" s="27">
        <f>IF(ISNUMBER(L50),L50*(1+PortfolioFrontier[[#This Row],[P3 Return]]),1+PortfolioFrontier[[#This Row],[P3 Return]])</f>
        <v>1.3478680919268586</v>
      </c>
      <c r="M51" s="27">
        <f>MAX(M50,PortfolioFrontier[[#This Row],[P3 Growth]])</f>
        <v>1.4201780325328939</v>
      </c>
      <c r="N51" s="27">
        <f>PortfolioFrontier[[#This Row],[P3 Growth]]/PortfolioFrontier[[#This Row],[P3 HWM]]-1</f>
        <v>-5.091610977608918E-2</v>
      </c>
      <c r="O51" s="28">
        <f>SUMPRODUCT(INDEX(PortfolioRef[[SPY]:[PE]],MATCH(O$1,PortfolioRef[Reference '#]),0),AssetMonthlyReturns[[#This Row],[SPY]:[PE]])</f>
        <v>9.1175209368677609E-2</v>
      </c>
      <c r="P51" s="27">
        <f>IF(ISNUMBER(P50),P50*(1+PortfolioFrontier[[#This Row],[P4 Return]]),1+PortfolioFrontier[[#This Row],[P4 Return]])</f>
        <v>1.3365902172255737</v>
      </c>
      <c r="Q51" s="27">
        <f>MAX(Q50,PortfolioFrontier[[#This Row],[P4 Growth]])</f>
        <v>1.4268185135775995</v>
      </c>
      <c r="R51" s="27">
        <f>PortfolioFrontier[[#This Row],[P4 Growth]]/PortfolioFrontier[[#This Row],[P4 HWM]]-1</f>
        <v>-6.3237402299881618E-2</v>
      </c>
      <c r="S51" s="28">
        <f>SUMPRODUCT(INDEX(PortfolioRef[[SPY]:[PE]],MATCH(S$1,PortfolioRef[Reference '#]),0),AssetMonthlyReturns[[#This Row],[SPY]:[PE]])</f>
        <v>8.6183910139304917E-2</v>
      </c>
      <c r="T51" s="27">
        <f>IF(ISNUMBER(T50),T50*(1+PortfolioFrontier[[#This Row],[P5 Return]]),1+PortfolioFrontier[[#This Row],[P5 Return]])</f>
        <v>1.3305124137342206</v>
      </c>
      <c r="U51" s="27">
        <f>MAX(U50,PortfolioFrontier[[#This Row],[P5 Growth]])</f>
        <v>1.4072507563287657</v>
      </c>
      <c r="V51" s="27">
        <f>PortfolioFrontier[[#This Row],[P5 Growth]]/PortfolioFrontier[[#This Row],[P5 HWM]]-1</f>
        <v>-5.4530681365373757E-2</v>
      </c>
      <c r="W51" s="28">
        <f>SUMPRODUCT(INDEX(PortfolioRef[[SPY]:[PE]],MATCH(W$1,PortfolioRef[Reference '#]),0),AssetMonthlyReturns[[#This Row],[SPY]:[PE]])</f>
        <v>8.1297411409569031E-2</v>
      </c>
      <c r="X51" s="27">
        <f>IF(ISNUMBER(X50),X50*(1+PortfolioFrontier[[#This Row],[P6 Return]]),1+PortfolioFrontier[[#This Row],[P6 Return]])</f>
        <v>1.323515761479781</v>
      </c>
      <c r="Y51" s="27">
        <f>MAX(Y50,PortfolioFrontier[[#This Row],[P6 Growth]])</f>
        <v>1.3880851512677401</v>
      </c>
      <c r="Z51" s="27">
        <f>PortfolioFrontier[[#This Row],[P6 Growth]]/PortfolioFrontier[[#This Row],[P6 HWM]]-1</f>
        <v>-4.6516879550932311E-2</v>
      </c>
      <c r="AA51" s="28">
        <f>SUMPRODUCT(INDEX(PortfolioRef[[SPY]:[PE]],MATCH(AA$1,PortfolioRef[Reference '#]),0),AssetMonthlyReturns[[#This Row],[SPY]:[PE]])</f>
        <v>8.4073600141103863E-2</v>
      </c>
      <c r="AB51" s="27">
        <f>IF(ISNUMBER(AB50),AB50*(1+PortfolioFrontier[[#This Row],[P7 Return]]),1+PortfolioFrontier[[#This Row],[P7 Return]])</f>
        <v>1.3306794328915579</v>
      </c>
      <c r="AC51" s="27">
        <f>MAX(AC50,PortfolioFrontier[[#This Row],[P7 Growth]])</f>
        <v>1.3932587065587478</v>
      </c>
      <c r="AD51" s="27">
        <f>PortfolioFrontier[[#This Row],[P7 Growth]]/PortfolioFrontier[[#This Row],[P7 HWM]]-1</f>
        <v>-4.4915759989583304E-2</v>
      </c>
      <c r="AE51" s="28">
        <f>SUMPRODUCT(INDEX(PortfolioRef[[SPY]:[PE]],MATCH(AE$1,PortfolioRef[Reference '#]),0),AssetMonthlyReturns[[#This Row],[SPY]:[PE]])</f>
        <v>8.5349286929799054E-2</v>
      </c>
      <c r="AF51" s="27">
        <f>IF(ISNUMBER(AF50),AF50*(1+PortfolioFrontier[[#This Row],[P8 Return]]),1+PortfolioFrontier[[#This Row],[P8 Return]])</f>
        <v>1.3197989930593776</v>
      </c>
      <c r="AG51" s="27">
        <f>MAX(AG50,PortfolioFrontier[[#This Row],[P8 Growth]])</f>
        <v>1.3999070125181117</v>
      </c>
      <c r="AH51" s="27">
        <f>PortfolioFrontier[[#This Row],[P8 Growth]]/PortfolioFrontier[[#This Row],[P8 HWM]]-1</f>
        <v>-5.7223814683689644E-2</v>
      </c>
      <c r="AI51" s="28">
        <f>SUMPRODUCT(INDEX(PortfolioRef[[SPY]:[PE]],MATCH(AI$1,PortfolioRef[Reference '#]),0),AssetMonthlyReturns[[#This Row],[SPY]:[PE]])</f>
        <v>8.0357987700426362E-2</v>
      </c>
      <c r="AJ51" s="27">
        <f>IF(ISNUMBER(AJ50),AJ50*(1+PortfolioFrontier[[#This Row],[P9 Return]]),1+PortfolioFrontier[[#This Row],[P9 Return]])</f>
        <v>1.3135801583925504</v>
      </c>
      <c r="AK51" s="27">
        <f>MAX(AK50,PortfolioFrontier[[#This Row],[P9 Growth]])</f>
        <v>1.3806381423140945</v>
      </c>
      <c r="AL51" s="27">
        <f>PortfolioFrontier[[#This Row],[P9 Growth]]/PortfolioFrontier[[#This Row],[P9 HWM]]-1</f>
        <v>-4.8570282006803023E-2</v>
      </c>
      <c r="AM51" s="28">
        <f>SUMPRODUCT(INDEX(PortfolioRef[[SPY]:[PE]],MATCH(AM$1,PortfolioRef[Reference '#]),0),AssetMonthlyReturns[[#This Row],[SPY]:[PE]])</f>
        <v>8.6849788872638681E-2</v>
      </c>
      <c r="AN51" s="27">
        <f>IF(ISNUMBER(AN50),AN50*(1+PortfolioFrontier[[#This Row],[P10 Return]]),1+PortfolioFrontier[[#This Row],[P10 Return]])</f>
        <v>1.3377410948773916</v>
      </c>
      <c r="AO51" s="27">
        <f>MAX(AO50,PortfolioFrontier[[#This Row],[P10 Growth]])</f>
        <v>1.3983151318787432</v>
      </c>
      <c r="AP51" s="27">
        <f>PortfolioFrontier[[#This Row],[P10 Growth]]/PortfolioFrontier[[#This Row],[P10 HWM]]-1</f>
        <v>-4.3319303081534866E-2</v>
      </c>
      <c r="AQ51" s="28">
        <f>SUMPRODUCT(INDEX(PortfolioRef[[SPY]:[PE]],MATCH(AQ$1,PortfolioRef[Reference '#]),0),AssetMonthlyReturns[[#This Row],[SPY]:[PE]])</f>
        <v>8.8125475661333885E-2</v>
      </c>
      <c r="AR51" s="27">
        <f>IF(ISNUMBER(AR50),AR50*(1+PortfolioFrontier[[#This Row],[P11 Return]]),1+PortfolioFrontier[[#This Row],[P11 Return]])</f>
        <v>1.3269294236522027</v>
      </c>
      <c r="AS51" s="27">
        <f>MAX(AS50,PortfolioFrontier[[#This Row],[P11 Growth]])</f>
        <v>1.4051282257271507</v>
      </c>
      <c r="AT51" s="27">
        <f>PortfolioFrontier[[#This Row],[P11 Growth]]/PortfolioFrontier[[#This Row],[P11 HWM]]-1</f>
        <v>-5.565243131777553E-2</v>
      </c>
      <c r="AU51" s="28">
        <f>SUMPRODUCT(INDEX(PortfolioRef[[SPY]:[PE]],MATCH(AU$1,PortfolioRef[Reference '#]),0),AssetMonthlyReturns[[#This Row],[SPY]:[PE]])</f>
        <v>8.3134176431961193E-2</v>
      </c>
      <c r="AV51" s="27">
        <f>IF(ISNUMBER(AV50),AV50*(1+PortfolioFrontier[[#This Row],[P12 Return]]),1+PortfolioFrontier[[#This Row],[P12 Return]])</f>
        <v>1.3207161776481835</v>
      </c>
      <c r="AW51" s="27">
        <f>MAX(AW50,PortfolioFrontier[[#This Row],[P12 Growth]])</f>
        <v>1.3858117521199762</v>
      </c>
      <c r="AX51" s="27">
        <f>PortfolioFrontier[[#This Row],[P12 Growth]]/PortfolioFrontier[[#This Row],[P12 HWM]]-1</f>
        <v>-4.6972883851079561E-2</v>
      </c>
      <c r="AY51" s="28">
        <f>SUMPRODUCT(INDEX(PortfolioRef[[SPY]:[PE]],MATCH(AY$1,PortfolioRef[Reference '#]),0),AssetMonthlyReturns[[#This Row],[SPY]:[PE]])</f>
        <v>8.9401162450029076E-2</v>
      </c>
      <c r="AZ51" s="27">
        <f>IF(ISNUMBER(AZ50),AZ50*(1+PortfolioFrontier[[#This Row],[P13 Return]]),1+PortfolioFrontier[[#This Row],[P13 Return]])</f>
        <v>1.3157264215105287</v>
      </c>
      <c r="BA51" s="27">
        <f>MAX(BA50,PortfolioFrontier[[#This Row],[P13 Growth]])</f>
        <v>1.4116451886758252</v>
      </c>
      <c r="BB51" s="27">
        <f>PortfolioFrontier[[#This Row],[P13 Growth]]/PortfolioFrontier[[#This Row],[P13 HWM]]-1</f>
        <v>-6.7948212436633515E-2</v>
      </c>
      <c r="BC51" s="28">
        <f>SUMPRODUCT(INDEX(PortfolioRef[[SPY]:[PE]],MATCH(BC$1,PortfolioRef[Reference '#]),0),AssetMonthlyReturns[[#This Row],[SPY]:[PE]])</f>
        <v>8.4409863220656384E-2</v>
      </c>
      <c r="BD51" s="27">
        <f>IF(ISNUMBER(BD50),BD50*(1+PortfolioFrontier[[#This Row],[P14 Return]]),1+PortfolioFrontier[[#This Row],[P14 Return]])</f>
        <v>1.3098892047439197</v>
      </c>
      <c r="BE51" s="27">
        <f>MAX(BE50,PortfolioFrontier[[#This Row],[P14 Growth]])</f>
        <v>1.3923893526457891</v>
      </c>
      <c r="BF51" s="27">
        <f>PortfolioFrontier[[#This Row],[P14 Growth]]/PortfolioFrontier[[#This Row],[P14 HWM]]-1</f>
        <v>-5.9250774752840796E-2</v>
      </c>
      <c r="BG51" s="28">
        <f>SUMPRODUCT(INDEX(PortfolioRef[[SPY]:[PE]],MATCH(BG$1,PortfolioRef[Reference '#]),0),AssetMonthlyReturns[[#This Row],[SPY]:[PE]])</f>
        <v>7.9418563991283678E-2</v>
      </c>
      <c r="BH51" s="27">
        <f>IF(ISNUMBER(BH50),BH50*(1+PortfolioFrontier[[#This Row],[P15 Return]]),1+PortfolioFrontier[[#This Row],[P15 Return]])</f>
        <v>1.303646182484848</v>
      </c>
      <c r="BI51" s="27">
        <f>MAX(BI50,PortfolioFrontier[[#This Row],[P15 Growth]])</f>
        <v>1.3731634825595267</v>
      </c>
      <c r="BJ51" s="27">
        <f>PortfolioFrontier[[#This Row],[P15 Growth]]/PortfolioFrontier[[#This Row],[P15 HWM]]-1</f>
        <v>-5.0625654525199737E-2</v>
      </c>
      <c r="BK51" s="28">
        <f>SUMPRODUCT(INDEX(PortfolioRef[[SPY]:[PE]],MATCH(BK$1,PortfolioRef[Reference '#]),0),AssetMonthlyReturns[[#This Row],[SPY]:[PE]])</f>
        <v>7.5471488970690476E-2</v>
      </c>
      <c r="BL51" s="27">
        <f>IF(ISNUMBER(BL50),BL50*(1+PortfolioFrontier[[#This Row],[P16 Return]]),1+PortfolioFrontier[[#This Row],[P16 Return]])</f>
        <v>1.3063079601014487</v>
      </c>
      <c r="BM51" s="27">
        <f>MAX(BM50,PortfolioFrontier[[#This Row],[P16 Growth]])</f>
        <v>1.3615886888178703</v>
      </c>
      <c r="BN51" s="27">
        <f>PortfolioFrontier[[#This Row],[P16 Growth]]/PortfolioFrontier[[#This Row],[P16 HWM]]-1</f>
        <v>-4.0600167415033583E-2</v>
      </c>
      <c r="BO51" s="28">
        <f>SUMPRODUCT(INDEX(PortfolioRef[[SPY]:[PE]],MATCH(BO$1,PortfolioRef[Reference '#]),0),AssetMonthlyReturns[[#This Row],[SPY]:[PE]])</f>
        <v>7.8247677702225307E-2</v>
      </c>
      <c r="BP51" s="27">
        <f>IF(ISNUMBER(BP50),BP50*(1+PortfolioFrontier[[#This Row],[P17 Return]]),1+PortfolioFrontier[[#This Row],[P17 Return]])</f>
        <v>1.313378274736823</v>
      </c>
      <c r="BQ51" s="27">
        <f>MAX(BQ50,PortfolioFrontier[[#This Row],[P17 Growth]])</f>
        <v>1.36663887261008</v>
      </c>
      <c r="BR51" s="27">
        <f>PortfolioFrontier[[#This Row],[P17 Growth]]/PortfolioFrontier[[#This Row],[P17 HWM]]-1</f>
        <v>-3.8971961752805262E-2</v>
      </c>
      <c r="BS51" s="28">
        <f>SUMPRODUCT(INDEX(PortfolioRef[[SPY]:[PE]],MATCH(BS$1,PortfolioRef[Reference '#]),0),AssetMonthlyReturns[[#This Row],[SPY]:[PE]])</f>
        <v>7.9523364490920498E-2</v>
      </c>
      <c r="BT51" s="27">
        <f>IF(ISNUMBER(BT50),BT50*(1+PortfolioFrontier[[#This Row],[P18 Return]]),1+PortfolioFrontier[[#This Row],[P18 Return]])</f>
        <v>1.3028876265995573</v>
      </c>
      <c r="BU51" s="27">
        <f>MAX(BU50,PortfolioFrontier[[#This Row],[P18 Growth]])</f>
        <v>1.3732906590342844</v>
      </c>
      <c r="BV51" s="27">
        <f>PortfolioFrontier[[#This Row],[P18 Growth]]/PortfolioFrontier[[#This Row],[P18 HWM]]-1</f>
        <v>-5.1265937018923124E-2</v>
      </c>
      <c r="BW51" s="28">
        <f>SUMPRODUCT(INDEX(PortfolioRef[[SPY]:[PE]],MATCH(BW$1,PortfolioRef[Reference '#]),0),AssetMonthlyReturns[[#This Row],[SPY]:[PE]])</f>
        <v>7.4532065261547806E-2</v>
      </c>
      <c r="BX51" s="27">
        <f>IF(ISNUMBER(BX50),BX50*(1+PortfolioFrontier[[#This Row],[P19 Return]]),1+PortfolioFrontier[[#This Row],[P19 Return]])</f>
        <v>1.2965352609281338</v>
      </c>
      <c r="BY51" s="27">
        <f>MAX(BY50,PortfolioFrontier[[#This Row],[P19 Growth]])</f>
        <v>1.3543194764405577</v>
      </c>
      <c r="BZ51" s="27">
        <f>PortfolioFrontier[[#This Row],[P19 Growth]]/PortfolioFrontier[[#This Row],[P19 HWM]]-1</f>
        <v>-4.2666606009605146E-2</v>
      </c>
      <c r="CA51" s="28">
        <f>SUMPRODUCT(INDEX(PortfolioRef[[SPY]:[PE]],MATCH(CA$1,PortfolioRef[Reference '#]),0),AssetMonthlyReturns[[#This Row],[SPY]:[PE]])</f>
        <v>8.1023866433760125E-2</v>
      </c>
      <c r="CB51" s="27">
        <f>IF(ISNUMBER(CB50),CB50*(1+PortfolioFrontier[[#This Row],[P20 Return]]),1+PortfolioFrontier[[#This Row],[P20 Return]])</f>
        <v>1.3203476651720845</v>
      </c>
      <c r="CC51" s="27">
        <f>MAX(CC50,PortfolioFrontier[[#This Row],[P20 Growth]])</f>
        <v>1.3715738184680752</v>
      </c>
      <c r="CD51" s="27">
        <f>PortfolioFrontier[[#This Row],[P20 Growth]]/PortfolioFrontier[[#This Row],[P20 HWM]]-1</f>
        <v>-3.7348447897033954E-2</v>
      </c>
      <c r="CE51" s="28">
        <f>SUMPRODUCT(INDEX(PortfolioRef[[SPY]:[PE]],MATCH(CE$1,PortfolioRef[Reference '#]),0),AssetMonthlyReturns[[#This Row],[SPY]:[PE]])</f>
        <v>8.2299553222455329E-2</v>
      </c>
      <c r="CF51" s="27">
        <f>IF(ISNUMBER(CF50),CF50*(1+PortfolioFrontier[[#This Row],[P21 Return]]),1+PortfolioFrontier[[#This Row],[P21 Return]])</f>
        <v>1.3099262440758124</v>
      </c>
      <c r="CG51" s="27">
        <f>MAX(CG50,PortfolioFrontier[[#This Row],[P21 Growth]])</f>
        <v>1.3783876457060396</v>
      </c>
      <c r="CH51" s="27">
        <f>PortfolioFrontier[[#This Row],[P21 Growth]]/PortfolioFrontier[[#This Row],[P21 HWM]]-1</f>
        <v>-4.9667741758639861E-2</v>
      </c>
      <c r="CI51" s="28">
        <f>SUMPRODUCT(INDEX(PortfolioRef[[SPY]:[PE]],MATCH(CI$1,PortfolioRef[Reference '#]),0),AssetMonthlyReturns[[#This Row],[SPY]:[PE]])</f>
        <v>7.7308253993082637E-2</v>
      </c>
      <c r="CJ51" s="27">
        <f>IF(ISNUMBER(CJ50),CJ50*(1+PortfolioFrontier[[#This Row],[P22 Return]]),1+PortfolioFrontier[[#This Row],[P22 Return]])</f>
        <v>1.3035784842849767</v>
      </c>
      <c r="CK51" s="27">
        <f>MAX(CK50,PortfolioFrontier[[#This Row],[P22 Growth]])</f>
        <v>1.3593699288197449</v>
      </c>
      <c r="CL51" s="27">
        <f>PortfolioFrontier[[#This Row],[P22 Growth]]/PortfolioFrontier[[#This Row],[P22 HWM]]-1</f>
        <v>-4.1042135295142557E-2</v>
      </c>
      <c r="CM51" s="28">
        <f>SUMPRODUCT(INDEX(PortfolioRef[[SPY]:[PE]],MATCH(CM$1,PortfolioRef[Reference '#]),0),AssetMonthlyReturns[[#This Row],[SPY]:[PE]])</f>
        <v>8.357524001115052E-2</v>
      </c>
      <c r="CN51" s="27">
        <f>IF(ISNUMBER(CN50),CN50*(1+PortfolioFrontier[[#This Row],[P23 Return]]),1+PortfolioFrontier[[#This Row],[P23 Return]])</f>
        <v>1.2991169086050784</v>
      </c>
      <c r="CO51" s="27">
        <f>MAX(CO50,PortfolioFrontier[[#This Row],[P23 Growth]])</f>
        <v>1.3849125529432054</v>
      </c>
      <c r="CP51" s="27">
        <f>PortfolioFrontier[[#This Row],[P23 Growth]]/PortfolioFrontier[[#This Row],[P23 HWM]]-1</f>
        <v>-6.1950225056300212E-2</v>
      </c>
      <c r="CQ51" s="28">
        <f>SUMPRODUCT(INDEX(PortfolioRef[[SPY]:[PE]],MATCH(CQ$1,PortfolioRef[Reference '#]),0),AssetMonthlyReturns[[#This Row],[SPY]:[PE]])</f>
        <v>7.8583940781777828E-2</v>
      </c>
      <c r="CR51" s="27">
        <f>IF(ISNUMBER(CR50),CR50*(1+PortfolioFrontier[[#This Row],[P24 Return]]),1+PortfolioFrontier[[#This Row],[P24 Return]])</f>
        <v>1.2931385983293071</v>
      </c>
      <c r="CS51" s="27">
        <f>MAX(CS50,PortfolioFrontier[[#This Row],[P24 Growth]])</f>
        <v>1.3659520435680597</v>
      </c>
      <c r="CT51" s="27">
        <f>PortfolioFrontier[[#This Row],[P24 Growth]]/PortfolioFrontier[[#This Row],[P24 HWM]]-1</f>
        <v>-5.330600410286257E-2</v>
      </c>
      <c r="CU51" s="28">
        <f>SUMPRODUCT(INDEX(PortfolioRef[[SPY]:[PE]],MATCH(CU$1,PortfolioRef[Reference '#]),0),AssetMonthlyReturns[[#This Row],[SPY]:[PE]])</f>
        <v>7.3592641552405122E-2</v>
      </c>
      <c r="CV51" s="27">
        <f>IF(ISNUMBER(CV50),CV50*(1+PortfolioFrontier[[#This Row],[P25 Return]]),1+PortfolioFrontier[[#This Row],[P25 Return]])</f>
        <v>1.2867637314144638</v>
      </c>
      <c r="CW51" s="27">
        <f>MAX(CW50,PortfolioFrontier[[#This Row],[P25 Growth]])</f>
        <v>1.3470227610535963</v>
      </c>
      <c r="CX51" s="27">
        <f>PortfolioFrontier[[#This Row],[P25 Growth]]/PortfolioFrontier[[#This Row],[P25 HWM]]-1</f>
        <v>-4.4734975073472349E-2</v>
      </c>
      <c r="CY51" s="28">
        <f>SUMPRODUCT(INDEX(PortfolioRef[[SPY]:[PE]],MATCH(CY$1,PortfolioRef[Reference '#]),0),AssetMonthlyReturns[[#This Row],[SPY]:[PE]])</f>
        <v>8.5075741953990147E-2</v>
      </c>
      <c r="CZ51" s="27">
        <f>IF(ISNUMBER(CZ50),CZ50*(1+PortfolioFrontier[[#This Row],[P26 Return]]),1+PortfolioFrontier[[#This Row],[P26 Return]])</f>
        <v>1.3168642069024787</v>
      </c>
      <c r="DA51" s="27">
        <f>MAX(DA50,PortfolioFrontier[[#This Row],[P26 Growth]])</f>
        <v>1.3833685265112829</v>
      </c>
      <c r="DB51" s="27">
        <f>PortfolioFrontier[[#This Row],[P26 Growth]]/PortfolioFrontier[[#This Row],[P26 HWM]]-1</f>
        <v>-4.8074188717103117E-2</v>
      </c>
      <c r="DC51" s="28">
        <f>SUMPRODUCT(INDEX(PortfolioRef[[SPY]:[PE]],MATCH(DC$1,PortfolioRef[Reference '#]),0),AssetMonthlyReturns[[#This Row],[SPY]:[PE]])</f>
        <v>8.0084442724617455E-2</v>
      </c>
      <c r="DD51" s="27">
        <f>IF(ISNUMBER(DD50),DD50*(1+PortfolioFrontier[[#This Row],[P27 Return]]),1+PortfolioFrontier[[#This Row],[P27 Return]])</f>
        <v>1.3105217491385144</v>
      </c>
      <c r="DE51" s="27">
        <f>MAX(DE50,PortfolioFrontier[[#This Row],[P27 Growth]])</f>
        <v>1.3643059117737653</v>
      </c>
      <c r="DF51" s="27">
        <f>PortfolioFrontier[[#This Row],[P27 Growth]]/PortfolioFrontier[[#This Row],[P27 HWM]]-1</f>
        <v>-3.9422362808151146E-2</v>
      </c>
      <c r="DG51" s="28">
        <f>SUMPRODUCT(INDEX(PortfolioRef[[SPY]:[PE]],MATCH(DG$1,PortfolioRef[Reference '#]),0),AssetMonthlyReturns[[#This Row],[SPY]:[PE]])</f>
        <v>8.6351428742685338E-2</v>
      </c>
      <c r="DH51" s="27">
        <f>IF(ISNUMBER(DH50),DH50*(1+PortfolioFrontier[[#This Row],[P28 Return]]),1+PortfolioFrontier[[#This Row],[P28 Return]])</f>
        <v>1.3061222737167071</v>
      </c>
      <c r="DI51" s="27">
        <f>MAX(DI50,PortfolioFrontier[[#This Row],[P28 Growth]])</f>
        <v>1.3900562895802888</v>
      </c>
      <c r="DJ51" s="27">
        <f>PortfolioFrontier[[#This Row],[P28 Growth]]/PortfolioFrontier[[#This Row],[P28 HWM]]-1</f>
        <v>-6.0381738849528577E-2</v>
      </c>
      <c r="DK51" s="28">
        <f>SUMPRODUCT(INDEX(PortfolioRef[[SPY]:[PE]],MATCH(DK$1,PortfolioRef[Reference '#]),0),AssetMonthlyReturns[[#This Row],[SPY]:[PE]])</f>
        <v>8.136012951331266E-2</v>
      </c>
      <c r="DL51" s="27">
        <f>IF(ISNUMBER(DL50),DL50*(1+PortfolioFrontier[[#This Row],[P29 Return]]),1+PortfolioFrontier[[#This Row],[P29 Return]])</f>
        <v>1.3001502781517698</v>
      </c>
      <c r="DM51" s="27">
        <f>MAX(DM50,PortfolioFrontier[[#This Row],[P29 Growth]])</f>
        <v>1.3710493073825181</v>
      </c>
      <c r="DN51" s="27">
        <f>PortfolioFrontier[[#This Row],[P29 Growth]]/PortfolioFrontier[[#This Row],[P29 HWM]]-1</f>
        <v>-5.171150946139369E-2</v>
      </c>
      <c r="DO51" s="28">
        <f>SUMPRODUCT(INDEX(PortfolioRef[[SPY]:[PE]],MATCH(DO$1,PortfolioRef[Reference '#]),0),AssetMonthlyReturns[[#This Row],[SPY]:[PE]])</f>
        <v>7.6368830283939954E-2</v>
      </c>
      <c r="DP51" s="27">
        <f>IF(ISNUMBER(DP50),DP50*(1+PortfolioFrontier[[#This Row],[P30 Return]]),1+PortfolioFrontier[[#This Row],[P30 Return]])</f>
        <v>1.2937794772879248</v>
      </c>
      <c r="DQ51" s="27">
        <f>MAX(DQ50,PortfolioFrontier[[#This Row],[P30 Growth]])</f>
        <v>1.3520730912994043</v>
      </c>
      <c r="DR51" s="27">
        <f>PortfolioFrontier[[#This Row],[P30 Growth]]/PortfolioFrontier[[#This Row],[P30 HWM]]-1</f>
        <v>-4.3114247585133714E-2</v>
      </c>
      <c r="DS51" s="28">
        <f>SUMPRODUCT(INDEX(PortfolioRef[[SPY]:[PE]],MATCH(DS$1,PortfolioRef[Reference '#]),0),AssetMonthlyReturns[[#This Row],[SPY]:[PE]])</f>
        <v>8.7627115531380542E-2</v>
      </c>
      <c r="DT51" s="27">
        <f>IF(ISNUMBER(DT50),DT50*(1+PortfolioFrontier[[#This Row],[P31 Return]]),1+PortfolioFrontier[[#This Row],[P31 Return]])</f>
        <v>1.2949955712183512</v>
      </c>
      <c r="DU51" s="27">
        <f>MAX(DU50,PortfolioFrontier[[#This Row],[P31 Growth]])</f>
        <v>1.3964505476516273</v>
      </c>
      <c r="DV51" s="27">
        <f>PortfolioFrontier[[#This Row],[P31 Growth]]/PortfolioFrontier[[#This Row],[P31 HWM]]-1</f>
        <v>-7.2652036696816968E-2</v>
      </c>
      <c r="DW51" s="28">
        <f>SUMPRODUCT(INDEX(PortfolioRef[[SPY]:[PE]],MATCH(DW$1,PortfolioRef[Reference '#]),0),AssetMonthlyReturns[[#This Row],[SPY]:[PE]])</f>
        <v>8.2635816302007864E-2</v>
      </c>
      <c r="DX51" s="27">
        <f>IF(ISNUMBER(DX50),DX50*(1+PortfolioFrontier[[#This Row],[P32 Return]]),1+PortfolioFrontier[[#This Row],[P32 Return]])</f>
        <v>1.2893941837714988</v>
      </c>
      <c r="DY51" s="27">
        <f>MAX(DY50,PortfolioFrontier[[#This Row],[P32 Growth]])</f>
        <v>1.3775046986281727</v>
      </c>
      <c r="DZ51" s="27">
        <f>PortfolioFrontier[[#This Row],[P32 Growth]]/PortfolioFrontier[[#This Row],[P32 HWM]]-1</f>
        <v>-6.3963857941407576E-2</v>
      </c>
      <c r="EA51" s="28">
        <f>SUMPRODUCT(INDEX(PortfolioRef[[SPY]:[PE]],MATCH(EA$1,PortfolioRef[Reference '#]),0),AssetMonthlyReturns[[#This Row],[SPY]:[PE]])</f>
        <v>7.7644517072635158E-2</v>
      </c>
      <c r="EB51" s="27">
        <f>IF(ISNUMBER(EB50),EB50*(1+PortfolioFrontier[[#This Row],[P33 Return]]),1+PortfolioFrontier[[#This Row],[P33 Return]])</f>
        <v>1.2833906552025951</v>
      </c>
      <c r="EC51" s="27">
        <f>MAX(EC50,PortfolioFrontier[[#This Row],[P33 Growth]])</f>
        <v>1.3585857250368603</v>
      </c>
      <c r="ED51" s="27">
        <f>PortfolioFrontier[[#This Row],[P33 Growth]]/PortfolioFrontier[[#This Row],[P33 HWM]]-1</f>
        <v>-5.5348049407942246E-2</v>
      </c>
      <c r="EE51" s="28">
        <f>SUMPRODUCT(INDEX(PortfolioRef[[SPY]:[PE]],MATCH(EE$1,PortfolioRef[Reference '#]),0),AssetMonthlyReturns[[#This Row],[SPY]:[PE]])</f>
        <v>6.9645566531811906E-2</v>
      </c>
      <c r="EF51" s="27">
        <f>IF(ISNUMBER(EF50),EF50*(1+PortfolioFrontier[[#This Row],[P34 Return]]),1+PortfolioFrontier[[#This Row],[P34 Return]])</f>
        <v>1.2889989787142053</v>
      </c>
      <c r="EG51" s="27">
        <f>MAX(EG50,PortfolioFrontier[[#This Row],[P34 Growth]])</f>
        <v>1.3353921652256686</v>
      </c>
      <c r="EH51" s="27">
        <f>PortfolioFrontier[[#This Row],[P34 Growth]]/PortfolioFrontier[[#This Row],[P34 HWM]]-1</f>
        <v>-3.4741245096060025E-2</v>
      </c>
      <c r="EI51" s="28">
        <f>SUMPRODUCT(INDEX(PortfolioRef[[SPY]:[PE]],MATCH(EI$1,PortfolioRef[Reference '#]),0),AssetMonthlyReturns[[#This Row],[SPY]:[PE]])</f>
        <v>7.2421755263346738E-2</v>
      </c>
      <c r="EJ51" s="27">
        <f>IF(ISNUMBER(EJ50),EJ50*(1+PortfolioFrontier[[#This Row],[P35 Return]]),1+PortfolioFrontier[[#This Row],[P35 Return]])</f>
        <v>1.2959758027315427</v>
      </c>
      <c r="EK51" s="27">
        <f>MAX(EK50,PortfolioFrontier[[#This Row],[P35 Growth]])</f>
        <v>1.3403213085185204</v>
      </c>
      <c r="EL51" s="27">
        <f>PortfolioFrontier[[#This Row],[P35 Growth]]/PortfolioFrontier[[#This Row],[P35 HWM]]-1</f>
        <v>-3.30857276573433E-2</v>
      </c>
      <c r="EM51" s="28">
        <f>SUMPRODUCT(INDEX(PortfolioRef[[SPY]:[PE]],MATCH(EM$1,PortfolioRef[Reference '#]),0),AssetMonthlyReturns[[#This Row],[SPY]:[PE]])</f>
        <v>7.3697442052041928E-2</v>
      </c>
      <c r="EN51" s="27">
        <f>IF(ISNUMBER(EN50),EN50*(1+PortfolioFrontier[[#This Row],[P36 Return]]),1+PortfolioFrontier[[#This Row],[P36 Return]])</f>
        <v>1.2858672740360659</v>
      </c>
      <c r="EO51" s="27">
        <f>MAX(EO50,PortfolioFrontier[[#This Row],[P36 Growth]])</f>
        <v>1.3469723823844473</v>
      </c>
      <c r="EP51" s="27">
        <f>PortfolioFrontier[[#This Row],[P36 Growth]]/PortfolioFrontier[[#This Row],[P36 HWM]]-1</f>
        <v>-4.5364781897169526E-2</v>
      </c>
      <c r="EQ51" s="28">
        <f>SUMPRODUCT(INDEX(PortfolioRef[[SPY]:[PE]],MATCH(EQ$1,PortfolioRef[Reference '#]),0),AssetMonthlyReturns[[#This Row],[SPY]:[PE]])</f>
        <v>6.870614282266925E-2</v>
      </c>
      <c r="ER51" s="27">
        <f>IF(ISNUMBER(ER50),ER50*(1+PortfolioFrontier[[#This Row],[P37 Return]]),1+PortfolioFrontier[[#This Row],[P37 Return]])</f>
        <v>1.2793887826803139</v>
      </c>
      <c r="ES51" s="27">
        <f>MAX(ES50,PortfolioFrontier[[#This Row],[P37 Growth]])</f>
        <v>1.3282975843357441</v>
      </c>
      <c r="ET51" s="27">
        <f>PortfolioFrontier[[#This Row],[P37 Growth]]/PortfolioFrontier[[#This Row],[P37 HWM]]-1</f>
        <v>-3.6820665965366928E-2</v>
      </c>
      <c r="EU51" s="28">
        <f>SUMPRODUCT(INDEX(PortfolioRef[[SPY]:[PE]],MATCH(EU$1,PortfolioRef[Reference '#]),0),AssetMonthlyReturns[[#This Row],[SPY]:[PE]])</f>
        <v>7.5197943994881555E-2</v>
      </c>
      <c r="EV51" s="27">
        <f>IF(ISNUMBER(EV50),EV50*(1+PortfolioFrontier[[#This Row],[P38 Return]]),1+PortfolioFrontier[[#This Row],[P38 Return]])</f>
        <v>1.3028528014315146</v>
      </c>
      <c r="EW51" s="27">
        <f>MAX(EW50,PortfolioFrontier[[#This Row],[P38 Growth]])</f>
        <v>1.3451370933874456</v>
      </c>
      <c r="EX51" s="27">
        <f>PortfolioFrontier[[#This Row],[P38 Growth]]/PortfolioFrontier[[#This Row],[P38 HWM]]-1</f>
        <v>-3.1434931178239145E-2</v>
      </c>
      <c r="EY51" s="28">
        <f>SUMPRODUCT(INDEX(PortfolioRef[[SPY]:[PE]],MATCH(EY$1,PortfolioRef[Reference '#]),0),AssetMonthlyReturns[[#This Row],[SPY]:[PE]])</f>
        <v>7.6473630783576746E-2</v>
      </c>
      <c r="EZ51" s="27">
        <f>IF(ISNUMBER(EZ50),EZ50*(1+PortfolioFrontier[[#This Row],[P39 Return]]),1+PortfolioFrontier[[#This Row],[P39 Return]])</f>
        <v>1.2928139080588519</v>
      </c>
      <c r="FA51" s="27">
        <f>MAX(FA50,PortfolioFrontier[[#This Row],[P39 Growth]])</f>
        <v>1.3519474812509076</v>
      </c>
      <c r="FB51" s="27">
        <f>PortfolioFrontier[[#This Row],[P39 Growth]]/PortfolioFrontier[[#This Row],[P39 HWM]]-1</f>
        <v>-4.3739549066907246E-2</v>
      </c>
      <c r="FC51" s="28">
        <f>SUMPRODUCT(INDEX(PortfolioRef[[SPY]:[PE]],MATCH(FC$1,PortfolioRef[Reference '#]),0),AssetMonthlyReturns[[#This Row],[SPY]:[PE]])</f>
        <v>7.1482331554204068E-2</v>
      </c>
      <c r="FD51" s="27">
        <f>IF(ISNUMBER(FD50),FD50*(1+PortfolioFrontier[[#This Row],[P40 Return]]),1+PortfolioFrontier[[#This Row],[P40 Return]])</f>
        <v>1.2863390699069908</v>
      </c>
      <c r="FE51" s="27">
        <f>MAX(FE50,PortfolioFrontier[[#This Row],[P40 Growth]])</f>
        <v>1.3332272000035883</v>
      </c>
      <c r="FF51" s="27">
        <f>PortfolioFrontier[[#This Row],[P40 Growth]]/PortfolioFrontier[[#This Row],[P40 HWM]]-1</f>
        <v>-3.5168897016556011E-2</v>
      </c>
      <c r="FG51" s="28">
        <f>SUMPRODUCT(INDEX(PortfolioRef[[SPY]:[PE]],MATCH(FG$1,PortfolioRef[Reference '#]),0),AssetMonthlyReturns[[#This Row],[SPY]:[PE]])</f>
        <v>7.774931757227195E-2</v>
      </c>
      <c r="FH51" s="27">
        <f>IF(ISNUMBER(FH50),FH50*(1+PortfolioFrontier[[#This Row],[P41 Return]]),1+PortfolioFrontier[[#This Row],[P41 Return]])</f>
        <v>1.2823906531296012</v>
      </c>
      <c r="FI51" s="27">
        <f>MAX(FI50,PortfolioFrontier[[#This Row],[P41 Growth]])</f>
        <v>1.3584760333753265</v>
      </c>
      <c r="FJ51" s="27">
        <f>PortfolioFrontier[[#This Row],[P41 Growth]]/PortfolioFrontier[[#This Row],[P41 HWM]]-1</f>
        <v>-5.6007892945067583E-2</v>
      </c>
      <c r="FK51" s="28">
        <f>SUMPRODUCT(INDEX(PortfolioRef[[SPY]:[PE]],MATCH(FK$1,PortfolioRef[Reference '#]),0),AssetMonthlyReturns[[#This Row],[SPY]:[PE]])</f>
        <v>7.2758018342899258E-2</v>
      </c>
      <c r="FL51" s="27">
        <f>IF(ISNUMBER(FL50),FL50*(1+PortfolioFrontier[[#This Row],[P42 Return]]),1+PortfolioFrontier[[#This Row],[P42 Return]])</f>
        <v>1.2762786751464039</v>
      </c>
      <c r="FM51" s="27">
        <f>MAX(FM50,PortfolioFrontier[[#This Row],[P42 Growth]])</f>
        <v>1.3398096374084578</v>
      </c>
      <c r="FN51" s="27">
        <f>PortfolioFrontier[[#This Row],[P42 Growth]]/PortfolioFrontier[[#This Row],[P42 HWM]]-1</f>
        <v>-4.741790213193231E-2</v>
      </c>
      <c r="FO51" s="28">
        <f>SUMPRODUCT(INDEX(PortfolioRef[[SPY]:[PE]],MATCH(FO$1,PortfolioRef[Reference '#]),0),AssetMonthlyReturns[[#This Row],[SPY]:[PE]])</f>
        <v>6.7766719113526566E-2</v>
      </c>
      <c r="FP51" s="27">
        <f>IF(ISNUMBER(FP50),FP50*(1+PortfolioFrontier[[#This Row],[P43 Return]]),1+PortfolioFrontier[[#This Row],[P43 Return]])</f>
        <v>1.2697793129032588</v>
      </c>
      <c r="FQ51" s="27">
        <f>MAX(FQ50,PortfolioFrontier[[#This Row],[P43 Growth]])</f>
        <v>1.3211756589392865</v>
      </c>
      <c r="FR51" s="27">
        <f>PortfolioFrontier[[#This Row],[P43 Growth]]/PortfolioFrontier[[#This Row],[P43 HWM]]-1</f>
        <v>-3.8901977710739444E-2</v>
      </c>
      <c r="FS51" s="28">
        <f>SUMPRODUCT(INDEX(PortfolioRef[[SPY]:[PE]],MATCH(FS$1,PortfolioRef[Reference '#]),0),AssetMonthlyReturns[[#This Row],[SPY]:[PE]])</f>
        <v>7.9249819515111578E-2</v>
      </c>
      <c r="FT51" s="27">
        <f>IF(ISNUMBER(FT50),FT50*(1+PortfolioFrontier[[#This Row],[P44 Return]]),1+PortfolioFrontier[[#This Row],[P44 Return]])</f>
        <v>1.299660963970275</v>
      </c>
      <c r="FU51" s="27">
        <f>MAX(FU50,PortfolioFrontier[[#This Row],[P44 Growth]])</f>
        <v>1.3568083584051134</v>
      </c>
      <c r="FV51" s="27">
        <f>PortfolioFrontier[[#This Row],[P44 Growth]]/PortfolioFrontier[[#This Row],[P44 HWM]]-1</f>
        <v>-4.2118987608547376E-2</v>
      </c>
      <c r="FW51" s="28">
        <f>SUMPRODUCT(INDEX(PortfolioRef[[SPY]:[PE]],MATCH(FW$1,PortfolioRef[Reference '#]),0),AssetMonthlyReturns[[#This Row],[SPY]:[PE]])</f>
        <v>7.4258520285738885E-2</v>
      </c>
      <c r="FX51" s="27">
        <f>IF(ISNUMBER(FX50),FX50*(1+PortfolioFrontier[[#This Row],[P45 Return]]),1+PortfolioFrontier[[#This Row],[P45 Return]])</f>
        <v>1.2931904847618279</v>
      </c>
      <c r="FY51" s="27">
        <f>MAX(FY50,PortfolioFrontier[[#This Row],[P45 Growth]])</f>
        <v>1.3380442093305378</v>
      </c>
      <c r="FZ51" s="27">
        <f>PortfolioFrontier[[#This Row],[P45 Growth]]/PortfolioFrontier[[#This Row],[P45 HWM]]-1</f>
        <v>-3.3521855448372384E-2</v>
      </c>
      <c r="GA51" s="28">
        <f>SUMPRODUCT(INDEX(PortfolioRef[[SPY]:[PE]],MATCH(GA$1,PortfolioRef[Reference '#]),0),AssetMonthlyReturns[[#This Row],[SPY]:[PE]])</f>
        <v>8.0525506303806768E-2</v>
      </c>
      <c r="GB51" s="27">
        <f>IF(ISNUMBER(GB50),GB50*(1+PortfolioFrontier[[#This Row],[P46 Return]]),1+PortfolioFrontier[[#This Row],[P46 Return]])</f>
        <v>1.2893055629690908</v>
      </c>
      <c r="GC51" s="27">
        <f>MAX(GC50,PortfolioFrontier[[#This Row],[P46 Growth]])</f>
        <v>1.3634970412153742</v>
      </c>
      <c r="GD51" s="27">
        <f>PortfolioFrontier[[#This Row],[P46 Growth]]/PortfolioFrontier[[#This Row],[P46 HWM]]-1</f>
        <v>-5.4412643374826541E-2</v>
      </c>
      <c r="GE51" s="28">
        <f>SUMPRODUCT(INDEX(PortfolioRef[[SPY]:[PE]],MATCH(GE$1,PortfolioRef[Reference '#]),0),AssetMonthlyReturns[[#This Row],[SPY]:[PE]])</f>
        <v>7.5534207074434076E-2</v>
      </c>
      <c r="GF51" s="27">
        <f>IF(ISNUMBER(GF50),GF50*(1+PortfolioFrontier[[#This Row],[P47 Return]]),1+PortfolioFrontier[[#This Row],[P47 Return]])</f>
        <v>1.283198919847677</v>
      </c>
      <c r="GG51" s="27">
        <f>MAX(GG50,PortfolioFrontier[[#This Row],[P47 Growth]])</f>
        <v>1.3447852194316379</v>
      </c>
      <c r="GH51" s="27">
        <f>PortfolioFrontier[[#This Row],[P47 Growth]]/PortfolioFrontier[[#This Row],[P47 HWM]]-1</f>
        <v>-4.579638346262449E-2</v>
      </c>
      <c r="GI51" s="28">
        <f>SUMPRODUCT(INDEX(PortfolioRef[[SPY]:[PE]],MATCH(GI$1,PortfolioRef[Reference '#]),0),AssetMonthlyReturns[[#This Row],[SPY]:[PE]])</f>
        <v>7.0542907845061384E-2</v>
      </c>
      <c r="GJ51" s="27">
        <f>IF(ISNUMBER(GJ50),GJ50*(1+PortfolioFrontier[[#This Row],[P48 Return]]),1+PortfolioFrontier[[#This Row],[P48 Return]])</f>
        <v>1.2767026808030353</v>
      </c>
      <c r="GK51" s="27">
        <f>MAX(GK50,PortfolioFrontier[[#This Row],[P48 Growth]])</f>
        <v>1.3261053643353899</v>
      </c>
      <c r="GL51" s="27">
        <f>PortfolioFrontier[[#This Row],[P48 Growth]]/PortfolioFrontier[[#This Row],[P48 HWM]]-1</f>
        <v>-3.7253965530193001E-2</v>
      </c>
      <c r="GM51" s="28">
        <f>SUMPRODUCT(INDEX(PortfolioRef[[SPY]:[PE]],MATCH(GM$1,PortfolioRef[Reference '#]),0),AssetMonthlyReturns[[#This Row],[SPY]:[PE]])</f>
        <v>8.1801193092501973E-2</v>
      </c>
      <c r="GN51" s="27">
        <f>IF(ISNUMBER(GN50),GN50*(1+PortfolioFrontier[[#This Row],[P49 Return]]),1+PortfolioFrontier[[#This Row],[P49 Return]])</f>
        <v>1.2785687501172438</v>
      </c>
      <c r="GO51" s="27">
        <f>MAX(GO50,PortfolioFrontier[[#This Row],[P49 Growth]])</f>
        <v>1.3698993704585207</v>
      </c>
      <c r="GP51" s="27">
        <f>PortfolioFrontier[[#This Row],[P49 Growth]]/PortfolioFrontier[[#This Row],[P49 HWM]]-1</f>
        <v>-6.6669583409405875E-2</v>
      </c>
      <c r="GQ51" s="28">
        <f>SUMPRODUCT(INDEX(PortfolioRef[[SPY]:[PE]],MATCH(GQ$1,PortfolioRef[Reference '#]),0),AssetMonthlyReturns[[#This Row],[SPY]:[PE]])</f>
        <v>7.680989386312928E-2</v>
      </c>
      <c r="GR51" s="27">
        <f>IF(ISNUMBER(GR50),GR50*(1+PortfolioFrontier[[#This Row],[P50 Return]]),1+PortfolioFrontier[[#This Row],[P50 Return]])</f>
        <v>1.2728262310255922</v>
      </c>
      <c r="GS51" s="27">
        <f>MAX(GS50,PortfolioFrontier[[#This Row],[P50 Growth]])</f>
        <v>1.3512452775810491</v>
      </c>
      <c r="GT51" s="27">
        <f>PortfolioFrontier[[#This Row],[P50 Growth]]/PortfolioFrontier[[#This Row],[P50 HWM]]-1</f>
        <v>-5.8034649857085729E-2</v>
      </c>
      <c r="GU51" s="28">
        <f>SUMPRODUCT(INDEX(PortfolioRef[[SPY]:[PE]],MATCH(GU$1,PortfolioRef[Reference '#]),0),AssetMonthlyReturns[[#This Row],[SPY]:[PE]])</f>
        <v>7.1818594633756574E-2</v>
      </c>
      <c r="GV51" s="27">
        <f>IF(ISNUMBER(GV50),GV50*(1+PortfolioFrontier[[#This Row],[P51 Return]]),1+PortfolioFrontier[[#This Row],[P51 Return]])</f>
        <v>1.266690720828002</v>
      </c>
      <c r="GW51" s="27">
        <f>MAX(GW50,PortfolioFrontier[[#This Row],[P51 Growth]])</f>
        <v>1.3326193457404765</v>
      </c>
      <c r="GX51" s="27">
        <f>PortfolioFrontier[[#This Row],[P51 Growth]]/PortfolioFrontier[[#This Row],[P51 HWM]]-1</f>
        <v>-4.9472960994604853E-2</v>
      </c>
      <c r="GY51" s="28">
        <f>SUMPRODUCT(INDEX(PortfolioRef[[SPY]:[PE]],MATCH(GY$1,PortfolioRef[Reference '#]),0),AssetMonthlyReturns[[#This Row],[SPY]:[PE]])</f>
        <v>8.33016950353416E-2</v>
      </c>
      <c r="GZ51" s="27">
        <f>IF(ISNUMBER(GZ50),GZ50*(1+PortfolioFrontier[[#This Row],[P52 Return]]),1+PortfolioFrontier[[#This Row],[P52 Return]])</f>
        <v>1.2961211691174375</v>
      </c>
      <c r="HA51" s="27">
        <f>MAX(HA50,PortfolioFrontier[[#This Row],[P52 Growth]])</f>
        <v>1.3684029722493223</v>
      </c>
      <c r="HB51" s="27">
        <f>PortfolioFrontier[[#This Row],[P52 Growth]]/PortfolioFrontier[[#This Row],[P52 HWM]]-1</f>
        <v>-5.2822015588778748E-2</v>
      </c>
      <c r="HC51" s="28">
        <f>SUMPRODUCT(INDEX(PortfolioRef[[SPY]:[PE]],MATCH(HC$1,PortfolioRef[Reference '#]),0),AssetMonthlyReturns[[#This Row],[SPY]:[PE]])</f>
        <v>7.8310395805968908E-2</v>
      </c>
      <c r="HD51" s="27">
        <f>IF(ISNUMBER(HD50),HD50*(1+PortfolioFrontier[[#This Row],[P53 Return]]),1+PortfolioFrontier[[#This Row],[P53 Return]])</f>
        <v>1.2900205367399811</v>
      </c>
      <c r="HE51" s="27">
        <f>MAX(HE50,PortfolioFrontier[[#This Row],[P53 Growth]])</f>
        <v>1.3496473388218579</v>
      </c>
      <c r="HF51" s="27">
        <f>PortfolioFrontier[[#This Row],[P53 Growth]]/PortfolioFrontier[[#This Row],[P53 HWM]]-1</f>
        <v>-4.4179542586233467E-2</v>
      </c>
      <c r="HG51" s="28">
        <f>SUMPRODUCT(INDEX(PortfolioRef[[SPY]:[PE]],MATCH(HG$1,PortfolioRef[Reference '#]),0),AssetMonthlyReturns[[#This Row],[SPY]:[PE]])</f>
        <v>7.3319096576596202E-2</v>
      </c>
      <c r="HH51" s="27">
        <f>IF(ISNUMBER(HH50),HH50*(1+PortfolioFrontier[[#This Row],[P54 Return]]),1+PortfolioFrontier[[#This Row],[P54 Return]])</f>
        <v>1.2835281261790839</v>
      </c>
      <c r="HI51" s="27">
        <f>MAX(HI50,PortfolioFrontier[[#This Row],[P54 Growth]])</f>
        <v>1.3309232164629301</v>
      </c>
      <c r="HJ51" s="27">
        <f>PortfolioFrontier[[#This Row],[P54 Growth]]/PortfolioFrontier[[#This Row],[P54 HWM]]-1</f>
        <v>-3.5610687151287124E-2</v>
      </c>
      <c r="HK51" s="28">
        <f>SUMPRODUCT(INDEX(PortfolioRef[[SPY]:[PE]],MATCH(HK$1,PortfolioRef[Reference '#]),0),AssetMonthlyReturns[[#This Row],[SPY]:[PE]])</f>
        <v>8.457738182403679E-2</v>
      </c>
      <c r="HL51" s="27">
        <f>IF(ISNUMBER(HL50),HL50*(1+PortfolioFrontier[[#This Row],[P55 Return]]),1+PortfolioFrontier[[#This Row],[P55 Return]])</f>
        <v>1.2854504085339689</v>
      </c>
      <c r="HM51" s="27">
        <f>MAX(HM50,PortfolioFrontier[[#This Row],[P55 Growth]])</f>
        <v>1.374966231742059</v>
      </c>
      <c r="HN51" s="27">
        <f>PortfolioFrontier[[#This Row],[P55 Growth]]/PortfolioFrontier[[#This Row],[P55 HWM]]-1</f>
        <v>-6.5104015750754196E-2</v>
      </c>
      <c r="HO51" s="28">
        <f>SUMPRODUCT(INDEX(PortfolioRef[[SPY]:[PE]],MATCH(HO$1,PortfolioRef[Reference '#]),0),AssetMonthlyReturns[[#This Row],[SPY]:[PE]])</f>
        <v>7.9586082594664098E-2</v>
      </c>
      <c r="HP51" s="27">
        <f>IF(ISNUMBER(HP50),HP50*(1+PortfolioFrontier[[#This Row],[P56 Return]]),1+PortfolioFrontier[[#This Row],[P56 Return]])</f>
        <v>1.2797149045632121</v>
      </c>
      <c r="HQ51" s="27">
        <f>MAX(HQ50,PortfolioFrontier[[#This Row],[P56 Growth]])</f>
        <v>1.356266779034806</v>
      </c>
      <c r="HR51" s="27">
        <f>PortfolioFrontier[[#This Row],[P56 Growth]]/PortfolioFrontier[[#This Row],[P56 HWM]]-1</f>
        <v>-5.6443080118848243E-2</v>
      </c>
      <c r="HS51" s="28">
        <f>SUMPRODUCT(INDEX(PortfolioRef[[SPY]:[PE]],MATCH(HS$1,PortfolioRef[Reference '#]),0),AssetMonthlyReturns[[#This Row],[SPY]:[PE]])</f>
        <v>7.4594783365291406E-2</v>
      </c>
      <c r="HT51" s="27">
        <f>IF(ISNUMBER(HT50),HT50*(1+PortfolioFrontier[[#This Row],[P57 Return]]),1+PortfolioFrontier[[#This Row],[P57 Return]])</f>
        <v>1.2735841941333519</v>
      </c>
      <c r="HU51" s="27">
        <f>MAX(HU50,PortfolioFrontier[[#This Row],[P57 Growth]])</f>
        <v>1.337595024415057</v>
      </c>
      <c r="HV51" s="27">
        <f>PortfolioFrontier[[#This Row],[P57 Growth]]/PortfolioFrontier[[#This Row],[P57 HWM]]-1</f>
        <v>-4.7855164764609937E-2</v>
      </c>
      <c r="HW51" s="28">
        <f>SUMPRODUCT(INDEX(PortfolioRef[[SPY]:[PE]],MATCH(HW$1,PortfolioRef[Reference '#]),0),AssetMonthlyReturns[[#This Row],[SPY]:[PE]])</f>
        <v>8.5853068612731981E-2</v>
      </c>
      <c r="HX51" s="27">
        <f>IF(ISNUMBER(HX50),HX50*(1+PortfolioFrontier[[#This Row],[P58 Return]]),1+PortfolioFrontier[[#This Row],[P58 Return]])</f>
        <v>1.2744013932701395</v>
      </c>
      <c r="HY51" s="27">
        <f>MAX(HY50,PortfolioFrontier[[#This Row],[P58 Growth]])</f>
        <v>1.3812386241053227</v>
      </c>
      <c r="HZ51" s="27">
        <f>PortfolioFrontier[[#This Row],[P58 Growth]]/PortfolioFrontier[[#This Row],[P58 HWM]]-1</f>
        <v>-7.7348858459837522E-2</v>
      </c>
      <c r="IA51" s="28">
        <f>SUMPRODUCT(INDEX(PortfolioRef[[SPY]:[PE]],MATCH(IA$1,PortfolioRef[Reference '#]),0),AssetMonthlyReturns[[#This Row],[SPY]:[PE]])</f>
        <v>8.0861769383359303E-2</v>
      </c>
      <c r="IB51" s="27">
        <f>IF(ISNUMBER(IB50),IB50*(1+PortfolioFrontier[[#This Row],[P59 Return]]),1+PortfolioFrontier[[#This Row],[P59 Return]])</f>
        <v>1.2690310938153593</v>
      </c>
      <c r="IC51" s="27">
        <f>MAX(IC50,PortfolioFrontier[[#This Row],[P59 Growth]])</f>
        <v>1.362600772073006</v>
      </c>
      <c r="ID51" s="27">
        <f>PortfolioFrontier[[#This Row],[P59 Growth]]/PortfolioFrontier[[#This Row],[P59 HWM]]-1</f>
        <v>-6.8669914310479641E-2</v>
      </c>
      <c r="IE51" s="28">
        <f>SUMPRODUCT(INDEX(PortfolioRef[[SPY]:[PE]],MATCH(IE$1,PortfolioRef[Reference '#]),0),AssetMonthlyReturns[[#This Row],[SPY]:[PE]])</f>
        <v>7.5870470153986611E-2</v>
      </c>
      <c r="IF51" s="27">
        <f>IF(ISNUMBER(IF50),IF50*(1+PortfolioFrontier[[#This Row],[P60 Return]]),1+PortfolioFrontier[[#This Row],[P60 Return]])</f>
        <v>1.2632623689078795</v>
      </c>
      <c r="IG51" s="27">
        <f>MAX(IG50,PortfolioFrontier[[#This Row],[P60 Growth]])</f>
        <v>1.3439867749591152</v>
      </c>
      <c r="IH51" s="27">
        <f>PortfolioFrontier[[#This Row],[P60 Growth]]/PortfolioFrontier[[#This Row],[P60 HWM]]-1</f>
        <v>-6.0063393148858557E-2</v>
      </c>
      <c r="II51" s="28">
        <f>SUMPRODUCT(INDEX(PortfolioRef[[SPY]:[PE]],MATCH(II$1,PortfolioRef[Reference '#]),0),AssetMonthlyReturns[[#This Row],[SPY]:[PE]])</f>
        <v>6.381964409293335E-2</v>
      </c>
      <c r="IJ51" s="27">
        <f>IF(ISNUMBER(IJ50),IJ50*(1+PortfolioFrontier[[#This Row],[P61 Return]]),1+PortfolioFrontier[[#This Row],[P61 Return]])</f>
        <v>1.2715998026955921</v>
      </c>
      <c r="IK51" s="27">
        <f>MAX(IK50,PortfolioFrontier[[#This Row],[P61 Growth]])</f>
        <v>1.3094981526620968</v>
      </c>
      <c r="IL51" s="27">
        <f>PortfolioFrontier[[#This Row],[P61 Growth]]/PortfolioFrontier[[#This Row],[P61 HWM]]-1</f>
        <v>-2.8941125185599215E-2</v>
      </c>
      <c r="IM51" s="28">
        <f>SUMPRODUCT(INDEX(PortfolioRef[[SPY]:[PE]],MATCH(IM$1,PortfolioRef[Reference '#]),0),AssetMonthlyReturns[[#This Row],[SPY]:[PE]])</f>
        <v>6.6595832824468168E-2</v>
      </c>
      <c r="IN51" s="27">
        <f>IF(ISNUMBER(IN50),IN50*(1+PortfolioFrontier[[#This Row],[P62 Return]]),1+PortfolioFrontier[[#This Row],[P62 Return]])</f>
        <v>1.2784830466036694</v>
      </c>
      <c r="IO51" s="27">
        <f>MAX(IO50,PortfolioFrontier[[#This Row],[P62 Growth]])</f>
        <v>1.3143085617694168</v>
      </c>
      <c r="IP51" s="27">
        <f>PortfolioFrontier[[#This Row],[P62 Growth]]/PortfolioFrontier[[#This Row],[P62 HWM]]-1</f>
        <v>-2.7258070294784109E-2</v>
      </c>
      <c r="IQ51" s="28">
        <f>SUMPRODUCT(INDEX(PortfolioRef[[SPY]:[PE]],MATCH(IQ$1,PortfolioRef[Reference '#]),0),AssetMonthlyReturns[[#This Row],[SPY]:[PE]])</f>
        <v>6.7871519613163372E-2</v>
      </c>
      <c r="IR51" s="27">
        <f>IF(ISNUMBER(IR50),IR50*(1+PortfolioFrontier[[#This Row],[P63 Return]]),1+PortfolioFrontier[[#This Row],[P63 Return]])</f>
        <v>1.2687489432726138</v>
      </c>
      <c r="IS51" s="27">
        <f>MAX(IS50,PortfolioFrontier[[#This Row],[P63 Growth]])</f>
        <v>1.3209548791169983</v>
      </c>
      <c r="IT51" s="27">
        <f>PortfolioFrontier[[#This Row],[P63 Growth]]/PortfolioFrontier[[#This Row],[P63 HWM]]-1</f>
        <v>-3.9521361910016095E-2</v>
      </c>
      <c r="IU51" s="28">
        <f>SUMPRODUCT(INDEX(PortfolioRef[[SPY]:[PE]],MATCH(IU$1,PortfolioRef[Reference '#]),0),AssetMonthlyReturns[[#This Row],[SPY]:[PE]])</f>
        <v>6.288022038379068E-2</v>
      </c>
      <c r="IV51" s="27">
        <f>IF(ISNUMBER(IV50),IV50*(1+PortfolioFrontier[[#This Row],[P64 Return]]),1+PortfolioFrontier[[#This Row],[P64 Return]])</f>
        <v>1.2621516326355311</v>
      </c>
      <c r="IW51" s="27">
        <f>MAX(IW50,PortfolioFrontier[[#This Row],[P64 Growth]])</f>
        <v>1.302575062579725</v>
      </c>
      <c r="IX51" s="27">
        <f>PortfolioFrontier[[#This Row],[P64 Growth]]/PortfolioFrontier[[#This Row],[P64 HWM]]-1</f>
        <v>-3.1033474465675726E-2</v>
      </c>
      <c r="IY51" s="28">
        <f>SUMPRODUCT(INDEX(PortfolioRef[[SPY]:[PE]],MATCH(IY$1,PortfolioRef[Reference '#]),0),AssetMonthlyReturns[[#This Row],[SPY]:[PE]])</f>
        <v>6.9372021556003E-2</v>
      </c>
      <c r="IZ51" s="27">
        <f>IF(ISNUMBER(IZ50),IZ50*(1+PortfolioFrontier[[#This Row],[P65 Return]]),1+PortfolioFrontier[[#This Row],[P65 Return]])</f>
        <v>1.2852675769409565</v>
      </c>
      <c r="JA51" s="27">
        <f>MAX(JA50,PortfolioFrontier[[#This Row],[P65 Growth]])</f>
        <v>1.3190074789677764</v>
      </c>
      <c r="JB51" s="27">
        <f>PortfolioFrontier[[#This Row],[P65 Growth]]/PortfolioFrontier[[#This Row],[P65 HWM]]-1</f>
        <v>-2.5579765516738351E-2</v>
      </c>
      <c r="JC51" s="28">
        <f>SUMPRODUCT(INDEX(PortfolioRef[[SPY]:[PE]],MATCH(JC$1,PortfolioRef[Reference '#]),0),AssetMonthlyReturns[[#This Row],[SPY]:[PE]])</f>
        <v>7.064770834469819E-2</v>
      </c>
      <c r="JD51" s="27">
        <f>IF(ISNUMBER(JD50),JD50*(1+PortfolioFrontier[[#This Row],[P66 Return]]),1+PortfolioFrontier[[#This Row],[P66 Return]])</f>
        <v>1.2756034680934321</v>
      </c>
      <c r="JE51" s="27">
        <f>MAX(JE50,PortfolioFrontier[[#This Row],[P66 Growth]])</f>
        <v>1.3258104044199521</v>
      </c>
      <c r="JF51" s="27">
        <f>PortfolioFrontier[[#This Row],[P66 Growth]]/PortfolioFrontier[[#This Row],[P66 HWM]]-1</f>
        <v>-3.7868865834165599E-2</v>
      </c>
      <c r="JG51" s="28">
        <f>SUMPRODUCT(INDEX(PortfolioRef[[SPY]:[PE]],MATCH(JG$1,PortfolioRef[Reference '#]),0),AssetMonthlyReturns[[#This Row],[SPY]:[PE]])</f>
        <v>6.5656409115325512E-2</v>
      </c>
      <c r="JH51" s="27">
        <f>IF(ISNUMBER(JH50),JH50*(1+PortfolioFrontier[[#This Row],[P67 Return]]),1+PortfolioFrontier[[#This Row],[P67 Return]])</f>
        <v>1.2690088877440546</v>
      </c>
      <c r="JI51" s="27">
        <f>MAX(JI50,PortfolioFrontier[[#This Row],[P67 Growth]])</f>
        <v>1.3073861378653062</v>
      </c>
      <c r="JJ51" s="27">
        <f>PortfolioFrontier[[#This Row],[P67 Growth]]/PortfolioFrontier[[#This Row],[P67 HWM]]-1</f>
        <v>-2.9354181606907503E-2</v>
      </c>
      <c r="JK51" s="28">
        <f>SUMPRODUCT(INDEX(PortfolioRef[[SPY]:[PE]],MATCH(JK$1,PortfolioRef[Reference '#]),0),AssetMonthlyReturns[[#This Row],[SPY]:[PE]])</f>
        <v>7.1923395133393395E-2</v>
      </c>
      <c r="JL51" s="27">
        <f>IF(ISNUMBER(JL50),JL50*(1+PortfolioFrontier[[#This Row],[P68 Return]]),1+PortfolioFrontier[[#This Row],[P68 Return]])</f>
        <v>1.2655586798731591</v>
      </c>
      <c r="JM51" s="27">
        <f>MAX(JM50,PortfolioFrontier[[#This Row],[P68 Growth]])</f>
        <v>1.3323384524872308</v>
      </c>
      <c r="JN51" s="27">
        <f>PortfolioFrontier[[#This Row],[P68 Growth]]/PortfolioFrontier[[#This Row],[P68 HWM]]-1</f>
        <v>-5.0122228694522875E-2</v>
      </c>
      <c r="JO51" s="28">
        <f>SUMPRODUCT(INDEX(PortfolioRef[[SPY]:[PE]],MATCH(JO$1,PortfolioRef[Reference '#]),0),AssetMonthlyReturns[[#This Row],[SPY]:[PE]])</f>
        <v>6.6932095904020703E-2</v>
      </c>
      <c r="JP51" s="27">
        <f>IF(ISNUMBER(JP50),JP50*(1+PortfolioFrontier[[#This Row],[P69 Return]]),1+PortfolioFrontier[[#This Row],[P69 Return]])</f>
        <v>1.259320365754333</v>
      </c>
      <c r="JQ51" s="27">
        <f>MAX(JQ50,PortfolioFrontier[[#This Row],[P69 Growth]])</f>
        <v>1.3139648547532048</v>
      </c>
      <c r="JR51" s="27">
        <f>PortfolioFrontier[[#This Row],[P69 Growth]]/PortfolioFrontier[[#This Row],[P69 HWM]]-1</f>
        <v>-4.1587481431636375E-2</v>
      </c>
      <c r="JS51" s="28">
        <f>SUMPRODUCT(INDEX(PortfolioRef[[SPY]:[PE]],MATCH(JS$1,PortfolioRef[Reference '#]),0),AssetMonthlyReturns[[#This Row],[SPY]:[PE]])</f>
        <v>6.194079667464801E-2</v>
      </c>
      <c r="JT51" s="27">
        <f>IF(ISNUMBER(JT50),JT50*(1+PortfolioFrontier[[#This Row],[P70 Return]]),1+PortfolioFrontier[[#This Row],[P70 Return]])</f>
        <v>1.2527037595112784</v>
      </c>
      <c r="JU51" s="27">
        <f>MAX(JU50,PortfolioFrontier[[#This Row],[P70 Growth]])</f>
        <v>1.2956247967365477</v>
      </c>
      <c r="JV51" s="27">
        <f>PortfolioFrontier[[#This Row],[P70 Growth]]/PortfolioFrontier[[#This Row],[P70 HWM]]-1</f>
        <v>-3.3127675028588488E-2</v>
      </c>
      <c r="JW51" s="28">
        <f>SUMPRODUCT(INDEX(PortfolioRef[[SPY]:[PE]],MATCH(JW$1,PortfolioRef[Reference '#]),0),AssetMonthlyReturns[[#This Row],[SPY]:[PE]])</f>
        <v>7.3423897076233022E-2</v>
      </c>
      <c r="JX51" s="27">
        <f>IF(ISNUMBER(JX50),JX50*(1+PortfolioFrontier[[#This Row],[P71 Return]]),1+PortfolioFrontier[[#This Row],[P71 Return]])</f>
        <v>1.2823595047136827</v>
      </c>
      <c r="JY51" s="27">
        <f>MAX(JY50,PortfolioFrontier[[#This Row],[P71 Growth]])</f>
        <v>1.3305535794300112</v>
      </c>
      <c r="JZ51" s="27">
        <f>PortfolioFrontier[[#This Row],[P71 Growth]]/PortfolioFrontier[[#This Row],[P71 HWM]]-1</f>
        <v>-3.6221070283373402E-2</v>
      </c>
      <c r="KA51" s="28">
        <f>SUMPRODUCT(INDEX(PortfolioRef[[SPY]:[PE]],MATCH(KA$1,PortfolioRef[Reference '#]),0),AssetMonthlyReturns[[#This Row],[SPY]:[PE]])</f>
        <v>6.843259784686033E-2</v>
      </c>
      <c r="KB51" s="27">
        <f>IF(ISNUMBER(KB50),KB50*(1+PortfolioFrontier[[#This Row],[P72 Return]]),1+PortfolioFrontier[[#This Row],[P72 Return]])</f>
        <v>1.2757683694397175</v>
      </c>
      <c r="KC51" s="27">
        <f>MAX(KC50,PortfolioFrontier[[#This Row],[P72 Growth]])</f>
        <v>1.312086457152924</v>
      </c>
      <c r="KD51" s="27">
        <f>PortfolioFrontier[[#This Row],[P72 Growth]]/PortfolioFrontier[[#This Row],[P72 HWM]]-1</f>
        <v>-2.7679645281921905E-2</v>
      </c>
      <c r="KE51" s="28">
        <f>SUMPRODUCT(INDEX(PortfolioRef[[SPY]:[PE]],MATCH(KE$1,PortfolioRef[Reference '#]),0),AssetMonthlyReturns[[#This Row],[SPY]:[PE]])</f>
        <v>7.4699583864928212E-2</v>
      </c>
      <c r="KF51" s="27">
        <f>IF(ISNUMBER(KF50),KF50*(1+PortfolioFrontier[[#This Row],[P73 Return]]),1+PortfolioFrontier[[#This Row],[P73 Return]])</f>
        <v>1.272382972617863</v>
      </c>
      <c r="KG51" s="27">
        <f>MAX(KG50,PortfolioFrontier[[#This Row],[P73 Growth]])</f>
        <v>1.337239053451823</v>
      </c>
      <c r="KH51" s="27">
        <f>PortfolioFrontier[[#This Row],[P73 Growth]]/PortfolioFrontier[[#This Row],[P73 HWM]]-1</f>
        <v>-4.8499990085203226E-2</v>
      </c>
      <c r="KI51" s="28">
        <f>SUMPRODUCT(INDEX(PortfolioRef[[SPY]:[PE]],MATCH(KI$1,PortfolioRef[Reference '#]),0),AssetMonthlyReturns[[#This Row],[SPY]:[PE]])</f>
        <v>6.970828463555552E-2</v>
      </c>
      <c r="KJ51" s="27">
        <f>IF(ISNUMBER(KJ50),KJ50*(1+PortfolioFrontier[[#This Row],[P74 Return]]),1+PortfolioFrontier[[#This Row],[P74 Return]])</f>
        <v>1.2661490432904172</v>
      </c>
      <c r="KK51" s="27">
        <f>MAX(KK50,PortfolioFrontier[[#This Row],[P74 Growth]])</f>
        <v>1.3188210591477281</v>
      </c>
      <c r="KL51" s="27">
        <f>PortfolioFrontier[[#This Row],[P74 Growth]]/PortfolioFrontier[[#This Row],[P74 HWM]]-1</f>
        <v>-3.9938713058881192E-2</v>
      </c>
      <c r="KM51" s="28">
        <f>SUMPRODUCT(INDEX(PortfolioRef[[SPY]:[PE]],MATCH(KM$1,PortfolioRef[Reference '#]),0),AssetMonthlyReturns[[#This Row],[SPY]:[PE]])</f>
        <v>6.4716985406182828E-2</v>
      </c>
      <c r="KN51" s="27">
        <f>IF(ISNUMBER(KN50),KN50*(1+PortfolioFrontier[[#This Row],[P75 Return]]),1+PortfolioFrontier[[#This Row],[P75 Return]])</f>
        <v>1.2595346470089364</v>
      </c>
      <c r="KO51" s="27">
        <f>MAX(KO50,PortfolioFrontier[[#This Row],[P75 Growth]])</f>
        <v>1.300436163514596</v>
      </c>
      <c r="KP51" s="27">
        <f>PortfolioFrontier[[#This Row],[P75 Growth]]/PortfolioFrontier[[#This Row],[P75 HWM]]-1</f>
        <v>-3.1452152480224815E-2</v>
      </c>
      <c r="KQ51" s="28">
        <f>SUMPRODUCT(INDEX(PortfolioRef[[SPY]:[PE]],MATCH(KQ$1,PortfolioRef[Reference '#]),0),AssetMonthlyReturns[[#This Row],[SPY]:[PE]])</f>
        <v>7.5975270653623417E-2</v>
      </c>
      <c r="KR51" s="27">
        <f>IF(ISNUMBER(KR50),KR50*(1+PortfolioFrontier[[#This Row],[P76 Return]]),1+PortfolioFrontier[[#This Row],[P76 Return]])</f>
        <v>1.2620285208390076</v>
      </c>
      <c r="KS51" s="27">
        <f>MAX(KS50,PortfolioFrontier[[#This Row],[P76 Growth]])</f>
        <v>1.3436451993513385</v>
      </c>
      <c r="KT51" s="27">
        <f>PortfolioFrontier[[#This Row],[P76 Growth]]/PortfolioFrontier[[#This Row],[P76 HWM]]-1</f>
        <v>-6.0742730708770676E-2</v>
      </c>
      <c r="KU51" s="28">
        <f>SUMPRODUCT(INDEX(PortfolioRef[[SPY]:[PE]],MATCH(KU$1,PortfolioRef[Reference '#]),0),AssetMonthlyReturns[[#This Row],[SPY]:[PE]])</f>
        <v>7.0983971424250725E-2</v>
      </c>
      <c r="KV51" s="27">
        <f>IF(ISNUMBER(KV50),KV50*(1+PortfolioFrontier[[#This Row],[P77 Return]]),1+PortfolioFrontier[[#This Row],[P77 Return]])</f>
        <v>1.2561522218928358</v>
      </c>
      <c r="KW51" s="27">
        <f>MAX(KW50,PortfolioFrontier[[#This Row],[P77 Growth]])</f>
        <v>1.3252816365276681</v>
      </c>
      <c r="KX51" s="27">
        <f>PortfolioFrontier[[#This Row],[P77 Growth]]/PortfolioFrontier[[#This Row],[P77 HWM]]-1</f>
        <v>-5.2162055769486293E-2</v>
      </c>
      <c r="KY51" s="28">
        <f>SUMPRODUCT(INDEX(PortfolioRef[[SPY]:[PE]],MATCH(KY$1,PortfolioRef[Reference '#]),0),AssetMonthlyReturns[[#This Row],[SPY]:[PE]])</f>
        <v>6.5992672194878019E-2</v>
      </c>
      <c r="KZ51" s="27">
        <f>IF(ISNUMBER(KZ50),KZ50*(1+PortfolioFrontier[[#This Row],[P78 Return]]),1+PortfolioFrontier[[#This Row],[P78 Return]])</f>
        <v>1.249892006085098</v>
      </c>
      <c r="LA51" s="27">
        <f>MAX(LA50,PortfolioFrontier[[#This Row],[P78 Growth]])</f>
        <v>1.3069474504943903</v>
      </c>
      <c r="LB51" s="27">
        <f>PortfolioFrontier[[#This Row],[P78 Growth]]/PortfolioFrontier[[#This Row],[P78 HWM]]-1</f>
        <v>-4.3655499987937163E-2</v>
      </c>
      <c r="LC51" s="28">
        <f>SUMPRODUCT(INDEX(PortfolioRef[[SPY]:[PE]],MATCH(LC$1,PortfolioRef[Reference '#]),0),AssetMonthlyReturns[[#This Row],[SPY]:[PE]])</f>
        <v>7.7475772596463044E-2</v>
      </c>
      <c r="LD51" s="27">
        <f>IF(ISNUMBER(LD50),LD50*(1+PortfolioFrontier[[#This Row],[P79 Return]]),1+PortfolioFrontier[[#This Row],[P79 Return]])</f>
        <v>1.2791090293858474</v>
      </c>
      <c r="LE51" s="27">
        <f>MAX(LE50,PortfolioFrontier[[#This Row],[P79 Growth]])</f>
        <v>1.3420264536343358</v>
      </c>
      <c r="LF51" s="27">
        <f>PortfolioFrontier[[#This Row],[P79 Growth]]/PortfolioFrontier[[#This Row],[P79 HWM]]-1</f>
        <v>-4.6882402413232604E-2</v>
      </c>
      <c r="LG51" s="28">
        <f>SUMPRODUCT(INDEX(PortfolioRef[[SPY]:[PE]],MATCH(LG$1,PortfolioRef[Reference '#]),0),AssetMonthlyReturns[[#This Row],[SPY]:[PE]])</f>
        <v>7.2484473367090352E-2</v>
      </c>
      <c r="LH51" s="27">
        <f>IF(ISNUMBER(LH50),LH50*(1+PortfolioFrontier[[#This Row],[P80 Return]]),1+PortfolioFrontier[[#This Row],[P80 Return]])</f>
        <v>1.2728801703382129</v>
      </c>
      <c r="LI51" s="27">
        <f>MAX(LI50,PortfolioFrontier[[#This Row],[P80 Growth]])</f>
        <v>1.3235656560489486</v>
      </c>
      <c r="LJ51" s="27">
        <f>PortfolioFrontier[[#This Row],[P80 Growth]]/PortfolioFrontier[[#This Row],[P80 HWM]]-1</f>
        <v>-3.8294651632197696E-2</v>
      </c>
      <c r="LK51" s="28">
        <f>SUMPRODUCT(INDEX(PortfolioRef[[SPY]:[PE]],MATCH(LK$1,PortfolioRef[Reference '#]),0),AssetMonthlyReturns[[#This Row],[SPY]:[PE]])</f>
        <v>6.7493174137717646E-2</v>
      </c>
      <c r="LL51" s="27">
        <f>IF(ISNUMBER(LL50),LL50*(1+PortfolioFrontier[[#This Row],[P81 Return]]),1+PortfolioFrontier[[#This Row],[P81 Return]])</f>
        <v>1.2662686982269515</v>
      </c>
      <c r="LM51" s="27">
        <f>MAX(LM50,PortfolioFrontier[[#This Row],[P81 Growth]])</f>
        <v>1.3051375112196997</v>
      </c>
      <c r="LN51" s="27">
        <f>PortfolioFrontier[[#This Row],[P81 Growth]]/PortfolioFrontier[[#This Row],[P81 HWM]]-1</f>
        <v>-2.9781392886657376E-2</v>
      </c>
      <c r="LO51" s="28">
        <f>SUMPRODUCT(INDEX(PortfolioRef[[SPY]:[PE]],MATCH(LO$1,PortfolioRef[Reference '#]),0),AssetMonthlyReturns[[#This Row],[SPY]:[PE]])</f>
        <v>7.8751459385158235E-2</v>
      </c>
      <c r="LP51" s="27">
        <f>IF(ISNUMBER(LP50),LP50*(1+PortfolioFrontier[[#This Row],[P82 Return]]),1+PortfolioFrontier[[#This Row],[P82 Return]])</f>
        <v>1.2688210748605566</v>
      </c>
      <c r="LQ51" s="27">
        <f>MAX(LQ50,PortfolioFrontier[[#This Row],[P82 Growth]])</f>
        <v>1.3485908267233171</v>
      </c>
      <c r="LR51" s="27">
        <f>PortfolioFrontier[[#This Row],[P82 Growth]]/PortfolioFrontier[[#This Row],[P82 HWM]]-1</f>
        <v>-5.915044821755E-2</v>
      </c>
      <c r="LS51" s="28">
        <f>SUMPRODUCT(INDEX(PortfolioRef[[SPY]:[PE]],MATCH(LS$1,PortfolioRef[Reference '#]),0),AssetMonthlyReturns[[#This Row],[SPY]:[PE]])</f>
        <v>7.3760160155785542E-2</v>
      </c>
      <c r="LT51" s="27">
        <f>IF(ISNUMBER(LT50),LT50*(1+PortfolioFrontier[[#This Row],[P83 Return]]),1+PortfolioFrontier[[#This Row],[P83 Return]])</f>
        <v>1.262950814294421</v>
      </c>
      <c r="LU51" s="27">
        <f>MAX(LU50,PortfolioFrontier[[#This Row],[P83 Growth]])</f>
        <v>1.330182929188416</v>
      </c>
      <c r="LV51" s="27">
        <f>PortfolioFrontier[[#This Row],[P83 Growth]]/PortfolioFrontier[[#This Row],[P83 HWM]]-1</f>
        <v>-5.054351053431072E-2</v>
      </c>
      <c r="LW51" s="28">
        <f>SUMPRODUCT(INDEX(PortfolioRef[[SPY]:[PE]],MATCH(LW$1,PortfolioRef[Reference '#]),0),AssetMonthlyReturns[[#This Row],[SPY]:[PE]])</f>
        <v>6.8768860926412836E-2</v>
      </c>
      <c r="LX51" s="27">
        <f>IF(ISNUMBER(LX50),LX50*(1+PortfolioFrontier[[#This Row],[P84 Return]]),1+PortfolioFrontier[[#This Row],[P84 Return]])</f>
        <v>1.2566944579313049</v>
      </c>
      <c r="LY51" s="27">
        <f>MAX(LY50,PortfolioFrontier[[#This Row],[P84 Growth]])</f>
        <v>1.3118039554968419</v>
      </c>
      <c r="LZ51" s="27">
        <f>PortfolioFrontier[[#This Row],[P84 Growth]]/PortfolioFrontier[[#This Row],[P84 HWM]]-1</f>
        <v>-4.2010467596634515E-2</v>
      </c>
      <c r="MA51" s="28">
        <f>SUMPRODUCT(INDEX(PortfolioRef[[SPY]:[PE]],MATCH(MA$1,PortfolioRef[Reference '#]),0),AssetMonthlyReturns[[#This Row],[SPY]:[PE]])</f>
        <v>8.0027146173853425E-2</v>
      </c>
      <c r="MB51" s="27">
        <f>IF(ISNUMBER(MB50),MB50*(1+PortfolioFrontier[[#This Row],[P85 Return]]),1+PortfolioFrontier[[#This Row],[P85 Return]])</f>
        <v>1.2581581642044257</v>
      </c>
      <c r="MC51" s="27">
        <f>MAX(MC50,PortfolioFrontier[[#This Row],[P85 Growth]])</f>
        <v>1.3548714243118356</v>
      </c>
      <c r="MD51" s="27">
        <f>PortfolioFrontier[[#This Row],[P85 Growth]]/PortfolioFrontier[[#This Row],[P85 HWM]]-1</f>
        <v>-7.138187312241262E-2</v>
      </c>
      <c r="ME51" s="28">
        <f>SUMPRODUCT(INDEX(PortfolioRef[[SPY]:[PE]],MATCH(ME$1,PortfolioRef[Reference '#]),0),AssetMonthlyReturns[[#This Row],[SPY]:[PE]])</f>
        <v>7.5035846944480733E-2</v>
      </c>
      <c r="MF51" s="27">
        <f>IF(ISNUMBER(MF50),MF50*(1+PortfolioFrontier[[#This Row],[P86 Return]]),1+PortfolioFrontier[[#This Row],[P86 Return]])</f>
        <v>1.2526467193771433</v>
      </c>
      <c r="MG51" s="27">
        <f>MAX(MG50,PortfolioFrontier[[#This Row],[P86 Growth]])</f>
        <v>1.3365217491088508</v>
      </c>
      <c r="MH51" s="27">
        <f>PortfolioFrontier[[#This Row],[P86 Growth]]/PortfolioFrontier[[#This Row],[P86 HWM]]-1</f>
        <v>-6.2756202648877712E-2</v>
      </c>
      <c r="MI51" s="28">
        <f>SUMPRODUCT(INDEX(PortfolioRef[[SPY]:[PE]],MATCH(MI$1,PortfolioRef[Reference '#]),0),AssetMonthlyReturns[[#This Row],[SPY]:[PE]])</f>
        <v>7.0044547715108041E-2</v>
      </c>
      <c r="MJ51" s="27">
        <f>IF(ISNUMBER(MJ50),MJ50*(1+PortfolioFrontier[[#This Row],[P87 Return]]),1+PortfolioFrontier[[#This Row],[P87 Return]])</f>
        <v>1.2467458999696623</v>
      </c>
      <c r="MK51" s="27">
        <f>MAX(MK50,PortfolioFrontier[[#This Row],[P87 Growth]])</f>
        <v>1.3181972385056435</v>
      </c>
      <c r="ML51" s="27">
        <f>PortfolioFrontier[[#This Row],[P87 Growth]]/PortfolioFrontier[[#This Row],[P87 HWM]]-1</f>
        <v>-5.4203829630974698E-2</v>
      </c>
      <c r="MM51" s="28">
        <f>SUMPRODUCT(INDEX(PortfolioRef[[SPY]:[PE]],MATCH(MM$1,PortfolioRef[Reference '#]),0),AssetMonthlyReturns[[#This Row],[SPY]:[PE]])</f>
        <v>8.1527648116693052E-2</v>
      </c>
      <c r="MN51" s="27">
        <f>IF(ISNUMBER(MN50),MN50*(1+PortfolioFrontier[[#This Row],[P88 Return]]),1+PortfolioFrontier[[#This Row],[P88 Return]])</f>
        <v>1.2755156720033169</v>
      </c>
      <c r="MO51" s="27">
        <f>MAX(MO50,PortfolioFrontier[[#This Row],[P88 Growth]])</f>
        <v>1.3534224110032944</v>
      </c>
      <c r="MP51" s="27">
        <f>PortfolioFrontier[[#This Row],[P88 Growth]]/PortfolioFrontier[[#This Row],[P88 HWM]]-1</f>
        <v>-5.7562767075967858E-2</v>
      </c>
      <c r="MQ51" s="28">
        <f>SUMPRODUCT(INDEX(PortfolioRef[[SPY]:[PE]],MATCH(MQ$1,PortfolioRef[Reference '#]),0),AssetMonthlyReturns[[#This Row],[SPY]:[PE]])</f>
        <v>7.6536348887320374E-2</v>
      </c>
      <c r="MR51" s="27">
        <f>IF(ISNUMBER(MR50),MR50*(1+PortfolioFrontier[[#This Row],[P89 Return]]),1+PortfolioFrontier[[#This Row],[P89 Return]])</f>
        <v>1.2696521057424808</v>
      </c>
      <c r="MS51" s="27">
        <f>MAX(MS50,PortfolioFrontier[[#This Row],[P89 Growth]])</f>
        <v>1.3349717707433648</v>
      </c>
      <c r="MT51" s="27">
        <f>PortfolioFrontier[[#This Row],[P89 Growth]]/PortfolioFrontier[[#This Row],[P89 HWM]]-1</f>
        <v>-4.8929622657497451E-2</v>
      </c>
      <c r="MU51" s="28">
        <f>SUMPRODUCT(INDEX(PortfolioRef[[SPY]:[PE]],MATCH(MU$1,PortfolioRef[Reference '#]),0),AssetMonthlyReturns[[#This Row],[SPY]:[PE]])</f>
        <v>7.1545049657947668E-2</v>
      </c>
      <c r="MV51" s="27">
        <f>IF(ISNUMBER(MV50),MV50*(1+PortfolioFrontier[[#This Row],[P90 Return]]),1+PortfolioFrontier[[#This Row],[P90 Return]])</f>
        <v>1.2634002939941362</v>
      </c>
      <c r="MW51" s="27">
        <f>MAX(MW50,PortfolioFrontier[[#This Row],[P90 Growth]])</f>
        <v>1.3165495968207468</v>
      </c>
      <c r="MX51" s="27">
        <f>PortfolioFrontier[[#This Row],[P90 Growth]]/PortfolioFrontier[[#This Row],[P90 HWM]]-1</f>
        <v>-4.0370148572418052E-2</v>
      </c>
      <c r="MY51" s="28">
        <f>SUMPRODUCT(INDEX(PortfolioRef[[SPY]:[PE]],MATCH(MY$1,PortfolioRef[Reference '#]),0),AssetMonthlyReturns[[#This Row],[SPY]:[PE]])</f>
        <v>8.2803334905388243E-2</v>
      </c>
      <c r="MZ51" s="27">
        <f>IF(ISNUMBER(MZ50),MZ50*(1+PortfolioFrontier[[#This Row],[P91 Return]]),1+PortfolioFrontier[[#This Row],[P91 Return]])</f>
        <v>1.2649174799524054</v>
      </c>
      <c r="NA51" s="27">
        <f>MAX(NA50,PortfolioFrontier[[#This Row],[P91 Growth]])</f>
        <v>1.3598620200409506</v>
      </c>
      <c r="NB51" s="27">
        <f>PortfolioFrontier[[#This Row],[P91 Growth]]/PortfolioFrontier[[#This Row],[P91 HWM]]-1</f>
        <v>-6.9819245400857599E-2</v>
      </c>
      <c r="NC51" s="28">
        <f>SUMPRODUCT(INDEX(PortfolioRef[[SPY]:[PE]],MATCH(NC$1,PortfolioRef[Reference '#]),0),AssetMonthlyReturns[[#This Row],[SPY]:[PE]])</f>
        <v>7.7812035676015565E-2</v>
      </c>
      <c r="ND51" s="27">
        <f>IF(ISNUMBER(ND50),ND50*(1+PortfolioFrontier[[#This Row],[P92 Return]]),1+PortfolioFrontier[[#This Row],[P92 Return]])</f>
        <v>1.2594137254013236</v>
      </c>
      <c r="NE51" s="27">
        <f>MAX(NE50,PortfolioFrontier[[#This Row],[P92 Growth]])</f>
        <v>1.3414680804610166</v>
      </c>
      <c r="NF51" s="27">
        <f>PortfolioFrontier[[#This Row],[P92 Growth]]/PortfolioFrontier[[#This Row],[P92 HWM]]-1</f>
        <v>-6.1167579202848987E-2</v>
      </c>
      <c r="NG51" s="28">
        <f>SUMPRODUCT(INDEX(PortfolioRef[[SPY]:[PE]],MATCH(NG$1,PortfolioRef[Reference '#]),0),AssetMonthlyReturns[[#This Row],[SPY]:[PE]])</f>
        <v>7.2820736446642872E-2</v>
      </c>
      <c r="NH51" s="27">
        <f>IF(ISNUMBER(NH50),NH50*(1+PortfolioFrontier[[#This Row],[P93 Return]]),1+PortfolioFrontier[[#This Row],[P93 Return]])</f>
        <v>1.2535184141100568</v>
      </c>
      <c r="NI51" s="27">
        <f>MAX(NI50,PortfolioFrontier[[#This Row],[P93 Growth]])</f>
        <v>1.3230988405777211</v>
      </c>
      <c r="NJ51" s="27">
        <f>PortfolioFrontier[[#This Row],[P93 Growth]]/PortfolioFrontier[[#This Row],[P93 HWM]]-1</f>
        <v>-5.2588986048300423E-2</v>
      </c>
      <c r="NK51" s="28">
        <f>SUMPRODUCT(INDEX(PortfolioRef[[SPY]:[PE]],MATCH(NK$1,PortfolioRef[Reference '#]),0),AssetMonthlyReturns[[#This Row],[SPY]:[PE]])</f>
        <v>8.4079021694083447E-2</v>
      </c>
      <c r="NL51" s="27">
        <f>IF(ISNUMBER(NL50),NL50*(1+PortfolioFrontier[[#This Row],[P94 Return]]),1+PortfolioFrontier[[#This Row],[P94 Return]])</f>
        <v>1.2539474997939573</v>
      </c>
      <c r="NM51" s="27">
        <f>MAX(NM50,PortfolioFrontier[[#This Row],[P94 Growth]])</f>
        <v>1.3660134110915163</v>
      </c>
      <c r="NN51" s="27">
        <f>PortfolioFrontier[[#This Row],[P94 Growth]]/PortfolioFrontier[[#This Row],[P94 HWM]]-1</f>
        <v>-8.2038661105100386E-2</v>
      </c>
      <c r="NO51" s="28">
        <f>SUMPRODUCT(INDEX(PortfolioRef[[SPY]:[PE]],MATCH(NO$1,PortfolioRef[Reference '#]),0),AssetMonthlyReturns[[#This Row],[SPY]:[PE]])</f>
        <v>7.9087722464710769E-2</v>
      </c>
      <c r="NP51" s="27">
        <f>IF(ISNUMBER(NP50),NP50*(1+PortfolioFrontier[[#This Row],[P95 Return]]),1+PortfolioFrontier[[#This Row],[P95 Return]])</f>
        <v>1.2488035650276437</v>
      </c>
      <c r="NQ51" s="27">
        <f>MAX(NQ50,PortfolioFrontier[[#This Row],[P95 Growth]])</f>
        <v>1.3476815118095689</v>
      </c>
      <c r="NR51" s="27">
        <f>PortfolioFrontier[[#This Row],[P95 Growth]]/PortfolioFrontier[[#This Row],[P95 HWM]]-1</f>
        <v>-7.3368927239462534E-2</v>
      </c>
      <c r="NS51" s="28">
        <f>SUMPRODUCT(INDEX(PortfolioRef[[SPY]:[PE]],MATCH(NS$1,PortfolioRef[Reference '#]),0),AssetMonthlyReturns[[#This Row],[SPY]:[PE]])</f>
        <v>7.4096423235338063E-2</v>
      </c>
      <c r="NT51" s="27">
        <f>IF(ISNUMBER(NT50),NT50*(1+PortfolioFrontier[[#This Row],[P96 Return]]),1+PortfolioFrontier[[#This Row],[P96 Return]])</f>
        <v>1.2432649694223457</v>
      </c>
      <c r="NU51" s="27">
        <f>MAX(NU50,PortfolioFrontier[[#This Row],[P96 Growth]])</f>
        <v>1.3293705166761522</v>
      </c>
      <c r="NV51" s="27">
        <f>PortfolioFrontier[[#This Row],[P96 Growth]]/PortfolioFrontier[[#This Row],[P96 HWM]]-1</f>
        <v>-6.4771669127353437E-2</v>
      </c>
      <c r="NW51" s="28">
        <f>SUMPRODUCT(INDEX(PortfolioRef[[SPY]:[PE]],MATCH(NW$1,PortfolioRef[Reference '#]),0),AssetMonthlyReturns[[#This Row],[SPY]:[PE]])</f>
        <v>5.7993721654054801E-2</v>
      </c>
      <c r="NX51" s="27">
        <f>IF(ISNUMBER(NX50),NX50*(1+PortfolioFrontier[[#This Row],[P97 Return]]),1+PortfolioFrontier[[#This Row],[P97 Return]])</f>
        <v>1.2541212563596988</v>
      </c>
      <c r="NY51" s="27">
        <f>MAX(NY50,PortfolioFrontier[[#This Row],[P97 Growth]])</f>
        <v>1.2839089982785201</v>
      </c>
      <c r="NZ51" s="27">
        <f>PortfolioFrontier[[#This Row],[P97 Growth]]/PortfolioFrontier[[#This Row],[P97 HWM]]-1</f>
        <v>-2.3200820275238399E-2</v>
      </c>
      <c r="OA51" s="28">
        <f>SUMPRODUCT(INDEX(PortfolioRef[[SPY]:[PE]],MATCH(OA$1,PortfolioRef[Reference '#]),0),AssetMonthlyReturns[[#This Row],[SPY]:[PE]])</f>
        <v>6.0769910385589619E-2</v>
      </c>
      <c r="OB51" s="27">
        <f>IF(ISNUMBER(OB50),OB50*(1+PortfolioFrontier[[#This Row],[P98 Return]]),1+PortfolioFrontier[[#This Row],[P98 Return]])</f>
        <v>1.2609108740397352</v>
      </c>
      <c r="OC51" s="27">
        <f>MAX(OC50,PortfolioFrontier[[#This Row],[P98 Growth]])</f>
        <v>1.2886029544386322</v>
      </c>
      <c r="OD51" s="27">
        <f>PortfolioFrontier[[#This Row],[P98 Growth]]/PortfolioFrontier[[#This Row],[P98 HWM]]-1</f>
        <v>-2.1490002256715823E-2</v>
      </c>
      <c r="OE51" s="28">
        <f>SUMPRODUCT(INDEX(PortfolioRef[[SPY]:[PE]],MATCH(OE$1,PortfolioRef[Reference '#]),0),AssetMonthlyReturns[[#This Row],[SPY]:[PE]])</f>
        <v>6.2045597174284824E-2</v>
      </c>
      <c r="OF51" s="27">
        <f>IF(ISNUMBER(OF50),OF50*(1+PortfolioFrontier[[#This Row],[P99 Return]]),1+PortfolioFrontier[[#This Row],[P99 Return]])</f>
        <v>1.2515434872304867</v>
      </c>
      <c r="OG51" s="27">
        <f>MAX(OG50,PortfolioFrontier[[#This Row],[P99 Growth]])</f>
        <v>1.2952406179801268</v>
      </c>
      <c r="OH51" s="27">
        <f>PortfolioFrontier[[#This Row],[P99 Growth]]/PortfolioFrontier[[#This Row],[P99 HWM]]-1</f>
        <v>-3.3736689649050633E-2</v>
      </c>
      <c r="OI51" s="28">
        <f>SUMPRODUCT(INDEX(PortfolioRef[[SPY]:[PE]],MATCH(OI$1,PortfolioRef[Reference '#]),0),AssetMonthlyReturns[[#This Row],[SPY]:[PE]])</f>
        <v>5.7054297944912118E-2</v>
      </c>
      <c r="OJ51" s="27">
        <f>IF(ISNUMBER(OJ50),OJ50*(1+PortfolioFrontier[[#This Row],[P100 Return]]),1+PortfolioFrontier[[#This Row],[P100 Return]])</f>
        <v>1.2448345609460936</v>
      </c>
      <c r="OK51" s="27">
        <f>MAX(OK50,PortfolioFrontier[[#This Row],[P100 Growth]])</f>
        <v>1.2771542835713614</v>
      </c>
      <c r="OL51" s="27">
        <f>PortfolioFrontier[[#This Row],[P100 Growth]]/PortfolioFrontier[[#This Row],[P100 HWM]]-1</f>
        <v>-2.5306044102119563E-2</v>
      </c>
      <c r="OM51" s="28">
        <f>SUMPRODUCT(INDEX(PortfolioRef[[SPY]:[PE]],MATCH(OM$1,PortfolioRef[Reference '#]),0),AssetMonthlyReturns[[#This Row],[SPY]:[PE]])</f>
        <v>6.3546099117124444E-2</v>
      </c>
      <c r="ON51" s="27">
        <f>IF(ISNUMBER(ON50),ON50*(1+PortfolioFrontier[[#This Row],[P101 Return]]),1+PortfolioFrontier[[#This Row],[P101 Return]])</f>
        <v>1.2676029019722461</v>
      </c>
      <c r="OO51" s="27">
        <f>MAX(OO50,PortfolioFrontier[[#This Row],[P101 Growth]])</f>
        <v>1.2931872717607511</v>
      </c>
      <c r="OP51" s="27">
        <f>PortfolioFrontier[[#This Row],[P101 Growth]]/PortfolioFrontier[[#This Row],[P101 HWM]]-1</f>
        <v>-1.9783963504118263E-2</v>
      </c>
      <c r="OQ51" s="28">
        <f>SUMPRODUCT(INDEX(PortfolioRef[[SPY]:[PE]],MATCH(OQ$1,PortfolioRef[Reference '#]),0),AssetMonthlyReturns[[#This Row],[SPY]:[PE]])</f>
        <v>6.4821785905819634E-2</v>
      </c>
      <c r="OR51" s="27">
        <f>IF(ISNUMBER(OR50),OR50*(1+PortfolioFrontier[[#This Row],[P102 Return]]),1+PortfolioFrontier[[#This Row],[P102 Return]])</f>
        <v>1.2583058207303499</v>
      </c>
      <c r="OS51" s="27">
        <f>MAX(OS50,PortfolioFrontier[[#This Row],[P102 Growth]])</f>
        <v>1.2999788590693837</v>
      </c>
      <c r="OT51" s="27">
        <f>PortfolioFrontier[[#This Row],[P102 Growth]]/PortfolioFrontier[[#This Row],[P102 HWM]]-1</f>
        <v>-3.2056704652002055E-2</v>
      </c>
      <c r="OU51" s="28">
        <f>SUMPRODUCT(INDEX(PortfolioRef[[SPY]:[PE]],MATCH(OU$1,PortfolioRef[Reference '#]),0),AssetMonthlyReturns[[#This Row],[SPY]:[PE]])</f>
        <v>5.9830486676446935E-2</v>
      </c>
      <c r="OV51" s="27">
        <f>IF(ISNUMBER(OV50),OV50*(1+PortfolioFrontier[[#This Row],[P103 Return]]),1+PortfolioFrontier[[#This Row],[P103 Return]])</f>
        <v>1.2515987312221266</v>
      </c>
      <c r="OW51" s="27">
        <f>MAX(OW50,PortfolioFrontier[[#This Row],[P103 Growth]])</f>
        <v>1.2818490900225987</v>
      </c>
      <c r="OX51" s="27">
        <f>PortfolioFrontier[[#This Row],[P103 Growth]]/PortfolioFrontier[[#This Row],[P103 HWM]]-1</f>
        <v>-2.3599001657783947E-2</v>
      </c>
      <c r="OY51" s="28">
        <f>SUMPRODUCT(INDEX(PortfolioRef[[SPY]:[PE]],MATCH(OY$1,PortfolioRef[Reference '#]),0),AssetMonthlyReturns[[#This Row],[SPY]:[PE]])</f>
        <v>6.6097472694514825E-2</v>
      </c>
      <c r="OZ51" s="27">
        <f>IF(ISNUMBER(OZ50),OZ50*(1+PortfolioFrontier[[#This Row],[P104 Return]]),1+PortfolioFrontier[[#This Row],[P104 Return]])</f>
        <v>1.2486318648551018</v>
      </c>
      <c r="PA51" s="27">
        <f>MAX(PA50,PortfolioFrontier[[#This Row],[P104 Growth]])</f>
        <v>1.3065024022164191</v>
      </c>
      <c r="PB51" s="27">
        <f>PortfolioFrontier[[#This Row],[P104 Growth]]/PortfolioFrontier[[#This Row],[P104 HWM]]-1</f>
        <v>-4.4294244896253332E-2</v>
      </c>
      <c r="PC51" s="28">
        <f>SUMPRODUCT(INDEX(PortfolioRef[[SPY]:[PE]],MATCH(PC$1,PortfolioRef[Reference '#]),0),AssetMonthlyReturns[[#This Row],[SPY]:[PE]])</f>
        <v>6.110617346514214E-2</v>
      </c>
      <c r="PD51" s="27">
        <f>IF(ISNUMBER(PD50),PD50*(1+PortfolioFrontier[[#This Row],[P105 Return]]),1+PortfolioFrontier[[#This Row],[P105 Return]])</f>
        <v>1.2422744479324239</v>
      </c>
      <c r="PE51" s="27">
        <f>MAX(PE50,PortfolioFrontier[[#This Row],[P105 Growth]])</f>
        <v>1.2884201892437714</v>
      </c>
      <c r="PF51" s="27">
        <f>PortfolioFrontier[[#This Row],[P105 Growth]]/PortfolioFrontier[[#This Row],[P105 HWM]]-1</f>
        <v>-3.5815754593563454E-2</v>
      </c>
      <c r="PG51" s="28">
        <f>SUMPRODUCT(INDEX(PortfolioRef[[SPY]:[PE]],MATCH(PG$1,PortfolioRef[Reference '#]),0),AssetMonthlyReturns[[#This Row],[SPY]:[PE]])</f>
        <v>5.6114874235769441E-2</v>
      </c>
      <c r="PH51" s="27">
        <f>IF(ISNUMBER(PH50),PH50*(1+PortfolioFrontier[[#This Row],[P106 Return]]),1+PortfolioFrontier[[#This Row],[P106 Return]])</f>
        <v>1.2355477471801259</v>
      </c>
      <c r="PI51" s="27">
        <f>MAX(PI50,PortfolioFrontier[[#This Row],[P106 Growth]])</f>
        <v>1.2703725716315561</v>
      </c>
      <c r="PJ51" s="27">
        <f>PortfolioFrontier[[#This Row],[P106 Growth]]/PortfolioFrontier[[#This Row],[P106 HWM]]-1</f>
        <v>-2.7413079618606839E-2</v>
      </c>
      <c r="PK51" s="28">
        <f>SUMPRODUCT(INDEX(PortfolioRef[[SPY]:[PE]],MATCH(PK$1,PortfolioRef[Reference '#]),0),AssetMonthlyReturns[[#This Row],[SPY]:[PE]])</f>
        <v>6.7597974637354466E-2</v>
      </c>
      <c r="PL51" s="27">
        <f>IF(ISNUMBER(PL50),PL50*(1+PortfolioFrontier[[#This Row],[P107 Return]]),1+PortfolioFrontier[[#This Row],[P107 Return]])</f>
        <v>1.2649707685275604</v>
      </c>
      <c r="PM51" s="27">
        <f>MAX(PM50,PortfolioFrontier[[#This Row],[P107 Growth]])</f>
        <v>1.3046066080909935</v>
      </c>
      <c r="PN51" s="27">
        <f>PortfolioFrontier[[#This Row],[P107 Growth]]/PortfolioFrontier[[#This Row],[P107 HWM]]-1</f>
        <v>-3.0381449333168331E-2</v>
      </c>
      <c r="PO51" s="28">
        <f>SUMPRODUCT(INDEX(PortfolioRef[[SPY]:[PE]],MATCH(PO$1,PortfolioRef[Reference '#]),0),AssetMonthlyReturns[[#This Row],[SPY]:[PE]])</f>
        <v>6.2606675407981774E-2</v>
      </c>
      <c r="PP51" s="27">
        <f>IF(ISNUMBER(PP50),PP50*(1+PortfolioFrontier[[#This Row],[P108 Return]]),1+PortfolioFrontier[[#This Row],[P108 Return]])</f>
        <v>1.2582662390916308</v>
      </c>
      <c r="PQ51" s="27">
        <f>MAX(PQ50,PortfolioFrontier[[#This Row],[P108 Growth]])</f>
        <v>1.2864349776276793</v>
      </c>
      <c r="PR51" s="27">
        <f>PortfolioFrontier[[#This Row],[P108 Growth]]/PortfolioFrontier[[#This Row],[P108 HWM]]-1</f>
        <v>-2.1896744900387177E-2</v>
      </c>
      <c r="PS51" s="28">
        <f>SUMPRODUCT(INDEX(PortfolioRef[[SPY]:[PE]],MATCH(PS$1,PortfolioRef[Reference '#]),0),AssetMonthlyReturns[[#This Row],[SPY]:[PE]])</f>
        <v>6.8873661426049657E-2</v>
      </c>
      <c r="PT51" s="27">
        <f>IF(ISNUMBER(PT50),PT50*(1+PortfolioFrontier[[#This Row],[P109 Return]]),1+PortfolioFrontier[[#This Row],[P109 Return]])</f>
        <v>1.2553654225488575</v>
      </c>
      <c r="PU51" s="27">
        <f>MAX(PU50,PortfolioFrontier[[#This Row],[P109 Growth]])</f>
        <v>1.3112848935250687</v>
      </c>
      <c r="PV51" s="27">
        <f>PortfolioFrontier[[#This Row],[P109 Growth]]/PortfolioFrontier[[#This Row],[P109 HWM]]-1</f>
        <v>-4.2644791572245877E-2</v>
      </c>
      <c r="PW51" s="28">
        <f>SUMPRODUCT(INDEX(PortfolioRef[[SPY]:[PE]],MATCH(PW$1,PortfolioRef[Reference '#]),0),AssetMonthlyReturns[[#This Row],[SPY]:[PE]])</f>
        <v>6.3882362196676964E-2</v>
      </c>
      <c r="PX51" s="27">
        <f>IF(ISNUMBER(PX50),PX50*(1+PortfolioFrontier[[#This Row],[P110 Return]]),1+PortfolioFrontier[[#This Row],[P110 Return]])</f>
        <v>1.2490114697852486</v>
      </c>
      <c r="PY51" s="27">
        <f>MAX(PY50,PortfolioFrontier[[#This Row],[P110 Growth]])</f>
        <v>1.2931592955766995</v>
      </c>
      <c r="PZ51" s="27">
        <f>PortfolioFrontier[[#This Row],[P110 Growth]]/PortfolioFrontier[[#This Row],[P110 HWM]]-1</f>
        <v>-3.4139510841750265E-2</v>
      </c>
      <c r="QA51" s="28">
        <f>SUMPRODUCT(INDEX(PortfolioRef[[SPY]:[PE]],MATCH(QA$1,PortfolioRef[Reference '#]),0),AssetMonthlyReturns[[#This Row],[SPY]:[PE]])</f>
        <v>5.8891062967304272E-2</v>
      </c>
      <c r="QB51" s="27">
        <f>IF(ISNUMBER(QB50),QB50*(1+PortfolioFrontier[[#This Row],[P111 Return]]),1+PortfolioFrontier[[#This Row],[P111 Return]])</f>
        <v>1.2422860950191223</v>
      </c>
      <c r="QC51" s="27">
        <f>MAX(QC50,PortfolioFrontier[[#This Row],[P111 Growth]])</f>
        <v>1.2750678615362652</v>
      </c>
      <c r="QD51" s="27">
        <f>PortfolioFrontier[[#This Row],[P111 Growth]]/PortfolioFrontier[[#This Row],[P111 HWM]]-1</f>
        <v>-2.5709821026816293E-2</v>
      </c>
      <c r="QE51" s="28">
        <f>SUMPRODUCT(INDEX(PortfolioRef[[SPY]:[PE]],MATCH(QE$1,PortfolioRef[Reference '#]),0),AssetMonthlyReturns[[#This Row],[SPY]:[PE]])</f>
        <v>7.0149348214744861E-2</v>
      </c>
      <c r="QF51" s="27">
        <f>IF(ISNUMBER(QF50),QF50*(1+PortfolioFrontier[[#This Row],[P112 Return]]),1+PortfolioFrontier[[#This Row],[P112 Return]])</f>
        <v>1.2453857769164207</v>
      </c>
      <c r="QG51" s="27">
        <f>MAX(QG50,PortfolioFrontier[[#This Row],[P112 Growth]])</f>
        <v>1.3176907510393581</v>
      </c>
      <c r="QH51" s="27">
        <f>PortfolioFrontier[[#This Row],[P112 Growth]]/PortfolioFrontier[[#This Row],[P112 HWM]]-1</f>
        <v>-5.4872491186498173E-2</v>
      </c>
      <c r="QI51" s="28">
        <f>SUMPRODUCT(INDEX(PortfolioRef[[SPY]:[PE]],MATCH(QI$1,PortfolioRef[Reference '#]),0),AssetMonthlyReturns[[#This Row],[SPY]:[PE]])</f>
        <v>6.5158048985372169E-2</v>
      </c>
      <c r="QJ51" s="27">
        <f>IF(ISNUMBER(QJ50),QJ50*(1+PortfolioFrontier[[#This Row],[P113 Return]]),1+PortfolioFrontier[[#This Row],[P113 Return]])</f>
        <v>1.2393829563013921</v>
      </c>
      <c r="QK51" s="27">
        <f>MAX(QK50,PortfolioFrontier[[#This Row],[P113 Growth]])</f>
        <v>1.2996163919358374</v>
      </c>
      <c r="QL51" s="27">
        <f>PortfolioFrontier[[#This Row],[P113 Growth]]/PortfolioFrontier[[#This Row],[P113 HWM]]-1</f>
        <v>-4.6347088270197179E-2</v>
      </c>
      <c r="QM51" s="28">
        <f>SUMPRODUCT(INDEX(PortfolioRef[[SPY]:[PE]],MATCH(QM$1,PortfolioRef[Reference '#]),0),AssetMonthlyReturns[[#This Row],[SPY]:[PE]])</f>
        <v>6.0166749755999463E-2</v>
      </c>
      <c r="QN51" s="27">
        <f>IF(ISNUMBER(QN50),QN50*(1+PortfolioFrontier[[#This Row],[P114 Return]]),1+PortfolioFrontier[[#This Row],[P114 Return]])</f>
        <v>1.2330052135729856</v>
      </c>
      <c r="QO51" s="27">
        <f>MAX(QO50,PortfolioFrontier[[#This Row],[P114 Growth]])</f>
        <v>1.2815725573685524</v>
      </c>
      <c r="QP51" s="27">
        <f>PortfolioFrontier[[#This Row],[P114 Growth]]/PortfolioFrontier[[#This Row],[P114 HWM]]-1</f>
        <v>-3.7896678979526421E-2</v>
      </c>
      <c r="QQ51" s="28">
        <f>SUMPRODUCT(INDEX(PortfolioRef[[SPY]:[PE]],MATCH(QQ$1,PortfolioRef[Reference '#]),0),AssetMonthlyReturns[[#This Row],[SPY]:[PE]])</f>
        <v>7.1649850157584488E-2</v>
      </c>
      <c r="QR51" s="27">
        <f>IF(ISNUMBER(QR50),QR50*(1+PortfolioFrontier[[#This Row],[P115 Return]]),1+PortfolioFrontier[[#This Row],[P115 Return]])</f>
        <v>1.2620018250727567</v>
      </c>
      <c r="QS51" s="27">
        <f>MAX(QS50,PortfolioFrontier[[#This Row],[P115 Growth]])</f>
        <v>1.3159560471384115</v>
      </c>
      <c r="QT51" s="27">
        <f>PortfolioFrontier[[#This Row],[P115 Growth]]/PortfolioFrontier[[#This Row],[P115 HWM]]-1</f>
        <v>-4.1000018338743116E-2</v>
      </c>
      <c r="QU51" s="28">
        <f>SUMPRODUCT(INDEX(PortfolioRef[[SPY]:[PE]],MATCH(QU$1,PortfolioRef[Reference '#]),0),AssetMonthlyReturns[[#This Row],[SPY]:[PE]])</f>
        <v>6.6658550928211796E-2</v>
      </c>
      <c r="QV51" s="27">
        <f>IF(ISNUMBER(QV50),QV50*(1+PortfolioFrontier[[#This Row],[P116 Return]]),1+PortfolioFrontier[[#This Row],[P116 Return]])</f>
        <v>1.2556520310227621</v>
      </c>
      <c r="QW51" s="27">
        <f>MAX(QW50,PortfolioFrontier[[#This Row],[P116 Growth]])</f>
        <v>1.2977886366152487</v>
      </c>
      <c r="QX51" s="27">
        <f>PortfolioFrontier[[#This Row],[P116 Growth]]/PortfolioFrontier[[#This Row],[P116 HWM]]-1</f>
        <v>-3.2468003189165429E-2</v>
      </c>
      <c r="QY51" s="28">
        <f>SUMPRODUCT(INDEX(PortfolioRef[[SPY]:[PE]],MATCH(QY$1,PortfolioRef[Reference '#]),0),AssetMonthlyReturns[[#This Row],[SPY]:[PE]])</f>
        <v>6.166725169883909E-2</v>
      </c>
      <c r="QZ51" s="27">
        <f>IF(ISNUMBER(QZ50),QZ50*(1+PortfolioFrontier[[#This Row],[P117 Return]]),1+PortfolioFrontier[[#This Row],[P117 Return]])</f>
        <v>1.2489287048396187</v>
      </c>
      <c r="RA51" s="27">
        <f>MAX(RA50,PortfolioFrontier[[#This Row],[P117 Growth]])</f>
        <v>1.2796549536237569</v>
      </c>
      <c r="RB51" s="27">
        <f>PortfolioFrontier[[#This Row],[P117 Growth]]/PortfolioFrontier[[#This Row],[P117 HWM]]-1</f>
        <v>-2.4011354542978092E-2</v>
      </c>
      <c r="RC51" s="28">
        <f>SUMPRODUCT(INDEX(PortfolioRef[[SPY]:[PE]],MATCH(RC$1,PortfolioRef[Reference '#]),0),AssetMonthlyReturns[[#This Row],[SPY]:[PE]])</f>
        <v>7.2925536946279679E-2</v>
      </c>
      <c r="RD51" s="27">
        <f>IF(ISNUMBER(RD50),RD50*(1+PortfolioFrontier[[#This Row],[P118 Return]]),1+PortfolioFrontier[[#This Row],[P118 Return]])</f>
        <v>1.2520890729318115</v>
      </c>
      <c r="RE51" s="27">
        <f>MAX(RE50,PortfolioFrontier[[#This Row],[P118 Growth]])</f>
        <v>1.3225174493438376</v>
      </c>
      <c r="RF51" s="27">
        <f>PortfolioFrontier[[#This Row],[P118 Growth]]/PortfolioFrontier[[#This Row],[P118 HWM]]-1</f>
        <v>-5.3253268187099523E-2</v>
      </c>
      <c r="RG51" s="28">
        <f>SUMPRODUCT(INDEX(PortfolioRef[[SPY]:[PE]],MATCH(RG$1,PortfolioRef[Reference '#]),0),AssetMonthlyReturns[[#This Row],[SPY]:[PE]])</f>
        <v>6.7934237716906987E-2</v>
      </c>
      <c r="RH51" s="27">
        <f>IF(ISNUMBER(RH50),RH50*(1+PortfolioFrontier[[#This Row],[P119 Return]]),1+PortfolioFrontier[[#This Row],[P119 Return]])</f>
        <v>1.2460913434099143</v>
      </c>
      <c r="RI51" s="27">
        <f>MAX(RI50,PortfolioFrontier[[#This Row],[P119 Growth]])</f>
        <v>1.3043997631477102</v>
      </c>
      <c r="RJ51" s="27">
        <f>PortfolioFrontier[[#This Row],[P119 Growth]]/PortfolioFrontier[[#This Row],[P119 HWM]]-1</f>
        <v>-4.4701341862473987E-2</v>
      </c>
      <c r="RK51" s="28">
        <f>SUMPRODUCT(INDEX(PortfolioRef[[SPY]:[PE]],MATCH(RK$1,PortfolioRef[Reference '#]),0),AssetMonthlyReturns[[#This Row],[SPY]:[PE]])</f>
        <v>6.2942938487534281E-2</v>
      </c>
      <c r="RL51" s="27">
        <f>IF(ISNUMBER(RL50),RL50*(1+PortfolioFrontier[[#This Row],[P120 Return]]),1+PortfolioFrontier[[#This Row],[P120 Return]])</f>
        <v>1.2397165490974456</v>
      </c>
      <c r="RM51" s="27">
        <f>MAX(RM50,PortfolioFrontier[[#This Row],[P120 Growth]])</f>
        <v>1.2863121583700958</v>
      </c>
      <c r="RN51" s="27">
        <f>PortfolioFrontier[[#This Row],[P120 Growth]]/PortfolioFrontier[[#This Row],[P120 HWM]]-1</f>
        <v>-3.6224184751306621E-2</v>
      </c>
      <c r="RO51" s="28">
        <f>SUMPRODUCT(INDEX(PortfolioRef[[SPY]:[PE]],MATCH(RO$1,PortfolioRef[Reference '#]),0),AssetMonthlyReturns[[#This Row],[SPY]:[PE]])</f>
        <v>7.4201223734974869E-2</v>
      </c>
      <c r="RP51" s="27">
        <f>IF(ISNUMBER(RP50),RP50*(1+PortfolioFrontier[[#This Row],[P121 Return]]),1+PortfolioFrontier[[#This Row],[P121 Return]])</f>
        <v>1.2418047963579284</v>
      </c>
      <c r="RQ51" s="27">
        <f>MAX(RQ50,PortfolioFrontier[[#This Row],[P121 Growth]])</f>
        <v>1.328802042358554</v>
      </c>
      <c r="RR51" s="27">
        <f>PortfolioFrontier[[#This Row],[P121 Growth]]/PortfolioFrontier[[#This Row],[P121 HWM]]-1</f>
        <v>-6.5470433689438057E-2</v>
      </c>
      <c r="RS51" s="28">
        <f>SUMPRODUCT(INDEX(PortfolioRef[[SPY]:[PE]],MATCH(RS$1,PortfolioRef[Reference '#]),0),AssetMonthlyReturns[[#This Row],[SPY]:[PE]])</f>
        <v>6.9209924505602177E-2</v>
      </c>
      <c r="RT51" s="27">
        <f>IF(ISNUMBER(RT50),RT50*(1+PortfolioFrontier[[#This Row],[P122 Return]]),1+PortfolioFrontier[[#This Row],[P122 Return]])</f>
        <v>1.2361594842948833</v>
      </c>
      <c r="RU51" s="27">
        <f>MAX(RU50,PortfolioFrontier[[#This Row],[P122 Growth]])</f>
        <v>1.3107393059993191</v>
      </c>
      <c r="RV51" s="27">
        <f>PortfolioFrontier[[#This Row],[P122 Growth]]/PortfolioFrontier[[#This Row],[P122 HWM]]-1</f>
        <v>-5.6899050301673415E-2</v>
      </c>
      <c r="RW51" s="28">
        <f>SUMPRODUCT(INDEX(PortfolioRef[[SPY]:[PE]],MATCH(RW$1,PortfolioRef[Reference '#]),0),AssetMonthlyReturns[[#This Row],[SPY]:[PE]])</f>
        <v>6.4218625276229485E-2</v>
      </c>
      <c r="RX51" s="27">
        <f>IF(ISNUMBER(RX50),RX50*(1+PortfolioFrontier[[#This Row],[P123 Return]]),1+PortfolioFrontier[[#This Row],[P123 Return]])</f>
        <v>1.2301337734594857</v>
      </c>
      <c r="RY51" s="27">
        <f>MAX(RY50,PortfolioFrontier[[#This Row],[P123 Growth]])</f>
        <v>1.2927029744957004</v>
      </c>
      <c r="RZ51" s="27">
        <f>PortfolioFrontier[[#This Row],[P123 Growth]]/PortfolioFrontier[[#This Row],[P123 HWM]]-1</f>
        <v>-4.8401838837435762E-2</v>
      </c>
      <c r="SA51" s="28">
        <f>SUMPRODUCT(INDEX(PortfolioRef[[SPY]:[PE]],MATCH(SA$1,PortfolioRef[Reference '#]),0),AssetMonthlyReturns[[#This Row],[SPY]:[PE]])</f>
        <v>7.5701725677814496E-2</v>
      </c>
      <c r="SB51" s="27">
        <f>IF(ISNUMBER(SB50),SB50*(1+PortfolioFrontier[[#This Row],[P124 Return]]),1+PortfolioFrontier[[#This Row],[P124 Return]])</f>
        <v>1.2586954708283127</v>
      </c>
      <c r="SC51" s="27">
        <f>MAX(SC50,PortfolioFrontier[[#This Row],[P124 Growth]])</f>
        <v>1.327231972207175</v>
      </c>
      <c r="SD51" s="27">
        <f>PortfolioFrontier[[#This Row],[P124 Growth]]/PortfolioFrontier[[#This Row],[P124 HWM]]-1</f>
        <v>-5.1638675690494962E-2</v>
      </c>
      <c r="SE51" s="28">
        <f>SUMPRODUCT(INDEX(PortfolioRef[[SPY]:[PE]],MATCH(SE$1,PortfolioRef[Reference '#]),0),AssetMonthlyReturns[[#This Row],[SPY]:[PE]])</f>
        <v>7.0710426448441804E-2</v>
      </c>
      <c r="SF51" s="27">
        <f>IF(ISNUMBER(SF50),SF50*(1+PortfolioFrontier[[#This Row],[P125 Return]]),1+PortfolioFrontier[[#This Row],[P125 Return]])</f>
        <v>1.2527034979429232</v>
      </c>
      <c r="SG51" s="27">
        <f>MAX(SG50,PortfolioFrontier[[#This Row],[P125 Growth]])</f>
        <v>1.3090725302079753</v>
      </c>
      <c r="SH51" s="27">
        <f>PortfolioFrontier[[#This Row],[P125 Growth]]/PortfolioFrontier[[#This Row],[P125 HWM]]-1</f>
        <v>-4.3060281966268543E-2</v>
      </c>
      <c r="SI51" s="28">
        <f>SUMPRODUCT(INDEX(PortfolioRef[[SPY]:[PE]],MATCH(SI$1,PortfolioRef[Reference '#]),0),AssetMonthlyReturns[[#This Row],[SPY]:[PE]])</f>
        <v>6.5719127219069112E-2</v>
      </c>
      <c r="SJ51" s="27">
        <f>IF(ISNUMBER(SJ50),SJ50*(1+PortfolioFrontier[[#This Row],[P126 Return]]),1+PortfolioFrontier[[#This Row],[P126 Return]])</f>
        <v>1.2463323461575535</v>
      </c>
      <c r="SK51" s="27">
        <f>MAX(SK50,PortfolioFrontier[[#This Row],[P126 Growth]])</f>
        <v>1.2909427218892937</v>
      </c>
      <c r="SL51" s="27">
        <f>PortfolioFrontier[[#This Row],[P126 Growth]]/PortfolioFrontier[[#This Row],[P126 HWM]]-1</f>
        <v>-3.4556433043329005E-2</v>
      </c>
      <c r="SM51" s="28">
        <f>SUMPRODUCT(INDEX(PortfolioRef[[SPY]:[PE]],MATCH(SM$1,PortfolioRef[Reference '#]),0),AssetMonthlyReturns[[#This Row],[SPY]:[PE]])</f>
        <v>7.6977412466509687E-2</v>
      </c>
      <c r="SN51" s="27">
        <f>IF(ISNUMBER(SN50),SN50*(1+PortfolioFrontier[[#This Row],[P127 Return]]),1+PortfolioFrontier[[#This Row],[P127 Return]])</f>
        <v>1.2484763513171815</v>
      </c>
      <c r="SO51" s="27">
        <f>MAX(SO50,PortfolioFrontier[[#This Row],[P127 Growth]])</f>
        <v>1.3336728958457496</v>
      </c>
      <c r="SP51" s="27">
        <f>PortfolioFrontier[[#This Row],[P127 Growth]]/PortfolioFrontier[[#This Row],[P127 HWM]]-1</f>
        <v>-6.3881139666215225E-2</v>
      </c>
      <c r="SQ51" s="28">
        <f>SUMPRODUCT(INDEX(PortfolioRef[[SPY]:[PE]],MATCH(SQ$1,PortfolioRef[Reference '#]),0),AssetMonthlyReturns[[#This Row],[SPY]:[PE]])</f>
        <v>7.1986113237136995E-2</v>
      </c>
      <c r="SR51" s="27">
        <f>IF(ISNUMBER(SR50),SR50*(1+PortfolioFrontier[[#This Row],[P128 Return]]),1+PortfolioFrontier[[#This Row],[P128 Return]])</f>
        <v>1.2428377560703863</v>
      </c>
      <c r="SS51" s="27">
        <f>MAX(SS50,PortfolioFrontier[[#This Row],[P128 Growth]])</f>
        <v>1.3155668985617981</v>
      </c>
      <c r="ST51" s="27">
        <f>PortfolioFrontier[[#This Row],[P128 Growth]]/PortfolioFrontier[[#This Row],[P128 HWM]]-1</f>
        <v>-5.5283499889607013E-2</v>
      </c>
      <c r="SU51" s="28">
        <f>SUMPRODUCT(INDEX(PortfolioRef[[SPY]:[PE]],MATCH(SU$1,PortfolioRef[Reference '#]),0),AssetMonthlyReturns[[#This Row],[SPY]:[PE]])</f>
        <v>6.6994814007764303E-2</v>
      </c>
      <c r="SV51" s="27">
        <f>IF(ISNUMBER(SV50),SV50*(1+PortfolioFrontier[[#This Row],[P129 Return]]),1+PortfolioFrontier[[#This Row],[P129 Return]])</f>
        <v>1.2368166157330625</v>
      </c>
      <c r="SW51" s="27">
        <f>MAX(SW50,PortfolioFrontier[[#This Row],[P129 Growth]])</f>
        <v>1.2974868512947333</v>
      </c>
      <c r="SX51" s="27">
        <f>PortfolioFrontier[[#This Row],[P129 Growth]]/PortfolioFrontier[[#This Row],[P129 HWM]]-1</f>
        <v>-4.6759807624354277E-2</v>
      </c>
      <c r="SY51" s="28">
        <f>SUMPRODUCT(INDEX(PortfolioRef[[SPY]:[PE]],MATCH(SY$1,PortfolioRef[Reference '#]),0),AssetMonthlyReturns[[#This Row],[SPY]:[PE]])</f>
        <v>7.8253099255204878E-2</v>
      </c>
      <c r="SZ51" s="27">
        <f>IF(ISNUMBER(SZ50),SZ50*(1+PortfolioFrontier[[#This Row],[P130 Return]]),1+PortfolioFrontier[[#This Row],[P130 Return]])</f>
        <v>1.2378886835227931</v>
      </c>
      <c r="TA51" s="27">
        <f>MAX(TA50,PortfolioFrontier[[#This Row],[P130 Growth]])</f>
        <v>1.3398326330075903</v>
      </c>
      <c r="TB51" s="27">
        <f>PortfolioFrontier[[#This Row],[P130 Growth]]/PortfolioFrontier[[#This Row],[P130 HWM]]-1</f>
        <v>-7.6087077574725437E-2</v>
      </c>
      <c r="TC51" s="28">
        <f>SUMPRODUCT(INDEX(PortfolioRef[[SPY]:[PE]],MATCH(TC$1,PortfolioRef[Reference '#]),0),AssetMonthlyReturns[[#This Row],[SPY]:[PE]])</f>
        <v>7.3261800025832199E-2</v>
      </c>
      <c r="TD51" s="27">
        <f>IF(ISNUMBER(TD50),TD50*(1+PortfolioFrontier[[#This Row],[P131 Return]]),1+PortfolioFrontier[[#This Row],[P131 Return]])</f>
        <v>1.2326036142503669</v>
      </c>
      <c r="TE51" s="27">
        <f>MAX(TE50,PortfolioFrontier[[#This Row],[P131 Growth]])</f>
        <v>1.3217853237274109</v>
      </c>
      <c r="TF51" s="27">
        <f>PortfolioFrontier[[#This Row],[P131 Growth]]/PortfolioFrontier[[#This Row],[P131 HWM]]-1</f>
        <v>-6.7470645857644396E-2</v>
      </c>
      <c r="TG51" s="28">
        <f>SUMPRODUCT(INDEX(PortfolioRef[[SPY]:[PE]],MATCH(TG$1,PortfolioRef[Reference '#]),0),AssetMonthlyReturns[[#This Row],[SPY]:[PE]])</f>
        <v>6.8270500796459507E-2</v>
      </c>
      <c r="TH51" s="27">
        <f>IF(ISNUMBER(TH50),TH50*(1+PortfolioFrontier[[#This Row],[P132 Return]]),1+PortfolioFrontier[[#This Row],[P132 Return]])</f>
        <v>1.2269328355896669</v>
      </c>
      <c r="TI51" s="27">
        <f>MAX(TI50,PortfolioFrontier[[#This Row],[P132 Growth]])</f>
        <v>1.3037602517364684</v>
      </c>
      <c r="TJ51" s="27">
        <f>PortfolioFrontier[[#This Row],[P132 Growth]]/PortfolioFrontier[[#This Row],[P132 HWM]]-1</f>
        <v>-5.8927564361987206E-2</v>
      </c>
      <c r="TK51" s="28">
        <f>SUMPRODUCT(INDEX(PortfolioRef[[SPY]:[PE]],MATCH(TK$1,PortfolioRef[Reference '#]),0),AssetMonthlyReturns[[#This Row],[SPY]:[PE]])</f>
        <v>7.9753601198044519E-2</v>
      </c>
      <c r="TL51" s="27">
        <f>IF(ISNUMBER(TL50),TL50*(1+PortfolioFrontier[[#This Row],[P133 Return]]),1+PortfolioFrontier[[#This Row],[P133 Return]])</f>
        <v>1.2550512917426651</v>
      </c>
      <c r="TM51" s="27">
        <f>MAX(TM50,PortfolioFrontier[[#This Row],[P133 Growth]])</f>
        <v>1.3384307443085539</v>
      </c>
      <c r="TN51" s="27">
        <f>PortfolioFrontier[[#This Row],[P133 Growth]]/PortfolioFrontier[[#This Row],[P133 HWM]]-1</f>
        <v>-6.229642655807599E-2</v>
      </c>
      <c r="TO51" s="28">
        <f>SUMPRODUCT(INDEX(PortfolioRef[[SPY]:[PE]],MATCH(TO$1,PortfolioRef[Reference '#]),0),AssetMonthlyReturns[[#This Row],[SPY]:[PE]])</f>
        <v>7.476230196867184E-2</v>
      </c>
      <c r="TP51" s="27">
        <f>IF(ISNUMBER(TP50),TP50*(1+PortfolioFrontier[[#This Row],[P134 Return]]),1+PortfolioFrontier[[#This Row],[P134 Return]])</f>
        <v>1.2494200495883911</v>
      </c>
      <c r="TQ51" s="27">
        <f>MAX(TQ50,PortfolioFrontier[[#This Row],[P134 Growth]])</f>
        <v>1.3202830559849814</v>
      </c>
      <c r="TR51" s="27">
        <f>PortfolioFrontier[[#This Row],[P134 Growth]]/PortfolioFrontier[[#This Row],[P134 HWM]]-1</f>
        <v>-5.3672586401348421E-2</v>
      </c>
      <c r="TS51" s="28">
        <f>SUMPRODUCT(INDEX(PortfolioRef[[SPY]:[PE]],MATCH(TS$1,PortfolioRef[Reference '#]),0),AssetMonthlyReturns[[#This Row],[SPY]:[PE]])</f>
        <v>6.9771002739299134E-2</v>
      </c>
      <c r="TT51" s="27">
        <f>IF(ISNUMBER(TT50),TT50*(1+PortfolioFrontier[[#This Row],[P135 Return]]),1+PortfolioFrontier[[#This Row],[P135 Return]])</f>
        <v>1.2434041451065263</v>
      </c>
      <c r="TU51" s="27">
        <f>MAX(TU50,PortfolioFrontier[[#This Row],[P135 Growth]])</f>
        <v>1.3021608585260711</v>
      </c>
      <c r="TV51" s="27">
        <f>PortfolioFrontier[[#This Row],[P135 Growth]]/PortfolioFrontier[[#This Row],[P135 HWM]]-1</f>
        <v>-4.5122469343804483E-2</v>
      </c>
      <c r="TW51" s="28">
        <f>SUMPRODUCT(INDEX(PortfolioRef[[SPY]:[PE]],MATCH(TW$1,PortfolioRef[Reference '#]),0),AssetMonthlyReturns[[#This Row],[SPY]:[PE]])</f>
        <v>8.1029287986739709E-2</v>
      </c>
      <c r="TX51" s="27">
        <f>IF(ISNUMBER(TX50),TX50*(1+PortfolioFrontier[[#This Row],[P136 Return]]),1+PortfolioFrontier[[#This Row],[P136 Return]])</f>
        <v>1.244527025284887</v>
      </c>
      <c r="TY51" s="27">
        <f>MAX(TY50,PortfolioFrontier[[#This Row],[P136 Growth]])</f>
        <v>1.3447475812013772</v>
      </c>
      <c r="TZ51" s="27">
        <f>PortfolioFrontier[[#This Row],[P136 Growth]]/PortfolioFrontier[[#This Row],[P136 HWM]]-1</f>
        <v>-7.4527411179244996E-2</v>
      </c>
      <c r="UA51" s="28">
        <f>SUMPRODUCT(INDEX(PortfolioRef[[SPY]:[PE]],MATCH(UA$1,PortfolioRef[Reference '#]),0),AssetMonthlyReturns[[#This Row],[SPY]:[PE]])</f>
        <v>7.6037988757367031E-2</v>
      </c>
      <c r="UB51" s="27">
        <f>IF(ISNUMBER(UB50),UB50*(1+PortfolioFrontier[[#This Row],[P137 Return]]),1+PortfolioFrontier[[#This Row],[P137 Return]])</f>
        <v>1.2392502965752803</v>
      </c>
      <c r="UC51" s="27">
        <f>MAX(UC50,PortfolioFrontier[[#This Row],[P137 Growth]])</f>
        <v>1.3266570855106978</v>
      </c>
      <c r="UD51" s="27">
        <f>PortfolioFrontier[[#This Row],[P137 Growth]]/PortfolioFrontier[[#This Row],[P137 HWM]]-1</f>
        <v>-6.5884990092801687E-2</v>
      </c>
      <c r="UE51" s="28">
        <f>SUMPRODUCT(INDEX(PortfolioRef[[SPY]:[PE]],MATCH(UE$1,PortfolioRef[Reference '#]),0),AssetMonthlyReturns[[#This Row],[SPY]:[PE]])</f>
        <v>7.1046689527994325E-2</v>
      </c>
      <c r="UF51" s="27">
        <f>IF(ISNUMBER(UF50),UF50*(1+PortfolioFrontier[[#This Row],[P138 Return]]),1+PortfolioFrontier[[#This Row],[P138 Return]])</f>
        <v>1.2335857093873428</v>
      </c>
      <c r="UG51" s="27">
        <f>MAX(UG50,PortfolioFrontier[[#This Row],[P138 Growth]])</f>
        <v>1.3085883604968405</v>
      </c>
      <c r="UH51" s="27">
        <f>PortfolioFrontier[[#This Row],[P138 Growth]]/PortfolioFrontier[[#This Row],[P138 HWM]]-1</f>
        <v>-5.7315694815611051E-2</v>
      </c>
      <c r="UI51" s="28">
        <f>SUMPRODUCT(INDEX(PortfolioRef[[SPY]:[PE]],MATCH(UI$1,PortfolioRef[Reference '#]),0),AssetMonthlyReturns[[#This Row],[SPY]:[PE]])</f>
        <v>8.2304974775434914E-2</v>
      </c>
      <c r="UJ51" s="27">
        <f>IF(ISNUMBER(UJ50),UJ50*(1+PortfolioFrontier[[#This Row],[P139 Return]]),1+PortfolioFrontier[[#This Row],[P139 Return]])</f>
        <v>1.2336373881804996</v>
      </c>
      <c r="UK51" s="27">
        <f>MAX(UK50,PortfolioFrontier[[#This Row],[P139 Growth]])</f>
        <v>1.3507788598337169</v>
      </c>
      <c r="UL51" s="27">
        <f>PortfolioFrontier[[#This Row],[P139 Growth]]/PortfolioFrontier[[#This Row],[P139 HWM]]-1</f>
        <v>-8.6721428012011992E-2</v>
      </c>
      <c r="UM51" s="28">
        <f>SUMPRODUCT(INDEX(PortfolioRef[[SPY]:[PE]],MATCH(UM$1,PortfolioRef[Reference '#]),0),AssetMonthlyReturns[[#This Row],[SPY]:[PE]])</f>
        <v>7.7313675546062222E-2</v>
      </c>
      <c r="UN51" s="27">
        <f>IF(ISNUMBER(UN50),UN50*(1+PortfolioFrontier[[#This Row],[P140 Return]]),1+PortfolioFrontier[[#This Row],[P140 Return]])</f>
        <v>1.228715114722617</v>
      </c>
      <c r="UO51" s="27">
        <f>MAX(UO50,PortfolioFrontier[[#This Row],[P140 Growth]])</f>
        <v>1.3327508164164212</v>
      </c>
      <c r="UP51" s="27">
        <f>PortfolioFrontier[[#This Row],[P140 Growth]]/PortfolioFrontier[[#This Row],[P140 HWM]]-1</f>
        <v>-7.8060880107762021E-2</v>
      </c>
      <c r="UQ51" s="28">
        <f>SUMPRODUCT(INDEX(PortfolioRef[[SPY]:[PE]],MATCH(UQ$1,PortfolioRef[Reference '#]),0),AssetMonthlyReturns[[#This Row],[SPY]:[PE]])</f>
        <v>7.2322376316689516E-2</v>
      </c>
      <c r="UR51" s="27">
        <f>IF(ISNUMBER(UR50),UR50*(1+PortfolioFrontier[[#This Row],[P141 Return]]),1+PortfolioFrontier[[#This Row],[P141 Return]])</f>
        <v>1.223401991643998</v>
      </c>
      <c r="US51" s="27">
        <f>MAX(US50,PortfolioFrontier[[#This Row],[P141 Growth]])</f>
        <v>1.3147407958400186</v>
      </c>
      <c r="UT51" s="27">
        <f>PortfolioFrontier[[#This Row],[P141 Growth]]/PortfolioFrontier[[#This Row],[P141 HWM]]-1</f>
        <v>-6.9472860722833318E-2</v>
      </c>
    </row>
    <row r="52" spans="2:566" x14ac:dyDescent="0.2">
      <c r="B52" s="41">
        <f>AssetMonthlyReturns[[#This Row],[Date]]</f>
        <v>43952</v>
      </c>
      <c r="C52" s="28">
        <f>SUMPRODUCT(INDEX(PortfolioRef[[SPY]:[PE]],MATCH(C$1,PortfolioRef[Reference '#]),0),AssetMonthlyReturns[[#This Row],[SPY]:[PE]])</f>
        <v>3.080665774422639E-2</v>
      </c>
      <c r="D52" s="29">
        <f>IF(ISNUMBER(D51),D51*(1+PortfolioFrontier[[#This Row],[P1 Return]]),1+PortfolioFrontier[[#This Row],[P1 Return]])</f>
        <v>1.3994057150964234</v>
      </c>
      <c r="E52" s="29">
        <f>MAX(E51,PortfolioFrontier[[#This Row],[P1 Growth]])</f>
        <v>1.4419664495335482</v>
      </c>
      <c r="F52" s="29">
        <f>PortfolioFrontier[[#This Row],[P1 Growth]]/PortfolioFrontier[[#This Row],[P1 HWM]]-1</f>
        <v>-2.9515759157151322E-2</v>
      </c>
      <c r="G52" s="28">
        <f>SUMPRODUCT(INDEX(PortfolioRef[[SPY]:[PE]],MATCH(G$1,PortfolioRef[Reference '#]),0),AssetMonthlyReturns[[#This Row],[SPY]:[PE]])</f>
        <v>2.8767665540181165E-2</v>
      </c>
      <c r="H52" s="27">
        <f>IF(ISNUMBER(H51),H51*(1+PortfolioFrontier[[#This Row],[P2 Return]]),1+PortfolioFrontier[[#This Row],[P2 Return]])</f>
        <v>1.3791774987539915</v>
      </c>
      <c r="I52" s="27">
        <f>MAX(I51,PortfolioFrontier[[#This Row],[P2 Growth]])</f>
        <v>1.4148787504774187</v>
      </c>
      <c r="J52" s="27">
        <f>PortfolioFrontier[[#This Row],[P2 Growth]]/PortfolioFrontier[[#This Row],[P2 HWM]]-1</f>
        <v>-2.5232728748933897E-2</v>
      </c>
      <c r="K52" s="28">
        <f>SUMPRODUCT(INDEX(PortfolioRef[[SPY]:[PE]],MATCH(K$1,PortfolioRef[Reference '#]),0),AssetMonthlyReturns[[#This Row],[SPY]:[PE]])</f>
        <v>2.9718239119886448E-2</v>
      </c>
      <c r="L52" s="27">
        <f>IF(ISNUMBER(L51),L51*(1+PortfolioFrontier[[#This Row],[P3 Return]]),1+PortfolioFrontier[[#This Row],[P3 Return]])</f>
        <v>1.3879243581848062</v>
      </c>
      <c r="M52" s="27">
        <f>MAX(M51,PortfolioFrontier[[#This Row],[P3 Growth]])</f>
        <v>1.4201780325328939</v>
      </c>
      <c r="N52" s="27">
        <f>PortfolioFrontier[[#This Row],[P3 Growth]]/PortfolioFrontier[[#This Row],[P3 HWM]]-1</f>
        <v>-2.271100778158297E-2</v>
      </c>
      <c r="O52" s="28">
        <f>SUMPRODUCT(INDEX(PortfolioRef[[SPY]:[PE]],MATCH(O$1,PortfolioRef[Reference '#]),0),AssetMonthlyReturns[[#This Row],[SPY]:[PE]])</f>
        <v>2.9291320975971862E-2</v>
      </c>
      <c r="P52" s="27">
        <f>IF(ISNUMBER(P51),P51*(1+PortfolioFrontier[[#This Row],[P4 Return]]),1+PortfolioFrontier[[#This Row],[P4 Return]])</f>
        <v>1.3757407102916719</v>
      </c>
      <c r="Q52" s="27">
        <f>MAX(Q51,PortfolioFrontier[[#This Row],[P4 Growth]])</f>
        <v>1.4268185135775995</v>
      </c>
      <c r="R52" s="27">
        <f>PortfolioFrontier[[#This Row],[P4 Growth]]/PortfolioFrontier[[#This Row],[P4 HWM]]-1</f>
        <v>-3.5798388372362266E-2</v>
      </c>
      <c r="S52" s="28">
        <f>SUMPRODUCT(INDEX(PortfolioRef[[SPY]:[PE]],MATCH(S$1,PortfolioRef[Reference '#]),0),AssetMonthlyReturns[[#This Row],[SPY]:[PE]])</f>
        <v>2.8047236389716505E-2</v>
      </c>
      <c r="T52" s="27">
        <f>IF(ISNUMBER(T51),T51*(1+PortfolioFrontier[[#This Row],[P5 Return]]),1+PortfolioFrontier[[#This Row],[P5 Return]])</f>
        <v>1.3678296099216765</v>
      </c>
      <c r="U52" s="27">
        <f>MAX(U51,PortfolioFrontier[[#This Row],[P5 Growth]])</f>
        <v>1.4072507563287657</v>
      </c>
      <c r="V52" s="27">
        <f>PortfolioFrontier[[#This Row],[P5 Growth]]/PortfolioFrontier[[#This Row],[P5 HWM]]-1</f>
        <v>-2.8012879886404218E-2</v>
      </c>
      <c r="W52" s="28">
        <f>SUMPRODUCT(INDEX(PortfolioRef[[SPY]:[PE]],MATCH(W$1,PortfolioRef[Reference '#]),0),AssetMonthlyReturns[[#This Row],[SPY]:[PE]])</f>
        <v>2.6728673336135943E-2</v>
      </c>
      <c r="X52" s="27">
        <f>IF(ISNUMBER(X51),X51*(1+PortfolioFrontier[[#This Row],[P6 Return]]),1+PortfolioFrontier[[#This Row],[P6 Return]])</f>
        <v>1.3588915819236014</v>
      </c>
      <c r="Y52" s="27">
        <f>MAX(Y51,PortfolioFrontier[[#This Row],[P6 Growth]])</f>
        <v>1.3880851512677401</v>
      </c>
      <c r="Z52" s="27">
        <f>PortfolioFrontier[[#This Row],[P6 Growth]]/PortfolioFrontier[[#This Row],[P6 HWM]]-1</f>
        <v>-2.1031540692929562E-2</v>
      </c>
      <c r="AA52" s="28">
        <f>SUMPRODUCT(INDEX(PortfolioRef[[SPY]:[PE]],MATCH(AA$1,PortfolioRef[Reference '#]),0),AssetMonthlyReturns[[#This Row],[SPY]:[PE]])</f>
        <v>2.7679246915841227E-2</v>
      </c>
      <c r="AB52" s="27">
        <f>IF(ISNUMBER(AB51),AB51*(1+PortfolioFrontier[[#This Row],[P7 Return]]),1+PortfolioFrontier[[#This Row],[P7 Return]])</f>
        <v>1.3675116374803948</v>
      </c>
      <c r="AC52" s="27">
        <f>MAX(AC51,PortfolioFrontier[[#This Row],[P7 Growth]])</f>
        <v>1.3932587065587478</v>
      </c>
      <c r="AD52" s="27">
        <f>PortfolioFrontier[[#This Row],[P7 Growth]]/PortfolioFrontier[[#This Row],[P7 HWM]]-1</f>
        <v>-1.8479747484906439E-2</v>
      </c>
      <c r="AE52" s="28">
        <f>SUMPRODUCT(INDEX(PortfolioRef[[SPY]:[PE]],MATCH(AE$1,PortfolioRef[Reference '#]),0),AssetMonthlyReturns[[#This Row],[SPY]:[PE]])</f>
        <v>2.725232877192664E-2</v>
      </c>
      <c r="AF52" s="27">
        <f>IF(ISNUMBER(AF51),AF51*(1+PortfolioFrontier[[#This Row],[P8 Return]]),1+PortfolioFrontier[[#This Row],[P8 Return]])</f>
        <v>1.3557665891310895</v>
      </c>
      <c r="AG52" s="27">
        <f>MAX(AG51,PortfolioFrontier[[#This Row],[P8 Growth]])</f>
        <v>1.3999070125181117</v>
      </c>
      <c r="AH52" s="27">
        <f>PortfolioFrontier[[#This Row],[P8 Growth]]/PortfolioFrontier[[#This Row],[P8 HWM]]-1</f>
        <v>-3.153096812310674E-2</v>
      </c>
      <c r="AI52" s="28">
        <f>SUMPRODUCT(INDEX(PortfolioRef[[SPY]:[PE]],MATCH(AI$1,PortfolioRef[Reference '#]),0),AssetMonthlyReturns[[#This Row],[SPY]:[PE]])</f>
        <v>2.6008244185671284E-2</v>
      </c>
      <c r="AJ52" s="27">
        <f>IF(ISNUMBER(AJ51),AJ51*(1+PortfolioFrontier[[#This Row],[P9 Return]]),1+PortfolioFrontier[[#This Row],[P9 Return]])</f>
        <v>1.3477440719094766</v>
      </c>
      <c r="AK52" s="27">
        <f>MAX(AK51,PortfolioFrontier[[#This Row],[P9 Growth]])</f>
        <v>1.3806381423140945</v>
      </c>
      <c r="AL52" s="27">
        <f>PortfolioFrontier[[#This Row],[P9 Growth]]/PortfolioFrontier[[#This Row],[P9 HWM]]-1</f>
        <v>-2.3825265575731502E-2</v>
      </c>
      <c r="AM52" s="28">
        <f>SUMPRODUCT(INDEX(PortfolioRef[[SPY]:[PE]],MATCH(AM$1,PortfolioRef[Reference '#]),0),AssetMonthlyReturns[[#This Row],[SPY]:[PE]])</f>
        <v>2.862982049554651E-2</v>
      </c>
      <c r="AN52" s="27">
        <f>IF(ISNUMBER(AN51),AN51*(1+PortfolioFrontier[[#This Row],[P10 Return]]),1+PortfolioFrontier[[#This Row],[P10 Return]])</f>
        <v>1.376040382293247</v>
      </c>
      <c r="AO52" s="27">
        <f>MAX(AO51,PortfolioFrontier[[#This Row],[P10 Growth]])</f>
        <v>1.3983151318787432</v>
      </c>
      <c r="AP52" s="27">
        <f>PortfolioFrontier[[#This Row],[P10 Growth]]/PortfolioFrontier[[#This Row],[P10 HWM]]-1</f>
        <v>-1.5929706457204929E-2</v>
      </c>
      <c r="AQ52" s="28">
        <f>SUMPRODUCT(INDEX(PortfolioRef[[SPY]:[PE]],MATCH(AQ$1,PortfolioRef[Reference '#]),0),AssetMonthlyReturns[[#This Row],[SPY]:[PE]])</f>
        <v>2.8202902351631923E-2</v>
      </c>
      <c r="AR52" s="27">
        <f>IF(ISNUMBER(AR51),AR51*(1+PortfolioFrontier[[#This Row],[P11 Return]]),1+PortfolioFrontier[[#This Row],[P11 Return]])</f>
        <v>1.3643526846149729</v>
      </c>
      <c r="AS52" s="27">
        <f>MAX(AS51,PortfolioFrontier[[#This Row],[P11 Growth]])</f>
        <v>1.4051282257271507</v>
      </c>
      <c r="AT52" s="27">
        <f>PortfolioFrontier[[#This Row],[P11 Growth]]/PortfolioFrontier[[#This Row],[P11 HWM]]-1</f>
        <v>-2.9019089052229718E-2</v>
      </c>
      <c r="AU52" s="28">
        <f>SUMPRODUCT(INDEX(PortfolioRef[[SPY]:[PE]],MATCH(AU$1,PortfolioRef[Reference '#]),0),AssetMonthlyReturns[[#This Row],[SPY]:[PE]])</f>
        <v>2.6958817765376567E-2</v>
      </c>
      <c r="AV52" s="27">
        <f>IF(ISNUMBER(AV51),AV51*(1+PortfolioFrontier[[#This Row],[P12 Return]]),1+PortfolioFrontier[[#This Row],[P12 Return]])</f>
        <v>1.3563211244011857</v>
      </c>
      <c r="AW52" s="27">
        <f>MAX(AW51,PortfolioFrontier[[#This Row],[P12 Growth]])</f>
        <v>1.3858117521199762</v>
      </c>
      <c r="AX52" s="27">
        <f>PortfolioFrontier[[#This Row],[P12 Growth]]/PortfolioFrontier[[#This Row],[P12 HWM]]-1</f>
        <v>-2.1280399501358405E-2</v>
      </c>
      <c r="AY52" s="28">
        <f>SUMPRODUCT(INDEX(PortfolioRef[[SPY]:[PE]],MATCH(AY$1,PortfolioRef[Reference '#]),0),AssetMonthlyReturns[[#This Row],[SPY]:[PE]])</f>
        <v>2.7775984207717333E-2</v>
      </c>
      <c r="AZ52" s="27">
        <f>IF(ISNUMBER(AZ51),AZ51*(1+PortfolioFrontier[[#This Row],[P13 Return]]),1+PortfolioFrontier[[#This Row],[P13 Return]])</f>
        <v>1.3522720178160816</v>
      </c>
      <c r="BA52" s="27">
        <f>MAX(BA51,PortfolioFrontier[[#This Row],[P13 Growth]])</f>
        <v>1.4116451886758252</v>
      </c>
      <c r="BB52" s="27">
        <f>PortfolioFrontier[[#This Row],[P13 Growth]]/PortfolioFrontier[[#This Row],[P13 HWM]]-1</f>
        <v>-4.205955670449868E-2</v>
      </c>
      <c r="BC52" s="28">
        <f>SUMPRODUCT(INDEX(PortfolioRef[[SPY]:[PE]],MATCH(BC$1,PortfolioRef[Reference '#]),0),AssetMonthlyReturns[[#This Row],[SPY]:[PE]])</f>
        <v>2.653189962146198E-2</v>
      </c>
      <c r="BD52" s="27">
        <f>IF(ISNUMBER(BD51),BD51*(1+PortfolioFrontier[[#This Row],[P14 Return]]),1+PortfolioFrontier[[#This Row],[P14 Return]])</f>
        <v>1.344643053639422</v>
      </c>
      <c r="BE52" s="27">
        <f>MAX(BE51,PortfolioFrontier[[#This Row],[P14 Growth]])</f>
        <v>1.3923893526457891</v>
      </c>
      <c r="BF52" s="27">
        <f>PortfolioFrontier[[#This Row],[P14 Growth]]/PortfolioFrontier[[#This Row],[P14 HWM]]-1</f>
        <v>-3.4290910739614988E-2</v>
      </c>
      <c r="BG52" s="28">
        <f>SUMPRODUCT(INDEX(PortfolioRef[[SPY]:[PE]],MATCH(BG$1,PortfolioRef[Reference '#]),0),AssetMonthlyReturns[[#This Row],[SPY]:[PE]])</f>
        <v>2.5287815035206627E-2</v>
      </c>
      <c r="BH52" s="27">
        <f>IF(ISNUMBER(BH51),BH51*(1+PortfolioFrontier[[#This Row],[P15 Return]]),1+PortfolioFrontier[[#This Row],[P15 Return]])</f>
        <v>1.3366125460188782</v>
      </c>
      <c r="BI52" s="27">
        <f>MAX(BI51,PortfolioFrontier[[#This Row],[P15 Growth]])</f>
        <v>1.3731634825595267</v>
      </c>
      <c r="BJ52" s="27">
        <f>PortfolioFrontier[[#This Row],[P15 Growth]]/PortfolioFrontier[[#This Row],[P15 HWM]]-1</f>
        <v>-2.6618051677662513E-2</v>
      </c>
      <c r="BK52" s="28">
        <f>SUMPRODUCT(INDEX(PortfolioRef[[SPY]:[PE]],MATCH(BK$1,PortfolioRef[Reference '#]),0),AssetMonthlyReturns[[#This Row],[SPY]:[PE]])</f>
        <v>2.4689681132090725E-2</v>
      </c>
      <c r="BL52" s="27">
        <f>IF(ISNUMBER(BL51),BL51*(1+PortfolioFrontier[[#This Row],[P16 Return]]),1+PortfolioFrontier[[#This Row],[P16 Return]])</f>
        <v>1.3385602870966653</v>
      </c>
      <c r="BM52" s="27">
        <f>MAX(BM51,PortfolioFrontier[[#This Row],[P16 Growth]])</f>
        <v>1.3615886888178703</v>
      </c>
      <c r="BN52" s="27">
        <f>PortfolioFrontier[[#This Row],[P16 Growth]]/PortfolioFrontier[[#This Row],[P16 HWM]]-1</f>
        <v>-1.6912891470329594E-2</v>
      </c>
      <c r="BO52" s="28">
        <f>SUMPRODUCT(INDEX(PortfolioRef[[SPY]:[PE]],MATCH(BO$1,PortfolioRef[Reference '#]),0),AssetMonthlyReturns[[#This Row],[SPY]:[PE]])</f>
        <v>2.5640254711796009E-2</v>
      </c>
      <c r="BP52" s="27">
        <f>IF(ISNUMBER(BP51),BP51*(1+PortfolioFrontier[[#This Row],[P17 Return]]),1+PortfolioFrontier[[#This Row],[P17 Return]])</f>
        <v>1.3470536282340142</v>
      </c>
      <c r="BQ52" s="27">
        <f>MAX(BQ51,PortfolioFrontier[[#This Row],[P17 Growth]])</f>
        <v>1.36663887261008</v>
      </c>
      <c r="BR52" s="27">
        <f>PortfolioFrontier[[#This Row],[P17 Growth]]/PortfolioFrontier[[#This Row],[P17 HWM]]-1</f>
        <v>-1.4330958066969712E-2</v>
      </c>
      <c r="BS52" s="28">
        <f>SUMPRODUCT(INDEX(PortfolioRef[[SPY]:[PE]],MATCH(BS$1,PortfolioRef[Reference '#]),0),AssetMonthlyReturns[[#This Row],[SPY]:[PE]])</f>
        <v>2.5213336567881422E-2</v>
      </c>
      <c r="BT52" s="27">
        <f>IF(ISNUMBER(BT51),BT51*(1+PortfolioFrontier[[#This Row],[P18 Return]]),1+PortfolioFrontier[[#This Row],[P18 Return]])</f>
        <v>1.3357377708391402</v>
      </c>
      <c r="BU52" s="27">
        <f>MAX(BU51,PortfolioFrontier[[#This Row],[P18 Growth]])</f>
        <v>1.3732906590342844</v>
      </c>
      <c r="BV52" s="27">
        <f>PortfolioFrontier[[#This Row],[P18 Growth]]/PortfolioFrontier[[#This Row],[P18 HWM]]-1</f>
        <v>-2.7345185775567549E-2</v>
      </c>
      <c r="BW52" s="28">
        <f>SUMPRODUCT(INDEX(PortfolioRef[[SPY]:[PE]],MATCH(BW$1,PortfolioRef[Reference '#]),0),AssetMonthlyReturns[[#This Row],[SPY]:[PE]])</f>
        <v>2.3969251981626066E-2</v>
      </c>
      <c r="BX52" s="27">
        <f>IF(ISNUMBER(BX51),BX51*(1+PortfolioFrontier[[#This Row],[P19 Return]]),1+PortfolioFrontier[[#This Row],[P19 Return]])</f>
        <v>1.3276122413003837</v>
      </c>
      <c r="BY52" s="27">
        <f>MAX(BY51,PortfolioFrontier[[#This Row],[P19 Growth]])</f>
        <v>1.3543194764405577</v>
      </c>
      <c r="BZ52" s="27">
        <f>PortfolioFrontier[[#This Row],[P19 Growth]]/PortfolioFrontier[[#This Row],[P19 HWM]]-1</f>
        <v>-1.9720040658623872E-2</v>
      </c>
      <c r="CA52" s="28">
        <f>SUMPRODUCT(INDEX(PortfolioRef[[SPY]:[PE]],MATCH(CA$1,PortfolioRef[Reference '#]),0),AssetMonthlyReturns[[#This Row],[SPY]:[PE]])</f>
        <v>2.6590828291501292E-2</v>
      </c>
      <c r="CB52" s="27">
        <f>IF(ISNUMBER(CB51),CB51*(1+PortfolioFrontier[[#This Row],[P20 Return]]),1+PortfolioFrontier[[#This Row],[P20 Return]])</f>
        <v>1.35545680322176</v>
      </c>
      <c r="CC52" s="27">
        <f>MAX(CC51,PortfolioFrontier[[#This Row],[P20 Growth]])</f>
        <v>1.3715738184680752</v>
      </c>
      <c r="CD52" s="27">
        <f>PortfolioFrontier[[#This Row],[P20 Growth]]/PortfolioFrontier[[#This Row],[P20 HWM]]-1</f>
        <v>-1.1750745770516713E-2</v>
      </c>
      <c r="CE52" s="28">
        <f>SUMPRODUCT(INDEX(PortfolioRef[[SPY]:[PE]],MATCH(CE$1,PortfolioRef[Reference '#]),0),AssetMonthlyReturns[[#This Row],[SPY]:[PE]])</f>
        <v>2.6163910147586705E-2</v>
      </c>
      <c r="CF52" s="27">
        <f>IF(ISNUMBER(CF51),CF51*(1+PortfolioFrontier[[#This Row],[P21 Return]]),1+PortfolioFrontier[[#This Row],[P21 Return]])</f>
        <v>1.3441990366257777</v>
      </c>
      <c r="CG52" s="27">
        <f>MAX(CG51,PortfolioFrontier[[#This Row],[P21 Growth]])</f>
        <v>1.3783876457060396</v>
      </c>
      <c r="CH52" s="27">
        <f>PortfolioFrontier[[#This Row],[P21 Growth]]/PortfolioFrontier[[#This Row],[P21 HWM]]-1</f>
        <v>-2.4803333943659744E-2</v>
      </c>
      <c r="CI52" s="28">
        <f>SUMPRODUCT(INDEX(PortfolioRef[[SPY]:[PE]],MATCH(CI$1,PortfolioRef[Reference '#]),0),AssetMonthlyReturns[[#This Row],[SPY]:[PE]])</f>
        <v>2.4919825561331349E-2</v>
      </c>
      <c r="CJ52" s="27">
        <f>IF(ISNUMBER(CJ51),CJ51*(1+PortfolioFrontier[[#This Row],[P22 Return]]),1+PortfolioFrontier[[#This Row],[P22 Return]])</f>
        <v>1.3360634327188632</v>
      </c>
      <c r="CK52" s="27">
        <f>MAX(CK51,PortfolioFrontier[[#This Row],[P22 Growth]])</f>
        <v>1.3593699288197449</v>
      </c>
      <c r="CL52" s="27">
        <f>PortfolioFrontier[[#This Row],[P22 Growth]]/PortfolioFrontier[[#This Row],[P22 HWM]]-1</f>
        <v>-1.7145072586030596E-2</v>
      </c>
      <c r="CM52" s="28">
        <f>SUMPRODUCT(INDEX(PortfolioRef[[SPY]:[PE]],MATCH(CM$1,PortfolioRef[Reference '#]),0),AssetMonthlyReturns[[#This Row],[SPY]:[PE]])</f>
        <v>2.5736992003672115E-2</v>
      </c>
      <c r="CN52" s="27">
        <f>IF(ISNUMBER(CN51),CN51*(1+PortfolioFrontier[[#This Row],[P23 Return]]),1+PortfolioFrontier[[#This Row],[P23 Return]])</f>
        <v>1.3325522700936825</v>
      </c>
      <c r="CO52" s="27">
        <f>MAX(CO51,PortfolioFrontier[[#This Row],[P23 Growth]])</f>
        <v>1.3849125529432054</v>
      </c>
      <c r="CP52" s="27">
        <f>PortfolioFrontier[[#This Row],[P23 Growth]]/PortfolioFrontier[[#This Row],[P23 HWM]]-1</f>
        <v>-3.7807645499527864E-2</v>
      </c>
      <c r="CQ52" s="28">
        <f>SUMPRODUCT(INDEX(PortfolioRef[[SPY]:[PE]],MATCH(CQ$1,PortfolioRef[Reference '#]),0),AssetMonthlyReturns[[#This Row],[SPY]:[PE]])</f>
        <v>2.4492907417416762E-2</v>
      </c>
      <c r="CR52" s="27">
        <f>IF(ISNUMBER(CR51),CR51*(1+PortfolioFrontier[[#This Row],[P24 Return]]),1+PortfolioFrontier[[#This Row],[P24 Return]])</f>
        <v>1.3248113222960749</v>
      </c>
      <c r="CS52" s="27">
        <f>MAX(CS51,PortfolioFrontier[[#This Row],[P24 Growth]])</f>
        <v>1.3659520435680597</v>
      </c>
      <c r="CT52" s="27">
        <f>PortfolioFrontier[[#This Row],[P24 Growth]]/PortfolioFrontier[[#This Row],[P24 HWM]]-1</f>
        <v>-3.0118715708729704E-2</v>
      </c>
      <c r="CU52" s="28">
        <f>SUMPRODUCT(INDEX(PortfolioRef[[SPY]:[PE]],MATCH(CU$1,PortfolioRef[Reference '#]),0),AssetMonthlyReturns[[#This Row],[SPY]:[PE]])</f>
        <v>2.3248822831161409E-2</v>
      </c>
      <c r="CV52" s="27">
        <f>IF(ISNUMBER(CV51),CV51*(1+PortfolioFrontier[[#This Row],[P25 Return]]),1+PortfolioFrontier[[#This Row],[P25 Return]])</f>
        <v>1.3166794734316827</v>
      </c>
      <c r="CW52" s="27">
        <f>MAX(CW51,PortfolioFrontier[[#This Row],[P25 Growth]])</f>
        <v>1.3470227610535963</v>
      </c>
      <c r="CX52" s="27">
        <f>PortfolioFrontier[[#This Row],[P25 Growth]]/PortfolioFrontier[[#This Row],[P25 HWM]]-1</f>
        <v>-2.252618775215065E-2</v>
      </c>
      <c r="CY52" s="28">
        <f>SUMPRODUCT(INDEX(PortfolioRef[[SPY]:[PE]],MATCH(CY$1,PortfolioRef[Reference '#]),0),AssetMonthlyReturns[[#This Row],[SPY]:[PE]])</f>
        <v>2.7114483727291989E-2</v>
      </c>
      <c r="CZ52" s="27">
        <f>IF(ISNUMBER(CZ51),CZ51*(1+PortfolioFrontier[[#This Row],[P26 Return]]),1+PortfolioFrontier[[#This Row],[P26 Return]])</f>
        <v>1.3525703000115894</v>
      </c>
      <c r="DA52" s="27">
        <f>MAX(DA51,PortfolioFrontier[[#This Row],[P26 Growth]])</f>
        <v>1.3833685265112829</v>
      </c>
      <c r="DB52" s="27">
        <f>PortfolioFrontier[[#This Row],[P26 Growth]]/PortfolioFrontier[[#This Row],[P26 HWM]]-1</f>
        <v>-2.2263211797483584E-2</v>
      </c>
      <c r="DC52" s="28">
        <f>SUMPRODUCT(INDEX(PortfolioRef[[SPY]:[PE]],MATCH(DC$1,PortfolioRef[Reference '#]),0),AssetMonthlyReturns[[#This Row],[SPY]:[PE]])</f>
        <v>2.5870399141036633E-2</v>
      </c>
      <c r="DD52" s="27">
        <f>IF(ISNUMBER(DD51),DD51*(1+PortfolioFrontier[[#This Row],[P27 Return]]),1+PortfolioFrontier[[#This Row],[P27 Return]])</f>
        <v>1.3444254698717373</v>
      </c>
      <c r="DE52" s="27">
        <f>MAX(DE51,PortfolioFrontier[[#This Row],[P27 Growth]])</f>
        <v>1.3643059117737653</v>
      </c>
      <c r="DF52" s="27">
        <f>PortfolioFrontier[[#This Row],[P27 Growth]]/PortfolioFrontier[[#This Row],[P27 HWM]]-1</f>
        <v>-1.4571835928044119E-2</v>
      </c>
      <c r="DG52" s="28">
        <f>SUMPRODUCT(INDEX(PortfolioRef[[SPY]:[PE]],MATCH(DG$1,PortfolioRef[Reference '#]),0),AssetMonthlyReturns[[#This Row],[SPY]:[PE]])</f>
        <v>2.6687565583377398E-2</v>
      </c>
      <c r="DH52" s="27">
        <f>IF(ISNUMBER(DH51),DH51*(1+PortfolioFrontier[[#This Row],[P28 Return]]),1+PortfolioFrontier[[#This Row],[P28 Return]])</f>
        <v>1.3409794975564318</v>
      </c>
      <c r="DI52" s="27">
        <f>MAX(DI51,PortfolioFrontier[[#This Row],[P28 Growth]])</f>
        <v>1.3900562895802888</v>
      </c>
      <c r="DJ52" s="27">
        <f>PortfolioFrontier[[#This Row],[P28 Growth]]/PortfolioFrontier[[#This Row],[P28 HWM]]-1</f>
        <v>-3.5305614881736336E-2</v>
      </c>
      <c r="DK52" s="28">
        <f>SUMPRODUCT(INDEX(PortfolioRef[[SPY]:[PE]],MATCH(DK$1,PortfolioRef[Reference '#]),0),AssetMonthlyReturns[[#This Row],[SPY]:[PE]])</f>
        <v>2.5443480997122046E-2</v>
      </c>
      <c r="DL52" s="27">
        <f>IF(ISNUMBER(DL51),DL51*(1+PortfolioFrontier[[#This Row],[P29 Return]]),1+PortfolioFrontier[[#This Row],[P29 Return]])</f>
        <v>1.3332306270473273</v>
      </c>
      <c r="DM52" s="27">
        <f>MAX(DM51,PortfolioFrontier[[#This Row],[P29 Growth]])</f>
        <v>1.3710493073825181</v>
      </c>
      <c r="DN52" s="27">
        <f>PortfolioFrontier[[#This Row],[P29 Growth]]/PortfolioFrontier[[#This Row],[P29 HWM]]-1</f>
        <v>-2.7583749272585001E-2</v>
      </c>
      <c r="DO52" s="28">
        <f>SUMPRODUCT(INDEX(PortfolioRef[[SPY]:[PE]],MATCH(DO$1,PortfolioRef[Reference '#]),0),AssetMonthlyReturns[[#This Row],[SPY]:[PE]])</f>
        <v>2.4199396410866693E-2</v>
      </c>
      <c r="DP52" s="27">
        <f>IF(ISNUMBER(DP51),DP51*(1+PortfolioFrontier[[#This Row],[P30 Return]]),1+PortfolioFrontier[[#This Row],[P30 Return]])</f>
        <v>1.3250881597270592</v>
      </c>
      <c r="DQ52" s="27">
        <f>MAX(DQ51,PortfolioFrontier[[#This Row],[P30 Growth]])</f>
        <v>1.3520730912994043</v>
      </c>
      <c r="DR52" s="27">
        <f>PortfolioFrontier[[#This Row],[P30 Growth]]/PortfolioFrontier[[#This Row],[P30 HWM]]-1</f>
        <v>-1.9958189942535842E-2</v>
      </c>
      <c r="DS52" s="28">
        <f>SUMPRODUCT(INDEX(PortfolioRef[[SPY]:[PE]],MATCH(DS$1,PortfolioRef[Reference '#]),0),AssetMonthlyReturns[[#This Row],[SPY]:[PE]])</f>
        <v>2.6260647439462808E-2</v>
      </c>
      <c r="DT52" s="27">
        <f>IF(ISNUMBER(DT51),DT51*(1+PortfolioFrontier[[#This Row],[P31 Return]]),1+PortfolioFrontier[[#This Row],[P31 Return]])</f>
        <v>1.3290029933497822</v>
      </c>
      <c r="DU52" s="27">
        <f>MAX(DU51,PortfolioFrontier[[#This Row],[P31 Growth]])</f>
        <v>1.3964505476516273</v>
      </c>
      <c r="DV52" s="27">
        <f>PortfolioFrontier[[#This Row],[P31 Growth]]/PortfolioFrontier[[#This Row],[P31 HWM]]-1</f>
        <v>-4.8299278778808019E-2</v>
      </c>
      <c r="DW52" s="28">
        <f>SUMPRODUCT(INDEX(PortfolioRef[[SPY]:[PE]],MATCH(DW$1,PortfolioRef[Reference '#]),0),AssetMonthlyReturns[[#This Row],[SPY]:[PE]])</f>
        <v>2.5016562853207455E-2</v>
      </c>
      <c r="DX52" s="27">
        <f>IF(ISNUMBER(DX51),DX51*(1+PortfolioFrontier[[#This Row],[P32 Return]]),1+PortfolioFrontier[[#This Row],[P32 Return]])</f>
        <v>1.3216503944123787</v>
      </c>
      <c r="DY52" s="27">
        <f>MAX(DY51,PortfolioFrontier[[#This Row],[P32 Growth]])</f>
        <v>1.3775046986281727</v>
      </c>
      <c r="DZ52" s="27">
        <f>PortfolioFrontier[[#This Row],[P32 Growth]]/PortfolioFrontier[[#This Row],[P32 HWM]]-1</f>
        <v>-4.0547450960724873E-2</v>
      </c>
      <c r="EA52" s="28">
        <f>SUMPRODUCT(INDEX(PortfolioRef[[SPY]:[PE]],MATCH(EA$1,PortfolioRef[Reference '#]),0),AssetMonthlyReturns[[#This Row],[SPY]:[PE]])</f>
        <v>2.3772478266952106E-2</v>
      </c>
      <c r="EB52" s="27">
        <f>IF(ISNUMBER(EB51),EB51*(1+PortfolioFrontier[[#This Row],[P33 Return]]),1+PortfolioFrontier[[#This Row],[P33 Return]])</f>
        <v>1.3139000316614082</v>
      </c>
      <c r="EC52" s="27">
        <f>MAX(EC51,PortfolioFrontier[[#This Row],[P33 Growth]])</f>
        <v>1.3585857250368603</v>
      </c>
      <c r="ED52" s="27">
        <f>PortfolioFrontier[[#This Row],[P33 Growth]]/PortfolioFrontier[[#This Row],[P33 HWM]]-1</f>
        <v>-3.2891331442658656E-2</v>
      </c>
      <c r="EE52" s="28">
        <f>SUMPRODUCT(INDEX(PortfolioRef[[SPY]:[PE]],MATCH(EE$1,PortfolioRef[Reference '#]),0),AssetMonthlyReturns[[#This Row],[SPY]:[PE]])</f>
        <v>2.26506889280455E-2</v>
      </c>
      <c r="EF52" s="27">
        <f>IF(ISNUMBER(EF51),EF51*(1+PortfolioFrontier[[#This Row],[P34 Return]]),1+PortfolioFrontier[[#This Row],[P34 Return]])</f>
        <v>1.3181956936096293</v>
      </c>
      <c r="EG52" s="27">
        <f>MAX(EG51,PortfolioFrontier[[#This Row],[P34 Growth]])</f>
        <v>1.3353921652256686</v>
      </c>
      <c r="EH52" s="27">
        <f>PortfolioFrontier[[#This Row],[P34 Growth]]/PortfolioFrontier[[#This Row],[P34 HWM]]-1</f>
        <v>-1.2877469303658295E-2</v>
      </c>
      <c r="EI52" s="28">
        <f>SUMPRODUCT(INDEX(PortfolioRef[[SPY]:[PE]],MATCH(EI$1,PortfolioRef[Reference '#]),0),AssetMonthlyReturns[[#This Row],[SPY]:[PE]])</f>
        <v>2.3601262507750784E-2</v>
      </c>
      <c r="EJ52" s="27">
        <f>IF(ISNUMBER(EJ51),EJ51*(1+PortfolioFrontier[[#This Row],[P35 Return]]),1+PortfolioFrontier[[#This Row],[P35 Return]])</f>
        <v>1.326562467855503</v>
      </c>
      <c r="EK52" s="27">
        <f>MAX(EK51,PortfolioFrontier[[#This Row],[P35 Growth]])</f>
        <v>1.3403213085185204</v>
      </c>
      <c r="EL52" s="27">
        <f>PortfolioFrontier[[#This Row],[P35 Growth]]/PortfolioFrontier[[#This Row],[P35 HWM]]-1</f>
        <v>-1.0265330093293223E-2</v>
      </c>
      <c r="EM52" s="28">
        <f>SUMPRODUCT(INDEX(PortfolioRef[[SPY]:[PE]],MATCH(EM$1,PortfolioRef[Reference '#]),0),AssetMonthlyReturns[[#This Row],[SPY]:[PE]])</f>
        <v>2.3174344363836197E-2</v>
      </c>
      <c r="EN52" s="27">
        <f>IF(ISNUMBER(EN51),EN51*(1+PortfolioFrontier[[#This Row],[P36 Return]]),1+PortfolioFrontier[[#This Row],[P36 Return]])</f>
        <v>1.3156664050507649</v>
      </c>
      <c r="EO52" s="27">
        <f>MAX(EO51,PortfolioFrontier[[#This Row],[P36 Growth]])</f>
        <v>1.3469723823844473</v>
      </c>
      <c r="EP52" s="27">
        <f>PortfolioFrontier[[#This Row],[P36 Growth]]/PortfolioFrontier[[#This Row],[P36 HWM]]-1</f>
        <v>-2.3241736611008812E-2</v>
      </c>
      <c r="EQ52" s="28">
        <f>SUMPRODUCT(INDEX(PortfolioRef[[SPY]:[PE]],MATCH(EQ$1,PortfolioRef[Reference '#]),0),AssetMonthlyReturns[[#This Row],[SPY]:[PE]])</f>
        <v>2.1930259777580841E-2</v>
      </c>
      <c r="ER52" s="27">
        <f>IF(ISNUMBER(ER51),ER51*(1+PortfolioFrontier[[#This Row],[P37 Return]]),1+PortfolioFrontier[[#This Row],[P37 Return]])</f>
        <v>1.307446111041016</v>
      </c>
      <c r="ES52" s="27">
        <f>MAX(ES51,PortfolioFrontier[[#This Row],[P37 Growth]])</f>
        <v>1.3282975843357441</v>
      </c>
      <c r="ET52" s="27">
        <f>PortfolioFrontier[[#This Row],[P37 Growth]]/PortfolioFrontier[[#This Row],[P37 HWM]]-1</f>
        <v>-1.5697892957590054E-2</v>
      </c>
      <c r="EU52" s="28">
        <f>SUMPRODUCT(INDEX(PortfolioRef[[SPY]:[PE]],MATCH(EU$1,PortfolioRef[Reference '#]),0),AssetMonthlyReturns[[#This Row],[SPY]:[PE]])</f>
        <v>2.4551836087456067E-2</v>
      </c>
      <c r="EV52" s="27">
        <f>IF(ISNUMBER(EV51),EV51*(1+PortfolioFrontier[[#This Row],[P38 Return]]),1+PortfolioFrontier[[#This Row],[P38 Return]])</f>
        <v>1.3348402298583442</v>
      </c>
      <c r="EW52" s="27">
        <f>MAX(EW51,PortfolioFrontier[[#This Row],[P38 Growth]])</f>
        <v>1.3451370933874456</v>
      </c>
      <c r="EX52" s="27">
        <f>PortfolioFrontier[[#This Row],[P38 Growth]]/PortfolioFrontier[[#This Row],[P38 HWM]]-1</f>
        <v>-7.6548803684916011E-3</v>
      </c>
      <c r="EY52" s="28">
        <f>SUMPRODUCT(INDEX(PortfolioRef[[SPY]:[PE]],MATCH(EY$1,PortfolioRef[Reference '#]),0),AssetMonthlyReturns[[#This Row],[SPY]:[PE]])</f>
        <v>2.412491794354148E-2</v>
      </c>
      <c r="EZ52" s="27">
        <f>IF(ISNUMBER(EZ51),EZ51*(1+PortfolioFrontier[[#This Row],[P39 Return]]),1+PortfolioFrontier[[#This Row],[P39 Return]])</f>
        <v>1.3240029375070408</v>
      </c>
      <c r="FA52" s="27">
        <f>MAX(FA51,PortfolioFrontier[[#This Row],[P39 Growth]])</f>
        <v>1.3519474812509076</v>
      </c>
      <c r="FB52" s="27">
        <f>PortfolioFrontier[[#This Row],[P39 Growth]]/PortfolioFrontier[[#This Row],[P39 HWM]]-1</f>
        <v>-2.0669844155492445E-2</v>
      </c>
      <c r="FC52" s="28">
        <f>SUMPRODUCT(INDEX(PortfolioRef[[SPY]:[PE]],MATCH(FC$1,PortfolioRef[Reference '#]),0),AssetMonthlyReturns[[#This Row],[SPY]:[PE]])</f>
        <v>2.2880833357286124E-2</v>
      </c>
      <c r="FD52" s="27">
        <f>IF(ISNUMBER(FD51),FD51*(1+PortfolioFrontier[[#This Row],[P40 Return]]),1+PortfolioFrontier[[#This Row],[P40 Return]])</f>
        <v>1.3157715798064991</v>
      </c>
      <c r="FE52" s="27">
        <f>MAX(FE51,PortfolioFrontier[[#This Row],[P40 Growth]])</f>
        <v>1.3332272000035883</v>
      </c>
      <c r="FF52" s="27">
        <f>PortfolioFrontier[[#This Row],[P40 Growth]]/PortfolioFrontier[[#This Row],[P40 HWM]]-1</f>
        <v>-1.3092757331265248E-2</v>
      </c>
      <c r="FG52" s="28">
        <f>SUMPRODUCT(INDEX(PortfolioRef[[SPY]:[PE]],MATCH(FG$1,PortfolioRef[Reference '#]),0),AssetMonthlyReturns[[#This Row],[SPY]:[PE]])</f>
        <v>2.369799979962689E-2</v>
      </c>
      <c r="FH52" s="27">
        <f>IF(ISNUMBER(FH51),FH51*(1+PortfolioFrontier[[#This Row],[P41 Return]]),1+PortfolioFrontier[[#This Row],[P41 Return]])</f>
        <v>1.3127807465705099</v>
      </c>
      <c r="FI52" s="27">
        <f>MAX(FI51,PortfolioFrontier[[#This Row],[P41 Growth]])</f>
        <v>1.3584760333753265</v>
      </c>
      <c r="FJ52" s="27">
        <f>PortfolioFrontier[[#This Row],[P41 Growth]]/PortfolioFrontier[[#This Row],[P41 HWM]]-1</f>
        <v>-3.3637168181230415E-2</v>
      </c>
      <c r="FK52" s="28">
        <f>SUMPRODUCT(INDEX(PortfolioRef[[SPY]:[PE]],MATCH(FK$1,PortfolioRef[Reference '#]),0),AssetMonthlyReturns[[#This Row],[SPY]:[PE]])</f>
        <v>2.2453915213371537E-2</v>
      </c>
      <c r="FL52" s="27">
        <f>IF(ISNUMBER(FL51),FL51*(1+PortfolioFrontier[[#This Row],[P42 Return]]),1+PortfolioFrontier[[#This Row],[P42 Return]])</f>
        <v>1.3049361283067755</v>
      </c>
      <c r="FM52" s="27">
        <f>MAX(FM51,PortfolioFrontier[[#This Row],[P42 Growth]])</f>
        <v>1.3398096374084578</v>
      </c>
      <c r="FN52" s="27">
        <f>PortfolioFrontier[[#This Row],[P42 Growth]]/PortfolioFrontier[[#This Row],[P42 HWM]]-1</f>
        <v>-2.6028704472627062E-2</v>
      </c>
      <c r="FO52" s="28">
        <f>SUMPRODUCT(INDEX(PortfolioRef[[SPY]:[PE]],MATCH(FO$1,PortfolioRef[Reference '#]),0),AssetMonthlyReturns[[#This Row],[SPY]:[PE]])</f>
        <v>2.1209830627116184E-2</v>
      </c>
      <c r="FP52" s="27">
        <f>IF(ISNUMBER(FP51),FP51*(1+PortfolioFrontier[[#This Row],[P43 Return]]),1+PortfolioFrontier[[#This Row],[P43 Return]])</f>
        <v>1.2967111170637531</v>
      </c>
      <c r="FQ52" s="27">
        <f>MAX(FQ51,PortfolioFrontier[[#This Row],[P43 Growth]])</f>
        <v>1.3211756589392865</v>
      </c>
      <c r="FR52" s="27">
        <f>PortfolioFrontier[[#This Row],[P43 Growth]]/PortfolioFrontier[[#This Row],[P43 HWM]]-1</f>
        <v>-1.8517251441927729E-2</v>
      </c>
      <c r="FS52" s="28">
        <f>SUMPRODUCT(INDEX(PortfolioRef[[SPY]:[PE]],MATCH(FS$1,PortfolioRef[Reference '#]),0),AssetMonthlyReturns[[#This Row],[SPY]:[PE]])</f>
        <v>2.5075491523246764E-2</v>
      </c>
      <c r="FT52" s="27">
        <f>IF(ISNUMBER(FT51),FT51*(1+PortfolioFrontier[[#This Row],[P44 Return]]),1+PortfolioFrontier[[#This Row],[P44 Return]])</f>
        <v>1.3322506014554063</v>
      </c>
      <c r="FU52" s="27">
        <f>MAX(FU51,PortfolioFrontier[[#This Row],[P44 Growth]])</f>
        <v>1.3568083584051134</v>
      </c>
      <c r="FV52" s="27">
        <f>PortfolioFrontier[[#This Row],[P44 Growth]]/PortfolioFrontier[[#This Row],[P44 HWM]]-1</f>
        <v>-1.8099650402046419E-2</v>
      </c>
      <c r="FW52" s="28">
        <f>SUMPRODUCT(INDEX(PortfolioRef[[SPY]:[PE]],MATCH(FW$1,PortfolioRef[Reference '#]),0),AssetMonthlyReturns[[#This Row],[SPY]:[PE]])</f>
        <v>2.3831406936991407E-2</v>
      </c>
      <c r="FX52" s="27">
        <f>IF(ISNUMBER(FX51),FX51*(1+PortfolioFrontier[[#This Row],[P45 Return]]),1+PortfolioFrontier[[#This Row],[P45 Return]])</f>
        <v>1.3240090334512322</v>
      </c>
      <c r="FY52" s="27">
        <f>MAX(FY51,PortfolioFrontier[[#This Row],[P45 Growth]])</f>
        <v>1.3380442093305378</v>
      </c>
      <c r="FZ52" s="27">
        <f>PortfolioFrontier[[#This Row],[P45 Growth]]/PortfolioFrontier[[#This Row],[P45 HWM]]-1</f>
        <v>-1.0489321489854042E-2</v>
      </c>
      <c r="GA52" s="28">
        <f>SUMPRODUCT(INDEX(PortfolioRef[[SPY]:[PE]],MATCH(GA$1,PortfolioRef[Reference '#]),0),AssetMonthlyReturns[[#This Row],[SPY]:[PE]])</f>
        <v>2.4648573379332173E-2</v>
      </c>
      <c r="GB52" s="27">
        <f>IF(ISNUMBER(GB51),GB51*(1+PortfolioFrontier[[#This Row],[P46 Return]]),1+PortfolioFrontier[[#This Row],[P46 Return]])</f>
        <v>1.3210851057463158</v>
      </c>
      <c r="GC52" s="27">
        <f>MAX(GC51,PortfolioFrontier[[#This Row],[P46 Growth]])</f>
        <v>1.3634970412153742</v>
      </c>
      <c r="GD52" s="27">
        <f>PortfolioFrontier[[#This Row],[P46 Growth]]/PortfolioFrontier[[#This Row],[P46 HWM]]-1</f>
        <v>-3.1105264028482127E-2</v>
      </c>
      <c r="GE52" s="28">
        <f>SUMPRODUCT(INDEX(PortfolioRef[[SPY]:[PE]],MATCH(GE$1,PortfolioRef[Reference '#]),0),AssetMonthlyReturns[[#This Row],[SPY]:[PE]])</f>
        <v>2.3404488793076821E-2</v>
      </c>
      <c r="GF52" s="27">
        <f>IF(ISNUMBER(GF51),GF51*(1+PortfolioFrontier[[#This Row],[P47 Return]]),1+PortfolioFrontier[[#This Row],[P47 Return]])</f>
        <v>1.3132315345865404</v>
      </c>
      <c r="GG52" s="27">
        <f>MAX(GG51,PortfolioFrontier[[#This Row],[P47 Growth]])</f>
        <v>1.3447852194316379</v>
      </c>
      <c r="GH52" s="27">
        <f>PortfolioFrontier[[#This Row],[P47 Growth]]/PortfolioFrontier[[#This Row],[P47 HWM]]-1</f>
        <v>-2.346373561306192E-2</v>
      </c>
      <c r="GI52" s="28">
        <f>SUMPRODUCT(INDEX(PortfolioRef[[SPY]:[PE]],MATCH(GI$1,PortfolioRef[Reference '#]),0),AssetMonthlyReturns[[#This Row],[SPY]:[PE]])</f>
        <v>2.2160404206821468E-2</v>
      </c>
      <c r="GJ52" s="27">
        <f>IF(ISNUMBER(GJ51),GJ51*(1+PortfolioFrontier[[#This Row],[P48 Return]]),1+PortfolioFrontier[[#This Row],[P48 Return]])</f>
        <v>1.3049949282615632</v>
      </c>
      <c r="GK52" s="27">
        <f>MAX(GK51,PortfolioFrontier[[#This Row],[P48 Growth]])</f>
        <v>1.3261053643353899</v>
      </c>
      <c r="GL52" s="27">
        <f>PortfolioFrontier[[#This Row],[P48 Growth]]/PortfolioFrontier[[#This Row],[P48 HWM]]-1</f>
        <v>-1.5919124257827599E-2</v>
      </c>
      <c r="GM52" s="28">
        <f>SUMPRODUCT(INDEX(PortfolioRef[[SPY]:[PE]],MATCH(GM$1,PortfolioRef[Reference '#]),0),AssetMonthlyReturns[[#This Row],[SPY]:[PE]])</f>
        <v>2.4221655235417583E-2</v>
      </c>
      <c r="GN52" s="27">
        <f>IF(ISNUMBER(GN51),GN51*(1+PortfolioFrontier[[#This Row],[P49 Return]]),1+PortfolioFrontier[[#This Row],[P49 Return]])</f>
        <v>1.3095378015773624</v>
      </c>
      <c r="GO52" s="27">
        <f>MAX(GO51,PortfolioFrontier[[#This Row],[P49 Growth]])</f>
        <v>1.3698993704585207</v>
      </c>
      <c r="GP52" s="27">
        <f>PortfolioFrontier[[#This Row],[P49 Growth]]/PortfolioFrontier[[#This Row],[P49 HWM]]-1</f>
        <v>-4.4062775838019874E-2</v>
      </c>
      <c r="GQ52" s="28">
        <f>SUMPRODUCT(INDEX(PortfolioRef[[SPY]:[PE]],MATCH(GQ$1,PortfolioRef[Reference '#]),0),AssetMonthlyReturns[[#This Row],[SPY]:[PE]])</f>
        <v>2.297757064916223E-2</v>
      </c>
      <c r="GR52" s="27">
        <f>IF(ISNUMBER(GR51),GR51*(1+PortfolioFrontier[[#This Row],[P50 Return]]),1+PortfolioFrontier[[#This Row],[P50 Return]])</f>
        <v>1.3020726856730895</v>
      </c>
      <c r="GS52" s="27">
        <f>MAX(GS51,PortfolioFrontier[[#This Row],[P50 Growth]])</f>
        <v>1.3512452775810491</v>
      </c>
      <c r="GT52" s="27">
        <f>PortfolioFrontier[[#This Row],[P50 Growth]]/PortfolioFrontier[[#This Row],[P50 HWM]]-1</f>
        <v>-3.6390574475114179E-2</v>
      </c>
      <c r="GU52" s="28">
        <f>SUMPRODUCT(INDEX(PortfolioRef[[SPY]:[PE]],MATCH(GU$1,PortfolioRef[Reference '#]),0),AssetMonthlyReturns[[#This Row],[SPY]:[PE]])</f>
        <v>2.1733486062906881E-2</v>
      </c>
      <c r="GV52" s="27">
        <f>IF(ISNUMBER(GV51),GV51*(1+PortfolioFrontier[[#This Row],[P51 Return]]),1+PortfolioFrontier[[#This Row],[P51 Return]])</f>
        <v>1.2942203259551308</v>
      </c>
      <c r="GW52" s="27">
        <f>MAX(GW51,PortfolioFrontier[[#This Row],[P51 Growth]])</f>
        <v>1.3326193457404765</v>
      </c>
      <c r="GX52" s="27">
        <f>PortfolioFrontier[[#This Row],[P51 Growth]]/PortfolioFrontier[[#This Row],[P51 HWM]]-1</f>
        <v>-2.8814694839965016E-2</v>
      </c>
      <c r="GY52" s="28">
        <f>SUMPRODUCT(INDEX(PortfolioRef[[SPY]:[PE]],MATCH(GY$1,PortfolioRef[Reference '#]),0),AssetMonthlyReturns[[#This Row],[SPY]:[PE]])</f>
        <v>2.5599146959037457E-2</v>
      </c>
      <c r="GZ52" s="27">
        <f>IF(ISNUMBER(GZ51),GZ51*(1+PortfolioFrontier[[#This Row],[P52 Return]]),1+PortfolioFrontier[[#This Row],[P52 Return]])</f>
        <v>1.3293007654023943</v>
      </c>
      <c r="HA52" s="27">
        <f>MAX(HA51,PortfolioFrontier[[#This Row],[P52 Growth]])</f>
        <v>1.3684029722493223</v>
      </c>
      <c r="HB52" s="27">
        <f>PortfolioFrontier[[#This Row],[P52 Growth]]/PortfolioFrontier[[#This Row],[P52 HWM]]-1</f>
        <v>-2.8575067169470891E-2</v>
      </c>
      <c r="HC52" s="28">
        <f>SUMPRODUCT(INDEX(PortfolioRef[[SPY]:[PE]],MATCH(HC$1,PortfolioRef[Reference '#]),0),AssetMonthlyReturns[[#This Row],[SPY]:[PE]])</f>
        <v>2.4355062372782104E-2</v>
      </c>
      <c r="HD52" s="27">
        <f>IF(ISNUMBER(HD51),HD51*(1+PortfolioFrontier[[#This Row],[P53 Return]]),1+PortfolioFrontier[[#This Row],[P53 Return]])</f>
        <v>1.3214390673744532</v>
      </c>
      <c r="HE52" s="27">
        <f>MAX(HE51,PortfolioFrontier[[#This Row],[P53 Growth]])</f>
        <v>1.3496473388218579</v>
      </c>
      <c r="HF52" s="27">
        <f>PortfolioFrontier[[#This Row],[P53 Growth]]/PortfolioFrontier[[#This Row],[P53 HWM]]-1</f>
        <v>-2.0900475728739987E-2</v>
      </c>
      <c r="HG52" s="28">
        <f>SUMPRODUCT(INDEX(PortfolioRef[[SPY]:[PE]],MATCH(HG$1,PortfolioRef[Reference '#]),0),AssetMonthlyReturns[[#This Row],[SPY]:[PE]])</f>
        <v>2.3110977786526751E-2</v>
      </c>
      <c r="HH52" s="27">
        <f>IF(ISNUMBER(HH51),HH51*(1+PortfolioFrontier[[#This Row],[P54 Return]]),1+PortfolioFrontier[[#This Row],[P54 Return]])</f>
        <v>1.3131917161915911</v>
      </c>
      <c r="HI52" s="27">
        <f>MAX(HI51,PortfolioFrontier[[#This Row],[P54 Growth]])</f>
        <v>1.3309232164629301</v>
      </c>
      <c r="HJ52" s="27">
        <f>PortfolioFrontier[[#This Row],[P54 Growth]]/PortfolioFrontier[[#This Row],[P54 HWM]]-1</f>
        <v>-1.3322707164476588E-2</v>
      </c>
      <c r="HK52" s="28">
        <f>SUMPRODUCT(INDEX(PortfolioRef[[SPY]:[PE]],MATCH(HK$1,PortfolioRef[Reference '#]),0),AssetMonthlyReturns[[#This Row],[SPY]:[PE]])</f>
        <v>2.5172228815122866E-2</v>
      </c>
      <c r="HL52" s="27">
        <f>IF(ISNUMBER(HL51),HL51*(1+PortfolioFrontier[[#This Row],[P55 Return]]),1+PortfolioFrontier[[#This Row],[P55 Return]])</f>
        <v>1.3178080603480791</v>
      </c>
      <c r="HM52" s="27">
        <f>MAX(HM51,PortfolioFrontier[[#This Row],[P55 Growth]])</f>
        <v>1.374966231742059</v>
      </c>
      <c r="HN52" s="27">
        <f>PortfolioFrontier[[#This Row],[P55 Growth]]/PortfolioFrontier[[#This Row],[P55 HWM]]-1</f>
        <v>-4.1570600116892731E-2</v>
      </c>
      <c r="HO52" s="28">
        <f>SUMPRODUCT(INDEX(PortfolioRef[[SPY]:[PE]],MATCH(HO$1,PortfolioRef[Reference '#]),0),AssetMonthlyReturns[[#This Row],[SPY]:[PE]])</f>
        <v>2.3928144228867514E-2</v>
      </c>
      <c r="HP52" s="27">
        <f>IF(ISNUMBER(HP51),HP51*(1+PortfolioFrontier[[#This Row],[P56 Return]]),1+PortfolioFrontier[[#This Row],[P56 Return]])</f>
        <v>1.3103361073714321</v>
      </c>
      <c r="HQ52" s="27">
        <f>MAX(HQ51,PortfolioFrontier[[#This Row],[P56 Growth]])</f>
        <v>1.356266779034806</v>
      </c>
      <c r="HR52" s="27">
        <f>PortfolioFrontier[[#This Row],[P56 Growth]]/PortfolioFrontier[[#This Row],[P56 HWM]]-1</f>
        <v>-3.3865514051786061E-2</v>
      </c>
      <c r="HS52" s="28">
        <f>SUMPRODUCT(INDEX(PortfolioRef[[SPY]:[PE]],MATCH(HS$1,PortfolioRef[Reference '#]),0),AssetMonthlyReturns[[#This Row],[SPY]:[PE]])</f>
        <v>2.2684059642612164E-2</v>
      </c>
      <c r="HT52" s="27">
        <f>IF(ISNUMBER(HT51),HT51*(1+PortfolioFrontier[[#This Row],[P57 Return]]),1+PortfolioFrontier[[#This Row],[P57 Return]])</f>
        <v>1.302474253952961</v>
      </c>
      <c r="HU52" s="27">
        <f>MAX(HU51,PortfolioFrontier[[#This Row],[P57 Growth]])</f>
        <v>1.337595024415057</v>
      </c>
      <c r="HV52" s="27">
        <f>PortfolioFrontier[[#This Row],[P57 Growth]]/PortfolioFrontier[[#This Row],[P57 HWM]]-1</f>
        <v>-2.6256654533725277E-2</v>
      </c>
      <c r="HW52" s="28">
        <f>SUMPRODUCT(INDEX(PortfolioRef[[SPY]:[PE]],MATCH(HW$1,PortfolioRef[Reference '#]),0),AssetMonthlyReturns[[#This Row],[SPY]:[PE]])</f>
        <v>2.4745310671208276E-2</v>
      </c>
      <c r="HX52" s="27">
        <f>IF(ISNUMBER(HX51),HX51*(1+PortfolioFrontier[[#This Row],[P58 Return]]),1+PortfolioFrontier[[#This Row],[P58 Return]])</f>
        <v>1.3059368516664298</v>
      </c>
      <c r="HY52" s="27">
        <f>MAX(HY51,PortfolioFrontier[[#This Row],[P58 Growth]])</f>
        <v>1.3812386241053227</v>
      </c>
      <c r="HZ52" s="27">
        <f>PortfolioFrontier[[#This Row],[P58 Growth]]/PortfolioFrontier[[#This Row],[P58 HWM]]-1</f>
        <v>-5.4517569321281156E-2</v>
      </c>
      <c r="IA52" s="28">
        <f>SUMPRODUCT(INDEX(PortfolioRef[[SPY]:[PE]],MATCH(IA$1,PortfolioRef[Reference '#]),0),AssetMonthlyReturns[[#This Row],[SPY]:[PE]])</f>
        <v>2.3501226084952923E-2</v>
      </c>
      <c r="IB52" s="27">
        <f>IF(ISNUMBER(IB51),IB51*(1+PortfolioFrontier[[#This Row],[P59 Return]]),1+PortfolioFrontier[[#This Row],[P59 Return]])</f>
        <v>1.2988548804599491</v>
      </c>
      <c r="IC52" s="27">
        <f>MAX(IC51,PortfolioFrontier[[#This Row],[P59 Growth]])</f>
        <v>1.362600772073006</v>
      </c>
      <c r="ID52" s="27">
        <f>PortfolioFrontier[[#This Row],[P59 Growth]]/PortfolioFrontier[[#This Row],[P59 HWM]]-1</f>
        <v>-4.6782515406971648E-2</v>
      </c>
      <c r="IE52" s="28">
        <f>SUMPRODUCT(INDEX(PortfolioRef[[SPY]:[PE]],MATCH(IE$1,PortfolioRef[Reference '#]),0),AssetMonthlyReturns[[#This Row],[SPY]:[PE]])</f>
        <v>2.2257141498697574E-2</v>
      </c>
      <c r="IF52" s="27">
        <f>IF(ISNUMBER(IF51),IF51*(1+PortfolioFrontier[[#This Row],[P60 Return]]),1+PortfolioFrontier[[#This Row],[P60 Return]])</f>
        <v>1.2913789782026421</v>
      </c>
      <c r="IG52" s="27">
        <f>MAX(IG51,PortfolioFrontier[[#This Row],[P60 Growth]])</f>
        <v>1.3439867749591152</v>
      </c>
      <c r="IH52" s="27">
        <f>PortfolioFrontier[[#This Row],[P60 Growth]]/PortfolioFrontier[[#This Row],[P60 HWM]]-1</f>
        <v>-3.9143091090366955E-2</v>
      </c>
      <c r="II52" s="28">
        <f>SUMPRODUCT(INDEX(PortfolioRef[[SPY]:[PE]],MATCH(II$1,PortfolioRef[Reference '#]),0),AssetMonthlyReturns[[#This Row],[SPY]:[PE]])</f>
        <v>2.0611696724000282E-2</v>
      </c>
      <c r="IJ52" s="27">
        <f>IF(ISNUMBER(IJ51),IJ51*(1+PortfolioFrontier[[#This Row],[P61 Return]]),1+PortfolioFrontier[[#This Row],[P61 Return]])</f>
        <v>1.2978096321830521</v>
      </c>
      <c r="IK52" s="27">
        <f>MAX(IK51,PortfolioFrontier[[#This Row],[P61 Growth]])</f>
        <v>1.3094981526620968</v>
      </c>
      <c r="IL52" s="27">
        <f>PortfolioFrontier[[#This Row],[P61 Growth]]/PortfolioFrontier[[#This Row],[P61 HWM]]-1</f>
        <v>-8.9259541567759948E-3</v>
      </c>
      <c r="IM52" s="28">
        <f>SUMPRODUCT(INDEX(PortfolioRef[[SPY]:[PE]],MATCH(IM$1,PortfolioRef[Reference '#]),0),AssetMonthlyReturns[[#This Row],[SPY]:[PE]])</f>
        <v>2.1562270303705566E-2</v>
      </c>
      <c r="IN52" s="27">
        <f>IF(ISNUMBER(IN51),IN51*(1+PortfolioFrontier[[#This Row],[P62 Return]]),1+PortfolioFrontier[[#This Row],[P62 Return]])</f>
        <v>1.3060500436332427</v>
      </c>
      <c r="IO52" s="27">
        <f>MAX(IO51,PortfolioFrontier[[#This Row],[P62 Growth]])</f>
        <v>1.3143085617694168</v>
      </c>
      <c r="IP52" s="27">
        <f>PortfolioFrontier[[#This Row],[P62 Growth]]/PortfolioFrontier[[#This Row],[P62 HWM]]-1</f>
        <v>-6.283545870732099E-3</v>
      </c>
      <c r="IQ52" s="28">
        <f>SUMPRODUCT(INDEX(PortfolioRef[[SPY]:[PE]],MATCH(IQ$1,PortfolioRef[Reference '#]),0),AssetMonthlyReturns[[#This Row],[SPY]:[PE]])</f>
        <v>2.1135352159790979E-2</v>
      </c>
      <c r="IR52" s="27">
        <f>IF(ISNUMBER(IR51),IR51*(1+PortfolioFrontier[[#This Row],[P63 Return]]),1+PortfolioFrontier[[#This Row],[P63 Return]])</f>
        <v>1.2955643989910433</v>
      </c>
      <c r="IS52" s="27">
        <f>MAX(IS51,PortfolioFrontier[[#This Row],[P63 Growth]])</f>
        <v>1.3209548791169983</v>
      </c>
      <c r="IT52" s="27">
        <f>PortfolioFrontier[[#This Row],[P63 Growth]]/PortfolioFrontier[[#This Row],[P63 HWM]]-1</f>
        <v>-1.9221307652027786E-2</v>
      </c>
      <c r="IU52" s="28">
        <f>SUMPRODUCT(INDEX(PortfolioRef[[SPY]:[PE]],MATCH(IU$1,PortfolioRef[Reference '#]),0),AssetMonthlyReturns[[#This Row],[SPY]:[PE]])</f>
        <v>1.9891267573535622E-2</v>
      </c>
      <c r="IV52" s="27">
        <f>IF(ISNUMBER(IV51),IV51*(1+PortfolioFrontier[[#This Row],[P64 Return]]),1+PortfolioFrontier[[#This Row],[P64 Return]])</f>
        <v>1.2872574284786593</v>
      </c>
      <c r="IW52" s="27">
        <f>MAX(IW51,PortfolioFrontier[[#This Row],[P64 Growth]])</f>
        <v>1.302575062579725</v>
      </c>
      <c r="IX52" s="27">
        <f>PortfolioFrontier[[#This Row],[P64 Growth]]/PortfolioFrontier[[#This Row],[P64 HWM]]-1</f>
        <v>-1.1759502036473357E-2</v>
      </c>
      <c r="IY52" s="28">
        <f>SUMPRODUCT(INDEX(PortfolioRef[[SPY]:[PE]],MATCH(IY$1,PortfolioRef[Reference '#]),0),AssetMonthlyReturns[[#This Row],[SPY]:[PE]])</f>
        <v>2.2512843883410849E-2</v>
      </c>
      <c r="IZ52" s="27">
        <f>IF(ISNUMBER(IZ51),IZ51*(1+PortfolioFrontier[[#This Row],[P65 Return]]),1+PortfolioFrontier[[#This Row],[P65 Return]])</f>
        <v>1.3142026052490379</v>
      </c>
      <c r="JA52" s="27">
        <f>MAX(JA51,PortfolioFrontier[[#This Row],[P65 Growth]])</f>
        <v>1.3190074789677764</v>
      </c>
      <c r="JB52" s="27">
        <f>PortfolioFrontier[[#This Row],[P65 Growth]]/PortfolioFrontier[[#This Row],[P65 HWM]]-1</f>
        <v>-3.6427949009801841E-3</v>
      </c>
      <c r="JC52" s="28">
        <f>SUMPRODUCT(INDEX(PortfolioRef[[SPY]:[PE]],MATCH(JC$1,PortfolioRef[Reference '#]),0),AssetMonthlyReturns[[#This Row],[SPY]:[PE]])</f>
        <v>2.2085925739496262E-2</v>
      </c>
      <c r="JD52" s="27">
        <f>IF(ISNUMBER(JD51),JD51*(1+PortfolioFrontier[[#This Row],[P66 Return]]),1+PortfolioFrontier[[#This Row],[P66 Return]])</f>
        <v>1.3037763515627876</v>
      </c>
      <c r="JE52" s="27">
        <f>MAX(JE51,PortfolioFrontier[[#This Row],[P66 Growth]])</f>
        <v>1.3258104044199521</v>
      </c>
      <c r="JF52" s="27">
        <f>PortfolioFrontier[[#This Row],[P66 Growth]]/PortfolioFrontier[[#This Row],[P66 HWM]]-1</f>
        <v>-1.6619309053321651E-2</v>
      </c>
      <c r="JG52" s="28">
        <f>SUMPRODUCT(INDEX(PortfolioRef[[SPY]:[PE]],MATCH(JG$1,PortfolioRef[Reference '#]),0),AssetMonthlyReturns[[#This Row],[SPY]:[PE]])</f>
        <v>2.0841841153240906E-2</v>
      </c>
      <c r="JH52" s="27">
        <f>IF(ISNUMBER(JH51),JH51*(1+PortfolioFrontier[[#This Row],[P67 Return]]),1+PortfolioFrontier[[#This Row],[P67 Return]])</f>
        <v>1.2954573694044671</v>
      </c>
      <c r="JI52" s="27">
        <f>MAX(JI51,PortfolioFrontier[[#This Row],[P67 Growth]])</f>
        <v>1.3073861378653062</v>
      </c>
      <c r="JJ52" s="27">
        <f>PortfolioFrontier[[#This Row],[P67 Growth]]/PortfolioFrontier[[#This Row],[P67 HWM]]-1</f>
        <v>-9.1241356439011323E-3</v>
      </c>
      <c r="JK52" s="28">
        <f>SUMPRODUCT(INDEX(PortfolioRef[[SPY]:[PE]],MATCH(JK$1,PortfolioRef[Reference '#]),0),AssetMonthlyReturns[[#This Row],[SPY]:[PE]])</f>
        <v>2.1659007595581672E-2</v>
      </c>
      <c r="JL52" s="27">
        <f>IF(ISNUMBER(JL51),JL51*(1+PortfolioFrontier[[#This Row],[P68 Return]]),1+PortfolioFrontier[[#This Row],[P68 Return]])</f>
        <v>1.292969424933186</v>
      </c>
      <c r="JM52" s="27">
        <f>MAX(JM51,PortfolioFrontier[[#This Row],[P68 Growth]])</f>
        <v>1.3323384524872308</v>
      </c>
      <c r="JN52" s="27">
        <f>PortfolioFrontier[[#This Row],[P68 Growth]]/PortfolioFrontier[[#This Row],[P68 HWM]]-1</f>
        <v>-2.9548818830943513E-2</v>
      </c>
      <c r="JO52" s="28">
        <f>SUMPRODUCT(INDEX(PortfolioRef[[SPY]:[PE]],MATCH(JO$1,PortfolioRef[Reference '#]),0),AssetMonthlyReturns[[#This Row],[SPY]:[PE]])</f>
        <v>2.0414923009326319E-2</v>
      </c>
      <c r="JP52" s="27">
        <f>IF(ISNUMBER(JP51),JP51*(1+PortfolioFrontier[[#This Row],[P69 Return]]),1+PortfolioFrontier[[#This Row],[P69 Return]])</f>
        <v>1.2850292940652843</v>
      </c>
      <c r="JQ52" s="27">
        <f>MAX(JQ51,PortfolioFrontier[[#This Row],[P69 Growth]])</f>
        <v>1.3139648547532048</v>
      </c>
      <c r="JR52" s="27">
        <f>PortfolioFrontier[[#This Row],[P69 Growth]]/PortfolioFrontier[[#This Row],[P69 HWM]]-1</f>
        <v>-2.2021563653888854E-2</v>
      </c>
      <c r="JS52" s="28">
        <f>SUMPRODUCT(INDEX(PortfolioRef[[SPY]:[PE]],MATCH(JS$1,PortfolioRef[Reference '#]),0),AssetMonthlyReturns[[#This Row],[SPY]:[PE]])</f>
        <v>1.9170838423070966E-2</v>
      </c>
      <c r="JT52" s="27">
        <f>IF(ISNUMBER(JT51),JT51*(1+PortfolioFrontier[[#This Row],[P70 Return]]),1+PortfolioFrontier[[#This Row],[P70 Return]])</f>
        <v>1.2767191408768426</v>
      </c>
      <c r="JU52" s="27">
        <f>MAX(JU51,PortfolioFrontier[[#This Row],[P70 Growth]])</f>
        <v>1.2956247967365477</v>
      </c>
      <c r="JV52" s="27">
        <f>PortfolioFrontier[[#This Row],[P70 Growth]]/PortfolioFrontier[[#This Row],[P70 HWM]]-1</f>
        <v>-1.4591921910822592E-2</v>
      </c>
      <c r="JW52" s="28">
        <f>SUMPRODUCT(INDEX(PortfolioRef[[SPY]:[PE]],MATCH(JW$1,PortfolioRef[Reference '#]),0),AssetMonthlyReturns[[#This Row],[SPY]:[PE]])</f>
        <v>2.3036499319201542E-2</v>
      </c>
      <c r="JX52" s="27">
        <f>IF(ISNUMBER(JX51),JX51*(1+PortfolioFrontier[[#This Row],[P71 Return]]),1+PortfolioFrontier[[#This Row],[P71 Return]])</f>
        <v>1.3119005785709912</v>
      </c>
      <c r="JY52" s="27">
        <f>MAX(JY51,PortfolioFrontier[[#This Row],[P71 Growth]])</f>
        <v>1.3305535794300112</v>
      </c>
      <c r="JZ52" s="27">
        <f>PortfolioFrontier[[#This Row],[P71 Growth]]/PortfolioFrontier[[#This Row],[P71 HWM]]-1</f>
        <v>-1.4018977625095408E-2</v>
      </c>
      <c r="KA52" s="28">
        <f>SUMPRODUCT(INDEX(PortfolioRef[[SPY]:[PE]],MATCH(KA$1,PortfolioRef[Reference '#]),0),AssetMonthlyReturns[[#This Row],[SPY]:[PE]])</f>
        <v>2.1792414732946186E-2</v>
      </c>
      <c r="KB52" s="27">
        <f>IF(ISNUMBER(KB51),KB51*(1+PortfolioFrontier[[#This Row],[P72 Return]]),1+PortfolioFrontier[[#This Row],[P72 Return]])</f>
        <v>1.3035704428497223</v>
      </c>
      <c r="KC52" s="27">
        <f>MAX(KC51,PortfolioFrontier[[#This Row],[P72 Growth]])</f>
        <v>1.312086457152924</v>
      </c>
      <c r="KD52" s="27">
        <f>PortfolioFrontier[[#This Row],[P72 Growth]]/PortfolioFrontier[[#This Row],[P72 HWM]]-1</f>
        <v>-6.4904368586201633E-3</v>
      </c>
      <c r="KE52" s="28">
        <f>SUMPRODUCT(INDEX(PortfolioRef[[SPY]:[PE]],MATCH(KE$1,PortfolioRef[Reference '#]),0),AssetMonthlyReturns[[#This Row],[SPY]:[PE]])</f>
        <v>2.2609581175286952E-2</v>
      </c>
      <c r="KF52" s="27">
        <f>IF(ISNUMBER(KF51),KF51*(1+PortfolioFrontier[[#This Row],[P73 Return]]),1+PortfolioFrontier[[#This Row],[P73 Return]])</f>
        <v>1.3011510187233195</v>
      </c>
      <c r="KG52" s="27">
        <f>MAX(KG51,PortfolioFrontier[[#This Row],[P73 Growth]])</f>
        <v>1.337239053451823</v>
      </c>
      <c r="KH52" s="27">
        <f>PortfolioFrontier[[#This Row],[P73 Growth]]/PortfolioFrontier[[#This Row],[P73 HWM]]-1</f>
        <v>-2.6986973372748357E-2</v>
      </c>
      <c r="KI52" s="28">
        <f>SUMPRODUCT(INDEX(PortfolioRef[[SPY]:[PE]],MATCH(KI$1,PortfolioRef[Reference '#]),0),AssetMonthlyReturns[[#This Row],[SPY]:[PE]])</f>
        <v>2.1365496589031599E-2</v>
      </c>
      <c r="KJ52" s="27">
        <f>IF(ISNUMBER(KJ51),KJ51*(1+PortfolioFrontier[[#This Row],[P74 Return]]),1+PortfolioFrontier[[#This Row],[P74 Return]])</f>
        <v>1.2932009463560441</v>
      </c>
      <c r="KK52" s="27">
        <f>MAX(KK51,PortfolioFrontier[[#This Row],[P74 Growth]])</f>
        <v>1.3188210591477281</v>
      </c>
      <c r="KL52" s="27">
        <f>PortfolioFrontier[[#This Row],[P74 Growth]]/PortfolioFrontier[[#This Row],[P74 HWM]]-1</f>
        <v>-1.942652690747948E-2</v>
      </c>
      <c r="KM52" s="28">
        <f>SUMPRODUCT(INDEX(PortfolioRef[[SPY]:[PE]],MATCH(KM$1,PortfolioRef[Reference '#]),0),AssetMonthlyReturns[[#This Row],[SPY]:[PE]])</f>
        <v>2.0121412002776246E-2</v>
      </c>
      <c r="KN52" s="27">
        <f>IF(ISNUMBER(KN51),KN51*(1+PortfolioFrontier[[#This Row],[P75 Return]]),1+PortfolioFrontier[[#This Row],[P75 Return]])</f>
        <v>1.2848782625731745</v>
      </c>
      <c r="KO52" s="27">
        <f>MAX(KO51,PortfolioFrontier[[#This Row],[P75 Growth]])</f>
        <v>1.300436163514596</v>
      </c>
      <c r="KP52" s="27">
        <f>PortfolioFrontier[[#This Row],[P75 Growth]]/PortfolioFrontier[[#This Row],[P75 HWM]]-1</f>
        <v>-1.1963602195877332E-2</v>
      </c>
      <c r="KQ52" s="28">
        <f>SUMPRODUCT(INDEX(PortfolioRef[[SPY]:[PE]],MATCH(KQ$1,PortfolioRef[Reference '#]),0),AssetMonthlyReturns[[#This Row],[SPY]:[PE]])</f>
        <v>2.2182663031372361E-2</v>
      </c>
      <c r="KR52" s="27">
        <f>IF(ISNUMBER(KR51),KR51*(1+PortfolioFrontier[[#This Row],[P76 Return]]),1+PortfolioFrontier[[#This Row],[P76 Return]])</f>
        <v>1.2900236742527607</v>
      </c>
      <c r="KS52" s="27">
        <f>MAX(KS51,PortfolioFrontier[[#This Row],[P76 Growth]])</f>
        <v>1.3436451993513385</v>
      </c>
      <c r="KT52" s="27">
        <f>PortfolioFrontier[[#This Row],[P76 Growth]]/PortfolioFrontier[[#This Row],[P76 HWM]]-1</f>
        <v>-3.9907503204316352E-2</v>
      </c>
      <c r="KU52" s="28">
        <f>SUMPRODUCT(INDEX(PortfolioRef[[SPY]:[PE]],MATCH(KU$1,PortfolioRef[Reference '#]),0),AssetMonthlyReturns[[#This Row],[SPY]:[PE]])</f>
        <v>2.0938578445117009E-2</v>
      </c>
      <c r="KV52" s="27">
        <f>IF(ISNUMBER(KV51),KV51*(1+PortfolioFrontier[[#This Row],[P77 Return]]),1+PortfolioFrontier[[#This Row],[P77 Return]])</f>
        <v>1.282454263729947</v>
      </c>
      <c r="KW52" s="27">
        <f>MAX(KW51,PortfolioFrontier[[#This Row],[P77 Growth]])</f>
        <v>1.3252816365276681</v>
      </c>
      <c r="KX52" s="27">
        <f>PortfolioFrontier[[#This Row],[P77 Growth]]/PortfolioFrontier[[#This Row],[P77 HWM]]-1</f>
        <v>-3.2315676620957245E-2</v>
      </c>
      <c r="KY52" s="28">
        <f>SUMPRODUCT(INDEX(PortfolioRef[[SPY]:[PE]],MATCH(KY$1,PortfolioRef[Reference '#]),0),AssetMonthlyReturns[[#This Row],[SPY]:[PE]])</f>
        <v>1.9694493858861659E-2</v>
      </c>
      <c r="KZ52" s="27">
        <f>IF(ISNUMBER(KZ51),KZ51*(1+PortfolioFrontier[[#This Row],[P78 Return]]),1+PortfolioFrontier[[#This Row],[P78 Return]])</f>
        <v>1.2745079965231814</v>
      </c>
      <c r="LA52" s="27">
        <f>MAX(LA51,PortfolioFrontier[[#This Row],[P78 Growth]])</f>
        <v>1.3069474504943903</v>
      </c>
      <c r="LB52" s="27">
        <f>PortfolioFrontier[[#This Row],[P78 Growth]]/PortfolioFrontier[[#This Row],[P78 HWM]]-1</f>
        <v>-2.4820779105493296E-2</v>
      </c>
      <c r="LC52" s="28">
        <f>SUMPRODUCT(INDEX(PortfolioRef[[SPY]:[PE]],MATCH(LC$1,PortfolioRef[Reference '#]),0),AssetMonthlyReturns[[#This Row],[SPY]:[PE]])</f>
        <v>2.3560154754992235E-2</v>
      </c>
      <c r="LD52" s="27">
        <f>IF(ISNUMBER(LD51),LD51*(1+PortfolioFrontier[[#This Row],[P79 Return]]),1+PortfolioFrontier[[#This Row],[P79 Return]])</f>
        <v>1.3092450360666859</v>
      </c>
      <c r="LE52" s="27">
        <f>MAX(LE51,PortfolioFrontier[[#This Row],[P79 Growth]])</f>
        <v>1.3420264536343358</v>
      </c>
      <c r="LF52" s="27">
        <f>PortfolioFrontier[[#This Row],[P79 Growth]]/PortfolioFrontier[[#This Row],[P79 HWM]]-1</f>
        <v>-2.4426804314382045E-2</v>
      </c>
      <c r="LG52" s="28">
        <f>SUMPRODUCT(INDEX(PortfolioRef[[SPY]:[PE]],MATCH(LG$1,PortfolioRef[Reference '#]),0),AssetMonthlyReturns[[#This Row],[SPY]:[PE]])</f>
        <v>2.2316070168736882E-2</v>
      </c>
      <c r="LH52" s="27">
        <f>IF(ISNUMBER(LH51),LH51*(1+PortfolioFrontier[[#This Row],[P80 Return]]),1+PortfolioFrontier[[#This Row],[P80 Return]])</f>
        <v>1.3012858535358742</v>
      </c>
      <c r="LI52" s="27">
        <f>MAX(LI51,PortfolioFrontier[[#This Row],[P80 Growth]])</f>
        <v>1.3235656560489486</v>
      </c>
      <c r="LJ52" s="27">
        <f>PortfolioFrontier[[#This Row],[P80 Growth]]/PortfolioFrontier[[#This Row],[P80 HWM]]-1</f>
        <v>-1.6833167596372323E-2</v>
      </c>
      <c r="LK52" s="28">
        <f>SUMPRODUCT(INDEX(PortfolioRef[[SPY]:[PE]],MATCH(LK$1,PortfolioRef[Reference '#]),0),AssetMonthlyReturns[[#This Row],[SPY]:[PE]])</f>
        <v>2.107198558248153E-2</v>
      </c>
      <c r="LL52" s="27">
        <f>IF(ISNUMBER(LL51),LL51*(1+PortfolioFrontier[[#This Row],[P81 Return]]),1+PortfolioFrontier[[#This Row],[P81 Return]])</f>
        <v>1.2929514939795375</v>
      </c>
      <c r="LM52" s="27">
        <f>MAX(LM51,PortfolioFrontier[[#This Row],[P81 Growth]])</f>
        <v>1.3051375112196997</v>
      </c>
      <c r="LN52" s="27">
        <f>PortfolioFrontier[[#This Row],[P81 Growth]]/PortfolioFrontier[[#This Row],[P81 HWM]]-1</f>
        <v>-9.3369603857097472E-3</v>
      </c>
      <c r="LO52" s="28">
        <f>SUMPRODUCT(INDEX(PortfolioRef[[SPY]:[PE]],MATCH(LO$1,PortfolioRef[Reference '#]),0),AssetMonthlyReturns[[#This Row],[SPY]:[PE]])</f>
        <v>2.3133236611077645E-2</v>
      </c>
      <c r="LP52" s="27">
        <f>IF(ISNUMBER(LP51),LP51*(1+PortfolioFrontier[[#This Row],[P82 Return]]),1+PortfolioFrontier[[#This Row],[P82 Return]])</f>
        <v>1.2981730130024278</v>
      </c>
      <c r="LQ52" s="27">
        <f>MAX(LQ51,PortfolioFrontier[[#This Row],[P82 Growth]])</f>
        <v>1.3485908267233171</v>
      </c>
      <c r="LR52" s="27">
        <f>PortfolioFrontier[[#This Row],[P82 Growth]]/PortfolioFrontier[[#This Row],[P82 HWM]]-1</f>
        <v>-3.7385552920740195E-2</v>
      </c>
      <c r="LS52" s="28">
        <f>SUMPRODUCT(INDEX(PortfolioRef[[SPY]:[PE]],MATCH(LS$1,PortfolioRef[Reference '#]),0),AssetMonthlyReturns[[#This Row],[SPY]:[PE]])</f>
        <v>2.1889152024822292E-2</v>
      </c>
      <c r="LT52" s="27">
        <f>IF(ISNUMBER(LT51),LT51*(1+PortfolioFrontier[[#This Row],[P83 Return]]),1+PortfolioFrontier[[#This Row],[P83 Return]])</f>
        <v>1.2905957366683847</v>
      </c>
      <c r="LU52" s="27">
        <f>MAX(LU51,PortfolioFrontier[[#This Row],[P83 Growth]])</f>
        <v>1.330182929188416</v>
      </c>
      <c r="LV52" s="27">
        <f>PortfolioFrontier[[#This Row],[P83 Growth]]/PortfolioFrontier[[#This Row],[P83 HWM]]-1</f>
        <v>-2.9760713095442148E-2</v>
      </c>
      <c r="LW52" s="28">
        <f>SUMPRODUCT(INDEX(PortfolioRef[[SPY]:[PE]],MATCH(LW$1,PortfolioRef[Reference '#]),0),AssetMonthlyReturns[[#This Row],[SPY]:[PE]])</f>
        <v>2.0645067438566943E-2</v>
      </c>
      <c r="LX52" s="27">
        <f>IF(ISNUMBER(LX51),LX51*(1+PortfolioFrontier[[#This Row],[P84 Return]]),1+PortfolioFrontier[[#This Row],[P84 Return]])</f>
        <v>1.2826389997649701</v>
      </c>
      <c r="LY52" s="27">
        <f>MAX(LY51,PortfolioFrontier[[#This Row],[P84 Growth]])</f>
        <v>1.3118039554968419</v>
      </c>
      <c r="LZ52" s="27">
        <f>PortfolioFrontier[[#This Row],[P84 Growth]]/PortfolioFrontier[[#This Row],[P84 HWM]]-1</f>
        <v>-2.2232709094725744E-2</v>
      </c>
      <c r="MA52" s="28">
        <f>SUMPRODUCT(INDEX(PortfolioRef[[SPY]:[PE]],MATCH(MA$1,PortfolioRef[Reference '#]),0),AssetMonthlyReturns[[#This Row],[SPY]:[PE]])</f>
        <v>2.2706318467163054E-2</v>
      </c>
      <c r="MB52" s="27">
        <f>IF(ISNUMBER(MB51),MB51*(1+PortfolioFrontier[[#This Row],[P85 Return]]),1+PortfolioFrontier[[#This Row],[P85 Return]])</f>
        <v>1.2867263041629124</v>
      </c>
      <c r="MC52" s="27">
        <f>MAX(MC51,PortfolioFrontier[[#This Row],[P85 Growth]])</f>
        <v>1.3548714243118356</v>
      </c>
      <c r="MD52" s="27">
        <f>PortfolioFrontier[[#This Row],[P85 Growth]]/PortfolioFrontier[[#This Row],[P85 HWM]]-1</f>
        <v>-5.0296374199149785E-2</v>
      </c>
      <c r="ME52" s="28">
        <f>SUMPRODUCT(INDEX(PortfolioRef[[SPY]:[PE]],MATCH(ME$1,PortfolioRef[Reference '#]),0),AssetMonthlyReturns[[#This Row],[SPY]:[PE]])</f>
        <v>2.1462233880907702E-2</v>
      </c>
      <c r="MF52" s="27">
        <f>IF(ISNUMBER(MF51),MF51*(1+PortfolioFrontier[[#This Row],[P86 Return]]),1+PortfolioFrontier[[#This Row],[P86 Return]])</f>
        <v>1.2795313162385673</v>
      </c>
      <c r="MG52" s="27">
        <f>MAX(MG51,PortfolioFrontier[[#This Row],[P86 Growth]])</f>
        <v>1.3365217491088508</v>
      </c>
      <c r="MH52" s="27">
        <f>PortfolioFrontier[[#This Row],[P86 Growth]]/PortfolioFrontier[[#This Row],[P86 HWM]]-1</f>
        <v>-4.2640857066697846E-2</v>
      </c>
      <c r="MI52" s="28">
        <f>SUMPRODUCT(INDEX(PortfolioRef[[SPY]:[PE]],MATCH(MI$1,PortfolioRef[Reference '#]),0),AssetMonthlyReturns[[#This Row],[SPY]:[PE]])</f>
        <v>2.0218149294652352E-2</v>
      </c>
      <c r="MJ52" s="27">
        <f>IF(ISNUMBER(MJ51),MJ51*(1+PortfolioFrontier[[#This Row],[P87 Return]]),1+PortfolioFrontier[[#This Row],[P87 Return]])</f>
        <v>1.2719527947077445</v>
      </c>
      <c r="MK52" s="27">
        <f>MAX(MK51,PortfolioFrontier[[#This Row],[P87 Growth]])</f>
        <v>1.3181972385056435</v>
      </c>
      <c r="ML52" s="27">
        <f>PortfolioFrontier[[#This Row],[P87 Growth]]/PortfolioFrontier[[#This Row],[P87 HWM]]-1</f>
        <v>-3.5081581456143374E-2</v>
      </c>
      <c r="MM52" s="28">
        <f>SUMPRODUCT(INDEX(PortfolioRef[[SPY]:[PE]],MATCH(MM$1,PortfolioRef[Reference '#]),0),AssetMonthlyReturns[[#This Row],[SPY]:[PE]])</f>
        <v>2.4083810190782928E-2</v>
      </c>
      <c r="MN52" s="27">
        <f>IF(ISNUMBER(MN51),MN51*(1+PortfolioFrontier[[#This Row],[P88 Return]]),1+PortfolioFrontier[[#This Row],[P88 Return]])</f>
        <v>1.3062349493432139</v>
      </c>
      <c r="MO52" s="27">
        <f>MAX(MO51,PortfolioFrontier[[#This Row],[P88 Growth]])</f>
        <v>1.3534224110032944</v>
      </c>
      <c r="MP52" s="27">
        <f>PortfolioFrontier[[#This Row],[P88 Growth]]/PortfolioFrontier[[#This Row],[P88 HWM]]-1</f>
        <v>-3.4865287641498655E-2</v>
      </c>
      <c r="MQ52" s="28">
        <f>SUMPRODUCT(INDEX(PortfolioRef[[SPY]:[PE]],MATCH(MQ$1,PortfolioRef[Reference '#]),0),AssetMonthlyReturns[[#This Row],[SPY]:[PE]])</f>
        <v>2.2839725604527576E-2</v>
      </c>
      <c r="MR52" s="27">
        <f>IF(ISNUMBER(MR51),MR51*(1+PortfolioFrontier[[#This Row],[P89 Return]]),1+PortfolioFrontier[[#This Row],[P89 Return]])</f>
        <v>1.2986506114508498</v>
      </c>
      <c r="MS52" s="27">
        <f>MAX(MS51,PortfolioFrontier[[#This Row],[P89 Growth]])</f>
        <v>1.3349717707433648</v>
      </c>
      <c r="MT52" s="27">
        <f>PortfolioFrontier[[#This Row],[P89 Growth]]/PortfolioFrontier[[#This Row],[P89 HWM]]-1</f>
        <v>-2.7207436208400049E-2</v>
      </c>
      <c r="MU52" s="28">
        <f>SUMPRODUCT(INDEX(PortfolioRef[[SPY]:[PE]],MATCH(MU$1,PortfolioRef[Reference '#]),0),AssetMonthlyReturns[[#This Row],[SPY]:[PE]])</f>
        <v>2.1595641018272226E-2</v>
      </c>
      <c r="MV52" s="27">
        <f>IF(ISNUMBER(MV51),MV51*(1+PortfolioFrontier[[#This Row],[P90 Return]]),1+PortfolioFrontier[[#This Row],[P90 Return]])</f>
        <v>1.2906842332056132</v>
      </c>
      <c r="MW52" s="27">
        <f>MAX(MW51,PortfolioFrontier[[#This Row],[P90 Growth]])</f>
        <v>1.3165495968207468</v>
      </c>
      <c r="MX52" s="27">
        <f>PortfolioFrontier[[#This Row],[P90 Growth]]/PortfolioFrontier[[#This Row],[P90 HWM]]-1</f>
        <v>-1.964632679056999E-2</v>
      </c>
      <c r="MY52" s="28">
        <f>SUMPRODUCT(INDEX(PortfolioRef[[SPY]:[PE]],MATCH(MY$1,PortfolioRef[Reference '#]),0),AssetMonthlyReturns[[#This Row],[SPY]:[PE]])</f>
        <v>2.3656892046868338E-2</v>
      </c>
      <c r="MZ52" s="27">
        <f>IF(ISNUMBER(MZ51),MZ51*(1+PortfolioFrontier[[#This Row],[P91 Return]]),1+PortfolioFrontier[[#This Row],[P91 Return]])</f>
        <v>1.2948414962238362</v>
      </c>
      <c r="NA52" s="27">
        <f>MAX(NA51,PortfolioFrontier[[#This Row],[P91 Growth]])</f>
        <v>1.3598620200409506</v>
      </c>
      <c r="NB52" s="27">
        <f>PortfolioFrontier[[#This Row],[P91 Growth]]/PortfolioFrontier[[#This Row],[P91 HWM]]-1</f>
        <v>-4.7814059705231227E-2</v>
      </c>
      <c r="NC52" s="28">
        <f>SUMPRODUCT(INDEX(PortfolioRef[[SPY]:[PE]],MATCH(NC$1,PortfolioRef[Reference '#]),0),AssetMonthlyReturns[[#This Row],[SPY]:[PE]])</f>
        <v>2.2412807460612985E-2</v>
      </c>
      <c r="ND52" s="27">
        <f>IF(ISNUMBER(ND51),ND51*(1+PortfolioFrontier[[#This Row],[P92 Return]]),1+PortfolioFrontier[[#This Row],[P92 Return]])</f>
        <v>1.2876407227419966</v>
      </c>
      <c r="NE52" s="27">
        <f>MAX(NE51,PortfolioFrontier[[#This Row],[P92 Growth]])</f>
        <v>1.3414680804610166</v>
      </c>
      <c r="NF52" s="27">
        <f>PortfolioFrontier[[#This Row],[P92 Growth]]/PortfolioFrontier[[#This Row],[P92 HWM]]-1</f>
        <v>-4.0125708917741365E-2</v>
      </c>
      <c r="NG52" s="28">
        <f>SUMPRODUCT(INDEX(PortfolioRef[[SPY]:[PE]],MATCH(NG$1,PortfolioRef[Reference '#]),0),AssetMonthlyReturns[[#This Row],[SPY]:[PE]])</f>
        <v>2.1168722874357636E-2</v>
      </c>
      <c r="NH52" s="27">
        <f>IF(ISNUMBER(NH51),NH51*(1+PortfolioFrontier[[#This Row],[P93 Return]]),1+PortfolioFrontier[[#This Row],[P93 Return]])</f>
        <v>1.2800537980362567</v>
      </c>
      <c r="NI52" s="27">
        <f>MAX(NI51,PortfolioFrontier[[#This Row],[P93 Growth]])</f>
        <v>1.3230988405777211</v>
      </c>
      <c r="NJ52" s="27">
        <f>PortfolioFrontier[[#This Row],[P93 Growth]]/PortfolioFrontier[[#This Row],[P93 HWM]]-1</f>
        <v>-3.2533504845842831E-2</v>
      </c>
      <c r="NK52" s="28">
        <f>SUMPRODUCT(INDEX(PortfolioRef[[SPY]:[PE]],MATCH(NK$1,PortfolioRef[Reference '#]),0),AssetMonthlyReturns[[#This Row],[SPY]:[PE]])</f>
        <v>2.3229973902953747E-2</v>
      </c>
      <c r="NL52" s="27">
        <f>IF(ISNUMBER(NL51),NL51*(1+PortfolioFrontier[[#This Row],[P94 Return]]),1+PortfolioFrontier[[#This Row],[P94 Return]])</f>
        <v>1.2830766674898451</v>
      </c>
      <c r="NM52" s="27">
        <f>MAX(NM51,PortfolioFrontier[[#This Row],[P94 Growth]])</f>
        <v>1.3660134110915163</v>
      </c>
      <c r="NN52" s="27">
        <f>PortfolioFrontier[[#This Row],[P94 Growth]]/PortfolioFrontier[[#This Row],[P94 HWM]]-1</f>
        <v>-6.0714443158651266E-2</v>
      </c>
      <c r="NO52" s="28">
        <f>SUMPRODUCT(INDEX(PortfolioRef[[SPY]:[PE]],MATCH(NO$1,PortfolioRef[Reference '#]),0),AssetMonthlyReturns[[#This Row],[SPY]:[PE]])</f>
        <v>2.1985889316698395E-2</v>
      </c>
      <c r="NP52" s="27">
        <f>IF(ISNUMBER(NP51),NP51*(1+PortfolioFrontier[[#This Row],[P95 Return]]),1+PortfolioFrontier[[#This Row],[P95 Return]])</f>
        <v>1.2762596219866398</v>
      </c>
      <c r="NQ52" s="27">
        <f>MAX(NQ51,PortfolioFrontier[[#This Row],[P95 Growth]])</f>
        <v>1.3476815118095689</v>
      </c>
      <c r="NR52" s="27">
        <f>PortfolioFrontier[[#This Row],[P95 Growth]]/PortfolioFrontier[[#This Row],[P95 HWM]]-1</f>
        <v>-5.2996119036335942E-2</v>
      </c>
      <c r="NS52" s="28">
        <f>SUMPRODUCT(INDEX(PortfolioRef[[SPY]:[PE]],MATCH(NS$1,PortfolioRef[Reference '#]),0),AssetMonthlyReturns[[#This Row],[SPY]:[PE]])</f>
        <v>2.0741804730443045E-2</v>
      </c>
      <c r="NT52" s="27">
        <f>IF(ISNUMBER(NT51),NT51*(1+PortfolioFrontier[[#This Row],[P96 Return]]),1+PortfolioFrontier[[#This Row],[P96 Return]])</f>
        <v>1.2690525286463041</v>
      </c>
      <c r="NU52" s="27">
        <f>MAX(NU51,PortfolioFrontier[[#This Row],[P96 Growth]])</f>
        <v>1.3293705166761522</v>
      </c>
      <c r="NV52" s="27">
        <f>PortfolioFrontier[[#This Row],[P96 Growth]]/PortfolioFrontier[[#This Row],[P96 HWM]]-1</f>
        <v>-4.5373345710014834E-2</v>
      </c>
      <c r="NW52" s="28">
        <f>SUMPRODUCT(INDEX(PortfolioRef[[SPY]:[PE]],MATCH(NW$1,PortfolioRef[Reference '#]),0),AssetMonthlyReturns[[#This Row],[SPY]:[PE]])</f>
        <v>1.8572704519955064E-2</v>
      </c>
      <c r="NX52" s="27">
        <f>IF(ISNUMBER(NX51),NX51*(1+PortfolioFrontier[[#This Row],[P97 Return]]),1+PortfolioFrontier[[#This Row],[P97 Return]])</f>
        <v>1.2774136798862623</v>
      </c>
      <c r="NY52" s="27">
        <f>MAX(NY51,PortfolioFrontier[[#This Row],[P97 Growth]])</f>
        <v>1.2839089982785201</v>
      </c>
      <c r="NZ52" s="27">
        <f>PortfolioFrontier[[#This Row],[P97 Growth]]/PortfolioFrontier[[#This Row],[P97 HWM]]-1</f>
        <v>-5.0590177348759369E-3</v>
      </c>
      <c r="OA52" s="28">
        <f>SUMPRODUCT(INDEX(PortfolioRef[[SPY]:[PE]],MATCH(OA$1,PortfolioRef[Reference '#]),0),AssetMonthlyReturns[[#This Row],[SPY]:[PE]])</f>
        <v>1.9523278099660347E-2</v>
      </c>
      <c r="OB52" s="27">
        <f>IF(ISNUMBER(OB51),OB51*(1+PortfolioFrontier[[#This Row],[P98 Return]]),1+PortfolioFrontier[[#This Row],[P98 Return]])</f>
        <v>1.2855279876924988</v>
      </c>
      <c r="OC52" s="27">
        <f>MAX(OC51,PortfolioFrontier[[#This Row],[P98 Growth]])</f>
        <v>1.2886029544386322</v>
      </c>
      <c r="OD52" s="27">
        <f>PortfolioFrontier[[#This Row],[P98 Growth]]/PortfolioFrontier[[#This Row],[P98 HWM]]-1</f>
        <v>-2.3862794474757143E-3</v>
      </c>
      <c r="OE52" s="28">
        <f>SUMPRODUCT(INDEX(PortfolioRef[[SPY]:[PE]],MATCH(OE$1,PortfolioRef[Reference '#]),0),AssetMonthlyReturns[[#This Row],[SPY]:[PE]])</f>
        <v>1.9096359955745761E-2</v>
      </c>
      <c r="OF52" s="27">
        <f>IF(ISNUMBER(OF51),OF51*(1+PortfolioFrontier[[#This Row],[P99 Return]]),1+PortfolioFrontier[[#This Row],[P99 Return]])</f>
        <v>1.2754434121629092</v>
      </c>
      <c r="OG52" s="27">
        <f>MAX(OG51,PortfolioFrontier[[#This Row],[P99 Growth]])</f>
        <v>1.2952406179801268</v>
      </c>
      <c r="OH52" s="27">
        <f>PortfolioFrontier[[#This Row],[P99 Growth]]/PortfolioFrontier[[#This Row],[P99 HWM]]-1</f>
        <v>-1.5284577662558529E-2</v>
      </c>
      <c r="OI52" s="28">
        <f>SUMPRODUCT(INDEX(PortfolioRef[[SPY]:[PE]],MATCH(OI$1,PortfolioRef[Reference '#]),0),AssetMonthlyReturns[[#This Row],[SPY]:[PE]])</f>
        <v>1.7852275369490404E-2</v>
      </c>
      <c r="OJ52" s="27">
        <f>IF(ISNUMBER(OJ51),OJ51*(1+PortfolioFrontier[[#This Row],[P100 Return]]),1+PortfolioFrontier[[#This Row],[P100 Return]])</f>
        <v>1.2670576903175619</v>
      </c>
      <c r="OK52" s="27">
        <f>MAX(OK51,PortfolioFrontier[[#This Row],[P100 Growth]])</f>
        <v>1.2771542835713614</v>
      </c>
      <c r="OL52" s="27">
        <f>PortfolioFrontier[[#This Row],[P100 Growth]]/PortfolioFrontier[[#This Row],[P100 HWM]]-1</f>
        <v>-7.9055392004527825E-3</v>
      </c>
      <c r="OM52" s="28">
        <f>SUMPRODUCT(INDEX(PortfolioRef[[SPY]:[PE]],MATCH(OM$1,PortfolioRef[Reference '#]),0),AssetMonthlyReturns[[#This Row],[SPY]:[PE]])</f>
        <v>2.0473851679365627E-2</v>
      </c>
      <c r="ON52" s="27">
        <f>IF(ISNUMBER(ON51),ON51*(1+PortfolioFrontier[[#This Row],[P101 Return]]),1+PortfolioFrontier[[#This Row],[P101 Return]])</f>
        <v>1.2935556157755594</v>
      </c>
      <c r="OO52" s="27">
        <f>MAX(OO51,PortfolioFrontier[[#This Row],[P101 Growth]])</f>
        <v>1.2935556157755594</v>
      </c>
      <c r="OP52" s="27">
        <f>PortfolioFrontier[[#This Row],[P101 Growth]]/PortfolioFrontier[[#This Row],[P101 HWM]]-1</f>
        <v>0</v>
      </c>
      <c r="OQ52" s="28">
        <f>SUMPRODUCT(INDEX(PortfolioRef[[SPY]:[PE]],MATCH(OQ$1,PortfolioRef[Reference '#]),0),AssetMonthlyReturns[[#This Row],[SPY]:[PE]])</f>
        <v>2.0046933535451041E-2</v>
      </c>
      <c r="OR52" s="27">
        <f>IF(ISNUMBER(OR51),OR51*(1+PortfolioFrontier[[#This Row],[P102 Return]]),1+PortfolioFrontier[[#This Row],[P102 Return]])</f>
        <v>1.2835309938858024</v>
      </c>
      <c r="OS52" s="27">
        <f>MAX(OS51,PortfolioFrontier[[#This Row],[P102 Growth]])</f>
        <v>1.2999788590693837</v>
      </c>
      <c r="OT52" s="27">
        <f>PortfolioFrontier[[#This Row],[P102 Growth]]/PortfolioFrontier[[#This Row],[P102 HWM]]-1</f>
        <v>-1.2652409744075221E-2</v>
      </c>
      <c r="OU52" s="28">
        <f>SUMPRODUCT(INDEX(PortfolioRef[[SPY]:[PE]],MATCH(OU$1,PortfolioRef[Reference '#]),0),AssetMonthlyReturns[[#This Row],[SPY]:[PE]])</f>
        <v>1.8802848949195684E-2</v>
      </c>
      <c r="OV52" s="27">
        <f>IF(ISNUMBER(OV51),OV51*(1+PortfolioFrontier[[#This Row],[P103 Return]]),1+PortfolioFrontier[[#This Row],[P103 Return]])</f>
        <v>1.2751323531103012</v>
      </c>
      <c r="OW52" s="27">
        <f>MAX(OW51,PortfolioFrontier[[#This Row],[P103 Growth]])</f>
        <v>1.2818490900225987</v>
      </c>
      <c r="OX52" s="27">
        <f>PortfolioFrontier[[#This Row],[P103 Growth]]/PortfolioFrontier[[#This Row],[P103 HWM]]-1</f>
        <v>-5.2398811721113825E-3</v>
      </c>
      <c r="OY52" s="28">
        <f>SUMPRODUCT(INDEX(PortfolioRef[[SPY]:[PE]],MATCH(OY$1,PortfolioRef[Reference '#]),0),AssetMonthlyReturns[[#This Row],[SPY]:[PE]])</f>
        <v>1.962001539153645E-2</v>
      </c>
      <c r="OZ52" s="27">
        <f>IF(ISNUMBER(OZ51),OZ51*(1+PortfolioFrontier[[#This Row],[P104 Return]]),1+PortfolioFrontier[[#This Row],[P104 Return]])</f>
        <v>1.2731300412619218</v>
      </c>
      <c r="PA52" s="27">
        <f>MAX(PA51,PortfolioFrontier[[#This Row],[P104 Growth]])</f>
        <v>1.3065024022164191</v>
      </c>
      <c r="PB52" s="27">
        <f>PortfolioFrontier[[#This Row],[P104 Growth]]/PortfolioFrontier[[#This Row],[P104 HWM]]-1</f>
        <v>-2.5543283271337813E-2</v>
      </c>
      <c r="PC52" s="28">
        <f>SUMPRODUCT(INDEX(PortfolioRef[[SPY]:[PE]],MATCH(PC$1,PortfolioRef[Reference '#]),0),AssetMonthlyReturns[[#This Row],[SPY]:[PE]])</f>
        <v>1.8375930805281097E-2</v>
      </c>
      <c r="PD52" s="27">
        <f>IF(ISNUMBER(PD51),PD51*(1+PortfolioFrontier[[#This Row],[P105 Return]]),1+PortfolioFrontier[[#This Row],[P105 Return]])</f>
        <v>1.2651023972287989</v>
      </c>
      <c r="PE52" s="27">
        <f>MAX(PE51,PortfolioFrontier[[#This Row],[P105 Growth]])</f>
        <v>1.2884201892437714</v>
      </c>
      <c r="PF52" s="27">
        <f>PortfolioFrontier[[#This Row],[P105 Growth]]/PortfolioFrontier[[#This Row],[P105 HWM]]-1</f>
        <v>-1.8097971616432673E-2</v>
      </c>
      <c r="PG52" s="28">
        <f>SUMPRODUCT(INDEX(PortfolioRef[[SPY]:[PE]],MATCH(PG$1,PortfolioRef[Reference '#]),0),AssetMonthlyReturns[[#This Row],[SPY]:[PE]])</f>
        <v>1.7131846219025745E-2</v>
      </c>
      <c r="PH52" s="27">
        <f>IF(ISNUMBER(PH51),PH51*(1+PortfolioFrontier[[#This Row],[P106 Return]]),1+PortfolioFrontier[[#This Row],[P106 Return]])</f>
        <v>1.2567149611810795</v>
      </c>
      <c r="PI52" s="27">
        <f>MAX(PI51,PortfolioFrontier[[#This Row],[P106 Growth]])</f>
        <v>1.2703725716315561</v>
      </c>
      <c r="PJ52" s="27">
        <f>PortfolioFrontier[[#This Row],[P106 Growth]]/PortfolioFrontier[[#This Row],[P106 HWM]]-1</f>
        <v>-1.0750870063996998E-2</v>
      </c>
      <c r="PK52" s="28">
        <f>SUMPRODUCT(INDEX(PortfolioRef[[SPY]:[PE]],MATCH(PK$1,PortfolioRef[Reference '#]),0),AssetMonthlyReturns[[#This Row],[SPY]:[PE]])</f>
        <v>2.0997507115156324E-2</v>
      </c>
      <c r="PL52" s="27">
        <f>IF(ISNUMBER(PL51),PL51*(1+PortfolioFrontier[[#This Row],[P107 Return]]),1+PortfolioFrontier[[#This Row],[P107 Return]])</f>
        <v>1.2915320012401825</v>
      </c>
      <c r="PM52" s="27">
        <f>MAX(PM51,PortfolioFrontier[[#This Row],[P107 Growth]])</f>
        <v>1.3046066080909935</v>
      </c>
      <c r="PN52" s="27">
        <f>PortfolioFrontier[[#This Row],[P107 Growth]]/PortfolioFrontier[[#This Row],[P107 HWM]]-1</f>
        <v>-1.0021876916553984E-2</v>
      </c>
      <c r="PO52" s="28">
        <f>SUMPRODUCT(INDEX(PortfolioRef[[SPY]:[PE]],MATCH(PO$1,PortfolioRef[Reference '#]),0),AssetMonthlyReturns[[#This Row],[SPY]:[PE]])</f>
        <v>1.9753422528900968E-2</v>
      </c>
      <c r="PP52" s="27">
        <f>IF(ISNUMBER(PP51),PP51*(1+PortfolioFrontier[[#This Row],[P108 Return]]),1+PortfolioFrontier[[#This Row],[P108 Return]])</f>
        <v>1.2831213037662588</v>
      </c>
      <c r="PQ52" s="27">
        <f>MAX(PQ51,PortfolioFrontier[[#This Row],[P108 Growth]])</f>
        <v>1.2864349776276793</v>
      </c>
      <c r="PR52" s="27">
        <f>PortfolioFrontier[[#This Row],[P108 Growth]]/PortfolioFrontier[[#This Row],[P108 HWM]]-1</f>
        <v>-2.5758580255111907E-3</v>
      </c>
      <c r="PS52" s="28">
        <f>SUMPRODUCT(INDEX(PortfolioRef[[SPY]:[PE]],MATCH(PS$1,PortfolioRef[Reference '#]),0),AssetMonthlyReturns[[#This Row],[SPY]:[PE]])</f>
        <v>2.0570588971241734E-2</v>
      </c>
      <c r="PT52" s="27">
        <f>IF(ISNUMBER(PT51),PT51*(1+PortfolioFrontier[[#This Row],[P109 Return]]),1+PortfolioFrontier[[#This Row],[P109 Return]])</f>
        <v>1.2811890286648193</v>
      </c>
      <c r="PU52" s="27">
        <f>MAX(PU51,PortfolioFrontier[[#This Row],[P109 Growth]])</f>
        <v>1.3112848935250687</v>
      </c>
      <c r="PV52" s="27">
        <f>PortfolioFrontier[[#This Row],[P109 Growth]]/PortfolioFrontier[[#This Row],[P109 HWM]]-1</f>
        <v>-2.2951431080201035E-2</v>
      </c>
      <c r="PW52" s="28">
        <f>SUMPRODUCT(INDEX(PortfolioRef[[SPY]:[PE]],MATCH(PW$1,PortfolioRef[Reference '#]),0),AssetMonthlyReturns[[#This Row],[SPY]:[PE]])</f>
        <v>1.9326504384986381E-2</v>
      </c>
      <c r="PX52" s="27">
        <f>IF(ISNUMBER(PX51),PX51*(1+PortfolioFrontier[[#This Row],[P110 Return]]),1+PortfolioFrontier[[#This Row],[P110 Return]])</f>
        <v>1.2731504954329516</v>
      </c>
      <c r="PY52" s="27">
        <f>MAX(PY51,PortfolioFrontier[[#This Row],[P110 Growth]])</f>
        <v>1.2931592955766995</v>
      </c>
      <c r="PZ52" s="27">
        <f>PortfolioFrontier[[#This Row],[P110 Growth]]/PortfolioFrontier[[#This Row],[P110 HWM]]-1</f>
        <v>-1.5472803862748297E-2</v>
      </c>
      <c r="QA52" s="28">
        <f>SUMPRODUCT(INDEX(PortfolioRef[[SPY]:[PE]],MATCH(QA$1,PortfolioRef[Reference '#]),0),AssetMonthlyReturns[[#This Row],[SPY]:[PE]])</f>
        <v>1.8082419798731028E-2</v>
      </c>
      <c r="QB52" s="27">
        <f>IF(ISNUMBER(QB51),QB51*(1+PortfolioFrontier[[#This Row],[P111 Return]]),1+PortfolioFrontier[[#This Row],[P111 Return]])</f>
        <v>1.2647496336993844</v>
      </c>
      <c r="QC52" s="27">
        <f>MAX(QC51,PortfolioFrontier[[#This Row],[P111 Growth]])</f>
        <v>1.2750678615362652</v>
      </c>
      <c r="QD52" s="27">
        <f>PortfolioFrontier[[#This Row],[P111 Growth]]/PortfolioFrontier[[#This Row],[P111 HWM]]-1</f>
        <v>-8.0922970048423748E-3</v>
      </c>
      <c r="QE52" s="28">
        <f>SUMPRODUCT(INDEX(PortfolioRef[[SPY]:[PE]],MATCH(QE$1,PortfolioRef[Reference '#]),0),AssetMonthlyReturns[[#This Row],[SPY]:[PE]])</f>
        <v>2.0143670827327143E-2</v>
      </c>
      <c r="QF52" s="27">
        <f>IF(ISNUMBER(QF51),QF51*(1+PortfolioFrontier[[#This Row],[P112 Return]]),1+PortfolioFrontier[[#This Row],[P112 Return]])</f>
        <v>1.27047241805966</v>
      </c>
      <c r="QG52" s="27">
        <f>MAX(QG51,PortfolioFrontier[[#This Row],[P112 Growth]])</f>
        <v>1.3176907510393581</v>
      </c>
      <c r="QH52" s="27">
        <f>PortfolioFrontier[[#This Row],[P112 Growth]]/PortfolioFrontier[[#This Row],[P112 HWM]]-1</f>
        <v>-3.5834153759107368E-2</v>
      </c>
      <c r="QI52" s="28">
        <f>SUMPRODUCT(INDEX(PortfolioRef[[SPY]:[PE]],MATCH(QI$1,PortfolioRef[Reference '#]),0),AssetMonthlyReturns[[#This Row],[SPY]:[PE]])</f>
        <v>1.889958624107179E-2</v>
      </c>
      <c r="QJ52" s="27">
        <f>IF(ISNUMBER(QJ51),QJ51*(1+PortfolioFrontier[[#This Row],[P113 Return]]),1+PortfolioFrontier[[#This Row],[P113 Return]])</f>
        <v>1.2628067813697246</v>
      </c>
      <c r="QK52" s="27">
        <f>MAX(QK51,PortfolioFrontier[[#This Row],[P113 Growth]])</f>
        <v>1.2996163919358374</v>
      </c>
      <c r="QL52" s="27">
        <f>PortfolioFrontier[[#This Row],[P113 Growth]]/PortfolioFrontier[[#This Row],[P113 HWM]]-1</f>
        <v>-2.8323442820910594E-2</v>
      </c>
      <c r="QM52" s="28">
        <f>SUMPRODUCT(INDEX(PortfolioRef[[SPY]:[PE]],MATCH(QM$1,PortfolioRef[Reference '#]),0),AssetMonthlyReturns[[#This Row],[SPY]:[PE]])</f>
        <v>1.7655501654816441E-2</v>
      </c>
      <c r="QN52" s="27">
        <f>IF(ISNUMBER(QN51),QN51*(1+PortfolioFrontier[[#This Row],[P114 Return]]),1+PortfolioFrontier[[#This Row],[P114 Return]])</f>
        <v>1.2547745391616207</v>
      </c>
      <c r="QO52" s="27">
        <f>MAX(QO51,PortfolioFrontier[[#This Row],[P114 Growth]])</f>
        <v>1.2815725573685524</v>
      </c>
      <c r="QP52" s="27">
        <f>PortfolioFrontier[[#This Row],[P114 Growth]]/PortfolioFrontier[[#This Row],[P114 HWM]]-1</f>
        <v>-2.0910262203145069E-2</v>
      </c>
      <c r="QQ52" s="28">
        <f>SUMPRODUCT(INDEX(PortfolioRef[[SPY]:[PE]],MATCH(QQ$1,PortfolioRef[Reference '#]),0),AssetMonthlyReturns[[#This Row],[SPY]:[PE]])</f>
        <v>2.1521162550947017E-2</v>
      </c>
      <c r="QR52" s="27">
        <f>IF(ISNUMBER(QR51),QR51*(1+PortfolioFrontier[[#This Row],[P115 Return]]),1+PortfolioFrontier[[#This Row],[P115 Return]])</f>
        <v>1.2891615714897393</v>
      </c>
      <c r="QS52" s="27">
        <f>MAX(QS51,PortfolioFrontier[[#This Row],[P115 Growth]])</f>
        <v>1.3159560471384115</v>
      </c>
      <c r="QT52" s="27">
        <f>PortfolioFrontier[[#This Row],[P115 Growth]]/PortfolioFrontier[[#This Row],[P115 HWM]]-1</f>
        <v>-2.0361223847056076E-2</v>
      </c>
      <c r="QU52" s="28">
        <f>SUMPRODUCT(INDEX(PortfolioRef[[SPY]:[PE]],MATCH(QU$1,PortfolioRef[Reference '#]),0),AssetMonthlyReturns[[#This Row],[SPY]:[PE]])</f>
        <v>2.0277077964691664E-2</v>
      </c>
      <c r="QV52" s="27">
        <f>IF(ISNUMBER(QV51),QV51*(1+PortfolioFrontier[[#This Row],[P116 Return]]),1+PortfolioFrontier[[#This Row],[P116 Return]])</f>
        <v>1.2811129851523342</v>
      </c>
      <c r="QW52" s="27">
        <f>MAX(QW51,PortfolioFrontier[[#This Row],[P116 Growth]])</f>
        <v>1.2977886366152487</v>
      </c>
      <c r="QX52" s="27">
        <f>PortfolioFrontier[[#This Row],[P116 Growth]]/PortfolioFrontier[[#This Row],[P116 HWM]]-1</f>
        <v>-1.2849281456498329E-2</v>
      </c>
      <c r="QY52" s="28">
        <f>SUMPRODUCT(INDEX(PortfolioRef[[SPY]:[PE]],MATCH(QY$1,PortfolioRef[Reference '#]),0),AssetMonthlyReturns[[#This Row],[SPY]:[PE]])</f>
        <v>1.9032993378436312E-2</v>
      </c>
      <c r="QZ52" s="27">
        <f>IF(ISNUMBER(QZ51),QZ51*(1+PortfolioFrontier[[#This Row],[P117 Return]]),1+PortfolioFrontier[[#This Row],[P117 Return]])</f>
        <v>1.2726995566089703</v>
      </c>
      <c r="RA52" s="27">
        <f>MAX(RA51,PortfolioFrontier[[#This Row],[P117 Growth]])</f>
        <v>1.2796549536237569</v>
      </c>
      <c r="RB52" s="27">
        <f>PortfolioFrontier[[#This Row],[P117 Growth]]/PortfolioFrontier[[#This Row],[P117 HWM]]-1</f>
        <v>-5.4353691165655027E-3</v>
      </c>
      <c r="RC52" s="28">
        <f>SUMPRODUCT(INDEX(PortfolioRef[[SPY]:[PE]],MATCH(RC$1,PortfolioRef[Reference '#]),0),AssetMonthlyReturns[[#This Row],[SPY]:[PE]])</f>
        <v>2.1094244407032427E-2</v>
      </c>
      <c r="RD52" s="27">
        <f>IF(ISNUMBER(RD51),RD51*(1+PortfolioFrontier[[#This Row],[P118 Return]]),1+PortfolioFrontier[[#This Row],[P118 Return]])</f>
        <v>1.2785009458556096</v>
      </c>
      <c r="RE52" s="27">
        <f>MAX(RE51,PortfolioFrontier[[#This Row],[P118 Growth]])</f>
        <v>1.3225174493438376</v>
      </c>
      <c r="RF52" s="27">
        <f>PortfolioFrontier[[#This Row],[P118 Growth]]/PortfolioFrontier[[#This Row],[P118 HWM]]-1</f>
        <v>-3.3282361234679092E-2</v>
      </c>
      <c r="RG52" s="28">
        <f>SUMPRODUCT(INDEX(PortfolioRef[[SPY]:[PE]],MATCH(RG$1,PortfolioRef[Reference '#]),0),AssetMonthlyReturns[[#This Row],[SPY]:[PE]])</f>
        <v>1.9850159820777074E-2</v>
      </c>
      <c r="RH52" s="27">
        <f>IF(ISNUMBER(RH51),RH51*(1+PortfolioFrontier[[#This Row],[P119 Return]]),1+PortfolioFrontier[[#This Row],[P119 Return]])</f>
        <v>1.2708264557278879</v>
      </c>
      <c r="RI52" s="27">
        <f>MAX(RI51,PortfolioFrontier[[#This Row],[P119 Growth]])</f>
        <v>1.3043997631477102</v>
      </c>
      <c r="RJ52" s="27">
        <f>PortfolioFrontier[[#This Row],[P119 Growth]]/PortfolioFrontier[[#This Row],[P119 HWM]]-1</f>
        <v>-2.5738510821870286E-2</v>
      </c>
      <c r="RK52" s="28">
        <f>SUMPRODUCT(INDEX(PortfolioRef[[SPY]:[PE]],MATCH(RK$1,PortfolioRef[Reference '#]),0),AssetMonthlyReturns[[#This Row],[SPY]:[PE]])</f>
        <v>1.8606075234521725E-2</v>
      </c>
      <c r="RL52" s="27">
        <f>IF(ISNUMBER(RL51),RL51*(1+PortfolioFrontier[[#This Row],[P120 Return]]),1+PortfolioFrontier[[#This Row],[P120 Return]])</f>
        <v>1.2627828084794341</v>
      </c>
      <c r="RM52" s="27">
        <f>MAX(RM51,PortfolioFrontier[[#This Row],[P120 Growth]])</f>
        <v>1.2863121583700958</v>
      </c>
      <c r="RN52" s="27">
        <f>PortfolioFrontier[[#This Row],[P120 Growth]]/PortfolioFrontier[[#This Row],[P120 HWM]]-1</f>
        <v>-1.8292099423577013E-2</v>
      </c>
      <c r="RO52" s="28">
        <f>SUMPRODUCT(INDEX(PortfolioRef[[SPY]:[PE]],MATCH(RO$1,PortfolioRef[Reference '#]),0),AssetMonthlyReturns[[#This Row],[SPY]:[PE]])</f>
        <v>2.0667326263117836E-2</v>
      </c>
      <c r="RP52" s="27">
        <f>IF(ISNUMBER(RP51),RP51*(1+PortfolioFrontier[[#This Row],[P121 Return]]),1+PortfolioFrontier[[#This Row],[P121 Return]])</f>
        <v>1.2674695812393624</v>
      </c>
      <c r="RQ52" s="27">
        <f>MAX(RQ51,PortfolioFrontier[[#This Row],[P121 Growth]])</f>
        <v>1.328802042358554</v>
      </c>
      <c r="RR52" s="27">
        <f>PortfolioFrontier[[#This Row],[P121 Growth]]/PortfolioFrontier[[#This Row],[P121 HWM]]-1</f>
        <v>-4.6156206239967634E-2</v>
      </c>
      <c r="RS52" s="28">
        <f>SUMPRODUCT(INDEX(PortfolioRef[[SPY]:[PE]],MATCH(RS$1,PortfolioRef[Reference '#]),0),AssetMonthlyReturns[[#This Row],[SPY]:[PE]])</f>
        <v>1.9423241676862484E-2</v>
      </c>
      <c r="RT52" s="27">
        <f>IF(ISNUMBER(RT51),RT51*(1+PortfolioFrontier[[#This Row],[P122 Return]]),1+PortfolioFrontier[[#This Row],[P122 Return]])</f>
        <v>1.2601697087094885</v>
      </c>
      <c r="RU52" s="27">
        <f>MAX(RU51,PortfolioFrontier[[#This Row],[P122 Growth]])</f>
        <v>1.3107393059993191</v>
      </c>
      <c r="RV52" s="27">
        <f>PortfolioFrontier[[#This Row],[P122 Growth]]/PortfolioFrontier[[#This Row],[P122 HWM]]-1</f>
        <v>-3.8580972630004262E-2</v>
      </c>
      <c r="RW52" s="28">
        <f>SUMPRODUCT(INDEX(PortfolioRef[[SPY]:[PE]],MATCH(RW$1,PortfolioRef[Reference '#]),0),AssetMonthlyReturns[[#This Row],[SPY]:[PE]])</f>
        <v>1.8179157090607134E-2</v>
      </c>
      <c r="RX52" s="27">
        <f>IF(ISNUMBER(RX51),RX51*(1+PortfolioFrontier[[#This Row],[P123 Return]]),1+PortfolioFrontier[[#This Row],[P123 Return]])</f>
        <v>1.252496568569667</v>
      </c>
      <c r="RY52" s="27">
        <f>MAX(RY51,PortfolioFrontier[[#This Row],[P123 Growth]])</f>
        <v>1.2927029744957004</v>
      </c>
      <c r="RZ52" s="27">
        <f>PortfolioFrontier[[#This Row],[P123 Growth]]/PortfolioFrontier[[#This Row],[P123 HWM]]-1</f>
        <v>-3.1102586378528585E-2</v>
      </c>
      <c r="SA52" s="28">
        <f>SUMPRODUCT(INDEX(PortfolioRef[[SPY]:[PE]],MATCH(SA$1,PortfolioRef[Reference '#]),0),AssetMonthlyReturns[[#This Row],[SPY]:[PE]])</f>
        <v>2.204481798673771E-2</v>
      </c>
      <c r="SB52" s="27">
        <f>IF(ISNUMBER(SB51),SB51*(1+PortfolioFrontier[[#This Row],[P124 Return]]),1+PortfolioFrontier[[#This Row],[P124 Return]])</f>
        <v>1.2864431833834538</v>
      </c>
      <c r="SC52" s="27">
        <f>MAX(SC51,PortfolioFrontier[[#This Row],[P124 Growth]])</f>
        <v>1.327231972207175</v>
      </c>
      <c r="SD52" s="27">
        <f>PortfolioFrontier[[#This Row],[P124 Growth]]/PortfolioFrontier[[#This Row],[P124 HWM]]-1</f>
        <v>-3.073222291043054E-2</v>
      </c>
      <c r="SE52" s="28">
        <f>SUMPRODUCT(INDEX(PortfolioRef[[SPY]:[PE]],MATCH(SE$1,PortfolioRef[Reference '#]),0),AssetMonthlyReturns[[#This Row],[SPY]:[PE]])</f>
        <v>2.0800733400482357E-2</v>
      </c>
      <c r="SF52" s="27">
        <f>IF(ISNUMBER(SF51),SF51*(1+PortfolioFrontier[[#This Row],[P125 Return]]),1+PortfolioFrontier[[#This Row],[P125 Return]])</f>
        <v>1.2787606494334856</v>
      </c>
      <c r="SG52" s="27">
        <f>MAX(SG51,PortfolioFrontier[[#This Row],[P125 Growth]])</f>
        <v>1.3090725302079753</v>
      </c>
      <c r="SH52" s="27">
        <f>PortfolioFrontier[[#This Row],[P125 Growth]]/PortfolioFrontier[[#This Row],[P125 HWM]]-1</f>
        <v>-2.3155234011116299E-2</v>
      </c>
      <c r="SI52" s="28">
        <f>SUMPRODUCT(INDEX(PortfolioRef[[SPY]:[PE]],MATCH(SI$1,PortfolioRef[Reference '#]),0),AssetMonthlyReturns[[#This Row],[SPY]:[PE]])</f>
        <v>1.9556648814227008E-2</v>
      </c>
      <c r="SJ52" s="27">
        <f>IF(ISNUMBER(SJ51),SJ51*(1+PortfolioFrontier[[#This Row],[P126 Return]]),1+PortfolioFrontier[[#This Row],[P126 Return]])</f>
        <v>1.2707064301571682</v>
      </c>
      <c r="SK52" s="27">
        <f>MAX(SK51,PortfolioFrontier[[#This Row],[P126 Growth]])</f>
        <v>1.2909427218892937</v>
      </c>
      <c r="SL52" s="27">
        <f>PortfolioFrontier[[#This Row],[P126 Growth]]/PortfolioFrontier[[#This Row],[P126 HWM]]-1</f>
        <v>-1.5675592254402848E-2</v>
      </c>
      <c r="SM52" s="28">
        <f>SUMPRODUCT(INDEX(PortfolioRef[[SPY]:[PE]],MATCH(SM$1,PortfolioRef[Reference '#]),0),AssetMonthlyReturns[[#This Row],[SPY]:[PE]])</f>
        <v>2.161789984282312E-2</v>
      </c>
      <c r="SN52" s="27">
        <f>IF(ISNUMBER(SN51),SN51*(1+PortfolioFrontier[[#This Row],[P127 Return]]),1+PortfolioFrontier[[#This Row],[P127 Return]])</f>
        <v>1.2754657880360896</v>
      </c>
      <c r="SO52" s="27">
        <f>MAX(SO51,PortfolioFrontier[[#This Row],[P127 Growth]])</f>
        <v>1.3336728958457496</v>
      </c>
      <c r="SP52" s="27">
        <f>PortfolioFrontier[[#This Row],[P127 Growth]]/PortfolioFrontier[[#This Row],[P127 HWM]]-1</f>
        <v>-4.364421590254175E-2</v>
      </c>
      <c r="SQ52" s="28">
        <f>SUMPRODUCT(INDEX(PortfolioRef[[SPY]:[PE]],MATCH(SQ$1,PortfolioRef[Reference '#]),0),AssetMonthlyReturns[[#This Row],[SPY]:[PE]])</f>
        <v>2.0373815256567767E-2</v>
      </c>
      <c r="SR52" s="27">
        <f>IF(ISNUMBER(SR51),SR51*(1+PortfolioFrontier[[#This Row],[P128 Return]]),1+PortfolioFrontier[[#This Row],[P128 Return]])</f>
        <v>1.2681591029064516</v>
      </c>
      <c r="SS52" s="27">
        <f>MAX(SS51,PortfolioFrontier[[#This Row],[P128 Growth]])</f>
        <v>1.3155668985617981</v>
      </c>
      <c r="ST52" s="27">
        <f>PortfolioFrontier[[#This Row],[P128 Growth]]/PortfolioFrontier[[#This Row],[P128 HWM]]-1</f>
        <v>-3.603602044652654E-2</v>
      </c>
      <c r="SU52" s="28">
        <f>SUMPRODUCT(INDEX(PortfolioRef[[SPY]:[PE]],MATCH(SU$1,PortfolioRef[Reference '#]),0),AssetMonthlyReturns[[#This Row],[SPY]:[PE]])</f>
        <v>1.9129730670312418E-2</v>
      </c>
      <c r="SV52" s="27">
        <f>IF(ISNUMBER(SV51),SV51*(1+PortfolioFrontier[[#This Row],[P129 Return]]),1+PortfolioFrontier[[#This Row],[P129 Return]])</f>
        <v>1.2604765844806032</v>
      </c>
      <c r="SW52" s="27">
        <f>MAX(SW51,PortfolioFrontier[[#This Row],[P129 Growth]])</f>
        <v>1.2974868512947333</v>
      </c>
      <c r="SX52" s="27">
        <f>PortfolioFrontier[[#This Row],[P129 Growth]]/PortfolioFrontier[[#This Row],[P129 HWM]]-1</f>
        <v>-2.852457948009135E-2</v>
      </c>
      <c r="SY52" s="28">
        <f>SUMPRODUCT(INDEX(PortfolioRef[[SPY]:[PE]],MATCH(SY$1,PortfolioRef[Reference '#]),0),AssetMonthlyReturns[[#This Row],[SPY]:[PE]])</f>
        <v>2.1190981698908529E-2</v>
      </c>
      <c r="SZ52" s="27">
        <f>IF(ISNUMBER(SZ51),SZ51*(1+PortfolioFrontier[[#This Row],[P130 Return]]),1+PortfolioFrontier[[#This Row],[P130 Return]])</f>
        <v>1.2641207599606106</v>
      </c>
      <c r="TA52" s="27">
        <f>MAX(TA51,PortfolioFrontier[[#This Row],[P130 Growth]])</f>
        <v>1.3398326330075903</v>
      </c>
      <c r="TB52" s="27">
        <f>PortfolioFrontier[[#This Row],[P130 Growth]]/PortfolioFrontier[[#This Row],[P130 HWM]]-1</f>
        <v>-5.650845574422636E-2</v>
      </c>
      <c r="TC52" s="28">
        <f>SUMPRODUCT(INDEX(PortfolioRef[[SPY]:[PE]],MATCH(TC$1,PortfolioRef[Reference '#]),0),AssetMonthlyReturns[[#This Row],[SPY]:[PE]])</f>
        <v>1.9946897112653177E-2</v>
      </c>
      <c r="TD52" s="27">
        <f>IF(ISNUMBER(TD51),TD51*(1+PortfolioFrontier[[#This Row],[P131 Return]]),1+PortfolioFrontier[[#This Row],[P131 Return]])</f>
        <v>1.2571902317245034</v>
      </c>
      <c r="TE52" s="27">
        <f>MAX(TE51,PortfolioFrontier[[#This Row],[P131 Growth]])</f>
        <v>1.3217853237274109</v>
      </c>
      <c r="TF52" s="27">
        <f>PortfolioFrontier[[#This Row],[P131 Growth]]/PortfolioFrontier[[#This Row],[P131 HWM]]-1</f>
        <v>-4.8869578776037925E-2</v>
      </c>
      <c r="TG52" s="28">
        <f>SUMPRODUCT(INDEX(PortfolioRef[[SPY]:[PE]],MATCH(TG$1,PortfolioRef[Reference '#]),0),AssetMonthlyReturns[[#This Row],[SPY]:[PE]])</f>
        <v>1.8702812526397827E-2</v>
      </c>
      <c r="TH52" s="27">
        <f>IF(ISNUMBER(TH51),TH51*(1+PortfolioFrontier[[#This Row],[P132 Return]]),1+PortfolioFrontier[[#This Row],[P132 Return]])</f>
        <v>1.2498799303961823</v>
      </c>
      <c r="TI52" s="27">
        <f>MAX(TI51,PortfolioFrontier[[#This Row],[P132 Growth]])</f>
        <v>1.3037602517364684</v>
      </c>
      <c r="TJ52" s="27">
        <f>PortfolioFrontier[[#This Row],[P132 Growth]]/PortfolioFrontier[[#This Row],[P132 HWM]]-1</f>
        <v>-4.1326863024488847E-2</v>
      </c>
      <c r="TK52" s="28">
        <f>SUMPRODUCT(INDEX(PortfolioRef[[SPY]:[PE]],MATCH(TK$1,PortfolioRef[Reference '#]),0),AssetMonthlyReturns[[#This Row],[SPY]:[PE]])</f>
        <v>2.2568473422528403E-2</v>
      </c>
      <c r="TL52" s="27">
        <f>IF(ISNUMBER(TL51),TL51*(1+PortfolioFrontier[[#This Row],[P133 Return]]),1+PortfolioFrontier[[#This Row],[P133 Return]])</f>
        <v>1.2833758834642695</v>
      </c>
      <c r="TM52" s="27">
        <f>MAX(TM51,PortfolioFrontier[[#This Row],[P133 Growth]])</f>
        <v>1.3384307443085539</v>
      </c>
      <c r="TN52" s="27">
        <f>PortfolioFrontier[[#This Row],[P133 Growth]]/PortfolioFrontier[[#This Row],[P133 HWM]]-1</f>
        <v>-4.1133888382641981E-2</v>
      </c>
      <c r="TO52" s="28">
        <f>SUMPRODUCT(INDEX(PortfolioRef[[SPY]:[PE]],MATCH(TO$1,PortfolioRef[Reference '#]),0),AssetMonthlyReturns[[#This Row],[SPY]:[PE]])</f>
        <v>2.132438883627305E-2</v>
      </c>
      <c r="TP52" s="27">
        <f>IF(ISNUMBER(TP51),TP51*(1+PortfolioFrontier[[#This Row],[P134 Return]]),1+PortfolioFrontier[[#This Row],[P134 Return]])</f>
        <v>1.2760631685456496</v>
      </c>
      <c r="TQ52" s="27">
        <f>MAX(TQ51,PortfolioFrontier[[#This Row],[P134 Growth]])</f>
        <v>1.3202830559849814</v>
      </c>
      <c r="TR52" s="27">
        <f>PortfolioFrontier[[#This Row],[P134 Growth]]/PortfolioFrontier[[#This Row],[P134 HWM]]-1</f>
        <v>-3.3492732667346203E-2</v>
      </c>
      <c r="TS52" s="28">
        <f>SUMPRODUCT(INDEX(PortfolioRef[[SPY]:[PE]],MATCH(TS$1,PortfolioRef[Reference '#]),0),AssetMonthlyReturns[[#This Row],[SPY]:[PE]])</f>
        <v>2.0080304250017701E-2</v>
      </c>
      <c r="TT52" s="27">
        <f>IF(ISNUMBER(TT51),TT51*(1+PortfolioFrontier[[#This Row],[P135 Return]]),1+PortfolioFrontier[[#This Row],[P135 Return]])</f>
        <v>1.2683720786459984</v>
      </c>
      <c r="TU52" s="27">
        <f>MAX(TU51,PortfolioFrontier[[#This Row],[P135 Growth]])</f>
        <v>1.3021608585260711</v>
      </c>
      <c r="TV52" s="27">
        <f>PortfolioFrontier[[#This Row],[P135 Growth]]/PortfolioFrontier[[#This Row],[P135 HWM]]-1</f>
        <v>-2.5948238006722524E-2</v>
      </c>
      <c r="TW52" s="28">
        <f>SUMPRODUCT(INDEX(PortfolioRef[[SPY]:[PE]],MATCH(TW$1,PortfolioRef[Reference '#]),0),AssetMonthlyReturns[[#This Row],[SPY]:[PE]])</f>
        <v>2.2141555278613813E-2</v>
      </c>
      <c r="TX52" s="27">
        <f>IF(ISNUMBER(TX51),TX51*(1+PortfolioFrontier[[#This Row],[P136 Return]]),1+PortfolioFrontier[[#This Row],[P136 Return]])</f>
        <v>1.272082789210961</v>
      </c>
      <c r="TY52" s="27">
        <f>MAX(TY51,PortfolioFrontier[[#This Row],[P136 Growth]])</f>
        <v>1.3447475812013772</v>
      </c>
      <c r="TZ52" s="27">
        <f>PortfolioFrontier[[#This Row],[P136 Growth]]/PortfolioFrontier[[#This Row],[P136 HWM]]-1</f>
        <v>-5.4036008695028559E-2</v>
      </c>
      <c r="UA52" s="28">
        <f>SUMPRODUCT(INDEX(PortfolioRef[[SPY]:[PE]],MATCH(UA$1,PortfolioRef[Reference '#]),0),AssetMonthlyReturns[[#This Row],[SPY]:[PE]])</f>
        <v>2.089747069235846E-2</v>
      </c>
      <c r="UB52" s="27">
        <f>IF(ISNUMBER(UB51),UB51*(1+PortfolioFrontier[[#This Row],[P137 Return]]),1+PortfolioFrontier[[#This Row],[P137 Return]])</f>
        <v>1.2651474933284586</v>
      </c>
      <c r="UC52" s="27">
        <f>MAX(UC51,PortfolioFrontier[[#This Row],[P137 Growth]])</f>
        <v>1.3266570855106978</v>
      </c>
      <c r="UD52" s="27">
        <f>PortfolioFrontier[[#This Row],[P137 Growth]]/PortfolioFrontier[[#This Row],[P137 HWM]]-1</f>
        <v>-4.6364349049974107E-2</v>
      </c>
      <c r="UE52" s="28">
        <f>SUMPRODUCT(INDEX(PortfolioRef[[SPY]:[PE]],MATCH(UE$1,PortfolioRef[Reference '#]),0),AssetMonthlyReturns[[#This Row],[SPY]:[PE]])</f>
        <v>1.9653386106103111E-2</v>
      </c>
      <c r="UF52" s="27">
        <f>IF(ISNUMBER(UF51),UF51*(1+PortfolioFrontier[[#This Row],[P138 Return]]),1+PortfolioFrontier[[#This Row],[P138 Return]])</f>
        <v>1.2578298456289032</v>
      </c>
      <c r="UG52" s="27">
        <f>MAX(UG51,PortfolioFrontier[[#This Row],[P138 Growth]])</f>
        <v>1.3085883604968405</v>
      </c>
      <c r="UH52" s="27">
        <f>PortfolioFrontier[[#This Row],[P138 Growth]]/PortfolioFrontier[[#This Row],[P138 HWM]]-1</f>
        <v>-3.8788756189658824E-2</v>
      </c>
      <c r="UI52" s="28">
        <f>SUMPRODUCT(INDEX(PortfolioRef[[SPY]:[PE]],MATCH(UI$1,PortfolioRef[Reference '#]),0),AssetMonthlyReturns[[#This Row],[SPY]:[PE]])</f>
        <v>2.1714637134699222E-2</v>
      </c>
      <c r="UJ52" s="27">
        <f>IF(ISNUMBER(UJ51),UJ51*(1+PortfolioFrontier[[#This Row],[P139 Return]]),1+PortfolioFrontier[[#This Row],[P139 Return]])</f>
        <v>1.2604253764206372</v>
      </c>
      <c r="UK52" s="27">
        <f>MAX(UK51,PortfolioFrontier[[#This Row],[P139 Growth]])</f>
        <v>1.3507788598337169</v>
      </c>
      <c r="UL52" s="27">
        <f>PortfolioFrontier[[#This Row],[P139 Growth]]/PortfolioFrontier[[#This Row],[P139 HWM]]-1</f>
        <v>-6.6889915218396601E-2</v>
      </c>
      <c r="UM52" s="28">
        <f>SUMPRODUCT(INDEX(PortfolioRef[[SPY]:[PE]],MATCH(UM$1,PortfolioRef[Reference '#]),0),AssetMonthlyReturns[[#This Row],[SPY]:[PE]])</f>
        <v>2.047055254844387E-2</v>
      </c>
      <c r="UN52" s="27">
        <f>IF(ISNUMBER(UN51),UN51*(1+PortfolioFrontier[[#This Row],[P140 Return]]),1+PortfolioFrontier[[#This Row],[P140 Return]])</f>
        <v>1.2538675920456135</v>
      </c>
      <c r="UO52" s="27">
        <f>MAX(UO51,PortfolioFrontier[[#This Row],[P140 Growth]])</f>
        <v>1.3327508164164212</v>
      </c>
      <c r="UP52" s="27">
        <f>PortfolioFrontier[[#This Row],[P140 Growth]]/PortfolioFrontier[[#This Row],[P140 HWM]]-1</f>
        <v>-5.9188276907541915E-2</v>
      </c>
      <c r="UQ52" s="28">
        <f>SUMPRODUCT(INDEX(PortfolioRef[[SPY]:[PE]],MATCH(UQ$1,PortfolioRef[Reference '#]),0),AssetMonthlyReturns[[#This Row],[SPY]:[PE]])</f>
        <v>1.922646796218852E-2</v>
      </c>
      <c r="UR52" s="27">
        <f>IF(ISNUMBER(UR51),UR51*(1+PortfolioFrontier[[#This Row],[P141 Return]]),1+PortfolioFrontier[[#This Row],[P141 Return]])</f>
        <v>1.2469236908412189</v>
      </c>
      <c r="US52" s="27">
        <f>MAX(US51,PortfolioFrontier[[#This Row],[P141 Growth]])</f>
        <v>1.3147407958400186</v>
      </c>
      <c r="UT52" s="27">
        <f>PortfolioFrontier[[#This Row],[P141 Growth]]/PortfolioFrontier[[#This Row],[P141 HWM]]-1</f>
        <v>-5.1582110491573907E-2</v>
      </c>
    </row>
    <row r="53" spans="2:566" x14ac:dyDescent="0.2">
      <c r="B53" s="41">
        <f>AssetMonthlyReturns[[#This Row],[Date]]</f>
        <v>43983</v>
      </c>
      <c r="C53" s="28">
        <f>SUMPRODUCT(INDEX(PortfolioRef[[SPY]:[PE]],MATCH(C$1,PortfolioRef[Reference '#]),0),AssetMonthlyReturns[[#This Row],[SPY]:[PE]])</f>
        <v>1.4306937212480476E-2</v>
      </c>
      <c r="D53" s="29">
        <f>IF(ISNUMBER(D52),D52*(1+PortfolioFrontier[[#This Row],[P1 Return]]),1+PortfolioFrontier[[#This Row],[P1 Return]])</f>
        <v>1.4194269247970943</v>
      </c>
      <c r="E53" s="29">
        <f>MAX(E52,PortfolioFrontier[[#This Row],[P1 Growth]])</f>
        <v>1.4419664495335482</v>
      </c>
      <c r="F53" s="29">
        <f>PortfolioFrontier[[#This Row],[P1 Growth]]/PortfolioFrontier[[#This Row],[P1 HWM]]-1</f>
        <v>-1.5631102057710899E-2</v>
      </c>
      <c r="G53" s="28">
        <f>SUMPRODUCT(INDEX(PortfolioRef[[SPY]:[PE]],MATCH(G$1,PortfolioRef[Reference '#]),0),AssetMonthlyReturns[[#This Row],[SPY]:[PE]])</f>
        <v>1.3982109341815829E-2</v>
      </c>
      <c r="H53" s="27">
        <f>IF(ISNUMBER(H52),H52*(1+PortfolioFrontier[[#This Row],[P2 Return]]),1+PortfolioFrontier[[#This Row],[P2 Return]])</f>
        <v>1.3984613093433418</v>
      </c>
      <c r="I53" s="27">
        <f>MAX(I52,PortfolioFrontier[[#This Row],[P2 Growth]])</f>
        <v>1.4148787504774187</v>
      </c>
      <c r="J53" s="27">
        <f>PortfolioFrontier[[#This Row],[P2 Growth]]/PortfolioFrontier[[#This Row],[P2 HWM]]-1</f>
        <v>-1.1603426179478071E-2</v>
      </c>
      <c r="K53" s="28">
        <f>SUMPRODUCT(INDEX(PortfolioRef[[SPY]:[PE]],MATCH(K$1,PortfolioRef[Reference '#]),0),AssetMonthlyReturns[[#This Row],[SPY]:[PE]])</f>
        <v>1.5011519233779282E-2</v>
      </c>
      <c r="L53" s="27">
        <f>IF(ISNUMBER(L52),L52*(1+PortfolioFrontier[[#This Row],[P3 Return]]),1+PortfolioFrontier[[#This Row],[P3 Return]])</f>
        <v>1.4087592113827281</v>
      </c>
      <c r="M53" s="27">
        <f>MAX(M52,PortfolioFrontier[[#This Row],[P3 Growth]])</f>
        <v>1.4201780325328939</v>
      </c>
      <c r="N53" s="27">
        <f>PortfolioFrontier[[#This Row],[P3 Growth]]/PortfolioFrontier[[#This Row],[P3 HWM]]-1</f>
        <v>-8.0404152779354199E-3</v>
      </c>
      <c r="O53" s="28">
        <f>SUMPRODUCT(INDEX(PortfolioRef[[SPY]:[PE]],MATCH(O$1,PortfolioRef[Reference '#]),0),AssetMonthlyReturns[[#This Row],[SPY]:[PE]])</f>
        <v>1.4352965859620672E-2</v>
      </c>
      <c r="P53" s="27">
        <f>IF(ISNUMBER(P52),P52*(1+PortfolioFrontier[[#This Row],[P4 Return]]),1+PortfolioFrontier[[#This Row],[P4 Return]])</f>
        <v>1.3954866697381785</v>
      </c>
      <c r="Q53" s="27">
        <f>MAX(Q52,PortfolioFrontier[[#This Row],[P4 Growth]])</f>
        <v>1.4268185135775995</v>
      </c>
      <c r="R53" s="27">
        <f>PortfolioFrontier[[#This Row],[P4 Growth]]/PortfolioFrontier[[#This Row],[P4 HWM]]-1</f>
        <v>-2.1959235558879686E-2</v>
      </c>
      <c r="S53" s="28">
        <f>SUMPRODUCT(INDEX(PortfolioRef[[SPY]:[PE]],MATCH(S$1,PortfolioRef[Reference '#]),0),AssetMonthlyReturns[[#This Row],[SPY]:[PE]])</f>
        <v>1.4554344190612811E-2</v>
      </c>
      <c r="T53" s="27">
        <f>IF(ISNUMBER(T52),T52*(1+PortfolioFrontier[[#This Row],[P5 Return]]),1+PortfolioFrontier[[#This Row],[P5 Return]])</f>
        <v>1.3877374728585883</v>
      </c>
      <c r="U53" s="27">
        <f>MAX(U52,PortfolioFrontier[[#This Row],[P5 Growth]])</f>
        <v>1.4072507563287657</v>
      </c>
      <c r="V53" s="27">
        <f>PortfolioFrontier[[#This Row],[P5 Growth]]/PortfolioFrontier[[#This Row],[P5 HWM]]-1</f>
        <v>-1.3866244791428395E-2</v>
      </c>
      <c r="W53" s="28">
        <f>SUMPRODUCT(INDEX(PortfolioRef[[SPY]:[PE]],MATCH(W$1,PortfolioRef[Reference '#]),0),AssetMonthlyReturns[[#This Row],[SPY]:[PE]])</f>
        <v>1.3657281471151184E-2</v>
      </c>
      <c r="X53" s="27">
        <f>IF(ISNUMBER(X52),X52*(1+PortfolioFrontier[[#This Row],[P6 Return]]),1+PortfolioFrontier[[#This Row],[P6 Return]])</f>
        <v>1.3774503467467099</v>
      </c>
      <c r="Y53" s="27">
        <f>MAX(Y52,PortfolioFrontier[[#This Row],[P6 Growth]])</f>
        <v>1.3880851512677401</v>
      </c>
      <c r="Z53" s="27">
        <f>PortfolioFrontier[[#This Row],[P6 Growth]]/PortfolioFrontier[[#This Row],[P6 HWM]]-1</f>
        <v>-7.6614928927937198E-3</v>
      </c>
      <c r="AA53" s="28">
        <f>SUMPRODUCT(INDEX(PortfolioRef[[SPY]:[PE]],MATCH(AA$1,PortfolioRef[Reference '#]),0),AssetMonthlyReturns[[#This Row],[SPY]:[PE]])</f>
        <v>1.4686691363114634E-2</v>
      </c>
      <c r="AB53" s="27">
        <f>IF(ISNUMBER(AB52),AB52*(1+PortfolioFrontier[[#This Row],[P7 Return]]),1+PortfolioFrontier[[#This Row],[P7 Return]])</f>
        <v>1.387595858835537</v>
      </c>
      <c r="AC53" s="27">
        <f>MAX(AC52,PortfolioFrontier[[#This Row],[P7 Growth]])</f>
        <v>1.3932587065587478</v>
      </c>
      <c r="AD53" s="27">
        <f>PortfolioFrontier[[#This Row],[P7 Growth]]/PortfolioFrontier[[#This Row],[P7 HWM]]-1</f>
        <v>-4.0644624695708176E-3</v>
      </c>
      <c r="AE53" s="28">
        <f>SUMPRODUCT(INDEX(PortfolioRef[[SPY]:[PE]],MATCH(AE$1,PortfolioRef[Reference '#]),0),AssetMonthlyReturns[[#This Row],[SPY]:[PE]])</f>
        <v>1.4028137988956024E-2</v>
      </c>
      <c r="AF53" s="27">
        <f>IF(ISNUMBER(AF52),AF52*(1+PortfolioFrontier[[#This Row],[P8 Return]]),1+PortfolioFrontier[[#This Row],[P8 Return]])</f>
        <v>1.3747854699242366</v>
      </c>
      <c r="AG53" s="27">
        <f>MAX(AG52,PortfolioFrontier[[#This Row],[P8 Growth]])</f>
        <v>1.3999070125181117</v>
      </c>
      <c r="AH53" s="27">
        <f>PortfolioFrontier[[#This Row],[P8 Growth]]/PortfolioFrontier[[#This Row],[P8 HWM]]-1</f>
        <v>-1.7945150905907092E-2</v>
      </c>
      <c r="AI53" s="28">
        <f>SUMPRODUCT(INDEX(PortfolioRef[[SPY]:[PE]],MATCH(AI$1,PortfolioRef[Reference '#]),0),AssetMonthlyReturns[[#This Row],[SPY]:[PE]])</f>
        <v>1.4229516319948166E-2</v>
      </c>
      <c r="AJ53" s="27">
        <f>IF(ISNUMBER(AJ52),AJ52*(1+PortfolioFrontier[[#This Row],[P9 Return]]),1+PortfolioFrontier[[#This Row],[P9 Return]])</f>
        <v>1.366921818175826</v>
      </c>
      <c r="AK53" s="27">
        <f>MAX(AK52,PortfolioFrontier[[#This Row],[P9 Growth]])</f>
        <v>1.3806381423140945</v>
      </c>
      <c r="AL53" s="27">
        <f>PortfolioFrontier[[#This Row],[P9 Growth]]/PortfolioFrontier[[#This Row],[P9 HWM]]-1</f>
        <v>-9.9347712611201899E-3</v>
      </c>
      <c r="AM53" s="28">
        <f>SUMPRODUCT(INDEX(PortfolioRef[[SPY]:[PE]],MATCH(AM$1,PortfolioRef[Reference '#]),0),AssetMonthlyReturns[[#This Row],[SPY]:[PE]])</f>
        <v>1.5716101255078087E-2</v>
      </c>
      <c r="AN53" s="27">
        <f>IF(ISNUMBER(AN52),AN52*(1+PortfolioFrontier[[#This Row],[P10 Return]]),1+PortfolioFrontier[[#This Row],[P10 Return]])</f>
        <v>1.3976663722724441</v>
      </c>
      <c r="AO53" s="27">
        <f>MAX(AO52,PortfolioFrontier[[#This Row],[P10 Growth]])</f>
        <v>1.3983151318787432</v>
      </c>
      <c r="AP53" s="27">
        <f>PortfolioFrontier[[#This Row],[P10 Growth]]/PortfolioFrontier[[#This Row],[P10 HWM]]-1</f>
        <v>-4.6395808177202014E-4</v>
      </c>
      <c r="AQ53" s="28">
        <f>SUMPRODUCT(INDEX(PortfolioRef[[SPY]:[PE]],MATCH(AQ$1,PortfolioRef[Reference '#]),0),AssetMonthlyReturns[[#This Row],[SPY]:[PE]])</f>
        <v>1.5057547880919477E-2</v>
      </c>
      <c r="AR53" s="27">
        <f>IF(ISNUMBER(AR52),AR52*(1+PortfolioFrontier[[#This Row],[P11 Return]]),1+PortfolioFrontier[[#This Row],[P11 Return]])</f>
        <v>1.3848964904900238</v>
      </c>
      <c r="AS53" s="27">
        <f>MAX(AS52,PortfolioFrontier[[#This Row],[P11 Growth]])</f>
        <v>1.4051282257271507</v>
      </c>
      <c r="AT53" s="27">
        <f>PortfolioFrontier[[#This Row],[P11 Growth]]/PortfolioFrontier[[#This Row],[P11 HWM]]-1</f>
        <v>-1.4398497494174878E-2</v>
      </c>
      <c r="AU53" s="28">
        <f>SUMPRODUCT(INDEX(PortfolioRef[[SPY]:[PE]],MATCH(AU$1,PortfolioRef[Reference '#]),0),AssetMonthlyReturns[[#This Row],[SPY]:[PE]])</f>
        <v>1.5258926211911616E-2</v>
      </c>
      <c r="AV53" s="27">
        <f>IF(ISNUMBER(AV52),AV52*(1+PortfolioFrontier[[#This Row],[P12 Return]]),1+PortfolioFrontier[[#This Row],[P12 Return]])</f>
        <v>1.3770171283580803</v>
      </c>
      <c r="AW53" s="27">
        <f>MAX(AW52,PortfolioFrontier[[#This Row],[P12 Growth]])</f>
        <v>1.3858117521199762</v>
      </c>
      <c r="AX53" s="27">
        <f>PortfolioFrontier[[#This Row],[P12 Growth]]/PortfolioFrontier[[#This Row],[P12 HWM]]-1</f>
        <v>-6.3461893351980381E-3</v>
      </c>
      <c r="AY53" s="28">
        <f>SUMPRODUCT(INDEX(PortfolioRef[[SPY]:[PE]],MATCH(AY$1,PortfolioRef[Reference '#]),0),AssetMonthlyReturns[[#This Row],[SPY]:[PE]])</f>
        <v>1.4398994506760866E-2</v>
      </c>
      <c r="AZ53" s="27">
        <f>IF(ISNUMBER(AZ52),AZ52*(1+PortfolioFrontier[[#This Row],[P13 Return]]),1+PortfolioFrontier[[#This Row],[P13 Return]])</f>
        <v>1.3717433751722619</v>
      </c>
      <c r="BA53" s="27">
        <f>MAX(BA52,PortfolioFrontier[[#This Row],[P13 Growth]])</f>
        <v>1.4116451886758252</v>
      </c>
      <c r="BB53" s="27">
        <f>PortfolioFrontier[[#This Row],[P13 Growth]]/PortfolioFrontier[[#This Row],[P13 HWM]]-1</f>
        <v>-2.8266177523682656E-2</v>
      </c>
      <c r="BC53" s="28">
        <f>SUMPRODUCT(INDEX(PortfolioRef[[SPY]:[PE]],MATCH(BC$1,PortfolioRef[Reference '#]),0),AssetMonthlyReturns[[#This Row],[SPY]:[PE]])</f>
        <v>1.4600372837753006E-2</v>
      </c>
      <c r="BD53" s="27">
        <f>IF(ISNUMBER(BD52),BD52*(1+PortfolioFrontier[[#This Row],[P14 Return]]),1+PortfolioFrontier[[#This Row],[P14 Return]])</f>
        <v>1.3642753435562525</v>
      </c>
      <c r="BE53" s="27">
        <f>MAX(BE52,PortfolioFrontier[[#This Row],[P14 Growth]])</f>
        <v>1.3923893526457891</v>
      </c>
      <c r="BF53" s="27">
        <f>PortfolioFrontier[[#This Row],[P14 Growth]]/PortfolioFrontier[[#This Row],[P14 HWM]]-1</f>
        <v>-2.0191197983606357E-2</v>
      </c>
      <c r="BG53" s="28">
        <f>SUMPRODUCT(INDEX(PortfolioRef[[SPY]:[PE]],MATCH(BG$1,PortfolioRef[Reference '#]),0),AssetMonthlyReturns[[#This Row],[SPY]:[PE]])</f>
        <v>1.4801751168745146E-2</v>
      </c>
      <c r="BH53" s="27">
        <f>IF(ISNUMBER(BH52),BH52*(1+PortfolioFrontier[[#This Row],[P15 Return]]),1+PortfolioFrontier[[#This Row],[P15 Return]])</f>
        <v>1.3563967523340725</v>
      </c>
      <c r="BI53" s="27">
        <f>MAX(BI52,PortfolioFrontier[[#This Row],[P15 Growth]])</f>
        <v>1.3731634825595267</v>
      </c>
      <c r="BJ53" s="27">
        <f>PortfolioFrontier[[#This Row],[P15 Growth]]/PortfolioFrontier[[#This Row],[P15 HWM]]-1</f>
        <v>-1.2210294286446932E-2</v>
      </c>
      <c r="BK53" s="28">
        <f>SUMPRODUCT(INDEX(PortfolioRef[[SPY]:[PE]],MATCH(BK$1,PortfolioRef[Reference '#]),0),AssetMonthlyReturns[[#This Row],[SPY]:[PE]])</f>
        <v>1.333245360048654E-2</v>
      </c>
      <c r="BL53" s="27">
        <f>IF(ISNUMBER(BL52),BL52*(1+PortfolioFrontier[[#This Row],[P16 Return]]),1+PortfolioFrontier[[#This Row],[P16 Return]])</f>
        <v>1.3564065800158356</v>
      </c>
      <c r="BM53" s="27">
        <f>MAX(BM52,PortfolioFrontier[[#This Row],[P16 Growth]])</f>
        <v>1.3615886888178703</v>
      </c>
      <c r="BN53" s="27">
        <f>PortfolioFrontier[[#This Row],[P16 Growth]]/PortfolioFrontier[[#This Row],[P16 HWM]]-1</f>
        <v>-3.8059282106212011E-3</v>
      </c>
      <c r="BO53" s="28">
        <f>SUMPRODUCT(INDEX(PortfolioRef[[SPY]:[PE]],MATCH(BO$1,PortfolioRef[Reference '#]),0),AssetMonthlyReturns[[#This Row],[SPY]:[PE]])</f>
        <v>1.436186349244999E-2</v>
      </c>
      <c r="BP53" s="27">
        <f>IF(ISNUMBER(BP52),BP52*(1+PortfolioFrontier[[#This Row],[P17 Return]]),1+PortfolioFrontier[[#This Row],[P17 Return]])</f>
        <v>1.3663998285597208</v>
      </c>
      <c r="BQ53" s="27">
        <f>MAX(BQ52,PortfolioFrontier[[#This Row],[P17 Growth]])</f>
        <v>1.36663887261008</v>
      </c>
      <c r="BR53" s="27">
        <f>PortfolioFrontier[[#This Row],[P17 Growth]]/PortfolioFrontier[[#This Row],[P17 HWM]]-1</f>
        <v>-1.7491383799339566E-4</v>
      </c>
      <c r="BS53" s="28">
        <f>SUMPRODUCT(INDEX(PortfolioRef[[SPY]:[PE]],MATCH(BS$1,PortfolioRef[Reference '#]),0),AssetMonthlyReturns[[#This Row],[SPY]:[PE]])</f>
        <v>1.370331011829138E-2</v>
      </c>
      <c r="BT53" s="27">
        <f>IF(ISNUMBER(BT52),BT52*(1+PortfolioFrontier[[#This Row],[P18 Return]]),1+PortfolioFrontier[[#This Row],[P18 Return]])</f>
        <v>1.3540417997496641</v>
      </c>
      <c r="BU53" s="27">
        <f>MAX(BU52,PortfolioFrontier[[#This Row],[P18 Growth]])</f>
        <v>1.3732906590342844</v>
      </c>
      <c r="BV53" s="27">
        <f>PortfolioFrontier[[#This Row],[P18 Growth]]/PortfolioFrontier[[#This Row],[P18 HWM]]-1</f>
        <v>-1.40165952182012E-2</v>
      </c>
      <c r="BW53" s="28">
        <f>SUMPRODUCT(INDEX(PortfolioRef[[SPY]:[PE]],MATCH(BW$1,PortfolioRef[Reference '#]),0),AssetMonthlyReturns[[#This Row],[SPY]:[PE]])</f>
        <v>1.3904688449283518E-2</v>
      </c>
      <c r="BX53" s="27">
        <f>IF(ISNUMBER(BX52),BX52*(1+PortfolioFrontier[[#This Row],[P19 Return]]),1+PortfolioFrontier[[#This Row],[P19 Return]])</f>
        <v>1.3460722758971204</v>
      </c>
      <c r="BY53" s="27">
        <f>MAX(BY52,PortfolioFrontier[[#This Row],[P19 Growth]])</f>
        <v>1.3543194764405577</v>
      </c>
      <c r="BZ53" s="27">
        <f>PortfolioFrontier[[#This Row],[P19 Growth]]/PortfolioFrontier[[#This Row],[P19 HWM]]-1</f>
        <v>-6.0895532309058753E-3</v>
      </c>
      <c r="CA53" s="28">
        <f>SUMPRODUCT(INDEX(PortfolioRef[[SPY]:[PE]],MATCH(CA$1,PortfolioRef[Reference '#]),0),AssetMonthlyReturns[[#This Row],[SPY]:[PE]])</f>
        <v>1.5391273384413439E-2</v>
      </c>
      <c r="CB53" s="27">
        <f>IF(ISNUMBER(CB52),CB52*(1+PortfolioFrontier[[#This Row],[P20 Return]]),1+PortfolioFrontier[[#This Row],[P20 Return]])</f>
        <v>1.3763190094409092</v>
      </c>
      <c r="CC53" s="27">
        <f>MAX(CC52,PortfolioFrontier[[#This Row],[P20 Growth]])</f>
        <v>1.3763190094409092</v>
      </c>
      <c r="CD53" s="27">
        <f>PortfolioFrontier[[#This Row],[P20 Growth]]/PortfolioFrontier[[#This Row],[P20 HWM]]-1</f>
        <v>0</v>
      </c>
      <c r="CE53" s="28">
        <f>SUMPRODUCT(INDEX(PortfolioRef[[SPY]:[PE]],MATCH(CE$1,PortfolioRef[Reference '#]),0),AssetMonthlyReturns[[#This Row],[SPY]:[PE]])</f>
        <v>1.4732720010254829E-2</v>
      </c>
      <c r="CF53" s="27">
        <f>IF(ISNUMBER(CF52),CF52*(1+PortfolioFrontier[[#This Row],[P21 Return]]),1+PortfolioFrontier[[#This Row],[P21 Return]])</f>
        <v>1.3640027446704397</v>
      </c>
      <c r="CG53" s="27">
        <f>MAX(CG52,PortfolioFrontier[[#This Row],[P21 Growth]])</f>
        <v>1.3783876457060396</v>
      </c>
      <c r="CH53" s="27">
        <f>PortfolioFrontier[[#This Row],[P21 Growth]]/PortfolioFrontier[[#This Row],[P21 HWM]]-1</f>
        <v>-1.0436034507717573E-2</v>
      </c>
      <c r="CI53" s="28">
        <f>SUMPRODUCT(INDEX(PortfolioRef[[SPY]:[PE]],MATCH(CI$1,PortfolioRef[Reference '#]),0),AssetMonthlyReturns[[#This Row],[SPY]:[PE]])</f>
        <v>1.4934098341246968E-2</v>
      </c>
      <c r="CJ53" s="27">
        <f>IF(ISNUMBER(CJ52),CJ52*(1+PortfolioFrontier[[#This Row],[P22 Return]]),1+PortfolioFrontier[[#This Row],[P22 Return]])</f>
        <v>1.3560163354132306</v>
      </c>
      <c r="CK53" s="27">
        <f>MAX(CK52,PortfolioFrontier[[#This Row],[P22 Growth]])</f>
        <v>1.3593699288197449</v>
      </c>
      <c r="CL53" s="27">
        <f>PortfolioFrontier[[#This Row],[P22 Growth]]/PortfolioFrontier[[#This Row],[P22 HWM]]-1</f>
        <v>-2.4670204448512534E-3</v>
      </c>
      <c r="CM53" s="28">
        <f>SUMPRODUCT(INDEX(PortfolioRef[[SPY]:[PE]],MATCH(CM$1,PortfolioRef[Reference '#]),0),AssetMonthlyReturns[[#This Row],[SPY]:[PE]])</f>
        <v>1.407416663609622E-2</v>
      </c>
      <c r="CN53" s="27">
        <f>IF(ISNUMBER(CN52),CN52*(1+PortfolioFrontier[[#This Row],[P23 Return]]),1+PortfolioFrontier[[#This Row],[P23 Return]])</f>
        <v>1.3513068327942892</v>
      </c>
      <c r="CO53" s="27">
        <f>MAX(CO52,PortfolioFrontier[[#This Row],[P23 Growth]])</f>
        <v>1.3849125529432054</v>
      </c>
      <c r="CP53" s="27">
        <f>PortfolioFrontier[[#This Row],[P23 Growth]]/PortfolioFrontier[[#This Row],[P23 HWM]]-1</f>
        <v>-2.4265589966310563E-2</v>
      </c>
      <c r="CQ53" s="28">
        <f>SUMPRODUCT(INDEX(PortfolioRef[[SPY]:[PE]],MATCH(CQ$1,PortfolioRef[Reference '#]),0),AssetMonthlyReturns[[#This Row],[SPY]:[PE]])</f>
        <v>1.4275544967088358E-2</v>
      </c>
      <c r="CR53" s="27">
        <f>IF(ISNUMBER(CR52),CR52*(1+PortfolioFrontier[[#This Row],[P24 Return]]),1+PortfolioFrontier[[#This Row],[P24 Return]])</f>
        <v>1.3437237259004204</v>
      </c>
      <c r="CS53" s="27">
        <f>MAX(CS52,PortfolioFrontier[[#This Row],[P24 Growth]])</f>
        <v>1.3659520435680597</v>
      </c>
      <c r="CT53" s="27">
        <f>PortfolioFrontier[[#This Row],[P24 Growth]]/PortfolioFrontier[[#This Row],[P24 HWM]]-1</f>
        <v>-1.6273131822092113E-2</v>
      </c>
      <c r="CU53" s="28">
        <f>SUMPRODUCT(INDEX(PortfolioRef[[SPY]:[PE]],MATCH(CU$1,PortfolioRef[Reference '#]),0),AssetMonthlyReturns[[#This Row],[SPY]:[PE]])</f>
        <v>1.4476923298080502E-2</v>
      </c>
      <c r="CV53" s="27">
        <f>IF(ISNUMBER(CV52),CV52*(1+PortfolioFrontier[[#This Row],[P25 Return]]),1+PortfolioFrontier[[#This Row],[P25 Return]])</f>
        <v>1.3357409411767103</v>
      </c>
      <c r="CW53" s="27">
        <f>MAX(CW52,PortfolioFrontier[[#This Row],[P25 Growth]])</f>
        <v>1.3470227610535963</v>
      </c>
      <c r="CX53" s="27">
        <f>PortfolioFrontier[[#This Row],[P25 Growth]]/PortfolioFrontier[[#This Row],[P25 HWM]]-1</f>
        <v>-8.3753743463560459E-3</v>
      </c>
      <c r="CY53" s="28">
        <f>SUMPRODUCT(INDEX(PortfolioRef[[SPY]:[PE]],MATCH(CY$1,PortfolioRef[Reference '#]),0),AssetMonthlyReturns[[#This Row],[SPY]:[PE]])</f>
        <v>1.5762129902218282E-2</v>
      </c>
      <c r="CZ53" s="27">
        <f>IF(ISNUMBER(CZ52),CZ52*(1+PortfolioFrontier[[#This Row],[P26 Return]]),1+PortfolioFrontier[[#This Row],[P26 Return]])</f>
        <v>1.3738896887822545</v>
      </c>
      <c r="DA53" s="27">
        <f>MAX(DA52,PortfolioFrontier[[#This Row],[P26 Growth]])</f>
        <v>1.3833685265112829</v>
      </c>
      <c r="DB53" s="27">
        <f>PortfolioFrontier[[#This Row],[P26 Growth]]/PortfolioFrontier[[#This Row],[P26 HWM]]-1</f>
        <v>-6.8519975316578829E-3</v>
      </c>
      <c r="DC53" s="28">
        <f>SUMPRODUCT(INDEX(PortfolioRef[[SPY]:[PE]],MATCH(DC$1,PortfolioRef[Reference '#]),0),AssetMonthlyReturns[[#This Row],[SPY]:[PE]])</f>
        <v>1.5963508233210421E-2</v>
      </c>
      <c r="DD53" s="27">
        <f>IF(ISNUMBER(DD52),DD52*(1+PortfolioFrontier[[#This Row],[P27 Return]]),1+PortfolioFrontier[[#This Row],[P27 Return]])</f>
        <v>1.3658872169289724</v>
      </c>
      <c r="DE53" s="27">
        <f>MAX(DE52,PortfolioFrontier[[#This Row],[P27 Growth]])</f>
        <v>1.3658872169289724</v>
      </c>
      <c r="DF53" s="27">
        <f>PortfolioFrontier[[#This Row],[P27 Growth]]/PortfolioFrontier[[#This Row],[P27 HWM]]-1</f>
        <v>0</v>
      </c>
      <c r="DG53" s="28">
        <f>SUMPRODUCT(INDEX(PortfolioRef[[SPY]:[PE]],MATCH(DG$1,PortfolioRef[Reference '#]),0),AssetMonthlyReturns[[#This Row],[SPY]:[PE]])</f>
        <v>1.5103576528059671E-2</v>
      </c>
      <c r="DH53" s="27">
        <f>IF(ISNUMBER(DH52),DH52*(1+PortfolioFrontier[[#This Row],[P28 Return]]),1+PortfolioFrontier[[#This Row],[P28 Return]])</f>
        <v>1.3612330840203342</v>
      </c>
      <c r="DI53" s="27">
        <f>MAX(DI52,PortfolioFrontier[[#This Row],[P28 Growth]])</f>
        <v>1.3900562895802888</v>
      </c>
      <c r="DJ53" s="27">
        <f>PortfolioFrontier[[#This Row],[P28 Growth]]/PortfolioFrontier[[#This Row],[P28 HWM]]-1</f>
        <v>-2.0735279409913265E-2</v>
      </c>
      <c r="DK53" s="28">
        <f>SUMPRODUCT(INDEX(PortfolioRef[[SPY]:[PE]],MATCH(DK$1,PortfolioRef[Reference '#]),0),AssetMonthlyReturns[[#This Row],[SPY]:[PE]])</f>
        <v>1.5304954859051811E-2</v>
      </c>
      <c r="DL53" s="27">
        <f>IF(ISNUMBER(DL52),DL52*(1+PortfolioFrontier[[#This Row],[P29 Return]]),1+PortfolioFrontier[[#This Row],[P29 Return]])</f>
        <v>1.3536356616109919</v>
      </c>
      <c r="DM53" s="27">
        <f>MAX(DM52,PortfolioFrontier[[#This Row],[P29 Growth]])</f>
        <v>1.3710493073825181</v>
      </c>
      <c r="DN53" s="27">
        <f>PortfolioFrontier[[#This Row],[P29 Growth]]/PortfolioFrontier[[#This Row],[P29 HWM]]-1</f>
        <v>-1.2700962450993614E-2</v>
      </c>
      <c r="DO53" s="28">
        <f>SUMPRODUCT(INDEX(PortfolioRef[[SPY]:[PE]],MATCH(DO$1,PortfolioRef[Reference '#]),0),AssetMonthlyReturns[[#This Row],[SPY]:[PE]])</f>
        <v>1.5506333190043952E-2</v>
      </c>
      <c r="DP53" s="27">
        <f>IF(ISNUMBER(DP52),DP52*(1+PortfolioFrontier[[#This Row],[P30 Return]]),1+PortfolioFrontier[[#This Row],[P30 Return]])</f>
        <v>1.3456354182379693</v>
      </c>
      <c r="DQ53" s="27">
        <f>MAX(DQ52,PortfolioFrontier[[#This Row],[P30 Growth]])</f>
        <v>1.3520730912994043</v>
      </c>
      <c r="DR53" s="27">
        <f>PortfolioFrontier[[#This Row],[P30 Growth]]/PortfolioFrontier[[#This Row],[P30 HWM]]-1</f>
        <v>-4.7613350956109413E-3</v>
      </c>
      <c r="DS53" s="28">
        <f>SUMPRODUCT(INDEX(PortfolioRef[[SPY]:[PE]],MATCH(DS$1,PortfolioRef[Reference '#]),0),AssetMonthlyReturns[[#This Row],[SPY]:[PE]])</f>
        <v>1.4445023153901062E-2</v>
      </c>
      <c r="DT53" s="27">
        <f>IF(ISNUMBER(DT52),DT52*(1+PortfolioFrontier[[#This Row],[P31 Return]]),1+PortfolioFrontier[[#This Row],[P31 Return]])</f>
        <v>1.3482004723603236</v>
      </c>
      <c r="DU53" s="27">
        <f>MAX(DU52,PortfolioFrontier[[#This Row],[P31 Growth]])</f>
        <v>1.3964505476516273</v>
      </c>
      <c r="DV53" s="27">
        <f>PortfolioFrontier[[#This Row],[P31 Growth]]/PortfolioFrontier[[#This Row],[P31 HWM]]-1</f>
        <v>-3.4551939825183675E-2</v>
      </c>
      <c r="DW53" s="28">
        <f>SUMPRODUCT(INDEX(PortfolioRef[[SPY]:[PE]],MATCH(DW$1,PortfolioRef[Reference '#]),0),AssetMonthlyReturns[[#This Row],[SPY]:[PE]])</f>
        <v>1.4646401484893202E-2</v>
      </c>
      <c r="DX53" s="27">
        <f>IF(ISNUMBER(DX52),DX52*(1+PortfolioFrontier[[#This Row],[P32 Return]]),1+PortfolioFrontier[[#This Row],[P32 Return]])</f>
        <v>1.34100781671161</v>
      </c>
      <c r="DY53" s="27">
        <f>MAX(DY52,PortfolioFrontier[[#This Row],[P32 Growth]])</f>
        <v>1.3775046986281727</v>
      </c>
      <c r="DZ53" s="27">
        <f>PortfolioFrontier[[#This Row],[P32 Growth]]/PortfolioFrontier[[#This Row],[P32 HWM]]-1</f>
        <v>-2.6494923721791408E-2</v>
      </c>
      <c r="EA53" s="28">
        <f>SUMPRODUCT(INDEX(PortfolioRef[[SPY]:[PE]],MATCH(EA$1,PortfolioRef[Reference '#]),0),AssetMonthlyReturns[[#This Row],[SPY]:[PE]])</f>
        <v>1.4847779815885342E-2</v>
      </c>
      <c r="EB53" s="27">
        <f>IF(ISNUMBER(EB52),EB52*(1+PortfolioFrontier[[#This Row],[P33 Return]]),1+PortfolioFrontier[[#This Row],[P33 Return]])</f>
        <v>1.3334085300316014</v>
      </c>
      <c r="EC53" s="27">
        <f>MAX(EC52,PortfolioFrontier[[#This Row],[P33 Growth]])</f>
        <v>1.3585857250368603</v>
      </c>
      <c r="ED53" s="27">
        <f>PortfolioFrontier[[#This Row],[P33 Growth]]/PortfolioFrontier[[#This Row],[P33 HWM]]-1</f>
        <v>-1.853191487388528E-2</v>
      </c>
      <c r="EE53" s="28">
        <f>SUMPRODUCT(INDEX(PortfolioRef[[SPY]:[PE]],MATCH(EE$1,PortfolioRef[Reference '#]),0),AssetMonthlyReturns[[#This Row],[SPY]:[PE]])</f>
        <v>1.3007625729821892E-2</v>
      </c>
      <c r="EF53" s="27">
        <f>IF(ISNUMBER(EF52),EF52*(1+PortfolioFrontier[[#This Row],[P34 Return]]),1+PortfolioFrontier[[#This Row],[P34 Return]])</f>
        <v>1.3353422898307663</v>
      </c>
      <c r="EG53" s="27">
        <f>MAX(EG52,PortfolioFrontier[[#This Row],[P34 Growth]])</f>
        <v>1.3353921652256686</v>
      </c>
      <c r="EH53" s="27">
        <f>PortfolioFrontier[[#This Row],[P34 Growth]]/PortfolioFrontier[[#This Row],[P34 HWM]]-1</f>
        <v>-3.7348874885712036E-5</v>
      </c>
      <c r="EI53" s="28">
        <f>SUMPRODUCT(INDEX(PortfolioRef[[SPY]:[PE]],MATCH(EI$1,PortfolioRef[Reference '#]),0),AssetMonthlyReturns[[#This Row],[SPY]:[PE]])</f>
        <v>1.4037035621785342E-2</v>
      </c>
      <c r="EJ53" s="27">
        <f>IF(ISNUMBER(EJ52),EJ52*(1+PortfolioFrontier[[#This Row],[P35 Return]]),1+PortfolioFrontier[[#This Row],[P35 Return]])</f>
        <v>1.3451834724713143</v>
      </c>
      <c r="EK53" s="27">
        <f>MAX(EK52,PortfolioFrontier[[#This Row],[P35 Growth]])</f>
        <v>1.3451834724713143</v>
      </c>
      <c r="EL53" s="27">
        <f>PortfolioFrontier[[#This Row],[P35 Growth]]/PortfolioFrontier[[#This Row],[P35 HWM]]-1</f>
        <v>0</v>
      </c>
      <c r="EM53" s="28">
        <f>SUMPRODUCT(INDEX(PortfolioRef[[SPY]:[PE]],MATCH(EM$1,PortfolioRef[Reference '#]),0),AssetMonthlyReturns[[#This Row],[SPY]:[PE]])</f>
        <v>1.3378482247626732E-2</v>
      </c>
      <c r="EN53" s="27">
        <f>IF(ISNUMBER(EN52),EN52*(1+PortfolioFrontier[[#This Row],[P36 Return]]),1+PortfolioFrontier[[#This Row],[P36 Return]])</f>
        <v>1.3332680246945356</v>
      </c>
      <c r="EO53" s="27">
        <f>MAX(EO52,PortfolioFrontier[[#This Row],[P36 Growth]])</f>
        <v>1.3469723823844473</v>
      </c>
      <c r="EP53" s="27">
        <f>PortfolioFrontier[[#This Row],[P36 Growth]]/PortfolioFrontier[[#This Row],[P36 HWM]]-1</f>
        <v>-1.0174193524036368E-2</v>
      </c>
      <c r="EQ53" s="28">
        <f>SUMPRODUCT(INDEX(PortfolioRef[[SPY]:[PE]],MATCH(EQ$1,PortfolioRef[Reference '#]),0),AssetMonthlyReturns[[#This Row],[SPY]:[PE]])</f>
        <v>1.3579860578618874E-2</v>
      </c>
      <c r="ER53" s="27">
        <f>IF(ISNUMBER(ER52),ER52*(1+PortfolioFrontier[[#This Row],[P37 Return]]),1+PortfolioFrontier[[#This Row],[P37 Return]])</f>
        <v>1.3252010469430104</v>
      </c>
      <c r="ES53" s="27">
        <f>MAX(ES52,PortfolioFrontier[[#This Row],[P37 Growth]])</f>
        <v>1.3282975843357441</v>
      </c>
      <c r="ET53" s="27">
        <f>PortfolioFrontier[[#This Row],[P37 Growth]]/PortfolioFrontier[[#This Row],[P37 HWM]]-1</f>
        <v>-2.3312075767134566E-3</v>
      </c>
      <c r="EU53" s="28">
        <f>SUMPRODUCT(INDEX(PortfolioRef[[SPY]:[PE]],MATCH(EU$1,PortfolioRef[Reference '#]),0),AssetMonthlyReturns[[#This Row],[SPY]:[PE]])</f>
        <v>1.5066445513748795E-2</v>
      </c>
      <c r="EV53" s="27">
        <f>IF(ISNUMBER(EV52),EV52*(1+PortfolioFrontier[[#This Row],[P38 Return]]),1+PortfolioFrontier[[#This Row],[P38 Return]])</f>
        <v>1.3549515274510648</v>
      </c>
      <c r="EW53" s="27">
        <f>MAX(EW52,PortfolioFrontier[[#This Row],[P38 Growth]])</f>
        <v>1.3549515274510648</v>
      </c>
      <c r="EX53" s="27">
        <f>PortfolioFrontier[[#This Row],[P38 Growth]]/PortfolioFrontier[[#This Row],[P38 HWM]]-1</f>
        <v>0</v>
      </c>
      <c r="EY53" s="28">
        <f>SUMPRODUCT(INDEX(PortfolioRef[[SPY]:[PE]],MATCH(EY$1,PortfolioRef[Reference '#]),0),AssetMonthlyReturns[[#This Row],[SPY]:[PE]])</f>
        <v>1.4407892139590185E-2</v>
      </c>
      <c r="EZ53" s="27">
        <f>IF(ISNUMBER(EZ52),EZ52*(1+PortfolioFrontier[[#This Row],[P39 Return]]),1+PortfolioFrontier[[#This Row],[P39 Return]])</f>
        <v>1.3430790290231429</v>
      </c>
      <c r="FA53" s="27">
        <f>MAX(FA52,PortfolioFrontier[[#This Row],[P39 Growth]])</f>
        <v>1.3519474812509076</v>
      </c>
      <c r="FB53" s="27">
        <f>PortfolioFrontier[[#This Row],[P39 Growth]]/PortfolioFrontier[[#This Row],[P39 HWM]]-1</f>
        <v>-6.5597609010366043E-3</v>
      </c>
      <c r="FC53" s="28">
        <f>SUMPRODUCT(INDEX(PortfolioRef[[SPY]:[PE]],MATCH(FC$1,PortfolioRef[Reference '#]),0),AssetMonthlyReturns[[#This Row],[SPY]:[PE]])</f>
        <v>1.4609270470582324E-2</v>
      </c>
      <c r="FD53" s="27">
        <f>IF(ISNUMBER(FD52),FD52*(1+PortfolioFrontier[[#This Row],[P40 Return]]),1+PortfolioFrontier[[#This Row],[P40 Return]])</f>
        <v>1.3349940426933975</v>
      </c>
      <c r="FE53" s="27">
        <f>MAX(FE52,PortfolioFrontier[[#This Row],[P40 Growth]])</f>
        <v>1.3349940426933975</v>
      </c>
      <c r="FF53" s="27">
        <f>PortfolioFrontier[[#This Row],[P40 Growth]]/PortfolioFrontier[[#This Row],[P40 HWM]]-1</f>
        <v>0</v>
      </c>
      <c r="FG53" s="28">
        <f>SUMPRODUCT(INDEX(PortfolioRef[[SPY]:[PE]],MATCH(FG$1,PortfolioRef[Reference '#]),0),AssetMonthlyReturns[[#This Row],[SPY]:[PE]])</f>
        <v>1.3749338765431574E-2</v>
      </c>
      <c r="FH53" s="27">
        <f>IF(ISNUMBER(FH52),FH52*(1+PortfolioFrontier[[#This Row],[P41 Return]]),1+PortfolioFrontier[[#This Row],[P41 Return]])</f>
        <v>1.330830613779844</v>
      </c>
      <c r="FI53" s="27">
        <f>MAX(FI52,PortfolioFrontier[[#This Row],[P41 Growth]])</f>
        <v>1.3584760333753265</v>
      </c>
      <c r="FJ53" s="27">
        <f>PortfolioFrontier[[#This Row],[P41 Growth]]/PortfolioFrontier[[#This Row],[P41 HWM]]-1</f>
        <v>-2.0350318236232345E-2</v>
      </c>
      <c r="FK53" s="28">
        <f>SUMPRODUCT(INDEX(PortfolioRef[[SPY]:[PE]],MATCH(FK$1,PortfolioRef[Reference '#]),0),AssetMonthlyReturns[[#This Row],[SPY]:[PE]])</f>
        <v>1.3950717096423714E-2</v>
      </c>
      <c r="FL53" s="27">
        <f>IF(ISNUMBER(FL52),FL52*(1+PortfolioFrontier[[#This Row],[P42 Return]]),1+PortfolioFrontier[[#This Row],[P42 Return]])</f>
        <v>1.3231409230616857</v>
      </c>
      <c r="FM53" s="27">
        <f>MAX(FM52,PortfolioFrontier[[#This Row],[P42 Growth]])</f>
        <v>1.3398096374084578</v>
      </c>
      <c r="FN53" s="27">
        <f>PortfolioFrontier[[#This Row],[P42 Growth]]/PortfolioFrontier[[#This Row],[P42 HWM]]-1</f>
        <v>-1.2441106468687346E-2</v>
      </c>
      <c r="FO53" s="28">
        <f>SUMPRODUCT(INDEX(PortfolioRef[[SPY]:[PE]],MATCH(FO$1,PortfolioRef[Reference '#]),0),AssetMonthlyReturns[[#This Row],[SPY]:[PE]])</f>
        <v>1.4152095427415854E-2</v>
      </c>
      <c r="FP53" s="27">
        <f>IF(ISNUMBER(FP52),FP52*(1+PortfolioFrontier[[#This Row],[P43 Return]]),1+PortfolioFrontier[[#This Row],[P43 Return]])</f>
        <v>1.3150622965342305</v>
      </c>
      <c r="FQ53" s="27">
        <f>MAX(FQ52,PortfolioFrontier[[#This Row],[P43 Growth]])</f>
        <v>1.3211756589392865</v>
      </c>
      <c r="FR53" s="27">
        <f>PortfolioFrontier[[#This Row],[P43 Growth]]/PortfolioFrontier[[#This Row],[P43 HWM]]-1</f>
        <v>-4.6272139239714738E-3</v>
      </c>
      <c r="FS53" s="28">
        <f>SUMPRODUCT(INDEX(PortfolioRef[[SPY]:[PE]],MATCH(FS$1,PortfolioRef[Reference '#]),0),AssetMonthlyReturns[[#This Row],[SPY]:[PE]])</f>
        <v>1.5437302031553635E-2</v>
      </c>
      <c r="FT53" s="27">
        <f>IF(ISNUMBER(FT52),FT52*(1+PortfolioFrontier[[#This Row],[P44 Return]]),1+PortfolioFrontier[[#This Row],[P44 Return]])</f>
        <v>1.3528169563717924</v>
      </c>
      <c r="FU53" s="27">
        <f>MAX(FU52,PortfolioFrontier[[#This Row],[P44 Growth]])</f>
        <v>1.3568083584051134</v>
      </c>
      <c r="FV53" s="27">
        <f>PortfolioFrontier[[#This Row],[P44 Growth]]/PortfolioFrontier[[#This Row],[P44 HWM]]-1</f>
        <v>-2.9417581404146409E-3</v>
      </c>
      <c r="FW53" s="28">
        <f>SUMPRODUCT(INDEX(PortfolioRef[[SPY]:[PE]],MATCH(FW$1,PortfolioRef[Reference '#]),0),AssetMonthlyReturns[[#This Row],[SPY]:[PE]])</f>
        <v>1.5638680362545773E-2</v>
      </c>
      <c r="FX53" s="27">
        <f>IF(ISNUMBER(FX52),FX52*(1+PortfolioFrontier[[#This Row],[P45 Return]]),1+PortfolioFrontier[[#This Row],[P45 Return]])</f>
        <v>1.3447147875224992</v>
      </c>
      <c r="FY53" s="27">
        <f>MAX(FY52,PortfolioFrontier[[#This Row],[P45 Growth]])</f>
        <v>1.3447147875224992</v>
      </c>
      <c r="FZ53" s="27">
        <f>PortfolioFrontier[[#This Row],[P45 Growth]]/PortfolioFrontier[[#This Row],[P45 HWM]]-1</f>
        <v>0</v>
      </c>
      <c r="GA53" s="28">
        <f>SUMPRODUCT(INDEX(PortfolioRef[[SPY]:[PE]],MATCH(GA$1,PortfolioRef[Reference '#]),0),AssetMonthlyReturns[[#This Row],[SPY]:[PE]])</f>
        <v>1.4778748657395023E-2</v>
      </c>
      <c r="GB53" s="27">
        <f>IF(ISNUMBER(GB52),GB52*(1+PortfolioFrontier[[#This Row],[P46 Return]]),1+PortfolioFrontier[[#This Row],[P46 Return]])</f>
        <v>1.3406090904791685</v>
      </c>
      <c r="GC53" s="27">
        <f>MAX(GC52,PortfolioFrontier[[#This Row],[P46 Growth]])</f>
        <v>1.3634970412153742</v>
      </c>
      <c r="GD53" s="27">
        <f>PortfolioFrontier[[#This Row],[P46 Growth]]/PortfolioFrontier[[#This Row],[P46 HWM]]-1</f>
        <v>-1.678621225008603E-2</v>
      </c>
      <c r="GE53" s="28">
        <f>SUMPRODUCT(INDEX(PortfolioRef[[SPY]:[PE]],MATCH(GE$1,PortfolioRef[Reference '#]),0),AssetMonthlyReturns[[#This Row],[SPY]:[PE]])</f>
        <v>1.4980126988387164E-2</v>
      </c>
      <c r="GF53" s="27">
        <f>IF(ISNUMBER(GF52),GF52*(1+PortfolioFrontier[[#This Row],[P47 Return]]),1+PortfolioFrontier[[#This Row],[P47 Return]])</f>
        <v>1.3329039097398012</v>
      </c>
      <c r="GG53" s="27">
        <f>MAX(GG52,PortfolioFrontier[[#This Row],[P47 Growth]])</f>
        <v>1.3447852194316379</v>
      </c>
      <c r="GH53" s="27">
        <f>PortfolioFrontier[[#This Row],[P47 Growth]]/PortfolioFrontier[[#This Row],[P47 HWM]]-1</f>
        <v>-8.8350983637804914E-3</v>
      </c>
      <c r="GI53" s="28">
        <f>SUMPRODUCT(INDEX(PortfolioRef[[SPY]:[PE]],MATCH(GI$1,PortfolioRef[Reference '#]),0),AssetMonthlyReturns[[#This Row],[SPY]:[PE]])</f>
        <v>1.5181505319379304E-2</v>
      </c>
      <c r="GJ53" s="27">
        <f>IF(ISNUMBER(GJ52),GJ52*(1+PortfolioFrontier[[#This Row],[P48 Return]]),1+PortfolioFrontier[[#This Row],[P48 Return]])</f>
        <v>1.3248067157067291</v>
      </c>
      <c r="GK53" s="27">
        <f>MAX(GK52,PortfolioFrontier[[#This Row],[P48 Growth]])</f>
        <v>1.3261053643353899</v>
      </c>
      <c r="GL53" s="27">
        <f>PortfolioFrontier[[#This Row],[P48 Growth]]/PortfolioFrontier[[#This Row],[P48 HWM]]-1</f>
        <v>-9.7929520804829195E-4</v>
      </c>
      <c r="GM53" s="28">
        <f>SUMPRODUCT(INDEX(PortfolioRef[[SPY]:[PE]],MATCH(GM$1,PortfolioRef[Reference '#]),0),AssetMonthlyReturns[[#This Row],[SPY]:[PE]])</f>
        <v>1.4120195283236414E-2</v>
      </c>
      <c r="GN53" s="27">
        <f>IF(ISNUMBER(GN52),GN52*(1+PortfolioFrontier[[#This Row],[P49 Return]]),1+PortfolioFrontier[[#This Row],[P49 Return]])</f>
        <v>1.3280287310664149</v>
      </c>
      <c r="GO53" s="27">
        <f>MAX(GO52,PortfolioFrontier[[#This Row],[P49 Growth]])</f>
        <v>1.3698993704585207</v>
      </c>
      <c r="GP53" s="27">
        <f>PortfolioFrontier[[#This Row],[P49 Growth]]/PortfolioFrontier[[#This Row],[P49 HWM]]-1</f>
        <v>-3.0564755554337686E-2</v>
      </c>
      <c r="GQ53" s="28">
        <f>SUMPRODUCT(INDEX(PortfolioRef[[SPY]:[PE]],MATCH(GQ$1,PortfolioRef[Reference '#]),0),AssetMonthlyReturns[[#This Row],[SPY]:[PE]])</f>
        <v>1.4321573614228554E-2</v>
      </c>
      <c r="GR53" s="27">
        <f>IF(ISNUMBER(GR52),GR52*(1+PortfolioFrontier[[#This Row],[P50 Return]]),1+PortfolioFrontier[[#This Row],[P50 Return]])</f>
        <v>1.3207204154920331</v>
      </c>
      <c r="GS53" s="27">
        <f>MAX(GS52,PortfolioFrontier[[#This Row],[P50 Growth]])</f>
        <v>1.3512452775810491</v>
      </c>
      <c r="GT53" s="27">
        <f>PortfolioFrontier[[#This Row],[P50 Growth]]/PortfolioFrontier[[#This Row],[P50 HWM]]-1</f>
        <v>-2.259017115209494E-2</v>
      </c>
      <c r="GU53" s="28">
        <f>SUMPRODUCT(INDEX(PortfolioRef[[SPY]:[PE]],MATCH(GU$1,PortfolioRef[Reference '#]),0),AssetMonthlyReturns[[#This Row],[SPY]:[PE]])</f>
        <v>1.4522951945220694E-2</v>
      </c>
      <c r="GV53" s="27">
        <f>IF(ISNUMBER(GV52),GV52*(1+PortfolioFrontier[[#This Row],[P51 Return]]),1+PortfolioFrontier[[#This Row],[P51 Return]])</f>
        <v>1.3130162255555051</v>
      </c>
      <c r="GW53" s="27">
        <f>MAX(GW52,PortfolioFrontier[[#This Row],[P51 Growth]])</f>
        <v>1.3326193457404765</v>
      </c>
      <c r="GX53" s="27">
        <f>PortfolioFrontier[[#This Row],[P51 Growth]]/PortfolioFrontier[[#This Row],[P51 HWM]]-1</f>
        <v>-1.4710217323221308E-2</v>
      </c>
      <c r="GY53" s="28">
        <f>SUMPRODUCT(INDEX(PortfolioRef[[SPY]:[PE]],MATCH(GY$1,PortfolioRef[Reference '#]),0),AssetMonthlyReturns[[#This Row],[SPY]:[PE]])</f>
        <v>1.5808158549358475E-2</v>
      </c>
      <c r="GZ53" s="27">
        <f>IF(ISNUMBER(GZ52),GZ52*(1+PortfolioFrontier[[#This Row],[P52 Return]]),1+PortfolioFrontier[[#This Row],[P52 Return]])</f>
        <v>1.3503145626616591</v>
      </c>
      <c r="HA53" s="27">
        <f>MAX(HA52,PortfolioFrontier[[#This Row],[P52 Growth]])</f>
        <v>1.3684029722493223</v>
      </c>
      <c r="HB53" s="27">
        <f>PortfolioFrontier[[#This Row],[P52 Growth]]/PortfolioFrontier[[#This Row],[P52 HWM]]-1</f>
        <v>-1.3218627812485839E-2</v>
      </c>
      <c r="HC53" s="28">
        <f>SUMPRODUCT(INDEX(PortfolioRef[[SPY]:[PE]],MATCH(HC$1,PortfolioRef[Reference '#]),0),AssetMonthlyReturns[[#This Row],[SPY]:[PE]])</f>
        <v>1.6009536880350617E-2</v>
      </c>
      <c r="HD53" s="27">
        <f>IF(ISNUMBER(HD52),HD52*(1+PortfolioFrontier[[#This Row],[P53 Return]]),1+PortfolioFrontier[[#This Row],[P53 Return]])</f>
        <v>1.3425946948587204</v>
      </c>
      <c r="HE53" s="27">
        <f>MAX(HE52,PortfolioFrontier[[#This Row],[P53 Growth]])</f>
        <v>1.3496473388218579</v>
      </c>
      <c r="HF53" s="27">
        <f>PortfolioFrontier[[#This Row],[P53 Growth]]/PortfolioFrontier[[#This Row],[P53 HWM]]-1</f>
        <v>-5.225545785385699E-3</v>
      </c>
      <c r="HG53" s="28">
        <f>SUMPRODUCT(INDEX(PortfolioRef[[SPY]:[PE]],MATCH(HG$1,PortfolioRef[Reference '#]),0),AssetMonthlyReturns[[#This Row],[SPY]:[PE]])</f>
        <v>1.6210915211342759E-2</v>
      </c>
      <c r="HH53" s="27">
        <f>IF(ISNUMBER(HH52),HH52*(1+PortfolioFrontier[[#This Row],[P54 Return]]),1+PortfolioFrontier[[#This Row],[P54 Return]])</f>
        <v>1.3344797557590107</v>
      </c>
      <c r="HI53" s="27">
        <f>MAX(HI52,PortfolioFrontier[[#This Row],[P54 Growth]])</f>
        <v>1.3344797557590107</v>
      </c>
      <c r="HJ53" s="27">
        <f>PortfolioFrontier[[#This Row],[P54 Growth]]/PortfolioFrontier[[#This Row],[P54 HWM]]-1</f>
        <v>0</v>
      </c>
      <c r="HK53" s="28">
        <f>SUMPRODUCT(INDEX(PortfolioRef[[SPY]:[PE]],MATCH(HK$1,PortfolioRef[Reference '#]),0),AssetMonthlyReturns[[#This Row],[SPY]:[PE]])</f>
        <v>1.5149605175199865E-2</v>
      </c>
      <c r="HL53" s="27">
        <f>IF(ISNUMBER(HL52),HL52*(1+PortfolioFrontier[[#This Row],[P55 Return]]),1+PortfolioFrontier[[#This Row],[P55 Return]])</f>
        <v>1.3377723321590484</v>
      </c>
      <c r="HM53" s="27">
        <f>MAX(HM52,PortfolioFrontier[[#This Row],[P55 Growth]])</f>
        <v>1.374966231742059</v>
      </c>
      <c r="HN53" s="27">
        <f>PortfolioFrontier[[#This Row],[P55 Growth]]/PortfolioFrontier[[#This Row],[P55 HWM]]-1</f>
        <v>-2.7050773120359861E-2</v>
      </c>
      <c r="HO53" s="28">
        <f>SUMPRODUCT(INDEX(PortfolioRef[[SPY]:[PE]],MATCH(HO$1,PortfolioRef[Reference '#]),0),AssetMonthlyReturns[[#This Row],[SPY]:[PE]])</f>
        <v>1.5350983506192005E-2</v>
      </c>
      <c r="HP53" s="27">
        <f>IF(ISNUMBER(HP52),HP52*(1+PortfolioFrontier[[#This Row],[P56 Return]]),1+PortfolioFrontier[[#This Row],[P56 Return]])</f>
        <v>1.3304510553432589</v>
      </c>
      <c r="HQ53" s="27">
        <f>MAX(HQ52,PortfolioFrontier[[#This Row],[P56 Growth]])</f>
        <v>1.356266779034806</v>
      </c>
      <c r="HR53" s="27">
        <f>PortfolioFrontier[[#This Row],[P56 Growth]]/PortfolioFrontier[[#This Row],[P56 HWM]]-1</f>
        <v>-1.9034399493231713E-2</v>
      </c>
      <c r="HS53" s="28">
        <f>SUMPRODUCT(INDEX(PortfolioRef[[SPY]:[PE]],MATCH(HS$1,PortfolioRef[Reference '#]),0),AssetMonthlyReturns[[#This Row],[SPY]:[PE]])</f>
        <v>1.5552361837184147E-2</v>
      </c>
      <c r="HT53" s="27">
        <f>IF(ISNUMBER(HT52),HT52*(1+PortfolioFrontier[[#This Row],[P57 Return]]),1+PortfolioFrontier[[#This Row],[P57 Return]])</f>
        <v>1.322730804834054</v>
      </c>
      <c r="HU53" s="27">
        <f>MAX(HU52,PortfolioFrontier[[#This Row],[P57 Growth]])</f>
        <v>1.337595024415057</v>
      </c>
      <c r="HV53" s="27">
        <f>PortfolioFrontier[[#This Row],[P57 Growth]]/PortfolioFrontier[[#This Row],[P57 HWM]]-1</f>
        <v>-1.1112645688483469E-2</v>
      </c>
      <c r="HW53" s="28">
        <f>SUMPRODUCT(INDEX(PortfolioRef[[SPY]:[PE]],MATCH(HW$1,PortfolioRef[Reference '#]),0),AssetMonthlyReturns[[#This Row],[SPY]:[PE]])</f>
        <v>1.4491051801041255E-2</v>
      </c>
      <c r="HX53" s="27">
        <f>IF(ISNUMBER(HX52),HX52*(1+PortfolioFrontier[[#This Row],[P58 Return]]),1+PortfolioFrontier[[#This Row],[P58 Return]])</f>
        <v>1.3248612502328168</v>
      </c>
      <c r="HY53" s="27">
        <f>MAX(HY52,PortfolioFrontier[[#This Row],[P58 Growth]])</f>
        <v>1.3812386241053227</v>
      </c>
      <c r="HZ53" s="27">
        <f>PortfolioFrontier[[#This Row],[P58 Growth]]/PortfolioFrontier[[#This Row],[P58 HWM]]-1</f>
        <v>-4.0816534441341479E-2</v>
      </c>
      <c r="IA53" s="28">
        <f>SUMPRODUCT(INDEX(PortfolioRef[[SPY]:[PE]],MATCH(IA$1,PortfolioRef[Reference '#]),0),AssetMonthlyReturns[[#This Row],[SPY]:[PE]])</f>
        <v>1.4692430132033396E-2</v>
      </c>
      <c r="IB53" s="27">
        <f>IF(ISNUMBER(IB52),IB52*(1+PortfolioFrontier[[#This Row],[P59 Return]]),1+PortfolioFrontier[[#This Row],[P59 Return]])</f>
        <v>1.3179382150427577</v>
      </c>
      <c r="IC53" s="27">
        <f>MAX(IC52,PortfolioFrontier[[#This Row],[P59 Growth]])</f>
        <v>1.362600772073006</v>
      </c>
      <c r="ID53" s="27">
        <f>PortfolioFrontier[[#This Row],[P59 Growth]]/PortfolioFrontier[[#This Row],[P59 HWM]]-1</f>
        <v>-3.2777434113955839E-2</v>
      </c>
      <c r="IE53" s="28">
        <f>SUMPRODUCT(INDEX(PortfolioRef[[SPY]:[PE]],MATCH(IE$1,PortfolioRef[Reference '#]),0),AssetMonthlyReturns[[#This Row],[SPY]:[PE]])</f>
        <v>1.4893808463025538E-2</v>
      </c>
      <c r="IF53" s="27">
        <f>IF(ISNUMBER(IF52),IF52*(1+PortfolioFrontier[[#This Row],[P60 Return]]),1+PortfolioFrontier[[#This Row],[P60 Return]])</f>
        <v>1.3106125293571698</v>
      </c>
      <c r="IG53" s="27">
        <f>MAX(IG52,PortfolioFrontier[[#This Row],[P60 Growth]])</f>
        <v>1.3439867749591152</v>
      </c>
      <c r="IH53" s="27">
        <f>PortfolioFrontier[[#This Row],[P60 Growth]]/PortfolioFrontier[[#This Row],[P60 HWM]]-1</f>
        <v>-2.4832272328692118E-2</v>
      </c>
      <c r="II53" s="28">
        <f>SUMPRODUCT(INDEX(PortfolioRef[[SPY]:[PE]],MATCH(II$1,PortfolioRef[Reference '#]),0),AssetMonthlyReturns[[#This Row],[SPY]:[PE]])</f>
        <v>1.2682797859157248E-2</v>
      </c>
      <c r="IJ53" s="27">
        <f>IF(ISNUMBER(IJ52),IJ52*(1+PortfolioFrontier[[#This Row],[P61 Return]]),1+PortfolioFrontier[[#This Row],[P61 Return]])</f>
        <v>1.3142694894076969</v>
      </c>
      <c r="IK53" s="27">
        <f>MAX(IK52,PortfolioFrontier[[#This Row],[P61 Growth]])</f>
        <v>1.3142694894076969</v>
      </c>
      <c r="IL53" s="27">
        <f>PortfolioFrontier[[#This Row],[P61 Growth]]/PortfolioFrontier[[#This Row],[P61 HWM]]-1</f>
        <v>0</v>
      </c>
      <c r="IM53" s="28">
        <f>SUMPRODUCT(INDEX(PortfolioRef[[SPY]:[PE]],MATCH(IM$1,PortfolioRef[Reference '#]),0),AssetMonthlyReturns[[#This Row],[SPY]:[PE]])</f>
        <v>1.3712207751120697E-2</v>
      </c>
      <c r="IN53" s="27">
        <f>IF(ISNUMBER(IN52),IN52*(1+PortfolioFrontier[[#This Row],[P62 Return]]),1+PortfolioFrontier[[#This Row],[P62 Return]])</f>
        <v>1.3239588731649019</v>
      </c>
      <c r="IO53" s="27">
        <f>MAX(IO52,PortfolioFrontier[[#This Row],[P62 Growth]])</f>
        <v>1.3239588731649019</v>
      </c>
      <c r="IP53" s="27">
        <f>PortfolioFrontier[[#This Row],[P62 Growth]]/PortfolioFrontier[[#This Row],[P62 HWM]]-1</f>
        <v>0</v>
      </c>
      <c r="IQ53" s="28">
        <f>SUMPRODUCT(INDEX(PortfolioRef[[SPY]:[PE]],MATCH(IQ$1,PortfolioRef[Reference '#]),0),AssetMonthlyReturns[[#This Row],[SPY]:[PE]])</f>
        <v>1.3053654376962088E-2</v>
      </c>
      <c r="IR53" s="27">
        <f>IF(ISNUMBER(IR52),IR52*(1+PortfolioFrontier[[#This Row],[P63 Return]]),1+PortfolioFrontier[[#This Row],[P63 Return]])</f>
        <v>1.3124762488785691</v>
      </c>
      <c r="IS53" s="27">
        <f>MAX(IS52,PortfolioFrontier[[#This Row],[P63 Growth]])</f>
        <v>1.3209548791169983</v>
      </c>
      <c r="IT53" s="27">
        <f>PortfolioFrontier[[#This Row],[P63 Growth]]/PortfolioFrontier[[#This Row],[P63 HWM]]-1</f>
        <v>-6.4185615818284081E-3</v>
      </c>
      <c r="IU53" s="28">
        <f>SUMPRODUCT(INDEX(PortfolioRef[[SPY]:[PE]],MATCH(IU$1,PortfolioRef[Reference '#]),0),AssetMonthlyReturns[[#This Row],[SPY]:[PE]])</f>
        <v>1.3255032707954226E-2</v>
      </c>
      <c r="IV53" s="27">
        <f>IF(ISNUMBER(IV52),IV52*(1+PortfolioFrontier[[#This Row],[P64 Return]]),1+PortfolioFrontier[[#This Row],[P64 Return]])</f>
        <v>1.3043200677967008</v>
      </c>
      <c r="IW53" s="27">
        <f>MAX(IW52,PortfolioFrontier[[#This Row],[P64 Growth]])</f>
        <v>1.3043200677967008</v>
      </c>
      <c r="IX53" s="27">
        <f>PortfolioFrontier[[#This Row],[P64 Growth]]/PortfolioFrontier[[#This Row],[P64 HWM]]-1</f>
        <v>0</v>
      </c>
      <c r="IY53" s="28">
        <f>SUMPRODUCT(INDEX(PortfolioRef[[SPY]:[PE]],MATCH(IY$1,PortfolioRef[Reference '#]),0),AssetMonthlyReturns[[#This Row],[SPY]:[PE]])</f>
        <v>1.4741617643084147E-2</v>
      </c>
      <c r="IZ53" s="27">
        <f>IF(ISNUMBER(IZ52),IZ52*(1+PortfolioFrontier[[#This Row],[P65 Return]]),1+PortfolioFrontier[[#This Row],[P65 Return]])</f>
        <v>1.3335760775611643</v>
      </c>
      <c r="JA53" s="27">
        <f>MAX(JA52,PortfolioFrontier[[#This Row],[P65 Growth]])</f>
        <v>1.3335760775611643</v>
      </c>
      <c r="JB53" s="27">
        <f>PortfolioFrontier[[#This Row],[P65 Growth]]/PortfolioFrontier[[#This Row],[P65 HWM]]-1</f>
        <v>0</v>
      </c>
      <c r="JC53" s="28">
        <f>SUMPRODUCT(INDEX(PortfolioRef[[SPY]:[PE]],MATCH(JC$1,PortfolioRef[Reference '#]),0),AssetMonthlyReturns[[#This Row],[SPY]:[PE]])</f>
        <v>1.4083064268925537E-2</v>
      </c>
      <c r="JD53" s="27">
        <f>IF(ISNUMBER(JD52),JD52*(1+PortfolioFrontier[[#This Row],[P66 Return]]),1+PortfolioFrontier[[#This Row],[P66 Return]])</f>
        <v>1.3221375177141517</v>
      </c>
      <c r="JE53" s="27">
        <f>MAX(JE52,PortfolioFrontier[[#This Row],[P66 Growth]])</f>
        <v>1.3258104044199521</v>
      </c>
      <c r="JF53" s="27">
        <f>PortfolioFrontier[[#This Row],[P66 Growth]]/PortfolioFrontier[[#This Row],[P66 HWM]]-1</f>
        <v>-2.7702955818991182E-3</v>
      </c>
      <c r="JG53" s="28">
        <f>SUMPRODUCT(INDEX(PortfolioRef[[SPY]:[PE]],MATCH(JG$1,PortfolioRef[Reference '#]),0),AssetMonthlyReturns[[#This Row],[SPY]:[PE]])</f>
        <v>1.4284442599917676E-2</v>
      </c>
      <c r="JH53" s="27">
        <f>IF(ISNUMBER(JH52),JH52*(1+PortfolioFrontier[[#This Row],[P67 Return]]),1+PortfolioFrontier[[#This Row],[P67 Return]])</f>
        <v>1.3139622558383655</v>
      </c>
      <c r="JI53" s="27">
        <f>MAX(JI52,PortfolioFrontier[[#This Row],[P67 Growth]])</f>
        <v>1.3139622558383655</v>
      </c>
      <c r="JJ53" s="27">
        <f>PortfolioFrontier[[#This Row],[P67 Growth]]/PortfolioFrontier[[#This Row],[P67 HWM]]-1</f>
        <v>0</v>
      </c>
      <c r="JK53" s="28">
        <f>SUMPRODUCT(INDEX(PortfolioRef[[SPY]:[PE]],MATCH(JK$1,PortfolioRef[Reference '#]),0),AssetMonthlyReturns[[#This Row],[SPY]:[PE]])</f>
        <v>1.3424510894766928E-2</v>
      </c>
      <c r="JL53" s="27">
        <f>IF(ISNUMBER(JL52),JL52*(1+PortfolioFrontier[[#This Row],[P68 Return]]),1+PortfolioFrontier[[#This Row],[P68 Return]])</f>
        <v>1.3103269070648023</v>
      </c>
      <c r="JM53" s="27">
        <f>MAX(JM52,PortfolioFrontier[[#This Row],[P68 Growth]])</f>
        <v>1.3323384524872308</v>
      </c>
      <c r="JN53" s="27">
        <f>PortfolioFrontier[[#This Row],[P68 Growth]]/PortfolioFrontier[[#This Row],[P68 HWM]]-1</f>
        <v>-1.6520986376499902E-2</v>
      </c>
      <c r="JO53" s="28">
        <f>SUMPRODUCT(INDEX(PortfolioRef[[SPY]:[PE]],MATCH(JO$1,PortfolioRef[Reference '#]),0),AssetMonthlyReturns[[#This Row],[SPY]:[PE]])</f>
        <v>1.3625889225759066E-2</v>
      </c>
      <c r="JP53" s="27">
        <f>IF(ISNUMBER(JP52),JP52*(1+PortfolioFrontier[[#This Row],[P69 Return]]),1+PortfolioFrontier[[#This Row],[P69 Return]])</f>
        <v>1.3025389608780733</v>
      </c>
      <c r="JQ53" s="27">
        <f>MAX(JQ52,PortfolioFrontier[[#This Row],[P69 Growth]])</f>
        <v>1.3139648547532048</v>
      </c>
      <c r="JR53" s="27">
        <f>PortfolioFrontier[[#This Row],[P69 Growth]]/PortfolioFrontier[[#This Row],[P69 HWM]]-1</f>
        <v>-8.6957378150556153E-3</v>
      </c>
      <c r="JS53" s="28">
        <f>SUMPRODUCT(INDEX(PortfolioRef[[SPY]:[PE]],MATCH(JS$1,PortfolioRef[Reference '#]),0),AssetMonthlyReturns[[#This Row],[SPY]:[PE]])</f>
        <v>1.382726755675121E-2</v>
      </c>
      <c r="JT53" s="27">
        <f>IF(ISNUMBER(JT52),JT52*(1+PortfolioFrontier[[#This Row],[P70 Return]]),1+PortfolioFrontier[[#This Row],[P70 Return]])</f>
        <v>1.2943726780325722</v>
      </c>
      <c r="JU53" s="27">
        <f>MAX(JU52,PortfolioFrontier[[#This Row],[P70 Growth]])</f>
        <v>1.2956247967365477</v>
      </c>
      <c r="JV53" s="27">
        <f>PortfolioFrontier[[#This Row],[P70 Growth]]/PortfolioFrontier[[#This Row],[P70 HWM]]-1</f>
        <v>-9.6642076249964237E-4</v>
      </c>
      <c r="JW53" s="28">
        <f>SUMPRODUCT(INDEX(PortfolioRef[[SPY]:[PE]],MATCH(JW$1,PortfolioRef[Reference '#]),0),AssetMonthlyReturns[[#This Row],[SPY]:[PE]])</f>
        <v>1.511247416088899E-2</v>
      </c>
      <c r="JX53" s="27">
        <f>IF(ISNUMBER(JX52),JX52*(1+PortfolioFrontier[[#This Row],[P71 Return]]),1+PortfolioFrontier[[#This Row],[P71 Return]])</f>
        <v>1.3317266421663005</v>
      </c>
      <c r="JY53" s="27">
        <f>MAX(JY52,PortfolioFrontier[[#This Row],[P71 Growth]])</f>
        <v>1.3317266421663005</v>
      </c>
      <c r="JZ53" s="27">
        <f>PortfolioFrontier[[#This Row],[P71 Growth]]/PortfolioFrontier[[#This Row],[P71 HWM]]-1</f>
        <v>0</v>
      </c>
      <c r="KA53" s="28">
        <f>SUMPRODUCT(INDEX(PortfolioRef[[SPY]:[PE]],MATCH(KA$1,PortfolioRef[Reference '#]),0),AssetMonthlyReturns[[#This Row],[SPY]:[PE]])</f>
        <v>1.5313852491881129E-2</v>
      </c>
      <c r="KB53" s="27">
        <f>IF(ISNUMBER(KB52),KB52*(1+PortfolioFrontier[[#This Row],[P72 Return]]),1+PortfolioFrontier[[#This Row],[P72 Return]])</f>
        <v>1.3235331283242993</v>
      </c>
      <c r="KC53" s="27">
        <f>MAX(KC52,PortfolioFrontier[[#This Row],[P72 Growth]])</f>
        <v>1.3235331283242993</v>
      </c>
      <c r="KD53" s="27">
        <f>PortfolioFrontier[[#This Row],[P72 Growth]]/PortfolioFrontier[[#This Row],[P72 HWM]]-1</f>
        <v>0</v>
      </c>
      <c r="KE53" s="28">
        <f>SUMPRODUCT(INDEX(PortfolioRef[[SPY]:[PE]],MATCH(KE$1,PortfolioRef[Reference '#]),0),AssetMonthlyReturns[[#This Row],[SPY]:[PE]])</f>
        <v>1.4453920786730379E-2</v>
      </c>
      <c r="KF53" s="27">
        <f>IF(ISNUMBER(KF52),KF52*(1+PortfolioFrontier[[#This Row],[P73 Return]]),1+PortfolioFrontier[[#This Row],[P73 Return]])</f>
        <v>1.3199577524795201</v>
      </c>
      <c r="KG53" s="27">
        <f>MAX(KG52,PortfolioFrontier[[#This Row],[P73 Growth]])</f>
        <v>1.337239053451823</v>
      </c>
      <c r="KH53" s="27">
        <f>PortfolioFrontier[[#This Row],[P73 Growth]]/PortfolioFrontier[[#This Row],[P73 HWM]]-1</f>
        <v>-1.2923120161421164E-2</v>
      </c>
      <c r="KI53" s="28">
        <f>SUMPRODUCT(INDEX(PortfolioRef[[SPY]:[PE]],MATCH(KI$1,PortfolioRef[Reference '#]),0),AssetMonthlyReturns[[#This Row],[SPY]:[PE]])</f>
        <v>1.4655299117722519E-2</v>
      </c>
      <c r="KJ53" s="27">
        <f>IF(ISNUMBER(KJ52),KJ52*(1+PortfolioFrontier[[#This Row],[P74 Return]]),1+PortfolioFrontier[[#This Row],[P74 Return]])</f>
        <v>1.3121531930442136</v>
      </c>
      <c r="KK53" s="27">
        <f>MAX(KK52,PortfolioFrontier[[#This Row],[P74 Growth]])</f>
        <v>1.3188210591477281</v>
      </c>
      <c r="KL53" s="27">
        <f>PortfolioFrontier[[#This Row],[P74 Growth]]/PortfolioFrontier[[#This Row],[P74 HWM]]-1</f>
        <v>-5.0559293524047311E-3</v>
      </c>
      <c r="KM53" s="28">
        <f>SUMPRODUCT(INDEX(PortfolioRef[[SPY]:[PE]],MATCH(KM$1,PortfolioRef[Reference '#]),0),AssetMonthlyReturns[[#This Row],[SPY]:[PE]])</f>
        <v>1.485667744871466E-2</v>
      </c>
      <c r="KN53" s="27">
        <f>IF(ISNUMBER(KN52),KN52*(1+PortfolioFrontier[[#This Row],[P75 Return]]),1+PortfolioFrontier[[#This Row],[P75 Return]])</f>
        <v>1.303967284481089</v>
      </c>
      <c r="KO53" s="27">
        <f>MAX(KO52,PortfolioFrontier[[#This Row],[P75 Growth]])</f>
        <v>1.303967284481089</v>
      </c>
      <c r="KP53" s="27">
        <f>PortfolioFrontier[[#This Row],[P75 Growth]]/PortfolioFrontier[[#This Row],[P75 HWM]]-1</f>
        <v>0</v>
      </c>
      <c r="KQ53" s="28">
        <f>SUMPRODUCT(INDEX(PortfolioRef[[SPY]:[PE]],MATCH(KQ$1,PortfolioRef[Reference '#]),0),AssetMonthlyReturns[[#This Row],[SPY]:[PE]])</f>
        <v>1.379536741257177E-2</v>
      </c>
      <c r="KR53" s="27">
        <f>IF(ISNUMBER(KR52),KR52*(1+PortfolioFrontier[[#This Row],[P76 Return]]),1+PortfolioFrontier[[#This Row],[P76 Return]])</f>
        <v>1.3078200248099932</v>
      </c>
      <c r="KS53" s="27">
        <f>MAX(KS52,PortfolioFrontier[[#This Row],[P76 Growth]])</f>
        <v>1.3436451993513385</v>
      </c>
      <c r="KT53" s="27">
        <f>PortfolioFrontier[[#This Row],[P76 Growth]]/PortfolioFrontier[[#This Row],[P76 HWM]]-1</f>
        <v>-2.6662674460966596E-2</v>
      </c>
      <c r="KU53" s="28">
        <f>SUMPRODUCT(INDEX(PortfolioRef[[SPY]:[PE]],MATCH(KU$1,PortfolioRef[Reference '#]),0),AssetMonthlyReturns[[#This Row],[SPY]:[PE]])</f>
        <v>1.399674574356391E-2</v>
      </c>
      <c r="KV53" s="27">
        <f>IF(ISNUMBER(KV52),KV52*(1+PortfolioFrontier[[#This Row],[P77 Return]]),1+PortfolioFrontier[[#This Row],[P77 Return]])</f>
        <v>1.3004044499871246</v>
      </c>
      <c r="KW53" s="27">
        <f>MAX(KW52,PortfolioFrontier[[#This Row],[P77 Growth]])</f>
        <v>1.3252816365276681</v>
      </c>
      <c r="KX53" s="27">
        <f>PortfolioFrontier[[#This Row],[P77 Growth]]/PortfolioFrontier[[#This Row],[P77 HWM]]-1</f>
        <v>-1.8771245186588015E-2</v>
      </c>
      <c r="KY53" s="28">
        <f>SUMPRODUCT(INDEX(PortfolioRef[[SPY]:[PE]],MATCH(KY$1,PortfolioRef[Reference '#]),0),AssetMonthlyReturns[[#This Row],[SPY]:[PE]])</f>
        <v>1.419812407455605E-2</v>
      </c>
      <c r="KZ53" s="27">
        <f>IF(ISNUMBER(KZ52),KZ52*(1+PortfolioFrontier[[#This Row],[P78 Return]]),1+PortfolioFrontier[[#This Row],[P78 Return]])</f>
        <v>1.2926036191918315</v>
      </c>
      <c r="LA53" s="27">
        <f>MAX(LA52,PortfolioFrontier[[#This Row],[P78 Growth]])</f>
        <v>1.3069474504943903</v>
      </c>
      <c r="LB53" s="27">
        <f>PortfolioFrontier[[#This Row],[P78 Growth]]/PortfolioFrontier[[#This Row],[P78 HWM]]-1</f>
        <v>-1.0975063532304041E-2</v>
      </c>
      <c r="LC53" s="28">
        <f>SUMPRODUCT(INDEX(PortfolioRef[[SPY]:[PE]],MATCH(LC$1,PortfolioRef[Reference '#]),0),AssetMonthlyReturns[[#This Row],[SPY]:[PE]])</f>
        <v>1.5483330678693832E-2</v>
      </c>
      <c r="LD53" s="27">
        <f>IF(ISNUMBER(LD52),LD52*(1+PortfolioFrontier[[#This Row],[P79 Return]]),1+PortfolioFrontier[[#This Row],[P79 Return]])</f>
        <v>1.329516509899545</v>
      </c>
      <c r="LE53" s="27">
        <f>MAX(LE52,PortfolioFrontier[[#This Row],[P79 Growth]])</f>
        <v>1.3420264536343358</v>
      </c>
      <c r="LF53" s="27">
        <f>PortfolioFrontier[[#This Row],[P79 Growth]]/PortfolioFrontier[[#This Row],[P79 HWM]]-1</f>
        <v>-9.3216819243113758E-3</v>
      </c>
      <c r="LG53" s="28">
        <f>SUMPRODUCT(INDEX(PortfolioRef[[SPY]:[PE]],MATCH(LG$1,PortfolioRef[Reference '#]),0),AssetMonthlyReturns[[#This Row],[SPY]:[PE]])</f>
        <v>1.5684709009685972E-2</v>
      </c>
      <c r="LH53" s="27">
        <f>IF(ISNUMBER(LH52),LH52*(1+PortfolioFrontier[[#This Row],[P80 Return]]),1+PortfolioFrontier[[#This Row],[P80 Return]])</f>
        <v>1.3216961434870051</v>
      </c>
      <c r="LI53" s="27">
        <f>MAX(LI52,PortfolioFrontier[[#This Row],[P80 Growth]])</f>
        <v>1.3235656560489486</v>
      </c>
      <c r="LJ53" s="27">
        <f>PortfolioFrontier[[#This Row],[P80 Growth]]/PortfolioFrontier[[#This Row],[P80 HWM]]-1</f>
        <v>-1.4124819221467133E-3</v>
      </c>
      <c r="LK53" s="28">
        <f>SUMPRODUCT(INDEX(PortfolioRef[[SPY]:[PE]],MATCH(LK$1,PortfolioRef[Reference '#]),0),AssetMonthlyReturns[[#This Row],[SPY]:[PE]])</f>
        <v>1.5886087340678114E-2</v>
      </c>
      <c r="LL53" s="27">
        <f>IF(ISNUMBER(LL52),LL52*(1+PortfolioFrontier[[#This Row],[P81 Return]]),1+PortfolioFrontier[[#This Row],[P81 Return]])</f>
        <v>1.3134914343401567</v>
      </c>
      <c r="LM53" s="27">
        <f>MAX(LM52,PortfolioFrontier[[#This Row],[P81 Growth]])</f>
        <v>1.3134914343401567</v>
      </c>
      <c r="LN53" s="27">
        <f>PortfolioFrontier[[#This Row],[P81 Growth]]/PortfolioFrontier[[#This Row],[P81 HWM]]-1</f>
        <v>0</v>
      </c>
      <c r="LO53" s="28">
        <f>SUMPRODUCT(INDEX(PortfolioRef[[SPY]:[PE]],MATCH(LO$1,PortfolioRef[Reference '#]),0),AssetMonthlyReturns[[#This Row],[SPY]:[PE]])</f>
        <v>1.4824777304535221E-2</v>
      </c>
      <c r="LP53" s="27">
        <f>IF(ISNUMBER(LP52),LP52*(1+PortfolioFrontier[[#This Row],[P82 Return]]),1+PortfolioFrontier[[#This Row],[P82 Return]])</f>
        <v>1.3174181388229462</v>
      </c>
      <c r="LQ53" s="27">
        <f>MAX(LQ52,PortfolioFrontier[[#This Row],[P82 Growth]])</f>
        <v>1.3485908267233171</v>
      </c>
      <c r="LR53" s="27">
        <f>PortfolioFrontier[[#This Row],[P82 Growth]]/PortfolioFrontier[[#This Row],[P82 HWM]]-1</f>
        <v>-2.3115008112661872E-2</v>
      </c>
      <c r="LS53" s="28">
        <f>SUMPRODUCT(INDEX(PortfolioRef[[SPY]:[PE]],MATCH(LS$1,PortfolioRef[Reference '#]),0),AssetMonthlyReturns[[#This Row],[SPY]:[PE]])</f>
        <v>1.5026155635527361E-2</v>
      </c>
      <c r="LT53" s="27">
        <f>IF(ISNUMBER(LT52),LT52*(1+PortfolioFrontier[[#This Row],[P83 Return]]),1+PortfolioFrontier[[#This Row],[P83 Return]])</f>
        <v>1.3099884290701118</v>
      </c>
      <c r="LU53" s="27">
        <f>MAX(LU52,PortfolioFrontier[[#This Row],[P83 Growth]])</f>
        <v>1.330182929188416</v>
      </c>
      <c r="LV53" s="27">
        <f>PortfolioFrontier[[#This Row],[P83 Growth]]/PortfolioFrontier[[#This Row],[P83 HWM]]-1</f>
        <v>-1.5181746566711229E-2</v>
      </c>
      <c r="LW53" s="28">
        <f>SUMPRODUCT(INDEX(PortfolioRef[[SPY]:[PE]],MATCH(LW$1,PortfolioRef[Reference '#]),0),AssetMonthlyReturns[[#This Row],[SPY]:[PE]])</f>
        <v>1.5227533966519503E-2</v>
      </c>
      <c r="LX53" s="27">
        <f>IF(ISNUMBER(LX52),LX52*(1+PortfolioFrontier[[#This Row],[P84 Return]]),1+PortfolioFrontier[[#This Row],[P84 Return]])</f>
        <v>1.3021704287006739</v>
      </c>
      <c r="LY53" s="27">
        <f>MAX(LY52,PortfolioFrontier[[#This Row],[P84 Growth]])</f>
        <v>1.3118039554968419</v>
      </c>
      <c r="LZ53" s="27">
        <f>PortfolioFrontier[[#This Row],[P84 Growth]]/PortfolioFrontier[[#This Row],[P84 HWM]]-1</f>
        <v>-7.3437244611138652E-3</v>
      </c>
      <c r="MA53" s="28">
        <f>SUMPRODUCT(INDEX(PortfolioRef[[SPY]:[PE]],MATCH(MA$1,PortfolioRef[Reference '#]),0),AssetMonthlyReturns[[#This Row],[SPY]:[PE]])</f>
        <v>1.4166223930376609E-2</v>
      </c>
      <c r="MB53" s="27">
        <f>IF(ISNUMBER(MB52),MB52*(1+PortfolioFrontier[[#This Row],[P85 Return]]),1+PortfolioFrontier[[#This Row],[P85 Return]])</f>
        <v>1.3049543571247901</v>
      </c>
      <c r="MC53" s="27">
        <f>MAX(MC52,PortfolioFrontier[[#This Row],[P85 Growth]])</f>
        <v>1.3548714243118356</v>
      </c>
      <c r="MD53" s="27">
        <f>PortfolioFrontier[[#This Row],[P85 Growth]]/PortfolioFrontier[[#This Row],[P85 HWM]]-1</f>
        <v>-3.6842659968564395E-2</v>
      </c>
      <c r="ME53" s="28">
        <f>SUMPRODUCT(INDEX(PortfolioRef[[SPY]:[PE]],MATCH(ME$1,PortfolioRef[Reference '#]),0),AssetMonthlyReturns[[#This Row],[SPY]:[PE]])</f>
        <v>1.436760226136875E-2</v>
      </c>
      <c r="MF53" s="27">
        <f>IF(ISNUMBER(MF52),MF52*(1+PortfolioFrontier[[#This Row],[P86 Return]]),1+PortfolioFrontier[[#This Row],[P86 Return]])</f>
        <v>1.2979151132712488</v>
      </c>
      <c r="MG53" s="27">
        <f>MAX(MG52,PortfolioFrontier[[#This Row],[P86 Growth]])</f>
        <v>1.3365217491088508</v>
      </c>
      <c r="MH53" s="27">
        <f>PortfolioFrontier[[#This Row],[P86 Growth]]/PortfolioFrontier[[#This Row],[P86 HWM]]-1</f>
        <v>-2.888590167974725E-2</v>
      </c>
      <c r="MI53" s="28">
        <f>SUMPRODUCT(INDEX(PortfolioRef[[SPY]:[PE]],MATCH(MI$1,PortfolioRef[Reference '#]),0),AssetMonthlyReturns[[#This Row],[SPY]:[PE]])</f>
        <v>1.4568980592360892E-2</v>
      </c>
      <c r="MJ53" s="27">
        <f>IF(ISNUMBER(MJ52),MJ52*(1+PortfolioFrontier[[#This Row],[P87 Return]]),1+PortfolioFrontier[[#This Row],[P87 Return]])</f>
        <v>1.2904838502882408</v>
      </c>
      <c r="MK53" s="27">
        <f>MAX(MK52,PortfolioFrontier[[#This Row],[P87 Growth]])</f>
        <v>1.3181972385056435</v>
      </c>
      <c r="ML53" s="27">
        <f>PortfolioFrontier[[#This Row],[P87 Growth]]/PortfolioFrontier[[#This Row],[P87 HWM]]-1</f>
        <v>-2.1023703743166422E-2</v>
      </c>
      <c r="MM53" s="28">
        <f>SUMPRODUCT(INDEX(PortfolioRef[[SPY]:[PE]],MATCH(MM$1,PortfolioRef[Reference '#]),0),AssetMonthlyReturns[[#This Row],[SPY]:[PE]])</f>
        <v>1.585418719649867E-2</v>
      </c>
      <c r="MN53" s="27">
        <f>IF(ISNUMBER(MN52),MN52*(1+PortfolioFrontier[[#This Row],[P88 Return]]),1+PortfolioFrontier[[#This Row],[P88 Return]])</f>
        <v>1.3269442427527103</v>
      </c>
      <c r="MO53" s="27">
        <f>MAX(MO52,PortfolioFrontier[[#This Row],[P88 Growth]])</f>
        <v>1.3534224110032944</v>
      </c>
      <c r="MP53" s="27">
        <f>PortfolioFrontier[[#This Row],[P88 Growth]]/PortfolioFrontier[[#This Row],[P88 HWM]]-1</f>
        <v>-1.9563861241927993E-2</v>
      </c>
      <c r="MQ53" s="28">
        <f>SUMPRODUCT(INDEX(PortfolioRef[[SPY]:[PE]],MATCH(MQ$1,PortfolioRef[Reference '#]),0),AssetMonthlyReturns[[#This Row],[SPY]:[PE]])</f>
        <v>1.6055565527490812E-2</v>
      </c>
      <c r="MR53" s="27">
        <f>IF(ISNUMBER(MR52),MR52*(1+PortfolioFrontier[[#This Row],[P89 Return]]),1+PortfolioFrontier[[#This Row],[P89 Return]])</f>
        <v>1.3195011814403148</v>
      </c>
      <c r="MS53" s="27">
        <f>MAX(MS52,PortfolioFrontier[[#This Row],[P89 Growth]])</f>
        <v>1.3349717707433648</v>
      </c>
      <c r="MT53" s="27">
        <f>PortfolioFrontier[[#This Row],[P89 Growth]]/PortfolioFrontier[[#This Row],[P89 HWM]]-1</f>
        <v>-1.1588701455788386E-2</v>
      </c>
      <c r="MU53" s="28">
        <f>SUMPRODUCT(INDEX(PortfolioRef[[SPY]:[PE]],MATCH(MU$1,PortfolioRef[Reference '#]),0),AssetMonthlyReturns[[#This Row],[SPY]:[PE]])</f>
        <v>1.6256943858482954E-2</v>
      </c>
      <c r="MV53" s="27">
        <f>IF(ISNUMBER(MV52),MV52*(1+PortfolioFrontier[[#This Row],[P90 Return]]),1+PortfolioFrontier[[#This Row],[P90 Return]])</f>
        <v>1.3116668143238661</v>
      </c>
      <c r="MW53" s="27">
        <f>MAX(MW52,PortfolioFrontier[[#This Row],[P90 Growth]])</f>
        <v>1.3165495968207468</v>
      </c>
      <c r="MX53" s="27">
        <f>PortfolioFrontier[[#This Row],[P90 Growth]]/PortfolioFrontier[[#This Row],[P90 HWM]]-1</f>
        <v>-3.7087721637466542E-3</v>
      </c>
      <c r="MY53" s="28">
        <f>SUMPRODUCT(INDEX(PortfolioRef[[SPY]:[PE]],MATCH(MY$1,PortfolioRef[Reference '#]),0),AssetMonthlyReturns[[#This Row],[SPY]:[PE]])</f>
        <v>1.5195633822340059E-2</v>
      </c>
      <c r="MZ53" s="27">
        <f>IF(ISNUMBER(MZ52),MZ52*(1+PortfolioFrontier[[#This Row],[P91 Return]]),1+PortfolioFrontier[[#This Row],[P91 Return]])</f>
        <v>1.3145174334584244</v>
      </c>
      <c r="NA53" s="27">
        <f>MAX(NA52,PortfolioFrontier[[#This Row],[P91 Growth]])</f>
        <v>1.3598620200409506</v>
      </c>
      <c r="NB53" s="27">
        <f>PortfolioFrontier[[#This Row],[P91 Growth]]/PortfolioFrontier[[#This Row],[P91 HWM]]-1</f>
        <v>-3.3344990825731502E-2</v>
      </c>
      <c r="NC53" s="28">
        <f>SUMPRODUCT(INDEX(PortfolioRef[[SPY]:[PE]],MATCH(NC$1,PortfolioRef[Reference '#]),0),AssetMonthlyReturns[[#This Row],[SPY]:[PE]])</f>
        <v>1.5397012153332199E-2</v>
      </c>
      <c r="ND53" s="27">
        <f>IF(ISNUMBER(ND52),ND52*(1+PortfolioFrontier[[#This Row],[P92 Return]]),1+PortfolioFrontier[[#This Row],[P92 Return]])</f>
        <v>1.3074665425991805</v>
      </c>
      <c r="NE53" s="27">
        <f>MAX(NE52,PortfolioFrontier[[#This Row],[P92 Growth]])</f>
        <v>1.3414680804610166</v>
      </c>
      <c r="NF53" s="27">
        <f>PortfolioFrontier[[#This Row],[P92 Growth]]/PortfolioFrontier[[#This Row],[P92 HWM]]-1</f>
        <v>-2.5346512792276732E-2</v>
      </c>
      <c r="NG53" s="28">
        <f>SUMPRODUCT(INDEX(PortfolioRef[[SPY]:[PE]],MATCH(NG$1,PortfolioRef[Reference '#]),0),AssetMonthlyReturns[[#This Row],[SPY]:[PE]])</f>
        <v>1.5598390484324341E-2</v>
      </c>
      <c r="NH53" s="27">
        <f>IF(ISNUMBER(NH52),NH52*(1+PortfolioFrontier[[#This Row],[P93 Return]]),1+PortfolioFrontier[[#This Row],[P93 Return]])</f>
        <v>1.3000205770189688</v>
      </c>
      <c r="NI53" s="27">
        <f>MAX(NI52,PortfolioFrontier[[#This Row],[P93 Growth]])</f>
        <v>1.3230988405777211</v>
      </c>
      <c r="NJ53" s="27">
        <f>PortfolioFrontier[[#This Row],[P93 Growth]]/PortfolioFrontier[[#This Row],[P93 HWM]]-1</f>
        <v>-1.7442584673927564E-2</v>
      </c>
      <c r="NK53" s="28">
        <f>SUMPRODUCT(INDEX(PortfolioRef[[SPY]:[PE]],MATCH(NK$1,PortfolioRef[Reference '#]),0),AssetMonthlyReturns[[#This Row],[SPY]:[PE]])</f>
        <v>1.4537080448181449E-2</v>
      </c>
      <c r="NL53" s="27">
        <f>IF(ISNUMBER(NL52),NL52*(1+PortfolioFrontier[[#This Row],[P94 Return]]),1+PortfolioFrontier[[#This Row],[P94 Return]])</f>
        <v>1.3017288562263296</v>
      </c>
      <c r="NM53" s="27">
        <f>MAX(NM52,PortfolioFrontier[[#This Row],[P94 Growth]])</f>
        <v>1.3660134110915163</v>
      </c>
      <c r="NN53" s="27">
        <f>PortfolioFrontier[[#This Row],[P94 Growth]]/PortfolioFrontier[[#This Row],[P94 HWM]]-1</f>
        <v>-4.7059973455033655E-2</v>
      </c>
      <c r="NO53" s="28">
        <f>SUMPRODUCT(INDEX(PortfolioRef[[SPY]:[PE]],MATCH(NO$1,PortfolioRef[Reference '#]),0),AssetMonthlyReturns[[#This Row],[SPY]:[PE]])</f>
        <v>1.473845877917359E-2</v>
      </c>
      <c r="NP53" s="27">
        <f>IF(ISNUMBER(NP52),NP52*(1+PortfolioFrontier[[#This Row],[P95 Return]]),1+PortfolioFrontier[[#This Row],[P95 Return]])</f>
        <v>1.2950697218168137</v>
      </c>
      <c r="NQ53" s="27">
        <f>MAX(NQ52,PortfolioFrontier[[#This Row],[P95 Growth]])</f>
        <v>1.3476815118095689</v>
      </c>
      <c r="NR53" s="27">
        <f>PortfolioFrontier[[#This Row],[P95 Growth]]/PortfolioFrontier[[#This Row],[P95 HWM]]-1</f>
        <v>-3.9038741373035424E-2</v>
      </c>
      <c r="NS53" s="28">
        <f>SUMPRODUCT(INDEX(PortfolioRef[[SPY]:[PE]],MATCH(NS$1,PortfolioRef[Reference '#]),0),AssetMonthlyReturns[[#This Row],[SPY]:[PE]])</f>
        <v>1.4939837110165732E-2</v>
      </c>
      <c r="NT53" s="27">
        <f>IF(ISNUMBER(NT52),NT52*(1+PortfolioFrontier[[#This Row],[P96 Return]]),1+PortfolioFrontier[[#This Row],[P96 Return]])</f>
        <v>1.2880119667085237</v>
      </c>
      <c r="NU53" s="27">
        <f>MAX(NU52,PortfolioFrontier[[#This Row],[P96 Growth]])</f>
        <v>1.3293705166761522</v>
      </c>
      <c r="NV53" s="27">
        <f>PortfolioFrontier[[#This Row],[P96 Growth]]/PortfolioFrontier[[#This Row],[P96 HWM]]-1</f>
        <v>-3.1111378993900041E-2</v>
      </c>
      <c r="NW53" s="28">
        <f>SUMPRODUCT(INDEX(PortfolioRef[[SPY]:[PE]],MATCH(NW$1,PortfolioRef[Reference '#]),0),AssetMonthlyReturns[[#This Row],[SPY]:[PE]])</f>
        <v>1.23579699884926E-2</v>
      </c>
      <c r="NX53" s="27">
        <f>IF(ISNUMBER(NX52),NX52*(1+PortfolioFrontier[[#This Row],[P97 Return]]),1+PortfolioFrontier[[#This Row],[P97 Return]])</f>
        <v>1.2931999198051867</v>
      </c>
      <c r="NY53" s="27">
        <f>MAX(NY52,PortfolioFrontier[[#This Row],[P97 Growth]])</f>
        <v>1.2931999198051867</v>
      </c>
      <c r="NZ53" s="27">
        <f>PortfolioFrontier[[#This Row],[P97 Growth]]/PortfolioFrontier[[#This Row],[P97 HWM]]-1</f>
        <v>0</v>
      </c>
      <c r="OA53" s="28">
        <f>SUMPRODUCT(INDEX(PortfolioRef[[SPY]:[PE]],MATCH(OA$1,PortfolioRef[Reference '#]),0),AssetMonthlyReturns[[#This Row],[SPY]:[PE]])</f>
        <v>1.3387379880456053E-2</v>
      </c>
      <c r="OB53" s="27">
        <f>IF(ISNUMBER(OB52),OB52*(1+PortfolioFrontier[[#This Row],[P98 Return]]),1+PortfolioFrontier[[#This Row],[P98 Return]])</f>
        <v>1.3027378392106965</v>
      </c>
      <c r="OC53" s="27">
        <f>MAX(OC52,PortfolioFrontier[[#This Row],[P98 Growth]])</f>
        <v>1.3027378392106965</v>
      </c>
      <c r="OD53" s="27">
        <f>PortfolioFrontier[[#This Row],[P98 Growth]]/PortfolioFrontier[[#This Row],[P98 HWM]]-1</f>
        <v>0</v>
      </c>
      <c r="OE53" s="28">
        <f>SUMPRODUCT(INDEX(PortfolioRef[[SPY]:[PE]],MATCH(OE$1,PortfolioRef[Reference '#]),0),AssetMonthlyReturns[[#This Row],[SPY]:[PE]])</f>
        <v>1.2728826506297444E-2</v>
      </c>
      <c r="OF53" s="27">
        <f>IF(ISNUMBER(OF52),OF52*(1+PortfolioFrontier[[#This Row],[P99 Return]]),1+PortfolioFrontier[[#This Row],[P99 Return]])</f>
        <v>1.2916783100749309</v>
      </c>
      <c r="OG53" s="27">
        <f>MAX(OG52,PortfolioFrontier[[#This Row],[P99 Growth]])</f>
        <v>1.2952406179801268</v>
      </c>
      <c r="OH53" s="27">
        <f>PortfolioFrontier[[#This Row],[P99 Growth]]/PortfolioFrontier[[#This Row],[P99 HWM]]-1</f>
        <v>-2.7503058935498537E-3</v>
      </c>
      <c r="OI53" s="28">
        <f>SUMPRODUCT(INDEX(PortfolioRef[[SPY]:[PE]],MATCH(OI$1,PortfolioRef[Reference '#]),0),AssetMonthlyReturns[[#This Row],[SPY]:[PE]])</f>
        <v>1.2930204837289582E-2</v>
      </c>
      <c r="OJ53" s="27">
        <f>IF(ISNUMBER(OJ52),OJ52*(1+PortfolioFrontier[[#This Row],[P100 Return]]),1+PortfolioFrontier[[#This Row],[P100 Return]])</f>
        <v>1.2834410057940311</v>
      </c>
      <c r="OK53" s="27">
        <f>MAX(OK52,PortfolioFrontier[[#This Row],[P100 Growth]])</f>
        <v>1.2834410057940311</v>
      </c>
      <c r="OL53" s="27">
        <f>PortfolioFrontier[[#This Row],[P100 Growth]]/PortfolioFrontier[[#This Row],[P100 HWM]]-1</f>
        <v>0</v>
      </c>
      <c r="OM53" s="28">
        <f>SUMPRODUCT(INDEX(PortfolioRef[[SPY]:[PE]],MATCH(OM$1,PortfolioRef[Reference '#]),0),AssetMonthlyReturns[[#This Row],[SPY]:[PE]])</f>
        <v>1.4416789772419503E-2</v>
      </c>
      <c r="ON53" s="27">
        <f>IF(ISNUMBER(ON52),ON52*(1+PortfolioFrontier[[#This Row],[P101 Return]]),1+PortfolioFrontier[[#This Row],[P101 Return]])</f>
        <v>1.3122045351471283</v>
      </c>
      <c r="OO53" s="27">
        <f>MAX(OO52,PortfolioFrontier[[#This Row],[P101 Growth]])</f>
        <v>1.3122045351471283</v>
      </c>
      <c r="OP53" s="27">
        <f>PortfolioFrontier[[#This Row],[P101 Growth]]/PortfolioFrontier[[#This Row],[P101 HWM]]-1</f>
        <v>0</v>
      </c>
      <c r="OQ53" s="28">
        <f>SUMPRODUCT(INDEX(PortfolioRef[[SPY]:[PE]],MATCH(OQ$1,PortfolioRef[Reference '#]),0),AssetMonthlyReturns[[#This Row],[SPY]:[PE]])</f>
        <v>1.3758236398260893E-2</v>
      </c>
      <c r="OR53" s="27">
        <f>IF(ISNUMBER(OR52),OR52*(1+PortfolioFrontier[[#This Row],[P102 Return]]),1+PortfolioFrontier[[#This Row],[P102 Return]])</f>
        <v>1.3011901167241779</v>
      </c>
      <c r="OS53" s="27">
        <f>MAX(OS52,PortfolioFrontier[[#This Row],[P102 Growth]])</f>
        <v>1.3011901167241779</v>
      </c>
      <c r="OT53" s="27">
        <f>PortfolioFrontier[[#This Row],[P102 Growth]]/PortfolioFrontier[[#This Row],[P102 HWM]]-1</f>
        <v>0</v>
      </c>
      <c r="OU53" s="28">
        <f>SUMPRODUCT(INDEX(PortfolioRef[[SPY]:[PE]],MATCH(OU$1,PortfolioRef[Reference '#]),0),AssetMonthlyReturns[[#This Row],[SPY]:[PE]])</f>
        <v>1.3959614729253032E-2</v>
      </c>
      <c r="OV53" s="27">
        <f>IF(ISNUMBER(OV52),OV52*(1+PortfolioFrontier[[#This Row],[P103 Return]]),1+PortfolioFrontier[[#This Row],[P103 Return]])</f>
        <v>1.2929327094885268</v>
      </c>
      <c r="OW53" s="27">
        <f>MAX(OW52,PortfolioFrontier[[#This Row],[P103 Growth]])</f>
        <v>1.2929327094885268</v>
      </c>
      <c r="OX53" s="27">
        <f>PortfolioFrontier[[#This Row],[P103 Growth]]/PortfolioFrontier[[#This Row],[P103 HWM]]-1</f>
        <v>0</v>
      </c>
      <c r="OY53" s="28">
        <f>SUMPRODUCT(INDEX(PortfolioRef[[SPY]:[PE]],MATCH(OY$1,PortfolioRef[Reference '#]),0),AssetMonthlyReturns[[#This Row],[SPY]:[PE]])</f>
        <v>1.3099683024102284E-2</v>
      </c>
      <c r="OZ53" s="27">
        <f>IF(ISNUMBER(OZ52),OZ52*(1+PortfolioFrontier[[#This Row],[P104 Return]]),1+PortfolioFrontier[[#This Row],[P104 Return]])</f>
        <v>1.2898076412509152</v>
      </c>
      <c r="PA53" s="27">
        <f>MAX(PA52,PortfolioFrontier[[#This Row],[P104 Growth]])</f>
        <v>1.3065024022164191</v>
      </c>
      <c r="PB53" s="27">
        <f>PortfolioFrontier[[#This Row],[P104 Growth]]/PortfolioFrontier[[#This Row],[P104 HWM]]-1</f>
        <v>-1.2778209161484977E-2</v>
      </c>
      <c r="PC53" s="28">
        <f>SUMPRODUCT(INDEX(PortfolioRef[[SPY]:[PE]],MATCH(PC$1,PortfolioRef[Reference '#]),0),AssetMonthlyReturns[[#This Row],[SPY]:[PE]])</f>
        <v>1.3301061355094422E-2</v>
      </c>
      <c r="PD53" s="27">
        <f>IF(ISNUMBER(PD52),PD52*(1+PortfolioFrontier[[#This Row],[P105 Return]]),1+PortfolioFrontier[[#This Row],[P105 Return]])</f>
        <v>1.2819296018348161</v>
      </c>
      <c r="PE53" s="27">
        <f>MAX(PE52,PortfolioFrontier[[#This Row],[P105 Growth]])</f>
        <v>1.2884201892437714</v>
      </c>
      <c r="PF53" s="27">
        <f>PortfolioFrontier[[#This Row],[P105 Growth]]/PortfolioFrontier[[#This Row],[P105 HWM]]-1</f>
        <v>-5.0376324922112303E-3</v>
      </c>
      <c r="PG53" s="28">
        <f>SUMPRODUCT(INDEX(PortfolioRef[[SPY]:[PE]],MATCH(PG$1,PortfolioRef[Reference '#]),0),AssetMonthlyReturns[[#This Row],[SPY]:[PE]])</f>
        <v>1.3502439686086566E-2</v>
      </c>
      <c r="PH53" s="27">
        <f>IF(ISNUMBER(PH52),PH52*(1+PortfolioFrontier[[#This Row],[P106 Return]]),1+PortfolioFrontier[[#This Row],[P106 Return]])</f>
        <v>1.2736836791470296</v>
      </c>
      <c r="PI53" s="27">
        <f>MAX(PI52,PortfolioFrontier[[#This Row],[P106 Growth]])</f>
        <v>1.2736836791470296</v>
      </c>
      <c r="PJ53" s="27">
        <f>PortfolioFrontier[[#This Row],[P106 Growth]]/PortfolioFrontier[[#This Row],[P106 HWM]]-1</f>
        <v>0</v>
      </c>
      <c r="PK53" s="28">
        <f>SUMPRODUCT(INDEX(PortfolioRef[[SPY]:[PE]],MATCH(PK$1,PortfolioRef[Reference '#]),0),AssetMonthlyReturns[[#This Row],[SPY]:[PE]])</f>
        <v>1.4787646290224346E-2</v>
      </c>
      <c r="PL53" s="27">
        <f>IF(ISNUMBER(PL52),PL52*(1+PortfolioFrontier[[#This Row],[P107 Return]]),1+PortfolioFrontier[[#This Row],[P107 Return]])</f>
        <v>1.3106307196470279</v>
      </c>
      <c r="PM53" s="27">
        <f>MAX(PM52,PortfolioFrontier[[#This Row],[P107 Growth]])</f>
        <v>1.3106307196470279</v>
      </c>
      <c r="PN53" s="27">
        <f>PortfolioFrontier[[#This Row],[P107 Growth]]/PortfolioFrontier[[#This Row],[P107 HWM]]-1</f>
        <v>0</v>
      </c>
      <c r="PO53" s="28">
        <f>SUMPRODUCT(INDEX(PortfolioRef[[SPY]:[PE]],MATCH(PO$1,PortfolioRef[Reference '#]),0),AssetMonthlyReturns[[#This Row],[SPY]:[PE]])</f>
        <v>1.4989024621216485E-2</v>
      </c>
      <c r="PP53" s="27">
        <f>IF(ISNUMBER(PP52),PP52*(1+PortfolioFrontier[[#This Row],[P108 Return]]),1+PortfolioFrontier[[#This Row],[P108 Return]])</f>
        <v>1.3023540405804186</v>
      </c>
      <c r="PQ53" s="27">
        <f>MAX(PQ52,PortfolioFrontier[[#This Row],[P108 Growth]])</f>
        <v>1.3023540405804186</v>
      </c>
      <c r="PR53" s="27">
        <f>PortfolioFrontier[[#This Row],[P108 Growth]]/PortfolioFrontier[[#This Row],[P108 HWM]]-1</f>
        <v>0</v>
      </c>
      <c r="PS53" s="28">
        <f>SUMPRODUCT(INDEX(PortfolioRef[[SPY]:[PE]],MATCH(PS$1,PortfolioRef[Reference '#]),0),AssetMonthlyReturns[[#This Row],[SPY]:[PE]])</f>
        <v>1.4129092916065735E-2</v>
      </c>
      <c r="PT53" s="27">
        <f>IF(ISNUMBER(PT52),PT52*(1+PortfolioFrontier[[#This Row],[P109 Return]]),1+PortfolioFrontier[[#This Row],[P109 Return]])</f>
        <v>1.2992910674938687</v>
      </c>
      <c r="PU53" s="27">
        <f>MAX(PU52,PortfolioFrontier[[#This Row],[P109 Growth]])</f>
        <v>1.3112848935250687</v>
      </c>
      <c r="PV53" s="27">
        <f>PortfolioFrontier[[#This Row],[P109 Growth]]/PortfolioFrontier[[#This Row],[P109 HWM]]-1</f>
        <v>-9.1466210664240544E-3</v>
      </c>
      <c r="PW53" s="28">
        <f>SUMPRODUCT(INDEX(PortfolioRef[[SPY]:[PE]],MATCH(PW$1,PortfolioRef[Reference '#]),0),AssetMonthlyReturns[[#This Row],[SPY]:[PE]])</f>
        <v>1.4330471247057875E-2</v>
      </c>
      <c r="PX53" s="27">
        <f>IF(ISNUMBER(PX52),PX52*(1+PortfolioFrontier[[#This Row],[P110 Return]]),1+PortfolioFrontier[[#This Row],[P110 Return]])</f>
        <v>1.2913953420009308</v>
      </c>
      <c r="PY53" s="27">
        <f>MAX(PY52,PortfolioFrontier[[#This Row],[P110 Growth]])</f>
        <v>1.2931592955766995</v>
      </c>
      <c r="PZ53" s="27">
        <f>PortfolioFrontier[[#This Row],[P110 Growth]]/PortfolioFrontier[[#This Row],[P110 HWM]]-1</f>
        <v>-1.364065186556962E-3</v>
      </c>
      <c r="QA53" s="28">
        <f>SUMPRODUCT(INDEX(PortfolioRef[[SPY]:[PE]],MATCH(QA$1,PortfolioRef[Reference '#]),0),AssetMonthlyReturns[[#This Row],[SPY]:[PE]])</f>
        <v>1.4531849578050015E-2</v>
      </c>
      <c r="QB53" s="27">
        <f>IF(ISNUMBER(QB52),QB52*(1+PortfolioFrontier[[#This Row],[P111 Return]]),1+PortfolioFrontier[[#This Row],[P111 Return]])</f>
        <v>1.2831287851301978</v>
      </c>
      <c r="QC53" s="27">
        <f>MAX(QC52,PortfolioFrontier[[#This Row],[P111 Growth]])</f>
        <v>1.2831287851301978</v>
      </c>
      <c r="QD53" s="27">
        <f>PortfolioFrontier[[#This Row],[P111 Growth]]/PortfolioFrontier[[#This Row],[P111 HWM]]-1</f>
        <v>0</v>
      </c>
      <c r="QE53" s="28">
        <f>SUMPRODUCT(INDEX(PortfolioRef[[SPY]:[PE]],MATCH(QE$1,PortfolioRef[Reference '#]),0),AssetMonthlyReturns[[#This Row],[SPY]:[PE]])</f>
        <v>1.3470539541907123E-2</v>
      </c>
      <c r="QF53" s="27">
        <f>IF(ISNUMBER(QF52),QF52*(1+PortfolioFrontier[[#This Row],[P112 Return]]),1+PortfolioFrontier[[#This Row],[P112 Return]])</f>
        <v>1.2875863670040348</v>
      </c>
      <c r="QG53" s="27">
        <f>MAX(QG52,PortfolioFrontier[[#This Row],[P112 Growth]])</f>
        <v>1.3176907510393581</v>
      </c>
      <c r="QH53" s="27">
        <f>PortfolioFrontier[[#This Row],[P112 Growth]]/PortfolioFrontier[[#This Row],[P112 HWM]]-1</f>
        <v>-2.2846319602363274E-2</v>
      </c>
      <c r="QI53" s="28">
        <f>SUMPRODUCT(INDEX(PortfolioRef[[SPY]:[PE]],MATCH(QI$1,PortfolioRef[Reference '#]),0),AssetMonthlyReturns[[#This Row],[SPY]:[PE]])</f>
        <v>1.3671917872899264E-2</v>
      </c>
      <c r="QJ53" s="27">
        <f>IF(ISNUMBER(QJ52),QJ52*(1+PortfolioFrontier[[#This Row],[P113 Return]]),1+PortfolioFrontier[[#This Row],[P113 Return]])</f>
        <v>1.2800717719739516</v>
      </c>
      <c r="QK53" s="27">
        <f>MAX(QK52,PortfolioFrontier[[#This Row],[P113 Growth]])</f>
        <v>1.2996163919358374</v>
      </c>
      <c r="QL53" s="27">
        <f>PortfolioFrontier[[#This Row],[P113 Growth]]/PortfolioFrontier[[#This Row],[P113 HWM]]-1</f>
        <v>-1.5038760732136724E-2</v>
      </c>
      <c r="QM53" s="28">
        <f>SUMPRODUCT(INDEX(PortfolioRef[[SPY]:[PE]],MATCH(QM$1,PortfolioRef[Reference '#]),0),AssetMonthlyReturns[[#This Row],[SPY]:[PE]])</f>
        <v>1.3873296203891406E-2</v>
      </c>
      <c r="QN53" s="27">
        <f>IF(ISNUMBER(QN52),QN52*(1+PortfolioFrontier[[#This Row],[P114 Return]]),1+PortfolioFrontier[[#This Row],[P114 Return]])</f>
        <v>1.2721823980125113</v>
      </c>
      <c r="QO53" s="27">
        <f>MAX(QO52,PortfolioFrontier[[#This Row],[P114 Growth]])</f>
        <v>1.2815725573685524</v>
      </c>
      <c r="QP53" s="27">
        <f>PortfolioFrontier[[#This Row],[P114 Growth]]/PortfolioFrontier[[#This Row],[P114 HWM]]-1</f>
        <v>-7.3270602604988966E-3</v>
      </c>
      <c r="QQ53" s="28">
        <f>SUMPRODUCT(INDEX(PortfolioRef[[SPY]:[PE]],MATCH(QQ$1,PortfolioRef[Reference '#]),0),AssetMonthlyReturns[[#This Row],[SPY]:[PE]])</f>
        <v>1.5158502808029184E-2</v>
      </c>
      <c r="QR53" s="27">
        <f>IF(ISNUMBER(QR52),QR52*(1+PortfolioFrontier[[#This Row],[P115 Return]]),1+PortfolioFrontier[[#This Row],[P115 Return]])</f>
        <v>1.30870333079117</v>
      </c>
      <c r="QS53" s="27">
        <f>MAX(QS52,PortfolioFrontier[[#This Row],[P115 Growth]])</f>
        <v>1.3159560471384115</v>
      </c>
      <c r="QT53" s="27">
        <f>PortfolioFrontier[[#This Row],[P115 Growth]]/PortfolioFrontier[[#This Row],[P115 HWM]]-1</f>
        <v>-5.5113667078872108E-3</v>
      </c>
      <c r="QU53" s="28">
        <f>SUMPRODUCT(INDEX(PortfolioRef[[SPY]:[PE]],MATCH(QU$1,PortfolioRef[Reference '#]),0),AssetMonthlyReturns[[#This Row],[SPY]:[PE]])</f>
        <v>1.5359881139021325E-2</v>
      </c>
      <c r="QV53" s="27">
        <f>IF(ISNUMBER(QV52),QV52*(1+PortfolioFrontier[[#This Row],[P116 Return]]),1+PortfolioFrontier[[#This Row],[P116 Return]])</f>
        <v>1.3007907283299309</v>
      </c>
      <c r="QW53" s="27">
        <f>MAX(QW52,PortfolioFrontier[[#This Row],[P116 Growth]])</f>
        <v>1.3007907283299309</v>
      </c>
      <c r="QX53" s="27">
        <f>PortfolioFrontier[[#This Row],[P116 Growth]]/PortfolioFrontier[[#This Row],[P116 HWM]]-1</f>
        <v>0</v>
      </c>
      <c r="QY53" s="28">
        <f>SUMPRODUCT(INDEX(PortfolioRef[[SPY]:[PE]],MATCH(QY$1,PortfolioRef[Reference '#]),0),AssetMonthlyReturns[[#This Row],[SPY]:[PE]])</f>
        <v>1.5561259470013465E-2</v>
      </c>
      <c r="QZ53" s="27">
        <f>IF(ISNUMBER(QZ52),QZ52*(1+PortfolioFrontier[[#This Row],[P117 Return]]),1+PortfolioFrontier[[#This Row],[P117 Return]])</f>
        <v>1.2925043646367336</v>
      </c>
      <c r="RA53" s="27">
        <f>MAX(RA52,PortfolioFrontier[[#This Row],[P117 Growth]])</f>
        <v>1.2925043646367336</v>
      </c>
      <c r="RB53" s="27">
        <f>PortfolioFrontier[[#This Row],[P117 Growth]]/PortfolioFrontier[[#This Row],[P117 HWM]]-1</f>
        <v>0</v>
      </c>
      <c r="RC53" s="28">
        <f>SUMPRODUCT(INDEX(PortfolioRef[[SPY]:[PE]],MATCH(RC$1,PortfolioRef[Reference '#]),0),AssetMonthlyReturns[[#This Row],[SPY]:[PE]])</f>
        <v>1.4499949433870573E-2</v>
      </c>
      <c r="RD53" s="27">
        <f>IF(ISNUMBER(RD52),RD52*(1+PortfolioFrontier[[#This Row],[P118 Return]]),1+PortfolioFrontier[[#This Row],[P118 Return]])</f>
        <v>1.2970391449216718</v>
      </c>
      <c r="RE53" s="27">
        <f>MAX(RE52,PortfolioFrontier[[#This Row],[P118 Growth]])</f>
        <v>1.3225174493438376</v>
      </c>
      <c r="RF53" s="27">
        <f>PortfolioFrontier[[#This Row],[P118 Growth]]/PortfolioFrontier[[#This Row],[P118 HWM]]-1</f>
        <v>-1.926500435575107E-2</v>
      </c>
      <c r="RG53" s="28">
        <f>SUMPRODUCT(INDEX(PortfolioRef[[SPY]:[PE]],MATCH(RG$1,PortfolioRef[Reference '#]),0),AssetMonthlyReturns[[#This Row],[SPY]:[PE]])</f>
        <v>1.4701327764862713E-2</v>
      </c>
      <c r="RH53" s="27">
        <f>IF(ISNUMBER(RH52),RH52*(1+PortfolioFrontier[[#This Row],[P119 Return]]),1+PortfolioFrontier[[#This Row],[P119 Return]])</f>
        <v>1.2895092919858022</v>
      </c>
      <c r="RI53" s="27">
        <f>MAX(RI52,PortfolioFrontier[[#This Row],[P119 Growth]])</f>
        <v>1.3043997631477102</v>
      </c>
      <c r="RJ53" s="27">
        <f>PortfolioFrontier[[#This Row],[P119 Growth]]/PortfolioFrontier[[#This Row],[P119 HWM]]-1</f>
        <v>-1.1415573340779472E-2</v>
      </c>
      <c r="RK53" s="28">
        <f>SUMPRODUCT(INDEX(PortfolioRef[[SPY]:[PE]],MATCH(RK$1,PortfolioRef[Reference '#]),0),AssetMonthlyReturns[[#This Row],[SPY]:[PE]])</f>
        <v>1.4902706095854855E-2</v>
      </c>
      <c r="RL53" s="27">
        <f>IF(ISNUMBER(RL52),RL52*(1+PortfolioFrontier[[#This Row],[P120 Return]]),1+PortfolioFrontier[[#This Row],[P120 Return]])</f>
        <v>1.2816016895371014</v>
      </c>
      <c r="RM53" s="27">
        <f>MAX(RM52,PortfolioFrontier[[#This Row],[P120 Growth]])</f>
        <v>1.2863121583700958</v>
      </c>
      <c r="RN53" s="27">
        <f>PortfolioFrontier[[#This Row],[P120 Growth]]/PortfolioFrontier[[#This Row],[P120 HWM]]-1</f>
        <v>-3.6619951093077585E-3</v>
      </c>
      <c r="RO53" s="28">
        <f>SUMPRODUCT(INDEX(PortfolioRef[[SPY]:[PE]],MATCH(RO$1,PortfolioRef[Reference '#]),0),AssetMonthlyReturns[[#This Row],[SPY]:[PE]])</f>
        <v>1.3841396059711963E-2</v>
      </c>
      <c r="RP53" s="27">
        <f>IF(ISNUMBER(RP52),RP52*(1+PortfolioFrontier[[#This Row],[P121 Return]]),1+PortfolioFrontier[[#This Row],[P121 Return]])</f>
        <v>1.2850131297069336</v>
      </c>
      <c r="RQ53" s="27">
        <f>MAX(RQ52,PortfolioFrontier[[#This Row],[P121 Growth]])</f>
        <v>1.328802042358554</v>
      </c>
      <c r="RR53" s="27">
        <f>PortfolioFrontier[[#This Row],[P121 Growth]]/PortfolioFrontier[[#This Row],[P121 HWM]]-1</f>
        <v>-3.295367651143688E-2</v>
      </c>
      <c r="RS53" s="28">
        <f>SUMPRODUCT(INDEX(PortfolioRef[[SPY]:[PE]],MATCH(RS$1,PortfolioRef[Reference '#]),0),AssetMonthlyReturns[[#This Row],[SPY]:[PE]])</f>
        <v>1.4042774390704104E-2</v>
      </c>
      <c r="RT53" s="27">
        <f>IF(ISNUMBER(RT52),RT52*(1+PortfolioFrontier[[#This Row],[P122 Return]]),1+PortfolioFrontier[[#This Row],[P122 Return]])</f>
        <v>1.2778659876228953</v>
      </c>
      <c r="RU53" s="27">
        <f>MAX(RU52,PortfolioFrontier[[#This Row],[P122 Growth]])</f>
        <v>1.3107393059993191</v>
      </c>
      <c r="RV53" s="27">
        <f>PortfolioFrontier[[#This Row],[P122 Growth]]/PortfolioFrontier[[#This Row],[P122 HWM]]-1</f>
        <v>-2.5079982133717205E-2</v>
      </c>
      <c r="RW53" s="28">
        <f>SUMPRODUCT(INDEX(PortfolioRef[[SPY]:[PE]],MATCH(RW$1,PortfolioRef[Reference '#]),0),AssetMonthlyReturns[[#This Row],[SPY]:[PE]])</f>
        <v>1.4244152721696246E-2</v>
      </c>
      <c r="RX53" s="27">
        <f>IF(ISNUMBER(RX52),RX52*(1+PortfolioFrontier[[#This Row],[P123 Return]]),1+PortfolioFrontier[[#This Row],[P123 Return]])</f>
        <v>1.2703373209757738</v>
      </c>
      <c r="RY53" s="27">
        <f>MAX(RY52,PortfolioFrontier[[#This Row],[P123 Growth]])</f>
        <v>1.2927029744957004</v>
      </c>
      <c r="RZ53" s="27">
        <f>PortfolioFrontier[[#This Row],[P123 Growth]]/PortfolioFrontier[[#This Row],[P123 HWM]]-1</f>
        <v>-1.7301463647247939E-2</v>
      </c>
      <c r="SA53" s="28">
        <f>SUMPRODUCT(INDEX(PortfolioRef[[SPY]:[PE]],MATCH(SA$1,PortfolioRef[Reference '#]),0),AssetMonthlyReturns[[#This Row],[SPY]:[PE]])</f>
        <v>1.5529359325834026E-2</v>
      </c>
      <c r="SB53" s="27">
        <f>IF(ISNUMBER(SB52),SB52*(1+PortfolioFrontier[[#This Row],[P124 Return]]),1+PortfolioFrontier[[#This Row],[P124 Return]])</f>
        <v>1.3064208218304854</v>
      </c>
      <c r="SC53" s="27">
        <f>MAX(SC52,PortfolioFrontier[[#This Row],[P124 Growth]])</f>
        <v>1.327231972207175</v>
      </c>
      <c r="SD53" s="27">
        <f>PortfolioFrontier[[#This Row],[P124 Growth]]/PortfolioFrontier[[#This Row],[P124 HWM]]-1</f>
        <v>-1.5680115317054155E-2</v>
      </c>
      <c r="SE53" s="28">
        <f>SUMPRODUCT(INDEX(PortfolioRef[[SPY]:[PE]],MATCH(SE$1,PortfolioRef[Reference '#]),0),AssetMonthlyReturns[[#This Row],[SPY]:[PE]])</f>
        <v>1.5730737656826168E-2</v>
      </c>
      <c r="SF53" s="27">
        <f>IF(ISNUMBER(SF52),SF52*(1+PortfolioFrontier[[#This Row],[P125 Return]]),1+PortfolioFrontier[[#This Row],[P125 Return]])</f>
        <v>1.2988764977355962</v>
      </c>
      <c r="SG53" s="27">
        <f>MAX(SG52,PortfolioFrontier[[#This Row],[P125 Growth]])</f>
        <v>1.3090725302079753</v>
      </c>
      <c r="SH53" s="27">
        <f>PortfolioFrontier[[#This Row],[P125 Growth]]/PortfolioFrontier[[#This Row],[P125 HWM]]-1</f>
        <v>-7.7887452659015644E-3</v>
      </c>
      <c r="SI53" s="28">
        <f>SUMPRODUCT(INDEX(PortfolioRef[[SPY]:[PE]],MATCH(SI$1,PortfolioRef[Reference '#]),0),AssetMonthlyReturns[[#This Row],[SPY]:[PE]])</f>
        <v>1.593211598781831E-2</v>
      </c>
      <c r="SJ53" s="27">
        <f>IF(ISNUMBER(SJ52),SJ52*(1+PortfolioFrontier[[#This Row],[P126 Return]]),1+PortfolioFrontier[[#This Row],[P126 Return]])</f>
        <v>1.2909514723888988</v>
      </c>
      <c r="SK53" s="27">
        <f>MAX(SK52,PortfolioFrontier[[#This Row],[P126 Growth]])</f>
        <v>1.2909514723888988</v>
      </c>
      <c r="SL53" s="27">
        <f>PortfolioFrontier[[#This Row],[P126 Growth]]/PortfolioFrontier[[#This Row],[P126 HWM]]-1</f>
        <v>0</v>
      </c>
      <c r="SM53" s="28">
        <f>SUMPRODUCT(INDEX(PortfolioRef[[SPY]:[PE]],MATCH(SM$1,PortfolioRef[Reference '#]),0),AssetMonthlyReturns[[#This Row],[SPY]:[PE]])</f>
        <v>1.4870805951675415E-2</v>
      </c>
      <c r="SN53" s="27">
        <f>IF(ISNUMBER(SN52),SN52*(1+PortfolioFrontier[[#This Row],[P127 Return]]),1+PortfolioFrontier[[#This Row],[P127 Return]])</f>
        <v>1.2944329922679749</v>
      </c>
      <c r="SO53" s="27">
        <f>MAX(SO52,PortfolioFrontier[[#This Row],[P127 Growth]])</f>
        <v>1.3336728958457496</v>
      </c>
      <c r="SP53" s="27">
        <f>PortfolioFrontier[[#This Row],[P127 Growth]]/PortfolioFrontier[[#This Row],[P127 HWM]]-1</f>
        <v>-2.9422434616466098E-2</v>
      </c>
      <c r="SQ53" s="28">
        <f>SUMPRODUCT(INDEX(PortfolioRef[[SPY]:[PE]],MATCH(SQ$1,PortfolioRef[Reference '#]),0),AssetMonthlyReturns[[#This Row],[SPY]:[PE]])</f>
        <v>1.5072184282667555E-2</v>
      </c>
      <c r="SR53" s="27">
        <f>IF(ISNUMBER(SR52),SR52*(1+PortfolioFrontier[[#This Row],[P128 Return]]),1+PortfolioFrontier[[#This Row],[P128 Return]])</f>
        <v>1.2872730306052</v>
      </c>
      <c r="SS53" s="27">
        <f>MAX(SS52,PortfolioFrontier[[#This Row],[P128 Growth]])</f>
        <v>1.3155668985617981</v>
      </c>
      <c r="ST53" s="27">
        <f>PortfolioFrontier[[#This Row],[P128 Growth]]/PortfolioFrontier[[#This Row],[P128 HWM]]-1</f>
        <v>-2.1506977704843E-2</v>
      </c>
      <c r="SU53" s="28">
        <f>SUMPRODUCT(INDEX(PortfolioRef[[SPY]:[PE]],MATCH(SU$1,PortfolioRef[Reference '#]),0),AssetMonthlyReturns[[#This Row],[SPY]:[PE]])</f>
        <v>1.5273562613659697E-2</v>
      </c>
      <c r="SV53" s="27">
        <f>IF(ISNUMBER(SV52),SV52*(1+PortfolioFrontier[[#This Row],[P129 Return]]),1+PortfolioFrontier[[#This Row],[P129 Return]])</f>
        <v>1.2797285525167197</v>
      </c>
      <c r="SW53" s="27">
        <f>MAX(SW52,PortfolioFrontier[[#This Row],[P129 Growth]])</f>
        <v>1.2974868512947333</v>
      </c>
      <c r="SX53" s="27">
        <f>PortfolioFrontier[[#This Row],[P129 Growth]]/PortfolioFrontier[[#This Row],[P129 HWM]]-1</f>
        <v>-1.3686688817149073E-2</v>
      </c>
      <c r="SY53" s="28">
        <f>SUMPRODUCT(INDEX(PortfolioRef[[SPY]:[PE]],MATCH(SY$1,PortfolioRef[Reference '#]),0),AssetMonthlyReturns[[#This Row],[SPY]:[PE]])</f>
        <v>1.4212252577516803E-2</v>
      </c>
      <c r="SZ53" s="27">
        <f>IF(ISNUMBER(SZ52),SZ52*(1+PortfolioFrontier[[#This Row],[P130 Return]]),1+PortfolioFrontier[[#This Row],[P130 Return]])</f>
        <v>1.2820867634896533</v>
      </c>
      <c r="TA53" s="27">
        <f>MAX(TA52,PortfolioFrontier[[#This Row],[P130 Growth]])</f>
        <v>1.3398326330075903</v>
      </c>
      <c r="TB53" s="27">
        <f>PortfolioFrontier[[#This Row],[P130 Growth]]/PortfolioFrontier[[#This Row],[P130 HWM]]-1</f>
        <v>-4.3099315612511901E-2</v>
      </c>
      <c r="TC53" s="28">
        <f>SUMPRODUCT(INDEX(PortfolioRef[[SPY]:[PE]],MATCH(TC$1,PortfolioRef[Reference '#]),0),AssetMonthlyReturns[[#This Row],[SPY]:[PE]])</f>
        <v>1.4413630908508944E-2</v>
      </c>
      <c r="TD53" s="27">
        <f>IF(ISNUMBER(TD52),TD52*(1+PortfolioFrontier[[#This Row],[P131 Return]]),1+PortfolioFrontier[[#This Row],[P131 Return]])</f>
        <v>1.2753109077063634</v>
      </c>
      <c r="TE53" s="27">
        <f>MAX(TE52,PortfolioFrontier[[#This Row],[P131 Growth]])</f>
        <v>1.3217853237274109</v>
      </c>
      <c r="TF53" s="27">
        <f>PortfolioFrontier[[#This Row],[P131 Growth]]/PortfolioFrontier[[#This Row],[P131 HWM]]-1</f>
        <v>-3.5160335938660969E-2</v>
      </c>
      <c r="TG53" s="28">
        <f>SUMPRODUCT(INDEX(PortfolioRef[[SPY]:[PE]],MATCH(TG$1,PortfolioRef[Reference '#]),0),AssetMonthlyReturns[[#This Row],[SPY]:[PE]])</f>
        <v>1.4615009239501086E-2</v>
      </c>
      <c r="TH53" s="27">
        <f>IF(ISNUMBER(TH52),TH52*(1+PortfolioFrontier[[#This Row],[P132 Return]]),1+PortfolioFrontier[[#This Row],[P132 Return]])</f>
        <v>1.2681469371271894</v>
      </c>
      <c r="TI53" s="27">
        <f>MAX(TI52,PortfolioFrontier[[#This Row],[P132 Growth]])</f>
        <v>1.3037602517364684</v>
      </c>
      <c r="TJ53" s="27">
        <f>PortfolioFrontier[[#This Row],[P132 Growth]]/PortfolioFrontier[[#This Row],[P132 HWM]]-1</f>
        <v>-2.7315846269930222E-2</v>
      </c>
      <c r="TK53" s="28">
        <f>SUMPRODUCT(INDEX(PortfolioRef[[SPY]:[PE]],MATCH(TK$1,PortfolioRef[Reference '#]),0),AssetMonthlyReturns[[#This Row],[SPY]:[PE]])</f>
        <v>1.5900215843638866E-2</v>
      </c>
      <c r="TL53" s="27">
        <f>IF(ISNUMBER(TL52),TL52*(1+PortfolioFrontier[[#This Row],[P133 Return]]),1+PortfolioFrontier[[#This Row],[P133 Return]])</f>
        <v>1.3037818370198719</v>
      </c>
      <c r="TM53" s="27">
        <f>MAX(TM52,PortfolioFrontier[[#This Row],[P133 Growth]])</f>
        <v>1.3384307443085539</v>
      </c>
      <c r="TN53" s="27">
        <f>PortfolioFrontier[[#This Row],[P133 Growth]]/PortfolioFrontier[[#This Row],[P133 HWM]]-1</f>
        <v>-2.5887710242775364E-2</v>
      </c>
      <c r="TO53" s="28">
        <f>SUMPRODUCT(INDEX(PortfolioRef[[SPY]:[PE]],MATCH(TO$1,PortfolioRef[Reference '#]),0),AssetMonthlyReturns[[#This Row],[SPY]:[PE]])</f>
        <v>1.6101594174631008E-2</v>
      </c>
      <c r="TP53" s="27">
        <f>IF(ISNUMBER(TP52),TP52*(1+PortfolioFrontier[[#This Row],[P134 Return]]),1+PortfolioFrontier[[#This Row],[P134 Return]])</f>
        <v>1.2966098198267655</v>
      </c>
      <c r="TQ53" s="27">
        <f>MAX(TQ52,PortfolioFrontier[[#This Row],[P134 Growth]])</f>
        <v>1.3202830559849814</v>
      </c>
      <c r="TR53" s="27">
        <f>PortfolioFrontier[[#This Row],[P134 Growth]]/PortfolioFrontier[[#This Row],[P134 HWM]]-1</f>
        <v>-1.793042488192409E-2</v>
      </c>
      <c r="TS53" s="28">
        <f>SUMPRODUCT(INDEX(PortfolioRef[[SPY]:[PE]],MATCH(TS$1,PortfolioRef[Reference '#]),0),AssetMonthlyReturns[[#This Row],[SPY]:[PE]])</f>
        <v>1.630297250562315E-2</v>
      </c>
      <c r="TT53" s="27">
        <f>IF(ISNUMBER(TT52),TT52*(1+PortfolioFrontier[[#This Row],[P135 Return]]),1+PortfolioFrontier[[#This Row],[P135 Return]])</f>
        <v>1.2890503137710643</v>
      </c>
      <c r="TU53" s="27">
        <f>MAX(TU52,PortfolioFrontier[[#This Row],[P135 Growth]])</f>
        <v>1.3021608585260711</v>
      </c>
      <c r="TV53" s="27">
        <f>PortfolioFrontier[[#This Row],[P135 Growth]]/PortfolioFrontier[[#This Row],[P135 HWM]]-1</f>
        <v>-1.0068298911892315E-2</v>
      </c>
      <c r="TW53" s="28">
        <f>SUMPRODUCT(INDEX(PortfolioRef[[SPY]:[PE]],MATCH(TW$1,PortfolioRef[Reference '#]),0),AssetMonthlyReturns[[#This Row],[SPY]:[PE]])</f>
        <v>1.5241662469480255E-2</v>
      </c>
      <c r="TX53" s="27">
        <f>IF(ISNUMBER(TX52),TX52*(1+PortfolioFrontier[[#This Row],[P136 Return]]),1+PortfolioFrontier[[#This Row],[P136 Return]])</f>
        <v>1.2914714457173493</v>
      </c>
      <c r="TY53" s="27">
        <f>MAX(TY52,PortfolioFrontier[[#This Row],[P136 Growth]])</f>
        <v>1.3447475812013772</v>
      </c>
      <c r="TZ53" s="27">
        <f>PortfolioFrontier[[#This Row],[P136 Growth]]/PortfolioFrontier[[#This Row],[P136 HWM]]-1</f>
        <v>-3.9617944831275897E-2</v>
      </c>
      <c r="UA53" s="28">
        <f>SUMPRODUCT(INDEX(PortfolioRef[[SPY]:[PE]],MATCH(UA$1,PortfolioRef[Reference '#]),0),AssetMonthlyReturns[[#This Row],[SPY]:[PE]])</f>
        <v>1.5443040800472395E-2</v>
      </c>
      <c r="UB53" s="27">
        <f>IF(ISNUMBER(UB52),UB52*(1+PortfolioFrontier[[#This Row],[P137 Return]]),1+PortfolioFrontier[[#This Row],[P137 Return]])</f>
        <v>1.2846852176865453</v>
      </c>
      <c r="UC53" s="27">
        <f>MAX(UC52,PortfolioFrontier[[#This Row],[P137 Growth]])</f>
        <v>1.3266570855106978</v>
      </c>
      <c r="UD53" s="27">
        <f>PortfolioFrontier[[#This Row],[P137 Growth]]/PortfolioFrontier[[#This Row],[P137 HWM]]-1</f>
        <v>-3.1637314783567794E-2</v>
      </c>
      <c r="UE53" s="28">
        <f>SUMPRODUCT(INDEX(PortfolioRef[[SPY]:[PE]],MATCH(UE$1,PortfolioRef[Reference '#]),0),AssetMonthlyReturns[[#This Row],[SPY]:[PE]])</f>
        <v>1.5644419131464537E-2</v>
      </c>
      <c r="UF53" s="27">
        <f>IF(ISNUMBER(UF52),UF52*(1+PortfolioFrontier[[#This Row],[P138 Return]]),1+PortfolioFrontier[[#This Row],[P138 Return]])</f>
        <v>1.2775078629299872</v>
      </c>
      <c r="UG53" s="27">
        <f>MAX(UG52,PortfolioFrontier[[#This Row],[P138 Growth]])</f>
        <v>1.3085883604968405</v>
      </c>
      <c r="UH53" s="27">
        <f>PortfolioFrontier[[#This Row],[P138 Growth]]/PortfolioFrontier[[#This Row],[P138 HWM]]-1</f>
        <v>-2.3751164617613396E-2</v>
      </c>
      <c r="UI53" s="28">
        <f>SUMPRODUCT(INDEX(PortfolioRef[[SPY]:[PE]],MATCH(UI$1,PortfolioRef[Reference '#]),0),AssetMonthlyReturns[[#This Row],[SPY]:[PE]])</f>
        <v>1.4583109095321647E-2</v>
      </c>
      <c r="UJ53" s="27">
        <f>IF(ISNUMBER(UJ52),UJ52*(1+PortfolioFrontier[[#This Row],[P139 Return]]),1+PortfolioFrontier[[#This Row],[P139 Return]])</f>
        <v>1.2788062971914913</v>
      </c>
      <c r="UK53" s="27">
        <f>MAX(UK52,PortfolioFrontier[[#This Row],[P139 Growth]])</f>
        <v>1.3507788598337169</v>
      </c>
      <c r="UL53" s="27">
        <f>PortfolioFrontier[[#This Row],[P139 Growth]]/PortfolioFrontier[[#This Row],[P139 HWM]]-1</f>
        <v>-5.328226905408151E-2</v>
      </c>
      <c r="UM53" s="28">
        <f>SUMPRODUCT(INDEX(PortfolioRef[[SPY]:[PE]],MATCH(UM$1,PortfolioRef[Reference '#]),0),AssetMonthlyReturns[[#This Row],[SPY]:[PE]])</f>
        <v>1.4784487426313785E-2</v>
      </c>
      <c r="UN53" s="27">
        <f>IF(ISNUMBER(UN52),UN52*(1+PortfolioFrontier[[#This Row],[P140 Return]]),1+PortfolioFrontier[[#This Row],[P140 Return]])</f>
        <v>1.2724053816944743</v>
      </c>
      <c r="UO53" s="27">
        <f>MAX(UO52,PortfolioFrontier[[#This Row],[P140 Growth]])</f>
        <v>1.3327508164164212</v>
      </c>
      <c r="UP53" s="27">
        <f>PortfolioFrontier[[#This Row],[P140 Growth]]/PortfolioFrontier[[#This Row],[P140 HWM]]-1</f>
        <v>-4.5278857816952844E-2</v>
      </c>
      <c r="UQ53" s="28">
        <f>SUMPRODUCT(INDEX(PortfolioRef[[SPY]:[PE]],MATCH(UQ$1,PortfolioRef[Reference '#]),0),AssetMonthlyReturns[[#This Row],[SPY]:[PE]])</f>
        <v>1.4985865757305927E-2</v>
      </c>
      <c r="UR53" s="27">
        <f>IF(ISNUMBER(UR52),UR52*(1+PortfolioFrontier[[#This Row],[P141 Return]]),1+PortfolioFrontier[[#This Row],[P141 Return]])</f>
        <v>1.2656099218817698</v>
      </c>
      <c r="US53" s="27">
        <f>MAX(US52,PortfolioFrontier[[#This Row],[P141 Growth]])</f>
        <v>1.3147407958400186</v>
      </c>
      <c r="UT53" s="27">
        <f>PortfolioFrontier[[#This Row],[P141 Growth]]/PortfolioFrontier[[#This Row],[P141 HWM]]-1</f>
        <v>-3.7369247317573295E-2</v>
      </c>
    </row>
    <row r="54" spans="2:566" x14ac:dyDescent="0.2">
      <c r="B54" s="41">
        <f>AssetMonthlyReturns[[#This Row],[Date]]</f>
        <v>44013</v>
      </c>
      <c r="C54" s="28">
        <f>SUMPRODUCT(INDEX(PortfolioRef[[SPY]:[PE]],MATCH(C$1,PortfolioRef[Reference '#]),0),AssetMonthlyReturns[[#This Row],[SPY]:[PE]])</f>
        <v>5.5058113876644672E-2</v>
      </c>
      <c r="D54" s="29">
        <f>IF(ISNUMBER(D53),D53*(1+PortfolioFrontier[[#This Row],[P1 Return]]),1+PortfolioFrontier[[#This Row],[P1 Return]])</f>
        <v>1.4975778940621483</v>
      </c>
      <c r="E54" s="29">
        <f>MAX(E53,PortfolioFrontier[[#This Row],[P1 Growth]])</f>
        <v>1.4975778940621483</v>
      </c>
      <c r="F54" s="29">
        <f>PortfolioFrontier[[#This Row],[P1 Growth]]/PortfolioFrontier[[#This Row],[P1 HWM]]-1</f>
        <v>0</v>
      </c>
      <c r="G54" s="28">
        <f>SUMPRODUCT(INDEX(PortfolioRef[[SPY]:[PE]],MATCH(G$1,PortfolioRef[Reference '#]),0),AssetMonthlyReturns[[#This Row],[SPY]:[PE]])</f>
        <v>5.2544194441750777E-2</v>
      </c>
      <c r="H54" s="27">
        <f>IF(ISNUMBER(H53),H53*(1+PortfolioFrontier[[#This Row],[P2 Return]]),1+PortfolioFrontier[[#This Row],[P2 Return]])</f>
        <v>1.4719423323007439</v>
      </c>
      <c r="I54" s="27">
        <f>MAX(I53,PortfolioFrontier[[#This Row],[P2 Growth]])</f>
        <v>1.4719423323007439</v>
      </c>
      <c r="J54" s="27">
        <f>PortfolioFrontier[[#This Row],[P2 Growth]]/PortfolioFrontier[[#This Row],[P2 HWM]]-1</f>
        <v>0</v>
      </c>
      <c r="K54" s="28">
        <f>SUMPRODUCT(INDEX(PortfolioRef[[SPY]:[PE]],MATCH(K$1,PortfolioRef[Reference '#]),0),AssetMonthlyReturns[[#This Row],[SPY]:[PE]])</f>
        <v>5.727626099942263E-2</v>
      </c>
      <c r="L54" s="27">
        <f>IF(ISNUMBER(L53),L53*(1+PortfolioFrontier[[#This Row],[P3 Return]]),1+PortfolioFrontier[[#This Row],[P3 Return]])</f>
        <v>1.489447671659226</v>
      </c>
      <c r="M54" s="27">
        <f>MAX(M53,PortfolioFrontier[[#This Row],[P3 Growth]])</f>
        <v>1.489447671659226</v>
      </c>
      <c r="N54" s="27">
        <f>PortfolioFrontier[[#This Row],[P3 Growth]]/PortfolioFrontier[[#This Row],[P3 HWM]]-1</f>
        <v>0</v>
      </c>
      <c r="O54" s="28">
        <f>SUMPRODUCT(INDEX(PortfolioRef[[SPY]:[PE]],MATCH(O$1,PortfolioRef[Reference '#]),0),AssetMonthlyReturns[[#This Row],[SPY]:[PE]])</f>
        <v>5.4215143369862169E-2</v>
      </c>
      <c r="P54" s="27">
        <f>IF(ISNUMBER(P53),P53*(1+PortfolioFrontier[[#This Row],[P4 Return]]),1+PortfolioFrontier[[#This Row],[P4 Return]])</f>
        <v>1.4711431796087653</v>
      </c>
      <c r="Q54" s="27">
        <f>MAX(Q53,PortfolioFrontier[[#This Row],[P4 Growth]])</f>
        <v>1.4711431796087653</v>
      </c>
      <c r="R54" s="27">
        <f>PortfolioFrontier[[#This Row],[P4 Growth]]/PortfolioFrontier[[#This Row],[P4 HWM]]-1</f>
        <v>0</v>
      </c>
      <c r="S54" s="28">
        <f>SUMPRODUCT(INDEX(PortfolioRef[[SPY]:[PE]],MATCH(S$1,PortfolioRef[Reference '#]),0),AssetMonthlyReturns[[#This Row],[SPY]:[PE]])</f>
        <v>5.3212028964786294E-2</v>
      </c>
      <c r="T54" s="27">
        <f>IF(ISNUMBER(T53),T53*(1+PortfolioFrontier[[#This Row],[P5 Return]]),1+PortfolioFrontier[[#This Row],[P5 Return]])</f>
        <v>1.461581799459859</v>
      </c>
      <c r="U54" s="27">
        <f>MAX(U53,PortfolioFrontier[[#This Row],[P5 Growth]])</f>
        <v>1.461581799459859</v>
      </c>
      <c r="V54" s="27">
        <f>PortfolioFrontier[[#This Row],[P5 Growth]]/PortfolioFrontier[[#This Row],[P5 HWM]]-1</f>
        <v>0</v>
      </c>
      <c r="W54" s="28">
        <f>SUMPRODUCT(INDEX(PortfolioRef[[SPY]:[PE]],MATCH(W$1,PortfolioRef[Reference '#]),0),AssetMonthlyReturns[[#This Row],[SPY]:[PE]])</f>
        <v>5.0030275006856882E-2</v>
      </c>
      <c r="X54" s="27">
        <f>IF(ISNUMBER(X53),X53*(1+PortfolioFrontier[[#This Row],[P6 Return]]),1+PortfolioFrontier[[#This Row],[P6 Return]])</f>
        <v>1.446364566402738</v>
      </c>
      <c r="Y54" s="27">
        <f>MAX(Y53,PortfolioFrontier[[#This Row],[P6 Growth]])</f>
        <v>1.446364566402738</v>
      </c>
      <c r="Z54" s="27">
        <f>PortfolioFrontier[[#This Row],[P6 Growth]]/PortfolioFrontier[[#This Row],[P6 HWM]]-1</f>
        <v>0</v>
      </c>
      <c r="AA54" s="28">
        <f>SUMPRODUCT(INDEX(PortfolioRef[[SPY]:[PE]],MATCH(AA$1,PortfolioRef[Reference '#]),0),AssetMonthlyReturns[[#This Row],[SPY]:[PE]])</f>
        <v>5.4762341564528735E-2</v>
      </c>
      <c r="AB54" s="27">
        <f>IF(ISNUMBER(AB53),AB53*(1+PortfolioFrontier[[#This Row],[P7 Return]]),1+PortfolioFrontier[[#This Row],[P7 Return]])</f>
        <v>1.4635838572106141</v>
      </c>
      <c r="AC54" s="27">
        <f>MAX(AC53,PortfolioFrontier[[#This Row],[P7 Growth]])</f>
        <v>1.4635838572106141</v>
      </c>
      <c r="AD54" s="27">
        <f>PortfolioFrontier[[#This Row],[P7 Growth]]/PortfolioFrontier[[#This Row],[P7 HWM]]-1</f>
        <v>0</v>
      </c>
      <c r="AE54" s="28">
        <f>SUMPRODUCT(INDEX(PortfolioRef[[SPY]:[PE]],MATCH(AE$1,PortfolioRef[Reference '#]),0),AssetMonthlyReturns[[#This Row],[SPY]:[PE]])</f>
        <v>5.1701223934968274E-2</v>
      </c>
      <c r="AF54" s="27">
        <f>IF(ISNUMBER(AF53),AF53*(1+PortfolioFrontier[[#This Row],[P8 Return]]),1+PortfolioFrontier[[#This Row],[P8 Return]])</f>
        <v>1.4458635613673303</v>
      </c>
      <c r="AG54" s="27">
        <f>MAX(AG53,PortfolioFrontier[[#This Row],[P8 Growth]])</f>
        <v>1.4458635613673303</v>
      </c>
      <c r="AH54" s="27">
        <f>PortfolioFrontier[[#This Row],[P8 Growth]]/PortfolioFrontier[[#This Row],[P8 HWM]]-1</f>
        <v>0</v>
      </c>
      <c r="AI54" s="28">
        <f>SUMPRODUCT(INDEX(PortfolioRef[[SPY]:[PE]],MATCH(AI$1,PortfolioRef[Reference '#]),0),AssetMonthlyReturns[[#This Row],[SPY]:[PE]])</f>
        <v>5.0698109529892399E-2</v>
      </c>
      <c r="AJ54" s="27">
        <f>IF(ISNUMBER(AJ53),AJ53*(1+PortfolioFrontier[[#This Row],[P9 Return]]),1+PortfolioFrontier[[#This Row],[P9 Return]])</f>
        <v>1.4362221702325038</v>
      </c>
      <c r="AK54" s="27">
        <f>MAX(AK53,PortfolioFrontier[[#This Row],[P9 Growth]])</f>
        <v>1.4362221702325038</v>
      </c>
      <c r="AL54" s="27">
        <f>PortfolioFrontier[[#This Row],[P9 Growth]]/PortfolioFrontier[[#This Row],[P9 HWM]]-1</f>
        <v>0</v>
      </c>
      <c r="AM54" s="28">
        <f>SUMPRODUCT(INDEX(PortfolioRef[[SPY]:[PE]],MATCH(AM$1,PortfolioRef[Reference '#]),0),AssetMonthlyReturns[[#This Row],[SPY]:[PE]])</f>
        <v>5.9494408122200589E-2</v>
      </c>
      <c r="AN54" s="27">
        <f>IF(ISNUMBER(AN53),AN53*(1+PortfolioFrontier[[#This Row],[P10 Return]]),1+PortfolioFrontier[[#This Row],[P10 Return]])</f>
        <v>1.4808197058430965</v>
      </c>
      <c r="AO54" s="27">
        <f>MAX(AO53,PortfolioFrontier[[#This Row],[P10 Growth]])</f>
        <v>1.4808197058430965</v>
      </c>
      <c r="AP54" s="27">
        <f>PortfolioFrontier[[#This Row],[P10 Growth]]/PortfolioFrontier[[#This Row],[P10 HWM]]-1</f>
        <v>0</v>
      </c>
      <c r="AQ54" s="28">
        <f>SUMPRODUCT(INDEX(PortfolioRef[[SPY]:[PE]],MATCH(AQ$1,PortfolioRef[Reference '#]),0),AssetMonthlyReturns[[#This Row],[SPY]:[PE]])</f>
        <v>5.6433290492640127E-2</v>
      </c>
      <c r="AR54" s="27">
        <f>IF(ISNUMBER(AR53),AR53*(1+PortfolioFrontier[[#This Row],[P11 Return]]),1+PortfolioFrontier[[#This Row],[P11 Return]])</f>
        <v>1.4630507564400852</v>
      </c>
      <c r="AS54" s="27">
        <f>MAX(AS53,PortfolioFrontier[[#This Row],[P11 Growth]])</f>
        <v>1.4630507564400852</v>
      </c>
      <c r="AT54" s="27">
        <f>PortfolioFrontier[[#This Row],[P11 Growth]]/PortfolioFrontier[[#This Row],[P11 HWM]]-1</f>
        <v>0</v>
      </c>
      <c r="AU54" s="28">
        <f>SUMPRODUCT(INDEX(PortfolioRef[[SPY]:[PE]],MATCH(AU$1,PortfolioRef[Reference '#]),0),AssetMonthlyReturns[[#This Row],[SPY]:[PE]])</f>
        <v>5.5430176087564252E-2</v>
      </c>
      <c r="AV54" s="27">
        <f>IF(ISNUMBER(AV53),AV53*(1+PortfolioFrontier[[#This Row],[P12 Return]]),1+PortfolioFrontier[[#This Row],[P12 Return]])</f>
        <v>1.4533454302585607</v>
      </c>
      <c r="AW54" s="27">
        <f>MAX(AW53,PortfolioFrontier[[#This Row],[P12 Growth]])</f>
        <v>1.4533454302585607</v>
      </c>
      <c r="AX54" s="27">
        <f>PortfolioFrontier[[#This Row],[P12 Growth]]/PortfolioFrontier[[#This Row],[P12 HWM]]-1</f>
        <v>0</v>
      </c>
      <c r="AY54" s="28">
        <f>SUMPRODUCT(INDEX(PortfolioRef[[SPY]:[PE]],MATCH(AY$1,PortfolioRef[Reference '#]),0),AssetMonthlyReturns[[#This Row],[SPY]:[PE]])</f>
        <v>5.3372172863079666E-2</v>
      </c>
      <c r="AZ54" s="27">
        <f>IF(ISNUMBER(AZ53),AZ53*(1+PortfolioFrontier[[#This Row],[P13 Return]]),1+PortfolioFrontier[[#This Row],[P13 Return]])</f>
        <v>1.4449562997157401</v>
      </c>
      <c r="BA54" s="27">
        <f>MAX(BA53,PortfolioFrontier[[#This Row],[P13 Growth]])</f>
        <v>1.4449562997157401</v>
      </c>
      <c r="BB54" s="27">
        <f>PortfolioFrontier[[#This Row],[P13 Growth]]/PortfolioFrontier[[#This Row],[P13 HWM]]-1</f>
        <v>0</v>
      </c>
      <c r="BC54" s="28">
        <f>SUMPRODUCT(INDEX(PortfolioRef[[SPY]:[PE]],MATCH(BC$1,PortfolioRef[Reference '#]),0),AssetMonthlyReturns[[#This Row],[SPY]:[PE]])</f>
        <v>5.2369058458003791E-2</v>
      </c>
      <c r="BD54" s="27">
        <f>IF(ISNUMBER(BD53),BD53*(1+PortfolioFrontier[[#This Row],[P14 Return]]),1+PortfolioFrontier[[#This Row],[P14 Return]])</f>
        <v>1.4357211587757632</v>
      </c>
      <c r="BE54" s="27">
        <f>MAX(BE53,PortfolioFrontier[[#This Row],[P14 Growth]])</f>
        <v>1.4357211587757632</v>
      </c>
      <c r="BF54" s="27">
        <f>PortfolioFrontier[[#This Row],[P14 Growth]]/PortfolioFrontier[[#This Row],[P14 HWM]]-1</f>
        <v>0</v>
      </c>
      <c r="BG54" s="28">
        <f>SUMPRODUCT(INDEX(PortfolioRef[[SPY]:[PE]],MATCH(BG$1,PortfolioRef[Reference '#]),0),AssetMonthlyReturns[[#This Row],[SPY]:[PE]])</f>
        <v>5.1365944052927909E-2</v>
      </c>
      <c r="BH54" s="27">
        <f>IF(ISNUMBER(BH53),BH53*(1+PortfolioFrontier[[#This Row],[P15 Return]]),1+PortfolioFrontier[[#This Row],[P15 Return]])</f>
        <v>1.4260693520280376</v>
      </c>
      <c r="BI54" s="27">
        <f>MAX(BI53,PortfolioFrontier[[#This Row],[P15 Growth]])</f>
        <v>1.4260693520280376</v>
      </c>
      <c r="BJ54" s="27">
        <f>PortfolioFrontier[[#This Row],[P15 Growth]]/PortfolioFrontier[[#This Row],[P15 HWM]]-1</f>
        <v>0</v>
      </c>
      <c r="BK54" s="28">
        <f>SUMPRODUCT(INDEX(PortfolioRef[[SPY]:[PE]],MATCH(BK$1,PortfolioRef[Reference '#]),0),AssetMonthlyReturns[[#This Row],[SPY]:[PE]])</f>
        <v>4.7516355571962987E-2</v>
      </c>
      <c r="BL54" s="27">
        <f>IF(ISNUMBER(BL53),BL53*(1+PortfolioFrontier[[#This Row],[P16 Return]]),1+PortfolioFrontier[[#This Row],[P16 Return]])</f>
        <v>1.4208580773720181</v>
      </c>
      <c r="BM54" s="27">
        <f>MAX(BM53,PortfolioFrontier[[#This Row],[P16 Growth]])</f>
        <v>1.4208580773720181</v>
      </c>
      <c r="BN54" s="27">
        <f>PortfolioFrontier[[#This Row],[P16 Growth]]/PortfolioFrontier[[#This Row],[P16 HWM]]-1</f>
        <v>0</v>
      </c>
      <c r="BO54" s="28">
        <f>SUMPRODUCT(INDEX(PortfolioRef[[SPY]:[PE]],MATCH(BO$1,PortfolioRef[Reference '#]),0),AssetMonthlyReturns[[#This Row],[SPY]:[PE]])</f>
        <v>5.224842212963484E-2</v>
      </c>
      <c r="BP54" s="27">
        <f>IF(ISNUMBER(BP53),BP53*(1+PortfolioFrontier[[#This Row],[P17 Return]]),1+PortfolioFrontier[[#This Row],[P17 Return]])</f>
        <v>1.4377920636001698</v>
      </c>
      <c r="BQ54" s="27">
        <f>MAX(BQ53,PortfolioFrontier[[#This Row],[P17 Growth]])</f>
        <v>1.4377920636001698</v>
      </c>
      <c r="BR54" s="27">
        <f>PortfolioFrontier[[#This Row],[P17 Growth]]/PortfolioFrontier[[#This Row],[P17 HWM]]-1</f>
        <v>0</v>
      </c>
      <c r="BS54" s="28">
        <f>SUMPRODUCT(INDEX(PortfolioRef[[SPY]:[PE]],MATCH(BS$1,PortfolioRef[Reference '#]),0),AssetMonthlyReturns[[#This Row],[SPY]:[PE]])</f>
        <v>4.9187304500074379E-2</v>
      </c>
      <c r="BT54" s="27">
        <f>IF(ISNUMBER(BT53),BT53*(1+PortfolioFrontier[[#This Row],[P18 Return]]),1+PortfolioFrontier[[#This Row],[P18 Return]])</f>
        <v>1.4206434660597795</v>
      </c>
      <c r="BU54" s="27">
        <f>MAX(BU53,PortfolioFrontier[[#This Row],[P18 Growth]])</f>
        <v>1.4206434660597795</v>
      </c>
      <c r="BV54" s="27">
        <f>PortfolioFrontier[[#This Row],[P18 Growth]]/PortfolioFrontier[[#This Row],[P18 HWM]]-1</f>
        <v>0</v>
      </c>
      <c r="BW54" s="28">
        <f>SUMPRODUCT(INDEX(PortfolioRef[[SPY]:[PE]],MATCH(BW$1,PortfolioRef[Reference '#]),0),AssetMonthlyReturns[[#This Row],[SPY]:[PE]])</f>
        <v>4.8184190094998504E-2</v>
      </c>
      <c r="BX54" s="27">
        <f>IF(ISNUMBER(BX53),BX53*(1+PortfolioFrontier[[#This Row],[P19 Return]]),1+PortfolioFrontier[[#This Row],[P19 Return]])</f>
        <v>1.4109316783205543</v>
      </c>
      <c r="BY54" s="27">
        <f>MAX(BY53,PortfolioFrontier[[#This Row],[P19 Growth]])</f>
        <v>1.4109316783205543</v>
      </c>
      <c r="BZ54" s="27">
        <f>PortfolioFrontier[[#This Row],[P19 Growth]]/PortfolioFrontier[[#This Row],[P19 HWM]]-1</f>
        <v>0</v>
      </c>
      <c r="CA54" s="28">
        <f>SUMPRODUCT(INDEX(PortfolioRef[[SPY]:[PE]],MATCH(CA$1,PortfolioRef[Reference '#]),0),AssetMonthlyReturns[[#This Row],[SPY]:[PE]])</f>
        <v>5.6980488687306693E-2</v>
      </c>
      <c r="CB54" s="27">
        <f>IF(ISNUMBER(CB53),CB53*(1+PortfolioFrontier[[#This Row],[P20 Return]]),1+PortfolioFrontier[[#This Row],[P20 Return]])</f>
        <v>1.4547423391884822</v>
      </c>
      <c r="CC54" s="27">
        <f>MAX(CC53,PortfolioFrontier[[#This Row],[P20 Growth]])</f>
        <v>1.4547423391884822</v>
      </c>
      <c r="CD54" s="27">
        <f>PortfolioFrontier[[#This Row],[P20 Growth]]/PortfolioFrontier[[#This Row],[P20 HWM]]-1</f>
        <v>0</v>
      </c>
      <c r="CE54" s="28">
        <f>SUMPRODUCT(INDEX(PortfolioRef[[SPY]:[PE]],MATCH(CE$1,PortfolioRef[Reference '#]),0),AssetMonthlyReturns[[#This Row],[SPY]:[PE]])</f>
        <v>5.3919371057746232E-2</v>
      </c>
      <c r="CF54" s="27">
        <f>IF(ISNUMBER(CF53),CF53*(1+PortfolioFrontier[[#This Row],[P21 Return]]),1+PortfolioFrontier[[#This Row],[P21 Return]])</f>
        <v>1.4375489147841094</v>
      </c>
      <c r="CG54" s="27">
        <f>MAX(CG53,PortfolioFrontier[[#This Row],[P21 Growth]])</f>
        <v>1.4375489147841094</v>
      </c>
      <c r="CH54" s="27">
        <f>PortfolioFrontier[[#This Row],[P21 Growth]]/PortfolioFrontier[[#This Row],[P21 HWM]]-1</f>
        <v>0</v>
      </c>
      <c r="CI54" s="28">
        <f>SUMPRODUCT(INDEX(PortfolioRef[[SPY]:[PE]],MATCH(CI$1,PortfolioRef[Reference '#]),0),AssetMonthlyReturns[[#This Row],[SPY]:[PE]])</f>
        <v>5.2916256652670357E-2</v>
      </c>
      <c r="CJ54" s="27">
        <f>IF(ISNUMBER(CJ53),CJ53*(1+PortfolioFrontier[[#This Row],[P22 Return]]),1+PortfolioFrontier[[#This Row],[P22 Return]])</f>
        <v>1.4277716438431707</v>
      </c>
      <c r="CK54" s="27">
        <f>MAX(CK53,PortfolioFrontier[[#This Row],[P22 Growth]])</f>
        <v>1.4277716438431707</v>
      </c>
      <c r="CL54" s="27">
        <f>PortfolioFrontier[[#This Row],[P22 Growth]]/PortfolioFrontier[[#This Row],[P22 HWM]]-1</f>
        <v>0</v>
      </c>
      <c r="CM54" s="28">
        <f>SUMPRODUCT(INDEX(PortfolioRef[[SPY]:[PE]],MATCH(CM$1,PortfolioRef[Reference '#]),0),AssetMonthlyReturns[[#This Row],[SPY]:[PE]])</f>
        <v>5.0858253428185771E-2</v>
      </c>
      <c r="CN54" s="27">
        <f>IF(ISNUMBER(CN53),CN53*(1+PortfolioFrontier[[#This Row],[P23 Return]]),1+PortfolioFrontier[[#This Row],[P23 Return]])</f>
        <v>1.4200319381557802</v>
      </c>
      <c r="CO54" s="27">
        <f>MAX(CO53,PortfolioFrontier[[#This Row],[P23 Growth]])</f>
        <v>1.4200319381557802</v>
      </c>
      <c r="CP54" s="27">
        <f>PortfolioFrontier[[#This Row],[P23 Growth]]/PortfolioFrontier[[#This Row],[P23 HWM]]-1</f>
        <v>0</v>
      </c>
      <c r="CQ54" s="28">
        <f>SUMPRODUCT(INDEX(PortfolioRef[[SPY]:[PE]],MATCH(CQ$1,PortfolioRef[Reference '#]),0),AssetMonthlyReturns[[#This Row],[SPY]:[PE]])</f>
        <v>4.9855139023109896E-2</v>
      </c>
      <c r="CR54" s="27">
        <f>IF(ISNUMBER(CR53),CR53*(1+PortfolioFrontier[[#This Row],[P24 Return]]),1+PortfolioFrontier[[#This Row],[P24 Return]])</f>
        <v>1.4107152590638372</v>
      </c>
      <c r="CS54" s="27">
        <f>MAX(CS53,PortfolioFrontier[[#This Row],[P24 Growth]])</f>
        <v>1.4107152590638372</v>
      </c>
      <c r="CT54" s="27">
        <f>PortfolioFrontier[[#This Row],[P24 Growth]]/PortfolioFrontier[[#This Row],[P24 HWM]]-1</f>
        <v>0</v>
      </c>
      <c r="CU54" s="28">
        <f>SUMPRODUCT(INDEX(PortfolioRef[[SPY]:[PE]],MATCH(CU$1,PortfolioRef[Reference '#]),0),AssetMonthlyReturns[[#This Row],[SPY]:[PE]])</f>
        <v>4.8852024618034021E-2</v>
      </c>
      <c r="CV54" s="27">
        <f>IF(ISNUMBER(CV53),CV53*(1+PortfolioFrontier[[#This Row],[P25 Return]]),1+PortfolioFrontier[[#This Row],[P25 Return]])</f>
        <v>1.4009945905183907</v>
      </c>
      <c r="CW54" s="27">
        <f>MAX(CW53,PortfolioFrontier[[#This Row],[P25 Growth]])</f>
        <v>1.4009945905183907</v>
      </c>
      <c r="CX54" s="27">
        <f>PortfolioFrontier[[#This Row],[P25 Growth]]/PortfolioFrontier[[#This Row],[P25 HWM]]-1</f>
        <v>0</v>
      </c>
      <c r="CY54" s="28">
        <f>SUMPRODUCT(INDEX(PortfolioRef[[SPY]:[PE]],MATCH(CY$1,PortfolioRef[Reference '#]),0),AssetMonthlyReturns[[#This Row],[SPY]:[PE]])</f>
        <v>5.8651437615418085E-2</v>
      </c>
      <c r="CZ54" s="27">
        <f>IF(ISNUMBER(CZ53),CZ53*(1+PortfolioFrontier[[#This Row],[P26 Return]]),1+PortfolioFrontier[[#This Row],[P26 Return]])</f>
        <v>1.454470294154333</v>
      </c>
      <c r="DA54" s="27">
        <f>MAX(DA53,PortfolioFrontier[[#This Row],[P26 Growth]])</f>
        <v>1.454470294154333</v>
      </c>
      <c r="DB54" s="27">
        <f>PortfolioFrontier[[#This Row],[P26 Growth]]/PortfolioFrontier[[#This Row],[P26 HWM]]-1</f>
        <v>0</v>
      </c>
      <c r="DC54" s="28">
        <f>SUMPRODUCT(INDEX(PortfolioRef[[SPY]:[PE]],MATCH(DC$1,PortfolioRef[Reference '#]),0),AssetMonthlyReturns[[#This Row],[SPY]:[PE]])</f>
        <v>5.764832321034221E-2</v>
      </c>
      <c r="DD54" s="27">
        <f>IF(ISNUMBER(DD53),DD53*(1+PortfolioFrontier[[#This Row],[P27 Return]]),1+PortfolioFrontier[[#This Row],[P27 Return]])</f>
        <v>1.4446283246793685</v>
      </c>
      <c r="DE54" s="27">
        <f>MAX(DE53,PortfolioFrontier[[#This Row],[P27 Growth]])</f>
        <v>1.4446283246793685</v>
      </c>
      <c r="DF54" s="27">
        <f>PortfolioFrontier[[#This Row],[P27 Growth]]/PortfolioFrontier[[#This Row],[P27 HWM]]-1</f>
        <v>0</v>
      </c>
      <c r="DG54" s="28">
        <f>SUMPRODUCT(INDEX(PortfolioRef[[SPY]:[PE]],MATCH(DG$1,PortfolioRef[Reference '#]),0),AssetMonthlyReturns[[#This Row],[SPY]:[PE]])</f>
        <v>5.5590319985857624E-2</v>
      </c>
      <c r="DH54" s="27">
        <f>IF(ISNUMBER(DH53),DH53*(1+PortfolioFrontier[[#This Row],[P28 Return]]),1+PortfolioFrontier[[#This Row],[P28 Return]])</f>
        <v>1.4369044667363604</v>
      </c>
      <c r="DI54" s="27">
        <f>MAX(DI53,PortfolioFrontier[[#This Row],[P28 Growth]])</f>
        <v>1.4369044667363604</v>
      </c>
      <c r="DJ54" s="27">
        <f>PortfolioFrontier[[#This Row],[P28 Growth]]/PortfolioFrontier[[#This Row],[P28 HWM]]-1</f>
        <v>0</v>
      </c>
      <c r="DK54" s="28">
        <f>SUMPRODUCT(INDEX(PortfolioRef[[SPY]:[PE]],MATCH(DK$1,PortfolioRef[Reference '#]),0),AssetMonthlyReturns[[#This Row],[SPY]:[PE]])</f>
        <v>5.4587205580781749E-2</v>
      </c>
      <c r="DL54" s="27">
        <f>IF(ISNUMBER(DL53),DL53*(1+PortfolioFrontier[[#This Row],[P29 Return]]),1+PortfolioFrontier[[#This Row],[P29 Return]])</f>
        <v>1.4275268497528286</v>
      </c>
      <c r="DM54" s="27">
        <f>MAX(DM53,PortfolioFrontier[[#This Row],[P29 Growth]])</f>
        <v>1.4275268497528286</v>
      </c>
      <c r="DN54" s="27">
        <f>PortfolioFrontier[[#This Row],[P29 Growth]]/PortfolioFrontier[[#This Row],[P29 HWM]]-1</f>
        <v>0</v>
      </c>
      <c r="DO54" s="28">
        <f>SUMPRODUCT(INDEX(PortfolioRef[[SPY]:[PE]],MATCH(DO$1,PortfolioRef[Reference '#]),0),AssetMonthlyReturns[[#This Row],[SPY]:[PE]])</f>
        <v>5.3584091175705867E-2</v>
      </c>
      <c r="DP54" s="27">
        <f>IF(ISNUMBER(DP53),DP53*(1+PortfolioFrontier[[#This Row],[P30 Return]]),1+PortfolioFrontier[[#This Row],[P30 Return]])</f>
        <v>1.4177400691780919</v>
      </c>
      <c r="DQ54" s="27">
        <f>MAX(DQ53,PortfolioFrontier[[#This Row],[P30 Growth]])</f>
        <v>1.4177400691780919</v>
      </c>
      <c r="DR54" s="27">
        <f>PortfolioFrontier[[#This Row],[P30 Growth]]/PortfolioFrontier[[#This Row],[P30 HWM]]-1</f>
        <v>0</v>
      </c>
      <c r="DS54" s="28">
        <f>SUMPRODUCT(INDEX(PortfolioRef[[SPY]:[PE]],MATCH(DS$1,PortfolioRef[Reference '#]),0),AssetMonthlyReturns[[#This Row],[SPY]:[PE]])</f>
        <v>5.2529202356297162E-2</v>
      </c>
      <c r="DT54" s="27">
        <f>IF(ISNUMBER(DT53),DT53*(1+PortfolioFrontier[[#This Row],[P31 Return]]),1+PortfolioFrontier[[#This Row],[P31 Return]])</f>
        <v>1.4190203677897943</v>
      </c>
      <c r="DU54" s="27">
        <f>MAX(DU53,PortfolioFrontier[[#This Row],[P31 Growth]])</f>
        <v>1.4190203677897943</v>
      </c>
      <c r="DV54" s="27">
        <f>PortfolioFrontier[[#This Row],[P31 Growth]]/PortfolioFrontier[[#This Row],[P31 HWM]]-1</f>
        <v>0</v>
      </c>
      <c r="DW54" s="28">
        <f>SUMPRODUCT(INDEX(PortfolioRef[[SPY]:[PE]],MATCH(DW$1,PortfolioRef[Reference '#]),0),AssetMonthlyReturns[[#This Row],[SPY]:[PE]])</f>
        <v>5.1526087951221287E-2</v>
      </c>
      <c r="DX54" s="27">
        <f>IF(ISNUMBER(DX53),DX53*(1+PortfolioFrontier[[#This Row],[P32 Return]]),1+PortfolioFrontier[[#This Row],[P32 Return]])</f>
        <v>1.4101047034187677</v>
      </c>
      <c r="DY54" s="27">
        <f>MAX(DY53,PortfolioFrontier[[#This Row],[P32 Growth]])</f>
        <v>1.4101047034187677</v>
      </c>
      <c r="DZ54" s="27">
        <f>PortfolioFrontier[[#This Row],[P32 Growth]]/PortfolioFrontier[[#This Row],[P32 HWM]]-1</f>
        <v>0</v>
      </c>
      <c r="EA54" s="28">
        <f>SUMPRODUCT(INDEX(PortfolioRef[[SPY]:[PE]],MATCH(EA$1,PortfolioRef[Reference '#]),0),AssetMonthlyReturns[[#This Row],[SPY]:[PE]])</f>
        <v>5.0522973546145405E-2</v>
      </c>
      <c r="EB54" s="27">
        <f>IF(ISNUMBER(EB53),EB53*(1+PortfolioFrontier[[#This Row],[P33 Return]]),1+PortfolioFrontier[[#This Row],[P33 Return]])</f>
        <v>1.4007762939205928</v>
      </c>
      <c r="EC54" s="27">
        <f>MAX(EC53,PortfolioFrontier[[#This Row],[P33 Growth]])</f>
        <v>1.4007762939205928</v>
      </c>
      <c r="ED54" s="27">
        <f>PortfolioFrontier[[#This Row],[P33 Growth]]/PortfolioFrontier[[#This Row],[P33 HWM]]-1</f>
        <v>0</v>
      </c>
      <c r="EE54" s="28">
        <f>SUMPRODUCT(INDEX(PortfolioRef[[SPY]:[PE]],MATCH(EE$1,PortfolioRef[Reference '#]),0),AssetMonthlyReturns[[#This Row],[SPY]:[PE]])</f>
        <v>4.5002436137069092E-2</v>
      </c>
      <c r="EF54" s="27">
        <f>IF(ISNUMBER(EF53),EF53*(1+PortfolioFrontier[[#This Row],[P34 Return]]),1+PortfolioFrontier[[#This Row],[P34 Return]])</f>
        <v>1.395435945950003</v>
      </c>
      <c r="EG54" s="27">
        <f>MAX(EG53,PortfolioFrontier[[#This Row],[P34 Growth]])</f>
        <v>1.395435945950003</v>
      </c>
      <c r="EH54" s="27">
        <f>PortfolioFrontier[[#This Row],[P34 Growth]]/PortfolioFrontier[[#This Row],[P34 HWM]]-1</f>
        <v>0</v>
      </c>
      <c r="EI54" s="28">
        <f>SUMPRODUCT(INDEX(PortfolioRef[[SPY]:[PE]],MATCH(EI$1,PortfolioRef[Reference '#]),0),AssetMonthlyReturns[[#This Row],[SPY]:[PE]])</f>
        <v>4.9734502694740945E-2</v>
      </c>
      <c r="EJ54" s="27">
        <f>IF(ISNUMBER(EJ53),EJ53*(1+PortfolioFrontier[[#This Row],[P35 Return]]),1+PortfolioFrontier[[#This Row],[P35 Return]])</f>
        <v>1.4120855035078599</v>
      </c>
      <c r="EK54" s="27">
        <f>MAX(EK53,PortfolioFrontier[[#This Row],[P35 Growth]])</f>
        <v>1.4120855035078599</v>
      </c>
      <c r="EL54" s="27">
        <f>PortfolioFrontier[[#This Row],[P35 Growth]]/PortfolioFrontier[[#This Row],[P35 HWM]]-1</f>
        <v>0</v>
      </c>
      <c r="EM54" s="28">
        <f>SUMPRODUCT(INDEX(PortfolioRef[[SPY]:[PE]],MATCH(EM$1,PortfolioRef[Reference '#]),0),AssetMonthlyReturns[[#This Row],[SPY]:[PE]])</f>
        <v>4.6673385065180484E-2</v>
      </c>
      <c r="EN54" s="27">
        <f>IF(ISNUMBER(EN53),EN53*(1+PortfolioFrontier[[#This Row],[P36 Return]]),1+PortfolioFrontier[[#This Row],[P36 Return]])</f>
        <v>1.3954961566061961</v>
      </c>
      <c r="EO54" s="27">
        <f>MAX(EO53,PortfolioFrontier[[#This Row],[P36 Growth]])</f>
        <v>1.3954961566061961</v>
      </c>
      <c r="EP54" s="27">
        <f>PortfolioFrontier[[#This Row],[P36 Growth]]/PortfolioFrontier[[#This Row],[P36 HWM]]-1</f>
        <v>0</v>
      </c>
      <c r="EQ54" s="28">
        <f>SUMPRODUCT(INDEX(PortfolioRef[[SPY]:[PE]],MATCH(EQ$1,PortfolioRef[Reference '#]),0),AssetMonthlyReturns[[#This Row],[SPY]:[PE]])</f>
        <v>4.5670270660104609E-2</v>
      </c>
      <c r="ER54" s="27">
        <f>IF(ISNUMBER(ER53),ER53*(1+PortfolioFrontier[[#This Row],[P37 Return]]),1+PortfolioFrontier[[#This Row],[P37 Return]])</f>
        <v>1.3857233374359519</v>
      </c>
      <c r="ES54" s="27">
        <f>MAX(ES53,PortfolioFrontier[[#This Row],[P37 Growth]])</f>
        <v>1.3857233374359519</v>
      </c>
      <c r="ET54" s="27">
        <f>PortfolioFrontier[[#This Row],[P37 Growth]]/PortfolioFrontier[[#This Row],[P37 HWM]]-1</f>
        <v>0</v>
      </c>
      <c r="EU54" s="28">
        <f>SUMPRODUCT(INDEX(PortfolioRef[[SPY]:[PE]],MATCH(EU$1,PortfolioRef[Reference '#]),0),AssetMonthlyReturns[[#This Row],[SPY]:[PE]])</f>
        <v>5.4466569252412798E-2</v>
      </c>
      <c r="EV54" s="27">
        <f>IF(ISNUMBER(EV53),EV53*(1+PortfolioFrontier[[#This Row],[P38 Return]]),1+PortfolioFrontier[[#This Row],[P38 Return]])</f>
        <v>1.4287510886546408</v>
      </c>
      <c r="EW54" s="27">
        <f>MAX(EW53,PortfolioFrontier[[#This Row],[P38 Growth]])</f>
        <v>1.4287510886546408</v>
      </c>
      <c r="EX54" s="27">
        <f>PortfolioFrontier[[#This Row],[P38 Growth]]/PortfolioFrontier[[#This Row],[P38 HWM]]-1</f>
        <v>0</v>
      </c>
      <c r="EY54" s="28">
        <f>SUMPRODUCT(INDEX(PortfolioRef[[SPY]:[PE]],MATCH(EY$1,PortfolioRef[Reference '#]),0),AssetMonthlyReturns[[#This Row],[SPY]:[PE]])</f>
        <v>5.1405451622852337E-2</v>
      </c>
      <c r="EZ54" s="27">
        <f>IF(ISNUMBER(EZ53),EZ53*(1+PortfolioFrontier[[#This Row],[P39 Return]]),1+PortfolioFrontier[[#This Row],[P39 Return]])</f>
        <v>1.4121206130752597</v>
      </c>
      <c r="FA54" s="27">
        <f>MAX(FA53,PortfolioFrontier[[#This Row],[P39 Growth]])</f>
        <v>1.4121206130752597</v>
      </c>
      <c r="FB54" s="27">
        <f>PortfolioFrontier[[#This Row],[P39 Growth]]/PortfolioFrontier[[#This Row],[P39 HWM]]-1</f>
        <v>0</v>
      </c>
      <c r="FC54" s="28">
        <f>SUMPRODUCT(INDEX(PortfolioRef[[SPY]:[PE]],MATCH(FC$1,PortfolioRef[Reference '#]),0),AssetMonthlyReturns[[#This Row],[SPY]:[PE]])</f>
        <v>5.0402337217776462E-2</v>
      </c>
      <c r="FD54" s="27">
        <f>IF(ISNUMBER(FD53),FD53*(1+PortfolioFrontier[[#This Row],[P40 Return]]),1+PortfolioFrontier[[#This Row],[P40 Return]])</f>
        <v>1.4022808626169527</v>
      </c>
      <c r="FE54" s="27">
        <f>MAX(FE53,PortfolioFrontier[[#This Row],[P40 Growth]])</f>
        <v>1.4022808626169527</v>
      </c>
      <c r="FF54" s="27">
        <f>PortfolioFrontier[[#This Row],[P40 Growth]]/PortfolioFrontier[[#This Row],[P40 HWM]]-1</f>
        <v>0</v>
      </c>
      <c r="FG54" s="28">
        <f>SUMPRODUCT(INDEX(PortfolioRef[[SPY]:[PE]],MATCH(FG$1,PortfolioRef[Reference '#]),0),AssetMonthlyReturns[[#This Row],[SPY]:[PE]])</f>
        <v>4.8344333993291876E-2</v>
      </c>
      <c r="FH54" s="27">
        <f>IF(ISNUMBER(FH53),FH53*(1+PortfolioFrontier[[#This Row],[P41 Return]]),1+PortfolioFrontier[[#This Row],[P41 Return]])</f>
        <v>1.3951687334609144</v>
      </c>
      <c r="FI54" s="27">
        <f>MAX(FI53,PortfolioFrontier[[#This Row],[P41 Growth]])</f>
        <v>1.3951687334609144</v>
      </c>
      <c r="FJ54" s="27">
        <f>PortfolioFrontier[[#This Row],[P41 Growth]]/PortfolioFrontier[[#This Row],[P41 HWM]]-1</f>
        <v>0</v>
      </c>
      <c r="FK54" s="28">
        <f>SUMPRODUCT(INDEX(PortfolioRef[[SPY]:[PE]],MATCH(FK$1,PortfolioRef[Reference '#]),0),AssetMonthlyReturns[[#This Row],[SPY]:[PE]])</f>
        <v>4.7341219588216001E-2</v>
      </c>
      <c r="FL54" s="27">
        <f>IF(ISNUMBER(FL53),FL53*(1+PortfolioFrontier[[#This Row],[P42 Return]]),1+PortfolioFrontier[[#This Row],[P42 Return]])</f>
        <v>1.3857800280465038</v>
      </c>
      <c r="FM54" s="27">
        <f>MAX(FM53,PortfolioFrontier[[#This Row],[P42 Growth]])</f>
        <v>1.3857800280465038</v>
      </c>
      <c r="FN54" s="27">
        <f>PortfolioFrontier[[#This Row],[P42 Growth]]/PortfolioFrontier[[#This Row],[P42 HWM]]-1</f>
        <v>0</v>
      </c>
      <c r="FO54" s="28">
        <f>SUMPRODUCT(INDEX(PortfolioRef[[SPY]:[PE]],MATCH(FO$1,PortfolioRef[Reference '#]),0),AssetMonthlyReturns[[#This Row],[SPY]:[PE]])</f>
        <v>4.6338105183140119E-2</v>
      </c>
      <c r="FP54" s="27">
        <f>IF(ISNUMBER(FP53),FP53*(1+PortfolioFrontier[[#This Row],[P43 Return]]),1+PortfolioFrontier[[#This Row],[P43 Return]])</f>
        <v>1.3759997915534155</v>
      </c>
      <c r="FQ54" s="27">
        <f>MAX(FQ53,PortfolioFrontier[[#This Row],[P43 Growth]])</f>
        <v>1.3759997915534155</v>
      </c>
      <c r="FR54" s="27">
        <f>PortfolioFrontier[[#This Row],[P43 Growth]]/PortfolioFrontier[[#This Row],[P43 HWM]]-1</f>
        <v>0</v>
      </c>
      <c r="FS54" s="28">
        <f>SUMPRODUCT(INDEX(PortfolioRef[[SPY]:[PE]],MATCH(FS$1,PortfolioRef[Reference '#]),0),AssetMonthlyReturns[[#This Row],[SPY]:[PE]])</f>
        <v>5.613751818052419E-2</v>
      </c>
      <c r="FT54" s="27">
        <f>IF(ISNUMBER(FT53),FT53*(1+PortfolioFrontier[[#This Row],[P44 Return]]),1+PortfolioFrontier[[#This Row],[P44 Return]])</f>
        <v>1.4287607428550353</v>
      </c>
      <c r="FU54" s="27">
        <f>MAX(FU53,PortfolioFrontier[[#This Row],[P44 Growth]])</f>
        <v>1.4287607428550353</v>
      </c>
      <c r="FV54" s="27">
        <f>PortfolioFrontier[[#This Row],[P44 Growth]]/PortfolioFrontier[[#This Row],[P44 HWM]]-1</f>
        <v>0</v>
      </c>
      <c r="FW54" s="28">
        <f>SUMPRODUCT(INDEX(PortfolioRef[[SPY]:[PE]],MATCH(FW$1,PortfolioRef[Reference '#]),0),AssetMonthlyReturns[[#This Row],[SPY]:[PE]])</f>
        <v>5.5134403775448315E-2</v>
      </c>
      <c r="FX54" s="27">
        <f>IF(ISNUMBER(FX53),FX53*(1+PortfolioFrontier[[#This Row],[P45 Return]]),1+PortfolioFrontier[[#This Row],[P45 Return]])</f>
        <v>1.418854835580581</v>
      </c>
      <c r="FY54" s="27">
        <f>MAX(FY53,PortfolioFrontier[[#This Row],[P45 Growth]])</f>
        <v>1.418854835580581</v>
      </c>
      <c r="FZ54" s="27">
        <f>PortfolioFrontier[[#This Row],[P45 Growth]]/PortfolioFrontier[[#This Row],[P45 HWM]]-1</f>
        <v>0</v>
      </c>
      <c r="GA54" s="28">
        <f>SUMPRODUCT(INDEX(PortfolioRef[[SPY]:[PE]],MATCH(GA$1,PortfolioRef[Reference '#]),0),AssetMonthlyReturns[[#This Row],[SPY]:[PE]])</f>
        <v>5.3076400550963729E-2</v>
      </c>
      <c r="GB54" s="27">
        <f>IF(ISNUMBER(GB53),GB53*(1+PortfolioFrontier[[#This Row],[P46 Return]]),1+PortfolioFrontier[[#This Row],[P46 Return]])</f>
        <v>1.411763795547704</v>
      </c>
      <c r="GC54" s="27">
        <f>MAX(GC53,PortfolioFrontier[[#This Row],[P46 Growth]])</f>
        <v>1.411763795547704</v>
      </c>
      <c r="GD54" s="27">
        <f>PortfolioFrontier[[#This Row],[P46 Growth]]/PortfolioFrontier[[#This Row],[P46 HWM]]-1</f>
        <v>0</v>
      </c>
      <c r="GE54" s="28">
        <f>SUMPRODUCT(INDEX(PortfolioRef[[SPY]:[PE]],MATCH(GE$1,PortfolioRef[Reference '#]),0),AssetMonthlyReturns[[#This Row],[SPY]:[PE]])</f>
        <v>5.2073286145887854E-2</v>
      </c>
      <c r="GF54" s="27">
        <f>IF(ISNUMBER(GF53),GF53*(1+PortfolioFrontier[[#This Row],[P47 Return]]),1+PortfolioFrontier[[#This Row],[P47 Return]])</f>
        <v>1.4023125964366547</v>
      </c>
      <c r="GG54" s="27">
        <f>MAX(GG53,PortfolioFrontier[[#This Row],[P47 Growth]])</f>
        <v>1.4023125964366547</v>
      </c>
      <c r="GH54" s="27">
        <f>PortfolioFrontier[[#This Row],[P47 Growth]]/PortfolioFrontier[[#This Row],[P47 HWM]]-1</f>
        <v>0</v>
      </c>
      <c r="GI54" s="28">
        <f>SUMPRODUCT(INDEX(PortfolioRef[[SPY]:[PE]],MATCH(GI$1,PortfolioRef[Reference '#]),0),AssetMonthlyReturns[[#This Row],[SPY]:[PE]])</f>
        <v>5.1070171740811979E-2</v>
      </c>
      <c r="GJ54" s="27">
        <f>IF(ISNUMBER(GJ53),GJ53*(1+PortfolioFrontier[[#This Row],[P48 Return]]),1+PortfolioFrontier[[#This Row],[P48 Return]])</f>
        <v>1.3924648222012528</v>
      </c>
      <c r="GK54" s="27">
        <f>MAX(GK53,PortfolioFrontier[[#This Row],[P48 Growth]])</f>
        <v>1.3924648222012528</v>
      </c>
      <c r="GL54" s="27">
        <f>PortfolioFrontier[[#This Row],[P48 Growth]]/PortfolioFrontier[[#This Row],[P48 HWM]]-1</f>
        <v>0</v>
      </c>
      <c r="GM54" s="28">
        <f>SUMPRODUCT(INDEX(PortfolioRef[[SPY]:[PE]],MATCH(GM$1,PortfolioRef[Reference '#]),0),AssetMonthlyReturns[[#This Row],[SPY]:[PE]])</f>
        <v>5.0015282921403267E-2</v>
      </c>
      <c r="GN54" s="27">
        <f>IF(ISNUMBER(GN53),GN53*(1+PortfolioFrontier[[#This Row],[P49 Return]]),1+PortfolioFrontier[[#This Row],[P49 Return]])</f>
        <v>1.3944504637784541</v>
      </c>
      <c r="GO54" s="27">
        <f>MAX(GO53,PortfolioFrontier[[#This Row],[P49 Growth]])</f>
        <v>1.3944504637784541</v>
      </c>
      <c r="GP54" s="27">
        <f>PortfolioFrontier[[#This Row],[P49 Growth]]/PortfolioFrontier[[#This Row],[P49 HWM]]-1</f>
        <v>0</v>
      </c>
      <c r="GQ54" s="28">
        <f>SUMPRODUCT(INDEX(PortfolioRef[[SPY]:[PE]],MATCH(GQ$1,PortfolioRef[Reference '#]),0),AssetMonthlyReturns[[#This Row],[SPY]:[PE]])</f>
        <v>4.9012168516327392E-2</v>
      </c>
      <c r="GR54" s="27">
        <f>IF(ISNUMBER(GR53),GR53*(1+PortfolioFrontier[[#This Row],[P50 Return]]),1+PortfolioFrontier[[#This Row],[P50 Return]])</f>
        <v>1.3854517870590826</v>
      </c>
      <c r="GS54" s="27">
        <f>MAX(GS53,PortfolioFrontier[[#This Row],[P50 Growth]])</f>
        <v>1.3854517870590826</v>
      </c>
      <c r="GT54" s="27">
        <f>PortfolioFrontier[[#This Row],[P50 Growth]]/PortfolioFrontier[[#This Row],[P50 HWM]]-1</f>
        <v>0</v>
      </c>
      <c r="GU54" s="28">
        <f>SUMPRODUCT(INDEX(PortfolioRef[[SPY]:[PE]],MATCH(GU$1,PortfolioRef[Reference '#]),0),AssetMonthlyReturns[[#This Row],[SPY]:[PE]])</f>
        <v>4.8009054111251517E-2</v>
      </c>
      <c r="GV54" s="27">
        <f>IF(ISNUMBER(GV53),GV53*(1+PortfolioFrontier[[#This Row],[P51 Return]]),1+PortfolioFrontier[[#This Row],[P51 Return]])</f>
        <v>1.3760528925771505</v>
      </c>
      <c r="GW54" s="27">
        <f>MAX(GW53,PortfolioFrontier[[#This Row],[P51 Growth]])</f>
        <v>1.3760528925771505</v>
      </c>
      <c r="GX54" s="27">
        <f>PortfolioFrontier[[#This Row],[P51 Growth]]/PortfolioFrontier[[#This Row],[P51 HWM]]-1</f>
        <v>0</v>
      </c>
      <c r="GY54" s="28">
        <f>SUMPRODUCT(INDEX(PortfolioRef[[SPY]:[PE]],MATCH(GY$1,PortfolioRef[Reference '#]),0),AssetMonthlyReturns[[#This Row],[SPY]:[PE]])</f>
        <v>5.7808467108635582E-2</v>
      </c>
      <c r="GZ54" s="27">
        <f>IF(ISNUMBER(GZ53),GZ53*(1+PortfolioFrontier[[#This Row],[P52 Return]]),1+PortfolioFrontier[[#This Row],[P52 Return]])</f>
        <v>1.4283741776435972</v>
      </c>
      <c r="HA54" s="27">
        <f>MAX(HA53,PortfolioFrontier[[#This Row],[P52 Growth]])</f>
        <v>1.4283741776435972</v>
      </c>
      <c r="HB54" s="27">
        <f>PortfolioFrontier[[#This Row],[P52 Growth]]/PortfolioFrontier[[#This Row],[P52 HWM]]-1</f>
        <v>0</v>
      </c>
      <c r="HC54" s="28">
        <f>SUMPRODUCT(INDEX(PortfolioRef[[SPY]:[PE]],MATCH(HC$1,PortfolioRef[Reference '#]),0),AssetMonthlyReturns[[#This Row],[SPY]:[PE]])</f>
        <v>5.6805352703559707E-2</v>
      </c>
      <c r="HD54" s="27">
        <f>IF(ISNUMBER(HD53),HD53*(1+PortfolioFrontier[[#This Row],[P53 Return]]),1+PortfolioFrontier[[#This Row],[P53 Return]])</f>
        <v>1.4188612600380981</v>
      </c>
      <c r="HE54" s="27">
        <f>MAX(HE53,PortfolioFrontier[[#This Row],[P53 Growth]])</f>
        <v>1.4188612600380981</v>
      </c>
      <c r="HF54" s="27">
        <f>PortfolioFrontier[[#This Row],[P53 Growth]]/PortfolioFrontier[[#This Row],[P53 HWM]]-1</f>
        <v>0</v>
      </c>
      <c r="HG54" s="28">
        <f>SUMPRODUCT(INDEX(PortfolioRef[[SPY]:[PE]],MATCH(HG$1,PortfolioRef[Reference '#]),0),AssetMonthlyReturns[[#This Row],[SPY]:[PE]])</f>
        <v>5.5802238298483825E-2</v>
      </c>
      <c r="HH54" s="27">
        <f>IF(ISNUMBER(HH53),HH53*(1+PortfolioFrontier[[#This Row],[P54 Return]]),1+PortfolioFrontier[[#This Row],[P54 Return]])</f>
        <v>1.4089467130943774</v>
      </c>
      <c r="HI54" s="27">
        <f>MAX(HI53,PortfolioFrontier[[#This Row],[P54 Growth]])</f>
        <v>1.4089467130943774</v>
      </c>
      <c r="HJ54" s="27">
        <f>PortfolioFrontier[[#This Row],[P54 Growth]]/PortfolioFrontier[[#This Row],[P54 HWM]]-1</f>
        <v>0</v>
      </c>
      <c r="HK54" s="28">
        <f>SUMPRODUCT(INDEX(PortfolioRef[[SPY]:[PE]],MATCH(HK$1,PortfolioRef[Reference '#]),0),AssetMonthlyReturns[[#This Row],[SPY]:[PE]])</f>
        <v>5.4747349479075121E-2</v>
      </c>
      <c r="HL54" s="27">
        <f>IF(ISNUMBER(HL53),HL53*(1+PortfolioFrontier[[#This Row],[P55 Return]]),1+PortfolioFrontier[[#This Row],[P55 Return]])</f>
        <v>1.4110118215511973</v>
      </c>
      <c r="HM54" s="27">
        <f>MAX(HM53,PortfolioFrontier[[#This Row],[P55 Growth]])</f>
        <v>1.4110118215511973</v>
      </c>
      <c r="HN54" s="27">
        <f>PortfolioFrontier[[#This Row],[P55 Growth]]/PortfolioFrontier[[#This Row],[P55 HWM]]-1</f>
        <v>0</v>
      </c>
      <c r="HO54" s="28">
        <f>SUMPRODUCT(INDEX(PortfolioRef[[SPY]:[PE]],MATCH(HO$1,PortfolioRef[Reference '#]),0),AssetMonthlyReturns[[#This Row],[SPY]:[PE]])</f>
        <v>5.3744235073999246E-2</v>
      </c>
      <c r="HP54" s="27">
        <f>IF(ISNUMBER(HP53),HP53*(1+PortfolioFrontier[[#This Row],[P56 Return]]),1+PortfolioFrontier[[#This Row],[P56 Return]])</f>
        <v>1.4019551296160773</v>
      </c>
      <c r="HQ54" s="27">
        <f>MAX(HQ53,PortfolioFrontier[[#This Row],[P56 Growth]])</f>
        <v>1.4019551296160773</v>
      </c>
      <c r="HR54" s="27">
        <f>PortfolioFrontier[[#This Row],[P56 Growth]]/PortfolioFrontier[[#This Row],[P56 HWM]]-1</f>
        <v>0</v>
      </c>
      <c r="HS54" s="28">
        <f>SUMPRODUCT(INDEX(PortfolioRef[[SPY]:[PE]],MATCH(HS$1,PortfolioRef[Reference '#]),0),AssetMonthlyReturns[[#This Row],[SPY]:[PE]])</f>
        <v>5.2741120668923364E-2</v>
      </c>
      <c r="HT54" s="27">
        <f>IF(ISNUMBER(HT53),HT53*(1+PortfolioFrontier[[#This Row],[P57 Return]]),1+PortfolioFrontier[[#This Row],[P57 Return]])</f>
        <v>1.3924931098243092</v>
      </c>
      <c r="HU54" s="27">
        <f>MAX(HU53,PortfolioFrontier[[#This Row],[P57 Growth]])</f>
        <v>1.3924931098243092</v>
      </c>
      <c r="HV54" s="27">
        <f>PortfolioFrontier[[#This Row],[P57 Growth]]/PortfolioFrontier[[#This Row],[P57 HWM]]-1</f>
        <v>0</v>
      </c>
      <c r="HW54" s="28">
        <f>SUMPRODUCT(INDEX(PortfolioRef[[SPY]:[PE]],MATCH(HW$1,PortfolioRef[Reference '#]),0),AssetMonthlyReturns[[#This Row],[SPY]:[PE]])</f>
        <v>5.1686231849514659E-2</v>
      </c>
      <c r="HX54" s="27">
        <f>IF(ISNUMBER(HX53),HX53*(1+PortfolioFrontier[[#This Row],[P58 Return]]),1+PortfolioFrontier[[#This Row],[P58 Return]])</f>
        <v>1.3933383359807878</v>
      </c>
      <c r="HY54" s="27">
        <f>MAX(HY53,PortfolioFrontier[[#This Row],[P58 Growth]])</f>
        <v>1.3933383359807878</v>
      </c>
      <c r="HZ54" s="27">
        <f>PortfolioFrontier[[#This Row],[P58 Growth]]/PortfolioFrontier[[#This Row],[P58 HWM]]-1</f>
        <v>0</v>
      </c>
      <c r="IA54" s="28">
        <f>SUMPRODUCT(INDEX(PortfolioRef[[SPY]:[PE]],MATCH(IA$1,PortfolioRef[Reference '#]),0),AssetMonthlyReturns[[#This Row],[SPY]:[PE]])</f>
        <v>5.0683117444438784E-2</v>
      </c>
      <c r="IB54" s="27">
        <f>IF(ISNUMBER(IB53),IB53*(1+PortfolioFrontier[[#This Row],[P59 Return]]),1+PortfolioFrontier[[#This Row],[P59 Return]])</f>
        <v>1.3847354323802838</v>
      </c>
      <c r="IC54" s="27">
        <f>MAX(IC53,PortfolioFrontier[[#This Row],[P59 Growth]])</f>
        <v>1.3847354323802838</v>
      </c>
      <c r="ID54" s="27">
        <f>PortfolioFrontier[[#This Row],[P59 Growth]]/PortfolioFrontier[[#This Row],[P59 HWM]]-1</f>
        <v>0</v>
      </c>
      <c r="IE54" s="28">
        <f>SUMPRODUCT(INDEX(PortfolioRef[[SPY]:[PE]],MATCH(IE$1,PortfolioRef[Reference '#]),0),AssetMonthlyReturns[[#This Row],[SPY]:[PE]])</f>
        <v>4.9680003039362902E-2</v>
      </c>
      <c r="IF54" s="27">
        <f>IF(ISNUMBER(IF53),IF53*(1+PortfolioFrontier[[#This Row],[P60 Return]]),1+PortfolioFrontier[[#This Row],[P60 Return]])</f>
        <v>1.3757237637990611</v>
      </c>
      <c r="IG54" s="27">
        <f>MAX(IG53,PortfolioFrontier[[#This Row],[P60 Growth]])</f>
        <v>1.3757237637990611</v>
      </c>
      <c r="IH54" s="27">
        <f>PortfolioFrontier[[#This Row],[P60 Growth]]/PortfolioFrontier[[#This Row],[P60 HWM]]-1</f>
        <v>0</v>
      </c>
      <c r="II54" s="28">
        <f>SUMPRODUCT(INDEX(PortfolioRef[[SPY]:[PE]],MATCH(II$1,PortfolioRef[Reference '#]),0),AssetMonthlyReturns[[#This Row],[SPY]:[PE]])</f>
        <v>4.248851670217519E-2</v>
      </c>
      <c r="IJ54" s="27">
        <f>IF(ISNUMBER(IJ53),IJ53*(1+PortfolioFrontier[[#This Row],[P61 Return]]),1+PortfolioFrontier[[#This Row],[P61 Return]])</f>
        <v>1.3701108505595549</v>
      </c>
      <c r="IK54" s="27">
        <f>MAX(IK53,PortfolioFrontier[[#This Row],[P61 Growth]])</f>
        <v>1.3701108505595549</v>
      </c>
      <c r="IL54" s="27">
        <f>PortfolioFrontier[[#This Row],[P61 Growth]]/PortfolioFrontier[[#This Row],[P61 HWM]]-1</f>
        <v>0</v>
      </c>
      <c r="IM54" s="28">
        <f>SUMPRODUCT(INDEX(PortfolioRef[[SPY]:[PE]],MATCH(IM$1,PortfolioRef[Reference '#]),0),AssetMonthlyReturns[[#This Row],[SPY]:[PE]])</f>
        <v>4.722058325984705E-2</v>
      </c>
      <c r="IN54" s="27">
        <f>IF(ISNUMBER(IN53),IN53*(1+PortfolioFrontier[[#This Row],[P62 Return]]),1+PortfolioFrontier[[#This Row],[P62 Return]])</f>
        <v>1.3864769833677986</v>
      </c>
      <c r="IO54" s="27">
        <f>MAX(IO53,PortfolioFrontier[[#This Row],[P62 Growth]])</f>
        <v>1.3864769833677986</v>
      </c>
      <c r="IP54" s="27">
        <f>PortfolioFrontier[[#This Row],[P62 Growth]]/PortfolioFrontier[[#This Row],[P62 HWM]]-1</f>
        <v>0</v>
      </c>
      <c r="IQ54" s="28">
        <f>SUMPRODUCT(INDEX(PortfolioRef[[SPY]:[PE]],MATCH(IQ$1,PortfolioRef[Reference '#]),0),AssetMonthlyReturns[[#This Row],[SPY]:[PE]])</f>
        <v>4.4159465630286589E-2</v>
      </c>
      <c r="IR54" s="27">
        <f>IF(ISNUMBER(IR53),IR53*(1+PortfolioFrontier[[#This Row],[P63 Return]]),1+PortfolioFrontier[[#This Row],[P63 Return]])</f>
        <v>1.3704344986814898</v>
      </c>
      <c r="IS54" s="27">
        <f>MAX(IS53,PortfolioFrontier[[#This Row],[P63 Growth]])</f>
        <v>1.3704344986814898</v>
      </c>
      <c r="IT54" s="27">
        <f>PortfolioFrontier[[#This Row],[P63 Growth]]/PortfolioFrontier[[#This Row],[P63 HWM]]-1</f>
        <v>0</v>
      </c>
      <c r="IU54" s="28">
        <f>SUMPRODUCT(INDEX(PortfolioRef[[SPY]:[PE]],MATCH(IU$1,PortfolioRef[Reference '#]),0),AssetMonthlyReturns[[#This Row],[SPY]:[PE]])</f>
        <v>4.3156351225210714E-2</v>
      </c>
      <c r="IV54" s="27">
        <f>IF(ISNUMBER(IV53),IV53*(1+PortfolioFrontier[[#This Row],[P64 Return]]),1+PortfolioFrontier[[#This Row],[P64 Return]])</f>
        <v>1.3606097627526259</v>
      </c>
      <c r="IW54" s="27">
        <f>MAX(IW53,PortfolioFrontier[[#This Row],[P64 Growth]])</f>
        <v>1.3606097627526259</v>
      </c>
      <c r="IX54" s="27">
        <f>PortfolioFrontier[[#This Row],[P64 Growth]]/PortfolioFrontier[[#This Row],[P64 HWM]]-1</f>
        <v>0</v>
      </c>
      <c r="IY54" s="28">
        <f>SUMPRODUCT(INDEX(PortfolioRef[[SPY]:[PE]],MATCH(IY$1,PortfolioRef[Reference '#]),0),AssetMonthlyReturns[[#This Row],[SPY]:[PE]])</f>
        <v>5.1952649817518903E-2</v>
      </c>
      <c r="IZ54" s="27">
        <f>IF(ISNUMBER(IZ53),IZ53*(1+PortfolioFrontier[[#This Row],[P65 Return]]),1+PortfolioFrontier[[#This Row],[P65 Return]])</f>
        <v>1.4028588885237199</v>
      </c>
      <c r="JA54" s="27">
        <f>MAX(JA53,PortfolioFrontier[[#This Row],[P65 Growth]])</f>
        <v>1.4028588885237199</v>
      </c>
      <c r="JB54" s="27">
        <f>PortfolioFrontier[[#This Row],[P65 Growth]]/PortfolioFrontier[[#This Row],[P65 HWM]]-1</f>
        <v>0</v>
      </c>
      <c r="JC54" s="28">
        <f>SUMPRODUCT(INDEX(PortfolioRef[[SPY]:[PE]],MATCH(JC$1,PortfolioRef[Reference '#]),0),AssetMonthlyReturns[[#This Row],[SPY]:[PE]])</f>
        <v>4.8891532187958442E-2</v>
      </c>
      <c r="JD54" s="27">
        <f>IF(ISNUMBER(JD53),JD53*(1+PortfolioFrontier[[#This Row],[P66 Return]]),1+PortfolioFrontier[[#This Row],[P66 Return]])</f>
        <v>1.3867788467183806</v>
      </c>
      <c r="JE54" s="27">
        <f>MAX(JE53,PortfolioFrontier[[#This Row],[P66 Growth]])</f>
        <v>1.3867788467183806</v>
      </c>
      <c r="JF54" s="27">
        <f>PortfolioFrontier[[#This Row],[P66 Growth]]/PortfolioFrontier[[#This Row],[P66 HWM]]-1</f>
        <v>0</v>
      </c>
      <c r="JG54" s="28">
        <f>SUMPRODUCT(INDEX(PortfolioRef[[SPY]:[PE]],MATCH(JG$1,PortfolioRef[Reference '#]),0),AssetMonthlyReturns[[#This Row],[SPY]:[PE]])</f>
        <v>4.7888417782882567E-2</v>
      </c>
      <c r="JH54" s="27">
        <f>IF(ISNUMBER(JH53),JH53*(1+PortfolioFrontier[[#This Row],[P67 Return]]),1+PortfolioFrontier[[#This Row],[P67 Return]])</f>
        <v>1.376885829296892</v>
      </c>
      <c r="JI54" s="27">
        <f>MAX(JI53,PortfolioFrontier[[#This Row],[P67 Growth]])</f>
        <v>1.376885829296892</v>
      </c>
      <c r="JJ54" s="27">
        <f>PortfolioFrontier[[#This Row],[P67 Growth]]/PortfolioFrontier[[#This Row],[P67 HWM]]-1</f>
        <v>0</v>
      </c>
      <c r="JK54" s="28">
        <f>SUMPRODUCT(INDEX(PortfolioRef[[SPY]:[PE]],MATCH(JK$1,PortfolioRef[Reference '#]),0),AssetMonthlyReturns[[#This Row],[SPY]:[PE]])</f>
        <v>4.5830414558397981E-2</v>
      </c>
      <c r="JL54" s="27">
        <f>IF(ISNUMBER(JL53),JL53*(1+PortfolioFrontier[[#This Row],[P68 Return]]),1+PortfolioFrontier[[#This Row],[P68 Return]])</f>
        <v>1.3703797324226055</v>
      </c>
      <c r="JM54" s="27">
        <f>MAX(JM53,PortfolioFrontier[[#This Row],[P68 Growth]])</f>
        <v>1.3703797324226055</v>
      </c>
      <c r="JN54" s="27">
        <f>PortfolioFrontier[[#This Row],[P68 Growth]]/PortfolioFrontier[[#This Row],[P68 HWM]]-1</f>
        <v>0</v>
      </c>
      <c r="JO54" s="28">
        <f>SUMPRODUCT(INDEX(PortfolioRef[[SPY]:[PE]],MATCH(JO$1,PortfolioRef[Reference '#]),0),AssetMonthlyReturns[[#This Row],[SPY]:[PE]])</f>
        <v>4.4827300153322105E-2</v>
      </c>
      <c r="JP54" s="27">
        <f>IF(ISNUMBER(JP53),JP53*(1+PortfolioFrontier[[#This Row],[P69 Return]]),1+PortfolioFrontier[[#This Row],[P69 Return]])</f>
        <v>1.3609282658387509</v>
      </c>
      <c r="JQ54" s="27">
        <f>MAX(JQ53,PortfolioFrontier[[#This Row],[P69 Growth]])</f>
        <v>1.3609282658387509</v>
      </c>
      <c r="JR54" s="27">
        <f>PortfolioFrontier[[#This Row],[P69 Growth]]/PortfolioFrontier[[#This Row],[P69 HWM]]-1</f>
        <v>0</v>
      </c>
      <c r="JS54" s="28">
        <f>SUMPRODUCT(INDEX(PortfolioRef[[SPY]:[PE]],MATCH(JS$1,PortfolioRef[Reference '#]),0),AssetMonthlyReturns[[#This Row],[SPY]:[PE]])</f>
        <v>4.382418574824623E-2</v>
      </c>
      <c r="JT54" s="27">
        <f>IF(ISNUMBER(JT53),JT53*(1+PortfolioFrontier[[#This Row],[P70 Return]]),1+PortfolioFrontier[[#This Row],[P70 Return]])</f>
        <v>1.3510975067021265</v>
      </c>
      <c r="JU54" s="27">
        <f>MAX(JU53,PortfolioFrontier[[#This Row],[P70 Growth]])</f>
        <v>1.3510975067021265</v>
      </c>
      <c r="JV54" s="27">
        <f>PortfolioFrontier[[#This Row],[P70 Growth]]/PortfolioFrontier[[#This Row],[P70 HWM]]-1</f>
        <v>0</v>
      </c>
      <c r="JW54" s="28">
        <f>SUMPRODUCT(INDEX(PortfolioRef[[SPY]:[PE]],MATCH(JW$1,PortfolioRef[Reference '#]),0),AssetMonthlyReturns[[#This Row],[SPY]:[PE]])</f>
        <v>5.3623598745630295E-2</v>
      </c>
      <c r="JX54" s="27">
        <f>IF(ISNUMBER(JX53),JX53*(1+PortfolioFrontier[[#This Row],[P71 Return]]),1+PortfolioFrontier[[#This Row],[P71 Return]])</f>
        <v>1.403138617264692</v>
      </c>
      <c r="JY54" s="27">
        <f>MAX(JY53,PortfolioFrontier[[#This Row],[P71 Growth]])</f>
        <v>1.403138617264692</v>
      </c>
      <c r="JZ54" s="27">
        <f>PortfolioFrontier[[#This Row],[P71 Growth]]/PortfolioFrontier[[#This Row],[P71 HWM]]-1</f>
        <v>0</v>
      </c>
      <c r="KA54" s="28">
        <f>SUMPRODUCT(INDEX(PortfolioRef[[SPY]:[PE]],MATCH(KA$1,PortfolioRef[Reference '#]),0),AssetMonthlyReturns[[#This Row],[SPY]:[PE]])</f>
        <v>5.262048434055442E-2</v>
      </c>
      <c r="KB54" s="27">
        <f>IF(ISNUMBER(KB53),KB53*(1+PortfolioFrontier[[#This Row],[P72 Return]]),1+PortfolioFrontier[[#This Row],[P72 Return]])</f>
        <v>1.3931780825774931</v>
      </c>
      <c r="KC54" s="27">
        <f>MAX(KC53,PortfolioFrontier[[#This Row],[P72 Growth]])</f>
        <v>1.3931780825774931</v>
      </c>
      <c r="KD54" s="27">
        <f>PortfolioFrontier[[#This Row],[P72 Growth]]/PortfolioFrontier[[#This Row],[P72 HWM]]-1</f>
        <v>0</v>
      </c>
      <c r="KE54" s="28">
        <f>SUMPRODUCT(INDEX(PortfolioRef[[SPY]:[PE]],MATCH(KE$1,PortfolioRef[Reference '#]),0),AssetMonthlyReturns[[#This Row],[SPY]:[PE]])</f>
        <v>5.0562481116069834E-2</v>
      </c>
      <c r="KF54" s="27">
        <f>IF(ISNUMBER(KF53),KF53*(1+PortfolioFrontier[[#This Row],[P73 Return]]),1+PortfolioFrontier[[#This Row],[P73 Return]])</f>
        <v>1.3866980914132758</v>
      </c>
      <c r="KG54" s="27">
        <f>MAX(KG53,PortfolioFrontier[[#This Row],[P73 Growth]])</f>
        <v>1.3866980914132758</v>
      </c>
      <c r="KH54" s="27">
        <f>PortfolioFrontier[[#This Row],[P73 Growth]]/PortfolioFrontier[[#This Row],[P73 HWM]]-1</f>
        <v>0</v>
      </c>
      <c r="KI54" s="28">
        <f>SUMPRODUCT(INDEX(PortfolioRef[[SPY]:[PE]],MATCH(KI$1,PortfolioRef[Reference '#]),0),AssetMonthlyReturns[[#This Row],[SPY]:[PE]])</f>
        <v>4.9559366710993959E-2</v>
      </c>
      <c r="KJ54" s="27">
        <f>IF(ISNUMBER(KJ53),KJ53*(1+PortfolioFrontier[[#This Row],[P74 Return]]),1+PortfolioFrontier[[#This Row],[P74 Return]])</f>
        <v>1.3771826743192934</v>
      </c>
      <c r="KK54" s="27">
        <f>MAX(KK53,PortfolioFrontier[[#This Row],[P74 Growth]])</f>
        <v>1.3771826743192934</v>
      </c>
      <c r="KL54" s="27">
        <f>PortfolioFrontier[[#This Row],[P74 Growth]]/PortfolioFrontier[[#This Row],[P74 HWM]]-1</f>
        <v>0</v>
      </c>
      <c r="KM54" s="28">
        <f>SUMPRODUCT(INDEX(PortfolioRef[[SPY]:[PE]],MATCH(KM$1,PortfolioRef[Reference '#]),0),AssetMonthlyReturns[[#This Row],[SPY]:[PE]])</f>
        <v>4.8556252305918077E-2</v>
      </c>
      <c r="KN54" s="27">
        <f>IF(ISNUMBER(KN53),KN53*(1+PortfolioFrontier[[#This Row],[P75 Return]]),1+PortfolioFrontier[[#This Row],[P75 Return]])</f>
        <v>1.3672830489450154</v>
      </c>
      <c r="KO54" s="27">
        <f>MAX(KO53,PortfolioFrontier[[#This Row],[P75 Growth]])</f>
        <v>1.3672830489450154</v>
      </c>
      <c r="KP54" s="27">
        <f>PortfolioFrontier[[#This Row],[P75 Growth]]/PortfolioFrontier[[#This Row],[P75 HWM]]-1</f>
        <v>0</v>
      </c>
      <c r="KQ54" s="28">
        <f>SUMPRODUCT(INDEX(PortfolioRef[[SPY]:[PE]],MATCH(KQ$1,PortfolioRef[Reference '#]),0),AssetMonthlyReturns[[#This Row],[SPY]:[PE]])</f>
        <v>4.7501363486509372E-2</v>
      </c>
      <c r="KR54" s="27">
        <f>IF(ISNUMBER(KR53),KR53*(1+PortfolioFrontier[[#This Row],[P76 Return]]),1+PortfolioFrontier[[#This Row],[P76 Return]])</f>
        <v>1.3699432591834284</v>
      </c>
      <c r="KS54" s="27">
        <f>MAX(KS53,PortfolioFrontier[[#This Row],[P76 Growth]])</f>
        <v>1.3699432591834284</v>
      </c>
      <c r="KT54" s="27">
        <f>PortfolioFrontier[[#This Row],[P76 Growth]]/PortfolioFrontier[[#This Row],[P76 HWM]]-1</f>
        <v>0</v>
      </c>
      <c r="KU54" s="28">
        <f>SUMPRODUCT(INDEX(PortfolioRef[[SPY]:[PE]],MATCH(KU$1,PortfolioRef[Reference '#]),0),AssetMonthlyReturns[[#This Row],[SPY]:[PE]])</f>
        <v>4.6498249081433497E-2</v>
      </c>
      <c r="KV54" s="27">
        <f>IF(ISNUMBER(KV53),KV53*(1+PortfolioFrontier[[#This Row],[P77 Return]]),1+PortfolioFrontier[[#This Row],[P77 Return]])</f>
        <v>1.3608709800092302</v>
      </c>
      <c r="KW54" s="27">
        <f>MAX(KW53,PortfolioFrontier[[#This Row],[P77 Growth]])</f>
        <v>1.3608709800092302</v>
      </c>
      <c r="KX54" s="27">
        <f>PortfolioFrontier[[#This Row],[P77 Growth]]/PortfolioFrontier[[#This Row],[P77 HWM]]-1</f>
        <v>0</v>
      </c>
      <c r="KY54" s="28">
        <f>SUMPRODUCT(INDEX(PortfolioRef[[SPY]:[PE]],MATCH(KY$1,PortfolioRef[Reference '#]),0),AssetMonthlyReturns[[#This Row],[SPY]:[PE]])</f>
        <v>4.5495134676357615E-2</v>
      </c>
      <c r="KZ54" s="27">
        <f>IF(ISNUMBER(KZ53),KZ53*(1+PortfolioFrontier[[#This Row],[P78 Return]]),1+PortfolioFrontier[[#This Row],[P78 Return]])</f>
        <v>1.3514107949301113</v>
      </c>
      <c r="LA54" s="27">
        <f>MAX(LA53,PortfolioFrontier[[#This Row],[P78 Growth]])</f>
        <v>1.3514107949301113</v>
      </c>
      <c r="LB54" s="27">
        <f>PortfolioFrontier[[#This Row],[P78 Growth]]/PortfolioFrontier[[#This Row],[P78 HWM]]-1</f>
        <v>0</v>
      </c>
      <c r="LC54" s="28">
        <f>SUMPRODUCT(INDEX(PortfolioRef[[SPY]:[PE]],MATCH(LC$1,PortfolioRef[Reference '#]),0),AssetMonthlyReturns[[#This Row],[SPY]:[PE]])</f>
        <v>5.5294547673741687E-2</v>
      </c>
      <c r="LD54" s="27">
        <f>IF(ISNUMBER(LD53),LD53*(1+PortfolioFrontier[[#This Row],[P79 Return]]),1+PortfolioFrontier[[#This Row],[P79 Return]])</f>
        <v>1.4030315239392119</v>
      </c>
      <c r="LE54" s="27">
        <f>MAX(LE53,PortfolioFrontier[[#This Row],[P79 Growth]])</f>
        <v>1.4030315239392119</v>
      </c>
      <c r="LF54" s="27">
        <f>PortfolioFrontier[[#This Row],[P79 Growth]]/PortfolioFrontier[[#This Row],[P79 HWM]]-1</f>
        <v>0</v>
      </c>
      <c r="LG54" s="28">
        <f>SUMPRODUCT(INDEX(PortfolioRef[[SPY]:[PE]],MATCH(LG$1,PortfolioRef[Reference '#]),0),AssetMonthlyReturns[[#This Row],[SPY]:[PE]])</f>
        <v>5.4291433268665812E-2</v>
      </c>
      <c r="LH54" s="27">
        <f>IF(ISNUMBER(LH53),LH53*(1+PortfolioFrontier[[#This Row],[P80 Return]]),1+PortfolioFrontier[[#This Row],[P80 Return]])</f>
        <v>1.393452921462583</v>
      </c>
      <c r="LI54" s="27">
        <f>MAX(LI53,PortfolioFrontier[[#This Row],[P80 Growth]])</f>
        <v>1.393452921462583</v>
      </c>
      <c r="LJ54" s="27">
        <f>PortfolioFrontier[[#This Row],[P80 Growth]]/PortfolioFrontier[[#This Row],[P80 HWM]]-1</f>
        <v>0</v>
      </c>
      <c r="LK54" s="28">
        <f>SUMPRODUCT(INDEX(PortfolioRef[[SPY]:[PE]],MATCH(LK$1,PortfolioRef[Reference '#]),0),AssetMonthlyReturns[[#This Row],[SPY]:[PE]])</f>
        <v>5.3288318863589937E-2</v>
      </c>
      <c r="LL54" s="27">
        <f>IF(ISNUMBER(LL53),LL53*(1+PortfolioFrontier[[#This Row],[P81 Return]]),1+PortfolioFrontier[[#This Row],[P81 Return]])</f>
        <v>1.3834851847178691</v>
      </c>
      <c r="LM54" s="27">
        <f>MAX(LM53,PortfolioFrontier[[#This Row],[P81 Growth]])</f>
        <v>1.3834851847178691</v>
      </c>
      <c r="LN54" s="27">
        <f>PortfolioFrontier[[#This Row],[P81 Growth]]/PortfolioFrontier[[#This Row],[P81 HWM]]-1</f>
        <v>0</v>
      </c>
      <c r="LO54" s="28">
        <f>SUMPRODUCT(INDEX(PortfolioRef[[SPY]:[PE]],MATCH(LO$1,PortfolioRef[Reference '#]),0),AssetMonthlyReturns[[#This Row],[SPY]:[PE]])</f>
        <v>5.2233430044181225E-2</v>
      </c>
      <c r="LP54" s="27">
        <f>IF(ISNUMBER(LP53),LP53*(1+PortfolioFrontier[[#This Row],[P82 Return]]),1+PortfolioFrontier[[#This Row],[P82 Return]])</f>
        <v>1.3862314070160899</v>
      </c>
      <c r="LQ54" s="27">
        <f>MAX(LQ53,PortfolioFrontier[[#This Row],[P82 Growth]])</f>
        <v>1.3862314070160899</v>
      </c>
      <c r="LR54" s="27">
        <f>PortfolioFrontier[[#This Row],[P82 Growth]]/PortfolioFrontier[[#This Row],[P82 HWM]]-1</f>
        <v>0</v>
      </c>
      <c r="LS54" s="28">
        <f>SUMPRODUCT(INDEX(PortfolioRef[[SPY]:[PE]],MATCH(LS$1,PortfolioRef[Reference '#]),0),AssetMonthlyReturns[[#This Row],[SPY]:[PE]])</f>
        <v>5.123031563910535E-2</v>
      </c>
      <c r="LT54" s="27">
        <f>IF(ISNUMBER(LT53),LT53*(1+PortfolioFrontier[[#This Row],[P83 Return]]),1+PortfolioFrontier[[#This Row],[P83 Return]])</f>
        <v>1.3770995497749494</v>
      </c>
      <c r="LU54" s="27">
        <f>MAX(LU53,PortfolioFrontier[[#This Row],[P83 Growth]])</f>
        <v>1.3770995497749494</v>
      </c>
      <c r="LV54" s="27">
        <f>PortfolioFrontier[[#This Row],[P83 Growth]]/PortfolioFrontier[[#This Row],[P83 HWM]]-1</f>
        <v>0</v>
      </c>
      <c r="LW54" s="28">
        <f>SUMPRODUCT(INDEX(PortfolioRef[[SPY]:[PE]],MATCH(LW$1,PortfolioRef[Reference '#]),0),AssetMonthlyReturns[[#This Row],[SPY]:[PE]])</f>
        <v>5.0227201234029475E-2</v>
      </c>
      <c r="LX54" s="27">
        <f>IF(ISNUMBER(LX53),LX53*(1+PortfolioFrontier[[#This Row],[P84 Return]]),1+PortfolioFrontier[[#This Row],[P84 Return]])</f>
        <v>1.3675748048640251</v>
      </c>
      <c r="LY54" s="27">
        <f>MAX(LY53,PortfolioFrontier[[#This Row],[P84 Growth]])</f>
        <v>1.3675748048640251</v>
      </c>
      <c r="LZ54" s="27">
        <f>PortfolioFrontier[[#This Row],[P84 Growth]]/PortfolioFrontier[[#This Row],[P84 HWM]]-1</f>
        <v>0</v>
      </c>
      <c r="MA54" s="28">
        <f>SUMPRODUCT(INDEX(PortfolioRef[[SPY]:[PE]],MATCH(MA$1,PortfolioRef[Reference '#]),0),AssetMonthlyReturns[[#This Row],[SPY]:[PE]])</f>
        <v>4.9172312414620764E-2</v>
      </c>
      <c r="MB54" s="27">
        <f>IF(ISNUMBER(MB53),MB53*(1+PortfolioFrontier[[#This Row],[P85 Return]]),1+PortfolioFrontier[[#This Row],[P85 Return]])</f>
        <v>1.3691219804601511</v>
      </c>
      <c r="MC54" s="27">
        <f>MAX(MC53,PortfolioFrontier[[#This Row],[P85 Growth]])</f>
        <v>1.3691219804601511</v>
      </c>
      <c r="MD54" s="27">
        <f>PortfolioFrontier[[#This Row],[P85 Growth]]/PortfolioFrontier[[#This Row],[P85 HWM]]-1</f>
        <v>0</v>
      </c>
      <c r="ME54" s="28">
        <f>SUMPRODUCT(INDEX(PortfolioRef[[SPY]:[PE]],MATCH(ME$1,PortfolioRef[Reference '#]),0),AssetMonthlyReturns[[#This Row],[SPY]:[PE]])</f>
        <v>4.8169198009544889E-2</v>
      </c>
      <c r="MF54" s="27">
        <f>IF(ISNUMBER(MF53),MF53*(1+PortfolioFrontier[[#This Row],[P86 Return]]),1+PortfolioFrontier[[#This Row],[P86 Return]])</f>
        <v>1.3604346433619925</v>
      </c>
      <c r="MG54" s="27">
        <f>MAX(MG53,PortfolioFrontier[[#This Row],[P86 Growth]])</f>
        <v>1.3604346433619925</v>
      </c>
      <c r="MH54" s="27">
        <f>PortfolioFrontier[[#This Row],[P86 Growth]]/PortfolioFrontier[[#This Row],[P86 HWM]]-1</f>
        <v>0</v>
      </c>
      <c r="MI54" s="28">
        <f>SUMPRODUCT(INDEX(PortfolioRef[[SPY]:[PE]],MATCH(MI$1,PortfolioRef[Reference '#]),0),AssetMonthlyReturns[[#This Row],[SPY]:[PE]])</f>
        <v>4.7166083604469014E-2</v>
      </c>
      <c r="MJ54" s="27">
        <f>IF(ISNUMBER(MJ53),MJ53*(1+PortfolioFrontier[[#This Row],[P87 Return]]),1+PortfolioFrontier[[#This Row],[P87 Return]])</f>
        <v>1.3513509194611528</v>
      </c>
      <c r="MK54" s="27">
        <f>MAX(MK53,PortfolioFrontier[[#This Row],[P87 Growth]])</f>
        <v>1.3513509194611528</v>
      </c>
      <c r="ML54" s="27">
        <f>PortfolioFrontier[[#This Row],[P87 Growth]]/PortfolioFrontier[[#This Row],[P87 HWM]]-1</f>
        <v>0</v>
      </c>
      <c r="MM54" s="28">
        <f>SUMPRODUCT(INDEX(PortfolioRef[[SPY]:[PE]],MATCH(MM$1,PortfolioRef[Reference '#]),0),AssetMonthlyReturns[[#This Row],[SPY]:[PE]])</f>
        <v>5.6965496601853079E-2</v>
      </c>
      <c r="MN54" s="27">
        <f>IF(ISNUMBER(MN53),MN53*(1+PortfolioFrontier[[#This Row],[P88 Return]]),1+PortfolioFrontier[[#This Row],[P88 Return]])</f>
        <v>1.4025342805040883</v>
      </c>
      <c r="MO54" s="27">
        <f>MAX(MO53,PortfolioFrontier[[#This Row],[P88 Growth]])</f>
        <v>1.4025342805040883</v>
      </c>
      <c r="MP54" s="27">
        <f>PortfolioFrontier[[#This Row],[P88 Growth]]/PortfolioFrontier[[#This Row],[P88 HWM]]-1</f>
        <v>0</v>
      </c>
      <c r="MQ54" s="28">
        <f>SUMPRODUCT(INDEX(PortfolioRef[[SPY]:[PE]],MATCH(MQ$1,PortfolioRef[Reference '#]),0),AssetMonthlyReturns[[#This Row],[SPY]:[PE]])</f>
        <v>5.5962382196777204E-2</v>
      </c>
      <c r="MR54" s="27">
        <f>IF(ISNUMBER(MR53),MR53*(1+PortfolioFrontier[[#This Row],[P89 Return]]),1+PortfolioFrontier[[#This Row],[P89 Return]])</f>
        <v>1.3933436108651767</v>
      </c>
      <c r="MS54" s="27">
        <f>MAX(MS53,PortfolioFrontier[[#This Row],[P89 Growth]])</f>
        <v>1.3933436108651767</v>
      </c>
      <c r="MT54" s="27">
        <f>PortfolioFrontier[[#This Row],[P89 Growth]]/PortfolioFrontier[[#This Row],[P89 HWM]]-1</f>
        <v>0</v>
      </c>
      <c r="MU54" s="28">
        <f>SUMPRODUCT(INDEX(PortfolioRef[[SPY]:[PE]],MATCH(MU$1,PortfolioRef[Reference '#]),0),AssetMonthlyReturns[[#This Row],[SPY]:[PE]])</f>
        <v>5.4959267791701322E-2</v>
      </c>
      <c r="MV54" s="27">
        <f>IF(ISNUMBER(MV53),MV53*(1+PortfolioFrontier[[#This Row],[P90 Return]]),1+PortfolioFrontier[[#This Row],[P90 Return]])</f>
        <v>1.3837550620257792</v>
      </c>
      <c r="MW54" s="27">
        <f>MAX(MW53,PortfolioFrontier[[#This Row],[P90 Growth]])</f>
        <v>1.3837550620257792</v>
      </c>
      <c r="MX54" s="27">
        <f>PortfolioFrontier[[#This Row],[P90 Growth]]/PortfolioFrontier[[#This Row],[P90 HWM]]-1</f>
        <v>0</v>
      </c>
      <c r="MY54" s="28">
        <f>SUMPRODUCT(INDEX(PortfolioRef[[SPY]:[PE]],MATCH(MY$1,PortfolioRef[Reference '#]),0),AssetMonthlyReturns[[#This Row],[SPY]:[PE]])</f>
        <v>5.3904378972292617E-2</v>
      </c>
      <c r="MZ54" s="27">
        <f>IF(ISNUMBER(MZ53),MZ53*(1+PortfolioFrontier[[#This Row],[P91 Return]]),1+PortfolioFrontier[[#This Row],[P91 Return]])</f>
        <v>1.3853756793572527</v>
      </c>
      <c r="NA54" s="27">
        <f>MAX(NA53,PortfolioFrontier[[#This Row],[P91 Growth]])</f>
        <v>1.3853756793572527</v>
      </c>
      <c r="NB54" s="27">
        <f>PortfolioFrontier[[#This Row],[P91 Growth]]/PortfolioFrontier[[#This Row],[P91 HWM]]-1</f>
        <v>0</v>
      </c>
      <c r="NC54" s="28">
        <f>SUMPRODUCT(INDEX(PortfolioRef[[SPY]:[PE]],MATCH(NC$1,PortfolioRef[Reference '#]),0),AssetMonthlyReturns[[#This Row],[SPY]:[PE]])</f>
        <v>5.2901264567216742E-2</v>
      </c>
      <c r="ND54" s="27">
        <f>IF(ISNUMBER(ND53),ND53*(1+PortfolioFrontier[[#This Row],[P92 Return]]),1+PortfolioFrontier[[#This Row],[P92 Return]])</f>
        <v>1.3766331760820039</v>
      </c>
      <c r="NE54" s="27">
        <f>MAX(NE53,PortfolioFrontier[[#This Row],[P92 Growth]])</f>
        <v>1.3766331760820039</v>
      </c>
      <c r="NF54" s="27">
        <f>PortfolioFrontier[[#This Row],[P92 Growth]]/PortfolioFrontier[[#This Row],[P92 HWM]]-1</f>
        <v>0</v>
      </c>
      <c r="NG54" s="28">
        <f>SUMPRODUCT(INDEX(PortfolioRef[[SPY]:[PE]],MATCH(NG$1,PortfolioRef[Reference '#]),0),AssetMonthlyReturns[[#This Row],[SPY]:[PE]])</f>
        <v>5.189815016214086E-2</v>
      </c>
      <c r="NH54" s="27">
        <f>IF(ISNUMBER(NH53),NH53*(1+PortfolioFrontier[[#This Row],[P93 Return]]),1+PortfolioFrontier[[#This Row],[P93 Return]])</f>
        <v>1.3674892401389724</v>
      </c>
      <c r="NI54" s="27">
        <f>MAX(NI53,PortfolioFrontier[[#This Row],[P93 Growth]])</f>
        <v>1.3674892401389724</v>
      </c>
      <c r="NJ54" s="27">
        <f>PortfolioFrontier[[#This Row],[P93 Growth]]/PortfolioFrontier[[#This Row],[P93 HWM]]-1</f>
        <v>0</v>
      </c>
      <c r="NK54" s="28">
        <f>SUMPRODUCT(INDEX(PortfolioRef[[SPY]:[PE]],MATCH(NK$1,PortfolioRef[Reference '#]),0),AssetMonthlyReturns[[#This Row],[SPY]:[PE]])</f>
        <v>5.0843261342732156E-2</v>
      </c>
      <c r="NL54" s="27">
        <f>IF(ISNUMBER(NL53),NL53*(1+PortfolioFrontier[[#This Row],[P94 Return]]),1+PortfolioFrontier[[#This Row],[P94 Return]])</f>
        <v>1.3679129966608206</v>
      </c>
      <c r="NM54" s="27">
        <f>MAX(NM53,PortfolioFrontier[[#This Row],[P94 Growth]])</f>
        <v>1.3679129966608206</v>
      </c>
      <c r="NN54" s="27">
        <f>PortfolioFrontier[[#This Row],[P94 Growth]]/PortfolioFrontier[[#This Row],[P94 HWM]]-1</f>
        <v>0</v>
      </c>
      <c r="NO54" s="28">
        <f>SUMPRODUCT(INDEX(PortfolioRef[[SPY]:[PE]],MATCH(NO$1,PortfolioRef[Reference '#]),0),AssetMonthlyReturns[[#This Row],[SPY]:[PE]])</f>
        <v>4.9840146937656281E-2</v>
      </c>
      <c r="NP54" s="27">
        <f>IF(ISNUMBER(NP53),NP53*(1+PortfolioFrontier[[#This Row],[P95 Return]]),1+PortfolioFrontier[[#This Row],[P95 Return]])</f>
        <v>1.3596161870466734</v>
      </c>
      <c r="NQ54" s="27">
        <f>MAX(NQ53,PortfolioFrontier[[#This Row],[P95 Growth]])</f>
        <v>1.3596161870466734</v>
      </c>
      <c r="NR54" s="27">
        <f>PortfolioFrontier[[#This Row],[P95 Growth]]/PortfolioFrontier[[#This Row],[P95 HWM]]-1</f>
        <v>0</v>
      </c>
      <c r="NS54" s="28">
        <f>SUMPRODUCT(INDEX(PortfolioRef[[SPY]:[PE]],MATCH(NS$1,PortfolioRef[Reference '#]),0),AssetMonthlyReturns[[#This Row],[SPY]:[PE]])</f>
        <v>4.8837032532580399E-2</v>
      </c>
      <c r="NT54" s="27">
        <f>IF(ISNUMBER(NT53),NT53*(1+PortfolioFrontier[[#This Row],[P96 Return]]),1+PortfolioFrontier[[#This Row],[P96 Return]])</f>
        <v>1.3509146490290207</v>
      </c>
      <c r="NU54" s="27">
        <f>MAX(NU53,PortfolioFrontier[[#This Row],[P96 Growth]])</f>
        <v>1.3509146490290207</v>
      </c>
      <c r="NV54" s="27">
        <f>PortfolioFrontier[[#This Row],[P96 Growth]]/PortfolioFrontier[[#This Row],[P96 HWM]]-1</f>
        <v>0</v>
      </c>
      <c r="NW54" s="28">
        <f>SUMPRODUCT(INDEX(PortfolioRef[[SPY]:[PE]],MATCH(NW$1,PortfolioRef[Reference '#]),0),AssetMonthlyReturns[[#This Row],[SPY]:[PE]])</f>
        <v>3.9974597267281295E-2</v>
      </c>
      <c r="NX54" s="27">
        <f>IF(ISNUMBER(NX53),NX53*(1+PortfolioFrontier[[#This Row],[P97 Return]]),1+PortfolioFrontier[[#This Row],[P97 Return]])</f>
        <v>1.3448950657854795</v>
      </c>
      <c r="NY54" s="27">
        <f>MAX(NY53,PortfolioFrontier[[#This Row],[P97 Growth]])</f>
        <v>1.3448950657854795</v>
      </c>
      <c r="NZ54" s="27">
        <f>PortfolioFrontier[[#This Row],[P97 Growth]]/PortfolioFrontier[[#This Row],[P97 HWM]]-1</f>
        <v>0</v>
      </c>
      <c r="OA54" s="28">
        <f>SUMPRODUCT(INDEX(PortfolioRef[[SPY]:[PE]],MATCH(OA$1,PortfolioRef[Reference '#]),0),AssetMonthlyReturns[[#This Row],[SPY]:[PE]])</f>
        <v>4.4706663824953148E-2</v>
      </c>
      <c r="OB54" s="27">
        <f>IF(ISNUMBER(OB53),OB53*(1+PortfolioFrontier[[#This Row],[P98 Return]]),1+PortfolioFrontier[[#This Row],[P98 Return]])</f>
        <v>1.3609789018403351</v>
      </c>
      <c r="OC54" s="27">
        <f>MAX(OC53,PortfolioFrontier[[#This Row],[P98 Growth]])</f>
        <v>1.3609789018403351</v>
      </c>
      <c r="OD54" s="27">
        <f>PortfolioFrontier[[#This Row],[P98 Growth]]/PortfolioFrontier[[#This Row],[P98 HWM]]-1</f>
        <v>0</v>
      </c>
      <c r="OE54" s="28">
        <f>SUMPRODUCT(INDEX(PortfolioRef[[SPY]:[PE]],MATCH(OE$1,PortfolioRef[Reference '#]),0),AssetMonthlyReturns[[#This Row],[SPY]:[PE]])</f>
        <v>4.1645546195392687E-2</v>
      </c>
      <c r="OF54" s="27">
        <f>IF(ISNUMBER(OF53),OF53*(1+PortfolioFrontier[[#This Row],[P99 Return]]),1+PortfolioFrontier[[#This Row],[P99 Return]])</f>
        <v>1.3454709588067431</v>
      </c>
      <c r="OG54" s="27">
        <f>MAX(OG53,PortfolioFrontier[[#This Row],[P99 Growth]])</f>
        <v>1.3454709588067431</v>
      </c>
      <c r="OH54" s="27">
        <f>PortfolioFrontier[[#This Row],[P99 Growth]]/PortfolioFrontier[[#This Row],[P99 HWM]]-1</f>
        <v>0</v>
      </c>
      <c r="OI54" s="28">
        <f>SUMPRODUCT(INDEX(PortfolioRef[[SPY]:[PE]],MATCH(OI$1,PortfolioRef[Reference '#]),0),AssetMonthlyReturns[[#This Row],[SPY]:[PE]])</f>
        <v>4.0642431790316812E-2</v>
      </c>
      <c r="OJ54" s="27">
        <f>IF(ISNUMBER(OJ53),OJ53*(1+PortfolioFrontier[[#This Row],[P100 Return]]),1+PortfolioFrontier[[#This Row],[P100 Return]])</f>
        <v>1.3356031693289108</v>
      </c>
      <c r="OK54" s="27">
        <f>MAX(OK53,PortfolioFrontier[[#This Row],[P100 Growth]])</f>
        <v>1.3356031693289108</v>
      </c>
      <c r="OL54" s="27">
        <f>PortfolioFrontier[[#This Row],[P100 Growth]]/PortfolioFrontier[[#This Row],[P100 HWM]]-1</f>
        <v>0</v>
      </c>
      <c r="OM54" s="28">
        <f>SUMPRODUCT(INDEX(PortfolioRef[[SPY]:[PE]],MATCH(OM$1,PortfolioRef[Reference '#]),0),AssetMonthlyReturns[[#This Row],[SPY]:[PE]])</f>
        <v>4.9438730382625008E-2</v>
      </c>
      <c r="ON54" s="27">
        <f>IF(ISNUMBER(ON53),ON53*(1+PortfolioFrontier[[#This Row],[P101 Return]]),1+PortfolioFrontier[[#This Row],[P101 Return]])</f>
        <v>1.3770782613671249</v>
      </c>
      <c r="OO54" s="27">
        <f>MAX(OO53,PortfolioFrontier[[#This Row],[P101 Growth]])</f>
        <v>1.3770782613671249</v>
      </c>
      <c r="OP54" s="27">
        <f>PortfolioFrontier[[#This Row],[P101 Growth]]/PortfolioFrontier[[#This Row],[P101 HWM]]-1</f>
        <v>0</v>
      </c>
      <c r="OQ54" s="28">
        <f>SUMPRODUCT(INDEX(PortfolioRef[[SPY]:[PE]],MATCH(OQ$1,PortfolioRef[Reference '#]),0),AssetMonthlyReturns[[#This Row],[SPY]:[PE]])</f>
        <v>4.6377612753064547E-2</v>
      </c>
      <c r="OR54" s="27">
        <f>IF(ISNUMBER(OR53),OR53*(1+PortfolioFrontier[[#This Row],[P102 Return]]),1+PortfolioFrontier[[#This Row],[P102 Return]])</f>
        <v>1.3615362080757267</v>
      </c>
      <c r="OS54" s="27">
        <f>MAX(OS53,PortfolioFrontier[[#This Row],[P102 Growth]])</f>
        <v>1.3615362080757267</v>
      </c>
      <c r="OT54" s="27">
        <f>PortfolioFrontier[[#This Row],[P102 Growth]]/PortfolioFrontier[[#This Row],[P102 HWM]]-1</f>
        <v>0</v>
      </c>
      <c r="OU54" s="28">
        <f>SUMPRODUCT(INDEX(PortfolioRef[[SPY]:[PE]],MATCH(OU$1,PortfolioRef[Reference '#]),0),AssetMonthlyReturns[[#This Row],[SPY]:[PE]])</f>
        <v>4.5374498347988672E-2</v>
      </c>
      <c r="OV54" s="27">
        <f>IF(ISNUMBER(OV53),OV53*(1+PortfolioFrontier[[#This Row],[P103 Return]]),1+PortfolioFrontier[[#This Row],[P103 Return]])</f>
        <v>1.3515988825792744</v>
      </c>
      <c r="OW54" s="27">
        <f>MAX(OW53,PortfolioFrontier[[#This Row],[P103 Growth]])</f>
        <v>1.3515988825792744</v>
      </c>
      <c r="OX54" s="27">
        <f>PortfolioFrontier[[#This Row],[P103 Growth]]/PortfolioFrontier[[#This Row],[P103 HWM]]-1</f>
        <v>0</v>
      </c>
      <c r="OY54" s="28">
        <f>SUMPRODUCT(INDEX(PortfolioRef[[SPY]:[PE]],MATCH(OY$1,PortfolioRef[Reference '#]),0),AssetMonthlyReturns[[#This Row],[SPY]:[PE]])</f>
        <v>4.3316495123504085E-2</v>
      </c>
      <c r="OZ54" s="27">
        <f>IF(ISNUMBER(OZ53),OZ53*(1+PortfolioFrontier[[#This Row],[P104 Return]]),1+PortfolioFrontier[[#This Row],[P104 Return]])</f>
        <v>1.3456775876534188</v>
      </c>
      <c r="PA54" s="27">
        <f>MAX(PA53,PortfolioFrontier[[#This Row],[P104 Growth]])</f>
        <v>1.3456775876534188</v>
      </c>
      <c r="PB54" s="27">
        <f>PortfolioFrontier[[#This Row],[P104 Growth]]/PortfolioFrontier[[#This Row],[P104 HWM]]-1</f>
        <v>0</v>
      </c>
      <c r="PC54" s="28">
        <f>SUMPRODUCT(INDEX(PortfolioRef[[SPY]:[PE]],MATCH(PC$1,PortfolioRef[Reference '#]),0),AssetMonthlyReturns[[#This Row],[SPY]:[PE]])</f>
        <v>4.231338071842821E-2</v>
      </c>
      <c r="PD54" s="27">
        <f>IF(ISNUMBER(PD53),PD53*(1+PortfolioFrontier[[#This Row],[P105 Return]]),1+PortfolioFrontier[[#This Row],[P105 Return]])</f>
        <v>1.3361723771314757</v>
      </c>
      <c r="PE54" s="27">
        <f>MAX(PE53,PortfolioFrontier[[#This Row],[P105 Growth]])</f>
        <v>1.3361723771314757</v>
      </c>
      <c r="PF54" s="27">
        <f>PortfolioFrontier[[#This Row],[P105 Growth]]/PortfolioFrontier[[#This Row],[P105 HWM]]-1</f>
        <v>0</v>
      </c>
      <c r="PG54" s="28">
        <f>SUMPRODUCT(INDEX(PortfolioRef[[SPY]:[PE]],MATCH(PG$1,PortfolioRef[Reference '#]),0),AssetMonthlyReturns[[#This Row],[SPY]:[PE]])</f>
        <v>4.1310266313352328E-2</v>
      </c>
      <c r="PH54" s="27">
        <f>IF(ISNUMBER(PH53),PH53*(1+PortfolioFrontier[[#This Row],[P106 Return]]),1+PortfolioFrontier[[#This Row],[P106 Return]])</f>
        <v>1.326299891131564</v>
      </c>
      <c r="PI54" s="27">
        <f>MAX(PI53,PortfolioFrontier[[#This Row],[P106 Growth]])</f>
        <v>1.326299891131564</v>
      </c>
      <c r="PJ54" s="27">
        <f>PortfolioFrontier[[#This Row],[P106 Growth]]/PortfolioFrontier[[#This Row],[P106 HWM]]-1</f>
        <v>0</v>
      </c>
      <c r="PK54" s="28">
        <f>SUMPRODUCT(INDEX(PortfolioRef[[SPY]:[PE]],MATCH(PK$1,PortfolioRef[Reference '#]),0),AssetMonthlyReturns[[#This Row],[SPY]:[PE]])</f>
        <v>5.11096793107364E-2</v>
      </c>
      <c r="PL54" s="27">
        <f>IF(ISNUMBER(PL53),PL53*(1+PortfolioFrontier[[#This Row],[P107 Return]]),1+PortfolioFrontier[[#This Row],[P107 Return]])</f>
        <v>1.3776166354229873</v>
      </c>
      <c r="PM54" s="27">
        <f>MAX(PM53,PortfolioFrontier[[#This Row],[P107 Growth]])</f>
        <v>1.3776166354229873</v>
      </c>
      <c r="PN54" s="27">
        <f>PortfolioFrontier[[#This Row],[P107 Growth]]/PortfolioFrontier[[#This Row],[P107 HWM]]-1</f>
        <v>0</v>
      </c>
      <c r="PO54" s="28">
        <f>SUMPRODUCT(INDEX(PortfolioRef[[SPY]:[PE]],MATCH(PO$1,PortfolioRef[Reference '#]),0),AssetMonthlyReturns[[#This Row],[SPY]:[PE]])</f>
        <v>5.0106564905660525E-2</v>
      </c>
      <c r="PP54" s="27">
        <f>IF(ISNUMBER(PP53),PP53*(1+PortfolioFrontier[[#This Row],[P108 Return]]),1+PortfolioFrontier[[#This Row],[P108 Return]])</f>
        <v>1.3676105278449104</v>
      </c>
      <c r="PQ54" s="27">
        <f>MAX(PQ53,PortfolioFrontier[[#This Row],[P108 Growth]])</f>
        <v>1.3676105278449104</v>
      </c>
      <c r="PR54" s="27">
        <f>PortfolioFrontier[[#This Row],[P108 Growth]]/PortfolioFrontier[[#This Row],[P108 HWM]]-1</f>
        <v>0</v>
      </c>
      <c r="PS54" s="28">
        <f>SUMPRODUCT(INDEX(PortfolioRef[[SPY]:[PE]],MATCH(PS$1,PortfolioRef[Reference '#]),0),AssetMonthlyReturns[[#This Row],[SPY]:[PE]])</f>
        <v>4.8048561681175939E-2</v>
      </c>
      <c r="PT54" s="27">
        <f>IF(ISNUMBER(PT53),PT53*(1+PortfolioFrontier[[#This Row],[P109 Return]]),1+PortfolioFrontier[[#This Row],[P109 Return]])</f>
        <v>1.3617201344921488</v>
      </c>
      <c r="PU54" s="27">
        <f>MAX(PU53,PortfolioFrontier[[#This Row],[P109 Growth]])</f>
        <v>1.3617201344921488</v>
      </c>
      <c r="PV54" s="27">
        <f>PortfolioFrontier[[#This Row],[P109 Growth]]/PortfolioFrontier[[#This Row],[P109 HWM]]-1</f>
        <v>0</v>
      </c>
      <c r="PW54" s="28">
        <f>SUMPRODUCT(INDEX(PortfolioRef[[SPY]:[PE]],MATCH(PW$1,PortfolioRef[Reference '#]),0),AssetMonthlyReturns[[#This Row],[SPY]:[PE]])</f>
        <v>4.7045447276100064E-2</v>
      </c>
      <c r="PX54" s="27">
        <f>IF(ISNUMBER(PX53),PX53*(1+PortfolioFrontier[[#This Row],[P110 Return]]),1+PortfolioFrontier[[#This Row],[P110 Return]])</f>
        <v>1.3521496134756368</v>
      </c>
      <c r="PY54" s="27">
        <f>MAX(PY53,PortfolioFrontier[[#This Row],[P110 Growth]])</f>
        <v>1.3521496134756368</v>
      </c>
      <c r="PZ54" s="27">
        <f>PortfolioFrontier[[#This Row],[P110 Growth]]/PortfolioFrontier[[#This Row],[P110 HWM]]-1</f>
        <v>0</v>
      </c>
      <c r="QA54" s="28">
        <f>SUMPRODUCT(INDEX(PortfolioRef[[SPY]:[PE]],MATCH(QA$1,PortfolioRef[Reference '#]),0),AssetMonthlyReturns[[#This Row],[SPY]:[PE]])</f>
        <v>4.6042332871024189E-2</v>
      </c>
      <c r="QB54" s="27">
        <f>IF(ISNUMBER(QB53),QB53*(1+PortfolioFrontier[[#This Row],[P111 Return]]),1+PortfolioFrontier[[#This Row],[P111 Return]])</f>
        <v>1.3422070277715552</v>
      </c>
      <c r="QC54" s="27">
        <f>MAX(QC53,PortfolioFrontier[[#This Row],[P111 Growth]])</f>
        <v>1.3422070277715552</v>
      </c>
      <c r="QD54" s="27">
        <f>PortfolioFrontier[[#This Row],[P111 Growth]]/PortfolioFrontier[[#This Row],[P111 HWM]]-1</f>
        <v>0</v>
      </c>
      <c r="QE54" s="28">
        <f>SUMPRODUCT(INDEX(PortfolioRef[[SPY]:[PE]],MATCH(QE$1,PortfolioRef[Reference '#]),0),AssetMonthlyReturns[[#This Row],[SPY]:[PE]])</f>
        <v>4.4987444051615477E-2</v>
      </c>
      <c r="QF54" s="27">
        <f>IF(ISNUMBER(QF53),QF53*(1+PortfolioFrontier[[#This Row],[P112 Return]]),1+PortfolioFrontier[[#This Row],[P112 Return]])</f>
        <v>1.3455115866512515</v>
      </c>
      <c r="QG54" s="27">
        <f>MAX(QG53,PortfolioFrontier[[#This Row],[P112 Growth]])</f>
        <v>1.3455115866512515</v>
      </c>
      <c r="QH54" s="27">
        <f>PortfolioFrontier[[#This Row],[P112 Growth]]/PortfolioFrontier[[#This Row],[P112 HWM]]-1</f>
        <v>0</v>
      </c>
      <c r="QI54" s="28">
        <f>SUMPRODUCT(INDEX(PortfolioRef[[SPY]:[PE]],MATCH(QI$1,PortfolioRef[Reference '#]),0),AssetMonthlyReturns[[#This Row],[SPY]:[PE]])</f>
        <v>4.3984329646539602E-2</v>
      </c>
      <c r="QJ54" s="27">
        <f>IF(ISNUMBER(QJ53),QJ53*(1+PortfolioFrontier[[#This Row],[P113 Return]]),1+PortfolioFrontier[[#This Row],[P113 Return]])</f>
        <v>1.336374870763684</v>
      </c>
      <c r="QK54" s="27">
        <f>MAX(QK53,PortfolioFrontier[[#This Row],[P113 Growth]])</f>
        <v>1.336374870763684</v>
      </c>
      <c r="QL54" s="27">
        <f>PortfolioFrontier[[#This Row],[P113 Growth]]/PortfolioFrontier[[#This Row],[P113 HWM]]-1</f>
        <v>0</v>
      </c>
      <c r="QM54" s="28">
        <f>SUMPRODUCT(INDEX(PortfolioRef[[SPY]:[PE]],MATCH(QM$1,PortfolioRef[Reference '#]),0),AssetMonthlyReturns[[#This Row],[SPY]:[PE]])</f>
        <v>4.2981215241463727E-2</v>
      </c>
      <c r="QN54" s="27">
        <f>IF(ISNUMBER(QN53),QN53*(1+PortfolioFrontier[[#This Row],[P114 Return]]),1+PortfolioFrontier[[#This Row],[P114 Return]])</f>
        <v>1.3268623434878886</v>
      </c>
      <c r="QO54" s="27">
        <f>MAX(QO53,PortfolioFrontier[[#This Row],[P114 Growth]])</f>
        <v>1.3268623434878886</v>
      </c>
      <c r="QP54" s="27">
        <f>PortfolioFrontier[[#This Row],[P114 Growth]]/PortfolioFrontier[[#This Row],[P114 HWM]]-1</f>
        <v>0</v>
      </c>
      <c r="QQ54" s="28">
        <f>SUMPRODUCT(INDEX(PortfolioRef[[SPY]:[PE]],MATCH(QQ$1,PortfolioRef[Reference '#]),0),AssetMonthlyReturns[[#This Row],[SPY]:[PE]])</f>
        <v>5.2780628238847792E-2</v>
      </c>
      <c r="QR54" s="27">
        <f>IF(ISNUMBER(QR53),QR53*(1+PortfolioFrontier[[#This Row],[P115 Return]]),1+PortfolioFrontier[[#This Row],[P115 Return]])</f>
        <v>1.3777775147686007</v>
      </c>
      <c r="QS54" s="27">
        <f>MAX(QS53,PortfolioFrontier[[#This Row],[P115 Growth]])</f>
        <v>1.3777775147686007</v>
      </c>
      <c r="QT54" s="27">
        <f>PortfolioFrontier[[#This Row],[P115 Growth]]/PortfolioFrontier[[#This Row],[P115 HWM]]-1</f>
        <v>0</v>
      </c>
      <c r="QU54" s="28">
        <f>SUMPRODUCT(INDEX(PortfolioRef[[SPY]:[PE]],MATCH(QU$1,PortfolioRef[Reference '#]),0),AssetMonthlyReturns[[#This Row],[SPY]:[PE]])</f>
        <v>5.1777513833771917E-2</v>
      </c>
      <c r="QV54" s="27">
        <f>IF(ISNUMBER(QV53),QV53*(1+PortfolioFrontier[[#This Row],[P116 Return]]),1+PortfolioFrontier[[#This Row],[P116 Return]])</f>
        <v>1.3681424382608762</v>
      </c>
      <c r="QW54" s="27">
        <f>MAX(QW53,PortfolioFrontier[[#This Row],[P116 Growth]])</f>
        <v>1.3681424382608762</v>
      </c>
      <c r="QX54" s="27">
        <f>PortfolioFrontier[[#This Row],[P116 Growth]]/PortfolioFrontier[[#This Row],[P116 HWM]]-1</f>
        <v>0</v>
      </c>
      <c r="QY54" s="28">
        <f>SUMPRODUCT(INDEX(PortfolioRef[[SPY]:[PE]],MATCH(QY$1,PortfolioRef[Reference '#]),0),AssetMonthlyReturns[[#This Row],[SPY]:[PE]])</f>
        <v>5.0774399428696035E-2</v>
      </c>
      <c r="QZ54" s="27">
        <f>IF(ISNUMBER(QZ53),QZ53*(1+PortfolioFrontier[[#This Row],[P117 Return]]),1+PortfolioFrontier[[#This Row],[P117 Return]])</f>
        <v>1.358130497510132</v>
      </c>
      <c r="RA54" s="27">
        <f>MAX(RA53,PortfolioFrontier[[#This Row],[P117 Growth]])</f>
        <v>1.358130497510132</v>
      </c>
      <c r="RB54" s="27">
        <f>PortfolioFrontier[[#This Row],[P117 Growth]]/PortfolioFrontier[[#This Row],[P117 HWM]]-1</f>
        <v>0</v>
      </c>
      <c r="RC54" s="28">
        <f>SUMPRODUCT(INDEX(PortfolioRef[[SPY]:[PE]],MATCH(RC$1,PortfolioRef[Reference '#]),0),AssetMonthlyReturns[[#This Row],[SPY]:[PE]])</f>
        <v>4.971951060928733E-2</v>
      </c>
      <c r="RD54" s="27">
        <f>IF(ISNUMBER(RD53),RD53*(1+PortfolioFrontier[[#This Row],[P118 Return]]),1+PortfolioFrontier[[#This Row],[P118 Return]])</f>
        <v>1.3615272964482659</v>
      </c>
      <c r="RE54" s="27">
        <f>MAX(RE53,PortfolioFrontier[[#This Row],[P118 Growth]])</f>
        <v>1.3615272964482659</v>
      </c>
      <c r="RF54" s="27">
        <f>PortfolioFrontier[[#This Row],[P118 Growth]]/PortfolioFrontier[[#This Row],[P118 HWM]]-1</f>
        <v>0</v>
      </c>
      <c r="RG54" s="28">
        <f>SUMPRODUCT(INDEX(PortfolioRef[[SPY]:[PE]],MATCH(RG$1,PortfolioRef[Reference '#]),0),AssetMonthlyReturns[[#This Row],[SPY]:[PE]])</f>
        <v>4.8716396204211455E-2</v>
      </c>
      <c r="RH54" s="27">
        <f>IF(ISNUMBER(RH53),RH53*(1+PortfolioFrontier[[#This Row],[P119 Return]]),1+PortfolioFrontier[[#This Row],[P119 Return]])</f>
        <v>1.3523295375631947</v>
      </c>
      <c r="RI54" s="27">
        <f>MAX(RI53,PortfolioFrontier[[#This Row],[P119 Growth]])</f>
        <v>1.3523295375631947</v>
      </c>
      <c r="RJ54" s="27">
        <f>PortfolioFrontier[[#This Row],[P119 Growth]]/PortfolioFrontier[[#This Row],[P119 HWM]]-1</f>
        <v>0</v>
      </c>
      <c r="RK54" s="28">
        <f>SUMPRODUCT(INDEX(PortfolioRef[[SPY]:[PE]],MATCH(RK$1,PortfolioRef[Reference '#]),0),AssetMonthlyReturns[[#This Row],[SPY]:[PE]])</f>
        <v>4.7713281799135573E-2</v>
      </c>
      <c r="RL54" s="27">
        <f>IF(ISNUMBER(RL53),RL53*(1+PortfolioFrontier[[#This Row],[P120 Return]]),1+PortfolioFrontier[[#This Row],[P120 Return]])</f>
        <v>1.3427511121042333</v>
      </c>
      <c r="RM54" s="27">
        <f>MAX(RM53,PortfolioFrontier[[#This Row],[P120 Growth]])</f>
        <v>1.3427511121042333</v>
      </c>
      <c r="RN54" s="27">
        <f>PortfolioFrontier[[#This Row],[P120 Growth]]/PortfolioFrontier[[#This Row],[P120 HWM]]-1</f>
        <v>0</v>
      </c>
      <c r="RO54" s="28">
        <f>SUMPRODUCT(INDEX(PortfolioRef[[SPY]:[PE]],MATCH(RO$1,PortfolioRef[Reference '#]),0),AssetMonthlyReturns[[#This Row],[SPY]:[PE]])</f>
        <v>4.6658392979726869E-2</v>
      </c>
      <c r="RP54" s="27">
        <f>IF(ISNUMBER(RP53),RP53*(1+PortfolioFrontier[[#This Row],[P121 Return]]),1+PortfolioFrontier[[#This Row],[P121 Return]])</f>
        <v>1.3449697772969085</v>
      </c>
      <c r="RQ54" s="27">
        <f>MAX(RQ53,PortfolioFrontier[[#This Row],[P121 Growth]])</f>
        <v>1.3449697772969085</v>
      </c>
      <c r="RR54" s="27">
        <f>PortfolioFrontier[[#This Row],[P121 Growth]]/PortfolioFrontier[[#This Row],[P121 HWM]]-1</f>
        <v>0</v>
      </c>
      <c r="RS54" s="28">
        <f>SUMPRODUCT(INDEX(PortfolioRef[[SPY]:[PE]],MATCH(RS$1,PortfolioRef[Reference '#]),0),AssetMonthlyReturns[[#This Row],[SPY]:[PE]])</f>
        <v>4.5655278574650994E-2</v>
      </c>
      <c r="RT54" s="27">
        <f>IF(ISNUMBER(RT53),RT53*(1+PortfolioFrontier[[#This Row],[P122 Return]]),1+PortfolioFrontier[[#This Row],[P122 Return]])</f>
        <v>1.33620731526889</v>
      </c>
      <c r="RU54" s="27">
        <f>MAX(RU53,PortfolioFrontier[[#This Row],[P122 Growth]])</f>
        <v>1.33620731526889</v>
      </c>
      <c r="RV54" s="27">
        <f>PortfolioFrontier[[#This Row],[P122 Growth]]/PortfolioFrontier[[#This Row],[P122 HWM]]-1</f>
        <v>0</v>
      </c>
      <c r="RW54" s="28">
        <f>SUMPRODUCT(INDEX(PortfolioRef[[SPY]:[PE]],MATCH(RW$1,PortfolioRef[Reference '#]),0),AssetMonthlyReturns[[#This Row],[SPY]:[PE]])</f>
        <v>4.4652164169575112E-2</v>
      </c>
      <c r="RX54" s="27">
        <f>IF(ISNUMBER(RX53),RX53*(1+PortfolioFrontier[[#This Row],[P123 Return]]),1+PortfolioFrontier[[#This Row],[P123 Return]])</f>
        <v>1.3270606315827222</v>
      </c>
      <c r="RY54" s="27">
        <f>MAX(RY53,PortfolioFrontier[[#This Row],[P123 Growth]])</f>
        <v>1.3270606315827222</v>
      </c>
      <c r="RZ54" s="27">
        <f>PortfolioFrontier[[#This Row],[P123 Growth]]/PortfolioFrontier[[#This Row],[P123 HWM]]-1</f>
        <v>0</v>
      </c>
      <c r="SA54" s="28">
        <f>SUMPRODUCT(INDEX(PortfolioRef[[SPY]:[PE]],MATCH(SA$1,PortfolioRef[Reference '#]),0),AssetMonthlyReturns[[#This Row],[SPY]:[PE]])</f>
        <v>5.4451577166959184E-2</v>
      </c>
      <c r="SB54" s="27">
        <f>IF(ISNUMBER(SB53),SB53*(1+PortfolioFrontier[[#This Row],[P124 Return]]),1+PortfolioFrontier[[#This Row],[P124 Return]])</f>
        <v>1.3775574960229102</v>
      </c>
      <c r="SC54" s="27">
        <f>MAX(SC53,PortfolioFrontier[[#This Row],[P124 Growth]])</f>
        <v>1.3775574960229102</v>
      </c>
      <c r="SD54" s="27">
        <f>PortfolioFrontier[[#This Row],[P124 Growth]]/PortfolioFrontier[[#This Row],[P124 HWM]]-1</f>
        <v>0</v>
      </c>
      <c r="SE54" s="28">
        <f>SUMPRODUCT(INDEX(PortfolioRef[[SPY]:[PE]],MATCH(SE$1,PortfolioRef[Reference '#]),0),AssetMonthlyReturns[[#This Row],[SPY]:[PE]])</f>
        <v>5.3448462761883309E-2</v>
      </c>
      <c r="SF54" s="27">
        <f>IF(ISNUMBER(SF53),SF53*(1+PortfolioFrontier[[#This Row],[P125 Return]]),1+PortfolioFrontier[[#This Row],[P125 Return]])</f>
        <v>1.3682994498571028</v>
      </c>
      <c r="SG54" s="27">
        <f>MAX(SG53,PortfolioFrontier[[#This Row],[P125 Growth]])</f>
        <v>1.3682994498571028</v>
      </c>
      <c r="SH54" s="27">
        <f>PortfolioFrontier[[#This Row],[P125 Growth]]/PortfolioFrontier[[#This Row],[P125 HWM]]-1</f>
        <v>0</v>
      </c>
      <c r="SI54" s="28">
        <f>SUMPRODUCT(INDEX(PortfolioRef[[SPY]:[PE]],MATCH(SI$1,PortfolioRef[Reference '#]),0),AssetMonthlyReturns[[#This Row],[SPY]:[PE]])</f>
        <v>5.2445348356807434E-2</v>
      </c>
      <c r="SJ54" s="27">
        <f>IF(ISNUMBER(SJ53),SJ53*(1+PortfolioFrontier[[#This Row],[P126 Return]]),1+PortfolioFrontier[[#This Row],[P126 Return]])</f>
        <v>1.3586558720700681</v>
      </c>
      <c r="SK54" s="27">
        <f>MAX(SK53,PortfolioFrontier[[#This Row],[P126 Growth]])</f>
        <v>1.3586558720700681</v>
      </c>
      <c r="SL54" s="27">
        <f>PortfolioFrontier[[#This Row],[P126 Growth]]/PortfolioFrontier[[#This Row],[P126 HWM]]-1</f>
        <v>0</v>
      </c>
      <c r="SM54" s="28">
        <f>SUMPRODUCT(INDEX(PortfolioRef[[SPY]:[PE]],MATCH(SM$1,PortfolioRef[Reference '#]),0),AssetMonthlyReturns[[#This Row],[SPY]:[PE]])</f>
        <v>5.1390459537398722E-2</v>
      </c>
      <c r="SN54" s="27">
        <f>IF(ISNUMBER(SN53),SN53*(1+PortfolioFrontier[[#This Row],[P127 Return]]),1+PortfolioFrontier[[#This Row],[P127 Return]])</f>
        <v>1.360954498580996</v>
      </c>
      <c r="SO54" s="27">
        <f>MAX(SO53,PortfolioFrontier[[#This Row],[P127 Growth]])</f>
        <v>1.360954498580996</v>
      </c>
      <c r="SP54" s="27">
        <f>PortfolioFrontier[[#This Row],[P127 Growth]]/PortfolioFrontier[[#This Row],[P127 HWM]]-1</f>
        <v>0</v>
      </c>
      <c r="SQ54" s="28">
        <f>SUMPRODUCT(INDEX(PortfolioRef[[SPY]:[PE]],MATCH(SQ$1,PortfolioRef[Reference '#]),0),AssetMonthlyReturns[[#This Row],[SPY]:[PE]])</f>
        <v>5.0387345132322847E-2</v>
      </c>
      <c r="SR54" s="27">
        <f>IF(ISNUMBER(SR53),SR53*(1+PortfolioFrontier[[#This Row],[P128 Return]]),1+PortfolioFrontier[[#This Row],[P128 Return]])</f>
        <v>1.3521353010778354</v>
      </c>
      <c r="SS54" s="27">
        <f>MAX(SS53,PortfolioFrontier[[#This Row],[P128 Growth]])</f>
        <v>1.3521353010778354</v>
      </c>
      <c r="ST54" s="27">
        <f>PortfolioFrontier[[#This Row],[P128 Growth]]/PortfolioFrontier[[#This Row],[P128 HWM]]-1</f>
        <v>0</v>
      </c>
      <c r="SU54" s="28">
        <f>SUMPRODUCT(INDEX(PortfolioRef[[SPY]:[PE]],MATCH(SU$1,PortfolioRef[Reference '#]),0),AssetMonthlyReturns[[#This Row],[SPY]:[PE]])</f>
        <v>4.9384230727246972E-2</v>
      </c>
      <c r="SV54" s="27">
        <f>IF(ISNUMBER(SV53),SV53*(1+PortfolioFrontier[[#This Row],[P129 Return]]),1+PortfolioFrontier[[#This Row],[P129 Return]])</f>
        <v>1.3429269626224511</v>
      </c>
      <c r="SW54" s="27">
        <f>MAX(SW53,PortfolioFrontier[[#This Row],[P129 Growth]])</f>
        <v>1.3429269626224511</v>
      </c>
      <c r="SX54" s="27">
        <f>PortfolioFrontier[[#This Row],[P129 Growth]]/PortfolioFrontier[[#This Row],[P129 HWM]]-1</f>
        <v>0</v>
      </c>
      <c r="SY54" s="28">
        <f>SUMPRODUCT(INDEX(PortfolioRef[[SPY]:[PE]],MATCH(SY$1,PortfolioRef[Reference '#]),0),AssetMonthlyReturns[[#This Row],[SPY]:[PE]])</f>
        <v>4.8329341907838261E-2</v>
      </c>
      <c r="SZ54" s="27">
        <f>IF(ISNUMBER(SZ53),SZ53*(1+PortfolioFrontier[[#This Row],[P130 Return]]),1+PortfolioFrontier[[#This Row],[P130 Return]])</f>
        <v>1.3440491730378588</v>
      </c>
      <c r="TA54" s="27">
        <f>MAX(TA53,PortfolioFrontier[[#This Row],[P130 Growth]])</f>
        <v>1.3440491730378588</v>
      </c>
      <c r="TB54" s="27">
        <f>PortfolioFrontier[[#This Row],[P130 Growth]]/PortfolioFrontier[[#This Row],[P130 HWM]]-1</f>
        <v>0</v>
      </c>
      <c r="TC54" s="28">
        <f>SUMPRODUCT(INDEX(PortfolioRef[[SPY]:[PE]],MATCH(TC$1,PortfolioRef[Reference '#]),0),AssetMonthlyReturns[[#This Row],[SPY]:[PE]])</f>
        <v>4.7326227502762386E-2</v>
      </c>
      <c r="TD54" s="27">
        <f>IF(ISNUMBER(TD53),TD53*(1+PortfolioFrontier[[#This Row],[P131 Return]]),1+PortfolioFrontier[[#This Row],[P131 Return]])</f>
        <v>1.3356665618612291</v>
      </c>
      <c r="TE54" s="27">
        <f>MAX(TE53,PortfolioFrontier[[#This Row],[P131 Growth]])</f>
        <v>1.3356665618612291</v>
      </c>
      <c r="TF54" s="27">
        <f>PortfolioFrontier[[#This Row],[P131 Growth]]/PortfolioFrontier[[#This Row],[P131 HWM]]-1</f>
        <v>0</v>
      </c>
      <c r="TG54" s="28">
        <f>SUMPRODUCT(INDEX(PortfolioRef[[SPY]:[PE]],MATCH(TG$1,PortfolioRef[Reference '#]),0),AssetMonthlyReturns[[#This Row],[SPY]:[PE]])</f>
        <v>4.6323113097686511E-2</v>
      </c>
      <c r="TH54" s="27">
        <f>IF(ISNUMBER(TH53),TH53*(1+PortfolioFrontier[[#This Row],[P132 Return]]),1+PortfolioFrontier[[#This Row],[P132 Return]])</f>
        <v>1.3268914511202168</v>
      </c>
      <c r="TI54" s="27">
        <f>MAX(TI53,PortfolioFrontier[[#This Row],[P132 Growth]])</f>
        <v>1.3268914511202168</v>
      </c>
      <c r="TJ54" s="27">
        <f>PortfolioFrontier[[#This Row],[P132 Growth]]/PortfolioFrontier[[#This Row],[P132 HWM]]-1</f>
        <v>0</v>
      </c>
      <c r="TK54" s="28">
        <f>SUMPRODUCT(INDEX(PortfolioRef[[SPY]:[PE]],MATCH(TK$1,PortfolioRef[Reference '#]),0),AssetMonthlyReturns[[#This Row],[SPY]:[PE]])</f>
        <v>5.6122526095070575E-2</v>
      </c>
      <c r="TL54" s="27">
        <f>IF(ISNUMBER(TL53),TL53*(1+PortfolioFrontier[[#This Row],[P133 Return]]),1+PortfolioFrontier[[#This Row],[P133 Return]])</f>
        <v>1.3769533671902987</v>
      </c>
      <c r="TM54" s="27">
        <f>MAX(TM53,PortfolioFrontier[[#This Row],[P133 Growth]])</f>
        <v>1.3769533671902987</v>
      </c>
      <c r="TN54" s="27">
        <f>PortfolioFrontier[[#This Row],[P133 Growth]]/PortfolioFrontier[[#This Row],[P133 HWM]]-1</f>
        <v>0</v>
      </c>
      <c r="TO54" s="28">
        <f>SUMPRODUCT(INDEX(PortfolioRef[[SPY]:[PE]],MATCH(TO$1,PortfolioRef[Reference '#]),0),AssetMonthlyReturns[[#This Row],[SPY]:[PE]])</f>
        <v>5.51194116899947E-2</v>
      </c>
      <c r="TP54" s="27">
        <f>IF(ISNUMBER(TP53),TP53*(1+PortfolioFrontier[[#This Row],[P134 Return]]),1+PortfolioFrontier[[#This Row],[P134 Return]])</f>
        <v>1.3680781902870869</v>
      </c>
      <c r="TQ54" s="27">
        <f>MAX(TQ53,PortfolioFrontier[[#This Row],[P134 Growth]])</f>
        <v>1.3680781902870869</v>
      </c>
      <c r="TR54" s="27">
        <f>PortfolioFrontier[[#This Row],[P134 Growth]]/PortfolioFrontier[[#This Row],[P134 HWM]]-1</f>
        <v>0</v>
      </c>
      <c r="TS54" s="28">
        <f>SUMPRODUCT(INDEX(PortfolioRef[[SPY]:[PE]],MATCH(TS$1,PortfolioRef[Reference '#]),0),AssetMonthlyReturns[[#This Row],[SPY]:[PE]])</f>
        <v>5.4116297284918818E-2</v>
      </c>
      <c r="TT54" s="27">
        <f>IF(ISNUMBER(TT53),TT53*(1+PortfolioFrontier[[#This Row],[P135 Return]]),1+PortfolioFrontier[[#This Row],[P135 Return]])</f>
        <v>1.3588089437663169</v>
      </c>
      <c r="TU54" s="27">
        <f>MAX(TU53,PortfolioFrontier[[#This Row],[P135 Growth]])</f>
        <v>1.3588089437663169</v>
      </c>
      <c r="TV54" s="27">
        <f>PortfolioFrontier[[#This Row],[P135 Growth]]/PortfolioFrontier[[#This Row],[P135 HWM]]-1</f>
        <v>0</v>
      </c>
      <c r="TW54" s="28">
        <f>SUMPRODUCT(INDEX(PortfolioRef[[SPY]:[PE]],MATCH(TW$1,PortfolioRef[Reference '#]),0),AssetMonthlyReturns[[#This Row],[SPY]:[PE]])</f>
        <v>5.3061408465510114E-2</v>
      </c>
      <c r="TX54" s="27">
        <f>IF(ISNUMBER(TX53),TX53*(1+PortfolioFrontier[[#This Row],[P136 Return]]),1+PortfolioFrontier[[#This Row],[P136 Return]])</f>
        <v>1.3599987396201003</v>
      </c>
      <c r="TY54" s="27">
        <f>MAX(TY53,PortfolioFrontier[[#This Row],[P136 Growth]])</f>
        <v>1.3599987396201003</v>
      </c>
      <c r="TZ54" s="27">
        <f>PortfolioFrontier[[#This Row],[P136 Growth]]/PortfolioFrontier[[#This Row],[P136 HWM]]-1</f>
        <v>0</v>
      </c>
      <c r="UA54" s="28">
        <f>SUMPRODUCT(INDEX(PortfolioRef[[SPY]:[PE]],MATCH(UA$1,PortfolioRef[Reference '#]),0),AssetMonthlyReturns[[#This Row],[SPY]:[PE]])</f>
        <v>5.2058294060434239E-2</v>
      </c>
      <c r="UB54" s="27">
        <f>IF(ISNUMBER(UB53),UB53*(1+PortfolioFrontier[[#This Row],[P137 Return]]),1+PortfolioFrontier[[#This Row],[P137 Return]])</f>
        <v>1.3515637385239643</v>
      </c>
      <c r="UC54" s="27">
        <f>MAX(UC53,PortfolioFrontier[[#This Row],[P137 Growth]])</f>
        <v>1.3515637385239643</v>
      </c>
      <c r="UD54" s="27">
        <f>PortfolioFrontier[[#This Row],[P137 Growth]]/PortfolioFrontier[[#This Row],[P137 HWM]]-1</f>
        <v>0</v>
      </c>
      <c r="UE54" s="28">
        <f>SUMPRODUCT(INDEX(PortfolioRef[[SPY]:[PE]],MATCH(UE$1,PortfolioRef[Reference '#]),0),AssetMonthlyReturns[[#This Row],[SPY]:[PE]])</f>
        <v>5.1055179655358357E-2</v>
      </c>
      <c r="UF54" s="27">
        <f>IF(ISNUMBER(UF53),UF53*(1+PortfolioFrontier[[#This Row],[P138 Return]]),1+PortfolioFrontier[[#This Row],[P138 Return]])</f>
        <v>1.3427312563830107</v>
      </c>
      <c r="UG54" s="27">
        <f>MAX(UG53,PortfolioFrontier[[#This Row],[P138 Growth]])</f>
        <v>1.3427312563830107</v>
      </c>
      <c r="UH54" s="27">
        <f>PortfolioFrontier[[#This Row],[P138 Growth]]/PortfolioFrontier[[#This Row],[P138 HWM]]-1</f>
        <v>0</v>
      </c>
      <c r="UI54" s="28">
        <f>SUMPRODUCT(INDEX(PortfolioRef[[SPY]:[PE]],MATCH(UI$1,PortfolioRef[Reference '#]),0),AssetMonthlyReturns[[#This Row],[SPY]:[PE]])</f>
        <v>5.0000290835949653E-2</v>
      </c>
      <c r="UJ54" s="27">
        <f>IF(ISNUMBER(UJ53),UJ53*(1+PortfolioFrontier[[#This Row],[P139 Return]]),1+PortfolioFrontier[[#This Row],[P139 Return]])</f>
        <v>1.3427469839739097</v>
      </c>
      <c r="UK54" s="27">
        <f>MAX(UK53,PortfolioFrontier[[#This Row],[P139 Growth]])</f>
        <v>1.3507788598337169</v>
      </c>
      <c r="UL54" s="27">
        <f>PortfolioFrontier[[#This Row],[P139 Growth]]/PortfolioFrontier[[#This Row],[P139 HWM]]-1</f>
        <v>-5.946107167235315E-3</v>
      </c>
      <c r="UM54" s="28">
        <f>SUMPRODUCT(INDEX(PortfolioRef[[SPY]:[PE]],MATCH(UM$1,PortfolioRef[Reference '#]),0),AssetMonthlyReturns[[#This Row],[SPY]:[PE]])</f>
        <v>4.8997176430873778E-2</v>
      </c>
      <c r="UN54" s="27">
        <f>IF(ISNUMBER(UN53),UN53*(1+PortfolioFrontier[[#This Row],[P140 Return]]),1+PortfolioFrontier[[#This Row],[P140 Return]])</f>
        <v>1.3347496526729519</v>
      </c>
      <c r="UO54" s="27">
        <f>MAX(UO53,PortfolioFrontier[[#This Row],[P140 Growth]])</f>
        <v>1.3347496526729519</v>
      </c>
      <c r="UP54" s="27">
        <f>PortfolioFrontier[[#This Row],[P140 Growth]]/PortfolioFrontier[[#This Row],[P140 HWM]]-1</f>
        <v>0</v>
      </c>
      <c r="UQ54" s="28">
        <f>SUMPRODUCT(INDEX(PortfolioRef[[SPY]:[PE]],MATCH(UQ$1,PortfolioRef[Reference '#]),0),AssetMonthlyReturns[[#This Row],[SPY]:[PE]])</f>
        <v>4.7994062025797896E-2</v>
      </c>
      <c r="UR54" s="27">
        <f>IF(ISNUMBER(UR53),UR53*(1+PortfolioFrontier[[#This Row],[P141 Return]]),1+PortfolioFrontier[[#This Row],[P141 Return]])</f>
        <v>1.3263516829730286</v>
      </c>
      <c r="US54" s="27">
        <f>MAX(US53,PortfolioFrontier[[#This Row],[P141 Growth]])</f>
        <v>1.3263516829730286</v>
      </c>
      <c r="UT54" s="27">
        <f>PortfolioFrontier[[#This Row],[P141 Growth]]/PortfolioFrontier[[#This Row],[P141 HWM]]-1</f>
        <v>0</v>
      </c>
    </row>
    <row r="55" spans="2:566" x14ac:dyDescent="0.2">
      <c r="B55" s="41">
        <f>AssetMonthlyReturns[[#This Row],[Date]]</f>
        <v>44044</v>
      </c>
      <c r="C55" s="28">
        <f>SUMPRODUCT(INDEX(PortfolioRef[[SPY]:[PE]],MATCH(C$1,PortfolioRef[Reference '#]),0),AssetMonthlyReturns[[#This Row],[SPY]:[PE]])</f>
        <v>3.9751377015541191E-2</v>
      </c>
      <c r="D55" s="29">
        <f>IF(ISNUMBER(D54),D54*(1+PortfolioFrontier[[#This Row],[P1 Return]]),1+PortfolioFrontier[[#This Row],[P1 Return]])</f>
        <v>1.5571086775391527</v>
      </c>
      <c r="E55" s="29">
        <f>MAX(E54,PortfolioFrontier[[#This Row],[P1 Growth]])</f>
        <v>1.5571086775391527</v>
      </c>
      <c r="F55" s="29">
        <f>PortfolioFrontier[[#This Row],[P1 Growth]]/PortfolioFrontier[[#This Row],[P1 HWM]]-1</f>
        <v>0</v>
      </c>
      <c r="G55" s="28">
        <f>SUMPRODUCT(INDEX(PortfolioRef[[SPY]:[PE]],MATCH(G$1,PortfolioRef[Reference '#]),0),AssetMonthlyReturns[[#This Row],[SPY]:[PE]])</f>
        <v>3.5858014013532696E-2</v>
      </c>
      <c r="H55" s="27">
        <f>IF(ISNUMBER(H54),H54*(1+PortfolioFrontier[[#This Row],[P2 Return]]),1+PortfolioFrontier[[#This Row],[P2 Return]])</f>
        <v>1.5247232610794961</v>
      </c>
      <c r="I55" s="27">
        <f>MAX(I54,PortfolioFrontier[[#This Row],[P2 Growth]])</f>
        <v>1.5247232610794961</v>
      </c>
      <c r="J55" s="27">
        <f>PortfolioFrontier[[#This Row],[P2 Growth]]/PortfolioFrontier[[#This Row],[P2 HWM]]-1</f>
        <v>0</v>
      </c>
      <c r="K55" s="28">
        <f>SUMPRODUCT(INDEX(PortfolioRef[[SPY]:[PE]],MATCH(K$1,PortfolioRef[Reference '#]),0),AssetMonthlyReturns[[#This Row],[SPY]:[PE]])</f>
        <v>3.610029651027765E-2</v>
      </c>
      <c r="L55" s="27">
        <f>IF(ISNUMBER(L54),L54*(1+PortfolioFrontier[[#This Row],[P3 Return]]),1+PortfolioFrontier[[#This Row],[P3 Return]])</f>
        <v>1.5432171742426668</v>
      </c>
      <c r="M55" s="27">
        <f>MAX(M54,PortfolioFrontier[[#This Row],[P3 Growth]])</f>
        <v>1.5432171742426668</v>
      </c>
      <c r="N55" s="27">
        <f>PortfolioFrontier[[#This Row],[P3 Growth]]/PortfolioFrontier[[#This Row],[P3 HWM]]-1</f>
        <v>0</v>
      </c>
      <c r="O55" s="28">
        <f>SUMPRODUCT(INDEX(PortfolioRef[[SPY]:[PE]],MATCH(O$1,PortfolioRef[Reference '#]),0),AssetMonthlyReturns[[#This Row],[SPY]:[PE]])</f>
        <v>3.648323891404754E-2</v>
      </c>
      <c r="P55" s="27">
        <f>IF(ISNUMBER(P54),P54*(1+PortfolioFrontier[[#This Row],[P4 Return]]),1+PortfolioFrontier[[#This Row],[P4 Return]])</f>
        <v>1.5248152477072032</v>
      </c>
      <c r="Q55" s="27">
        <f>MAX(Q54,PortfolioFrontier[[#This Row],[P4 Growth]])</f>
        <v>1.5248152477072032</v>
      </c>
      <c r="R55" s="27">
        <f>PortfolioFrontier[[#This Row],[P4 Growth]]/PortfolioFrontier[[#This Row],[P4 HWM]]-1</f>
        <v>0</v>
      </c>
      <c r="S55" s="28">
        <f>SUMPRODUCT(INDEX(PortfolioRef[[SPY]:[PE]],MATCH(S$1,PortfolioRef[Reference '#]),0),AssetMonthlyReturns[[#This Row],[SPY]:[PE]])</f>
        <v>3.7493360294086099E-2</v>
      </c>
      <c r="T55" s="27">
        <f>IF(ISNUMBER(T54),T54*(1+PortfolioFrontier[[#This Row],[P5 Return]]),1+PortfolioFrontier[[#This Row],[P5 Return]])</f>
        <v>1.5163814124662862</v>
      </c>
      <c r="U55" s="27">
        <f>MAX(U54,PortfolioFrontier[[#This Row],[P5 Growth]])</f>
        <v>1.5163814124662862</v>
      </c>
      <c r="V55" s="27">
        <f>PortfolioFrontier[[#This Row],[P5 Growth]]/PortfolioFrontier[[#This Row],[P5 HWM]]-1</f>
        <v>0</v>
      </c>
      <c r="W55" s="28">
        <f>SUMPRODUCT(INDEX(PortfolioRef[[SPY]:[PE]],MATCH(W$1,PortfolioRef[Reference '#]),0),AssetMonthlyReturns[[#This Row],[SPY]:[PE]])</f>
        <v>3.1964651011524209E-2</v>
      </c>
      <c r="X55" s="27">
        <f>IF(ISNUMBER(X54),X54*(1+PortfolioFrontier[[#This Row],[P6 Return]]),1+PortfolioFrontier[[#This Row],[P6 Return]])</f>
        <v>1.4925971050032361</v>
      </c>
      <c r="Y55" s="27">
        <f>MAX(Y54,PortfolioFrontier[[#This Row],[P6 Growth]])</f>
        <v>1.4925971050032361</v>
      </c>
      <c r="Z55" s="27">
        <f>PortfolioFrontier[[#This Row],[P6 Growth]]/PortfolioFrontier[[#This Row],[P6 HWM]]-1</f>
        <v>0</v>
      </c>
      <c r="AA55" s="28">
        <f>SUMPRODUCT(INDEX(PortfolioRef[[SPY]:[PE]],MATCH(AA$1,PortfolioRef[Reference '#]),0),AssetMonthlyReturns[[#This Row],[SPY]:[PE]])</f>
        <v>3.2206933508269163E-2</v>
      </c>
      <c r="AB55" s="27">
        <f>IF(ISNUMBER(AB54),AB54*(1+PortfolioFrontier[[#This Row],[P7 Return]]),1+PortfolioFrontier[[#This Row],[P7 Return]])</f>
        <v>1.5107214051835725</v>
      </c>
      <c r="AC55" s="27">
        <f>MAX(AC54,PortfolioFrontier[[#This Row],[P7 Growth]])</f>
        <v>1.5107214051835725</v>
      </c>
      <c r="AD55" s="27">
        <f>PortfolioFrontier[[#This Row],[P7 Growth]]/PortfolioFrontier[[#This Row],[P7 HWM]]-1</f>
        <v>0</v>
      </c>
      <c r="AE55" s="28">
        <f>SUMPRODUCT(INDEX(PortfolioRef[[SPY]:[PE]],MATCH(AE$1,PortfolioRef[Reference '#]),0),AssetMonthlyReturns[[#This Row],[SPY]:[PE]])</f>
        <v>3.2589875912039053E-2</v>
      </c>
      <c r="AF55" s="27">
        <f>IF(ISNUMBER(AF54),AF54*(1+PortfolioFrontier[[#This Row],[P8 Return]]),1+PortfolioFrontier[[#This Row],[P8 Return]])</f>
        <v>1.4929840754180306</v>
      </c>
      <c r="AG55" s="27">
        <f>MAX(AG54,PortfolioFrontier[[#This Row],[P8 Growth]])</f>
        <v>1.4929840754180306</v>
      </c>
      <c r="AH55" s="27">
        <f>PortfolioFrontier[[#This Row],[P8 Growth]]/PortfolioFrontier[[#This Row],[P8 HWM]]-1</f>
        <v>0</v>
      </c>
      <c r="AI55" s="28">
        <f>SUMPRODUCT(INDEX(PortfolioRef[[SPY]:[PE]],MATCH(AI$1,PortfolioRef[Reference '#]),0),AssetMonthlyReturns[[#This Row],[SPY]:[PE]])</f>
        <v>3.3599997292077612E-2</v>
      </c>
      <c r="AJ55" s="27">
        <f>IF(ISNUMBER(AJ54),AJ54*(1+PortfolioFrontier[[#This Row],[P9 Return]]),1+PortfolioFrontier[[#This Row],[P9 Return]])</f>
        <v>1.4844792312631376</v>
      </c>
      <c r="AK55" s="27">
        <f>MAX(AK54,PortfolioFrontier[[#This Row],[P9 Growth]])</f>
        <v>1.4844792312631376</v>
      </c>
      <c r="AL55" s="27">
        <f>PortfolioFrontier[[#This Row],[P9 Growth]]/PortfolioFrontier[[#This Row],[P9 HWM]]-1</f>
        <v>0</v>
      </c>
      <c r="AM55" s="28">
        <f>SUMPRODUCT(INDEX(PortfolioRef[[SPY]:[PE]],MATCH(AM$1,PortfolioRef[Reference '#]),0),AssetMonthlyReturns[[#This Row],[SPY]:[PE]])</f>
        <v>3.2449216005014117E-2</v>
      </c>
      <c r="AN55" s="27">
        <f>IF(ISNUMBER(AN54),AN54*(1+PortfolioFrontier[[#This Row],[P10 Return]]),1+PortfolioFrontier[[#This Row],[P10 Return]])</f>
        <v>1.5288711443424805</v>
      </c>
      <c r="AO55" s="27">
        <f>MAX(AO54,PortfolioFrontier[[#This Row],[P10 Growth]])</f>
        <v>1.5288711443424805</v>
      </c>
      <c r="AP55" s="27">
        <f>PortfolioFrontier[[#This Row],[P10 Growth]]/PortfolioFrontier[[#This Row],[P10 HWM]]-1</f>
        <v>0</v>
      </c>
      <c r="AQ55" s="28">
        <f>SUMPRODUCT(INDEX(PortfolioRef[[SPY]:[PE]],MATCH(AQ$1,PortfolioRef[Reference '#]),0),AssetMonthlyReturns[[#This Row],[SPY]:[PE]])</f>
        <v>3.2832158408784E-2</v>
      </c>
      <c r="AR55" s="27">
        <f>IF(ISNUMBER(AR54),AR54*(1+PortfolioFrontier[[#This Row],[P11 Return]]),1+PortfolioFrontier[[#This Row],[P11 Return]])</f>
        <v>1.5110858706356174</v>
      </c>
      <c r="AS55" s="27">
        <f>MAX(AS54,PortfolioFrontier[[#This Row],[P11 Growth]])</f>
        <v>1.5110858706356174</v>
      </c>
      <c r="AT55" s="27">
        <f>PortfolioFrontier[[#This Row],[P11 Growth]]/PortfolioFrontier[[#This Row],[P11 HWM]]-1</f>
        <v>0</v>
      </c>
      <c r="AU55" s="28">
        <f>SUMPRODUCT(INDEX(PortfolioRef[[SPY]:[PE]],MATCH(AU$1,PortfolioRef[Reference '#]),0),AssetMonthlyReturns[[#This Row],[SPY]:[PE]])</f>
        <v>3.3842279788822566E-2</v>
      </c>
      <c r="AV55" s="27">
        <f>IF(ISNUMBER(AV54),AV54*(1+PortfolioFrontier[[#This Row],[P12 Return]]),1+PortfolioFrontier[[#This Row],[P12 Return]])</f>
        <v>1.5025299529391776</v>
      </c>
      <c r="AW55" s="27">
        <f>MAX(AW54,PortfolioFrontier[[#This Row],[P12 Growth]])</f>
        <v>1.5025299529391776</v>
      </c>
      <c r="AX55" s="27">
        <f>PortfolioFrontier[[#This Row],[P12 Growth]]/PortfolioFrontier[[#This Row],[P12 HWM]]-1</f>
        <v>0</v>
      </c>
      <c r="AY55" s="28">
        <f>SUMPRODUCT(INDEX(PortfolioRef[[SPY]:[PE]],MATCH(AY$1,PortfolioRef[Reference '#]),0),AssetMonthlyReturns[[#This Row],[SPY]:[PE]])</f>
        <v>3.321510081255389E-2</v>
      </c>
      <c r="AZ55" s="27">
        <f>IF(ISNUMBER(AZ54),AZ54*(1+PortfolioFrontier[[#This Row],[P13 Return]]),1+PortfolioFrontier[[#This Row],[P13 Return]])</f>
        <v>1.4929506688805332</v>
      </c>
      <c r="BA55" s="27">
        <f>MAX(BA54,PortfolioFrontier[[#This Row],[P13 Growth]])</f>
        <v>1.4929506688805332</v>
      </c>
      <c r="BB55" s="27">
        <f>PortfolioFrontier[[#This Row],[P13 Growth]]/PortfolioFrontier[[#This Row],[P13 HWM]]-1</f>
        <v>0</v>
      </c>
      <c r="BC55" s="28">
        <f>SUMPRODUCT(INDEX(PortfolioRef[[SPY]:[PE]],MATCH(BC$1,PortfolioRef[Reference '#]),0),AssetMonthlyReturns[[#This Row],[SPY]:[PE]])</f>
        <v>3.4225222192592455E-2</v>
      </c>
      <c r="BD55" s="27">
        <f>IF(ISNUMBER(BD54),BD54*(1+PortfolioFrontier[[#This Row],[P14 Return]]),1+PortfolioFrontier[[#This Row],[P14 Return]])</f>
        <v>1.48485903444147</v>
      </c>
      <c r="BE55" s="27">
        <f>MAX(BE54,PortfolioFrontier[[#This Row],[P14 Growth]])</f>
        <v>1.48485903444147</v>
      </c>
      <c r="BF55" s="27">
        <f>PortfolioFrontier[[#This Row],[P14 Growth]]/PortfolioFrontier[[#This Row],[P14 HWM]]-1</f>
        <v>0</v>
      </c>
      <c r="BG55" s="28">
        <f>SUMPRODUCT(INDEX(PortfolioRef[[SPY]:[PE]],MATCH(BG$1,PortfolioRef[Reference '#]),0),AssetMonthlyReturns[[#This Row],[SPY]:[PE]])</f>
        <v>3.5235343572631021E-2</v>
      </c>
      <c r="BH55" s="27">
        <f>IF(ISNUMBER(BH54),BH54*(1+PortfolioFrontier[[#This Row],[P15 Return]]),1+PortfolioFrontier[[#This Row],[P15 Return]])</f>
        <v>1.4763173956051447</v>
      </c>
      <c r="BI55" s="27">
        <f>MAX(BI54,PortfolioFrontier[[#This Row],[P15 Growth]])</f>
        <v>1.4763173956051447</v>
      </c>
      <c r="BJ55" s="27">
        <f>PortfolioFrontier[[#This Row],[P15 Growth]]/PortfolioFrontier[[#This Row],[P15 HWM]]-1</f>
        <v>0</v>
      </c>
      <c r="BK55" s="28">
        <f>SUMPRODUCT(INDEX(PortfolioRef[[SPY]:[PE]],MATCH(BK$1,PortfolioRef[Reference '#]),0),AssetMonthlyReturns[[#This Row],[SPY]:[PE]])</f>
        <v>2.8071288009515718E-2</v>
      </c>
      <c r="BL55" s="27">
        <f>IF(ISNUMBER(BL54),BL54*(1+PortfolioFrontier[[#This Row],[P16 Return]]),1+PortfolioFrontier[[#This Row],[P16 Return]])</f>
        <v>1.4607433936825749</v>
      </c>
      <c r="BM55" s="27">
        <f>MAX(BM54,PortfolioFrontier[[#This Row],[P16 Growth]])</f>
        <v>1.4607433936825749</v>
      </c>
      <c r="BN55" s="27">
        <f>PortfolioFrontier[[#This Row],[P16 Growth]]/PortfolioFrontier[[#This Row],[P16 HWM]]-1</f>
        <v>0</v>
      </c>
      <c r="BO55" s="28">
        <f>SUMPRODUCT(INDEX(PortfolioRef[[SPY]:[PE]],MATCH(BO$1,PortfolioRef[Reference '#]),0),AssetMonthlyReturns[[#This Row],[SPY]:[PE]])</f>
        <v>2.8313570506260672E-2</v>
      </c>
      <c r="BP55" s="27">
        <f>IF(ISNUMBER(BP54),BP54*(1+PortfolioFrontier[[#This Row],[P17 Return]]),1+PortfolioFrontier[[#This Row],[P17 Return]])</f>
        <v>1.4785010905662552</v>
      </c>
      <c r="BQ55" s="27">
        <f>MAX(BQ54,PortfolioFrontier[[#This Row],[P17 Growth]])</f>
        <v>1.4785010905662552</v>
      </c>
      <c r="BR55" s="27">
        <f>PortfolioFrontier[[#This Row],[P17 Growth]]/PortfolioFrontier[[#This Row],[P17 HWM]]-1</f>
        <v>0</v>
      </c>
      <c r="BS55" s="28">
        <f>SUMPRODUCT(INDEX(PortfolioRef[[SPY]:[PE]],MATCH(BS$1,PortfolioRef[Reference '#]),0),AssetMonthlyReturns[[#This Row],[SPY]:[PE]])</f>
        <v>2.8696512910030562E-2</v>
      </c>
      <c r="BT55" s="27">
        <f>IF(ISNUMBER(BT54),BT54*(1+PortfolioFrontier[[#This Row],[P18 Return]]),1+PortfolioFrontier[[#This Row],[P18 Return]])</f>
        <v>1.4614109796241144</v>
      </c>
      <c r="BU55" s="27">
        <f>MAX(BU54,PortfolioFrontier[[#This Row],[P18 Growth]])</f>
        <v>1.4614109796241144</v>
      </c>
      <c r="BV55" s="27">
        <f>PortfolioFrontier[[#This Row],[P18 Growth]]/PortfolioFrontier[[#This Row],[P18 HWM]]-1</f>
        <v>0</v>
      </c>
      <c r="BW55" s="28">
        <f>SUMPRODUCT(INDEX(PortfolioRef[[SPY]:[PE]],MATCH(BW$1,PortfolioRef[Reference '#]),0),AssetMonthlyReturns[[#This Row],[SPY]:[PE]])</f>
        <v>2.9706634290069128E-2</v>
      </c>
      <c r="BX55" s="27">
        <f>IF(ISNUMBER(BX54),BX54*(1+PortfolioFrontier[[#This Row],[P19 Return]]),1+PortfolioFrontier[[#This Row],[P19 Return]])</f>
        <v>1.4528457096966965</v>
      </c>
      <c r="BY55" s="27">
        <f>MAX(BY54,PortfolioFrontier[[#This Row],[P19 Growth]])</f>
        <v>1.4528457096966965</v>
      </c>
      <c r="BZ55" s="27">
        <f>PortfolioFrontier[[#This Row],[P19 Growth]]/PortfolioFrontier[[#This Row],[P19 HWM]]-1</f>
        <v>0</v>
      </c>
      <c r="CA55" s="28">
        <f>SUMPRODUCT(INDEX(PortfolioRef[[SPY]:[PE]],MATCH(CA$1,PortfolioRef[Reference '#]),0),AssetMonthlyReturns[[#This Row],[SPY]:[PE]])</f>
        <v>2.855585300300563E-2</v>
      </c>
      <c r="CB55" s="27">
        <f>IF(ISNUMBER(CB54),CB54*(1+PortfolioFrontier[[#This Row],[P20 Return]]),1+PortfolioFrontier[[#This Row],[P20 Return]])</f>
        <v>1.4962837475835971</v>
      </c>
      <c r="CC55" s="27">
        <f>MAX(CC54,PortfolioFrontier[[#This Row],[P20 Growth]])</f>
        <v>1.4962837475835971</v>
      </c>
      <c r="CD55" s="27">
        <f>PortfolioFrontier[[#This Row],[P20 Growth]]/PortfolioFrontier[[#This Row],[P20 HWM]]-1</f>
        <v>0</v>
      </c>
      <c r="CE55" s="28">
        <f>SUMPRODUCT(INDEX(PortfolioRef[[SPY]:[PE]],MATCH(CE$1,PortfolioRef[Reference '#]),0),AssetMonthlyReturns[[#This Row],[SPY]:[PE]])</f>
        <v>2.8938795406775516E-2</v>
      </c>
      <c r="CF55" s="27">
        <f>IF(ISNUMBER(CF54),CF54*(1+PortfolioFrontier[[#This Row],[P21 Return]]),1+PortfolioFrontier[[#This Row],[P21 Return]])</f>
        <v>1.4791498487162789</v>
      </c>
      <c r="CG55" s="27">
        <f>MAX(CG54,PortfolioFrontier[[#This Row],[P21 Growth]])</f>
        <v>1.4791498487162789</v>
      </c>
      <c r="CH55" s="27">
        <f>PortfolioFrontier[[#This Row],[P21 Growth]]/PortfolioFrontier[[#This Row],[P21 HWM]]-1</f>
        <v>0</v>
      </c>
      <c r="CI55" s="28">
        <f>SUMPRODUCT(INDEX(PortfolioRef[[SPY]:[PE]],MATCH(CI$1,PortfolioRef[Reference '#]),0),AssetMonthlyReturns[[#This Row],[SPY]:[PE]])</f>
        <v>2.9948916786814082E-2</v>
      </c>
      <c r="CJ55" s="27">
        <f>IF(ISNUMBER(CJ54),CJ54*(1+PortfolioFrontier[[#This Row],[P22 Return]]),1+PortfolioFrontier[[#This Row],[P22 Return]])</f>
        <v>1.4705318579952025</v>
      </c>
      <c r="CK55" s="27">
        <f>MAX(CK54,PortfolioFrontier[[#This Row],[P22 Growth]])</f>
        <v>1.4705318579952025</v>
      </c>
      <c r="CL55" s="27">
        <f>PortfolioFrontier[[#This Row],[P22 Growth]]/PortfolioFrontier[[#This Row],[P22 HWM]]-1</f>
        <v>0</v>
      </c>
      <c r="CM55" s="28">
        <f>SUMPRODUCT(INDEX(PortfolioRef[[SPY]:[PE]],MATCH(CM$1,PortfolioRef[Reference '#]),0),AssetMonthlyReturns[[#This Row],[SPY]:[PE]])</f>
        <v>2.9321737810545406E-2</v>
      </c>
      <c r="CN55" s="27">
        <f>IF(ISNUMBER(CN54),CN54*(1+PortfolioFrontier[[#This Row],[P23 Return]]),1+PortfolioFrontier[[#This Row],[P23 Return]])</f>
        <v>1.4616697423289848</v>
      </c>
      <c r="CO55" s="27">
        <f>MAX(CO54,PortfolioFrontier[[#This Row],[P23 Growth]])</f>
        <v>1.4616697423289848</v>
      </c>
      <c r="CP55" s="27">
        <f>PortfolioFrontier[[#This Row],[P23 Growth]]/PortfolioFrontier[[#This Row],[P23 HWM]]-1</f>
        <v>0</v>
      </c>
      <c r="CQ55" s="28">
        <f>SUMPRODUCT(INDEX(PortfolioRef[[SPY]:[PE]],MATCH(CQ$1,PortfolioRef[Reference '#]),0),AssetMonthlyReturns[[#This Row],[SPY]:[PE]])</f>
        <v>3.0331859190583971E-2</v>
      </c>
      <c r="CR55" s="27">
        <f>IF(ISNUMBER(CR54),CR54*(1+PortfolioFrontier[[#This Row],[P24 Return]]),1+PortfolioFrontier[[#This Row],[P24 Return]])</f>
        <v>1.4535048756597697</v>
      </c>
      <c r="CS55" s="27">
        <f>MAX(CS54,PortfolioFrontier[[#This Row],[P24 Growth]])</f>
        <v>1.4535048756597697</v>
      </c>
      <c r="CT55" s="27">
        <f>PortfolioFrontier[[#This Row],[P24 Growth]]/PortfolioFrontier[[#This Row],[P24 HWM]]-1</f>
        <v>0</v>
      </c>
      <c r="CU55" s="28">
        <f>SUMPRODUCT(INDEX(PortfolioRef[[SPY]:[PE]],MATCH(CU$1,PortfolioRef[Reference '#]),0),AssetMonthlyReturns[[#This Row],[SPY]:[PE]])</f>
        <v>3.1341980570622534E-2</v>
      </c>
      <c r="CV55" s="27">
        <f>IF(ISNUMBER(CV54),CV54*(1+PortfolioFrontier[[#This Row],[P25 Return]]),1+PortfolioFrontier[[#This Row],[P25 Return]])</f>
        <v>1.4449045357539654</v>
      </c>
      <c r="CW55" s="27">
        <f>MAX(CW54,PortfolioFrontier[[#This Row],[P25 Growth]])</f>
        <v>1.4449045357539654</v>
      </c>
      <c r="CX55" s="27">
        <f>PortfolioFrontier[[#This Row],[P25 Growth]]/PortfolioFrontier[[#This Row],[P25 HWM]]-1</f>
        <v>0</v>
      </c>
      <c r="CY55" s="28">
        <f>SUMPRODUCT(INDEX(PortfolioRef[[SPY]:[PE]],MATCH(CY$1,PortfolioRef[Reference '#]),0),AssetMonthlyReturns[[#This Row],[SPY]:[PE]])</f>
        <v>2.918107790352047E-2</v>
      </c>
      <c r="CZ55" s="27">
        <f>IF(ISNUMBER(CZ54),CZ54*(1+PortfolioFrontier[[#This Row],[P26 Return]]),1+PortfolioFrontier[[#This Row],[P26 Return]])</f>
        <v>1.496913305116407</v>
      </c>
      <c r="DA55" s="27">
        <f>MAX(DA54,PortfolioFrontier[[#This Row],[P26 Growth]])</f>
        <v>1.496913305116407</v>
      </c>
      <c r="DB55" s="27">
        <f>PortfolioFrontier[[#This Row],[P26 Growth]]/PortfolioFrontier[[#This Row],[P26 HWM]]-1</f>
        <v>0</v>
      </c>
      <c r="DC55" s="28">
        <f>SUMPRODUCT(INDEX(PortfolioRef[[SPY]:[PE]],MATCH(DC$1,PortfolioRef[Reference '#]),0),AssetMonthlyReturns[[#This Row],[SPY]:[PE]])</f>
        <v>3.0191199283559036E-2</v>
      </c>
      <c r="DD55" s="27">
        <f>IF(ISNUMBER(DD54),DD54*(1+PortfolioFrontier[[#This Row],[P27 Return]]),1+PortfolioFrontier[[#This Row],[P27 Return]])</f>
        <v>1.4882433863204374</v>
      </c>
      <c r="DE55" s="27">
        <f>MAX(DE54,PortfolioFrontier[[#This Row],[P27 Growth]])</f>
        <v>1.4882433863204374</v>
      </c>
      <c r="DF55" s="27">
        <f>PortfolioFrontier[[#This Row],[P27 Growth]]/PortfolioFrontier[[#This Row],[P27 HWM]]-1</f>
        <v>0</v>
      </c>
      <c r="DG55" s="28">
        <f>SUMPRODUCT(INDEX(PortfolioRef[[SPY]:[PE]],MATCH(DG$1,PortfolioRef[Reference '#]),0),AssetMonthlyReturns[[#This Row],[SPY]:[PE]])</f>
        <v>2.9564020307290356E-2</v>
      </c>
      <c r="DH55" s="27">
        <f>IF(ISNUMBER(DH54),DH54*(1+PortfolioFrontier[[#This Row],[P28 Return]]),1+PortfolioFrontier[[#This Row],[P28 Return]])</f>
        <v>1.4793851395705906</v>
      </c>
      <c r="DI55" s="27">
        <f>MAX(DI54,PortfolioFrontier[[#This Row],[P28 Growth]])</f>
        <v>1.4793851395705906</v>
      </c>
      <c r="DJ55" s="27">
        <f>PortfolioFrontier[[#This Row],[P28 Growth]]/PortfolioFrontier[[#This Row],[P28 HWM]]-1</f>
        <v>0</v>
      </c>
      <c r="DK55" s="28">
        <f>SUMPRODUCT(INDEX(PortfolioRef[[SPY]:[PE]],MATCH(DK$1,PortfolioRef[Reference '#]),0),AssetMonthlyReturns[[#This Row],[SPY]:[PE]])</f>
        <v>3.0574141687328922E-2</v>
      </c>
      <c r="DL55" s="27">
        <f>IF(ISNUMBER(DL54),DL54*(1+PortfolioFrontier[[#This Row],[P29 Return]]),1+PortfolioFrontier[[#This Row],[P29 Return]])</f>
        <v>1.4711722579196378</v>
      </c>
      <c r="DM55" s="27">
        <f>MAX(DM54,PortfolioFrontier[[#This Row],[P29 Growth]])</f>
        <v>1.4711722579196378</v>
      </c>
      <c r="DN55" s="27">
        <f>PortfolioFrontier[[#This Row],[P29 Growth]]/PortfolioFrontier[[#This Row],[P29 HWM]]-1</f>
        <v>0</v>
      </c>
      <c r="DO55" s="28">
        <f>SUMPRODUCT(INDEX(PortfolioRef[[SPY]:[PE]],MATCH(DO$1,PortfolioRef[Reference '#]),0),AssetMonthlyReturns[[#This Row],[SPY]:[PE]])</f>
        <v>3.1584263067367488E-2</v>
      </c>
      <c r="DP55" s="27">
        <f>IF(ISNUMBER(DP54),DP54*(1+PortfolioFrontier[[#This Row],[P30 Return]]),1+PortfolioFrontier[[#This Row],[P30 Return]])</f>
        <v>1.4625183444841605</v>
      </c>
      <c r="DQ55" s="27">
        <f>MAX(DQ54,PortfolioFrontier[[#This Row],[P30 Growth]])</f>
        <v>1.4625183444841605</v>
      </c>
      <c r="DR55" s="27">
        <f>PortfolioFrontier[[#This Row],[P30 Growth]]/PortfolioFrontier[[#This Row],[P30 HWM]]-1</f>
        <v>0</v>
      </c>
      <c r="DS55" s="28">
        <f>SUMPRODUCT(INDEX(PortfolioRef[[SPY]:[PE]],MATCH(DS$1,PortfolioRef[Reference '#]),0),AssetMonthlyReturns[[#This Row],[SPY]:[PE]])</f>
        <v>2.9946962711060246E-2</v>
      </c>
      <c r="DT55" s="27">
        <f>IF(ISNUMBER(DT54),DT54*(1+PortfolioFrontier[[#This Row],[P31 Return]]),1+PortfolioFrontier[[#This Row],[P31 Return]])</f>
        <v>1.4615157178302303</v>
      </c>
      <c r="DU55" s="27">
        <f>MAX(DU54,PortfolioFrontier[[#This Row],[P31 Growth]])</f>
        <v>1.4615157178302303</v>
      </c>
      <c r="DV55" s="27">
        <f>PortfolioFrontier[[#This Row],[P31 Growth]]/PortfolioFrontier[[#This Row],[P31 HWM]]-1</f>
        <v>0</v>
      </c>
      <c r="DW55" s="28">
        <f>SUMPRODUCT(INDEX(PortfolioRef[[SPY]:[PE]],MATCH(DW$1,PortfolioRef[Reference '#]),0),AssetMonthlyReturns[[#This Row],[SPY]:[PE]])</f>
        <v>3.0957084091098812E-2</v>
      </c>
      <c r="DX55" s="27">
        <f>IF(ISNUMBER(DX54),DX54*(1+PortfolioFrontier[[#This Row],[P32 Return]]),1+PortfolioFrontier[[#This Row],[P32 Return]])</f>
        <v>1.4537574332997565</v>
      </c>
      <c r="DY55" s="27">
        <f>MAX(DY54,PortfolioFrontier[[#This Row],[P32 Growth]])</f>
        <v>1.4537574332997565</v>
      </c>
      <c r="DZ55" s="27">
        <f>PortfolioFrontier[[#This Row],[P32 Growth]]/PortfolioFrontier[[#This Row],[P32 HWM]]-1</f>
        <v>0</v>
      </c>
      <c r="EA55" s="28">
        <f>SUMPRODUCT(INDEX(PortfolioRef[[SPY]:[PE]],MATCH(EA$1,PortfolioRef[Reference '#]),0),AssetMonthlyReturns[[#This Row],[SPY]:[PE]])</f>
        <v>3.1967205471137378E-2</v>
      </c>
      <c r="EB55" s="27">
        <f>IF(ISNUMBER(EB54),EB54*(1+PortfolioFrontier[[#This Row],[P33 Return]]),1+PortfolioFrontier[[#This Row],[P33 Return]])</f>
        <v>1.4455551975274505</v>
      </c>
      <c r="EC55" s="27">
        <f>MAX(EC54,PortfolioFrontier[[#This Row],[P33 Growth]])</f>
        <v>1.4455551975274505</v>
      </c>
      <c r="ED55" s="27">
        <f>PortfolioFrontier[[#This Row],[P33 Growth]]/PortfolioFrontier[[#This Row],[P33 HWM]]-1</f>
        <v>0</v>
      </c>
      <c r="EE55" s="28">
        <f>SUMPRODUCT(INDEX(PortfolioRef[[SPY]:[PE]],MATCH(EE$1,PortfolioRef[Reference '#]),0),AssetMonthlyReturns[[#This Row],[SPY]:[PE]])</f>
        <v>2.4177925007507227E-2</v>
      </c>
      <c r="EF55" s="27">
        <f>IF(ISNUMBER(EF54),EF54*(1+PortfolioFrontier[[#This Row],[P34 Return]]),1+PortfolioFrontier[[#This Row],[P34 Return]])</f>
        <v>1.429174691603962</v>
      </c>
      <c r="EG55" s="27">
        <f>MAX(EG54,PortfolioFrontier[[#This Row],[P34 Growth]])</f>
        <v>1.429174691603962</v>
      </c>
      <c r="EH55" s="27">
        <f>PortfolioFrontier[[#This Row],[P34 Growth]]/PortfolioFrontier[[#This Row],[P34 HWM]]-1</f>
        <v>0</v>
      </c>
      <c r="EI55" s="28">
        <f>SUMPRODUCT(INDEX(PortfolioRef[[SPY]:[PE]],MATCH(EI$1,PortfolioRef[Reference '#]),0),AssetMonthlyReturns[[#This Row],[SPY]:[PE]])</f>
        <v>2.4420207504252178E-2</v>
      </c>
      <c r="EJ55" s="27">
        <f>IF(ISNUMBER(EJ54),EJ54*(1+PortfolioFrontier[[#This Row],[P35 Return]]),1+PortfolioFrontier[[#This Row],[P35 Return]])</f>
        <v>1.4465689245172682</v>
      </c>
      <c r="EK55" s="27">
        <f>MAX(EK54,PortfolioFrontier[[#This Row],[P35 Growth]])</f>
        <v>1.4465689245172682</v>
      </c>
      <c r="EL55" s="27">
        <f>PortfolioFrontier[[#This Row],[P35 Growth]]/PortfolioFrontier[[#This Row],[P35 HWM]]-1</f>
        <v>0</v>
      </c>
      <c r="EM55" s="28">
        <f>SUMPRODUCT(INDEX(PortfolioRef[[SPY]:[PE]],MATCH(EM$1,PortfolioRef[Reference '#]),0),AssetMonthlyReturns[[#This Row],[SPY]:[PE]])</f>
        <v>2.4803149908022067E-2</v>
      </c>
      <c r="EN55" s="27">
        <f>IF(ISNUMBER(EN54),EN54*(1+PortfolioFrontier[[#This Row],[P36 Return]]),1+PortfolioFrontier[[#This Row],[P36 Return]])</f>
        <v>1.4301088569745684</v>
      </c>
      <c r="EO55" s="27">
        <f>MAX(EO54,PortfolioFrontier[[#This Row],[P36 Growth]])</f>
        <v>1.4301088569745684</v>
      </c>
      <c r="EP55" s="27">
        <f>PortfolioFrontier[[#This Row],[P36 Growth]]/PortfolioFrontier[[#This Row],[P36 HWM]]-1</f>
        <v>0</v>
      </c>
      <c r="EQ55" s="28">
        <f>SUMPRODUCT(INDEX(PortfolioRef[[SPY]:[PE]],MATCH(EQ$1,PortfolioRef[Reference '#]),0),AssetMonthlyReturns[[#This Row],[SPY]:[PE]])</f>
        <v>2.5813271288060633E-2</v>
      </c>
      <c r="ER55" s="27">
        <f>IF(ISNUMBER(ER54),ER54*(1+PortfolioFrontier[[#This Row],[P37 Return]]),1+PortfolioFrontier[[#This Row],[P37 Return]])</f>
        <v>1.4214933898753828</v>
      </c>
      <c r="ES55" s="27">
        <f>MAX(ES54,PortfolioFrontier[[#This Row],[P37 Growth]])</f>
        <v>1.4214933898753828</v>
      </c>
      <c r="ET55" s="27">
        <f>PortfolioFrontier[[#This Row],[P37 Growth]]/PortfolioFrontier[[#This Row],[P37 HWM]]-1</f>
        <v>0</v>
      </c>
      <c r="EU55" s="28">
        <f>SUMPRODUCT(INDEX(PortfolioRef[[SPY]:[PE]],MATCH(EU$1,PortfolioRef[Reference '#]),0),AssetMonthlyReturns[[#This Row],[SPY]:[PE]])</f>
        <v>2.4662490000997135E-2</v>
      </c>
      <c r="EV55" s="27">
        <f>IF(ISNUMBER(EV54),EV54*(1+PortfolioFrontier[[#This Row],[P38 Return]]),1+PortfolioFrontier[[#This Row],[P38 Return]])</f>
        <v>1.4639876480924996</v>
      </c>
      <c r="EW55" s="27">
        <f>MAX(EW54,PortfolioFrontier[[#This Row],[P38 Growth]])</f>
        <v>1.4639876480924996</v>
      </c>
      <c r="EX55" s="27">
        <f>PortfolioFrontier[[#This Row],[P38 Growth]]/PortfolioFrontier[[#This Row],[P38 HWM]]-1</f>
        <v>0</v>
      </c>
      <c r="EY55" s="28">
        <f>SUMPRODUCT(INDEX(PortfolioRef[[SPY]:[PE]],MATCH(EY$1,PortfolioRef[Reference '#]),0),AssetMonthlyReturns[[#This Row],[SPY]:[PE]])</f>
        <v>2.5045432404767021E-2</v>
      </c>
      <c r="EZ55" s="27">
        <f>IF(ISNUMBER(EZ54),EZ54*(1+PortfolioFrontier[[#This Row],[P39 Return]]),1+PortfolioFrontier[[#This Row],[P39 Return]])</f>
        <v>1.4474877844374143</v>
      </c>
      <c r="FA55" s="27">
        <f>MAX(FA54,PortfolioFrontier[[#This Row],[P39 Growth]])</f>
        <v>1.4474877844374143</v>
      </c>
      <c r="FB55" s="27">
        <f>PortfolioFrontier[[#This Row],[P39 Growth]]/PortfolioFrontier[[#This Row],[P39 HWM]]-1</f>
        <v>0</v>
      </c>
      <c r="FC55" s="28">
        <f>SUMPRODUCT(INDEX(PortfolioRef[[SPY]:[PE]],MATCH(FC$1,PortfolioRef[Reference '#]),0),AssetMonthlyReturns[[#This Row],[SPY]:[PE]])</f>
        <v>2.6055553784805587E-2</v>
      </c>
      <c r="FD55" s="27">
        <f>IF(ISNUMBER(FD54),FD54*(1+PortfolioFrontier[[#This Row],[P40 Return]]),1+PortfolioFrontier[[#This Row],[P40 Return]])</f>
        <v>1.4388180670542723</v>
      </c>
      <c r="FE55" s="27">
        <f>MAX(FE54,PortfolioFrontier[[#This Row],[P40 Growth]])</f>
        <v>1.4388180670542723</v>
      </c>
      <c r="FF55" s="27">
        <f>PortfolioFrontier[[#This Row],[P40 Growth]]/PortfolioFrontier[[#This Row],[P40 HWM]]-1</f>
        <v>0</v>
      </c>
      <c r="FG55" s="28">
        <f>SUMPRODUCT(INDEX(PortfolioRef[[SPY]:[PE]],MATCH(FG$1,PortfolioRef[Reference '#]),0),AssetMonthlyReturns[[#This Row],[SPY]:[PE]])</f>
        <v>2.5428374808536911E-2</v>
      </c>
      <c r="FH55" s="27">
        <f>IF(ISNUMBER(FH54),FH54*(1+PortfolioFrontier[[#This Row],[P41 Return]]),1+PortfolioFrontier[[#This Row],[P41 Return]])</f>
        <v>1.4306456069365103</v>
      </c>
      <c r="FI55" s="27">
        <f>MAX(FI54,PortfolioFrontier[[#This Row],[P41 Growth]])</f>
        <v>1.4306456069365103</v>
      </c>
      <c r="FJ55" s="27">
        <f>PortfolioFrontier[[#This Row],[P41 Growth]]/PortfolioFrontier[[#This Row],[P41 HWM]]-1</f>
        <v>0</v>
      </c>
      <c r="FK55" s="28">
        <f>SUMPRODUCT(INDEX(PortfolioRef[[SPY]:[PE]],MATCH(FK$1,PortfolioRef[Reference '#]),0),AssetMonthlyReturns[[#This Row],[SPY]:[PE]])</f>
        <v>2.6438496188575477E-2</v>
      </c>
      <c r="FL55" s="27">
        <f>IF(ISNUMBER(FL54),FL54*(1+PortfolioFrontier[[#This Row],[P42 Return]]),1+PortfolioFrontier[[#This Row],[P42 Return]])</f>
        <v>1.4224179680362155</v>
      </c>
      <c r="FM55" s="27">
        <f>MAX(FM54,PortfolioFrontier[[#This Row],[P42 Growth]])</f>
        <v>1.4224179680362155</v>
      </c>
      <c r="FN55" s="27">
        <f>PortfolioFrontier[[#This Row],[P42 Growth]]/PortfolioFrontier[[#This Row],[P42 HWM]]-1</f>
        <v>0</v>
      </c>
      <c r="FO55" s="28">
        <f>SUMPRODUCT(INDEX(PortfolioRef[[SPY]:[PE]],MATCH(FO$1,PortfolioRef[Reference '#]),0),AssetMonthlyReturns[[#This Row],[SPY]:[PE]])</f>
        <v>2.7448617568614039E-2</v>
      </c>
      <c r="FP55" s="27">
        <f>IF(ISNUMBER(FP54),FP54*(1+PortfolioFrontier[[#This Row],[P43 Return]]),1+PortfolioFrontier[[#This Row],[P43 Return]])</f>
        <v>1.4137690836062577</v>
      </c>
      <c r="FQ55" s="27">
        <f>MAX(FQ54,PortfolioFrontier[[#This Row],[P43 Growth]])</f>
        <v>1.4137690836062577</v>
      </c>
      <c r="FR55" s="27">
        <f>PortfolioFrontier[[#This Row],[P43 Growth]]/PortfolioFrontier[[#This Row],[P43 HWM]]-1</f>
        <v>0</v>
      </c>
      <c r="FS55" s="28">
        <f>SUMPRODUCT(INDEX(PortfolioRef[[SPY]:[PE]],MATCH(FS$1,PortfolioRef[Reference '#]),0),AssetMonthlyReturns[[#This Row],[SPY]:[PE]])</f>
        <v>2.5287714901511979E-2</v>
      </c>
      <c r="FT55" s="27">
        <f>IF(ISNUMBER(FT54),FT54*(1+PortfolioFrontier[[#This Row],[P44 Return]]),1+PortfolioFrontier[[#This Row],[P44 Return]])</f>
        <v>1.464890837182826</v>
      </c>
      <c r="FU55" s="27">
        <f>MAX(FU54,PortfolioFrontier[[#This Row],[P44 Growth]])</f>
        <v>1.464890837182826</v>
      </c>
      <c r="FV55" s="27">
        <f>PortfolioFrontier[[#This Row],[P44 Growth]]/PortfolioFrontier[[#This Row],[P44 HWM]]-1</f>
        <v>0</v>
      </c>
      <c r="FW55" s="28">
        <f>SUMPRODUCT(INDEX(PortfolioRef[[SPY]:[PE]],MATCH(FW$1,PortfolioRef[Reference '#]),0),AssetMonthlyReturns[[#This Row],[SPY]:[PE]])</f>
        <v>2.6297836281550545E-2</v>
      </c>
      <c r="FX55" s="27">
        <f>IF(ISNUMBER(FX54),FX54*(1+PortfolioFrontier[[#This Row],[P45 Return]]),1+PortfolioFrontier[[#This Row],[P45 Return]])</f>
        <v>1.4561676477539653</v>
      </c>
      <c r="FY55" s="27">
        <f>MAX(FY54,PortfolioFrontier[[#This Row],[P45 Growth]])</f>
        <v>1.4561676477539653</v>
      </c>
      <c r="FZ55" s="27">
        <f>PortfolioFrontier[[#This Row],[P45 Growth]]/PortfolioFrontier[[#This Row],[P45 HWM]]-1</f>
        <v>0</v>
      </c>
      <c r="GA55" s="28">
        <f>SUMPRODUCT(INDEX(PortfolioRef[[SPY]:[PE]],MATCH(GA$1,PortfolioRef[Reference '#]),0),AssetMonthlyReturns[[#This Row],[SPY]:[PE]])</f>
        <v>2.5670657305281865E-2</v>
      </c>
      <c r="GB55" s="27">
        <f>IF(ISNUMBER(GB54),GB54*(1+PortfolioFrontier[[#This Row],[P46 Return]]),1+PortfolioFrontier[[#This Row],[P46 Return]])</f>
        <v>1.4480047001392131</v>
      </c>
      <c r="GC55" s="27">
        <f>MAX(GC54,PortfolioFrontier[[#This Row],[P46 Growth]])</f>
        <v>1.4480047001392131</v>
      </c>
      <c r="GD55" s="27">
        <f>PortfolioFrontier[[#This Row],[P46 Growth]]/PortfolioFrontier[[#This Row],[P46 HWM]]-1</f>
        <v>0</v>
      </c>
      <c r="GE55" s="28">
        <f>SUMPRODUCT(INDEX(PortfolioRef[[SPY]:[PE]],MATCH(GE$1,PortfolioRef[Reference '#]),0),AssetMonthlyReturns[[#This Row],[SPY]:[PE]])</f>
        <v>2.6680778685320431E-2</v>
      </c>
      <c r="GF55" s="27">
        <f>IF(ISNUMBER(GF54),GF54*(1+PortfolioFrontier[[#This Row],[P47 Return]]),1+PortfolioFrontier[[#This Row],[P47 Return]])</f>
        <v>1.4397273884698183</v>
      </c>
      <c r="GG55" s="27">
        <f>MAX(GG54,PortfolioFrontier[[#This Row],[P47 Growth]])</f>
        <v>1.4397273884698183</v>
      </c>
      <c r="GH55" s="27">
        <f>PortfolioFrontier[[#This Row],[P47 Growth]]/PortfolioFrontier[[#This Row],[P47 HWM]]-1</f>
        <v>0</v>
      </c>
      <c r="GI55" s="28">
        <f>SUMPRODUCT(INDEX(PortfolioRef[[SPY]:[PE]],MATCH(GI$1,PortfolioRef[Reference '#]),0),AssetMonthlyReturns[[#This Row],[SPY]:[PE]])</f>
        <v>2.7690900065358993E-2</v>
      </c>
      <c r="GJ55" s="27">
        <f>IF(ISNUMBER(GJ54),GJ54*(1+PortfolioFrontier[[#This Row],[P48 Return]]),1+PortfolioFrontier[[#This Row],[P48 Return]])</f>
        <v>1.4310234264373554</v>
      </c>
      <c r="GK55" s="27">
        <f>MAX(GK54,PortfolioFrontier[[#This Row],[P48 Growth]])</f>
        <v>1.4310234264373554</v>
      </c>
      <c r="GL55" s="27">
        <f>PortfolioFrontier[[#This Row],[P48 Growth]]/PortfolioFrontier[[#This Row],[P48 HWM]]-1</f>
        <v>0</v>
      </c>
      <c r="GM55" s="28">
        <f>SUMPRODUCT(INDEX(PortfolioRef[[SPY]:[PE]],MATCH(GM$1,PortfolioRef[Reference '#]),0),AssetMonthlyReturns[[#This Row],[SPY]:[PE]])</f>
        <v>2.6053599709051755E-2</v>
      </c>
      <c r="GN55" s="27">
        <f>IF(ISNUMBER(GN54),GN54*(1+PortfolioFrontier[[#This Row],[P49 Return]]),1+PortfolioFrontier[[#This Row],[P49 Return]])</f>
        <v>1.4307809179758395</v>
      </c>
      <c r="GO55" s="27">
        <f>MAX(GO54,PortfolioFrontier[[#This Row],[P49 Growth]])</f>
        <v>1.4307809179758395</v>
      </c>
      <c r="GP55" s="27">
        <f>PortfolioFrontier[[#This Row],[P49 Growth]]/PortfolioFrontier[[#This Row],[P49 HWM]]-1</f>
        <v>0</v>
      </c>
      <c r="GQ55" s="28">
        <f>SUMPRODUCT(INDEX(PortfolioRef[[SPY]:[PE]],MATCH(GQ$1,PortfolioRef[Reference '#]),0),AssetMonthlyReturns[[#This Row],[SPY]:[PE]])</f>
        <v>2.7063721089090321E-2</v>
      </c>
      <c r="GR55" s="27">
        <f>IF(ISNUMBER(GR54),GR54*(1+PortfolioFrontier[[#This Row],[P50 Return]]),1+PortfolioFrontier[[#This Row],[P50 Return]])</f>
        <v>1.4229472678064312</v>
      </c>
      <c r="GS55" s="27">
        <f>MAX(GS54,PortfolioFrontier[[#This Row],[P50 Growth]])</f>
        <v>1.4229472678064312</v>
      </c>
      <c r="GT55" s="27">
        <f>PortfolioFrontier[[#This Row],[P50 Growth]]/PortfolioFrontier[[#This Row],[P50 HWM]]-1</f>
        <v>0</v>
      </c>
      <c r="GU55" s="28">
        <f>SUMPRODUCT(INDEX(PortfolioRef[[SPY]:[PE]],MATCH(GU$1,PortfolioRef[Reference '#]),0),AssetMonthlyReturns[[#This Row],[SPY]:[PE]])</f>
        <v>2.8073842469128883E-2</v>
      </c>
      <c r="GV55" s="27">
        <f>IF(ISNUMBER(GV54),GV54*(1+PortfolioFrontier[[#This Row],[P51 Return]]),1+PortfolioFrontier[[#This Row],[P51 Return]])</f>
        <v>1.4146839847125505</v>
      </c>
      <c r="GW55" s="27">
        <f>MAX(GW54,PortfolioFrontier[[#This Row],[P51 Growth]])</f>
        <v>1.4146839847125505</v>
      </c>
      <c r="GX55" s="27">
        <f>PortfolioFrontier[[#This Row],[P51 Growth]]/PortfolioFrontier[[#This Row],[P51 HWM]]-1</f>
        <v>0</v>
      </c>
      <c r="GY55" s="28">
        <f>SUMPRODUCT(INDEX(PortfolioRef[[SPY]:[PE]],MATCH(GY$1,PortfolioRef[Reference '#]),0),AssetMonthlyReturns[[#This Row],[SPY]:[PE]])</f>
        <v>2.5912939802026819E-2</v>
      </c>
      <c r="GZ55" s="27">
        <f>IF(ISNUMBER(GZ54),GZ54*(1+PortfolioFrontier[[#This Row],[P52 Return]]),1+PortfolioFrontier[[#This Row],[P52 Return]])</f>
        <v>1.4653875517236452</v>
      </c>
      <c r="HA55" s="27">
        <f>MAX(HA54,PortfolioFrontier[[#This Row],[P52 Growth]])</f>
        <v>1.4653875517236452</v>
      </c>
      <c r="HB55" s="27">
        <f>PortfolioFrontier[[#This Row],[P52 Growth]]/PortfolioFrontier[[#This Row],[P52 HWM]]-1</f>
        <v>0</v>
      </c>
      <c r="HC55" s="28">
        <f>SUMPRODUCT(INDEX(PortfolioRef[[SPY]:[PE]],MATCH(HC$1,PortfolioRef[Reference '#]),0),AssetMonthlyReturns[[#This Row],[SPY]:[PE]])</f>
        <v>2.6923061182065385E-2</v>
      </c>
      <c r="HD55" s="27">
        <f>IF(ISNUMBER(HD54),HD54*(1+PortfolioFrontier[[#This Row],[P53 Return]]),1+PortfolioFrontier[[#This Row],[P53 Return]])</f>
        <v>1.4570613485509663</v>
      </c>
      <c r="HE55" s="27">
        <f>MAX(HE54,PortfolioFrontier[[#This Row],[P53 Growth]])</f>
        <v>1.4570613485509663</v>
      </c>
      <c r="HF55" s="27">
        <f>PortfolioFrontier[[#This Row],[P53 Growth]]/PortfolioFrontier[[#This Row],[P53 HWM]]-1</f>
        <v>0</v>
      </c>
      <c r="HG55" s="28">
        <f>SUMPRODUCT(INDEX(PortfolioRef[[SPY]:[PE]],MATCH(HG$1,PortfolioRef[Reference '#]),0),AssetMonthlyReturns[[#This Row],[SPY]:[PE]])</f>
        <v>2.7933182562103948E-2</v>
      </c>
      <c r="HH55" s="27">
        <f>IF(ISNUMBER(HH54),HH54*(1+PortfolioFrontier[[#This Row],[P54 Return]]),1+PortfolioFrontier[[#This Row],[P54 Return]])</f>
        <v>1.4483030788515188</v>
      </c>
      <c r="HI55" s="27">
        <f>MAX(HI54,PortfolioFrontier[[#This Row],[P54 Growth]])</f>
        <v>1.4483030788515188</v>
      </c>
      <c r="HJ55" s="27">
        <f>PortfolioFrontier[[#This Row],[P54 Growth]]/PortfolioFrontier[[#This Row],[P54 HWM]]-1</f>
        <v>0</v>
      </c>
      <c r="HK55" s="28">
        <f>SUMPRODUCT(INDEX(PortfolioRef[[SPY]:[PE]],MATCH(HK$1,PortfolioRef[Reference '#]),0),AssetMonthlyReturns[[#This Row],[SPY]:[PE]])</f>
        <v>2.6295882205796706E-2</v>
      </c>
      <c r="HL55" s="27">
        <f>IF(ISNUMBER(HL54),HL54*(1+PortfolioFrontier[[#This Row],[P55 Return]]),1+PortfolioFrontier[[#This Row],[P55 Return]])</f>
        <v>1.448115622201694</v>
      </c>
      <c r="HM55" s="27">
        <f>MAX(HM54,PortfolioFrontier[[#This Row],[P55 Growth]])</f>
        <v>1.448115622201694</v>
      </c>
      <c r="HN55" s="27">
        <f>PortfolioFrontier[[#This Row],[P55 Growth]]/PortfolioFrontier[[#This Row],[P55 HWM]]-1</f>
        <v>0</v>
      </c>
      <c r="HO55" s="28">
        <f>SUMPRODUCT(INDEX(PortfolioRef[[SPY]:[PE]],MATCH(HO$1,PortfolioRef[Reference '#]),0),AssetMonthlyReturns[[#This Row],[SPY]:[PE]])</f>
        <v>2.7306003585835271E-2</v>
      </c>
      <c r="HP55" s="27">
        <f>IF(ISNUMBER(HP54),HP54*(1+PortfolioFrontier[[#This Row],[P56 Return]]),1+PortfolioFrontier[[#This Row],[P56 Return]])</f>
        <v>1.4402369214125539</v>
      </c>
      <c r="HQ55" s="27">
        <f>MAX(HQ54,PortfolioFrontier[[#This Row],[P56 Growth]])</f>
        <v>1.4402369214125539</v>
      </c>
      <c r="HR55" s="27">
        <f>PortfolioFrontier[[#This Row],[P56 Growth]]/PortfolioFrontier[[#This Row],[P56 HWM]]-1</f>
        <v>0</v>
      </c>
      <c r="HS55" s="28">
        <f>SUMPRODUCT(INDEX(PortfolioRef[[SPY]:[PE]],MATCH(HS$1,PortfolioRef[Reference '#]),0),AssetMonthlyReturns[[#This Row],[SPY]:[PE]])</f>
        <v>2.8316124965873837E-2</v>
      </c>
      <c r="HT55" s="27">
        <f>IF(ISNUMBER(HT54),HT54*(1+PortfolioFrontier[[#This Row],[P57 Return]]),1+PortfolioFrontier[[#This Row],[P57 Return]])</f>
        <v>1.4319231187362127</v>
      </c>
      <c r="HU55" s="27">
        <f>MAX(HU54,PortfolioFrontier[[#This Row],[P57 Growth]])</f>
        <v>1.4319231187362127</v>
      </c>
      <c r="HV55" s="27">
        <f>PortfolioFrontier[[#This Row],[P57 Growth]]/PortfolioFrontier[[#This Row],[P57 HWM]]-1</f>
        <v>0</v>
      </c>
      <c r="HW55" s="28">
        <f>SUMPRODUCT(INDEX(PortfolioRef[[SPY]:[PE]],MATCH(HW$1,PortfolioRef[Reference '#]),0),AssetMonthlyReturns[[#This Row],[SPY]:[PE]])</f>
        <v>2.6678824609566595E-2</v>
      </c>
      <c r="HX55" s="27">
        <f>IF(ISNUMBER(HX54),HX54*(1+PortfolioFrontier[[#This Row],[P58 Return]]),1+PortfolioFrontier[[#This Row],[P58 Return]])</f>
        <v>1.4305109650682046</v>
      </c>
      <c r="HY55" s="27">
        <f>MAX(HY54,PortfolioFrontier[[#This Row],[P58 Growth]])</f>
        <v>1.4305109650682046</v>
      </c>
      <c r="HZ55" s="27">
        <f>PortfolioFrontier[[#This Row],[P58 Growth]]/PortfolioFrontier[[#This Row],[P58 HWM]]-1</f>
        <v>0</v>
      </c>
      <c r="IA55" s="28">
        <f>SUMPRODUCT(INDEX(PortfolioRef[[SPY]:[PE]],MATCH(IA$1,PortfolioRef[Reference '#]),0),AssetMonthlyReturns[[#This Row],[SPY]:[PE]])</f>
        <v>2.7688945989605161E-2</v>
      </c>
      <c r="IB55" s="27">
        <f>IF(ISNUMBER(IB54),IB54*(1+PortfolioFrontier[[#This Row],[P59 Return]]),1+PortfolioFrontier[[#This Row],[P59 Return]])</f>
        <v>1.4230772969773542</v>
      </c>
      <c r="IC55" s="27">
        <f>MAX(IC54,PortfolioFrontier[[#This Row],[P59 Growth]])</f>
        <v>1.4230772969773542</v>
      </c>
      <c r="ID55" s="27">
        <f>PortfolioFrontier[[#This Row],[P59 Growth]]/PortfolioFrontier[[#This Row],[P59 HWM]]-1</f>
        <v>0</v>
      </c>
      <c r="IE55" s="28">
        <f>SUMPRODUCT(INDEX(PortfolioRef[[SPY]:[PE]],MATCH(IE$1,PortfolioRef[Reference '#]),0),AssetMonthlyReturns[[#This Row],[SPY]:[PE]])</f>
        <v>2.8699067369643727E-2</v>
      </c>
      <c r="IF55" s="27">
        <f>IF(ISNUMBER(IF54),IF54*(1+PortfolioFrontier[[#This Row],[P60 Return]]),1+PortfolioFrontier[[#This Row],[P60 Return]])</f>
        <v>1.4152057527783501</v>
      </c>
      <c r="IG55" s="27">
        <f>MAX(IG54,PortfolioFrontier[[#This Row],[P60 Growth]])</f>
        <v>1.4152057527783501</v>
      </c>
      <c r="IH55" s="27">
        <f>PortfolioFrontier[[#This Row],[P60 Growth]]/PortfolioFrontier[[#This Row],[P60 HWM]]-1</f>
        <v>0</v>
      </c>
      <c r="II55" s="28">
        <f>SUMPRODUCT(INDEX(PortfolioRef[[SPY]:[PE]],MATCH(II$1,PortfolioRef[Reference '#]),0),AssetMonthlyReturns[[#This Row],[SPY]:[PE]])</f>
        <v>2.0284562005498739E-2</v>
      </c>
      <c r="IJ55" s="27">
        <f>IF(ISNUMBER(IJ54),IJ54*(1+PortfolioFrontier[[#This Row],[P61 Return]]),1+PortfolioFrontier[[#This Row],[P61 Return]])</f>
        <v>1.3979029490621369</v>
      </c>
      <c r="IK55" s="27">
        <f>MAX(IK54,PortfolioFrontier[[#This Row],[P61 Growth]])</f>
        <v>1.3979029490621369</v>
      </c>
      <c r="IL55" s="27">
        <f>PortfolioFrontier[[#This Row],[P61 Growth]]/PortfolioFrontier[[#This Row],[P61 HWM]]-1</f>
        <v>0</v>
      </c>
      <c r="IM55" s="28">
        <f>SUMPRODUCT(INDEX(PortfolioRef[[SPY]:[PE]],MATCH(IM$1,PortfolioRef[Reference '#]),0),AssetMonthlyReturns[[#This Row],[SPY]:[PE]])</f>
        <v>2.0526844502243694E-2</v>
      </c>
      <c r="IN55" s="27">
        <f>IF(ISNUMBER(IN54),IN54*(1+PortfolioFrontier[[#This Row],[P62 Return]]),1+PortfolioFrontier[[#This Row],[P62 Return]])</f>
        <v>1.4149369808113292</v>
      </c>
      <c r="IO55" s="27">
        <f>MAX(IO54,PortfolioFrontier[[#This Row],[P62 Growth]])</f>
        <v>1.4149369808113292</v>
      </c>
      <c r="IP55" s="27">
        <f>PortfolioFrontier[[#This Row],[P62 Growth]]/PortfolioFrontier[[#This Row],[P62 HWM]]-1</f>
        <v>0</v>
      </c>
      <c r="IQ55" s="28">
        <f>SUMPRODUCT(INDEX(PortfolioRef[[SPY]:[PE]],MATCH(IQ$1,PortfolioRef[Reference '#]),0),AssetMonthlyReturns[[#This Row],[SPY]:[PE]])</f>
        <v>2.0909786906013583E-2</v>
      </c>
      <c r="IR55" s="27">
        <f>IF(ISNUMBER(IR54),IR54*(1+PortfolioFrontier[[#This Row],[P63 Return]]),1+PortfolioFrontier[[#This Row],[P63 Return]])</f>
        <v>1.3990899920175692</v>
      </c>
      <c r="IS55" s="27">
        <f>MAX(IS54,PortfolioFrontier[[#This Row],[P63 Growth]])</f>
        <v>1.3990899920175692</v>
      </c>
      <c r="IT55" s="27">
        <f>PortfolioFrontier[[#This Row],[P63 Growth]]/PortfolioFrontier[[#This Row],[P63 HWM]]-1</f>
        <v>0</v>
      </c>
      <c r="IU55" s="28">
        <f>SUMPRODUCT(INDEX(PortfolioRef[[SPY]:[PE]],MATCH(IU$1,PortfolioRef[Reference '#]),0),AssetMonthlyReturns[[#This Row],[SPY]:[PE]])</f>
        <v>2.1919908286052149E-2</v>
      </c>
      <c r="IV55" s="27">
        <f>IF(ISNUMBER(IV54),IV54*(1+PortfolioFrontier[[#This Row],[P64 Return]]),1+PortfolioFrontier[[#This Row],[P64 Return]])</f>
        <v>1.3904342039652706</v>
      </c>
      <c r="IW55" s="27">
        <f>MAX(IW54,PortfolioFrontier[[#This Row],[P64 Growth]])</f>
        <v>1.3904342039652706</v>
      </c>
      <c r="IX55" s="27">
        <f>PortfolioFrontier[[#This Row],[P64 Growth]]/PortfolioFrontier[[#This Row],[P64 HWM]]-1</f>
        <v>0</v>
      </c>
      <c r="IY55" s="28">
        <f>SUMPRODUCT(INDEX(PortfolioRef[[SPY]:[PE]],MATCH(IY$1,PortfolioRef[Reference '#]),0),AssetMonthlyReturns[[#This Row],[SPY]:[PE]])</f>
        <v>2.0769126998988648E-2</v>
      </c>
      <c r="IZ55" s="27">
        <f>IF(ISNUMBER(IZ54),IZ54*(1+PortfolioFrontier[[#This Row],[P65 Return]]),1+PortfolioFrontier[[#This Row],[P65 Return]])</f>
        <v>1.4319950429411292</v>
      </c>
      <c r="JA55" s="27">
        <f>MAX(JA54,PortfolioFrontier[[#This Row],[P65 Growth]])</f>
        <v>1.4319950429411292</v>
      </c>
      <c r="JB55" s="27">
        <f>PortfolioFrontier[[#This Row],[P65 Growth]]/PortfolioFrontier[[#This Row],[P65 HWM]]-1</f>
        <v>0</v>
      </c>
      <c r="JC55" s="28">
        <f>SUMPRODUCT(INDEX(PortfolioRef[[SPY]:[PE]],MATCH(JC$1,PortfolioRef[Reference '#]),0),AssetMonthlyReturns[[#This Row],[SPY]:[PE]])</f>
        <v>2.1152069402758534E-2</v>
      </c>
      <c r="JD55" s="27">
        <f>IF(ISNUMBER(JD54),JD54*(1+PortfolioFrontier[[#This Row],[P66 Return]]),1+PortfolioFrontier[[#This Row],[P66 Return]])</f>
        <v>1.4161120891304451</v>
      </c>
      <c r="JE55" s="27">
        <f>MAX(JE54,PortfolioFrontier[[#This Row],[P66 Growth]])</f>
        <v>1.4161120891304451</v>
      </c>
      <c r="JF55" s="27">
        <f>PortfolioFrontier[[#This Row],[P66 Growth]]/PortfolioFrontier[[#This Row],[P66 HWM]]-1</f>
        <v>0</v>
      </c>
      <c r="JG55" s="28">
        <f>SUMPRODUCT(INDEX(PortfolioRef[[SPY]:[PE]],MATCH(JG$1,PortfolioRef[Reference '#]),0),AssetMonthlyReturns[[#This Row],[SPY]:[PE]])</f>
        <v>2.21621907827971E-2</v>
      </c>
      <c r="JH55" s="27">
        <f>IF(ISNUMBER(JH54),JH54*(1+PortfolioFrontier[[#This Row],[P67 Return]]),1+PortfolioFrontier[[#This Row],[P67 Return]])</f>
        <v>1.4074006357318996</v>
      </c>
      <c r="JI55" s="27">
        <f>MAX(JI54,PortfolioFrontier[[#This Row],[P67 Growth]])</f>
        <v>1.4074006357318996</v>
      </c>
      <c r="JJ55" s="27">
        <f>PortfolioFrontier[[#This Row],[P67 Growth]]/PortfolioFrontier[[#This Row],[P67 HWM]]-1</f>
        <v>0</v>
      </c>
      <c r="JK55" s="28">
        <f>SUMPRODUCT(INDEX(PortfolioRef[[SPY]:[PE]],MATCH(JK$1,PortfolioRef[Reference '#]),0),AssetMonthlyReturns[[#This Row],[SPY]:[PE]])</f>
        <v>2.1535011806528424E-2</v>
      </c>
      <c r="JL55" s="27">
        <f>IF(ISNUMBER(JL54),JL54*(1+PortfolioFrontier[[#This Row],[P68 Return]]),1+PortfolioFrontier[[#This Row],[P68 Return]])</f>
        <v>1.3998908761397537</v>
      </c>
      <c r="JM55" s="27">
        <f>MAX(JM54,PortfolioFrontier[[#This Row],[P68 Growth]])</f>
        <v>1.3998908761397537</v>
      </c>
      <c r="JN55" s="27">
        <f>PortfolioFrontier[[#This Row],[P68 Growth]]/PortfolioFrontier[[#This Row],[P68 HWM]]-1</f>
        <v>0</v>
      </c>
      <c r="JO55" s="28">
        <f>SUMPRODUCT(INDEX(PortfolioRef[[SPY]:[PE]],MATCH(JO$1,PortfolioRef[Reference '#]),0),AssetMonthlyReturns[[#This Row],[SPY]:[PE]])</f>
        <v>2.2545133186566989E-2</v>
      </c>
      <c r="JP55" s="27">
        <f>IF(ISNUMBER(JP54),JP54*(1+PortfolioFrontier[[#This Row],[P69 Return]]),1+PortfolioFrontier[[#This Row],[P69 Return]])</f>
        <v>1.3916105748494492</v>
      </c>
      <c r="JQ55" s="27">
        <f>MAX(JQ54,PortfolioFrontier[[#This Row],[P69 Growth]])</f>
        <v>1.3916105748494492</v>
      </c>
      <c r="JR55" s="27">
        <f>PortfolioFrontier[[#This Row],[P69 Growth]]/PortfolioFrontier[[#This Row],[P69 HWM]]-1</f>
        <v>0</v>
      </c>
      <c r="JS55" s="28">
        <f>SUMPRODUCT(INDEX(PortfolioRef[[SPY]:[PE]],MATCH(JS$1,PortfolioRef[Reference '#]),0),AssetMonthlyReturns[[#This Row],[SPY]:[PE]])</f>
        <v>2.3555254566605552E-2</v>
      </c>
      <c r="JT55" s="27">
        <f>IF(ISNUMBER(JT54),JT54*(1+PortfolioFrontier[[#This Row],[P70 Return]]),1+PortfolioFrontier[[#This Row],[P70 Return]])</f>
        <v>1.3829229524168012</v>
      </c>
      <c r="JU55" s="27">
        <f>MAX(JU54,PortfolioFrontier[[#This Row],[P70 Growth]])</f>
        <v>1.3829229524168012</v>
      </c>
      <c r="JV55" s="27">
        <f>PortfolioFrontier[[#This Row],[P70 Growth]]/PortfolioFrontier[[#This Row],[P70 HWM]]-1</f>
        <v>0</v>
      </c>
      <c r="JW55" s="28">
        <f>SUMPRODUCT(INDEX(PortfolioRef[[SPY]:[PE]],MATCH(JW$1,PortfolioRef[Reference '#]),0),AssetMonthlyReturns[[#This Row],[SPY]:[PE]])</f>
        <v>2.1394351899503491E-2</v>
      </c>
      <c r="JX55" s="27">
        <f>IF(ISNUMBER(JX54),JX54*(1+PortfolioFrontier[[#This Row],[P71 Return]]),1+PortfolioFrontier[[#This Row],[P71 Return]])</f>
        <v>1.4331578586062355</v>
      </c>
      <c r="JY55" s="27">
        <f>MAX(JY54,PortfolioFrontier[[#This Row],[P71 Growth]])</f>
        <v>1.4331578586062355</v>
      </c>
      <c r="JZ55" s="27">
        <f>PortfolioFrontier[[#This Row],[P71 Growth]]/PortfolioFrontier[[#This Row],[P71 HWM]]-1</f>
        <v>0</v>
      </c>
      <c r="KA55" s="28">
        <f>SUMPRODUCT(INDEX(PortfolioRef[[SPY]:[PE]],MATCH(KA$1,PortfolioRef[Reference '#]),0),AssetMonthlyReturns[[#This Row],[SPY]:[PE]])</f>
        <v>2.2404473279542057E-2</v>
      </c>
      <c r="KB55" s="27">
        <f>IF(ISNUMBER(KB54),KB54*(1+PortfolioFrontier[[#This Row],[P72 Return]]),1+PortfolioFrontier[[#This Row],[P72 Return]])</f>
        <v>1.4243915037022443</v>
      </c>
      <c r="KC55" s="27">
        <f>MAX(KC54,PortfolioFrontier[[#This Row],[P72 Growth]])</f>
        <v>1.4243915037022443</v>
      </c>
      <c r="KD55" s="27">
        <f>PortfolioFrontier[[#This Row],[P72 Growth]]/PortfolioFrontier[[#This Row],[P72 HWM]]-1</f>
        <v>0</v>
      </c>
      <c r="KE55" s="28">
        <f>SUMPRODUCT(INDEX(PortfolioRef[[SPY]:[PE]],MATCH(KE$1,PortfolioRef[Reference '#]),0),AssetMonthlyReturns[[#This Row],[SPY]:[PE]])</f>
        <v>2.1777294303273378E-2</v>
      </c>
      <c r="KF55" s="27">
        <f>IF(ISNUMBER(KF54),KF54*(1+PortfolioFrontier[[#This Row],[P73 Return]]),1+PortfolioFrontier[[#This Row],[P73 Return]])</f>
        <v>1.4168966238597704</v>
      </c>
      <c r="KG55" s="27">
        <f>MAX(KG54,PortfolioFrontier[[#This Row],[P73 Growth]])</f>
        <v>1.4168966238597704</v>
      </c>
      <c r="KH55" s="27">
        <f>PortfolioFrontier[[#This Row],[P73 Growth]]/PortfolioFrontier[[#This Row],[P73 HWM]]-1</f>
        <v>0</v>
      </c>
      <c r="KI55" s="28">
        <f>SUMPRODUCT(INDEX(PortfolioRef[[SPY]:[PE]],MATCH(KI$1,PortfolioRef[Reference '#]),0),AssetMonthlyReturns[[#This Row],[SPY]:[PE]])</f>
        <v>2.2787415683311944E-2</v>
      </c>
      <c r="KJ55" s="27">
        <f>IF(ISNUMBER(KJ54),KJ54*(1+PortfolioFrontier[[#This Row],[P74 Return]]),1+PortfolioFrontier[[#This Row],[P74 Return]])</f>
        <v>1.4085651083908624</v>
      </c>
      <c r="KK55" s="27">
        <f>MAX(KK54,PortfolioFrontier[[#This Row],[P74 Growth]])</f>
        <v>1.4085651083908624</v>
      </c>
      <c r="KL55" s="27">
        <f>PortfolioFrontier[[#This Row],[P74 Growth]]/PortfolioFrontier[[#This Row],[P74 HWM]]-1</f>
        <v>0</v>
      </c>
      <c r="KM55" s="28">
        <f>SUMPRODUCT(INDEX(PortfolioRef[[SPY]:[PE]],MATCH(KM$1,PortfolioRef[Reference '#]),0),AssetMonthlyReturns[[#This Row],[SPY]:[PE]])</f>
        <v>2.3797537063350506E-2</v>
      </c>
      <c r="KN55" s="27">
        <f>IF(ISNUMBER(KN54),KN54*(1+PortfolioFrontier[[#This Row],[P75 Return]]),1+PortfolioFrontier[[#This Row],[P75 Return]])</f>
        <v>1.3998210179783752</v>
      </c>
      <c r="KO55" s="27">
        <f>MAX(KO54,PortfolioFrontier[[#This Row],[P75 Growth]])</f>
        <v>1.3998210179783752</v>
      </c>
      <c r="KP55" s="27">
        <f>PortfolioFrontier[[#This Row],[P75 Growth]]/PortfolioFrontier[[#This Row],[P75 HWM]]-1</f>
        <v>0</v>
      </c>
      <c r="KQ55" s="28">
        <f>SUMPRODUCT(INDEX(PortfolioRef[[SPY]:[PE]],MATCH(KQ$1,PortfolioRef[Reference '#]),0),AssetMonthlyReturns[[#This Row],[SPY]:[PE]])</f>
        <v>2.2160236707043268E-2</v>
      </c>
      <c r="KR55" s="27">
        <f>IF(ISNUMBER(KR54),KR54*(1+PortfolioFrontier[[#This Row],[P76 Return]]),1+PortfolioFrontier[[#This Row],[P76 Return]])</f>
        <v>1.4003015260821514</v>
      </c>
      <c r="KS55" s="27">
        <f>MAX(KS54,PortfolioFrontier[[#This Row],[P76 Growth]])</f>
        <v>1.4003015260821514</v>
      </c>
      <c r="KT55" s="27">
        <f>PortfolioFrontier[[#This Row],[P76 Growth]]/PortfolioFrontier[[#This Row],[P76 HWM]]-1</f>
        <v>0</v>
      </c>
      <c r="KU55" s="28">
        <f>SUMPRODUCT(INDEX(PortfolioRef[[SPY]:[PE]],MATCH(KU$1,PortfolioRef[Reference '#]),0),AssetMonthlyReturns[[#This Row],[SPY]:[PE]])</f>
        <v>2.3170358087081833E-2</v>
      </c>
      <c r="KV55" s="27">
        <f>IF(ISNUMBER(KV54),KV54*(1+PortfolioFrontier[[#This Row],[P77 Return]]),1+PortfolioFrontier[[#This Row],[P77 Return]])</f>
        <v>1.3924028479263622</v>
      </c>
      <c r="KW55" s="27">
        <f>MAX(KW54,PortfolioFrontier[[#This Row],[P77 Growth]])</f>
        <v>1.3924028479263622</v>
      </c>
      <c r="KX55" s="27">
        <f>PortfolioFrontier[[#This Row],[P77 Growth]]/PortfolioFrontier[[#This Row],[P77 HWM]]-1</f>
        <v>0</v>
      </c>
      <c r="KY55" s="28">
        <f>SUMPRODUCT(INDEX(PortfolioRef[[SPY]:[PE]],MATCH(KY$1,PortfolioRef[Reference '#]),0),AssetMonthlyReturns[[#This Row],[SPY]:[PE]])</f>
        <v>2.4180479467120396E-2</v>
      </c>
      <c r="KZ55" s="27">
        <f>IF(ISNUMBER(KZ54),KZ54*(1+PortfolioFrontier[[#This Row],[P78 Return]]),1+PortfolioFrontier[[#This Row],[P78 Return]])</f>
        <v>1.3840885559085636</v>
      </c>
      <c r="LA55" s="27">
        <f>MAX(LA54,PortfolioFrontier[[#This Row],[P78 Growth]])</f>
        <v>1.3840885559085636</v>
      </c>
      <c r="LB55" s="27">
        <f>PortfolioFrontier[[#This Row],[P78 Growth]]/PortfolioFrontier[[#This Row],[P78 HWM]]-1</f>
        <v>0</v>
      </c>
      <c r="LC55" s="28">
        <f>SUMPRODUCT(INDEX(PortfolioRef[[SPY]:[PE]],MATCH(LC$1,PortfolioRef[Reference '#]),0),AssetMonthlyReturns[[#This Row],[SPY]:[PE]])</f>
        <v>2.2019576800018335E-2</v>
      </c>
      <c r="LD55" s="27">
        <f>IF(ISNUMBER(LD54),LD54*(1+PortfolioFrontier[[#This Row],[P79 Return]]),1+PortfolioFrontier[[#This Row],[P79 Return]])</f>
        <v>1.4339256843334383</v>
      </c>
      <c r="LE55" s="27">
        <f>MAX(LE54,PortfolioFrontier[[#This Row],[P79 Growth]])</f>
        <v>1.4339256843334383</v>
      </c>
      <c r="LF55" s="27">
        <f>PortfolioFrontier[[#This Row],[P79 Growth]]/PortfolioFrontier[[#This Row],[P79 HWM]]-1</f>
        <v>0</v>
      </c>
      <c r="LG55" s="28">
        <f>SUMPRODUCT(INDEX(PortfolioRef[[SPY]:[PE]],MATCH(LG$1,PortfolioRef[Reference '#]),0),AssetMonthlyReturns[[#This Row],[SPY]:[PE]])</f>
        <v>2.3029698180056901E-2</v>
      </c>
      <c r="LH55" s="27">
        <f>IF(ISNUMBER(LH54),LH54*(1+PortfolioFrontier[[#This Row],[P80 Return]]),1+PortfolioFrontier[[#This Row],[P80 Return]])</f>
        <v>1.4255437216719848</v>
      </c>
      <c r="LI55" s="27">
        <f>MAX(LI54,PortfolioFrontier[[#This Row],[P80 Growth]])</f>
        <v>1.4255437216719848</v>
      </c>
      <c r="LJ55" s="27">
        <f>PortfolioFrontier[[#This Row],[P80 Growth]]/PortfolioFrontier[[#This Row],[P80 HWM]]-1</f>
        <v>0</v>
      </c>
      <c r="LK55" s="28">
        <f>SUMPRODUCT(INDEX(PortfolioRef[[SPY]:[PE]],MATCH(LK$1,PortfolioRef[Reference '#]),0),AssetMonthlyReturns[[#This Row],[SPY]:[PE]])</f>
        <v>2.4039819560095467E-2</v>
      </c>
      <c r="LL55" s="27">
        <f>IF(ISNUMBER(LL54),LL54*(1+PortfolioFrontier[[#This Row],[P81 Return]]),1+PortfolioFrontier[[#This Row],[P81 Return]])</f>
        <v>1.4167439189225519</v>
      </c>
      <c r="LM55" s="27">
        <f>MAX(LM54,PortfolioFrontier[[#This Row],[P81 Growth]])</f>
        <v>1.4167439189225519</v>
      </c>
      <c r="LN55" s="27">
        <f>PortfolioFrontier[[#This Row],[P81 Growth]]/PortfolioFrontier[[#This Row],[P81 HWM]]-1</f>
        <v>0</v>
      </c>
      <c r="LO55" s="28">
        <f>SUMPRODUCT(INDEX(PortfolioRef[[SPY]:[PE]],MATCH(LO$1,PortfolioRef[Reference '#]),0),AssetMonthlyReturns[[#This Row],[SPY]:[PE]])</f>
        <v>2.2402519203788222E-2</v>
      </c>
      <c r="LP55" s="27">
        <f>IF(ISNUMBER(LP54),LP54*(1+PortfolioFrontier[[#This Row],[P82 Return]]),1+PortfolioFrontier[[#This Row],[P82 Return]])</f>
        <v>1.4172864827326623</v>
      </c>
      <c r="LQ55" s="27">
        <f>MAX(LQ54,PortfolioFrontier[[#This Row],[P82 Growth]])</f>
        <v>1.4172864827326623</v>
      </c>
      <c r="LR55" s="27">
        <f>PortfolioFrontier[[#This Row],[P82 Growth]]/PortfolioFrontier[[#This Row],[P82 HWM]]-1</f>
        <v>0</v>
      </c>
      <c r="LS55" s="28">
        <f>SUMPRODUCT(INDEX(PortfolioRef[[SPY]:[PE]],MATCH(LS$1,PortfolioRef[Reference '#]),0),AssetMonthlyReturns[[#This Row],[SPY]:[PE]])</f>
        <v>2.3412640583826787E-2</v>
      </c>
      <c r="LT55" s="27">
        <f>IF(ISNUMBER(LT54),LT54*(1+PortfolioFrontier[[#This Row],[P83 Return]]),1+PortfolioFrontier[[#This Row],[P83 Return]])</f>
        <v>1.40934108658198</v>
      </c>
      <c r="LU55" s="27">
        <f>MAX(LU54,PortfolioFrontier[[#This Row],[P83 Growth]])</f>
        <v>1.40934108658198</v>
      </c>
      <c r="LV55" s="27">
        <f>PortfolioFrontier[[#This Row],[P83 Growth]]/PortfolioFrontier[[#This Row],[P83 HWM]]-1</f>
        <v>0</v>
      </c>
      <c r="LW55" s="28">
        <f>SUMPRODUCT(INDEX(PortfolioRef[[SPY]:[PE]],MATCH(LW$1,PortfolioRef[Reference '#]),0),AssetMonthlyReturns[[#This Row],[SPY]:[PE]])</f>
        <v>2.442276196386535E-2</v>
      </c>
      <c r="LX55" s="27">
        <f>IF(ISNUMBER(LX54),LX54*(1+PortfolioFrontier[[#This Row],[P84 Return]]),1+PortfolioFrontier[[#This Row],[P84 Return]])</f>
        <v>1.4009747587909986</v>
      </c>
      <c r="LY55" s="27">
        <f>MAX(LY54,PortfolioFrontier[[#This Row],[P84 Growth]])</f>
        <v>1.4009747587909986</v>
      </c>
      <c r="LZ55" s="27">
        <f>PortfolioFrontier[[#This Row],[P84 Growth]]/PortfolioFrontier[[#This Row],[P84 HWM]]-1</f>
        <v>0</v>
      </c>
      <c r="MA55" s="28">
        <f>SUMPRODUCT(INDEX(PortfolioRef[[SPY]:[PE]],MATCH(MA$1,PortfolioRef[Reference '#]),0),AssetMonthlyReturns[[#This Row],[SPY]:[PE]])</f>
        <v>2.2785461607558111E-2</v>
      </c>
      <c r="MB55" s="27">
        <f>IF(ISNUMBER(MB54),MB54*(1+PortfolioFrontier[[#This Row],[P85 Return]]),1+PortfolioFrontier[[#This Row],[P85 Return]])</f>
        <v>1.4003180567819897</v>
      </c>
      <c r="MC55" s="27">
        <f>MAX(MC54,PortfolioFrontier[[#This Row],[P85 Growth]])</f>
        <v>1.4003180567819897</v>
      </c>
      <c r="MD55" s="27">
        <f>PortfolioFrontier[[#This Row],[P85 Growth]]/PortfolioFrontier[[#This Row],[P85 HWM]]-1</f>
        <v>0</v>
      </c>
      <c r="ME55" s="28">
        <f>SUMPRODUCT(INDEX(PortfolioRef[[SPY]:[PE]],MATCH(ME$1,PortfolioRef[Reference '#]),0),AssetMonthlyReturns[[#This Row],[SPY]:[PE]])</f>
        <v>2.3795582987596677E-2</v>
      </c>
      <c r="MF55" s="27">
        <f>IF(ISNUMBER(MF54),MF54*(1+PortfolioFrontier[[#This Row],[P86 Return]]),1+PortfolioFrontier[[#This Row],[P86 Return]])</f>
        <v>1.3928069788173143</v>
      </c>
      <c r="MG55" s="27">
        <f>MAX(MG54,PortfolioFrontier[[#This Row],[P86 Growth]])</f>
        <v>1.3928069788173143</v>
      </c>
      <c r="MH55" s="27">
        <f>PortfolioFrontier[[#This Row],[P86 Growth]]/PortfolioFrontier[[#This Row],[P86 HWM]]-1</f>
        <v>0</v>
      </c>
      <c r="MI55" s="28">
        <f>SUMPRODUCT(INDEX(PortfolioRef[[SPY]:[PE]],MATCH(MI$1,PortfolioRef[Reference '#]),0),AssetMonthlyReturns[[#This Row],[SPY]:[PE]])</f>
        <v>2.480570436763524E-2</v>
      </c>
      <c r="MJ55" s="27">
        <f>IF(ISNUMBER(MJ54),MJ54*(1+PortfolioFrontier[[#This Row],[P87 Return]]),1+PortfolioFrontier[[#This Row],[P87 Return]])</f>
        <v>1.3848721308662384</v>
      </c>
      <c r="MK55" s="27">
        <f>MAX(MK54,PortfolioFrontier[[#This Row],[P87 Growth]])</f>
        <v>1.3848721308662384</v>
      </c>
      <c r="ML55" s="27">
        <f>PortfolioFrontier[[#This Row],[P87 Growth]]/PortfolioFrontier[[#This Row],[P87 HWM]]-1</f>
        <v>0</v>
      </c>
      <c r="MM55" s="28">
        <f>SUMPRODUCT(INDEX(PortfolioRef[[SPY]:[PE]],MATCH(MM$1,PortfolioRef[Reference '#]),0),AssetMonthlyReturns[[#This Row],[SPY]:[PE]])</f>
        <v>2.2644801700533176E-2</v>
      </c>
      <c r="MN55" s="27">
        <f>IF(ISNUMBER(MN54),MN54*(1+PortfolioFrontier[[#This Row],[P88 Return]]),1+PortfolioFrontier[[#This Row],[P88 Return]])</f>
        <v>1.4342943911643034</v>
      </c>
      <c r="MO55" s="27">
        <f>MAX(MO54,PortfolioFrontier[[#This Row],[P88 Growth]])</f>
        <v>1.4342943911643034</v>
      </c>
      <c r="MP55" s="27">
        <f>PortfolioFrontier[[#This Row],[P88 Growth]]/PortfolioFrontier[[#This Row],[P88 HWM]]-1</f>
        <v>0</v>
      </c>
      <c r="MQ55" s="28">
        <f>SUMPRODUCT(INDEX(PortfolioRef[[SPY]:[PE]],MATCH(MQ$1,PortfolioRef[Reference '#]),0),AssetMonthlyReturns[[#This Row],[SPY]:[PE]])</f>
        <v>2.3654923080571742E-2</v>
      </c>
      <c r="MR55" s="27">
        <f>IF(ISNUMBER(MR54),MR54*(1+PortfolioFrontier[[#This Row],[P89 Return]]),1+PortfolioFrontier[[#This Row],[P89 Return]])</f>
        <v>1.4263030468049986</v>
      </c>
      <c r="MS55" s="27">
        <f>MAX(MS54,PortfolioFrontier[[#This Row],[P89 Growth]])</f>
        <v>1.4263030468049986</v>
      </c>
      <c r="MT55" s="27">
        <f>PortfolioFrontier[[#This Row],[P89 Growth]]/PortfolioFrontier[[#This Row],[P89 HWM]]-1</f>
        <v>0</v>
      </c>
      <c r="MU55" s="28">
        <f>SUMPRODUCT(INDEX(PortfolioRef[[SPY]:[PE]],MATCH(MU$1,PortfolioRef[Reference '#]),0),AssetMonthlyReturns[[#This Row],[SPY]:[PE]])</f>
        <v>2.4665044460610304E-2</v>
      </c>
      <c r="MV55" s="27">
        <f>IF(ISNUMBER(MV54),MV54*(1+PortfolioFrontier[[#This Row],[P90 Return]]),1+PortfolioFrontier[[#This Row],[P90 Return]])</f>
        <v>1.4178854421532396</v>
      </c>
      <c r="MW55" s="27">
        <f>MAX(MW54,PortfolioFrontier[[#This Row],[P90 Growth]])</f>
        <v>1.4178854421532396</v>
      </c>
      <c r="MX55" s="27">
        <f>PortfolioFrontier[[#This Row],[P90 Growth]]/PortfolioFrontier[[#This Row],[P90 HWM]]-1</f>
        <v>0</v>
      </c>
      <c r="MY55" s="28">
        <f>SUMPRODUCT(INDEX(PortfolioRef[[SPY]:[PE]],MATCH(MY$1,PortfolioRef[Reference '#]),0),AssetMonthlyReturns[[#This Row],[SPY]:[PE]])</f>
        <v>2.3027744104303062E-2</v>
      </c>
      <c r="MZ55" s="27">
        <f>IF(ISNUMBER(MZ54),MZ54*(1+PortfolioFrontier[[#This Row],[P91 Return]]),1+PortfolioFrontier[[#This Row],[P91 Return]])</f>
        <v>1.4172777559898164</v>
      </c>
      <c r="NA55" s="27">
        <f>MAX(NA54,PortfolioFrontier[[#This Row],[P91 Growth]])</f>
        <v>1.4172777559898164</v>
      </c>
      <c r="NB55" s="27">
        <f>PortfolioFrontier[[#This Row],[P91 Growth]]/PortfolioFrontier[[#This Row],[P91 HWM]]-1</f>
        <v>0</v>
      </c>
      <c r="NC55" s="28">
        <f>SUMPRODUCT(INDEX(PortfolioRef[[SPY]:[PE]],MATCH(NC$1,PortfolioRef[Reference '#]),0),AssetMonthlyReturns[[#This Row],[SPY]:[PE]])</f>
        <v>2.4037865484341628E-2</v>
      </c>
      <c r="ND55" s="27">
        <f>IF(ISNUMBER(ND54),ND54*(1+PortfolioFrontier[[#This Row],[P92 Return]]),1+PortfolioFrontier[[#This Row],[P92 Return]])</f>
        <v>1.4097244991899451</v>
      </c>
      <c r="NE55" s="27">
        <f>MAX(NE54,PortfolioFrontier[[#This Row],[P92 Growth]])</f>
        <v>1.4097244991899451</v>
      </c>
      <c r="NF55" s="27">
        <f>PortfolioFrontier[[#This Row],[P92 Growth]]/PortfolioFrontier[[#This Row],[P92 HWM]]-1</f>
        <v>0</v>
      </c>
      <c r="NG55" s="28">
        <f>SUMPRODUCT(INDEX(PortfolioRef[[SPY]:[PE]],MATCH(NG$1,PortfolioRef[Reference '#]),0),AssetMonthlyReturns[[#This Row],[SPY]:[PE]])</f>
        <v>2.5047986864380194E-2</v>
      </c>
      <c r="NH55" s="27">
        <f>IF(ISNUMBER(NH54),NH54*(1+PortfolioFrontier[[#This Row],[P93 Return]]),1+PortfolioFrontier[[#This Row],[P93 Return]])</f>
        <v>1.4017420926631547</v>
      </c>
      <c r="NI55" s="27">
        <f>MAX(NI54,PortfolioFrontier[[#This Row],[P93 Growth]])</f>
        <v>1.4017420926631547</v>
      </c>
      <c r="NJ55" s="27">
        <f>PortfolioFrontier[[#This Row],[P93 Growth]]/PortfolioFrontier[[#This Row],[P93 HWM]]-1</f>
        <v>0</v>
      </c>
      <c r="NK55" s="28">
        <f>SUMPRODUCT(INDEX(PortfolioRef[[SPY]:[PE]],MATCH(NK$1,PortfolioRef[Reference '#]),0),AssetMonthlyReturns[[#This Row],[SPY]:[PE]])</f>
        <v>2.3410686508072952E-2</v>
      </c>
      <c r="NL55" s="27">
        <f>IF(ISNUMBER(NL54),NL54*(1+PortfolioFrontier[[#This Row],[P94 Return]]),1+PortfolioFrontier[[#This Row],[P94 Return]])</f>
        <v>1.3999367789959658</v>
      </c>
      <c r="NM55" s="27">
        <f>MAX(NM54,PortfolioFrontier[[#This Row],[P94 Growth]])</f>
        <v>1.3999367789959658</v>
      </c>
      <c r="NN55" s="27">
        <f>PortfolioFrontier[[#This Row],[P94 Growth]]/PortfolioFrontier[[#This Row],[P94 HWM]]-1</f>
        <v>0</v>
      </c>
      <c r="NO55" s="28">
        <f>SUMPRODUCT(INDEX(PortfolioRef[[SPY]:[PE]],MATCH(NO$1,PortfolioRef[Reference '#]),0),AssetMonthlyReturns[[#This Row],[SPY]:[PE]])</f>
        <v>2.4420807888111518E-2</v>
      </c>
      <c r="NP55" s="27">
        <f>IF(ISNUMBER(NP54),NP54*(1+PortfolioFrontier[[#This Row],[P95 Return]]),1+PortfolioFrontier[[#This Row],[P95 Return]])</f>
        <v>1.392819112752107</v>
      </c>
      <c r="NQ55" s="27">
        <f>MAX(NQ54,PortfolioFrontier[[#This Row],[P95 Growth]])</f>
        <v>1.392819112752107</v>
      </c>
      <c r="NR55" s="27">
        <f>PortfolioFrontier[[#This Row],[P95 Growth]]/PortfolioFrontier[[#This Row],[P95 HWM]]-1</f>
        <v>0</v>
      </c>
      <c r="NS55" s="28">
        <f>SUMPRODUCT(INDEX(PortfolioRef[[SPY]:[PE]],MATCH(NS$1,PortfolioRef[Reference '#]),0),AssetMonthlyReturns[[#This Row],[SPY]:[PE]])</f>
        <v>2.5430929268150083E-2</v>
      </c>
      <c r="NT55" s="27">
        <f>IF(ISNUMBER(NT54),NT54*(1+PortfolioFrontier[[#This Row],[P96 Return]]),1+PortfolioFrontier[[#This Row],[P96 Return]])</f>
        <v>1.3852696639157855</v>
      </c>
      <c r="NU55" s="27">
        <f>MAX(NU54,PortfolioFrontier[[#This Row],[P96 Growth]])</f>
        <v>1.3852696639157855</v>
      </c>
      <c r="NV55" s="27">
        <f>PortfolioFrontier[[#This Row],[P96 Growth]]/PortfolioFrontier[[#This Row],[P96 HWM]]-1</f>
        <v>0</v>
      </c>
      <c r="NW55" s="28">
        <f>SUMPRODUCT(INDEX(PortfolioRef[[SPY]:[PE]],MATCH(NW$1,PortfolioRef[Reference '#]),0),AssetMonthlyReturns[[#This Row],[SPY]:[PE]])</f>
        <v>1.6391199003490252E-2</v>
      </c>
      <c r="NX55" s="27">
        <f>IF(ISNUMBER(NX54),NX54*(1+PortfolioFrontier[[#This Row],[P97 Return]]),1+PortfolioFrontier[[#This Row],[P97 Return]])</f>
        <v>1.3669395084475813</v>
      </c>
      <c r="NY55" s="27">
        <f>MAX(NY54,PortfolioFrontier[[#This Row],[P97 Growth]])</f>
        <v>1.3669395084475813</v>
      </c>
      <c r="NZ55" s="27">
        <f>PortfolioFrontier[[#This Row],[P97 Growth]]/PortfolioFrontier[[#This Row],[P97 HWM]]-1</f>
        <v>0</v>
      </c>
      <c r="OA55" s="28">
        <f>SUMPRODUCT(INDEX(PortfolioRef[[SPY]:[PE]],MATCH(OA$1,PortfolioRef[Reference '#]),0),AssetMonthlyReturns[[#This Row],[SPY]:[PE]])</f>
        <v>1.6633481500235209E-2</v>
      </c>
      <c r="OB55" s="27">
        <f>IF(ISNUMBER(OB54),OB54*(1+PortfolioFrontier[[#This Row],[P98 Return]]),1+PortfolioFrontier[[#This Row],[P98 Return]])</f>
        <v>1.3836167192263067</v>
      </c>
      <c r="OC55" s="27">
        <f>MAX(OC54,PortfolioFrontier[[#This Row],[P98 Growth]])</f>
        <v>1.3836167192263067</v>
      </c>
      <c r="OD55" s="27">
        <f>PortfolioFrontier[[#This Row],[P98 Growth]]/PortfolioFrontier[[#This Row],[P98 HWM]]-1</f>
        <v>0</v>
      </c>
      <c r="OE55" s="28">
        <f>SUMPRODUCT(INDEX(PortfolioRef[[SPY]:[PE]],MATCH(OE$1,PortfolioRef[Reference '#]),0),AssetMonthlyReturns[[#This Row],[SPY]:[PE]])</f>
        <v>1.7016423904005096E-2</v>
      </c>
      <c r="OF55" s="27">
        <f>IF(ISNUMBER(OF54),OF54*(1+PortfolioFrontier[[#This Row],[P99 Return]]),1+PortfolioFrontier[[#This Row],[P99 Return]])</f>
        <v>1.3683660629923269</v>
      </c>
      <c r="OG55" s="27">
        <f>MAX(OG54,PortfolioFrontier[[#This Row],[P99 Growth]])</f>
        <v>1.3683660629923269</v>
      </c>
      <c r="OH55" s="27">
        <f>PortfolioFrontier[[#This Row],[P99 Growth]]/PortfolioFrontier[[#This Row],[P99 HWM]]-1</f>
        <v>0</v>
      </c>
      <c r="OI55" s="28">
        <f>SUMPRODUCT(INDEX(PortfolioRef[[SPY]:[PE]],MATCH(OI$1,PortfolioRef[Reference '#]),0),AssetMonthlyReturns[[#This Row],[SPY]:[PE]])</f>
        <v>1.8026545284043658E-2</v>
      </c>
      <c r="OJ55" s="27">
        <f>IF(ISNUMBER(OJ54),OJ54*(1+PortfolioFrontier[[#This Row],[P100 Return]]),1+PortfolioFrontier[[#This Row],[P100 Return]])</f>
        <v>1.3596794803423304</v>
      </c>
      <c r="OK55" s="27">
        <f>MAX(OK54,PortfolioFrontier[[#This Row],[P100 Growth]])</f>
        <v>1.3596794803423304</v>
      </c>
      <c r="OL55" s="27">
        <f>PortfolioFrontier[[#This Row],[P100 Growth]]/PortfolioFrontier[[#This Row],[P100 HWM]]-1</f>
        <v>0</v>
      </c>
      <c r="OM55" s="28">
        <f>SUMPRODUCT(INDEX(PortfolioRef[[SPY]:[PE]],MATCH(OM$1,PortfolioRef[Reference '#]),0),AssetMonthlyReturns[[#This Row],[SPY]:[PE]])</f>
        <v>1.6875763996980164E-2</v>
      </c>
      <c r="ON55" s="27">
        <f>IF(ISNUMBER(ON54),ON54*(1+PortfolioFrontier[[#This Row],[P101 Return]]),1+PortfolioFrontier[[#This Row],[P101 Return]])</f>
        <v>1.4003175091113282</v>
      </c>
      <c r="OO55" s="27">
        <f>MAX(OO54,PortfolioFrontier[[#This Row],[P101 Growth]])</f>
        <v>1.4003175091113282</v>
      </c>
      <c r="OP55" s="27">
        <f>PortfolioFrontier[[#This Row],[P101 Growth]]/PortfolioFrontier[[#This Row],[P101 HWM]]-1</f>
        <v>0</v>
      </c>
      <c r="OQ55" s="28">
        <f>SUMPRODUCT(INDEX(PortfolioRef[[SPY]:[PE]],MATCH(OQ$1,PortfolioRef[Reference '#]),0),AssetMonthlyReturns[[#This Row],[SPY]:[PE]])</f>
        <v>1.7258706400750053E-2</v>
      </c>
      <c r="OR55" s="27">
        <f>IF(ISNUMBER(OR54),OR54*(1+PortfolioFrontier[[#This Row],[P102 Return]]),1+PortfolioFrontier[[#This Row],[P102 Return]])</f>
        <v>1.3850345617448963</v>
      </c>
      <c r="OS55" s="27">
        <f>MAX(OS54,PortfolioFrontier[[#This Row],[P102 Growth]])</f>
        <v>1.3850345617448963</v>
      </c>
      <c r="OT55" s="27">
        <f>PortfolioFrontier[[#This Row],[P102 Growth]]/PortfolioFrontier[[#This Row],[P102 HWM]]-1</f>
        <v>0</v>
      </c>
      <c r="OU55" s="28">
        <f>SUMPRODUCT(INDEX(PortfolioRef[[SPY]:[PE]],MATCH(OU$1,PortfolioRef[Reference '#]),0),AssetMonthlyReturns[[#This Row],[SPY]:[PE]])</f>
        <v>1.8268827780788616E-2</v>
      </c>
      <c r="OV55" s="27">
        <f>IF(ISNUMBER(OV54),OV54*(1+PortfolioFrontier[[#This Row],[P103 Return]]),1+PortfolioFrontier[[#This Row],[P103 Return]])</f>
        <v>1.3762910097938215</v>
      </c>
      <c r="OW55" s="27">
        <f>MAX(OW54,PortfolioFrontier[[#This Row],[P103 Growth]])</f>
        <v>1.3762910097938215</v>
      </c>
      <c r="OX55" s="27">
        <f>PortfolioFrontier[[#This Row],[P103 Growth]]/PortfolioFrontier[[#This Row],[P103 HWM]]-1</f>
        <v>0</v>
      </c>
      <c r="OY55" s="28">
        <f>SUMPRODUCT(INDEX(PortfolioRef[[SPY]:[PE]],MATCH(OY$1,PortfolioRef[Reference '#]),0),AssetMonthlyReturns[[#This Row],[SPY]:[PE]])</f>
        <v>1.764164880451994E-2</v>
      </c>
      <c r="OZ55" s="27">
        <f>IF(ISNUMBER(OZ54),OZ54*(1+PortfolioFrontier[[#This Row],[P104 Return]]),1+PortfolioFrontier[[#This Row],[P104 Return]])</f>
        <v>1.3694175590589139</v>
      </c>
      <c r="PA55" s="27">
        <f>MAX(PA54,PortfolioFrontier[[#This Row],[P104 Growth]])</f>
        <v>1.3694175590589139</v>
      </c>
      <c r="PB55" s="27">
        <f>PortfolioFrontier[[#This Row],[P104 Growth]]/PortfolioFrontier[[#This Row],[P104 HWM]]-1</f>
        <v>0</v>
      </c>
      <c r="PC55" s="28">
        <f>SUMPRODUCT(INDEX(PortfolioRef[[SPY]:[PE]],MATCH(PC$1,PortfolioRef[Reference '#]),0),AssetMonthlyReturns[[#This Row],[SPY]:[PE]])</f>
        <v>1.8651770184558502E-2</v>
      </c>
      <c r="PD55" s="27">
        <f>IF(ISNUMBER(PD54),PD54*(1+PortfolioFrontier[[#This Row],[P105 Return]]),1+PortfolioFrontier[[#This Row],[P105 Return]])</f>
        <v>1.3610943572366874</v>
      </c>
      <c r="PE55" s="27">
        <f>MAX(PE54,PortfolioFrontier[[#This Row],[P105 Growth]])</f>
        <v>1.3610943572366874</v>
      </c>
      <c r="PF55" s="27">
        <f>PortfolioFrontier[[#This Row],[P105 Growth]]/PortfolioFrontier[[#This Row],[P105 HWM]]-1</f>
        <v>0</v>
      </c>
      <c r="PG55" s="28">
        <f>SUMPRODUCT(INDEX(PortfolioRef[[SPY]:[PE]],MATCH(PG$1,PortfolioRef[Reference '#]),0),AssetMonthlyReturns[[#This Row],[SPY]:[PE]])</f>
        <v>1.9661891564597068E-2</v>
      </c>
      <c r="PH55" s="27">
        <f>IF(ISNUMBER(PH54),PH54*(1+PortfolioFrontier[[#This Row],[P106 Return]]),1+PortfolioFrontier[[#This Row],[P106 Return]])</f>
        <v>1.3523774557731296</v>
      </c>
      <c r="PI55" s="27">
        <f>MAX(PI54,PortfolioFrontier[[#This Row],[P106 Growth]])</f>
        <v>1.3523774557731296</v>
      </c>
      <c r="PJ55" s="27">
        <f>PortfolioFrontier[[#This Row],[P106 Growth]]/PortfolioFrontier[[#This Row],[P106 HWM]]-1</f>
        <v>0</v>
      </c>
      <c r="PK55" s="28">
        <f>SUMPRODUCT(INDEX(PortfolioRef[[SPY]:[PE]],MATCH(PK$1,PortfolioRef[Reference '#]),0),AssetMonthlyReturns[[#This Row],[SPY]:[PE]])</f>
        <v>1.7500988897495007E-2</v>
      </c>
      <c r="PL55" s="27">
        <f>IF(ISNUMBER(PL54),PL54*(1+PortfolioFrontier[[#This Row],[P107 Return]]),1+PortfolioFrontier[[#This Row],[P107 Return]])</f>
        <v>1.4017262888645294</v>
      </c>
      <c r="PM55" s="27">
        <f>MAX(PM54,PortfolioFrontier[[#This Row],[P107 Growth]])</f>
        <v>1.4017262888645294</v>
      </c>
      <c r="PN55" s="27">
        <f>PortfolioFrontier[[#This Row],[P107 Growth]]/PortfolioFrontier[[#This Row],[P107 HWM]]-1</f>
        <v>0</v>
      </c>
      <c r="PO55" s="28">
        <f>SUMPRODUCT(INDEX(PortfolioRef[[SPY]:[PE]],MATCH(PO$1,PortfolioRef[Reference '#]),0),AssetMonthlyReturns[[#This Row],[SPY]:[PE]])</f>
        <v>1.851111027753357E-2</v>
      </c>
      <c r="PP55" s="27">
        <f>IF(ISNUMBER(PP54),PP54*(1+PortfolioFrontier[[#This Row],[P108 Return]]),1+PortfolioFrontier[[#This Row],[P108 Return]])</f>
        <v>1.3929265171425633</v>
      </c>
      <c r="PQ55" s="27">
        <f>MAX(PQ54,PortfolioFrontier[[#This Row],[P108 Growth]])</f>
        <v>1.3929265171425633</v>
      </c>
      <c r="PR55" s="27">
        <f>PortfolioFrontier[[#This Row],[P108 Growth]]/PortfolioFrontier[[#This Row],[P108 HWM]]-1</f>
        <v>0</v>
      </c>
      <c r="PS55" s="28">
        <f>SUMPRODUCT(INDEX(PortfolioRef[[SPY]:[PE]],MATCH(PS$1,PortfolioRef[Reference '#]),0),AssetMonthlyReturns[[#This Row],[SPY]:[PE]])</f>
        <v>1.7883931301264894E-2</v>
      </c>
      <c r="PT55" s="27">
        <f>IF(ISNUMBER(PT54),PT54*(1+PortfolioFrontier[[#This Row],[P109 Return]]),1+PortfolioFrontier[[#This Row],[P109 Return]])</f>
        <v>1.3860730438289555</v>
      </c>
      <c r="PU55" s="27">
        <f>MAX(PU54,PortfolioFrontier[[#This Row],[P109 Growth]])</f>
        <v>1.3860730438289555</v>
      </c>
      <c r="PV55" s="27">
        <f>PortfolioFrontier[[#This Row],[P109 Growth]]/PortfolioFrontier[[#This Row],[P109 HWM]]-1</f>
        <v>0</v>
      </c>
      <c r="PW55" s="28">
        <f>SUMPRODUCT(INDEX(PortfolioRef[[SPY]:[PE]],MATCH(PW$1,PortfolioRef[Reference '#]),0),AssetMonthlyReturns[[#This Row],[SPY]:[PE]])</f>
        <v>1.889405268130346E-2</v>
      </c>
      <c r="PX55" s="27">
        <f>IF(ISNUMBER(PX54),PX54*(1+PortfolioFrontier[[#This Row],[P110 Return]]),1+PortfolioFrontier[[#This Row],[P110 Return]])</f>
        <v>1.3776971995056497</v>
      </c>
      <c r="PY55" s="27">
        <f>MAX(PY54,PortfolioFrontier[[#This Row],[P110 Growth]])</f>
        <v>1.3776971995056497</v>
      </c>
      <c r="PZ55" s="27">
        <f>PortfolioFrontier[[#This Row],[P110 Growth]]/PortfolioFrontier[[#This Row],[P110 HWM]]-1</f>
        <v>0</v>
      </c>
      <c r="QA55" s="28">
        <f>SUMPRODUCT(INDEX(PortfolioRef[[SPY]:[PE]],MATCH(QA$1,PortfolioRef[Reference '#]),0),AssetMonthlyReturns[[#This Row],[SPY]:[PE]])</f>
        <v>1.9904174061342025E-2</v>
      </c>
      <c r="QB55" s="27">
        <f>IF(ISNUMBER(QB54),QB54*(1+PortfolioFrontier[[#This Row],[P111 Return]]),1+PortfolioFrontier[[#This Row],[P111 Return]])</f>
        <v>1.3689225500786766</v>
      </c>
      <c r="QC55" s="27">
        <f>MAX(QC54,PortfolioFrontier[[#This Row],[P111 Growth]])</f>
        <v>1.3689225500786766</v>
      </c>
      <c r="QD55" s="27">
        <f>PortfolioFrontier[[#This Row],[P111 Growth]]/PortfolioFrontier[[#This Row],[P111 HWM]]-1</f>
        <v>0</v>
      </c>
      <c r="QE55" s="28">
        <f>SUMPRODUCT(INDEX(PortfolioRef[[SPY]:[PE]],MATCH(QE$1,PortfolioRef[Reference '#]),0),AssetMonthlyReturns[[#This Row],[SPY]:[PE]])</f>
        <v>1.826687370503478E-2</v>
      </c>
      <c r="QF55" s="27">
        <f>IF(ISNUMBER(QF54),QF54*(1+PortfolioFrontier[[#This Row],[P112 Return]]),1+PortfolioFrontier[[#This Row],[P112 Return]])</f>
        <v>1.370089876873271</v>
      </c>
      <c r="QG55" s="27">
        <f>MAX(QG54,PortfolioFrontier[[#This Row],[P112 Growth]])</f>
        <v>1.370089876873271</v>
      </c>
      <c r="QH55" s="27">
        <f>PortfolioFrontier[[#This Row],[P112 Growth]]/PortfolioFrontier[[#This Row],[P112 HWM]]-1</f>
        <v>0</v>
      </c>
      <c r="QI55" s="28">
        <f>SUMPRODUCT(INDEX(PortfolioRef[[SPY]:[PE]],MATCH(QI$1,PortfolioRef[Reference '#]),0),AssetMonthlyReturns[[#This Row],[SPY]:[PE]])</f>
        <v>1.9276995085073346E-2</v>
      </c>
      <c r="QJ55" s="27">
        <f>IF(ISNUMBER(QJ54),QJ54*(1+PortfolioFrontier[[#This Row],[P113 Return]]),1+PortfolioFrontier[[#This Row],[P113 Return]])</f>
        <v>1.362136162579211</v>
      </c>
      <c r="QK55" s="27">
        <f>MAX(QK54,PortfolioFrontier[[#This Row],[P113 Growth]])</f>
        <v>1.362136162579211</v>
      </c>
      <c r="QL55" s="27">
        <f>PortfolioFrontier[[#This Row],[P113 Growth]]/PortfolioFrontier[[#This Row],[P113 HWM]]-1</f>
        <v>0</v>
      </c>
      <c r="QM55" s="28">
        <f>SUMPRODUCT(INDEX(PortfolioRef[[SPY]:[PE]],MATCH(QM$1,PortfolioRef[Reference '#]),0),AssetMonthlyReturns[[#This Row],[SPY]:[PE]])</f>
        <v>2.0287116465111908E-2</v>
      </c>
      <c r="QN55" s="27">
        <f>IF(ISNUMBER(QN54),QN54*(1+PortfolioFrontier[[#This Row],[P114 Return]]),1+PortfolioFrontier[[#This Row],[P114 Return]])</f>
        <v>1.3537805543833987</v>
      </c>
      <c r="QO55" s="27">
        <f>MAX(QO54,PortfolioFrontier[[#This Row],[P114 Growth]])</f>
        <v>1.3537805543833987</v>
      </c>
      <c r="QP55" s="27">
        <f>PortfolioFrontier[[#This Row],[P114 Growth]]/PortfolioFrontier[[#This Row],[P114 HWM]]-1</f>
        <v>0</v>
      </c>
      <c r="QQ55" s="28">
        <f>SUMPRODUCT(INDEX(PortfolioRef[[SPY]:[PE]],MATCH(QQ$1,PortfolioRef[Reference '#]),0),AssetMonthlyReturns[[#This Row],[SPY]:[PE]])</f>
        <v>1.8126213798009848E-2</v>
      </c>
      <c r="QR55" s="27">
        <f>IF(ISNUMBER(QR54),QR54*(1+PortfolioFrontier[[#This Row],[P115 Return]]),1+PortfolioFrontier[[#This Row],[P115 Return]])</f>
        <v>1.402751404567387</v>
      </c>
      <c r="QS55" s="27">
        <f>MAX(QS54,PortfolioFrontier[[#This Row],[P115 Growth]])</f>
        <v>1.402751404567387</v>
      </c>
      <c r="QT55" s="27">
        <f>PortfolioFrontier[[#This Row],[P115 Growth]]/PortfolioFrontier[[#This Row],[P115 HWM]]-1</f>
        <v>0</v>
      </c>
      <c r="QU55" s="28">
        <f>SUMPRODUCT(INDEX(PortfolioRef[[SPY]:[PE]],MATCH(QU$1,PortfolioRef[Reference '#]),0),AssetMonthlyReturns[[#This Row],[SPY]:[PE]])</f>
        <v>1.9136335178048414E-2</v>
      </c>
      <c r="QV55" s="27">
        <f>IF(ISNUMBER(QV54),QV54*(1+PortfolioFrontier[[#This Row],[P116 Return]]),1+PortfolioFrontier[[#This Row],[P116 Return]])</f>
        <v>1.3943236705307489</v>
      </c>
      <c r="QW55" s="27">
        <f>MAX(QW54,PortfolioFrontier[[#This Row],[P116 Growth]])</f>
        <v>1.3943236705307489</v>
      </c>
      <c r="QX55" s="27">
        <f>PortfolioFrontier[[#This Row],[P116 Growth]]/PortfolioFrontier[[#This Row],[P116 HWM]]-1</f>
        <v>0</v>
      </c>
      <c r="QY55" s="28">
        <f>SUMPRODUCT(INDEX(PortfolioRef[[SPY]:[PE]],MATCH(QY$1,PortfolioRef[Reference '#]),0),AssetMonthlyReturns[[#This Row],[SPY]:[PE]])</f>
        <v>2.0146456558086979E-2</v>
      </c>
      <c r="QZ55" s="27">
        <f>IF(ISNUMBER(QZ54),QZ54*(1+PortfolioFrontier[[#This Row],[P117 Return]]),1+PortfolioFrontier[[#This Row],[P117 Return]])</f>
        <v>1.3854920145784329</v>
      </c>
      <c r="RA55" s="27">
        <f>MAX(RA54,PortfolioFrontier[[#This Row],[P117 Growth]])</f>
        <v>1.3854920145784329</v>
      </c>
      <c r="RB55" s="27">
        <f>PortfolioFrontier[[#This Row],[P117 Growth]]/PortfolioFrontier[[#This Row],[P117 HWM]]-1</f>
        <v>0</v>
      </c>
      <c r="RC55" s="28">
        <f>SUMPRODUCT(INDEX(PortfolioRef[[SPY]:[PE]],MATCH(RC$1,PortfolioRef[Reference '#]),0),AssetMonthlyReturns[[#This Row],[SPY]:[PE]])</f>
        <v>1.8509156201779734E-2</v>
      </c>
      <c r="RD55" s="27">
        <f>IF(ISNUMBER(RD54),RD54*(1+PortfolioFrontier[[#This Row],[P118 Return]]),1+PortfolioFrontier[[#This Row],[P118 Return]])</f>
        <v>1.3867280178512138</v>
      </c>
      <c r="RE55" s="27">
        <f>MAX(RE54,PortfolioFrontier[[#This Row],[P118 Growth]])</f>
        <v>1.3867280178512138</v>
      </c>
      <c r="RF55" s="27">
        <f>PortfolioFrontier[[#This Row],[P118 Growth]]/PortfolioFrontier[[#This Row],[P118 HWM]]-1</f>
        <v>0</v>
      </c>
      <c r="RG55" s="28">
        <f>SUMPRODUCT(INDEX(PortfolioRef[[SPY]:[PE]],MATCH(RG$1,PortfolioRef[Reference '#]),0),AssetMonthlyReturns[[#This Row],[SPY]:[PE]])</f>
        <v>1.95192775818183E-2</v>
      </c>
      <c r="RH55" s="27">
        <f>IF(ISNUMBER(RH54),RH54*(1+PortfolioFrontier[[#This Row],[P119 Return]]),1+PortfolioFrontier[[#This Row],[P119 Return]])</f>
        <v>1.3787260331889826</v>
      </c>
      <c r="RI55" s="27">
        <f>MAX(RI54,PortfolioFrontier[[#This Row],[P119 Growth]])</f>
        <v>1.3787260331889826</v>
      </c>
      <c r="RJ55" s="27">
        <f>PortfolioFrontier[[#This Row],[P119 Growth]]/PortfolioFrontier[[#This Row],[P119 HWM]]-1</f>
        <v>0</v>
      </c>
      <c r="RK55" s="28">
        <f>SUMPRODUCT(INDEX(PortfolioRef[[SPY]:[PE]],MATCH(RK$1,PortfolioRef[Reference '#]),0),AssetMonthlyReturns[[#This Row],[SPY]:[PE]])</f>
        <v>2.0529398961856866E-2</v>
      </c>
      <c r="RL55" s="27">
        <f>IF(ISNUMBER(RL54),RL54*(1+PortfolioFrontier[[#This Row],[P120 Return]]),1+PortfolioFrontier[[#This Row],[P120 Return]])</f>
        <v>1.3703169853910981</v>
      </c>
      <c r="RM55" s="27">
        <f>MAX(RM54,PortfolioFrontier[[#This Row],[P120 Growth]])</f>
        <v>1.3703169853910981</v>
      </c>
      <c r="RN55" s="27">
        <f>PortfolioFrontier[[#This Row],[P120 Growth]]/PortfolioFrontier[[#This Row],[P120 HWM]]-1</f>
        <v>0</v>
      </c>
      <c r="RO55" s="28">
        <f>SUMPRODUCT(INDEX(PortfolioRef[[SPY]:[PE]],MATCH(RO$1,PortfolioRef[Reference '#]),0),AssetMonthlyReturns[[#This Row],[SPY]:[PE]])</f>
        <v>1.8892098605549624E-2</v>
      </c>
      <c r="RP55" s="27">
        <f>IF(ISNUMBER(RP54),RP54*(1+PortfolioFrontier[[#This Row],[P121 Return]]),1+PortfolioFrontier[[#This Row],[P121 Return]])</f>
        <v>1.3703790789510859</v>
      </c>
      <c r="RQ55" s="27">
        <f>MAX(RQ54,PortfolioFrontier[[#This Row],[P121 Growth]])</f>
        <v>1.3703790789510859</v>
      </c>
      <c r="RR55" s="27">
        <f>PortfolioFrontier[[#This Row],[P121 Growth]]/PortfolioFrontier[[#This Row],[P121 HWM]]-1</f>
        <v>0</v>
      </c>
      <c r="RS55" s="28">
        <f>SUMPRODUCT(INDEX(PortfolioRef[[SPY]:[PE]],MATCH(RS$1,PortfolioRef[Reference '#]),0),AssetMonthlyReturns[[#This Row],[SPY]:[PE]])</f>
        <v>1.990221998558819E-2</v>
      </c>
      <c r="RT55" s="27">
        <f>IF(ISNUMBER(RT54),RT54*(1+PortfolioFrontier[[#This Row],[P122 Return]]),1+PortfolioFrontier[[#This Row],[P122 Return]])</f>
        <v>1.3628008072037239</v>
      </c>
      <c r="RU55" s="27">
        <f>MAX(RU54,PortfolioFrontier[[#This Row],[P122 Growth]])</f>
        <v>1.3628008072037239</v>
      </c>
      <c r="RV55" s="27">
        <f>PortfolioFrontier[[#This Row],[P122 Growth]]/PortfolioFrontier[[#This Row],[P122 HWM]]-1</f>
        <v>0</v>
      </c>
      <c r="RW55" s="28">
        <f>SUMPRODUCT(INDEX(PortfolioRef[[SPY]:[PE]],MATCH(RW$1,PortfolioRef[Reference '#]),0),AssetMonthlyReturns[[#This Row],[SPY]:[PE]])</f>
        <v>2.0912341365626752E-2</v>
      </c>
      <c r="RX55" s="27">
        <f>IF(ISNUMBER(RX54),RX54*(1+PortfolioFrontier[[#This Row],[P123 Return]]),1+PortfolioFrontier[[#This Row],[P123 Return]])</f>
        <v>1.3548125765232644</v>
      </c>
      <c r="RY55" s="27">
        <f>MAX(RY54,PortfolioFrontier[[#This Row],[P123 Growth]])</f>
        <v>1.3548125765232644</v>
      </c>
      <c r="RZ55" s="27">
        <f>PortfolioFrontier[[#This Row],[P123 Growth]]/PortfolioFrontier[[#This Row],[P123 HWM]]-1</f>
        <v>0</v>
      </c>
      <c r="SA55" s="28">
        <f>SUMPRODUCT(INDEX(PortfolioRef[[SPY]:[PE]],MATCH(SA$1,PortfolioRef[Reference '#]),0),AssetMonthlyReturns[[#This Row],[SPY]:[PE]])</f>
        <v>1.8751438698524692E-2</v>
      </c>
      <c r="SB55" s="27">
        <f>IF(ISNUMBER(SB54),SB54*(1+PortfolioFrontier[[#This Row],[P124 Return]]),1+PortfolioFrontier[[#This Row],[P124 Return]])</f>
        <v>1.4033886809632767</v>
      </c>
      <c r="SC55" s="27">
        <f>MAX(SC54,PortfolioFrontier[[#This Row],[P124 Growth]])</f>
        <v>1.4033886809632767</v>
      </c>
      <c r="SD55" s="27">
        <f>PortfolioFrontier[[#This Row],[P124 Growth]]/PortfolioFrontier[[#This Row],[P124 HWM]]-1</f>
        <v>0</v>
      </c>
      <c r="SE55" s="28">
        <f>SUMPRODUCT(INDEX(PortfolioRef[[SPY]:[PE]],MATCH(SE$1,PortfolioRef[Reference '#]),0),AssetMonthlyReturns[[#This Row],[SPY]:[PE]])</f>
        <v>1.9761560078563258E-2</v>
      </c>
      <c r="SF55" s="27">
        <f>IF(ISNUMBER(SF54),SF54*(1+PortfolioFrontier[[#This Row],[P125 Return]]),1+PortfolioFrontier[[#This Row],[P125 Return]])</f>
        <v>1.3953391816409191</v>
      </c>
      <c r="SG55" s="27">
        <f>MAX(SG54,PortfolioFrontier[[#This Row],[P125 Growth]])</f>
        <v>1.3953391816409191</v>
      </c>
      <c r="SH55" s="27">
        <f>PortfolioFrontier[[#This Row],[P125 Growth]]/PortfolioFrontier[[#This Row],[P125 HWM]]-1</f>
        <v>0</v>
      </c>
      <c r="SI55" s="28">
        <f>SUMPRODUCT(INDEX(PortfolioRef[[SPY]:[PE]],MATCH(SI$1,PortfolioRef[Reference '#]),0),AssetMonthlyReturns[[#This Row],[SPY]:[PE]])</f>
        <v>2.0771681458601823E-2</v>
      </c>
      <c r="SJ55" s="27">
        <f>IF(ISNUMBER(SJ54),SJ54*(1+PortfolioFrontier[[#This Row],[P126 Return]]),1+PortfolioFrontier[[#This Row],[P126 Return]])</f>
        <v>1.3868774390565666</v>
      </c>
      <c r="SK55" s="27">
        <f>MAX(SK54,PortfolioFrontier[[#This Row],[P126 Growth]])</f>
        <v>1.3868774390565666</v>
      </c>
      <c r="SL55" s="27">
        <f>PortfolioFrontier[[#This Row],[P126 Growth]]/PortfolioFrontier[[#This Row],[P126 HWM]]-1</f>
        <v>0</v>
      </c>
      <c r="SM55" s="28">
        <f>SUMPRODUCT(INDEX(PortfolioRef[[SPY]:[PE]],MATCH(SM$1,PortfolioRef[Reference '#]),0),AssetMonthlyReturns[[#This Row],[SPY]:[PE]])</f>
        <v>1.9134381102294578E-2</v>
      </c>
      <c r="SN55" s="27">
        <f>IF(ISNUMBER(SN54),SN54*(1+PortfolioFrontier[[#This Row],[P127 Return]]),1+PortfolioFrontier[[#This Row],[P127 Return]])</f>
        <v>1.3869955206197271</v>
      </c>
      <c r="SO55" s="27">
        <f>MAX(SO54,PortfolioFrontier[[#This Row],[P127 Growth]])</f>
        <v>1.3869955206197271</v>
      </c>
      <c r="SP55" s="27">
        <f>PortfolioFrontier[[#This Row],[P127 Growth]]/PortfolioFrontier[[#This Row],[P127 HWM]]-1</f>
        <v>0</v>
      </c>
      <c r="SQ55" s="28">
        <f>SUMPRODUCT(INDEX(PortfolioRef[[SPY]:[PE]],MATCH(SQ$1,PortfolioRef[Reference '#]),0),AssetMonthlyReturns[[#This Row],[SPY]:[PE]])</f>
        <v>2.0144502482333144E-2</v>
      </c>
      <c r="SR55" s="27">
        <f>IF(ISNUMBER(SR54),SR54*(1+PortfolioFrontier[[#This Row],[P128 Return]]),1+PortfolioFrontier[[#This Row],[P128 Return]])</f>
        <v>1.3793733940068482</v>
      </c>
      <c r="SS55" s="27">
        <f>MAX(SS54,PortfolioFrontier[[#This Row],[P128 Growth]])</f>
        <v>1.3793733940068482</v>
      </c>
      <c r="ST55" s="27">
        <f>PortfolioFrontier[[#This Row],[P128 Growth]]/PortfolioFrontier[[#This Row],[P128 HWM]]-1</f>
        <v>0</v>
      </c>
      <c r="SU55" s="28">
        <f>SUMPRODUCT(INDEX(PortfolioRef[[SPY]:[PE]],MATCH(SU$1,PortfolioRef[Reference '#]),0),AssetMonthlyReturns[[#This Row],[SPY]:[PE]])</f>
        <v>2.1154623862371706E-2</v>
      </c>
      <c r="SV55" s="27">
        <f>IF(ISNUMBER(SV54),SV54*(1+PortfolioFrontier[[#This Row],[P129 Return]]),1+PortfolioFrontier[[#This Row],[P129 Return]])</f>
        <v>1.3713360773913663</v>
      </c>
      <c r="SW55" s="27">
        <f>MAX(SW54,PortfolioFrontier[[#This Row],[P129 Growth]])</f>
        <v>1.3713360773913663</v>
      </c>
      <c r="SX55" s="27">
        <f>PortfolioFrontier[[#This Row],[P129 Growth]]/PortfolioFrontier[[#This Row],[P129 HWM]]-1</f>
        <v>0</v>
      </c>
      <c r="SY55" s="28">
        <f>SUMPRODUCT(INDEX(PortfolioRef[[SPY]:[PE]],MATCH(SY$1,PortfolioRef[Reference '#]),0),AssetMonthlyReturns[[#This Row],[SPY]:[PE]])</f>
        <v>1.9517323506064468E-2</v>
      </c>
      <c r="SZ55" s="27">
        <f>IF(ISNUMBER(SZ54),SZ54*(1+PortfolioFrontier[[#This Row],[P130 Return]]),1+PortfolioFrontier[[#This Row],[P130 Return]])</f>
        <v>1.3702814155560969</v>
      </c>
      <c r="TA55" s="27">
        <f>MAX(TA54,PortfolioFrontier[[#This Row],[P130 Growth]])</f>
        <v>1.3702814155560969</v>
      </c>
      <c r="TB55" s="27">
        <f>PortfolioFrontier[[#This Row],[P130 Growth]]/PortfolioFrontier[[#This Row],[P130 HWM]]-1</f>
        <v>0</v>
      </c>
      <c r="TC55" s="28">
        <f>SUMPRODUCT(INDEX(PortfolioRef[[SPY]:[PE]],MATCH(TC$1,PortfolioRef[Reference '#]),0),AssetMonthlyReturns[[#This Row],[SPY]:[PE]])</f>
        <v>2.0527444886103034E-2</v>
      </c>
      <c r="TD55" s="27">
        <f>IF(ISNUMBER(TD54),TD54*(1+PortfolioFrontier[[#This Row],[P131 Return]]),1+PortfolioFrontier[[#This Row],[P131 Return]])</f>
        <v>1.3630843835960462</v>
      </c>
      <c r="TE55" s="27">
        <f>MAX(TE54,PortfolioFrontier[[#This Row],[P131 Growth]])</f>
        <v>1.3630843835960462</v>
      </c>
      <c r="TF55" s="27">
        <f>PortfolioFrontier[[#This Row],[P131 Growth]]/PortfolioFrontier[[#This Row],[P131 HWM]]-1</f>
        <v>0</v>
      </c>
      <c r="TG55" s="28">
        <f>SUMPRODUCT(INDEX(PortfolioRef[[SPY]:[PE]],MATCH(TG$1,PortfolioRef[Reference '#]),0),AssetMonthlyReturns[[#This Row],[SPY]:[PE]])</f>
        <v>2.1537566266141596E-2</v>
      </c>
      <c r="TH55" s="27">
        <f>IF(ISNUMBER(TH54),TH54*(1+PortfolioFrontier[[#This Row],[P132 Return]]),1+PortfolioFrontier[[#This Row],[P132 Return]])</f>
        <v>1.3554694636766953</v>
      </c>
      <c r="TI55" s="27">
        <f>MAX(TI54,PortfolioFrontier[[#This Row],[P132 Growth]])</f>
        <v>1.3554694636766953</v>
      </c>
      <c r="TJ55" s="27">
        <f>PortfolioFrontier[[#This Row],[P132 Growth]]/PortfolioFrontier[[#This Row],[P132 HWM]]-1</f>
        <v>0</v>
      </c>
      <c r="TK55" s="28">
        <f>SUMPRODUCT(INDEX(PortfolioRef[[SPY]:[PE]],MATCH(TK$1,PortfolioRef[Reference '#]),0),AssetMonthlyReturns[[#This Row],[SPY]:[PE]])</f>
        <v>1.9376663599039532E-2</v>
      </c>
      <c r="TL55" s="27">
        <f>IF(ISNUMBER(TL54),TL54*(1+PortfolioFrontier[[#This Row],[P133 Return]]),1+PortfolioFrontier[[#This Row],[P133 Return]])</f>
        <v>1.40363412937791</v>
      </c>
      <c r="TM55" s="27">
        <f>MAX(TM54,PortfolioFrontier[[#This Row],[P133 Growth]])</f>
        <v>1.40363412937791</v>
      </c>
      <c r="TN55" s="27">
        <f>PortfolioFrontier[[#This Row],[P133 Growth]]/PortfolioFrontier[[#This Row],[P133 HWM]]-1</f>
        <v>0</v>
      </c>
      <c r="TO55" s="28">
        <f>SUMPRODUCT(INDEX(PortfolioRef[[SPY]:[PE]],MATCH(TO$1,PortfolioRef[Reference '#]),0),AssetMonthlyReturns[[#This Row],[SPY]:[PE]])</f>
        <v>2.0386784979078098E-2</v>
      </c>
      <c r="TP55" s="27">
        <f>IF(ISNUMBER(TP54),TP54*(1+PortfolioFrontier[[#This Row],[P134 Return]]),1+PortfolioFrontier[[#This Row],[P134 Return]])</f>
        <v>1.3959689061870362</v>
      </c>
      <c r="TQ55" s="27">
        <f>MAX(TQ54,PortfolioFrontier[[#This Row],[P134 Growth]])</f>
        <v>1.3959689061870362</v>
      </c>
      <c r="TR55" s="27">
        <f>PortfolioFrontier[[#This Row],[P134 Growth]]/PortfolioFrontier[[#This Row],[P134 HWM]]-1</f>
        <v>0</v>
      </c>
      <c r="TS55" s="28">
        <f>SUMPRODUCT(INDEX(PortfolioRef[[SPY]:[PE]],MATCH(TS$1,PortfolioRef[Reference '#]),0),AssetMonthlyReturns[[#This Row],[SPY]:[PE]])</f>
        <v>2.139690635911666E-2</v>
      </c>
      <c r="TT55" s="27">
        <f>IF(ISNUMBER(TT54),TT54*(1+PortfolioFrontier[[#This Row],[P135 Return]]),1+PortfolioFrontier[[#This Row],[P135 Return]])</f>
        <v>1.3878832514960149</v>
      </c>
      <c r="TU55" s="27">
        <f>MAX(TU54,PortfolioFrontier[[#This Row],[P135 Growth]])</f>
        <v>1.3878832514960149</v>
      </c>
      <c r="TV55" s="27">
        <f>PortfolioFrontier[[#This Row],[P135 Growth]]/PortfolioFrontier[[#This Row],[P135 HWM]]-1</f>
        <v>0</v>
      </c>
      <c r="TW55" s="28">
        <f>SUMPRODUCT(INDEX(PortfolioRef[[SPY]:[PE]],MATCH(TW$1,PortfolioRef[Reference '#]),0),AssetMonthlyReturns[[#This Row],[SPY]:[PE]])</f>
        <v>1.9759606002809418E-2</v>
      </c>
      <c r="TX55" s="27">
        <f>IF(ISNUMBER(TX54),TX54*(1+PortfolioFrontier[[#This Row],[P136 Return]]),1+PortfolioFrontier[[#This Row],[P136 Return]])</f>
        <v>1.3868717788793108</v>
      </c>
      <c r="TY55" s="27">
        <f>MAX(TY54,PortfolioFrontier[[#This Row],[P136 Growth]])</f>
        <v>1.3868717788793108</v>
      </c>
      <c r="TZ55" s="27">
        <f>PortfolioFrontier[[#This Row],[P136 Growth]]/PortfolioFrontier[[#This Row],[P136 HWM]]-1</f>
        <v>0</v>
      </c>
      <c r="UA55" s="28">
        <f>SUMPRODUCT(INDEX(PortfolioRef[[SPY]:[PE]],MATCH(UA$1,PortfolioRef[Reference '#]),0),AssetMonthlyReturns[[#This Row],[SPY]:[PE]])</f>
        <v>2.0769727382847984E-2</v>
      </c>
      <c r="UB55" s="27">
        <f>IF(ISNUMBER(UB54),UB54*(1+PortfolioFrontier[[#This Row],[P137 Return]]),1+PortfolioFrontier[[#This Row],[P137 Return]])</f>
        <v>1.3796353489136499</v>
      </c>
      <c r="UC55" s="27">
        <f>MAX(UC54,PortfolioFrontier[[#This Row],[P137 Growth]])</f>
        <v>1.3796353489136499</v>
      </c>
      <c r="UD55" s="27">
        <f>PortfolioFrontier[[#This Row],[P137 Growth]]/PortfolioFrontier[[#This Row],[P137 HWM]]-1</f>
        <v>0</v>
      </c>
      <c r="UE55" s="28">
        <f>SUMPRODUCT(INDEX(PortfolioRef[[SPY]:[PE]],MATCH(UE$1,PortfolioRef[Reference '#]),0),AssetMonthlyReturns[[#This Row],[SPY]:[PE]])</f>
        <v>2.177984876288655E-2</v>
      </c>
      <c r="UF55" s="27">
        <f>IF(ISNUMBER(UF54),UF54*(1+PortfolioFrontier[[#This Row],[P138 Return]]),1+PortfolioFrontier[[#This Row],[P138 Return]])</f>
        <v>1.3719757400762334</v>
      </c>
      <c r="UG55" s="27">
        <f>MAX(UG54,PortfolioFrontier[[#This Row],[P138 Growth]])</f>
        <v>1.3719757400762334</v>
      </c>
      <c r="UH55" s="27">
        <f>PortfolioFrontier[[#This Row],[P138 Growth]]/PortfolioFrontier[[#This Row],[P138 HWM]]-1</f>
        <v>0</v>
      </c>
      <c r="UI55" s="28">
        <f>SUMPRODUCT(INDEX(PortfolioRef[[SPY]:[PE]],MATCH(UI$1,PortfolioRef[Reference '#]),0),AssetMonthlyReturns[[#This Row],[SPY]:[PE]])</f>
        <v>2.0142548406579308E-2</v>
      </c>
      <c r="UJ55" s="27">
        <f>IF(ISNUMBER(UJ54),UJ54*(1+PortfolioFrontier[[#This Row],[P139 Return]]),1+PortfolioFrontier[[#This Row],[P139 Return]])</f>
        <v>1.3697933300963927</v>
      </c>
      <c r="UK55" s="27">
        <f>MAX(UK54,PortfolioFrontier[[#This Row],[P139 Growth]])</f>
        <v>1.3697933300963927</v>
      </c>
      <c r="UL55" s="27">
        <f>PortfolioFrontier[[#This Row],[P139 Growth]]/PortfolioFrontier[[#This Row],[P139 HWM]]-1</f>
        <v>0</v>
      </c>
      <c r="UM55" s="28">
        <f>SUMPRODUCT(INDEX(PortfolioRef[[SPY]:[PE]],MATCH(UM$1,PortfolioRef[Reference '#]),0),AssetMonthlyReturns[[#This Row],[SPY]:[PE]])</f>
        <v>2.1152669786617874E-2</v>
      </c>
      <c r="UN55" s="27">
        <f>IF(ISNUMBER(UN54),UN54*(1+PortfolioFrontier[[#This Row],[P140 Return]]),1+PortfolioFrontier[[#This Row],[P140 Return]])</f>
        <v>1.3629831713237457</v>
      </c>
      <c r="UO55" s="27">
        <f>MAX(UO54,PortfolioFrontier[[#This Row],[P140 Growth]])</f>
        <v>1.3629831713237457</v>
      </c>
      <c r="UP55" s="27">
        <f>PortfolioFrontier[[#This Row],[P140 Growth]]/PortfolioFrontier[[#This Row],[P140 HWM]]-1</f>
        <v>0</v>
      </c>
      <c r="UQ55" s="28">
        <f>SUMPRODUCT(INDEX(PortfolioRef[[SPY]:[PE]],MATCH(UQ$1,PortfolioRef[Reference '#]),0),AssetMonthlyReturns[[#This Row],[SPY]:[PE]])</f>
        <v>2.216279116665644E-2</v>
      </c>
      <c r="UR55" s="27">
        <f>IF(ISNUMBER(UR54),UR54*(1+PortfolioFrontier[[#This Row],[P141 Return]]),1+PortfolioFrontier[[#This Row],[P141 Return]])</f>
        <v>1.3557473383363032</v>
      </c>
      <c r="US55" s="27">
        <f>MAX(US54,PortfolioFrontier[[#This Row],[P141 Growth]])</f>
        <v>1.3557473383363032</v>
      </c>
      <c r="UT55" s="27">
        <f>PortfolioFrontier[[#This Row],[P141 Growth]]/PortfolioFrontier[[#This Row],[P141 HWM]]-1</f>
        <v>0</v>
      </c>
    </row>
    <row r="56" spans="2:566" x14ac:dyDescent="0.2">
      <c r="B56" s="41">
        <f>AssetMonthlyReturns[[#This Row],[Date]]</f>
        <v>44075</v>
      </c>
      <c r="C56" s="28">
        <f>SUMPRODUCT(INDEX(PortfolioRef[[SPY]:[PE]],MATCH(C$1,PortfolioRef[Reference '#]),0),AssetMonthlyReturns[[#This Row],[SPY]:[PE]])</f>
        <v>-3.1494666450296575E-2</v>
      </c>
      <c r="D56" s="29">
        <f>IF(ISNUMBER(D55),D55*(1+PortfolioFrontier[[#This Row],[P1 Return]]),1+PortfolioFrontier[[#This Row],[P1 Return]])</f>
        <v>1.5080680591131947</v>
      </c>
      <c r="E56" s="29">
        <f>MAX(E55,PortfolioFrontier[[#This Row],[P1 Growth]])</f>
        <v>1.5571086775391527</v>
      </c>
      <c r="F56" s="29">
        <f>PortfolioFrontier[[#This Row],[P1 Growth]]/PortfolioFrontier[[#This Row],[P1 HWM]]-1</f>
        <v>-3.1494666450296527E-2</v>
      </c>
      <c r="G56" s="28">
        <f>SUMPRODUCT(INDEX(PortfolioRef[[SPY]:[PE]],MATCH(G$1,PortfolioRef[Reference '#]),0),AssetMonthlyReturns[[#This Row],[SPY]:[PE]])</f>
        <v>-2.947564408032155E-2</v>
      </c>
      <c r="H56" s="27">
        <f>IF(ISNUMBER(H55),H55*(1+PortfolioFrontier[[#This Row],[P2 Return]]),1+PortfolioFrontier[[#This Row],[P2 Return]])</f>
        <v>1.4797810609149296</v>
      </c>
      <c r="I56" s="27">
        <f>MAX(I55,PortfolioFrontier[[#This Row],[P2 Growth]])</f>
        <v>1.5247232610794961</v>
      </c>
      <c r="J56" s="27">
        <f>PortfolioFrontier[[#This Row],[P2 Growth]]/PortfolioFrontier[[#This Row],[P2 HWM]]-1</f>
        <v>-2.9475644080321661E-2</v>
      </c>
      <c r="K56" s="28">
        <f>SUMPRODUCT(INDEX(PortfolioRef[[SPY]:[PE]],MATCH(K$1,PortfolioRef[Reference '#]),0),AssetMonthlyReturns[[#This Row],[SPY]:[PE]])</f>
        <v>-3.1516866708859323E-2</v>
      </c>
      <c r="L56" s="27">
        <f>IF(ISNUMBER(L55),L55*(1+PortfolioFrontier[[#This Row],[P3 Return]]),1+PortfolioFrontier[[#This Row],[P3 Return]])</f>
        <v>1.4945798042592382</v>
      </c>
      <c r="M56" s="27">
        <f>MAX(M55,PortfolioFrontier[[#This Row],[P3 Growth]])</f>
        <v>1.5432171742426668</v>
      </c>
      <c r="N56" s="27">
        <f>PortfolioFrontier[[#This Row],[P3 Growth]]/PortfolioFrontier[[#This Row],[P3 HWM]]-1</f>
        <v>-3.1516866708859337E-2</v>
      </c>
      <c r="O56" s="28">
        <f>SUMPRODUCT(INDEX(PortfolioRef[[SPY]:[PE]],MATCH(O$1,PortfolioRef[Reference '#]),0),AssetMonthlyReturns[[#This Row],[SPY]:[PE]])</f>
        <v>-3.1137598292712534E-2</v>
      </c>
      <c r="P56" s="27">
        <f>IF(ISNUMBER(P55),P55*(1+PortfolioFrontier[[#This Row],[P4 Return]]),1+PortfolioFrontier[[#This Row],[P4 Return]])</f>
        <v>1.4773361630534934</v>
      </c>
      <c r="Q56" s="27">
        <f>MAX(Q55,PortfolioFrontier[[#This Row],[P4 Growth]])</f>
        <v>1.5248152477072032</v>
      </c>
      <c r="R56" s="27">
        <f>PortfolioFrontier[[#This Row],[P4 Growth]]/PortfolioFrontier[[#This Row],[P4 HWM]]-1</f>
        <v>-3.1137598292712565E-2</v>
      </c>
      <c r="S56" s="28">
        <f>SUMPRODUCT(INDEX(PortfolioRef[[SPY]:[PE]],MATCH(S$1,PortfolioRef[Reference '#]),0),AssetMonthlyReturns[[#This Row],[SPY]:[PE]])</f>
        <v>-2.9970382060252539E-2</v>
      </c>
      <c r="T56" s="27">
        <f>IF(ISNUMBER(T55),T55*(1+PortfolioFrontier[[#This Row],[P5 Return]]),1+PortfolioFrontier[[#This Row],[P5 Return]])</f>
        <v>1.4709348821856063</v>
      </c>
      <c r="U56" s="27">
        <f>MAX(U55,PortfolioFrontier[[#This Row],[P5 Growth]])</f>
        <v>1.5163814124662862</v>
      </c>
      <c r="V56" s="27">
        <f>PortfolioFrontier[[#This Row],[P5 Growth]]/PortfolioFrontier[[#This Row],[P5 HWM]]-1</f>
        <v>-2.9970382060252487E-2</v>
      </c>
      <c r="W56" s="28">
        <f>SUMPRODUCT(INDEX(PortfolioRef[[SPY]:[PE]],MATCH(W$1,PortfolioRef[Reference '#]),0),AssetMonthlyReturns[[#This Row],[SPY]:[PE]])</f>
        <v>-2.7456621710346532E-2</v>
      </c>
      <c r="X56" s="27">
        <f>IF(ISNUMBER(X55),X55*(1+PortfolioFrontier[[#This Row],[P6 Return]]),1+PortfolioFrontier[[#This Row],[P6 Return]])</f>
        <v>1.4516154309252038</v>
      </c>
      <c r="Y56" s="27">
        <f>MAX(Y55,PortfolioFrontier[[#This Row],[P6 Growth]])</f>
        <v>1.4925971050032361</v>
      </c>
      <c r="Z56" s="27">
        <f>PortfolioFrontier[[#This Row],[P6 Growth]]/PortfolioFrontier[[#This Row],[P6 HWM]]-1</f>
        <v>-2.7456621710346574E-2</v>
      </c>
      <c r="AA56" s="28">
        <f>SUMPRODUCT(INDEX(PortfolioRef[[SPY]:[PE]],MATCH(AA$1,PortfolioRef[Reference '#]),0),AssetMonthlyReturns[[#This Row],[SPY]:[PE]])</f>
        <v>-2.9497844338884298E-2</v>
      </c>
      <c r="AB56" s="27">
        <f>IF(ISNUMBER(AB55),AB55*(1+PortfolioFrontier[[#This Row],[P7 Return]]),1+PortfolioFrontier[[#This Row],[P7 Return]])</f>
        <v>1.466158380334047</v>
      </c>
      <c r="AC56" s="27">
        <f>MAX(AC55,PortfolioFrontier[[#This Row],[P7 Growth]])</f>
        <v>1.5107214051835725</v>
      </c>
      <c r="AD56" s="27">
        <f>PortfolioFrontier[[#This Row],[P7 Growth]]/PortfolioFrontier[[#This Row],[P7 HWM]]-1</f>
        <v>-2.9497844338884249E-2</v>
      </c>
      <c r="AE56" s="28">
        <f>SUMPRODUCT(INDEX(PortfolioRef[[SPY]:[PE]],MATCH(AE$1,PortfolioRef[Reference '#]),0),AssetMonthlyReturns[[#This Row],[SPY]:[PE]])</f>
        <v>-2.9118575922737512E-2</v>
      </c>
      <c r="AF56" s="27">
        <f>IF(ISNUMBER(AF55),AF55*(1+PortfolioFrontier[[#This Row],[P8 Return]]),1+PortfolioFrontier[[#This Row],[P8 Return]])</f>
        <v>1.4495105052665327</v>
      </c>
      <c r="AG56" s="27">
        <f>MAX(AG55,PortfolioFrontier[[#This Row],[P8 Growth]])</f>
        <v>1.4929840754180306</v>
      </c>
      <c r="AH56" s="27">
        <f>PortfolioFrontier[[#This Row],[P8 Growth]]/PortfolioFrontier[[#This Row],[P8 HWM]]-1</f>
        <v>-2.9118575922737477E-2</v>
      </c>
      <c r="AI56" s="28">
        <f>SUMPRODUCT(INDEX(PortfolioRef[[SPY]:[PE]],MATCH(AI$1,PortfolioRef[Reference '#]),0),AssetMonthlyReturns[[#This Row],[SPY]:[PE]])</f>
        <v>-2.7951359690277518E-2</v>
      </c>
      <c r="AJ56" s="27">
        <f>IF(ISNUMBER(AJ55),AJ55*(1+PortfolioFrontier[[#This Row],[P9 Return]]),1+PortfolioFrontier[[#This Row],[P9 Return]])</f>
        <v>1.4429860183173551</v>
      </c>
      <c r="AK56" s="27">
        <f>MAX(AK55,PortfolioFrontier[[#This Row],[P9 Growth]])</f>
        <v>1.4844792312631376</v>
      </c>
      <c r="AL56" s="27">
        <f>PortfolioFrontier[[#This Row],[P9 Growth]]/PortfolioFrontier[[#This Row],[P9 HWM]]-1</f>
        <v>-2.7951359690277511E-2</v>
      </c>
      <c r="AM56" s="28">
        <f>SUMPRODUCT(INDEX(PortfolioRef[[SPY]:[PE]],MATCH(AM$1,PortfolioRef[Reference '#]),0),AssetMonthlyReturns[[#This Row],[SPY]:[PE]])</f>
        <v>-3.1539066967422071E-2</v>
      </c>
      <c r="AN56" s="27">
        <f>IF(ISNUMBER(AN55),AN55*(1+PortfolioFrontier[[#This Row],[P10 Return]]),1+PortfolioFrontier[[#This Row],[P10 Return]])</f>
        <v>1.4806519749365039</v>
      </c>
      <c r="AO56" s="27">
        <f>MAX(AO55,PortfolioFrontier[[#This Row],[P10 Growth]])</f>
        <v>1.5288711443424805</v>
      </c>
      <c r="AP56" s="27">
        <f>PortfolioFrontier[[#This Row],[P10 Growth]]/PortfolioFrontier[[#This Row],[P10 HWM]]-1</f>
        <v>-3.1539066967422036E-2</v>
      </c>
      <c r="AQ56" s="28">
        <f>SUMPRODUCT(INDEX(PortfolioRef[[SPY]:[PE]],MATCH(AQ$1,PortfolioRef[Reference '#]),0),AssetMonthlyReturns[[#This Row],[SPY]:[PE]])</f>
        <v>-3.1159798551275281E-2</v>
      </c>
      <c r="AR56" s="27">
        <f>IF(ISNUMBER(AR55),AR55*(1+PortfolioFrontier[[#This Row],[P11 Return]]),1+PortfolioFrontier[[#This Row],[P11 Return]])</f>
        <v>1.4640007393129331</v>
      </c>
      <c r="AS56" s="27">
        <f>MAX(AS55,PortfolioFrontier[[#This Row],[P11 Growth]])</f>
        <v>1.5110858706356174</v>
      </c>
      <c r="AT56" s="27">
        <f>PortfolioFrontier[[#This Row],[P11 Growth]]/PortfolioFrontier[[#This Row],[P11 HWM]]-1</f>
        <v>-3.1159798551275375E-2</v>
      </c>
      <c r="AU56" s="28">
        <f>SUMPRODUCT(INDEX(PortfolioRef[[SPY]:[PE]],MATCH(AU$1,PortfolioRef[Reference '#]),0),AssetMonthlyReturns[[#This Row],[SPY]:[PE]])</f>
        <v>-2.9992582318815287E-2</v>
      </c>
      <c r="AV56" s="27">
        <f>IF(ISNUMBER(AV55),AV55*(1+PortfolioFrontier[[#This Row],[P12 Return]]),1+PortfolioFrontier[[#This Row],[P12 Return]])</f>
        <v>1.4574651996391637</v>
      </c>
      <c r="AW56" s="27">
        <f>MAX(AW55,PortfolioFrontier[[#This Row],[P12 Growth]])</f>
        <v>1.5025299529391776</v>
      </c>
      <c r="AX56" s="27">
        <f>PortfolioFrontier[[#This Row],[P12 Growth]]/PortfolioFrontier[[#This Row],[P12 HWM]]-1</f>
        <v>-2.9992582318815297E-2</v>
      </c>
      <c r="AY56" s="28">
        <f>SUMPRODUCT(INDEX(PortfolioRef[[SPY]:[PE]],MATCH(AY$1,PortfolioRef[Reference '#]),0),AssetMonthlyReturns[[#This Row],[SPY]:[PE]])</f>
        <v>-3.0780530135128496E-2</v>
      </c>
      <c r="AZ56" s="27">
        <f>IF(ISNUMBER(AZ55),AZ55*(1+PortfolioFrontier[[#This Row],[P13 Return]]),1+PortfolioFrontier[[#This Row],[P13 Return]])</f>
        <v>1.4469968558267956</v>
      </c>
      <c r="BA56" s="27">
        <f>MAX(BA55,PortfolioFrontier[[#This Row],[P13 Growth]])</f>
        <v>1.4929506688805332</v>
      </c>
      <c r="BB56" s="27">
        <f>PortfolioFrontier[[#This Row],[P13 Growth]]/PortfolioFrontier[[#This Row],[P13 HWM]]-1</f>
        <v>-3.0780530135128603E-2</v>
      </c>
      <c r="BC56" s="28">
        <f>SUMPRODUCT(INDEX(PortfolioRef[[SPY]:[PE]],MATCH(BC$1,PortfolioRef[Reference '#]),0),AssetMonthlyReturns[[#This Row],[SPY]:[PE]])</f>
        <v>-2.9613313902668501E-2</v>
      </c>
      <c r="BD56" s="27">
        <f>IF(ISNUMBER(BD55),BD55*(1+PortfolioFrontier[[#This Row],[P14 Return]]),1+PortfolioFrontier[[#This Row],[P14 Return]])</f>
        <v>1.4408874377533416</v>
      </c>
      <c r="BE56" s="27">
        <f>MAX(BE55,PortfolioFrontier[[#This Row],[P14 Growth]])</f>
        <v>1.48485903444147</v>
      </c>
      <c r="BF56" s="27">
        <f>PortfolioFrontier[[#This Row],[P14 Growth]]/PortfolioFrontier[[#This Row],[P14 HWM]]-1</f>
        <v>-2.9613313902668414E-2</v>
      </c>
      <c r="BG56" s="28">
        <f>SUMPRODUCT(INDEX(PortfolioRef[[SPY]:[PE]],MATCH(BG$1,PortfolioRef[Reference '#]),0),AssetMonthlyReturns[[#This Row],[SPY]:[PE]])</f>
        <v>-2.8446097670208507E-2</v>
      </c>
      <c r="BH56" s="27">
        <f>IF(ISNUMBER(BH55),BH55*(1+PortfolioFrontier[[#This Row],[P15 Return]]),1+PortfolioFrontier[[#This Row],[P15 Return]])</f>
        <v>1.4343219267775329</v>
      </c>
      <c r="BI56" s="27">
        <f>MAX(BI55,PortfolioFrontier[[#This Row],[P15 Growth]])</f>
        <v>1.4763173956051447</v>
      </c>
      <c r="BJ56" s="27">
        <f>PortfolioFrontier[[#This Row],[P15 Growth]]/PortfolioFrontier[[#This Row],[P15 HWM]]-1</f>
        <v>-2.8446097670208559E-2</v>
      </c>
      <c r="BK56" s="28">
        <f>SUMPRODUCT(INDEX(PortfolioRef[[SPY]:[PE]],MATCH(BK$1,PortfolioRef[Reference '#]),0),AssetMonthlyReturns[[#This Row],[SPY]:[PE]])</f>
        <v>-2.543759934037151E-2</v>
      </c>
      <c r="BL56" s="27">
        <f>IF(ISNUMBER(BL55),BL55*(1+PortfolioFrontier[[#This Row],[P16 Return]]),1+PortfolioFrontier[[#This Row],[P16 Return]])</f>
        <v>1.4235855884949831</v>
      </c>
      <c r="BM56" s="27">
        <f>MAX(BM55,PortfolioFrontier[[#This Row],[P16 Growth]])</f>
        <v>1.4607433936825749</v>
      </c>
      <c r="BN56" s="27">
        <f>PortfolioFrontier[[#This Row],[P16 Growth]]/PortfolioFrontier[[#This Row],[P16 HWM]]-1</f>
        <v>-2.5437599340371486E-2</v>
      </c>
      <c r="BO56" s="28">
        <f>SUMPRODUCT(INDEX(PortfolioRef[[SPY]:[PE]],MATCH(BO$1,PortfolioRef[Reference '#]),0),AssetMonthlyReturns[[#This Row],[SPY]:[PE]])</f>
        <v>-2.7478821968909276E-2</v>
      </c>
      <c r="BP56" s="27">
        <f>IF(ISNUMBER(BP55),BP55*(1+PortfolioFrontier[[#This Row],[P17 Return]]),1+PortfolioFrontier[[#This Row],[P17 Return]])</f>
        <v>1.4378736223177468</v>
      </c>
      <c r="BQ56" s="27">
        <f>MAX(BQ55,PortfolioFrontier[[#This Row],[P17 Growth]])</f>
        <v>1.4785010905662552</v>
      </c>
      <c r="BR56" s="27">
        <f>PortfolioFrontier[[#This Row],[P17 Growth]]/PortfolioFrontier[[#This Row],[P17 HWM]]-1</f>
        <v>-2.7478821968909273E-2</v>
      </c>
      <c r="BS56" s="28">
        <f>SUMPRODUCT(INDEX(PortfolioRef[[SPY]:[PE]],MATCH(BS$1,PortfolioRef[Reference '#]),0),AssetMonthlyReturns[[#This Row],[SPY]:[PE]])</f>
        <v>-2.709955355276249E-2</v>
      </c>
      <c r="BT56" s="27">
        <f>IF(ISNUMBER(BT55),BT55*(1+PortfolioFrontier[[#This Row],[P18 Return]]),1+PortfolioFrontier[[#This Row],[P18 Return]])</f>
        <v>1.4218073945191956</v>
      </c>
      <c r="BU56" s="27">
        <f>MAX(BU55,PortfolioFrontier[[#This Row],[P18 Growth]])</f>
        <v>1.4614109796241144</v>
      </c>
      <c r="BV56" s="27">
        <f>PortfolioFrontier[[#This Row],[P18 Growth]]/PortfolioFrontier[[#This Row],[P18 HWM]]-1</f>
        <v>-2.7099553552762501E-2</v>
      </c>
      <c r="BW56" s="28">
        <f>SUMPRODUCT(INDEX(PortfolioRef[[SPY]:[PE]],MATCH(BW$1,PortfolioRef[Reference '#]),0),AssetMonthlyReturns[[#This Row],[SPY]:[PE]])</f>
        <v>-2.5932337320302496E-2</v>
      </c>
      <c r="BX56" s="27">
        <f>IF(ISNUMBER(BX55),BX55*(1+PortfolioFrontier[[#This Row],[P19 Return]]),1+PortfolioFrontier[[#This Row],[P19 Return]])</f>
        <v>1.4151700246784873</v>
      </c>
      <c r="BY56" s="27">
        <f>MAX(BY55,PortfolioFrontier[[#This Row],[P19 Growth]])</f>
        <v>1.4528457096966965</v>
      </c>
      <c r="BZ56" s="27">
        <f>PortfolioFrontier[[#This Row],[P19 Growth]]/PortfolioFrontier[[#This Row],[P19 HWM]]-1</f>
        <v>-2.5932337320302645E-2</v>
      </c>
      <c r="CA56" s="28">
        <f>SUMPRODUCT(INDEX(PortfolioRef[[SPY]:[PE]],MATCH(CA$1,PortfolioRef[Reference '#]),0),AssetMonthlyReturns[[#This Row],[SPY]:[PE]])</f>
        <v>-2.9520044597447045E-2</v>
      </c>
      <c r="CB56" s="27">
        <f>IF(ISNUMBER(CB55),CB55*(1+PortfolioFrontier[[#This Row],[P20 Return]]),1+PortfolioFrontier[[#This Row],[P20 Return]])</f>
        <v>1.452113384624494</v>
      </c>
      <c r="CC56" s="27">
        <f>MAX(CC55,PortfolioFrontier[[#This Row],[P20 Growth]])</f>
        <v>1.4962837475835971</v>
      </c>
      <c r="CD56" s="27">
        <f>PortfolioFrontier[[#This Row],[P20 Growth]]/PortfolioFrontier[[#This Row],[P20 HWM]]-1</f>
        <v>-2.9520044597447059E-2</v>
      </c>
      <c r="CE56" s="28">
        <f>SUMPRODUCT(INDEX(PortfolioRef[[SPY]:[PE]],MATCH(CE$1,PortfolioRef[Reference '#]),0),AssetMonthlyReturns[[#This Row],[SPY]:[PE]])</f>
        <v>-2.9140776181300256E-2</v>
      </c>
      <c r="CF56" s="27">
        <f>IF(ISNUMBER(CF55),CF55*(1+PortfolioFrontier[[#This Row],[P21 Return]]),1+PortfolioFrontier[[#This Row],[P21 Return]])</f>
        <v>1.4360462740362336</v>
      </c>
      <c r="CG56" s="27">
        <f>MAX(CG55,PortfolioFrontier[[#This Row],[P21 Growth]])</f>
        <v>1.4791498487162789</v>
      </c>
      <c r="CH56" s="27">
        <f>PortfolioFrontier[[#This Row],[P21 Growth]]/PortfolioFrontier[[#This Row],[P21 HWM]]-1</f>
        <v>-2.9140776181300287E-2</v>
      </c>
      <c r="CI56" s="28">
        <f>SUMPRODUCT(INDEX(PortfolioRef[[SPY]:[PE]],MATCH(CI$1,PortfolioRef[Reference '#]),0),AssetMonthlyReturns[[#This Row],[SPY]:[PE]])</f>
        <v>-2.7973559948840262E-2</v>
      </c>
      <c r="CJ56" s="27">
        <f>IF(ISNUMBER(CJ55),CJ55*(1+PortfolioFrontier[[#This Row],[P22 Return]]),1+PortfolioFrontier[[#This Row],[P22 Return]])</f>
        <v>1.4293958469088943</v>
      </c>
      <c r="CK56" s="27">
        <f>MAX(CK55,PortfolioFrontier[[#This Row],[P22 Growth]])</f>
        <v>1.4705318579952025</v>
      </c>
      <c r="CL56" s="27">
        <f>PortfolioFrontier[[#This Row],[P22 Growth]]/PortfolioFrontier[[#This Row],[P22 HWM]]-1</f>
        <v>-2.797355994884021E-2</v>
      </c>
      <c r="CM56" s="28">
        <f>SUMPRODUCT(INDEX(PortfolioRef[[SPY]:[PE]],MATCH(CM$1,PortfolioRef[Reference '#]),0),AssetMonthlyReturns[[#This Row],[SPY]:[PE]])</f>
        <v>-2.876150776515347E-2</v>
      </c>
      <c r="CN56" s="27">
        <f>IF(ISNUMBER(CN55),CN55*(1+PortfolioFrontier[[#This Row],[P23 Return]]),1+PortfolioFrontier[[#This Row],[P23 Return]])</f>
        <v>1.4196299166848998</v>
      </c>
      <c r="CO56" s="27">
        <f>MAX(CO55,PortfolioFrontier[[#This Row],[P23 Growth]])</f>
        <v>1.4616697423289848</v>
      </c>
      <c r="CP56" s="27">
        <f>PortfolioFrontier[[#This Row],[P23 Growth]]/PortfolioFrontier[[#This Row],[P23 HWM]]-1</f>
        <v>-2.8761507765153516E-2</v>
      </c>
      <c r="CQ56" s="28">
        <f>SUMPRODUCT(INDEX(PortfolioRef[[SPY]:[PE]],MATCH(CQ$1,PortfolioRef[Reference '#]),0),AssetMonthlyReturns[[#This Row],[SPY]:[PE]])</f>
        <v>-2.7594291532693476E-2</v>
      </c>
      <c r="CR56" s="27">
        <f>IF(ISNUMBER(CR55),CR55*(1+PortfolioFrontier[[#This Row],[P24 Return]]),1+PortfolioFrontier[[#This Row],[P24 Return]])</f>
        <v>1.4133964383766227</v>
      </c>
      <c r="CS56" s="27">
        <f>MAX(CS55,PortfolioFrontier[[#This Row],[P24 Growth]])</f>
        <v>1.4535048756597697</v>
      </c>
      <c r="CT56" s="27">
        <f>PortfolioFrontier[[#This Row],[P24 Growth]]/PortfolioFrontier[[#This Row],[P24 HWM]]-1</f>
        <v>-2.7594291532693438E-2</v>
      </c>
      <c r="CU56" s="28">
        <f>SUMPRODUCT(INDEX(PortfolioRef[[SPY]:[PE]],MATCH(CU$1,PortfolioRef[Reference '#]),0),AssetMonthlyReturns[[#This Row],[SPY]:[PE]])</f>
        <v>-2.6427075300233482E-2</v>
      </c>
      <c r="CV56" s="27">
        <f>IF(ISNUMBER(CV55),CV55*(1+PortfolioFrontier[[#This Row],[P25 Return]]),1+PortfolioFrontier[[#This Row],[P25 Return]])</f>
        <v>1.4067199347859465</v>
      </c>
      <c r="CW56" s="27">
        <f>MAX(CW55,PortfolioFrontier[[#This Row],[P25 Growth]])</f>
        <v>1.4449045357539654</v>
      </c>
      <c r="CX56" s="27">
        <f>PortfolioFrontier[[#This Row],[P25 Growth]]/PortfolioFrontier[[#This Row],[P25 HWM]]-1</f>
        <v>-2.6427075300233471E-2</v>
      </c>
      <c r="CY56" s="28">
        <f>SUMPRODUCT(INDEX(PortfolioRef[[SPY]:[PE]],MATCH(CY$1,PortfolioRef[Reference '#]),0),AssetMonthlyReturns[[#This Row],[SPY]:[PE]])</f>
        <v>-3.1181998809838032E-2</v>
      </c>
      <c r="CZ56" s="27">
        <f>IF(ISNUMBER(CZ55),CZ55*(1+PortfolioFrontier[[#This Row],[P26 Return]]),1+PortfolioFrontier[[#This Row],[P26 Return]])</f>
        <v>1.4502365562178363</v>
      </c>
      <c r="DA56" s="27">
        <f>MAX(DA55,PortfolioFrontier[[#This Row],[P26 Growth]])</f>
        <v>1.496913305116407</v>
      </c>
      <c r="DB56" s="27">
        <f>PortfolioFrontier[[#This Row],[P26 Growth]]/PortfolioFrontier[[#This Row],[P26 HWM]]-1</f>
        <v>-3.1181998809838074E-2</v>
      </c>
      <c r="DC56" s="28">
        <f>SUMPRODUCT(INDEX(PortfolioRef[[SPY]:[PE]],MATCH(DC$1,PortfolioRef[Reference '#]),0),AssetMonthlyReturns[[#This Row],[SPY]:[PE]])</f>
        <v>-3.0014782577378038E-2</v>
      </c>
      <c r="DD56" s="27">
        <f>IF(ISNUMBER(DD55),DD55*(1+PortfolioFrontier[[#This Row],[P27 Return]]),1+PortfolioFrontier[[#This Row],[P27 Return]])</f>
        <v>1.4435740846578087</v>
      </c>
      <c r="DE56" s="27">
        <f>MAX(DE55,PortfolioFrontier[[#This Row],[P27 Growth]])</f>
        <v>1.4882433863204374</v>
      </c>
      <c r="DF56" s="27">
        <f>PortfolioFrontier[[#This Row],[P27 Growth]]/PortfolioFrontier[[#This Row],[P27 HWM]]-1</f>
        <v>-3.0014782577377996E-2</v>
      </c>
      <c r="DG56" s="28">
        <f>SUMPRODUCT(INDEX(PortfolioRef[[SPY]:[PE]],MATCH(DG$1,PortfolioRef[Reference '#]),0),AssetMonthlyReturns[[#This Row],[SPY]:[PE]])</f>
        <v>-3.080273039369124E-2</v>
      </c>
      <c r="DH56" s="27">
        <f>IF(ISNUMBER(DH55),DH55*(1+PortfolioFrontier[[#This Row],[P28 Return]]),1+PortfolioFrontier[[#This Row],[P28 Return]])</f>
        <v>1.4338160379679645</v>
      </c>
      <c r="DI56" s="27">
        <f>MAX(DI55,PortfolioFrontier[[#This Row],[P28 Growth]])</f>
        <v>1.4793851395705906</v>
      </c>
      <c r="DJ56" s="27">
        <f>PortfolioFrontier[[#This Row],[P28 Growth]]/PortfolioFrontier[[#This Row],[P28 HWM]]-1</f>
        <v>-3.0802730393691191E-2</v>
      </c>
      <c r="DK56" s="28">
        <f>SUMPRODUCT(INDEX(PortfolioRef[[SPY]:[PE]],MATCH(DK$1,PortfolioRef[Reference '#]),0),AssetMonthlyReturns[[#This Row],[SPY]:[PE]])</f>
        <v>-2.9635514161231245E-2</v>
      </c>
      <c r="DL56" s="27">
        <f>IF(ISNUMBER(DL55),DL55*(1+PortfolioFrontier[[#This Row],[P29 Return]]),1+PortfolioFrontier[[#This Row],[P29 Return]])</f>
        <v>1.42757331163645</v>
      </c>
      <c r="DM56" s="27">
        <f>MAX(DM55,PortfolioFrontier[[#This Row],[P29 Growth]])</f>
        <v>1.4711722579196378</v>
      </c>
      <c r="DN56" s="27">
        <f>PortfolioFrontier[[#This Row],[P29 Growth]]/PortfolioFrontier[[#This Row],[P29 HWM]]-1</f>
        <v>-2.9635514161231113E-2</v>
      </c>
      <c r="DO56" s="28">
        <f>SUMPRODUCT(INDEX(PortfolioRef[[SPY]:[PE]],MATCH(DO$1,PortfolioRef[Reference '#]),0),AssetMonthlyReturns[[#This Row],[SPY]:[PE]])</f>
        <v>-2.8468297928771251E-2</v>
      </c>
      <c r="DP56" s="27">
        <f>IF(ISNUMBER(DP55),DP55*(1+PortfolioFrontier[[#This Row],[P30 Return]]),1+PortfolioFrontier[[#This Row],[P30 Return]])</f>
        <v>1.4208829365270921</v>
      </c>
      <c r="DQ56" s="27">
        <f>MAX(DQ55,PortfolioFrontier[[#This Row],[P30 Growth]])</f>
        <v>1.4625183444841605</v>
      </c>
      <c r="DR56" s="27">
        <f>PortfolioFrontier[[#This Row],[P30 Growth]]/PortfolioFrontier[[#This Row],[P30 HWM]]-1</f>
        <v>-2.8468297928771258E-2</v>
      </c>
      <c r="DS56" s="28">
        <f>SUMPRODUCT(INDEX(PortfolioRef[[SPY]:[PE]],MATCH(DS$1,PortfolioRef[Reference '#]),0),AssetMonthlyReturns[[#This Row],[SPY]:[PE]])</f>
        <v>-3.0423461977544454E-2</v>
      </c>
      <c r="DT56" s="27">
        <f>IF(ISNUMBER(DT55),DT55*(1+PortfolioFrontier[[#This Row],[P31 Return]]),1+PortfolioFrontier[[#This Row],[P31 Return]])</f>
        <v>1.4170513499592388</v>
      </c>
      <c r="DU56" s="27">
        <f>MAX(DU55,PortfolioFrontier[[#This Row],[P31 Growth]])</f>
        <v>1.4615157178302303</v>
      </c>
      <c r="DV56" s="27">
        <f>PortfolioFrontier[[#This Row],[P31 Growth]]/PortfolioFrontier[[#This Row],[P31 HWM]]-1</f>
        <v>-3.0423461977544419E-2</v>
      </c>
      <c r="DW56" s="28">
        <f>SUMPRODUCT(INDEX(PortfolioRef[[SPY]:[PE]],MATCH(DW$1,PortfolioRef[Reference '#]),0),AssetMonthlyReturns[[#This Row],[SPY]:[PE]])</f>
        <v>-2.925624574508446E-2</v>
      </c>
      <c r="DX56" s="27">
        <f>IF(ISNUMBER(DX55),DX55*(1+PortfolioFrontier[[#This Row],[P32 Return]]),1+PortfolioFrontier[[#This Row],[P32 Return]])</f>
        <v>1.4112259485773957</v>
      </c>
      <c r="DY56" s="27">
        <f>MAX(DY55,PortfolioFrontier[[#This Row],[P32 Growth]])</f>
        <v>1.4537574332997565</v>
      </c>
      <c r="DZ56" s="27">
        <f>PortfolioFrontier[[#This Row],[P32 Growth]]/PortfolioFrontier[[#This Row],[P32 HWM]]-1</f>
        <v>-2.9256245745084342E-2</v>
      </c>
      <c r="EA56" s="28">
        <f>SUMPRODUCT(INDEX(PortfolioRef[[SPY]:[PE]],MATCH(EA$1,PortfolioRef[Reference '#]),0),AssetMonthlyReturns[[#This Row],[SPY]:[PE]])</f>
        <v>-2.8089029512624465E-2</v>
      </c>
      <c r="EB56" s="27">
        <f>IF(ISNUMBER(EB55),EB55*(1+PortfolioFrontier[[#This Row],[P33 Return]]),1+PortfolioFrontier[[#This Row],[P33 Return]])</f>
        <v>1.4049509549219743</v>
      </c>
      <c r="EC56" s="27">
        <f>MAX(EC55,PortfolioFrontier[[#This Row],[P33 Growth]])</f>
        <v>1.4455551975274505</v>
      </c>
      <c r="ED56" s="27">
        <f>PortfolioFrontier[[#This Row],[P33 Growth]]/PortfolioFrontier[[#This Row],[P33 HWM]]-1</f>
        <v>-2.8089029512624486E-2</v>
      </c>
      <c r="EE56" s="28">
        <f>SUMPRODUCT(INDEX(PortfolioRef[[SPY]:[PE]],MATCH(EE$1,PortfolioRef[Reference '#]),0),AssetMonthlyReturns[[#This Row],[SPY]:[PE]])</f>
        <v>-2.3418576970396485E-2</v>
      </c>
      <c r="EF56" s="27">
        <f>IF(ISNUMBER(EF55),EF55*(1+PortfolioFrontier[[#This Row],[P34 Return]]),1+PortfolioFrontier[[#This Row],[P34 Return]])</f>
        <v>1.395705454084492</v>
      </c>
      <c r="EG56" s="27">
        <f>MAX(EG55,PortfolioFrontier[[#This Row],[P34 Growth]])</f>
        <v>1.429174691603962</v>
      </c>
      <c r="EH56" s="27">
        <f>PortfolioFrontier[[#This Row],[P34 Growth]]/PortfolioFrontier[[#This Row],[P34 HWM]]-1</f>
        <v>-2.341857697039651E-2</v>
      </c>
      <c r="EI56" s="28">
        <f>SUMPRODUCT(INDEX(PortfolioRef[[SPY]:[PE]],MATCH(EI$1,PortfolioRef[Reference '#]),0),AssetMonthlyReturns[[#This Row],[SPY]:[PE]])</f>
        <v>-2.5459799598934255E-2</v>
      </c>
      <c r="EJ56" s="27">
        <f>IF(ISNUMBER(EJ55),EJ55*(1+PortfolioFrontier[[#This Row],[P35 Return]]),1+PortfolioFrontier[[#This Row],[P35 Return]])</f>
        <v>1.4097395695930126</v>
      </c>
      <c r="EK56" s="27">
        <f>MAX(EK55,PortfolioFrontier[[#This Row],[P35 Growth]])</f>
        <v>1.4465689245172682</v>
      </c>
      <c r="EL56" s="27">
        <f>PortfolioFrontier[[#This Row],[P35 Growth]]/PortfolioFrontier[[#This Row],[P35 HWM]]-1</f>
        <v>-2.5459799598934296E-2</v>
      </c>
      <c r="EM56" s="28">
        <f>SUMPRODUCT(INDEX(PortfolioRef[[SPY]:[PE]],MATCH(EM$1,PortfolioRef[Reference '#]),0),AssetMonthlyReturns[[#This Row],[SPY]:[PE]])</f>
        <v>-2.5080531182787469E-2</v>
      </c>
      <c r="EN56" s="27">
        <f>IF(ISNUMBER(EN55),EN55*(1+PortfolioFrontier[[#This Row],[P36 Return]]),1+PortfolioFrontier[[#This Row],[P36 Return]])</f>
        <v>1.3942409671924372</v>
      </c>
      <c r="EO56" s="27">
        <f>MAX(EO55,PortfolioFrontier[[#This Row],[P36 Growth]])</f>
        <v>1.4301088569745684</v>
      </c>
      <c r="EP56" s="27">
        <f>PortfolioFrontier[[#This Row],[P36 Growth]]/PortfolioFrontier[[#This Row],[P36 HWM]]-1</f>
        <v>-2.5080531182787413E-2</v>
      </c>
      <c r="EQ56" s="28">
        <f>SUMPRODUCT(INDEX(PortfolioRef[[SPY]:[PE]],MATCH(EQ$1,PortfolioRef[Reference '#]),0),AssetMonthlyReturns[[#This Row],[SPY]:[PE]])</f>
        <v>-2.3913314950327474E-2</v>
      </c>
      <c r="ER56" s="27">
        <f>IF(ISNUMBER(ER55),ER55*(1+PortfolioFrontier[[#This Row],[P37 Return]]),1+PortfolioFrontier[[#This Row],[P37 Return]])</f>
        <v>1.3875007707434841</v>
      </c>
      <c r="ES56" s="27">
        <f>MAX(ES55,PortfolioFrontier[[#This Row],[P37 Growth]])</f>
        <v>1.4214933898753828</v>
      </c>
      <c r="ET56" s="27">
        <f>PortfolioFrontier[[#This Row],[P37 Growth]]/PortfolioFrontier[[#This Row],[P37 HWM]]-1</f>
        <v>-2.3913314950327447E-2</v>
      </c>
      <c r="EU56" s="28">
        <f>SUMPRODUCT(INDEX(PortfolioRef[[SPY]:[PE]],MATCH(EU$1,PortfolioRef[Reference '#]),0),AssetMonthlyReturns[[#This Row],[SPY]:[PE]])</f>
        <v>-2.7501022227472027E-2</v>
      </c>
      <c r="EV56" s="27">
        <f>IF(ISNUMBER(EV55),EV55*(1+PortfolioFrontier[[#This Row],[P38 Return]]),1+PortfolioFrontier[[#This Row],[P38 Return]])</f>
        <v>1.4237264912415633</v>
      </c>
      <c r="EW56" s="27">
        <f>MAX(EW55,PortfolioFrontier[[#This Row],[P38 Growth]])</f>
        <v>1.4639876480924996</v>
      </c>
      <c r="EX56" s="27">
        <f>PortfolioFrontier[[#This Row],[P38 Growth]]/PortfolioFrontier[[#This Row],[P38 HWM]]-1</f>
        <v>-2.7501022227472083E-2</v>
      </c>
      <c r="EY56" s="28">
        <f>SUMPRODUCT(INDEX(PortfolioRef[[SPY]:[PE]],MATCH(EY$1,PortfolioRef[Reference '#]),0),AssetMonthlyReturns[[#This Row],[SPY]:[PE]])</f>
        <v>-2.7121753811325238E-2</v>
      </c>
      <c r="EZ56" s="27">
        <f>IF(ISNUMBER(EZ55),EZ55*(1+PortfolioFrontier[[#This Row],[P39 Return]]),1+PortfolioFrontier[[#This Row],[P39 Return]])</f>
        <v>1.4082293771030021</v>
      </c>
      <c r="FA56" s="27">
        <f>MAX(FA55,PortfolioFrontier[[#This Row],[P39 Growth]])</f>
        <v>1.4474877844374143</v>
      </c>
      <c r="FB56" s="27">
        <f>PortfolioFrontier[[#This Row],[P39 Growth]]/PortfolioFrontier[[#This Row],[P39 HWM]]-1</f>
        <v>-2.7121753811325311E-2</v>
      </c>
      <c r="FC56" s="28">
        <f>SUMPRODUCT(INDEX(PortfolioRef[[SPY]:[PE]],MATCH(FC$1,PortfolioRef[Reference '#]),0),AssetMonthlyReturns[[#This Row],[SPY]:[PE]])</f>
        <v>-2.5954537578865244E-2</v>
      </c>
      <c r="FD56" s="27">
        <f>IF(ISNUMBER(FD55),FD55*(1+PortfolioFrontier[[#This Row],[P40 Return]]),1+PortfolioFrontier[[#This Row],[P40 Return]])</f>
        <v>1.401474209463762</v>
      </c>
      <c r="FE56" s="27">
        <f>MAX(FE55,PortfolioFrontier[[#This Row],[P40 Growth]])</f>
        <v>1.4388180670542723</v>
      </c>
      <c r="FF56" s="27">
        <f>PortfolioFrontier[[#This Row],[P40 Growth]]/PortfolioFrontier[[#This Row],[P40 HWM]]-1</f>
        <v>-2.5954537578865233E-2</v>
      </c>
      <c r="FG56" s="28">
        <f>SUMPRODUCT(INDEX(PortfolioRef[[SPY]:[PE]],MATCH(FG$1,PortfolioRef[Reference '#]),0),AssetMonthlyReturns[[#This Row],[SPY]:[PE]])</f>
        <v>-2.6742485395178449E-2</v>
      </c>
      <c r="FH56" s="27">
        <f>IF(ISNUMBER(FH55),FH55*(1+PortfolioFrontier[[#This Row],[P41 Return]]),1+PortfolioFrontier[[#This Row],[P41 Return]])</f>
        <v>1.3923865876873345</v>
      </c>
      <c r="FI56" s="27">
        <f>MAX(FI55,PortfolioFrontier[[#This Row],[P41 Growth]])</f>
        <v>1.4306456069365103</v>
      </c>
      <c r="FJ56" s="27">
        <f>PortfolioFrontier[[#This Row],[P41 Growth]]/PortfolioFrontier[[#This Row],[P41 HWM]]-1</f>
        <v>-2.6742485395178428E-2</v>
      </c>
      <c r="FK56" s="28">
        <f>SUMPRODUCT(INDEX(PortfolioRef[[SPY]:[PE]],MATCH(FK$1,PortfolioRef[Reference '#]),0),AssetMonthlyReturns[[#This Row],[SPY]:[PE]])</f>
        <v>-2.5575269162718454E-2</v>
      </c>
      <c r="FL56" s="27">
        <f>IF(ISNUMBER(FL55),FL55*(1+PortfolioFrontier[[#This Row],[P42 Return]]),1+PortfolioFrontier[[#This Row],[P42 Return]])</f>
        <v>1.3860392456418023</v>
      </c>
      <c r="FM56" s="27">
        <f>MAX(FM55,PortfolioFrontier[[#This Row],[P42 Growth]])</f>
        <v>1.4224179680362155</v>
      </c>
      <c r="FN56" s="27">
        <f>PortfolioFrontier[[#This Row],[P42 Growth]]/PortfolioFrontier[[#This Row],[P42 HWM]]-1</f>
        <v>-2.5575269162718461E-2</v>
      </c>
      <c r="FO56" s="28">
        <f>SUMPRODUCT(INDEX(PortfolioRef[[SPY]:[PE]],MATCH(FO$1,PortfolioRef[Reference '#]),0),AssetMonthlyReturns[[#This Row],[SPY]:[PE]])</f>
        <v>-2.440805293025846E-2</v>
      </c>
      <c r="FP56" s="27">
        <f>IF(ISNUMBER(FP55),FP55*(1+PortfolioFrontier[[#This Row],[P43 Return]]),1+PortfolioFrontier[[#This Row],[P43 Return]])</f>
        <v>1.3792617329824333</v>
      </c>
      <c r="FQ56" s="27">
        <f>MAX(FQ55,PortfolioFrontier[[#This Row],[P43 Growth]])</f>
        <v>1.4137690836062577</v>
      </c>
      <c r="FR56" s="27">
        <f>PortfolioFrontier[[#This Row],[P43 Growth]]/PortfolioFrontier[[#This Row],[P43 HWM]]-1</f>
        <v>-2.4408052930258384E-2</v>
      </c>
      <c r="FS56" s="28">
        <f>SUMPRODUCT(INDEX(PortfolioRef[[SPY]:[PE]],MATCH(FS$1,PortfolioRef[Reference '#]),0),AssetMonthlyReturns[[#This Row],[SPY]:[PE]])</f>
        <v>-2.9162976439863007E-2</v>
      </c>
      <c r="FT56" s="27">
        <f>IF(ISNUMBER(FT55),FT55*(1+PortfolioFrontier[[#This Row],[P44 Return]]),1+PortfolioFrontier[[#This Row],[P44 Return]])</f>
        <v>1.4221702602110922</v>
      </c>
      <c r="FU56" s="27">
        <f>MAX(FU55,PortfolioFrontier[[#This Row],[P44 Growth]])</f>
        <v>1.464890837182826</v>
      </c>
      <c r="FV56" s="27">
        <f>PortfolioFrontier[[#This Row],[P44 Growth]]/PortfolioFrontier[[#This Row],[P44 HWM]]-1</f>
        <v>-2.9162976439862875E-2</v>
      </c>
      <c r="FW56" s="28">
        <f>SUMPRODUCT(INDEX(PortfolioRef[[SPY]:[PE]],MATCH(FW$1,PortfolioRef[Reference '#]),0),AssetMonthlyReturns[[#This Row],[SPY]:[PE]])</f>
        <v>-2.7995760207403013E-2</v>
      </c>
      <c r="FX56" s="27">
        <f>IF(ISNUMBER(FX55),FX55*(1+PortfolioFrontier[[#This Row],[P45 Return]]),1+PortfolioFrontier[[#This Row],[P45 Return]])</f>
        <v>1.4154011274656673</v>
      </c>
      <c r="FY56" s="27">
        <f>MAX(FY55,PortfolioFrontier[[#This Row],[P45 Growth]])</f>
        <v>1.4561676477539653</v>
      </c>
      <c r="FZ56" s="27">
        <f>PortfolioFrontier[[#This Row],[P45 Growth]]/PortfolioFrontier[[#This Row],[P45 HWM]]-1</f>
        <v>-2.799576020740302E-2</v>
      </c>
      <c r="GA56" s="28">
        <f>SUMPRODUCT(INDEX(PortfolioRef[[SPY]:[PE]],MATCH(GA$1,PortfolioRef[Reference '#]),0),AssetMonthlyReturns[[#This Row],[SPY]:[PE]])</f>
        <v>-2.8783708023716218E-2</v>
      </c>
      <c r="GB56" s="27">
        <f>IF(ISNUMBER(GB55),GB55*(1+PortfolioFrontier[[#This Row],[P46 Return]]),1+PortfolioFrontier[[#This Row],[P46 Return]])</f>
        <v>1.4063257556334372</v>
      </c>
      <c r="GC56" s="27">
        <f>MAX(GC55,PortfolioFrontier[[#This Row],[P46 Growth]])</f>
        <v>1.4480047001392131</v>
      </c>
      <c r="GD56" s="27">
        <f>PortfolioFrontier[[#This Row],[P46 Growth]]/PortfolioFrontier[[#This Row],[P46 HWM]]-1</f>
        <v>-2.8783708023716215E-2</v>
      </c>
      <c r="GE56" s="28">
        <f>SUMPRODUCT(INDEX(PortfolioRef[[SPY]:[PE]],MATCH(GE$1,PortfolioRef[Reference '#]),0),AssetMonthlyReturns[[#This Row],[SPY]:[PE]])</f>
        <v>-2.7616491791256224E-2</v>
      </c>
      <c r="GF56" s="27">
        <f>IF(ISNUMBER(GF55),GF55*(1+PortfolioFrontier[[#This Row],[P47 Return]]),1+PortfolioFrontier[[#This Row],[P47 Return]])</f>
        <v>1.3999671688644948</v>
      </c>
      <c r="GG56" s="27">
        <f>MAX(GG55,PortfolioFrontier[[#This Row],[P47 Growth]])</f>
        <v>1.4397273884698183</v>
      </c>
      <c r="GH56" s="27">
        <f>PortfolioFrontier[[#This Row],[P47 Growth]]/PortfolioFrontier[[#This Row],[P47 HWM]]-1</f>
        <v>-2.7616491791256248E-2</v>
      </c>
      <c r="GI56" s="28">
        <f>SUMPRODUCT(INDEX(PortfolioRef[[SPY]:[PE]],MATCH(GI$1,PortfolioRef[Reference '#]),0),AssetMonthlyReturns[[#This Row],[SPY]:[PE]])</f>
        <v>-2.6449275558796229E-2</v>
      </c>
      <c r="GJ56" s="27">
        <f>IF(ISNUMBER(GJ55),GJ55*(1+PortfolioFrontier[[#This Row],[P48 Return]]),1+PortfolioFrontier[[#This Row],[P48 Return]])</f>
        <v>1.393173893500421</v>
      </c>
      <c r="GK56" s="27">
        <f>MAX(GK55,PortfolioFrontier[[#This Row],[P48 Growth]])</f>
        <v>1.4310234264373554</v>
      </c>
      <c r="GL56" s="27">
        <f>PortfolioFrontier[[#This Row],[P48 Growth]]/PortfolioFrontier[[#This Row],[P48 HWM]]-1</f>
        <v>-2.6449275558796281E-2</v>
      </c>
      <c r="GM56" s="28">
        <f>SUMPRODUCT(INDEX(PortfolioRef[[SPY]:[PE]],MATCH(GM$1,PortfolioRef[Reference '#]),0),AssetMonthlyReturns[[#This Row],[SPY]:[PE]])</f>
        <v>-2.8404439607569432E-2</v>
      </c>
      <c r="GN56" s="27">
        <f>IF(ISNUMBER(GN55),GN55*(1+PortfolioFrontier[[#This Row],[P49 Return]]),1+PortfolioFrontier[[#This Row],[P49 Return]])</f>
        <v>1.390140387799532</v>
      </c>
      <c r="GO56" s="27">
        <f>MAX(GO55,PortfolioFrontier[[#This Row],[P49 Growth]])</f>
        <v>1.4307809179758395</v>
      </c>
      <c r="GP56" s="27">
        <f>PortfolioFrontier[[#This Row],[P49 Growth]]/PortfolioFrontier[[#This Row],[P49 HWM]]-1</f>
        <v>-2.8404439607569443E-2</v>
      </c>
      <c r="GQ56" s="28">
        <f>SUMPRODUCT(INDEX(PortfolioRef[[SPY]:[PE]],MATCH(GQ$1,PortfolioRef[Reference '#]),0),AssetMonthlyReturns[[#This Row],[SPY]:[PE]])</f>
        <v>-2.7237223375109438E-2</v>
      </c>
      <c r="GR56" s="27">
        <f>IF(ISNUMBER(GR55),GR55*(1+PortfolioFrontier[[#This Row],[P50 Return]]),1+PortfolioFrontier[[#This Row],[P50 Return]])</f>
        <v>1.3841901352221857</v>
      </c>
      <c r="GS56" s="27">
        <f>MAX(GS55,PortfolioFrontier[[#This Row],[P50 Growth]])</f>
        <v>1.4229472678064312</v>
      </c>
      <c r="GT56" s="27">
        <f>PortfolioFrontier[[#This Row],[P50 Growth]]/PortfolioFrontier[[#This Row],[P50 HWM]]-1</f>
        <v>-2.7237223375109476E-2</v>
      </c>
      <c r="GU56" s="28">
        <f>SUMPRODUCT(INDEX(PortfolioRef[[SPY]:[PE]],MATCH(GU$1,PortfolioRef[Reference '#]),0),AssetMonthlyReturns[[#This Row],[SPY]:[PE]])</f>
        <v>-2.6070007142649444E-2</v>
      </c>
      <c r="GV56" s="27">
        <f>IF(ISNUMBER(GV55),GV55*(1+PortfolioFrontier[[#This Row],[P51 Return]]),1+PortfolioFrontier[[#This Row],[P51 Return]])</f>
        <v>1.3778031631265026</v>
      </c>
      <c r="GW56" s="27">
        <f>MAX(GW55,PortfolioFrontier[[#This Row],[P51 Growth]])</f>
        <v>1.4146839847125505</v>
      </c>
      <c r="GX56" s="27">
        <f>PortfolioFrontier[[#This Row],[P51 Growth]]/PortfolioFrontier[[#This Row],[P51 HWM]]-1</f>
        <v>-2.6070007142649398E-2</v>
      </c>
      <c r="GY56" s="28">
        <f>SUMPRODUCT(INDEX(PortfolioRef[[SPY]:[PE]],MATCH(GY$1,PortfolioRef[Reference '#]),0),AssetMonthlyReturns[[#This Row],[SPY]:[PE]])</f>
        <v>-3.0824930652253991E-2</v>
      </c>
      <c r="GZ56" s="27">
        <f>IF(ISNUMBER(GZ55),GZ55*(1+PortfolioFrontier[[#This Row],[P52 Return]]),1+PortfolioFrontier[[#This Row],[P52 Return]])</f>
        <v>1.4202170820630875</v>
      </c>
      <c r="HA56" s="27">
        <f>MAX(HA55,PortfolioFrontier[[#This Row],[P52 Growth]])</f>
        <v>1.4653875517236452</v>
      </c>
      <c r="HB56" s="27">
        <f>PortfolioFrontier[[#This Row],[P52 Growth]]/PortfolioFrontier[[#This Row],[P52 HWM]]-1</f>
        <v>-3.0824930652254001E-2</v>
      </c>
      <c r="HC56" s="28">
        <f>SUMPRODUCT(INDEX(PortfolioRef[[SPY]:[PE]],MATCH(HC$1,PortfolioRef[Reference '#]),0),AssetMonthlyReturns[[#This Row],[SPY]:[PE]])</f>
        <v>-2.9657714419793996E-2</v>
      </c>
      <c r="HD56" s="27">
        <f>IF(ISNUMBER(HD55),HD55*(1+PortfolioFrontier[[#This Row],[P53 Return]]),1+PortfolioFrontier[[#This Row],[P53 Return]])</f>
        <v>1.4138482391835216</v>
      </c>
      <c r="HE56" s="27">
        <f>MAX(HE55,PortfolioFrontier[[#This Row],[P53 Growth]])</f>
        <v>1.4570613485509663</v>
      </c>
      <c r="HF56" s="27">
        <f>PortfolioFrontier[[#This Row],[P53 Growth]]/PortfolioFrontier[[#This Row],[P53 HWM]]-1</f>
        <v>-2.9657714419794035E-2</v>
      </c>
      <c r="HG56" s="28">
        <f>SUMPRODUCT(INDEX(PortfolioRef[[SPY]:[PE]],MATCH(HG$1,PortfolioRef[Reference '#]),0),AssetMonthlyReturns[[#This Row],[SPY]:[PE]])</f>
        <v>-2.8490498187334002E-2</v>
      </c>
      <c r="HH56" s="27">
        <f>IF(ISNUMBER(HH55),HH55*(1+PortfolioFrontier[[#This Row],[P54 Return]]),1+PortfolioFrontier[[#This Row],[P54 Return]])</f>
        <v>1.4070402026087894</v>
      </c>
      <c r="HI56" s="27">
        <f>MAX(HI55,PortfolioFrontier[[#This Row],[P54 Growth]])</f>
        <v>1.4483030788515188</v>
      </c>
      <c r="HJ56" s="27">
        <f>PortfolioFrontier[[#This Row],[P54 Growth]]/PortfolioFrontier[[#This Row],[P54 HWM]]-1</f>
        <v>-2.8490498187333957E-2</v>
      </c>
      <c r="HK56" s="28">
        <f>SUMPRODUCT(INDEX(PortfolioRef[[SPY]:[PE]],MATCH(HK$1,PortfolioRef[Reference '#]),0),AssetMonthlyReturns[[#This Row],[SPY]:[PE]])</f>
        <v>-3.0445662236107202E-2</v>
      </c>
      <c r="HL56" s="27">
        <f>IF(ISNUMBER(HL55),HL55*(1+PortfolioFrontier[[#This Row],[P55 Return]]),1+PortfolioFrontier[[#This Row],[P55 Return]])</f>
        <v>1.4040267830893109</v>
      </c>
      <c r="HM56" s="27">
        <f>MAX(HM55,PortfolioFrontier[[#This Row],[P55 Growth]])</f>
        <v>1.448115622201694</v>
      </c>
      <c r="HN56" s="27">
        <f>PortfolioFrontier[[#This Row],[P55 Growth]]/PortfolioFrontier[[#This Row],[P55 HWM]]-1</f>
        <v>-3.0445662236107229E-2</v>
      </c>
      <c r="HO56" s="28">
        <f>SUMPRODUCT(INDEX(PortfolioRef[[SPY]:[PE]],MATCH(HO$1,PortfolioRef[Reference '#]),0),AssetMonthlyReturns[[#This Row],[SPY]:[PE]])</f>
        <v>-2.9278446003647207E-2</v>
      </c>
      <c r="HP56" s="27">
        <f>IF(ISNUMBER(HP55),HP55*(1+PortfolioFrontier[[#This Row],[P56 Return]]),1+PortfolioFrontier[[#This Row],[P56 Return]])</f>
        <v>1.3980690224765173</v>
      </c>
      <c r="HQ56" s="27">
        <f>MAX(HQ55,PortfolioFrontier[[#This Row],[P56 Growth]])</f>
        <v>1.4402369214125539</v>
      </c>
      <c r="HR56" s="27">
        <f>PortfolioFrontier[[#This Row],[P56 Growth]]/PortfolioFrontier[[#This Row],[P56 HWM]]-1</f>
        <v>-2.9278446003647263E-2</v>
      </c>
      <c r="HS56" s="28">
        <f>SUMPRODUCT(INDEX(PortfolioRef[[SPY]:[PE]],MATCH(HS$1,PortfolioRef[Reference '#]),0),AssetMonthlyReturns[[#This Row],[SPY]:[PE]])</f>
        <v>-2.8111229771187213E-2</v>
      </c>
      <c r="HT56" s="27">
        <f>IF(ISNUMBER(HT55),HT55*(1+PortfolioFrontier[[#This Row],[P57 Return]]),1+PortfolioFrontier[[#This Row],[P57 Return]])</f>
        <v>1.3916699989307442</v>
      </c>
      <c r="HU56" s="27">
        <f>MAX(HU55,PortfolioFrontier[[#This Row],[P57 Growth]])</f>
        <v>1.4319231187362127</v>
      </c>
      <c r="HV56" s="27">
        <f>PortfolioFrontier[[#This Row],[P57 Growth]]/PortfolioFrontier[[#This Row],[P57 HWM]]-1</f>
        <v>-2.8111229771187074E-2</v>
      </c>
      <c r="HW56" s="28">
        <f>SUMPRODUCT(INDEX(PortfolioRef[[SPY]:[PE]],MATCH(HW$1,PortfolioRef[Reference '#]),0),AssetMonthlyReturns[[#This Row],[SPY]:[PE]])</f>
        <v>-3.0066393819960412E-2</v>
      </c>
      <c r="HX56" s="27">
        <f>IF(ISNUMBER(HX55),HX55*(1+PortfolioFrontier[[#This Row],[P58 Return]]),1+PortfolioFrontier[[#This Row],[P58 Return]])</f>
        <v>1.3875006590286922</v>
      </c>
      <c r="HY56" s="27">
        <f>MAX(HY55,PortfolioFrontier[[#This Row],[P58 Growth]])</f>
        <v>1.4305109650682046</v>
      </c>
      <c r="HZ56" s="27">
        <f>PortfolioFrontier[[#This Row],[P58 Growth]]/PortfolioFrontier[[#This Row],[P58 HWM]]-1</f>
        <v>-3.0066393819960457E-2</v>
      </c>
      <c r="IA56" s="28">
        <f>SUMPRODUCT(INDEX(PortfolioRef[[SPY]:[PE]],MATCH(IA$1,PortfolioRef[Reference '#]),0),AssetMonthlyReturns[[#This Row],[SPY]:[PE]])</f>
        <v>-2.8899177587500418E-2</v>
      </c>
      <c r="IB56" s="27">
        <f>IF(ISNUMBER(IB55),IB55*(1+PortfolioFrontier[[#This Row],[P59 Return]]),1+PortfolioFrontier[[#This Row],[P59 Return]])</f>
        <v>1.3819515334512655</v>
      </c>
      <c r="IC56" s="27">
        <f>MAX(IC55,PortfolioFrontier[[#This Row],[P59 Growth]])</f>
        <v>1.4230772969773542</v>
      </c>
      <c r="ID56" s="27">
        <f>PortfolioFrontier[[#This Row],[P59 Growth]]/PortfolioFrontier[[#This Row],[P59 HWM]]-1</f>
        <v>-2.889917758750038E-2</v>
      </c>
      <c r="IE56" s="28">
        <f>SUMPRODUCT(INDEX(PortfolioRef[[SPY]:[PE]],MATCH(IE$1,PortfolioRef[Reference '#]),0),AssetMonthlyReturns[[#This Row],[SPY]:[PE]])</f>
        <v>-2.7731961355040424E-2</v>
      </c>
      <c r="IF56" s="27">
        <f>IF(ISNUMBER(IF55),IF55*(1+PortfolioFrontier[[#This Row],[P60 Return]]),1+PortfolioFrontier[[#This Row],[P60 Return]])</f>
        <v>1.37595932153287</v>
      </c>
      <c r="IG56" s="27">
        <f>MAX(IG55,PortfolioFrontier[[#This Row],[P60 Growth]])</f>
        <v>1.4152057527783501</v>
      </c>
      <c r="IH56" s="27">
        <f>PortfolioFrontier[[#This Row],[P60 Growth]]/PortfolioFrontier[[#This Row],[P60 HWM]]-1</f>
        <v>-2.7731961355040413E-2</v>
      </c>
      <c r="II56" s="28">
        <f>SUMPRODUCT(INDEX(PortfolioRef[[SPY]:[PE]],MATCH(II$1,PortfolioRef[Reference '#]),0),AssetMonthlyReturns[[#This Row],[SPY]:[PE]])</f>
        <v>-2.1399554600421467E-2</v>
      </c>
      <c r="IJ56" s="27">
        <f>IF(ISNUMBER(IJ55),IJ55*(1+PortfolioFrontier[[#This Row],[P61 Return]]),1+PortfolioFrontier[[#This Row],[P61 Return]])</f>
        <v>1.3679884485775915</v>
      </c>
      <c r="IK56" s="27">
        <f>MAX(IK55,PortfolioFrontier[[#This Row],[P61 Growth]])</f>
        <v>1.3979029490621369</v>
      </c>
      <c r="IL56" s="27">
        <f>PortfolioFrontier[[#This Row],[P61 Growth]]/PortfolioFrontier[[#This Row],[P61 HWM]]-1</f>
        <v>-2.1399554600421422E-2</v>
      </c>
      <c r="IM56" s="28">
        <f>SUMPRODUCT(INDEX(PortfolioRef[[SPY]:[PE]],MATCH(IM$1,PortfolioRef[Reference '#]),0),AssetMonthlyReturns[[#This Row],[SPY]:[PE]])</f>
        <v>-2.3440777228959236E-2</v>
      </c>
      <c r="IN56" s="27">
        <f>IF(ISNUMBER(IN55),IN55*(1+PortfolioFrontier[[#This Row],[P62 Return]]),1+PortfolioFrontier[[#This Row],[P62 Return]])</f>
        <v>1.3817697582511148</v>
      </c>
      <c r="IO56" s="27">
        <f>MAX(IO55,PortfolioFrontier[[#This Row],[P62 Growth]])</f>
        <v>1.4149369808113292</v>
      </c>
      <c r="IP56" s="27">
        <f>PortfolioFrontier[[#This Row],[P62 Growth]]/PortfolioFrontier[[#This Row],[P62 HWM]]-1</f>
        <v>-2.3440777228959209E-2</v>
      </c>
      <c r="IQ56" s="28">
        <f>SUMPRODUCT(INDEX(PortfolioRef[[SPY]:[PE]],MATCH(IQ$1,PortfolioRef[Reference '#]),0),AssetMonthlyReturns[[#This Row],[SPY]:[PE]])</f>
        <v>-2.3061508812812447E-2</v>
      </c>
      <c r="IR56" s="27">
        <f>IF(ISNUMBER(IR55),IR55*(1+PortfolioFrontier[[#This Row],[P63 Return]]),1+PortfolioFrontier[[#This Row],[P63 Return]])</f>
        <v>1.3668248658367383</v>
      </c>
      <c r="IS56" s="27">
        <f>MAX(IS55,PortfolioFrontier[[#This Row],[P63 Growth]])</f>
        <v>1.3990899920175692</v>
      </c>
      <c r="IT56" s="27">
        <f>PortfolioFrontier[[#This Row],[P63 Growth]]/PortfolioFrontier[[#This Row],[P63 HWM]]-1</f>
        <v>-2.3061508812812437E-2</v>
      </c>
      <c r="IU56" s="28">
        <f>SUMPRODUCT(INDEX(PortfolioRef[[SPY]:[PE]],MATCH(IU$1,PortfolioRef[Reference '#]),0),AssetMonthlyReturns[[#This Row],[SPY]:[PE]])</f>
        <v>-2.1894292580352453E-2</v>
      </c>
      <c r="IV56" s="27">
        <f>IF(ISNUMBER(IV55),IV55*(1+PortfolioFrontier[[#This Row],[P64 Return]]),1+PortfolioFrontier[[#This Row],[P64 Return]])</f>
        <v>1.3599916306899256</v>
      </c>
      <c r="IW56" s="27">
        <f>MAX(IW55,PortfolioFrontier[[#This Row],[P64 Growth]])</f>
        <v>1.3904342039652706</v>
      </c>
      <c r="IX56" s="27">
        <f>PortfolioFrontier[[#This Row],[P64 Growth]]/PortfolioFrontier[[#This Row],[P64 HWM]]-1</f>
        <v>-2.189429258035247E-2</v>
      </c>
      <c r="IY56" s="28">
        <f>SUMPRODUCT(INDEX(PortfolioRef[[SPY]:[PE]],MATCH(IY$1,PortfolioRef[Reference '#]),0),AssetMonthlyReturns[[#This Row],[SPY]:[PE]])</f>
        <v>-2.5481999857497009E-2</v>
      </c>
      <c r="IZ56" s="27">
        <f>IF(ISNUMBER(IZ55),IZ55*(1+PortfolioFrontier[[#This Row],[P65 Return]]),1+PortfolioFrontier[[#This Row],[P65 Return]])</f>
        <v>1.3955049454609669</v>
      </c>
      <c r="JA56" s="27">
        <f>MAX(JA55,PortfolioFrontier[[#This Row],[P65 Growth]])</f>
        <v>1.4319950429411292</v>
      </c>
      <c r="JB56" s="27">
        <f>PortfolioFrontier[[#This Row],[P65 Growth]]/PortfolioFrontier[[#This Row],[P65 HWM]]-1</f>
        <v>-2.5481999857496995E-2</v>
      </c>
      <c r="JC56" s="28">
        <f>SUMPRODUCT(INDEX(PortfolioRef[[SPY]:[PE]],MATCH(JC$1,PortfolioRef[Reference '#]),0),AssetMonthlyReturns[[#This Row],[SPY]:[PE]])</f>
        <v>-2.5102731441350216E-2</v>
      </c>
      <c r="JD56" s="27">
        <f>IF(ISNUMBER(JD55),JD55*(1+PortfolioFrontier[[#This Row],[P66 Return]]),1+PortfolioFrontier[[#This Row],[P66 Return]])</f>
        <v>1.3805638076661542</v>
      </c>
      <c r="JE56" s="27">
        <f>MAX(JE55,PortfolioFrontier[[#This Row],[P66 Growth]])</f>
        <v>1.4161120891304451</v>
      </c>
      <c r="JF56" s="27">
        <f>PortfolioFrontier[[#This Row],[P66 Growth]]/PortfolioFrontier[[#This Row],[P66 HWM]]-1</f>
        <v>-2.5102731441350223E-2</v>
      </c>
      <c r="JG56" s="28">
        <f>SUMPRODUCT(INDEX(PortfolioRef[[SPY]:[PE]],MATCH(JG$1,PortfolioRef[Reference '#]),0),AssetMonthlyReturns[[#This Row],[SPY]:[PE]])</f>
        <v>-2.3935515208890222E-2</v>
      </c>
      <c r="JH56" s="27">
        <f>IF(ISNUMBER(JH55),JH55*(1+PortfolioFrontier[[#This Row],[P67 Return]]),1+PortfolioFrontier[[#This Row],[P67 Return]])</f>
        <v>1.3737137764103369</v>
      </c>
      <c r="JI56" s="27">
        <f>MAX(JI55,PortfolioFrontier[[#This Row],[P67 Growth]])</f>
        <v>1.4074006357318996</v>
      </c>
      <c r="JJ56" s="27">
        <f>PortfolioFrontier[[#This Row],[P67 Growth]]/PortfolioFrontier[[#This Row],[P67 HWM]]-1</f>
        <v>-2.3935515208890257E-2</v>
      </c>
      <c r="JK56" s="28">
        <f>SUMPRODUCT(INDEX(PortfolioRef[[SPY]:[PE]],MATCH(JK$1,PortfolioRef[Reference '#]),0),AssetMonthlyReturns[[#This Row],[SPY]:[PE]])</f>
        <v>-2.4723463025203431E-2</v>
      </c>
      <c r="JL56" s="27">
        <f>IF(ISNUMBER(JL55),JL55*(1+PortfolioFrontier[[#This Row],[P68 Return]]),1+PortfolioFrontier[[#This Row],[P68 Return]])</f>
        <v>1.3652807258241928</v>
      </c>
      <c r="JM56" s="27">
        <f>MAX(JM55,PortfolioFrontier[[#This Row],[P68 Growth]])</f>
        <v>1.3998908761397537</v>
      </c>
      <c r="JN56" s="27">
        <f>PortfolioFrontier[[#This Row],[P68 Growth]]/PortfolioFrontier[[#This Row],[P68 HWM]]-1</f>
        <v>-2.4723463025203452E-2</v>
      </c>
      <c r="JO56" s="28">
        <f>SUMPRODUCT(INDEX(PortfolioRef[[SPY]:[PE]],MATCH(JO$1,PortfolioRef[Reference '#]),0),AssetMonthlyReturns[[#This Row],[SPY]:[PE]])</f>
        <v>-2.3556246792743436E-2</v>
      </c>
      <c r="JP56" s="27">
        <f>IF(ISNUMBER(JP55),JP55*(1+PortfolioFrontier[[#This Row],[P69 Return]]),1+PortfolioFrontier[[#This Row],[P69 Return]])</f>
        <v>1.358829452708904</v>
      </c>
      <c r="JQ56" s="27">
        <f>MAX(JQ55,PortfolioFrontier[[#This Row],[P69 Growth]])</f>
        <v>1.3916105748494492</v>
      </c>
      <c r="JR56" s="27">
        <f>PortfolioFrontier[[#This Row],[P69 Growth]]/PortfolioFrontier[[#This Row],[P69 HWM]]-1</f>
        <v>-2.3556246792743485E-2</v>
      </c>
      <c r="JS56" s="28">
        <f>SUMPRODUCT(INDEX(PortfolioRef[[SPY]:[PE]],MATCH(JS$1,PortfolioRef[Reference '#]),0),AssetMonthlyReturns[[#This Row],[SPY]:[PE]])</f>
        <v>-2.2389030560283442E-2</v>
      </c>
      <c r="JT56" s="27">
        <f>IF(ISNUMBER(JT55),JT55*(1+PortfolioFrontier[[#This Row],[P70 Return]]),1+PortfolioFrontier[[#This Row],[P70 Return]])</f>
        <v>1.3519606481726241</v>
      </c>
      <c r="JU56" s="27">
        <f>MAX(JU55,PortfolioFrontier[[#This Row],[P70 Growth]])</f>
        <v>1.3829229524168012</v>
      </c>
      <c r="JV56" s="27">
        <f>PortfolioFrontier[[#This Row],[P70 Growth]]/PortfolioFrontier[[#This Row],[P70 HWM]]-1</f>
        <v>-2.2389030560283407E-2</v>
      </c>
      <c r="JW56" s="28">
        <f>SUMPRODUCT(INDEX(PortfolioRef[[SPY]:[PE]],MATCH(JW$1,PortfolioRef[Reference '#]),0),AssetMonthlyReturns[[#This Row],[SPY]:[PE]])</f>
        <v>-2.7143954069887989E-2</v>
      </c>
      <c r="JX56" s="27">
        <f>IF(ISNUMBER(JX55),JX55*(1+PortfolioFrontier[[#This Row],[P71 Return]]),1+PortfolioFrontier[[#This Row],[P71 Return]])</f>
        <v>1.3942562875173288</v>
      </c>
      <c r="JY56" s="27">
        <f>MAX(JY55,PortfolioFrontier[[#This Row],[P71 Growth]])</f>
        <v>1.4331578586062355</v>
      </c>
      <c r="JZ56" s="27">
        <f>PortfolioFrontier[[#This Row],[P71 Growth]]/PortfolioFrontier[[#This Row],[P71 HWM]]-1</f>
        <v>-2.714395406988801E-2</v>
      </c>
      <c r="KA56" s="28">
        <f>SUMPRODUCT(INDEX(PortfolioRef[[SPY]:[PE]],MATCH(KA$1,PortfolioRef[Reference '#]),0),AssetMonthlyReturns[[#This Row],[SPY]:[PE]])</f>
        <v>-2.5976737837427995E-2</v>
      </c>
      <c r="KB56" s="27">
        <f>IF(ISNUMBER(KB55),KB55*(1+PortfolioFrontier[[#This Row],[P72 Return]]),1+PortfolioFrontier[[#This Row],[P72 Return]])</f>
        <v>1.3873904590327113</v>
      </c>
      <c r="KC56" s="27">
        <f>MAX(KC55,PortfolioFrontier[[#This Row],[P72 Growth]])</f>
        <v>1.4243915037022443</v>
      </c>
      <c r="KD56" s="27">
        <f>PortfolioFrontier[[#This Row],[P72 Growth]]/PortfolioFrontier[[#This Row],[P72 HWM]]-1</f>
        <v>-2.5976737837427932E-2</v>
      </c>
      <c r="KE56" s="28">
        <f>SUMPRODUCT(INDEX(PortfolioRef[[SPY]:[PE]],MATCH(KE$1,PortfolioRef[Reference '#]),0),AssetMonthlyReturns[[#This Row],[SPY]:[PE]])</f>
        <v>-2.67646856537412E-2</v>
      </c>
      <c r="KF56" s="27">
        <f>IF(ISNUMBER(KF55),KF55*(1+PortfolioFrontier[[#This Row],[P73 Return]]),1+PortfolioFrontier[[#This Row],[P73 Return]])</f>
        <v>1.3789738311183164</v>
      </c>
      <c r="KG56" s="27">
        <f>MAX(KG55,PortfolioFrontier[[#This Row],[P73 Growth]])</f>
        <v>1.4168966238597704</v>
      </c>
      <c r="KH56" s="27">
        <f>PortfolioFrontier[[#This Row],[P73 Growth]]/PortfolioFrontier[[#This Row],[P73 HWM]]-1</f>
        <v>-2.6764685653741238E-2</v>
      </c>
      <c r="KI56" s="28">
        <f>SUMPRODUCT(INDEX(PortfolioRef[[SPY]:[PE]],MATCH(KI$1,PortfolioRef[Reference '#]),0),AssetMonthlyReturns[[#This Row],[SPY]:[PE]])</f>
        <v>-2.5597469421281206E-2</v>
      </c>
      <c r="KJ56" s="27">
        <f>IF(ISNUMBER(KJ55),KJ55*(1+PortfolioFrontier[[#This Row],[P74 Return]]),1+PortfolioFrontier[[#This Row],[P74 Return]])</f>
        <v>1.3725094061009437</v>
      </c>
      <c r="KK56" s="27">
        <f>MAX(KK55,PortfolioFrontier[[#This Row],[P74 Growth]])</f>
        <v>1.4085651083908624</v>
      </c>
      <c r="KL56" s="27">
        <f>PortfolioFrontier[[#This Row],[P74 Growth]]/PortfolioFrontier[[#This Row],[P74 HWM]]-1</f>
        <v>-2.559746942128116E-2</v>
      </c>
      <c r="KM56" s="28">
        <f>SUMPRODUCT(INDEX(PortfolioRef[[SPY]:[PE]],MATCH(KM$1,PortfolioRef[Reference '#]),0),AssetMonthlyReturns[[#This Row],[SPY]:[PE]])</f>
        <v>-2.4430253188821211E-2</v>
      </c>
      <c r="KN56" s="27">
        <f>IF(ISNUMBER(KN55),KN55*(1+PortfolioFrontier[[#This Row],[P75 Return]]),1+PortfolioFrontier[[#This Row],[P75 Return]])</f>
        <v>1.36562303609013</v>
      </c>
      <c r="KO56" s="27">
        <f>MAX(KO55,PortfolioFrontier[[#This Row],[P75 Growth]])</f>
        <v>1.3998210179783752</v>
      </c>
      <c r="KP56" s="27">
        <f>PortfolioFrontier[[#This Row],[P75 Growth]]/PortfolioFrontier[[#This Row],[P75 HWM]]-1</f>
        <v>-2.4430253188821194E-2</v>
      </c>
      <c r="KQ56" s="28">
        <f>SUMPRODUCT(INDEX(PortfolioRef[[SPY]:[PE]],MATCH(KQ$1,PortfolioRef[Reference '#]),0),AssetMonthlyReturns[[#This Row],[SPY]:[PE]])</f>
        <v>-2.6385417237594411E-2</v>
      </c>
      <c r="KR56" s="27">
        <f>IF(ISNUMBER(KR55),KR55*(1+PortfolioFrontier[[#This Row],[P76 Return]]),1+PortfolioFrontier[[#This Row],[P76 Return]])</f>
        <v>1.3633539860580337</v>
      </c>
      <c r="KS56" s="27">
        <f>MAX(KS55,PortfolioFrontier[[#This Row],[P76 Growth]])</f>
        <v>1.4003015260821514</v>
      </c>
      <c r="KT56" s="27">
        <f>PortfolioFrontier[[#This Row],[P76 Growth]]/PortfolioFrontier[[#This Row],[P76 HWM]]-1</f>
        <v>-2.6385417237594355E-2</v>
      </c>
      <c r="KU56" s="28">
        <f>SUMPRODUCT(INDEX(PortfolioRef[[SPY]:[PE]],MATCH(KU$1,PortfolioRef[Reference '#]),0),AssetMonthlyReturns[[#This Row],[SPY]:[PE]])</f>
        <v>-2.5218201005134416E-2</v>
      </c>
      <c r="KV56" s="27">
        <f>IF(ISNUMBER(KV55),KV55*(1+PortfolioFrontier[[#This Row],[P77 Return]]),1+PortfolioFrontier[[#This Row],[P77 Return]])</f>
        <v>1.3572889530272336</v>
      </c>
      <c r="KW56" s="27">
        <f>MAX(KW55,PortfolioFrontier[[#This Row],[P77 Growth]])</f>
        <v>1.3924028479263622</v>
      </c>
      <c r="KX56" s="27">
        <f>PortfolioFrontier[[#This Row],[P77 Growth]]/PortfolioFrontier[[#This Row],[P77 HWM]]-1</f>
        <v>-2.5218201005134389E-2</v>
      </c>
      <c r="KY56" s="28">
        <f>SUMPRODUCT(INDEX(PortfolioRef[[SPY]:[PE]],MATCH(KY$1,PortfolioRef[Reference '#]),0),AssetMonthlyReturns[[#This Row],[SPY]:[PE]])</f>
        <v>-2.4050984772674422E-2</v>
      </c>
      <c r="KZ56" s="27">
        <f>IF(ISNUMBER(KZ55),KZ55*(1+PortfolioFrontier[[#This Row],[P78 Return]]),1+PortfolioFrontier[[#This Row],[P78 Return]])</f>
        <v>1.3507998631263738</v>
      </c>
      <c r="LA56" s="27">
        <f>MAX(LA55,PortfolioFrontier[[#This Row],[P78 Growth]])</f>
        <v>1.3840885559085636</v>
      </c>
      <c r="LB56" s="27">
        <f>PortfolioFrontier[[#This Row],[P78 Growth]]/PortfolioFrontier[[#This Row],[P78 HWM]]-1</f>
        <v>-2.4050984772674422E-2</v>
      </c>
      <c r="LC56" s="28">
        <f>SUMPRODUCT(INDEX(PortfolioRef[[SPY]:[PE]],MATCH(LC$1,PortfolioRef[Reference '#]),0),AssetMonthlyReturns[[#This Row],[SPY]:[PE]])</f>
        <v>-2.8805908282278969E-2</v>
      </c>
      <c r="LD56" s="27">
        <f>IF(ISNUMBER(LD55),LD55*(1+PortfolioFrontier[[#This Row],[P79 Return]]),1+PortfolioFrontier[[#This Row],[P79 Return]])</f>
        <v>1.3926201525869253</v>
      </c>
      <c r="LE56" s="27">
        <f>MAX(LE55,PortfolioFrontier[[#This Row],[P79 Growth]])</f>
        <v>1.4339256843334383</v>
      </c>
      <c r="LF56" s="27">
        <f>PortfolioFrontier[[#This Row],[P79 Growth]]/PortfolioFrontier[[#This Row],[P79 HWM]]-1</f>
        <v>-2.8805908282278914E-2</v>
      </c>
      <c r="LG56" s="28">
        <f>SUMPRODUCT(INDEX(PortfolioRef[[SPY]:[PE]],MATCH(LG$1,PortfolioRef[Reference '#]),0),AssetMonthlyReturns[[#This Row],[SPY]:[PE]])</f>
        <v>-2.7638692049818975E-2</v>
      </c>
      <c r="LH56" s="27">
        <f>IF(ISNUMBER(LH55),LH55*(1+PortfolioFrontier[[#This Row],[P80 Return]]),1+PortfolioFrontier[[#This Row],[P80 Return]])</f>
        <v>1.38614355774514</v>
      </c>
      <c r="LI56" s="27">
        <f>MAX(LI55,PortfolioFrontier[[#This Row],[P80 Growth]])</f>
        <v>1.4255437216719848</v>
      </c>
      <c r="LJ56" s="27">
        <f>PortfolioFrontier[[#This Row],[P80 Growth]]/PortfolioFrontier[[#This Row],[P80 HWM]]-1</f>
        <v>-2.7638692049818947E-2</v>
      </c>
      <c r="LK56" s="28">
        <f>SUMPRODUCT(INDEX(PortfolioRef[[SPY]:[PE]],MATCH(LK$1,PortfolioRef[Reference '#]),0),AssetMonthlyReturns[[#This Row],[SPY]:[PE]])</f>
        <v>-2.647147581735898E-2</v>
      </c>
      <c r="LL56" s="27">
        <f>IF(ISNUMBER(LL55),LL55*(1+PortfolioFrontier[[#This Row],[P81 Return]]),1+PortfolioFrontier[[#This Row],[P81 Return]])</f>
        <v>1.3792406165334032</v>
      </c>
      <c r="LM56" s="27">
        <f>MAX(LM55,PortfolioFrontier[[#This Row],[P81 Growth]])</f>
        <v>1.4167439189225519</v>
      </c>
      <c r="LN56" s="27">
        <f>PortfolioFrontier[[#This Row],[P81 Growth]]/PortfolioFrontier[[#This Row],[P81 HWM]]-1</f>
        <v>-2.647147581735898E-2</v>
      </c>
      <c r="LO56" s="28">
        <f>SUMPRODUCT(INDEX(PortfolioRef[[SPY]:[PE]],MATCH(LO$1,PortfolioRef[Reference '#]),0),AssetMonthlyReturns[[#This Row],[SPY]:[PE]])</f>
        <v>-2.842663986613218E-2</v>
      </c>
      <c r="LP56" s="27">
        <f>IF(ISNUMBER(LP55),LP55*(1+PortfolioFrontier[[#This Row],[P82 Return]]),1+PortfolioFrontier[[#This Row],[P82 Return]])</f>
        <v>1.3769977903008839</v>
      </c>
      <c r="LQ56" s="27">
        <f>MAX(LQ55,PortfolioFrontier[[#This Row],[P82 Growth]])</f>
        <v>1.4172864827326623</v>
      </c>
      <c r="LR56" s="27">
        <f>PortfolioFrontier[[#This Row],[P82 Growth]]/PortfolioFrontier[[#This Row],[P82 HWM]]-1</f>
        <v>-2.8426639866132142E-2</v>
      </c>
      <c r="LS56" s="28">
        <f>SUMPRODUCT(INDEX(PortfolioRef[[SPY]:[PE]],MATCH(LS$1,PortfolioRef[Reference '#]),0),AssetMonthlyReturns[[#This Row],[SPY]:[PE]])</f>
        <v>-2.7259423633672186E-2</v>
      </c>
      <c r="LT56" s="27">
        <f>IF(ISNUMBER(LT55),LT55*(1+PortfolioFrontier[[#This Row],[P83 Return]]),1+PortfolioFrontier[[#This Row],[P83 Return]])</f>
        <v>1.370923260858502</v>
      </c>
      <c r="LU56" s="27">
        <f>MAX(LU55,PortfolioFrontier[[#This Row],[P83 Growth]])</f>
        <v>1.40934108658198</v>
      </c>
      <c r="LV56" s="27">
        <f>PortfolioFrontier[[#This Row],[P83 Growth]]/PortfolioFrontier[[#This Row],[P83 HWM]]-1</f>
        <v>-2.7259423633672064E-2</v>
      </c>
      <c r="LW56" s="28">
        <f>SUMPRODUCT(INDEX(PortfolioRef[[SPY]:[PE]],MATCH(LW$1,PortfolioRef[Reference '#]),0),AssetMonthlyReturns[[#This Row],[SPY]:[PE]])</f>
        <v>-2.6092207401212191E-2</v>
      </c>
      <c r="LX56" s="27">
        <f>IF(ISNUMBER(LX55),LX55*(1+PortfolioFrontier[[#This Row],[P84 Return]]),1+PortfolioFrontier[[#This Row],[P84 Return]])</f>
        <v>1.3644202348207606</v>
      </c>
      <c r="LY56" s="27">
        <f>MAX(LY55,PortfolioFrontier[[#This Row],[P84 Growth]])</f>
        <v>1.4009747587909986</v>
      </c>
      <c r="LZ56" s="27">
        <f>PortfolioFrontier[[#This Row],[P84 Growth]]/PortfolioFrontier[[#This Row],[P84 HWM]]-1</f>
        <v>-2.609220740121232E-2</v>
      </c>
      <c r="MA56" s="28">
        <f>SUMPRODUCT(INDEX(PortfolioRef[[SPY]:[PE]],MATCH(MA$1,PortfolioRef[Reference '#]),0),AssetMonthlyReturns[[#This Row],[SPY]:[PE]])</f>
        <v>-2.8047371449985394E-2</v>
      </c>
      <c r="MB56" s="27">
        <f>IF(ISNUMBER(MB55),MB55*(1+PortfolioFrontier[[#This Row],[P85 Return]]),1+PortfolioFrontier[[#This Row],[P85 Return]])</f>
        <v>1.3610428160953036</v>
      </c>
      <c r="MC56" s="27">
        <f>MAX(MC55,PortfolioFrontier[[#This Row],[P85 Growth]])</f>
        <v>1.4003180567819897</v>
      </c>
      <c r="MD56" s="27">
        <f>PortfolioFrontier[[#This Row],[P85 Growth]]/PortfolioFrontier[[#This Row],[P85 HWM]]-1</f>
        <v>-2.8047371449985259E-2</v>
      </c>
      <c r="ME56" s="28">
        <f>SUMPRODUCT(INDEX(PortfolioRef[[SPY]:[PE]],MATCH(ME$1,PortfolioRef[Reference '#]),0),AssetMonthlyReturns[[#This Row],[SPY]:[PE]])</f>
        <v>-2.68801552175254E-2</v>
      </c>
      <c r="MF56" s="27">
        <f>IF(ISNUMBER(MF55),MF55*(1+PortfolioFrontier[[#This Row],[P86 Return]]),1+PortfolioFrontier[[#This Row],[P86 Return]])</f>
        <v>1.3553681110386522</v>
      </c>
      <c r="MG56" s="27">
        <f>MAX(MG55,PortfolioFrontier[[#This Row],[P86 Growth]])</f>
        <v>1.3928069788173143</v>
      </c>
      <c r="MH56" s="27">
        <f>PortfolioFrontier[[#This Row],[P86 Growth]]/PortfolioFrontier[[#This Row],[P86 HWM]]-1</f>
        <v>-2.6880155217525514E-2</v>
      </c>
      <c r="MI56" s="28">
        <f>SUMPRODUCT(INDEX(PortfolioRef[[SPY]:[PE]],MATCH(MI$1,PortfolioRef[Reference '#]),0),AssetMonthlyReturns[[#This Row],[SPY]:[PE]])</f>
        <v>-2.5712938985065405E-2</v>
      </c>
      <c r="MJ56" s="27">
        <f>IF(ISNUMBER(MJ55),MJ55*(1+PortfolioFrontier[[#This Row],[P87 Return]]),1+PortfolioFrontier[[#This Row],[P87 Return]])</f>
        <v>1.3492629982631572</v>
      </c>
      <c r="MK56" s="27">
        <f>MAX(MK55,PortfolioFrontier[[#This Row],[P87 Growth]])</f>
        <v>1.3848721308662384</v>
      </c>
      <c r="ML56" s="27">
        <f>PortfolioFrontier[[#This Row],[P87 Growth]]/PortfolioFrontier[[#This Row],[P87 HWM]]-1</f>
        <v>-2.5712938985065437E-2</v>
      </c>
      <c r="MM56" s="28">
        <f>SUMPRODUCT(INDEX(PortfolioRef[[SPY]:[PE]],MATCH(MM$1,PortfolioRef[Reference '#]),0),AssetMonthlyReturns[[#This Row],[SPY]:[PE]])</f>
        <v>-3.0467862494669953E-2</v>
      </c>
      <c r="MN56" s="27">
        <f>IF(ISNUMBER(MN55),MN55*(1+PortfolioFrontier[[#This Row],[P88 Return]]),1+PortfolioFrontier[[#This Row],[P88 Return]])</f>
        <v>1.390594506877433</v>
      </c>
      <c r="MO56" s="27">
        <f>MAX(MO55,PortfolioFrontier[[#This Row],[P88 Growth]])</f>
        <v>1.4342943911643034</v>
      </c>
      <c r="MP56" s="27">
        <f>PortfolioFrontier[[#This Row],[P88 Growth]]/PortfolioFrontier[[#This Row],[P88 HWM]]-1</f>
        <v>-3.0467862494669928E-2</v>
      </c>
      <c r="MQ56" s="28">
        <f>SUMPRODUCT(INDEX(PortfolioRef[[SPY]:[PE]],MATCH(MQ$1,PortfolioRef[Reference '#]),0),AssetMonthlyReturns[[#This Row],[SPY]:[PE]])</f>
        <v>-2.9300646262209958E-2</v>
      </c>
      <c r="MR56" s="27">
        <f>IF(ISNUMBER(MR55),MR55*(1+PortfolioFrontier[[#This Row],[P89 Return]]),1+PortfolioFrontier[[#This Row],[P89 Return]])</f>
        <v>1.3845114457678531</v>
      </c>
      <c r="MS56" s="27">
        <f>MAX(MS55,PortfolioFrontier[[#This Row],[P89 Growth]])</f>
        <v>1.4263030468049986</v>
      </c>
      <c r="MT56" s="27">
        <f>PortfolioFrontier[[#This Row],[P89 Growth]]/PortfolioFrontier[[#This Row],[P89 HWM]]-1</f>
        <v>-2.9300646262209962E-2</v>
      </c>
      <c r="MU56" s="28">
        <f>SUMPRODUCT(INDEX(PortfolioRef[[SPY]:[PE]],MATCH(MU$1,PortfolioRef[Reference '#]),0),AssetMonthlyReturns[[#This Row],[SPY]:[PE]])</f>
        <v>-2.8133430029749964E-2</v>
      </c>
      <c r="MV56" s="27">
        <f>IF(ISNUMBER(MV55),MV55*(1+PortfolioFrontier[[#This Row],[P90 Return]]),1+PortfolioFrontier[[#This Row],[P90 Return]])</f>
        <v>1.3779954612762204</v>
      </c>
      <c r="MW56" s="27">
        <f>MAX(MW55,PortfolioFrontier[[#This Row],[P90 Growth]])</f>
        <v>1.4178854421532396</v>
      </c>
      <c r="MX56" s="27">
        <f>PortfolioFrontier[[#This Row],[P90 Growth]]/PortfolioFrontier[[#This Row],[P90 HWM]]-1</f>
        <v>-2.8133430029749995E-2</v>
      </c>
      <c r="MY56" s="28">
        <f>SUMPRODUCT(INDEX(PortfolioRef[[SPY]:[PE]],MATCH(MY$1,PortfolioRef[Reference '#]),0),AssetMonthlyReturns[[#This Row],[SPY]:[PE]])</f>
        <v>-3.0088594078523163E-2</v>
      </c>
      <c r="MZ56" s="27">
        <f>IF(ISNUMBER(MZ55),MZ55*(1+PortfolioFrontier[[#This Row],[P91 Return]]),1+PortfolioFrontier[[#This Row],[P91 Return]])</f>
        <v>1.3746338608933186</v>
      </c>
      <c r="NA56" s="27">
        <f>MAX(NA55,PortfolioFrontier[[#This Row],[P91 Growth]])</f>
        <v>1.4172777559898164</v>
      </c>
      <c r="NB56" s="27">
        <f>PortfolioFrontier[[#This Row],[P91 Growth]]/PortfolioFrontier[[#This Row],[P91 HWM]]-1</f>
        <v>-3.0088594078523156E-2</v>
      </c>
      <c r="NC56" s="28">
        <f>SUMPRODUCT(INDEX(PortfolioRef[[SPY]:[PE]],MATCH(NC$1,PortfolioRef[Reference '#]),0),AssetMonthlyReturns[[#This Row],[SPY]:[PE]])</f>
        <v>-2.8921377846063169E-2</v>
      </c>
      <c r="ND56" s="27">
        <f>IF(ISNUMBER(ND55),ND55*(1+PortfolioFrontier[[#This Row],[P92 Return]]),1+PortfolioFrontier[[#This Row],[P92 Return]])</f>
        <v>1.3689533242900205</v>
      </c>
      <c r="NE56" s="27">
        <f>MAX(NE55,PortfolioFrontier[[#This Row],[P92 Growth]])</f>
        <v>1.4097244991899451</v>
      </c>
      <c r="NF56" s="27">
        <f>PortfolioFrontier[[#This Row],[P92 Growth]]/PortfolioFrontier[[#This Row],[P92 HWM]]-1</f>
        <v>-2.892137784606319E-2</v>
      </c>
      <c r="NG56" s="28">
        <f>SUMPRODUCT(INDEX(PortfolioRef[[SPY]:[PE]],MATCH(NG$1,PortfolioRef[Reference '#]),0),AssetMonthlyReturns[[#This Row],[SPY]:[PE]])</f>
        <v>-2.7754161613603175E-2</v>
      </c>
      <c r="NH56" s="27">
        <f>IF(ISNUMBER(NH55),NH55*(1+PortfolioFrontier[[#This Row],[P93 Return]]),1+PortfolioFrontier[[#This Row],[P93 Return]])</f>
        <v>1.3628379160827913</v>
      </c>
      <c r="NI56" s="27">
        <f>MAX(NI55,PortfolioFrontier[[#This Row],[P93 Growth]])</f>
        <v>1.4017420926631547</v>
      </c>
      <c r="NJ56" s="27">
        <f>PortfolioFrontier[[#This Row],[P93 Growth]]/PortfolioFrontier[[#This Row],[P93 HWM]]-1</f>
        <v>-2.7754161613603112E-2</v>
      </c>
      <c r="NK56" s="28">
        <f>SUMPRODUCT(INDEX(PortfolioRef[[SPY]:[PE]],MATCH(NK$1,PortfolioRef[Reference '#]),0),AssetMonthlyReturns[[#This Row],[SPY]:[PE]])</f>
        <v>-2.9709325662376374E-2</v>
      </c>
      <c r="NL56" s="27">
        <f>IF(ISNUMBER(NL55),NL55*(1+PortfolioFrontier[[#This Row],[P94 Return]]),1+PortfolioFrontier[[#This Row],[P94 Return]])</f>
        <v>1.3583456013220365</v>
      </c>
      <c r="NM56" s="27">
        <f>MAX(NM55,PortfolioFrontier[[#This Row],[P94 Growth]])</f>
        <v>1.3999367789959658</v>
      </c>
      <c r="NN56" s="27">
        <f>PortfolioFrontier[[#This Row],[P94 Growth]]/PortfolioFrontier[[#This Row],[P94 HWM]]-1</f>
        <v>-2.9709325662376274E-2</v>
      </c>
      <c r="NO56" s="28">
        <f>SUMPRODUCT(INDEX(PortfolioRef[[SPY]:[PE]],MATCH(NO$1,PortfolioRef[Reference '#]),0),AssetMonthlyReturns[[#This Row],[SPY]:[PE]])</f>
        <v>-2.854210942991638E-2</v>
      </c>
      <c r="NP56" s="27">
        <f>IF(ISNUMBER(NP55),NP55*(1+PortfolioFrontier[[#This Row],[P95 Return]]),1+PortfolioFrontier[[#This Row],[P95 Return]])</f>
        <v>1.3530651172198573</v>
      </c>
      <c r="NQ56" s="27">
        <f>MAX(NQ55,PortfolioFrontier[[#This Row],[P95 Growth]])</f>
        <v>1.392819112752107</v>
      </c>
      <c r="NR56" s="27">
        <f>PortfolioFrontier[[#This Row],[P95 Growth]]/PortfolioFrontier[[#This Row],[P95 HWM]]-1</f>
        <v>-2.8542109429916418E-2</v>
      </c>
      <c r="NS56" s="28">
        <f>SUMPRODUCT(INDEX(PortfolioRef[[SPY]:[PE]],MATCH(NS$1,PortfolioRef[Reference '#]),0),AssetMonthlyReturns[[#This Row],[SPY]:[PE]])</f>
        <v>-2.7374893197456385E-2</v>
      </c>
      <c r="NT56" s="27">
        <f>IF(ISNUMBER(NT55),NT55*(1+PortfolioFrontier[[#This Row],[P96 Return]]),1+PortfolioFrontier[[#This Row],[P96 Return]])</f>
        <v>1.3473480548164147</v>
      </c>
      <c r="NU56" s="27">
        <f>MAX(NU55,PortfolioFrontier[[#This Row],[P96 Growth]])</f>
        <v>1.3852696639157855</v>
      </c>
      <c r="NV56" s="27">
        <f>PortfolioFrontier[[#This Row],[P96 Growth]]/PortfolioFrontier[[#This Row],[P96 HWM]]-1</f>
        <v>-2.737489319745634E-2</v>
      </c>
      <c r="NW56" s="28">
        <f>SUMPRODUCT(INDEX(PortfolioRef[[SPY]:[PE]],MATCH(NW$1,PortfolioRef[Reference '#]),0),AssetMonthlyReturns[[#This Row],[SPY]:[PE]])</f>
        <v>-1.9380532230446446E-2</v>
      </c>
      <c r="NX56" s="27">
        <f>IF(ISNUMBER(NX55),NX55*(1+PortfolioFrontier[[#This Row],[P97 Return]]),1+PortfolioFrontier[[#This Row],[P97 Return]])</f>
        <v>1.3404474932470423</v>
      </c>
      <c r="NY56" s="27">
        <f>MAX(NY55,PortfolioFrontier[[#This Row],[P97 Growth]])</f>
        <v>1.3669395084475813</v>
      </c>
      <c r="NZ56" s="27">
        <f>PortfolioFrontier[[#This Row],[P97 Growth]]/PortfolioFrontier[[#This Row],[P97 HWM]]-1</f>
        <v>-1.9380532230446446E-2</v>
      </c>
      <c r="OA56" s="28">
        <f>SUMPRODUCT(INDEX(PortfolioRef[[SPY]:[PE]],MATCH(OA$1,PortfolioRef[Reference '#]),0),AssetMonthlyReturns[[#This Row],[SPY]:[PE]])</f>
        <v>-2.1421754858984215E-2</v>
      </c>
      <c r="OB56" s="27">
        <f>IF(ISNUMBER(OB55),OB55*(1+PortfolioFrontier[[#This Row],[P98 Return]]),1+PortfolioFrontier[[#This Row],[P98 Return]])</f>
        <v>1.3539772210482488</v>
      </c>
      <c r="OC56" s="27">
        <f>MAX(OC55,PortfolioFrontier[[#This Row],[P98 Growth]])</f>
        <v>1.3836167192263067</v>
      </c>
      <c r="OD56" s="27">
        <f>PortfolioFrontier[[#This Row],[P98 Growth]]/PortfolioFrontier[[#This Row],[P98 HWM]]-1</f>
        <v>-2.1421754858984232E-2</v>
      </c>
      <c r="OE56" s="28">
        <f>SUMPRODUCT(INDEX(PortfolioRef[[SPY]:[PE]],MATCH(OE$1,PortfolioRef[Reference '#]),0),AssetMonthlyReturns[[#This Row],[SPY]:[PE]])</f>
        <v>-2.1042486442837429E-2</v>
      </c>
      <c r="OF56" s="27">
        <f>IF(ISNUMBER(OF55),OF55*(1+PortfolioFrontier[[#This Row],[P99 Return]]),1+PortfolioFrontier[[#This Row],[P99 Return]])</f>
        <v>1.339572238662972</v>
      </c>
      <c r="OG56" s="27">
        <f>MAX(OG55,PortfolioFrontier[[#This Row],[P99 Growth]])</f>
        <v>1.3683660629923269</v>
      </c>
      <c r="OH56" s="27">
        <f>PortfolioFrontier[[#This Row],[P99 Growth]]/PortfolioFrontier[[#This Row],[P99 HWM]]-1</f>
        <v>-2.104248644283746E-2</v>
      </c>
      <c r="OI56" s="28">
        <f>SUMPRODUCT(INDEX(PortfolioRef[[SPY]:[PE]],MATCH(OI$1,PortfolioRef[Reference '#]),0),AssetMonthlyReturns[[#This Row],[SPY]:[PE]])</f>
        <v>-1.9875270210377435E-2</v>
      </c>
      <c r="OJ56" s="27">
        <f>IF(ISNUMBER(OJ55),OJ55*(1+PortfolioFrontier[[#This Row],[P100 Return]]),1+PortfolioFrontier[[#This Row],[P100 Return]])</f>
        <v>1.3326554832710211</v>
      </c>
      <c r="OK56" s="27">
        <f>MAX(OK55,PortfolioFrontier[[#This Row],[P100 Growth]])</f>
        <v>1.3596794803423304</v>
      </c>
      <c r="OL56" s="27">
        <f>PortfolioFrontier[[#This Row],[P100 Growth]]/PortfolioFrontier[[#This Row],[P100 HWM]]-1</f>
        <v>-1.9875270210377383E-2</v>
      </c>
      <c r="OM56" s="28">
        <f>SUMPRODUCT(INDEX(PortfolioRef[[SPY]:[PE]],MATCH(OM$1,PortfolioRef[Reference '#]),0),AssetMonthlyReturns[[#This Row],[SPY]:[PE]])</f>
        <v>-2.3462977487521984E-2</v>
      </c>
      <c r="ON56" s="27">
        <f>IF(ISNUMBER(ON55),ON55*(1+PortfolioFrontier[[#This Row],[P101 Return]]),1+PortfolioFrontier[[#This Row],[P101 Return]])</f>
        <v>1.3674618909196663</v>
      </c>
      <c r="OO56" s="27">
        <f>MAX(OO55,PortfolioFrontier[[#This Row],[P101 Growth]])</f>
        <v>1.4003175091113282</v>
      </c>
      <c r="OP56" s="27">
        <f>PortfolioFrontier[[#This Row],[P101 Growth]]/PortfolioFrontier[[#This Row],[P101 HWM]]-1</f>
        <v>-2.3462977487522019E-2</v>
      </c>
      <c r="OQ56" s="28">
        <f>SUMPRODUCT(INDEX(PortfolioRef[[SPY]:[PE]],MATCH(OQ$1,PortfolioRef[Reference '#]),0),AssetMonthlyReturns[[#This Row],[SPY]:[PE]])</f>
        <v>-2.3083709071375195E-2</v>
      </c>
      <c r="OR56" s="27">
        <f>IF(ISNUMBER(OR55),OR55*(1+PortfolioFrontier[[#This Row],[P102 Return]]),1+PortfolioFrontier[[#This Row],[P102 Return]])</f>
        <v>1.3530628268677773</v>
      </c>
      <c r="OS56" s="27">
        <f>MAX(OS55,PortfolioFrontier[[#This Row],[P102 Growth]])</f>
        <v>1.3850345617448963</v>
      </c>
      <c r="OT56" s="27">
        <f>PortfolioFrontier[[#This Row],[P102 Growth]]/PortfolioFrontier[[#This Row],[P102 HWM]]-1</f>
        <v>-2.3083709071375247E-2</v>
      </c>
      <c r="OU56" s="28">
        <f>SUMPRODUCT(INDEX(PortfolioRef[[SPY]:[PE]],MATCH(OU$1,PortfolioRef[Reference '#]),0),AssetMonthlyReturns[[#This Row],[SPY]:[PE]])</f>
        <v>-2.19164928389152E-2</v>
      </c>
      <c r="OV56" s="27">
        <f>IF(ISNUMBER(OV55),OV55*(1+PortfolioFrontier[[#This Row],[P103 Return]]),1+PortfolioFrontier[[#This Row],[P103 Return]])</f>
        <v>1.3461275377334119</v>
      </c>
      <c r="OW56" s="27">
        <f>MAX(OW55,PortfolioFrontier[[#This Row],[P103 Growth]])</f>
        <v>1.3762910097938215</v>
      </c>
      <c r="OX56" s="27">
        <f>PortfolioFrontier[[#This Row],[P103 Growth]]/PortfolioFrontier[[#This Row],[P103 HWM]]-1</f>
        <v>-2.1916492838915169E-2</v>
      </c>
      <c r="OY56" s="28">
        <f>SUMPRODUCT(INDEX(PortfolioRef[[SPY]:[PE]],MATCH(OY$1,PortfolioRef[Reference '#]),0),AssetMonthlyReturns[[#This Row],[SPY]:[PE]])</f>
        <v>-2.2704440655228409E-2</v>
      </c>
      <c r="OZ56" s="27">
        <f>IF(ISNUMBER(OZ55),OZ55*(1+PortfolioFrontier[[#This Row],[P104 Return]]),1+PortfolioFrontier[[#This Row],[P104 Return]])</f>
        <v>1.3383256993570332</v>
      </c>
      <c r="PA56" s="27">
        <f>MAX(PA55,PortfolioFrontier[[#This Row],[P104 Growth]])</f>
        <v>1.3694175590589139</v>
      </c>
      <c r="PB56" s="27">
        <f>PortfolioFrontier[[#This Row],[P104 Growth]]/PortfolioFrontier[[#This Row],[P104 HWM]]-1</f>
        <v>-2.2704440655228364E-2</v>
      </c>
      <c r="PC56" s="28">
        <f>SUMPRODUCT(INDEX(PortfolioRef[[SPY]:[PE]],MATCH(PC$1,PortfolioRef[Reference '#]),0),AssetMonthlyReturns[[#This Row],[SPY]:[PE]])</f>
        <v>-2.1537224422768415E-2</v>
      </c>
      <c r="PD56" s="27">
        <f>IF(ISNUMBER(PD55),PD55*(1+PortfolioFrontier[[#This Row],[P105 Return]]),1+PortfolioFrontier[[#This Row],[P105 Return]])</f>
        <v>1.3317801626043171</v>
      </c>
      <c r="PE56" s="27">
        <f>MAX(PE55,PortfolioFrontier[[#This Row],[P105 Growth]])</f>
        <v>1.3610943572366874</v>
      </c>
      <c r="PF56" s="27">
        <f>PortfolioFrontier[[#This Row],[P105 Growth]]/PortfolioFrontier[[#This Row],[P105 HWM]]-1</f>
        <v>-2.1537224422768397E-2</v>
      </c>
      <c r="PG56" s="28">
        <f>SUMPRODUCT(INDEX(PortfolioRef[[SPY]:[PE]],MATCH(PG$1,PortfolioRef[Reference '#]),0),AssetMonthlyReturns[[#This Row],[SPY]:[PE]])</f>
        <v>-2.037000819030842E-2</v>
      </c>
      <c r="PH56" s="27">
        <f>IF(ISNUMBER(PH55),PH55*(1+PortfolioFrontier[[#This Row],[P106 Return]]),1+PortfolioFrontier[[#This Row],[P106 Return]])</f>
        <v>1.3248295159226424</v>
      </c>
      <c r="PI56" s="27">
        <f>MAX(PI55,PortfolioFrontier[[#This Row],[P106 Growth]])</f>
        <v>1.3523774557731296</v>
      </c>
      <c r="PJ56" s="27">
        <f>PortfolioFrontier[[#This Row],[P106 Growth]]/PortfolioFrontier[[#This Row],[P106 HWM]]-1</f>
        <v>-2.0370008190308431E-2</v>
      </c>
      <c r="PK56" s="28">
        <f>SUMPRODUCT(INDEX(PortfolioRef[[SPY]:[PE]],MATCH(PK$1,PortfolioRef[Reference '#]),0),AssetMonthlyReturns[[#This Row],[SPY]:[PE]])</f>
        <v>-2.5124931699912968E-2</v>
      </c>
      <c r="PL56" s="27">
        <f>IF(ISNUMBER(PL55),PL55*(1+PortfolioFrontier[[#This Row],[P107 Return]]),1+PortfolioFrontier[[#This Row],[P107 Return]])</f>
        <v>1.3665080115948358</v>
      </c>
      <c r="PM56" s="27">
        <f>MAX(PM55,PortfolioFrontier[[#This Row],[P107 Growth]])</f>
        <v>1.4017262888645294</v>
      </c>
      <c r="PN56" s="27">
        <f>PortfolioFrontier[[#This Row],[P107 Growth]]/PortfolioFrontier[[#This Row],[P107 HWM]]-1</f>
        <v>-2.5124931699912811E-2</v>
      </c>
      <c r="PO56" s="28">
        <f>SUMPRODUCT(INDEX(PortfolioRef[[SPY]:[PE]],MATCH(PO$1,PortfolioRef[Reference '#]),0),AssetMonthlyReturns[[#This Row],[SPY]:[PE]])</f>
        <v>-2.3957715467452973E-2</v>
      </c>
      <c r="PP56" s="27">
        <f>IF(ISNUMBER(PP55),PP55*(1+PortfolioFrontier[[#This Row],[P108 Return]]),1+PortfolioFrontier[[#This Row],[P108 Return]])</f>
        <v>1.3595551799777916</v>
      </c>
      <c r="PQ56" s="27">
        <f>MAX(PQ55,PortfolioFrontier[[#This Row],[P108 Growth]])</f>
        <v>1.3929265171425633</v>
      </c>
      <c r="PR56" s="27">
        <f>PortfolioFrontier[[#This Row],[P108 Growth]]/PortfolioFrontier[[#This Row],[P108 HWM]]-1</f>
        <v>-2.3957715467452956E-2</v>
      </c>
      <c r="PS56" s="28">
        <f>SUMPRODUCT(INDEX(PortfolioRef[[SPY]:[PE]],MATCH(PS$1,PortfolioRef[Reference '#]),0),AssetMonthlyReturns[[#This Row],[SPY]:[PE]])</f>
        <v>-2.4745663283766178E-2</v>
      </c>
      <c r="PT56" s="27">
        <f>IF(ISNUMBER(PT55),PT55*(1+PortfolioFrontier[[#This Row],[P109 Return]]),1+PortfolioFrontier[[#This Row],[P109 Return]])</f>
        <v>1.3517737469996594</v>
      </c>
      <c r="PU56" s="27">
        <f>MAX(PU55,PortfolioFrontier[[#This Row],[P109 Growth]])</f>
        <v>1.3860730438289555</v>
      </c>
      <c r="PV56" s="27">
        <f>PortfolioFrontier[[#This Row],[P109 Growth]]/PortfolioFrontier[[#This Row],[P109 HWM]]-1</f>
        <v>-2.4745663283766151E-2</v>
      </c>
      <c r="PW56" s="28">
        <f>SUMPRODUCT(INDEX(PortfolioRef[[SPY]:[PE]],MATCH(PW$1,PortfolioRef[Reference '#]),0),AssetMonthlyReturns[[#This Row],[SPY]:[PE]])</f>
        <v>-2.3578447051306184E-2</v>
      </c>
      <c r="PX56" s="27">
        <f>IF(ISNUMBER(PX55),PX55*(1+PortfolioFrontier[[#This Row],[P110 Return]]),1+PortfolioFrontier[[#This Row],[P110 Return]])</f>
        <v>1.345213239034373</v>
      </c>
      <c r="PY56" s="27">
        <f>MAX(PY55,PortfolioFrontier[[#This Row],[P110 Growth]])</f>
        <v>1.3776971995056497</v>
      </c>
      <c r="PZ56" s="27">
        <f>PortfolioFrontier[[#This Row],[P110 Growth]]/PortfolioFrontier[[#This Row],[P110 HWM]]-1</f>
        <v>-2.3578447051306184E-2</v>
      </c>
      <c r="QA56" s="28">
        <f>SUMPRODUCT(INDEX(PortfolioRef[[SPY]:[PE]],MATCH(QA$1,PortfolioRef[Reference '#]),0),AssetMonthlyReturns[[#This Row],[SPY]:[PE]])</f>
        <v>-2.241123081884619E-2</v>
      </c>
      <c r="QB56" s="27">
        <f>IF(ISNUMBER(QB55),QB55*(1+PortfolioFrontier[[#This Row],[P111 Return]]),1+PortfolioFrontier[[#This Row],[P111 Return]])</f>
        <v>1.3382433108357399</v>
      </c>
      <c r="QC56" s="27">
        <f>MAX(QC55,PortfolioFrontier[[#This Row],[P111 Growth]])</f>
        <v>1.3689225500786766</v>
      </c>
      <c r="QD56" s="27">
        <f>PortfolioFrontier[[#This Row],[P111 Growth]]/PortfolioFrontier[[#This Row],[P111 HWM]]-1</f>
        <v>-2.2411230818846106E-2</v>
      </c>
      <c r="QE56" s="28">
        <f>SUMPRODUCT(INDEX(PortfolioRef[[SPY]:[PE]],MATCH(QE$1,PortfolioRef[Reference '#]),0),AssetMonthlyReturns[[#This Row],[SPY]:[PE]])</f>
        <v>-2.4366394867619389E-2</v>
      </c>
      <c r="QF56" s="27">
        <f>IF(ISNUMBER(QF55),QF55*(1+PortfolioFrontier[[#This Row],[P112 Return]]),1+PortfolioFrontier[[#This Row],[P112 Return]])</f>
        <v>1.336705725929249</v>
      </c>
      <c r="QG56" s="27">
        <f>MAX(QG55,PortfolioFrontier[[#This Row],[P112 Growth]])</f>
        <v>1.370089876873271</v>
      </c>
      <c r="QH56" s="27">
        <f>PortfolioFrontier[[#This Row],[P112 Growth]]/PortfolioFrontier[[#This Row],[P112 HWM]]-1</f>
        <v>-2.4366394867619268E-2</v>
      </c>
      <c r="QI56" s="28">
        <f>SUMPRODUCT(INDEX(PortfolioRef[[SPY]:[PE]],MATCH(QI$1,PortfolioRef[Reference '#]),0),AssetMonthlyReturns[[#This Row],[SPY]:[PE]])</f>
        <v>-2.3199178635159395E-2</v>
      </c>
      <c r="QJ56" s="27">
        <f>IF(ISNUMBER(QJ55),QJ55*(1+PortfolioFrontier[[#This Row],[P113 Return]]),1+PortfolioFrontier[[#This Row],[P113 Return]])</f>
        <v>1.3305357224181253</v>
      </c>
      <c r="QK56" s="27">
        <f>MAX(QK55,PortfolioFrontier[[#This Row],[P113 Growth]])</f>
        <v>1.362136162579211</v>
      </c>
      <c r="QL56" s="27">
        <f>PortfolioFrontier[[#This Row],[P113 Growth]]/PortfolioFrontier[[#This Row],[P113 HWM]]-1</f>
        <v>-2.3199178635159412E-2</v>
      </c>
      <c r="QM56" s="28">
        <f>SUMPRODUCT(INDEX(PortfolioRef[[SPY]:[PE]],MATCH(QM$1,PortfolioRef[Reference '#]),0),AssetMonthlyReturns[[#This Row],[SPY]:[PE]])</f>
        <v>-2.20319624026994E-2</v>
      </c>
      <c r="QN56" s="27">
        <f>IF(ISNUMBER(QN55),QN55*(1+PortfolioFrontier[[#This Row],[P114 Return]]),1+PortfolioFrontier[[#This Row],[P114 Return]])</f>
        <v>1.3239541121077181</v>
      </c>
      <c r="QO56" s="27">
        <f>MAX(QO55,PortfolioFrontier[[#This Row],[P114 Growth]])</f>
        <v>1.3537805543833987</v>
      </c>
      <c r="QP56" s="27">
        <f>PortfolioFrontier[[#This Row],[P114 Growth]]/PortfolioFrontier[[#This Row],[P114 HWM]]-1</f>
        <v>-2.2031962402699445E-2</v>
      </c>
      <c r="QQ56" s="28">
        <f>SUMPRODUCT(INDEX(PortfolioRef[[SPY]:[PE]],MATCH(QQ$1,PortfolioRef[Reference '#]),0),AssetMonthlyReturns[[#This Row],[SPY]:[PE]])</f>
        <v>-2.6786885912303951E-2</v>
      </c>
      <c r="QR56" s="27">
        <f>IF(ISNUMBER(QR55),QR55*(1+PortfolioFrontier[[#This Row],[P115 Return]]),1+PortfolioFrontier[[#This Row],[P115 Return]])</f>
        <v>1.3651760627299163</v>
      </c>
      <c r="QS56" s="27">
        <f>MAX(QS55,PortfolioFrontier[[#This Row],[P115 Growth]])</f>
        <v>1.402751404567387</v>
      </c>
      <c r="QT56" s="27">
        <f>PortfolioFrontier[[#This Row],[P115 Growth]]/PortfolioFrontier[[#This Row],[P115 HWM]]-1</f>
        <v>-2.6786885912303937E-2</v>
      </c>
      <c r="QU56" s="28">
        <f>SUMPRODUCT(INDEX(PortfolioRef[[SPY]:[PE]],MATCH(QU$1,PortfolioRef[Reference '#]),0),AssetMonthlyReturns[[#This Row],[SPY]:[PE]])</f>
        <v>-2.5619669679843957E-2</v>
      </c>
      <c r="QV56" s="27">
        <f>IF(ISNUMBER(QV55),QV55*(1+PortfolioFrontier[[#This Row],[P116 Return]]),1+PortfolioFrontier[[#This Row],[P116 Return]])</f>
        <v>1.3586015586649636</v>
      </c>
      <c r="QW56" s="27">
        <f>MAX(QW55,PortfolioFrontier[[#This Row],[P116 Growth]])</f>
        <v>1.3943236705307489</v>
      </c>
      <c r="QX56" s="27">
        <f>PortfolioFrontier[[#This Row],[P116 Growth]]/PortfolioFrontier[[#This Row],[P116 HWM]]-1</f>
        <v>-2.561966967984397E-2</v>
      </c>
      <c r="QY56" s="28">
        <f>SUMPRODUCT(INDEX(PortfolioRef[[SPY]:[PE]],MATCH(QY$1,PortfolioRef[Reference '#]),0),AssetMonthlyReturns[[#This Row],[SPY]:[PE]])</f>
        <v>-2.4452453447383962E-2</v>
      </c>
      <c r="QZ56" s="27">
        <f>IF(ISNUMBER(QZ55),QZ55*(1+PortfolioFrontier[[#This Row],[P117 Return]]),1+PortfolioFrontier[[#This Row],[P117 Return]])</f>
        <v>1.3516133355902313</v>
      </c>
      <c r="RA56" s="27">
        <f>MAX(RA55,PortfolioFrontier[[#This Row],[P117 Growth]])</f>
        <v>1.3854920145784329</v>
      </c>
      <c r="RB56" s="27">
        <f>PortfolioFrontier[[#This Row],[P117 Growth]]/PortfolioFrontier[[#This Row],[P117 HWM]]-1</f>
        <v>-2.4452453447384115E-2</v>
      </c>
      <c r="RC56" s="28">
        <f>SUMPRODUCT(INDEX(PortfolioRef[[SPY]:[PE]],MATCH(RC$1,PortfolioRef[Reference '#]),0),AssetMonthlyReturns[[#This Row],[SPY]:[PE]])</f>
        <v>-2.6407617496157158E-2</v>
      </c>
      <c r="RD56" s="27">
        <f>IF(ISNUMBER(RD55),RD55*(1+PortfolioFrontier[[#This Row],[P118 Return]]),1+PortfolioFrontier[[#This Row],[P118 Return]])</f>
        <v>1.3501078347845947</v>
      </c>
      <c r="RE56" s="27">
        <f>MAX(RE55,PortfolioFrontier[[#This Row],[P118 Growth]])</f>
        <v>1.3867280178512138</v>
      </c>
      <c r="RF56" s="27">
        <f>PortfolioFrontier[[#This Row],[P118 Growth]]/PortfolioFrontier[[#This Row],[P118 HWM]]-1</f>
        <v>-2.6407617496157165E-2</v>
      </c>
      <c r="RG56" s="28">
        <f>SUMPRODUCT(INDEX(PortfolioRef[[SPY]:[PE]],MATCH(RG$1,PortfolioRef[Reference '#]),0),AssetMonthlyReturns[[#This Row],[SPY]:[PE]])</f>
        <v>-2.5240401263697164E-2</v>
      </c>
      <c r="RH56" s="27">
        <f>IF(ISNUMBER(RH55),RH55*(1+PortfolioFrontier[[#This Row],[P119 Return]]),1+PortfolioFrontier[[#This Row],[P119 Return]])</f>
        <v>1.3439264348785871</v>
      </c>
      <c r="RI56" s="27">
        <f>MAX(RI55,PortfolioFrontier[[#This Row],[P119 Growth]])</f>
        <v>1.3787260331889826</v>
      </c>
      <c r="RJ56" s="27">
        <f>PortfolioFrontier[[#This Row],[P119 Growth]]/PortfolioFrontier[[#This Row],[P119 HWM]]-1</f>
        <v>-2.5240401263697199E-2</v>
      </c>
      <c r="RK56" s="28">
        <f>SUMPRODUCT(INDEX(PortfolioRef[[SPY]:[PE]],MATCH(RK$1,PortfolioRef[Reference '#]),0),AssetMonthlyReturns[[#This Row],[SPY]:[PE]])</f>
        <v>-2.407318503123717E-2</v>
      </c>
      <c r="RL56" s="27">
        <f>IF(ISNUMBER(RL55),RL55*(1+PortfolioFrontier[[#This Row],[P120 Return]]),1+PortfolioFrontier[[#This Row],[P120 Return]])</f>
        <v>1.3373290910503313</v>
      </c>
      <c r="RM56" s="27">
        <f>MAX(RM55,PortfolioFrontier[[#This Row],[P120 Growth]])</f>
        <v>1.3703169853910981</v>
      </c>
      <c r="RN56" s="27">
        <f>PortfolioFrontier[[#This Row],[P120 Growth]]/PortfolioFrontier[[#This Row],[P120 HWM]]-1</f>
        <v>-2.407318503123701E-2</v>
      </c>
      <c r="RO56" s="28">
        <f>SUMPRODUCT(INDEX(PortfolioRef[[SPY]:[PE]],MATCH(RO$1,PortfolioRef[Reference '#]),0),AssetMonthlyReturns[[#This Row],[SPY]:[PE]])</f>
        <v>-2.6028349080010373E-2</v>
      </c>
      <c r="RP56" s="27">
        <f>IF(ISNUMBER(RP55),RP55*(1+PortfolioFrontier[[#This Row],[P121 Return]]),1+PortfolioFrontier[[#This Row],[P121 Return]])</f>
        <v>1.3347103739122039</v>
      </c>
      <c r="RQ56" s="27">
        <f>MAX(RQ55,PortfolioFrontier[[#This Row],[P121 Growth]])</f>
        <v>1.3703790789510859</v>
      </c>
      <c r="RR56" s="27">
        <f>PortfolioFrontier[[#This Row],[P121 Growth]]/PortfolioFrontier[[#This Row],[P121 HWM]]-1</f>
        <v>-2.6028349080010393E-2</v>
      </c>
      <c r="RS56" s="28">
        <f>SUMPRODUCT(INDEX(PortfolioRef[[SPY]:[PE]],MATCH(RS$1,PortfolioRef[Reference '#]),0),AssetMonthlyReturns[[#This Row],[SPY]:[PE]])</f>
        <v>-2.4861132847550378E-2</v>
      </c>
      <c r="RT56" s="27">
        <f>IF(ISNUMBER(RT55),RT55*(1+PortfolioFrontier[[#This Row],[P122 Return]]),1+PortfolioFrontier[[#This Row],[P122 Return]])</f>
        <v>1.328920035291083</v>
      </c>
      <c r="RU56" s="27">
        <f>MAX(RU55,PortfolioFrontier[[#This Row],[P122 Growth]])</f>
        <v>1.3628008072037239</v>
      </c>
      <c r="RV56" s="27">
        <f>PortfolioFrontier[[#This Row],[P122 Growth]]/PortfolioFrontier[[#This Row],[P122 HWM]]-1</f>
        <v>-2.4861132847550538E-2</v>
      </c>
      <c r="RW56" s="28">
        <f>SUMPRODUCT(INDEX(PortfolioRef[[SPY]:[PE]],MATCH(RW$1,PortfolioRef[Reference '#]),0),AssetMonthlyReturns[[#This Row],[SPY]:[PE]])</f>
        <v>-2.3693916615090384E-2</v>
      </c>
      <c r="RX56" s="27">
        <f>IF(ISNUMBER(RX55),RX55*(1+PortfolioFrontier[[#This Row],[P123 Return]]),1+PortfolioFrontier[[#This Row],[P123 Return]])</f>
        <v>1.3227117603060465</v>
      </c>
      <c r="RY56" s="27">
        <f>MAX(RY55,PortfolioFrontier[[#This Row],[P123 Growth]])</f>
        <v>1.3548125765232644</v>
      </c>
      <c r="RZ56" s="27">
        <f>PortfolioFrontier[[#This Row],[P123 Growth]]/PortfolioFrontier[[#This Row],[P123 HWM]]-1</f>
        <v>-2.3693916615090238E-2</v>
      </c>
      <c r="SA56" s="28">
        <f>SUMPRODUCT(INDEX(PortfolioRef[[SPY]:[PE]],MATCH(SA$1,PortfolioRef[Reference '#]),0),AssetMonthlyReturns[[#This Row],[SPY]:[PE]])</f>
        <v>-2.8448840124694931E-2</v>
      </c>
      <c r="SB56" s="27">
        <f>IF(ISNUMBER(SB55),SB55*(1+PortfolioFrontier[[#This Row],[P124 Return]]),1+PortfolioFrontier[[#This Row],[P124 Return]])</f>
        <v>1.3634639007457459</v>
      </c>
      <c r="SC56" s="27">
        <f>MAX(SC55,PortfolioFrontier[[#This Row],[P124 Growth]])</f>
        <v>1.4033886809632767</v>
      </c>
      <c r="SD56" s="27">
        <f>PortfolioFrontier[[#This Row],[P124 Growth]]/PortfolioFrontier[[#This Row],[P124 HWM]]-1</f>
        <v>-2.8448840124695063E-2</v>
      </c>
      <c r="SE56" s="28">
        <f>SUMPRODUCT(INDEX(PortfolioRef[[SPY]:[PE]],MATCH(SE$1,PortfolioRef[Reference '#]),0),AssetMonthlyReturns[[#This Row],[SPY]:[PE]])</f>
        <v>-2.7281623892234937E-2</v>
      </c>
      <c r="SF56" s="27">
        <f>IF(ISNUMBER(SF55),SF55*(1+PortfolioFrontier[[#This Row],[P125 Return]]),1+PortfolioFrontier[[#This Row],[P125 Return]])</f>
        <v>1.3572720628852926</v>
      </c>
      <c r="SG56" s="27">
        <f>MAX(SG55,PortfolioFrontier[[#This Row],[P125 Growth]])</f>
        <v>1.3953391816409191</v>
      </c>
      <c r="SH56" s="27">
        <f>PortfolioFrontier[[#This Row],[P125 Growth]]/PortfolioFrontier[[#This Row],[P125 HWM]]-1</f>
        <v>-2.7281623892234985E-2</v>
      </c>
      <c r="SI56" s="28">
        <f>SUMPRODUCT(INDEX(PortfolioRef[[SPY]:[PE]],MATCH(SI$1,PortfolioRef[Reference '#]),0),AssetMonthlyReturns[[#This Row],[SPY]:[PE]])</f>
        <v>-2.6114407659774942E-2</v>
      </c>
      <c r="SJ56" s="27">
        <f>IF(ISNUMBER(SJ55),SJ55*(1+PortfolioFrontier[[#This Row],[P126 Return]]),1+PortfolioFrontier[[#This Row],[P126 Return]])</f>
        <v>1.3506599562388988</v>
      </c>
      <c r="SK56" s="27">
        <f>MAX(SK55,PortfolioFrontier[[#This Row],[P126 Growth]])</f>
        <v>1.3868774390565666</v>
      </c>
      <c r="SL56" s="27">
        <f>PortfolioFrontier[[#This Row],[P126 Growth]]/PortfolioFrontier[[#This Row],[P126 HWM]]-1</f>
        <v>-2.6114407659774908E-2</v>
      </c>
      <c r="SM56" s="28">
        <f>SUMPRODUCT(INDEX(PortfolioRef[[SPY]:[PE]],MATCH(SM$1,PortfolioRef[Reference '#]),0),AssetMonthlyReturns[[#This Row],[SPY]:[PE]])</f>
        <v>-2.8069571708548142E-2</v>
      </c>
      <c r="SN56" s="27">
        <f>IF(ISNUMBER(SN55),SN55*(1+PortfolioFrontier[[#This Row],[P127 Return]]),1+PortfolioFrontier[[#This Row],[P127 Return]])</f>
        <v>1.3480631503942566</v>
      </c>
      <c r="SO56" s="27">
        <f>MAX(SO55,PortfolioFrontier[[#This Row],[P127 Growth]])</f>
        <v>1.3869955206197271</v>
      </c>
      <c r="SP56" s="27">
        <f>PortfolioFrontier[[#This Row],[P127 Growth]]/PortfolioFrontier[[#This Row],[P127 HWM]]-1</f>
        <v>-2.806957170854818E-2</v>
      </c>
      <c r="SQ56" s="28">
        <f>SUMPRODUCT(INDEX(PortfolioRef[[SPY]:[PE]],MATCH(SQ$1,PortfolioRef[Reference '#]),0),AssetMonthlyReturns[[#This Row],[SPY]:[PE]])</f>
        <v>-2.6902355476088147E-2</v>
      </c>
      <c r="SR56" s="27">
        <f>IF(ISNUMBER(SR55),SR55*(1+PortfolioFrontier[[#This Row],[P128 Return]]),1+PortfolioFrontier[[#This Row],[P128 Return]])</f>
        <v>1.3422650006270178</v>
      </c>
      <c r="SS56" s="27">
        <f>MAX(SS55,PortfolioFrontier[[#This Row],[P128 Growth]])</f>
        <v>1.3793733940068482</v>
      </c>
      <c r="ST56" s="27">
        <f>PortfolioFrontier[[#This Row],[P128 Growth]]/PortfolioFrontier[[#This Row],[P128 HWM]]-1</f>
        <v>-2.6902355476088102E-2</v>
      </c>
      <c r="SU56" s="28">
        <f>SUMPRODUCT(INDEX(PortfolioRef[[SPY]:[PE]],MATCH(SU$1,PortfolioRef[Reference '#]),0),AssetMonthlyReturns[[#This Row],[SPY]:[PE]])</f>
        <v>-2.5735139243628153E-2</v>
      </c>
      <c r="SV56" s="27">
        <f>IF(ISNUMBER(SV55),SV55*(1+PortfolioFrontier[[#This Row],[P129 Return]]),1+PortfolioFrontier[[#This Row],[P129 Return]])</f>
        <v>1.3360445524898887</v>
      </c>
      <c r="SW56" s="27">
        <f>MAX(SW55,PortfolioFrontier[[#This Row],[P129 Growth]])</f>
        <v>1.3713360773913663</v>
      </c>
      <c r="SX56" s="27">
        <f>PortfolioFrontier[[#This Row],[P129 Growth]]/PortfolioFrontier[[#This Row],[P129 HWM]]-1</f>
        <v>-2.5735139243628136E-2</v>
      </c>
      <c r="SY56" s="28">
        <f>SUMPRODUCT(INDEX(PortfolioRef[[SPY]:[PE]],MATCH(SY$1,PortfolioRef[Reference '#]),0),AssetMonthlyReturns[[#This Row],[SPY]:[PE]])</f>
        <v>-2.7690303292401353E-2</v>
      </c>
      <c r="SZ56" s="27">
        <f>IF(ISNUMBER(SZ55),SZ55*(1+PortfolioFrontier[[#This Row],[P130 Return]]),1+PortfolioFrontier[[#This Row],[P130 Return]])</f>
        <v>1.3323379075634074</v>
      </c>
      <c r="TA56" s="27">
        <f>MAX(TA55,PortfolioFrontier[[#This Row],[P130 Growth]])</f>
        <v>1.3702814155560969</v>
      </c>
      <c r="TB56" s="27">
        <f>PortfolioFrontier[[#This Row],[P130 Growth]]/PortfolioFrontier[[#This Row],[P130 HWM]]-1</f>
        <v>-2.7690303292401408E-2</v>
      </c>
      <c r="TC56" s="28">
        <f>SUMPRODUCT(INDEX(PortfolioRef[[SPY]:[PE]],MATCH(TC$1,PortfolioRef[Reference '#]),0),AssetMonthlyReturns[[#This Row],[SPY]:[PE]])</f>
        <v>-2.6523087059941358E-2</v>
      </c>
      <c r="TD56" s="27">
        <f>IF(ISNUMBER(TD55),TD55*(1+PortfolioFrontier[[#This Row],[P131 Return]]),1+PortfolioFrontier[[#This Row],[P131 Return]])</f>
        <v>1.3269311778198818</v>
      </c>
      <c r="TE56" s="27">
        <f>MAX(TE55,PortfolioFrontier[[#This Row],[P131 Growth]])</f>
        <v>1.3630843835960462</v>
      </c>
      <c r="TF56" s="27">
        <f>PortfolioFrontier[[#This Row],[P131 Growth]]/PortfolioFrontier[[#This Row],[P131 HWM]]-1</f>
        <v>-2.652308705994133E-2</v>
      </c>
      <c r="TG56" s="28">
        <f>SUMPRODUCT(INDEX(PortfolioRef[[SPY]:[PE]],MATCH(TG$1,PortfolioRef[Reference '#]),0),AssetMonthlyReturns[[#This Row],[SPY]:[PE]])</f>
        <v>-2.5355870827481364E-2</v>
      </c>
      <c r="TH56" s="27">
        <f>IF(ISNUMBER(TH55),TH55*(1+PortfolioFrontier[[#This Row],[P132 Return]]),1+PortfolioFrontier[[#This Row],[P132 Return]])</f>
        <v>1.3211003550451135</v>
      </c>
      <c r="TI56" s="27">
        <f>MAX(TI55,PortfolioFrontier[[#This Row],[P132 Growth]])</f>
        <v>1.3554694636766953</v>
      </c>
      <c r="TJ56" s="27">
        <f>PortfolioFrontier[[#This Row],[P132 Growth]]/PortfolioFrontier[[#This Row],[P132 HWM]]-1</f>
        <v>-2.5355870827481475E-2</v>
      </c>
      <c r="TK56" s="28">
        <f>SUMPRODUCT(INDEX(PortfolioRef[[SPY]:[PE]],MATCH(TK$1,PortfolioRef[Reference '#]),0),AssetMonthlyReturns[[#This Row],[SPY]:[PE]])</f>
        <v>-3.0110794337085911E-2</v>
      </c>
      <c r="TL56" s="27">
        <f>IF(ISNUMBER(TL55),TL55*(1+PortfolioFrontier[[#This Row],[P133 Return]]),1+PortfolioFrontier[[#This Row],[P133 Return]])</f>
        <v>1.3613695907836971</v>
      </c>
      <c r="TM56" s="27">
        <f>MAX(TM55,PortfolioFrontier[[#This Row],[P133 Growth]])</f>
        <v>1.40363412937791</v>
      </c>
      <c r="TN56" s="27">
        <f>PortfolioFrontier[[#This Row],[P133 Growth]]/PortfolioFrontier[[#This Row],[P133 HWM]]-1</f>
        <v>-3.0110794337085856E-2</v>
      </c>
      <c r="TO56" s="28">
        <f>SUMPRODUCT(INDEX(PortfolioRef[[SPY]:[PE]],MATCH(TO$1,PortfolioRef[Reference '#]),0),AssetMonthlyReturns[[#This Row],[SPY]:[PE]])</f>
        <v>-2.8943578104625917E-2</v>
      </c>
      <c r="TP56" s="27">
        <f>IF(ISNUMBER(TP55),TP55*(1+PortfolioFrontier[[#This Row],[P134 Return]]),1+PortfolioFrontier[[#This Row],[P134 Return]])</f>
        <v>1.3555645711191826</v>
      </c>
      <c r="TQ56" s="27">
        <f>MAX(TQ55,PortfolioFrontier[[#This Row],[P134 Growth]])</f>
        <v>1.3959689061870362</v>
      </c>
      <c r="TR56" s="27">
        <f>PortfolioFrontier[[#This Row],[P134 Growth]]/PortfolioFrontier[[#This Row],[P134 HWM]]-1</f>
        <v>-2.8943578104625778E-2</v>
      </c>
      <c r="TS56" s="28">
        <f>SUMPRODUCT(INDEX(PortfolioRef[[SPY]:[PE]],MATCH(TS$1,PortfolioRef[Reference '#]),0),AssetMonthlyReturns[[#This Row],[SPY]:[PE]])</f>
        <v>-2.7776361872165922E-2</v>
      </c>
      <c r="TT56" s="27">
        <f>IF(ISNUMBER(TT55),TT55*(1+PortfolioFrontier[[#This Row],[P135 Return]]),1+PortfolioFrontier[[#This Row],[P135 Return]])</f>
        <v>1.3493329040661433</v>
      </c>
      <c r="TU56" s="27">
        <f>MAX(TU55,PortfolioFrontier[[#This Row],[P135 Growth]])</f>
        <v>1.3878832514960149</v>
      </c>
      <c r="TV56" s="27">
        <f>PortfolioFrontier[[#This Row],[P135 Growth]]/PortfolioFrontier[[#This Row],[P135 HWM]]-1</f>
        <v>-2.7776361872165922E-2</v>
      </c>
      <c r="TW56" s="28">
        <f>SUMPRODUCT(INDEX(PortfolioRef[[SPY]:[PE]],MATCH(TW$1,PortfolioRef[Reference '#]),0),AssetMonthlyReturns[[#This Row],[SPY]:[PE]])</f>
        <v>-2.9731525920939122E-2</v>
      </c>
      <c r="TX56" s="27">
        <f>IF(ISNUMBER(TX55),TX55*(1+PortfolioFrontier[[#This Row],[P136 Return]]),1+PortfolioFrontier[[#This Row],[P136 Return]])</f>
        <v>1.3456379646365417</v>
      </c>
      <c r="TY56" s="27">
        <f>MAX(TY55,PortfolioFrontier[[#This Row],[P136 Growth]])</f>
        <v>1.3868717788793108</v>
      </c>
      <c r="TZ56" s="27">
        <f>PortfolioFrontier[[#This Row],[P136 Growth]]/PortfolioFrontier[[#This Row],[P136 HWM]]-1</f>
        <v>-2.9731525920939084E-2</v>
      </c>
      <c r="UA56" s="28">
        <f>SUMPRODUCT(INDEX(PortfolioRef[[SPY]:[PE]],MATCH(UA$1,PortfolioRef[Reference '#]),0),AssetMonthlyReturns[[#This Row],[SPY]:[PE]])</f>
        <v>-2.8564309688479127E-2</v>
      </c>
      <c r="UB56" s="27">
        <f>IF(ISNUMBER(UB55),UB55*(1+PortfolioFrontier[[#This Row],[P137 Return]]),1+PortfolioFrontier[[#This Row],[P137 Return]])</f>
        <v>1.3402270175501074</v>
      </c>
      <c r="UC56" s="27">
        <f>MAX(UC55,PortfolioFrontier[[#This Row],[P137 Growth]])</f>
        <v>1.3796353489136499</v>
      </c>
      <c r="UD56" s="27">
        <f>PortfolioFrontier[[#This Row],[P137 Growth]]/PortfolioFrontier[[#This Row],[P137 HWM]]-1</f>
        <v>-2.8564309688479117E-2</v>
      </c>
      <c r="UE56" s="28">
        <f>SUMPRODUCT(INDEX(PortfolioRef[[SPY]:[PE]],MATCH(UE$1,PortfolioRef[Reference '#]),0),AssetMonthlyReturns[[#This Row],[SPY]:[PE]])</f>
        <v>-2.7397093456019133E-2</v>
      </c>
      <c r="UF56" s="27">
        <f>IF(ISNUMBER(UF55),UF55*(1+PortfolioFrontier[[#This Row],[P138 Return]]),1+PortfolioFrontier[[#This Row],[P138 Return]])</f>
        <v>1.3343875925059738</v>
      </c>
      <c r="UG56" s="27">
        <f>MAX(UG55,PortfolioFrontier[[#This Row],[P138 Growth]])</f>
        <v>1.3719757400762334</v>
      </c>
      <c r="UH56" s="27">
        <f>PortfolioFrontier[[#This Row],[P138 Growth]]/PortfolioFrontier[[#This Row],[P138 HWM]]-1</f>
        <v>-2.7397093456019039E-2</v>
      </c>
      <c r="UI56" s="28">
        <f>SUMPRODUCT(INDEX(PortfolioRef[[SPY]:[PE]],MATCH(UI$1,PortfolioRef[Reference '#]),0),AssetMonthlyReturns[[#This Row],[SPY]:[PE]])</f>
        <v>-2.9352257504792336E-2</v>
      </c>
      <c r="UJ56" s="27">
        <f>IF(ISNUMBER(UJ55),UJ55*(1+PortfolioFrontier[[#This Row],[P139 Return]]),1+PortfolioFrontier[[#This Row],[P139 Return]])</f>
        <v>1.3295868035430565</v>
      </c>
      <c r="UK56" s="27">
        <f>MAX(UK55,PortfolioFrontier[[#This Row],[P139 Growth]])</f>
        <v>1.3697933300963927</v>
      </c>
      <c r="UL56" s="27">
        <f>PortfolioFrontier[[#This Row],[P139 Growth]]/PortfolioFrontier[[#This Row],[P139 HWM]]-1</f>
        <v>-2.9352257504792312E-2</v>
      </c>
      <c r="UM56" s="28">
        <f>SUMPRODUCT(INDEX(PortfolioRef[[SPY]:[PE]],MATCH(UM$1,PortfolioRef[Reference '#]),0),AssetMonthlyReturns[[#This Row],[SPY]:[PE]])</f>
        <v>-2.8185041272332342E-2</v>
      </c>
      <c r="UN56" s="27">
        <f>IF(ISNUMBER(UN55),UN55*(1+PortfolioFrontier[[#This Row],[P140 Return]]),1+PortfolioFrontier[[#This Row],[P140 Return]])</f>
        <v>1.3245674343864915</v>
      </c>
      <c r="UO56" s="27">
        <f>MAX(UO55,PortfolioFrontier[[#This Row],[P140 Growth]])</f>
        <v>1.3629831713237457</v>
      </c>
      <c r="UP56" s="27">
        <f>PortfolioFrontier[[#This Row],[P140 Growth]]/PortfolioFrontier[[#This Row],[P140 HWM]]-1</f>
        <v>-2.8185041272332345E-2</v>
      </c>
      <c r="UQ56" s="28">
        <f>SUMPRODUCT(INDEX(PortfolioRef[[SPY]:[PE]],MATCH(UQ$1,PortfolioRef[Reference '#]),0),AssetMonthlyReturns[[#This Row],[SPY]:[PE]])</f>
        <v>-2.7017825039872347E-2</v>
      </c>
      <c r="UR56" s="27">
        <f>IF(ISNUMBER(UR55),UR55*(1+PortfolioFrontier[[#This Row],[P141 Return]]),1+PortfolioFrontier[[#This Row],[P141 Return]])</f>
        <v>1.3191179939508604</v>
      </c>
      <c r="US56" s="27">
        <f>MAX(US55,PortfolioFrontier[[#This Row],[P141 Growth]])</f>
        <v>1.3557473383363032</v>
      </c>
      <c r="UT56" s="27">
        <f>PortfolioFrontier[[#This Row],[P141 Growth]]/PortfolioFrontier[[#This Row],[P141 HWM]]-1</f>
        <v>-2.7017825039872378E-2</v>
      </c>
    </row>
    <row r="57" spans="2:566" x14ac:dyDescent="0.2">
      <c r="B57" s="41">
        <f>AssetMonthlyReturns[[#This Row],[Date]]</f>
        <v>44105</v>
      </c>
      <c r="C57" s="28">
        <f>SUMPRODUCT(INDEX(PortfolioRef[[SPY]:[PE]],MATCH(C$1,PortfolioRef[Reference '#]),0),AssetMonthlyReturns[[#This Row],[SPY]:[PE]])</f>
        <v>-1.5202250476518938E-2</v>
      </c>
      <c r="D57" s="29">
        <f>IF(ISNUMBER(D56),D56*(1+PortfolioFrontier[[#This Row],[P1 Return]]),1+PortfolioFrontier[[#This Row],[P1 Return]])</f>
        <v>1.4851420307429182</v>
      </c>
      <c r="E57" s="29">
        <f>MAX(E56,PortfolioFrontier[[#This Row],[P1 Growth]])</f>
        <v>1.5571086775391527</v>
      </c>
      <c r="F57" s="29">
        <f>PortfolioFrontier[[#This Row],[P1 Growth]]/PortfolioFrontier[[#This Row],[P1 HWM]]-1</f>
        <v>-4.6218127118763719E-2</v>
      </c>
      <c r="G57" s="28">
        <f>SUMPRODUCT(INDEX(PortfolioRef[[SPY]:[PE]],MATCH(G$1,PortfolioRef[Reference '#]),0),AssetMonthlyReturns[[#This Row],[SPY]:[PE]])</f>
        <v>-1.4432962817753714E-2</v>
      </c>
      <c r="H57" s="27">
        <f>IF(ISNUMBER(H56),H56*(1+PortfolioFrontier[[#This Row],[P2 Return]]),1+PortfolioFrontier[[#This Row],[P2 Return]])</f>
        <v>1.4584234358843282</v>
      </c>
      <c r="I57" s="27">
        <f>MAX(I56,PortfolioFrontier[[#This Row],[P2 Growth]])</f>
        <v>1.5247232610794961</v>
      </c>
      <c r="J57" s="27">
        <f>PortfolioFrontier[[#This Row],[P2 Growth]]/PortfolioFrontier[[#This Row],[P2 HWM]]-1</f>
        <v>-4.3483186023034692E-2</v>
      </c>
      <c r="K57" s="28">
        <f>SUMPRODUCT(INDEX(PortfolioRef[[SPY]:[PE]],MATCH(K$1,PortfolioRef[Reference '#]),0),AssetMonthlyReturns[[#This Row],[SPY]:[PE]])</f>
        <v>-1.4410354970777728E-2</v>
      </c>
      <c r="L57" s="27">
        <f>IF(ISNUMBER(L56),L56*(1+PortfolioFrontier[[#This Row],[P3 Return]]),1+PortfolioFrontier[[#This Row],[P3 Return]])</f>
        <v>1.4730423787477072</v>
      </c>
      <c r="M57" s="27">
        <f>MAX(M56,PortfolioFrontier[[#This Row],[P3 Growth]])</f>
        <v>1.5432171742426668</v>
      </c>
      <c r="N57" s="27">
        <f>PortfolioFrontier[[#This Row],[P3 Growth]]/PortfolioFrontier[[#This Row],[P3 HWM]]-1</f>
        <v>-4.5473052442795647E-2</v>
      </c>
      <c r="O57" s="28">
        <f>SUMPRODUCT(INDEX(PortfolioRef[[SPY]:[PE]],MATCH(O$1,PortfolioRef[Reference '#]),0),AssetMonthlyReturns[[#This Row],[SPY]:[PE]])</f>
        <v>-1.527553690927636E-2</v>
      </c>
      <c r="P57" s="27">
        <f>IF(ISNUMBER(P56),P56*(1+PortfolioFrontier[[#This Row],[P4 Return]]),1+PortfolioFrontier[[#This Row],[P4 Return]])</f>
        <v>1.4547690599673608</v>
      </c>
      <c r="Q57" s="27">
        <f>MAX(Q56,PortfolioFrontier[[#This Row],[P4 Growth]])</f>
        <v>1.5248152477072032</v>
      </c>
      <c r="R57" s="27">
        <f>PortfolioFrontier[[#This Row],[P4 Growth]]/PortfolioFrontier[[#This Row],[P4 HWM]]-1</f>
        <v>-4.5937491670002495E-2</v>
      </c>
      <c r="S57" s="28">
        <f>SUMPRODUCT(INDEX(PortfolioRef[[SPY]:[PE]],MATCH(S$1,PortfolioRef[Reference '#]),0),AssetMonthlyReturns[[#This Row],[SPY]:[PE]])</f>
        <v>-1.415985692352382E-2</v>
      </c>
      <c r="T57" s="27">
        <f>IF(ISNUMBER(T56),T56*(1+PortfolioFrontier[[#This Row],[P5 Return]]),1+PortfolioFrontier[[#This Row],[P5 Return]])</f>
        <v>1.4501066547100376</v>
      </c>
      <c r="U57" s="27">
        <f>MAX(U56,PortfolioFrontier[[#This Row],[P5 Growth]])</f>
        <v>1.5163814124662862</v>
      </c>
      <c r="V57" s="27">
        <f>PortfolioFrontier[[#This Row],[P5 Growth]]/PortfolioFrontier[[#This Row],[P5 HWM]]-1</f>
        <v>-4.3705862661859829E-2</v>
      </c>
      <c r="W57" s="28">
        <f>SUMPRODUCT(INDEX(PortfolioRef[[SPY]:[PE]],MATCH(W$1,PortfolioRef[Reference '#]),0),AssetMonthlyReturns[[#This Row],[SPY]:[PE]])</f>
        <v>-1.3663675158988491E-2</v>
      </c>
      <c r="X57" s="27">
        <f>IF(ISNUMBER(X56),X56*(1+PortfolioFrontier[[#This Row],[P6 Return]]),1+PortfolioFrontier[[#This Row],[P6 Return]])</f>
        <v>1.4317810292212667</v>
      </c>
      <c r="Y57" s="27">
        <f>MAX(Y56,PortfolioFrontier[[#This Row],[P6 Growth]])</f>
        <v>1.4925971050032361</v>
      </c>
      <c r="Z57" s="27">
        <f>PortfolioFrontier[[#This Row],[P6 Growth]]/PortfolioFrontier[[#This Row],[P6 HWM]]-1</f>
        <v>-4.0745138509321599E-2</v>
      </c>
      <c r="AA57" s="28">
        <f>SUMPRODUCT(INDEX(PortfolioRef[[SPY]:[PE]],MATCH(AA$1,PortfolioRef[Reference '#]),0),AssetMonthlyReturns[[#This Row],[SPY]:[PE]])</f>
        <v>-1.3641067312012508E-2</v>
      </c>
      <c r="AB57" s="27">
        <f>IF(ISNUMBER(AB56),AB56*(1+PortfolioFrontier[[#This Row],[P7 Return]]),1+PortfolioFrontier[[#This Row],[P7 Return]])</f>
        <v>1.4461584151778391</v>
      </c>
      <c r="AC57" s="27">
        <f>MAX(AC56,PortfolioFrontier[[#This Row],[P7 Growth]])</f>
        <v>1.5107214051835725</v>
      </c>
      <c r="AD57" s="27">
        <f>PortfolioFrontier[[#This Row],[P7 Growth]]/PortfolioFrontier[[#This Row],[P7 HWM]]-1</f>
        <v>-4.2736529570710724E-2</v>
      </c>
      <c r="AE57" s="28">
        <f>SUMPRODUCT(INDEX(PortfolioRef[[SPY]:[PE]],MATCH(AE$1,PortfolioRef[Reference '#]),0),AssetMonthlyReturns[[#This Row],[SPY]:[PE]])</f>
        <v>-1.4506249250511137E-2</v>
      </c>
      <c r="AF57" s="27">
        <f>IF(ISNUMBER(AF56),AF56*(1+PortfolioFrontier[[#This Row],[P8 Return]]),1+PortfolioFrontier[[#This Row],[P8 Return]])</f>
        <v>1.4284835445859021</v>
      </c>
      <c r="AG57" s="27">
        <f>MAX(AG56,PortfolioFrontier[[#This Row],[P8 Growth]])</f>
        <v>1.4929840754180306</v>
      </c>
      <c r="AH57" s="27">
        <f>PortfolioFrontier[[#This Row],[P8 Growth]]/PortfolioFrontier[[#This Row],[P8 HWM]]-1</f>
        <v>-4.3202423853093364E-2</v>
      </c>
      <c r="AI57" s="28">
        <f>SUMPRODUCT(INDEX(PortfolioRef[[SPY]:[PE]],MATCH(AI$1,PortfolioRef[Reference '#]),0),AssetMonthlyReturns[[#This Row],[SPY]:[PE]])</f>
        <v>-1.33905692647586E-2</v>
      </c>
      <c r="AJ57" s="27">
        <f>IF(ISNUMBER(AJ56),AJ56*(1+PortfolioFrontier[[#This Row],[P9 Return]]),1+PortfolioFrontier[[#This Row],[P9 Return]])</f>
        <v>1.4236636140909984</v>
      </c>
      <c r="AK57" s="27">
        <f>MAX(AK56,PortfolioFrontier[[#This Row],[P9 Growth]])</f>
        <v>1.4844792312631376</v>
      </c>
      <c r="AL57" s="27">
        <f>PortfolioFrontier[[#This Row],[P9 Growth]]/PortfolioFrontier[[#This Row],[P9 HWM]]-1</f>
        <v>-4.0967644337059128E-2</v>
      </c>
      <c r="AM57" s="28">
        <f>SUMPRODUCT(INDEX(PortfolioRef[[SPY]:[PE]],MATCH(AM$1,PortfolioRef[Reference '#]),0),AssetMonthlyReturns[[#This Row],[SPY]:[PE]])</f>
        <v>-1.3618459465036521E-2</v>
      </c>
      <c r="AN57" s="27">
        <f>IF(ISNUMBER(AN56),AN56*(1+PortfolioFrontier[[#This Row],[P10 Return]]),1+PortfolioFrontier[[#This Row],[P10 Return]])</f>
        <v>1.4604877760340049</v>
      </c>
      <c r="AO57" s="27">
        <f>MAX(AO56,PortfolioFrontier[[#This Row],[P10 Growth]])</f>
        <v>1.5288711443424805</v>
      </c>
      <c r="AP57" s="27">
        <f>PortfolioFrontier[[#This Row],[P10 Growth]]/PortfolioFrontier[[#This Row],[P10 HWM]]-1</f>
        <v>-4.4728012927397587E-2</v>
      </c>
      <c r="AQ57" s="28">
        <f>SUMPRODUCT(INDEX(PortfolioRef[[SPY]:[PE]],MATCH(AQ$1,PortfolioRef[Reference '#]),0),AssetMonthlyReturns[[#This Row],[SPY]:[PE]])</f>
        <v>-1.4483641403535153E-2</v>
      </c>
      <c r="AR57" s="27">
        <f>IF(ISNUMBER(AR56),AR56*(1+PortfolioFrontier[[#This Row],[P11 Return]]),1+PortfolioFrontier[[#This Row],[P11 Return]])</f>
        <v>1.4427966775902141</v>
      </c>
      <c r="AS57" s="27">
        <f>MAX(AS56,PortfolioFrontier[[#This Row],[P11 Growth]])</f>
        <v>1.5110858706356174</v>
      </c>
      <c r="AT57" s="27">
        <f>PortfolioFrontier[[#This Row],[P11 Growth]]/PortfolioFrontier[[#This Row],[P11 HWM]]-1</f>
        <v>-4.5192132606387436E-2</v>
      </c>
      <c r="AU57" s="28">
        <f>SUMPRODUCT(INDEX(PortfolioRef[[SPY]:[PE]],MATCH(AU$1,PortfolioRef[Reference '#]),0),AssetMonthlyReturns[[#This Row],[SPY]:[PE]])</f>
        <v>-1.3367961417782613E-2</v>
      </c>
      <c r="AV57" s="27">
        <f>IF(ISNUMBER(AV56),AV56*(1+PortfolioFrontier[[#This Row],[P12 Return]]),1+PortfolioFrontier[[#This Row],[P12 Return]])</f>
        <v>1.4379818610826265</v>
      </c>
      <c r="AW57" s="27">
        <f>MAX(AW56,PortfolioFrontier[[#This Row],[P12 Growth]])</f>
        <v>1.5025299529391776</v>
      </c>
      <c r="AX57" s="27">
        <f>PortfolioFrontier[[#This Row],[P12 Growth]]/PortfolioFrontier[[#This Row],[P12 HWM]]-1</f>
        <v>-4.2959604053340317E-2</v>
      </c>
      <c r="AY57" s="28">
        <f>SUMPRODUCT(INDEX(PortfolioRef[[SPY]:[PE]],MATCH(AY$1,PortfolioRef[Reference '#]),0),AssetMonthlyReturns[[#This Row],[SPY]:[PE]])</f>
        <v>-1.5348823342033784E-2</v>
      </c>
      <c r="AZ57" s="27">
        <f>IF(ISNUMBER(AZ56),AZ56*(1+PortfolioFrontier[[#This Row],[P13 Return]]),1+PortfolioFrontier[[#This Row],[P13 Return]])</f>
        <v>1.4247871567102317</v>
      </c>
      <c r="BA57" s="27">
        <f>MAX(BA56,PortfolioFrontier[[#This Row],[P13 Growth]])</f>
        <v>1.4929506688805332</v>
      </c>
      <c r="BB57" s="27">
        <f>PortfolioFrontier[[#This Row],[P13 Growth]]/PortfolioFrontier[[#This Row],[P13 HWM]]-1</f>
        <v>-4.565690855774418E-2</v>
      </c>
      <c r="BC57" s="28">
        <f>SUMPRODUCT(INDEX(PortfolioRef[[SPY]:[PE]],MATCH(BC$1,PortfolioRef[Reference '#]),0),AssetMonthlyReturns[[#This Row],[SPY]:[PE]])</f>
        <v>-1.4233143356281246E-2</v>
      </c>
      <c r="BD57" s="27">
        <f>IF(ISNUMBER(BD56),BD56*(1+PortfolioFrontier[[#This Row],[P14 Return]]),1+PortfolioFrontier[[#This Row],[P14 Return]])</f>
        <v>1.4203790802915335</v>
      </c>
      <c r="BE57" s="27">
        <f>MAX(BE56,PortfolioFrontier[[#This Row],[P14 Growth]])</f>
        <v>1.48485903444147</v>
      </c>
      <c r="BF57" s="27">
        <f>PortfolioFrontier[[#This Row],[P14 Growth]]/PortfolioFrontier[[#This Row],[P14 HWM]]-1</f>
        <v>-4.3424966716918534E-2</v>
      </c>
      <c r="BG57" s="28">
        <f>SUMPRODUCT(INDEX(PortfolioRef[[SPY]:[PE]],MATCH(BG$1,PortfolioRef[Reference '#]),0),AssetMonthlyReturns[[#This Row],[SPY]:[PE]])</f>
        <v>-1.3117463370528708E-2</v>
      </c>
      <c r="BH57" s="27">
        <f>IF(ISNUMBER(BH56),BH56*(1+PortfolioFrontier[[#This Row],[P15 Return]]),1+PortfolioFrontier[[#This Row],[P15 Return]])</f>
        <v>1.4155072614414825</v>
      </c>
      <c r="BI57" s="27">
        <f>MAX(BI56,PortfolioFrontier[[#This Row],[P15 Growth]])</f>
        <v>1.4763173956051447</v>
      </c>
      <c r="BJ57" s="27">
        <f>PortfolioFrontier[[#This Row],[P15 Growth]]/PortfolioFrontier[[#This Row],[P15 HWM]]-1</f>
        <v>-4.1190420396513772E-2</v>
      </c>
      <c r="BK57" s="28">
        <f>SUMPRODUCT(INDEX(PortfolioRef[[SPY]:[PE]],MATCH(BK$1,PortfolioRef[Reference '#]),0),AssetMonthlyReturns[[#This Row],[SPY]:[PE]])</f>
        <v>-1.2894387500223271E-2</v>
      </c>
      <c r="BL57" s="27">
        <f>IF(ISNUMBER(BL56),BL56*(1+PortfolioFrontier[[#This Row],[P16 Return]]),1+PortfolioFrontier[[#This Row],[P16 Return]])</f>
        <v>1.4052293242771954</v>
      </c>
      <c r="BM57" s="27">
        <f>MAX(BM56,PortfolioFrontier[[#This Row],[P16 Growth]])</f>
        <v>1.4607433936825749</v>
      </c>
      <c r="BN57" s="27">
        <f>PortfolioFrontier[[#This Row],[P16 Growth]]/PortfolioFrontier[[#This Row],[P16 HWM]]-1</f>
        <v>-3.800398457762455E-2</v>
      </c>
      <c r="BO57" s="28">
        <f>SUMPRODUCT(INDEX(PortfolioRef[[SPY]:[PE]],MATCH(BO$1,PortfolioRef[Reference '#]),0),AssetMonthlyReturns[[#This Row],[SPY]:[PE]])</f>
        <v>-1.2871779653247284E-2</v>
      </c>
      <c r="BP57" s="27">
        <f>IF(ISNUMBER(BP56),BP56*(1+PortfolioFrontier[[#This Row],[P17 Return]]),1+PortfolioFrontier[[#This Row],[P17 Return]])</f>
        <v>1.4193656298820563</v>
      </c>
      <c r="BQ57" s="27">
        <f>MAX(BQ56,PortfolioFrontier[[#This Row],[P17 Growth]])</f>
        <v>1.4785010905662552</v>
      </c>
      <c r="BR57" s="27">
        <f>PortfolioFrontier[[#This Row],[P17 Growth]]/PortfolioFrontier[[#This Row],[P17 HWM]]-1</f>
        <v>-3.9996900280641956E-2</v>
      </c>
      <c r="BS57" s="28">
        <f>SUMPRODUCT(INDEX(PortfolioRef[[SPY]:[PE]],MATCH(BS$1,PortfolioRef[Reference '#]),0),AssetMonthlyReturns[[#This Row],[SPY]:[PE]])</f>
        <v>-1.3736961591745917E-2</v>
      </c>
      <c r="BT57" s="27">
        <f>IF(ISNUMBER(BT56),BT56*(1+PortfolioFrontier[[#This Row],[P18 Return]]),1+PortfolioFrontier[[#This Row],[P18 Return]])</f>
        <v>1.4022760809498251</v>
      </c>
      <c r="BU57" s="27">
        <f>MAX(BU56,PortfolioFrontier[[#This Row],[P18 Growth]])</f>
        <v>1.4614109796241144</v>
      </c>
      <c r="BV57" s="27">
        <f>PortfolioFrontier[[#This Row],[P18 Growth]]/PortfolioFrontier[[#This Row],[P18 HWM]]-1</f>
        <v>-4.046424961820061E-2</v>
      </c>
      <c r="BW57" s="28">
        <f>SUMPRODUCT(INDEX(PortfolioRef[[SPY]:[PE]],MATCH(BW$1,PortfolioRef[Reference '#]),0),AssetMonthlyReturns[[#This Row],[SPY]:[PE]])</f>
        <v>-1.2621281605993377E-2</v>
      </c>
      <c r="BX57" s="27">
        <f>IF(ISNUMBER(BX56),BX56*(1+PortfolioFrontier[[#This Row],[P19 Return]]),1+PortfolioFrontier[[#This Row],[P19 Return]])</f>
        <v>1.3973087652766594</v>
      </c>
      <c r="BY57" s="27">
        <f>MAX(BY56,PortfolioFrontier[[#This Row],[P19 Growth]])</f>
        <v>1.4528457096966965</v>
      </c>
      <c r="BZ57" s="27">
        <f>PortfolioFrontier[[#This Row],[P19 Growth]]/PortfolioFrontier[[#This Row],[P19 HWM]]-1</f>
        <v>-3.8226319594274916E-2</v>
      </c>
      <c r="CA57" s="28">
        <f>SUMPRODUCT(INDEX(PortfolioRef[[SPY]:[PE]],MATCH(CA$1,PortfolioRef[Reference '#]),0),AssetMonthlyReturns[[#This Row],[SPY]:[PE]])</f>
        <v>-1.2849171806271297E-2</v>
      </c>
      <c r="CB57" s="27">
        <f>IF(ISNUMBER(CB56),CB56*(1+PortfolioFrontier[[#This Row],[P20 Return]]),1+PortfolioFrontier[[#This Row],[P20 Return]])</f>
        <v>1.4334549302632678</v>
      </c>
      <c r="CC57" s="27">
        <f>MAX(CC56,PortfolioFrontier[[#This Row],[P20 Growth]])</f>
        <v>1.4962837475835971</v>
      </c>
      <c r="CD57" s="27">
        <f>PortfolioFrontier[[#This Row],[P20 Growth]]/PortfolioFrontier[[#This Row],[P20 HWM]]-1</f>
        <v>-4.1989908278956989E-2</v>
      </c>
      <c r="CE57" s="28">
        <f>SUMPRODUCT(INDEX(PortfolioRef[[SPY]:[PE]],MATCH(CE$1,PortfolioRef[Reference '#]),0),AssetMonthlyReturns[[#This Row],[SPY]:[PE]])</f>
        <v>-1.371435374476993E-2</v>
      </c>
      <c r="CF57" s="27">
        <f>IF(ISNUMBER(CF56),CF56*(1+PortfolioFrontier[[#This Row],[P21 Return]]),1+PortfolioFrontier[[#This Row],[P21 Return]])</f>
        <v>1.416351827440242</v>
      </c>
      <c r="CG57" s="27">
        <f>MAX(CG56,PortfolioFrontier[[#This Row],[P21 Growth]])</f>
        <v>1.4791498487162789</v>
      </c>
      <c r="CH57" s="27">
        <f>PortfolioFrontier[[#This Row],[P21 Growth]]/PortfolioFrontier[[#This Row],[P21 HWM]]-1</f>
        <v>-4.245548301312263E-2</v>
      </c>
      <c r="CI57" s="28">
        <f>SUMPRODUCT(INDEX(PortfolioRef[[SPY]:[PE]],MATCH(CI$1,PortfolioRef[Reference '#]),0),AssetMonthlyReturns[[#This Row],[SPY]:[PE]])</f>
        <v>-1.2598673759017394E-2</v>
      </c>
      <c r="CJ57" s="27">
        <f>IF(ISNUMBER(CJ56),CJ56*(1+PortfolioFrontier[[#This Row],[P22 Return]]),1+PortfolioFrontier[[#This Row],[P22 Return]])</f>
        <v>1.4113873549611948</v>
      </c>
      <c r="CK57" s="27">
        <f>MAX(CK56,PortfolioFrontier[[#This Row],[P22 Growth]])</f>
        <v>1.4705318579952025</v>
      </c>
      <c r="CL57" s="27">
        <f>PortfolioFrontier[[#This Row],[P22 Growth]]/PortfolioFrontier[[#This Row],[P22 HWM]]-1</f>
        <v>-4.021980395218383E-2</v>
      </c>
      <c r="CM57" s="28">
        <f>SUMPRODUCT(INDEX(PortfolioRef[[SPY]:[PE]],MATCH(CM$1,PortfolioRef[Reference '#]),0),AssetMonthlyReturns[[#This Row],[SPY]:[PE]])</f>
        <v>-1.4579535683268563E-2</v>
      </c>
      <c r="CN57" s="27">
        <f>IF(ISNUMBER(CN56),CN56*(1+PortfolioFrontier[[#This Row],[P23 Return]]),1+PortfolioFrontier[[#This Row],[P23 Return]])</f>
        <v>1.3989323716575568</v>
      </c>
      <c r="CO57" s="27">
        <f>MAX(CO56,PortfolioFrontier[[#This Row],[P23 Growth]])</f>
        <v>1.4616697423289848</v>
      </c>
      <c r="CP57" s="27">
        <f>PortfolioFrontier[[#This Row],[P23 Growth]]/PortfolioFrontier[[#This Row],[P23 HWM]]-1</f>
        <v>-4.2921714019655388E-2</v>
      </c>
      <c r="CQ57" s="28">
        <f>SUMPRODUCT(INDEX(PortfolioRef[[SPY]:[PE]],MATCH(CQ$1,PortfolioRef[Reference '#]),0),AssetMonthlyReturns[[#This Row],[SPY]:[PE]])</f>
        <v>-1.3463855697516023E-2</v>
      </c>
      <c r="CR57" s="27">
        <f>IF(ISNUMBER(CR56),CR56*(1+PortfolioFrontier[[#This Row],[P24 Return]]),1+PortfolioFrontier[[#This Row],[P24 Return]])</f>
        <v>1.3943666726869366</v>
      </c>
      <c r="CS57" s="27">
        <f>MAX(CS56,PortfolioFrontier[[#This Row],[P24 Growth]])</f>
        <v>1.4535048756597697</v>
      </c>
      <c r="CT57" s="27">
        <f>PortfolioFrontier[[#This Row],[P24 Growth]]/PortfolioFrontier[[#This Row],[P24 HWM]]-1</f>
        <v>-4.0686621670938172E-2</v>
      </c>
      <c r="CU57" s="28">
        <f>SUMPRODUCT(INDEX(PortfolioRef[[SPY]:[PE]],MATCH(CU$1,PortfolioRef[Reference '#]),0),AssetMonthlyReturns[[#This Row],[SPY]:[PE]])</f>
        <v>-1.2348175711763488E-2</v>
      </c>
      <c r="CV57" s="27">
        <f>IF(ISNUMBER(CV56),CV56*(1+PortfolioFrontier[[#This Row],[P25 Return]]),1+PortfolioFrontier[[#This Row],[P25 Return]])</f>
        <v>1.3893495098539692</v>
      </c>
      <c r="CW57" s="27">
        <f>MAX(CW56,PortfolioFrontier[[#This Row],[P25 Growth]])</f>
        <v>1.4449045357539654</v>
      </c>
      <c r="CX57" s="27">
        <f>PortfolioFrontier[[#This Row],[P25 Growth]]/PortfolioFrontier[[#This Row],[P25 HWM]]-1</f>
        <v>-3.8448924842641619E-2</v>
      </c>
      <c r="CY57" s="28">
        <f>SUMPRODUCT(INDEX(PortfolioRef[[SPY]:[PE]],MATCH(CY$1,PortfolioRef[Reference '#]),0),AssetMonthlyReturns[[#This Row],[SPY]:[PE]])</f>
        <v>-1.3691745897793943E-2</v>
      </c>
      <c r="CZ57" s="27">
        <f>IF(ISNUMBER(CZ56),CZ56*(1+PortfolioFrontier[[#This Row],[P26 Return]]),1+PortfolioFrontier[[#This Row],[P26 Return]])</f>
        <v>1.4303802857984098</v>
      </c>
      <c r="DA57" s="27">
        <f>MAX(DA56,PortfolioFrontier[[#This Row],[P26 Growth]])</f>
        <v>1.496913305116407</v>
      </c>
      <c r="DB57" s="27">
        <f>PortfolioFrontier[[#This Row],[P26 Growth]]/PortfolioFrontier[[#This Row],[P26 HWM]]-1</f>
        <v>-4.44468087033425E-2</v>
      </c>
      <c r="DC57" s="28">
        <f>SUMPRODUCT(INDEX(PortfolioRef[[SPY]:[PE]],MATCH(DC$1,PortfolioRef[Reference '#]),0),AssetMonthlyReturns[[#This Row],[SPY]:[PE]])</f>
        <v>-1.2576065912041407E-2</v>
      </c>
      <c r="DD57" s="27">
        <f>IF(ISNUMBER(DD56),DD56*(1+PortfolioFrontier[[#This Row],[P27 Return]]),1+PortfolioFrontier[[#This Row],[P27 Return]])</f>
        <v>1.4254196018202372</v>
      </c>
      <c r="DE57" s="27">
        <f>MAX(DE56,PortfolioFrontier[[#This Row],[P27 Growth]])</f>
        <v>1.4882433863204374</v>
      </c>
      <c r="DF57" s="27">
        <f>PortfolioFrontier[[#This Row],[P27 Growth]]/PortfolioFrontier[[#This Row],[P27 HWM]]-1</f>
        <v>-4.2213380605390705E-2</v>
      </c>
      <c r="DG57" s="28">
        <f>SUMPRODUCT(INDEX(PortfolioRef[[SPY]:[PE]],MATCH(DG$1,PortfolioRef[Reference '#]),0),AssetMonthlyReturns[[#This Row],[SPY]:[PE]])</f>
        <v>-1.4556927836292578E-2</v>
      </c>
      <c r="DH57" s="27">
        <f>IF(ISNUMBER(DH56),DH56*(1+PortfolioFrontier[[#This Row],[P28 Return]]),1+PortfolioFrontier[[#This Row],[P28 Return]])</f>
        <v>1.4129440813727459</v>
      </c>
      <c r="DI57" s="27">
        <f>MAX(DI56,PortfolioFrontier[[#This Row],[P28 Growth]])</f>
        <v>1.4793851395705906</v>
      </c>
      <c r="DJ57" s="27">
        <f>PortfolioFrontier[[#This Row],[P28 Growth]]/PortfolioFrontier[[#This Row],[P28 HWM]]-1</f>
        <v>-4.4911265106482023E-2</v>
      </c>
      <c r="DK57" s="28">
        <f>SUMPRODUCT(INDEX(PortfolioRef[[SPY]:[PE]],MATCH(DK$1,PortfolioRef[Reference '#]),0),AssetMonthlyReturns[[#This Row],[SPY]:[PE]])</f>
        <v>-1.3441247850540039E-2</v>
      </c>
      <c r="DL57" s="27">
        <f>IF(ISNUMBER(DL56),DL56*(1+PortfolioFrontier[[#This Row],[P29 Return]]),1+PortfolioFrontier[[#This Row],[P29 Return]])</f>
        <v>1.4083849449299282</v>
      </c>
      <c r="DM57" s="27">
        <f>MAX(DM56,PortfolioFrontier[[#This Row],[P29 Growth]])</f>
        <v>1.4711722579196378</v>
      </c>
      <c r="DN57" s="27">
        <f>PortfolioFrontier[[#This Row],[P29 Growth]]/PortfolioFrontier[[#This Row],[P29 HWM]]-1</f>
        <v>-4.2678423720751923E-2</v>
      </c>
      <c r="DO57" s="28">
        <f>SUMPRODUCT(INDEX(PortfolioRef[[SPY]:[PE]],MATCH(DO$1,PortfolioRef[Reference '#]),0),AssetMonthlyReturns[[#This Row],[SPY]:[PE]])</f>
        <v>-1.2325567864787501E-2</v>
      </c>
      <c r="DP57" s="27">
        <f>IF(ISNUMBER(DP56),DP56*(1+PortfolioFrontier[[#This Row],[P30 Return]]),1+PortfolioFrontier[[#This Row],[P30 Return]])</f>
        <v>1.4033697474650089</v>
      </c>
      <c r="DQ57" s="27">
        <f>MAX(DQ56,PortfolioFrontier[[#This Row],[P30 Growth]])</f>
        <v>1.4625183444841605</v>
      </c>
      <c r="DR57" s="27">
        <f>PortfolioFrontier[[#This Row],[P30 Growth]]/PortfolioFrontier[[#This Row],[P30 HWM]]-1</f>
        <v>-4.0442977855442708E-2</v>
      </c>
      <c r="DS57" s="28">
        <f>SUMPRODUCT(INDEX(PortfolioRef[[SPY]:[PE]],MATCH(DS$1,PortfolioRef[Reference '#]),0),AssetMonthlyReturns[[#This Row],[SPY]:[PE]])</f>
        <v>-1.5422109774791208E-2</v>
      </c>
      <c r="DT57" s="27">
        <f>IF(ISNUMBER(DT56),DT56*(1+PortfolioFrontier[[#This Row],[P31 Return]]),1+PortfolioFrontier[[#This Row],[P31 Return]])</f>
        <v>1.3951974284836512</v>
      </c>
      <c r="DU57" s="27">
        <f>MAX(DU56,PortfolioFrontier[[#This Row],[P31 Growth]])</f>
        <v>1.4615157178302303</v>
      </c>
      <c r="DV57" s="27">
        <f>PortfolioFrontier[[#This Row],[P31 Growth]]/PortfolioFrontier[[#This Row],[P31 HWM]]-1</f>
        <v>-4.5376377781988775E-2</v>
      </c>
      <c r="DW57" s="28">
        <f>SUMPRODUCT(INDEX(PortfolioRef[[SPY]:[PE]],MATCH(DW$1,PortfolioRef[Reference '#]),0),AssetMonthlyReturns[[#This Row],[SPY]:[PE]])</f>
        <v>-1.430642978903867E-2</v>
      </c>
      <c r="DX57" s="27">
        <f>IF(ISNUMBER(DX56),DX56*(1+PortfolioFrontier[[#This Row],[P32 Return]]),1+PortfolioFrontier[[#This Row],[P32 Return]])</f>
        <v>1.3910363436276036</v>
      </c>
      <c r="DY57" s="27">
        <f>MAX(DY56,PortfolioFrontier[[#This Row],[P32 Growth]])</f>
        <v>1.4537574332997565</v>
      </c>
      <c r="DZ57" s="27">
        <f>PortfolioFrontier[[#This Row],[P32 Growth]]/PortfolioFrontier[[#This Row],[P32 HWM]]-1</f>
        <v>-4.3144123108480148E-2</v>
      </c>
      <c r="EA57" s="28">
        <f>SUMPRODUCT(INDEX(PortfolioRef[[SPY]:[PE]],MATCH(EA$1,PortfolioRef[Reference '#]),0),AssetMonthlyReturns[[#This Row],[SPY]:[PE]])</f>
        <v>-1.3190749803286134E-2</v>
      </c>
      <c r="EB57" s="27">
        <f>IF(ISNUMBER(EB56),EB56*(1+PortfolioFrontier[[#This Row],[P33 Return]]),1+PortfolioFrontier[[#This Row],[P33 Return]])</f>
        <v>1.3864185983897106</v>
      </c>
      <c r="EC57" s="27">
        <f>MAX(EC56,PortfolioFrontier[[#This Row],[P33 Growth]])</f>
        <v>1.4455551975274505</v>
      </c>
      <c r="ED57" s="27">
        <f>PortfolioFrontier[[#This Row],[P33 Growth]]/PortfolioFrontier[[#This Row],[P33 HWM]]-1</f>
        <v>-4.0909263955392405E-2</v>
      </c>
      <c r="EE57" s="28">
        <f>SUMPRODUCT(INDEX(PortfolioRef[[SPY]:[PE]],MATCH(EE$1,PortfolioRef[Reference '#]),0),AssetMonthlyReturns[[#This Row],[SPY]:[PE]])</f>
        <v>-1.2125099841458048E-2</v>
      </c>
      <c r="EF57" s="27">
        <f>IF(ISNUMBER(EF56),EF56*(1+PortfolioFrontier[[#This Row],[P34 Return]]),1+PortfolioFrontier[[#This Row],[P34 Return]])</f>
        <v>1.3787823861044499</v>
      </c>
      <c r="EG57" s="27">
        <f>MAX(EG56,PortfolioFrontier[[#This Row],[P34 Growth]])</f>
        <v>1.429174691603962</v>
      </c>
      <c r="EH57" s="27">
        <f>PortfolioFrontier[[#This Row],[P34 Growth]]/PortfolioFrontier[[#This Row],[P34 HWM]]-1</f>
        <v>-3.5259724227943656E-2</v>
      </c>
      <c r="EI57" s="28">
        <f>SUMPRODUCT(INDEX(PortfolioRef[[SPY]:[PE]],MATCH(EI$1,PortfolioRef[Reference '#]),0),AssetMonthlyReturns[[#This Row],[SPY]:[PE]])</f>
        <v>-1.2102491994482061E-2</v>
      </c>
      <c r="EJ57" s="27">
        <f>IF(ISNUMBER(EJ56),EJ56*(1+PortfolioFrontier[[#This Row],[P35 Return]]),1+PortfolioFrontier[[#This Row],[P35 Return]])</f>
        <v>1.3926782077377085</v>
      </c>
      <c r="EK57" s="27">
        <f>MAX(EK56,PortfolioFrontier[[#This Row],[P35 Growth]])</f>
        <v>1.4465689245172682</v>
      </c>
      <c r="EL57" s="27">
        <f>PortfolioFrontier[[#This Row],[P35 Growth]]/PortfolioFrontier[[#This Row],[P35 HWM]]-1</f>
        <v>-3.7254164572589232E-2</v>
      </c>
      <c r="EM57" s="28">
        <f>SUMPRODUCT(INDEX(PortfolioRef[[SPY]:[PE]],MATCH(EM$1,PortfolioRef[Reference '#]),0),AssetMonthlyReturns[[#This Row],[SPY]:[PE]])</f>
        <v>-1.2967673932980693E-2</v>
      </c>
      <c r="EN57" s="27">
        <f>IF(ISNUMBER(EN56),EN56*(1+PortfolioFrontier[[#This Row],[P36 Return]]),1+PortfolioFrontier[[#This Row],[P36 Return]])</f>
        <v>1.3761609049458821</v>
      </c>
      <c r="EO57" s="27">
        <f>MAX(EO56,PortfolioFrontier[[#This Row],[P36 Growth]])</f>
        <v>1.4301088569745684</v>
      </c>
      <c r="EP57" s="27">
        <f>PortfolioFrontier[[#This Row],[P36 Growth]]/PortfolioFrontier[[#This Row],[P36 HWM]]-1</f>
        <v>-3.7722968965323789E-2</v>
      </c>
      <c r="EQ57" s="28">
        <f>SUMPRODUCT(INDEX(PortfolioRef[[SPY]:[PE]],MATCH(EQ$1,PortfolioRef[Reference '#]),0),AssetMonthlyReturns[[#This Row],[SPY]:[PE]])</f>
        <v>-1.1851993947228153E-2</v>
      </c>
      <c r="ER57" s="27">
        <f>IF(ISNUMBER(ER56),ER56*(1+PortfolioFrontier[[#This Row],[P37 Return]]),1+PortfolioFrontier[[#This Row],[P37 Return]])</f>
        <v>1.3710561200068581</v>
      </c>
      <c r="ES57" s="27">
        <f>MAX(ES56,PortfolioFrontier[[#This Row],[P37 Growth]])</f>
        <v>1.4214933898753828</v>
      </c>
      <c r="ET57" s="27">
        <f>PortfolioFrontier[[#This Row],[P37 Growth]]/PortfolioFrontier[[#This Row],[P37 HWM]]-1</f>
        <v>-3.5481888433506081E-2</v>
      </c>
      <c r="EU57" s="28">
        <f>SUMPRODUCT(INDEX(PortfolioRef[[SPY]:[PE]],MATCH(EU$1,PortfolioRef[Reference '#]),0),AssetMonthlyReturns[[#This Row],[SPY]:[PE]])</f>
        <v>-1.2079884147506078E-2</v>
      </c>
      <c r="EV57" s="27">
        <f>IF(ISNUMBER(EV56),EV56*(1+PortfolioFrontier[[#This Row],[P38 Return]]),1+PortfolioFrontier[[#This Row],[P38 Return]])</f>
        <v>1.4065280401696298</v>
      </c>
      <c r="EW57" s="27">
        <f>MAX(EW56,PortfolioFrontier[[#This Row],[P38 Growth]])</f>
        <v>1.4639876480924996</v>
      </c>
      <c r="EX57" s="27">
        <f>PortfolioFrontier[[#This Row],[P38 Growth]]/PortfolioFrontier[[#This Row],[P38 HWM]]-1</f>
        <v>-3.9248697212532213E-2</v>
      </c>
      <c r="EY57" s="28">
        <f>SUMPRODUCT(INDEX(PortfolioRef[[SPY]:[PE]],MATCH(EY$1,PortfolioRef[Reference '#]),0),AssetMonthlyReturns[[#This Row],[SPY]:[PE]])</f>
        <v>-1.294506608600471E-2</v>
      </c>
      <c r="EZ57" s="27">
        <f>IF(ISNUMBER(EZ56),EZ56*(1+PortfolioFrontier[[#This Row],[P39 Return]]),1+PortfolioFrontier[[#This Row],[P39 Return]])</f>
        <v>1.3899997547521503</v>
      </c>
      <c r="FA57" s="27">
        <f>MAX(FA56,PortfolioFrontier[[#This Row],[P39 Growth]])</f>
        <v>1.4474877844374143</v>
      </c>
      <c r="FB57" s="27">
        <f>PortfolioFrontier[[#This Row],[P39 Growth]]/PortfolioFrontier[[#This Row],[P39 HWM]]-1</f>
        <v>-3.9715727001874201E-2</v>
      </c>
      <c r="FC57" s="28">
        <f>SUMPRODUCT(INDEX(PortfolioRef[[SPY]:[PE]],MATCH(FC$1,PortfolioRef[Reference '#]),0),AssetMonthlyReturns[[#This Row],[SPY]:[PE]])</f>
        <v>-1.182938610025217E-2</v>
      </c>
      <c r="FD57" s="27">
        <f>IF(ISNUMBER(FD56),FD56*(1+PortfolioFrontier[[#This Row],[P40 Return]]),1+PortfolioFrontier[[#This Row],[P40 Return]])</f>
        <v>1.3848956299304696</v>
      </c>
      <c r="FE57" s="27">
        <f>MAX(FE56,PortfolioFrontier[[#This Row],[P40 Growth]])</f>
        <v>1.4388180670542723</v>
      </c>
      <c r="FF57" s="27">
        <f>PortfolioFrontier[[#This Row],[P40 Growth]]/PortfolioFrontier[[#This Row],[P40 HWM]]-1</f>
        <v>-3.7476897433043388E-2</v>
      </c>
      <c r="FG57" s="28">
        <f>SUMPRODUCT(INDEX(PortfolioRef[[SPY]:[PE]],MATCH(FG$1,PortfolioRef[Reference '#]),0),AssetMonthlyReturns[[#This Row],[SPY]:[PE]])</f>
        <v>-1.3810248024503341E-2</v>
      </c>
      <c r="FH57" s="27">
        <f>IF(ISNUMBER(FH56),FH56*(1+PortfolioFrontier[[#This Row],[P41 Return]]),1+PortfolioFrontier[[#This Row],[P41 Return]])</f>
        <v>1.3731573835653805</v>
      </c>
      <c r="FI57" s="27">
        <f>MAX(FI56,PortfolioFrontier[[#This Row],[P41 Growth]])</f>
        <v>1.4306456069365103</v>
      </c>
      <c r="FJ57" s="27">
        <f>PortfolioFrontier[[#This Row],[P41 Growth]]/PortfolioFrontier[[#This Row],[P41 HWM]]-1</f>
        <v>-4.0183413063582751E-2</v>
      </c>
      <c r="FK57" s="28">
        <f>SUMPRODUCT(INDEX(PortfolioRef[[SPY]:[PE]],MATCH(FK$1,PortfolioRef[Reference '#]),0),AssetMonthlyReturns[[#This Row],[SPY]:[PE]])</f>
        <v>-1.2694568038750803E-2</v>
      </c>
      <c r="FL57" s="27">
        <f>IF(ISNUMBER(FL56),FL56*(1+PortfolioFrontier[[#This Row],[P42 Return]]),1+PortfolioFrontier[[#This Row],[P42 Return]])</f>
        <v>1.3684440761336236</v>
      </c>
      <c r="FM57" s="27">
        <f>MAX(FM56,PortfolioFrontier[[#This Row],[P42 Growth]])</f>
        <v>1.4224179680362155</v>
      </c>
      <c r="FN57" s="27">
        <f>PortfolioFrontier[[#This Row],[P42 Growth]]/PortfolioFrontier[[#This Row],[P42 HWM]]-1</f>
        <v>-3.7945170206973633E-2</v>
      </c>
      <c r="FO57" s="28">
        <f>SUMPRODUCT(INDEX(PortfolioRef[[SPY]:[PE]],MATCH(FO$1,PortfolioRef[Reference '#]),0),AssetMonthlyReturns[[#This Row],[SPY]:[PE]])</f>
        <v>-1.1578888052998264E-2</v>
      </c>
      <c r="FP57" s="27">
        <f>IF(ISNUMBER(FP56),FP56*(1+PortfolioFrontier[[#This Row],[P43 Return]]),1+PortfolioFrontier[[#This Row],[P43 Return]])</f>
        <v>1.3632914157804454</v>
      </c>
      <c r="FQ57" s="27">
        <f>MAX(FQ56,PortfolioFrontier[[#This Row],[P43 Growth]])</f>
        <v>1.4137690836062577</v>
      </c>
      <c r="FR57" s="27">
        <f>PortfolioFrontier[[#This Row],[P43 Growth]]/PortfolioFrontier[[#This Row],[P43 HWM]]-1</f>
        <v>-3.570432287078551E-2</v>
      </c>
      <c r="FS57" s="28">
        <f>SUMPRODUCT(INDEX(PortfolioRef[[SPY]:[PE]],MATCH(FS$1,PortfolioRef[Reference '#]),0),AssetMonthlyReturns[[#This Row],[SPY]:[PE]])</f>
        <v>-1.2922458239028723E-2</v>
      </c>
      <c r="FT57" s="27">
        <f>IF(ISNUMBER(FT56),FT56*(1+PortfolioFrontier[[#This Row],[P44 Return]]),1+PortfolioFrontier[[#This Row],[P44 Return]])</f>
        <v>1.4037923244147257</v>
      </c>
      <c r="FU57" s="27">
        <f>MAX(FU56,PortfolioFrontier[[#This Row],[P44 Growth]])</f>
        <v>1.464890837182826</v>
      </c>
      <c r="FV57" s="27">
        <f>PortfolioFrontier[[#This Row],[P44 Growth]]/PortfolioFrontier[[#This Row],[P44 HWM]]-1</f>
        <v>-4.1708577333721797E-2</v>
      </c>
      <c r="FW57" s="28">
        <f>SUMPRODUCT(INDEX(PortfolioRef[[SPY]:[PE]],MATCH(FW$1,PortfolioRef[Reference '#]),0),AssetMonthlyReturns[[#This Row],[SPY]:[PE]])</f>
        <v>-1.1806778253276183E-2</v>
      </c>
      <c r="FX57" s="27">
        <f>IF(ISNUMBER(FX56),FX56*(1+PortfolioFrontier[[#This Row],[P45 Return]]),1+PortfolioFrontier[[#This Row],[P45 Return]])</f>
        <v>1.3986898002142432</v>
      </c>
      <c r="FY57" s="27">
        <f>MAX(FY56,PortfolioFrontier[[#This Row],[P45 Growth]])</f>
        <v>1.4561676477539653</v>
      </c>
      <c r="FZ57" s="27">
        <f>PortfolioFrontier[[#This Row],[P45 Growth]]/PortfolioFrontier[[#This Row],[P45 HWM]]-1</f>
        <v>-3.9471998727878432E-2</v>
      </c>
      <c r="GA57" s="28">
        <f>SUMPRODUCT(INDEX(PortfolioRef[[SPY]:[PE]],MATCH(GA$1,PortfolioRef[Reference '#]),0),AssetMonthlyReturns[[#This Row],[SPY]:[PE]])</f>
        <v>-1.3787640177527356E-2</v>
      </c>
      <c r="GB57" s="27">
        <f>IF(ISNUMBER(GB56),GB56*(1+PortfolioFrontier[[#This Row],[P46 Return]]),1+PortfolioFrontier[[#This Row],[P46 Return]])</f>
        <v>1.3869358421423741</v>
      </c>
      <c r="GC57" s="27">
        <f>MAX(GC56,PortfolioFrontier[[#This Row],[P46 Growth]])</f>
        <v>1.4480047001392131</v>
      </c>
      <c r="GD57" s="27">
        <f>PortfolioFrontier[[#This Row],[P46 Growth]]/PortfolioFrontier[[#This Row],[P46 HWM]]-1</f>
        <v>-4.2174488792037668E-2</v>
      </c>
      <c r="GE57" s="28">
        <f>SUMPRODUCT(INDEX(PortfolioRef[[SPY]:[PE]],MATCH(GE$1,PortfolioRef[Reference '#]),0),AssetMonthlyReturns[[#This Row],[SPY]:[PE]])</f>
        <v>-1.2671960191774816E-2</v>
      </c>
      <c r="GF57" s="27">
        <f>IF(ISNUMBER(GF56),GF56*(1+PortfolioFrontier[[#This Row],[P47 Return]]),1+PortfolioFrontier[[#This Row],[P47 Return]])</f>
        <v>1.3822268406308522</v>
      </c>
      <c r="GG57" s="27">
        <f>MAX(GG56,PortfolioFrontier[[#This Row],[P47 Growth]])</f>
        <v>1.4397273884698183</v>
      </c>
      <c r="GH57" s="27">
        <f>PortfolioFrontier[[#This Row],[P47 Growth]]/PortfolioFrontier[[#This Row],[P47 HWM]]-1</f>
        <v>-3.9938496898415776E-2</v>
      </c>
      <c r="GI57" s="28">
        <f>SUMPRODUCT(INDEX(PortfolioRef[[SPY]:[PE]],MATCH(GI$1,PortfolioRef[Reference '#]),0),AssetMonthlyReturns[[#This Row],[SPY]:[PE]])</f>
        <v>-1.1556280206022281E-2</v>
      </c>
      <c r="GJ57" s="27">
        <f>IF(ISNUMBER(GJ56),GJ56*(1+PortfolioFrontier[[#This Row],[P48 Return]]),1+PortfolioFrontier[[#This Row],[P48 Return]])</f>
        <v>1.3770739856114151</v>
      </c>
      <c r="GK57" s="27">
        <f>MAX(GK56,PortfolioFrontier[[#This Row],[P48 Growth]])</f>
        <v>1.4310234264373554</v>
      </c>
      <c r="GL57" s="27">
        <f>PortfolioFrontier[[#This Row],[P48 Growth]]/PortfolioFrontier[[#This Row],[P48 HWM]]-1</f>
        <v>-3.7699900525214769E-2</v>
      </c>
      <c r="GM57" s="28">
        <f>SUMPRODUCT(INDEX(PortfolioRef[[SPY]:[PE]],MATCH(GM$1,PortfolioRef[Reference '#]),0),AssetMonthlyReturns[[#This Row],[SPY]:[PE]])</f>
        <v>-1.4652822116025987E-2</v>
      </c>
      <c r="GN57" s="27">
        <f>IF(ISNUMBER(GN56),GN56*(1+PortfolioFrontier[[#This Row],[P49 Return]]),1+PortfolioFrontier[[#This Row],[P49 Return]])</f>
        <v>1.369770907980802</v>
      </c>
      <c r="GO57" s="27">
        <f>MAX(GO56,PortfolioFrontier[[#This Row],[P49 Growth]])</f>
        <v>1.4307809179758395</v>
      </c>
      <c r="GP57" s="27">
        <f>PortfolioFrontier[[#This Row],[P49 Growth]]/PortfolioFrontier[[#This Row],[P49 HWM]]-1</f>
        <v>-4.2641056522720322E-2</v>
      </c>
      <c r="GQ57" s="28">
        <f>SUMPRODUCT(INDEX(PortfolioRef[[SPY]:[PE]],MATCH(GQ$1,PortfolioRef[Reference '#]),0),AssetMonthlyReturns[[#This Row],[SPY]:[PE]])</f>
        <v>-1.3537142130273449E-2</v>
      </c>
      <c r="GR57" s="27">
        <f>IF(ISNUMBER(GR56),GR56*(1+PortfolioFrontier[[#This Row],[P50 Return]]),1+PortfolioFrontier[[#This Row],[P50 Return]])</f>
        <v>1.3654521566263604</v>
      </c>
      <c r="GS57" s="27">
        <f>MAX(GS56,PortfolioFrontier[[#This Row],[P50 Growth]])</f>
        <v>1.4229472678064312</v>
      </c>
      <c r="GT57" s="27">
        <f>PortfolioFrontier[[#This Row],[P50 Growth]]/PortfolioFrontier[[#This Row],[P50 HWM]]-1</f>
        <v>-4.0405651341320126E-2</v>
      </c>
      <c r="GU57" s="28">
        <f>SUMPRODUCT(INDEX(PortfolioRef[[SPY]:[PE]],MATCH(GU$1,PortfolioRef[Reference '#]),0),AssetMonthlyReturns[[#This Row],[SPY]:[PE]])</f>
        <v>-1.242146214452091E-2</v>
      </c>
      <c r="GV57" s="27">
        <f>IF(ISNUMBER(GV56),GV56*(1+PortfolioFrontier[[#This Row],[P51 Return]]),1+PortfolioFrontier[[#This Row],[P51 Return]])</f>
        <v>1.3606888332931257</v>
      </c>
      <c r="GW57" s="27">
        <f>MAX(GW56,PortfolioFrontier[[#This Row],[P51 Growth]])</f>
        <v>1.4146839847125505</v>
      </c>
      <c r="GX57" s="27">
        <f>PortfolioFrontier[[#This Row],[P51 Growth]]/PortfolioFrontier[[#This Row],[P51 HWM]]-1</f>
        <v>-3.816764168034037E-2</v>
      </c>
      <c r="GY57" s="28">
        <f>SUMPRODUCT(INDEX(PortfolioRef[[SPY]:[PE]],MATCH(GY$1,PortfolioRef[Reference '#]),0),AssetMonthlyReturns[[#This Row],[SPY]:[PE]])</f>
        <v>-1.3765032330551369E-2</v>
      </c>
      <c r="GZ57" s="27">
        <f>IF(ISNUMBER(GZ56),GZ56*(1+PortfolioFrontier[[#This Row],[P52 Return]]),1+PortfolioFrontier[[#This Row],[P52 Return]])</f>
        <v>1.4006677480120877</v>
      </c>
      <c r="HA57" s="27">
        <f>MAX(HA56,PortfolioFrontier[[#This Row],[P52 Growth]])</f>
        <v>1.4653875517236452</v>
      </c>
      <c r="HB57" s="27">
        <f>PortfolioFrontier[[#This Row],[P52 Growth]]/PortfolioFrontier[[#This Row],[P52 HWM]]-1</f>
        <v>-4.4165656815790211E-2</v>
      </c>
      <c r="HC57" s="28">
        <f>SUMPRODUCT(INDEX(PortfolioRef[[SPY]:[PE]],MATCH(HC$1,PortfolioRef[Reference '#]),0),AssetMonthlyReturns[[#This Row],[SPY]:[PE]])</f>
        <v>-1.2649352344798829E-2</v>
      </c>
      <c r="HD57" s="27">
        <f>IF(ISNUMBER(HD56),HD56*(1+PortfolioFrontier[[#This Row],[P53 Return]]),1+PortfolioFrontier[[#This Row],[P53 Return]])</f>
        <v>1.395963974644016</v>
      </c>
      <c r="HE57" s="27">
        <f>MAX(HE56,PortfolioFrontier[[#This Row],[P53 Growth]])</f>
        <v>1.4570613485509663</v>
      </c>
      <c r="HF57" s="27">
        <f>PortfolioFrontier[[#This Row],[P53 Growth]]/PortfolioFrontier[[#This Row],[P53 HWM]]-1</f>
        <v>-4.1931915885155435E-2</v>
      </c>
      <c r="HG57" s="28">
        <f>SUMPRODUCT(INDEX(PortfolioRef[[SPY]:[PE]],MATCH(HG$1,PortfolioRef[Reference '#]),0),AssetMonthlyReturns[[#This Row],[SPY]:[PE]])</f>
        <v>-1.1533672359046294E-2</v>
      </c>
      <c r="HH57" s="27">
        <f>IF(ISNUMBER(HH56),HH56*(1+PortfolioFrontier[[#This Row],[P54 Return]]),1+PortfolioFrontier[[#This Row],[P54 Return]])</f>
        <v>1.3908118619158933</v>
      </c>
      <c r="HI57" s="27">
        <f>MAX(HI56,PortfolioFrontier[[#This Row],[P54 Growth]])</f>
        <v>1.4483030788515188</v>
      </c>
      <c r="HJ57" s="27">
        <f>PortfolioFrontier[[#This Row],[P54 Growth]]/PortfolioFrontier[[#This Row],[P54 HWM]]-1</f>
        <v>-3.9695570474941655E-2</v>
      </c>
      <c r="HK57" s="28">
        <f>SUMPRODUCT(INDEX(PortfolioRef[[SPY]:[PE]],MATCH(HK$1,PortfolioRef[Reference '#]),0),AssetMonthlyReturns[[#This Row],[SPY]:[PE]])</f>
        <v>-1.4630214269050002E-2</v>
      </c>
      <c r="HL57" s="27">
        <f>IF(ISNUMBER(HL56),HL56*(1+PortfolioFrontier[[#This Row],[P55 Return]]),1+PortfolioFrontier[[#This Row],[P55 Return]])</f>
        <v>1.3834855704132294</v>
      </c>
      <c r="HM57" s="27">
        <f>MAX(HM56,PortfolioFrontier[[#This Row],[P55 Growth]])</f>
        <v>1.448115622201694</v>
      </c>
      <c r="HN57" s="27">
        <f>PortfolioFrontier[[#This Row],[P55 Growth]]/PortfolioFrontier[[#This Row],[P55 HWM]]-1</f>
        <v>-4.4630449943079853E-2</v>
      </c>
      <c r="HO57" s="28">
        <f>SUMPRODUCT(INDEX(PortfolioRef[[SPY]:[PE]],MATCH(HO$1,PortfolioRef[Reference '#]),0),AssetMonthlyReturns[[#This Row],[SPY]:[PE]])</f>
        <v>-1.3514534283297464E-2</v>
      </c>
      <c r="HP57" s="27">
        <f>IF(ISNUMBER(HP56),HP56*(1+PortfolioFrontier[[#This Row],[P56 Return]]),1+PortfolioFrontier[[#This Row],[P56 Return]])</f>
        <v>1.3791747707418422</v>
      </c>
      <c r="HQ57" s="27">
        <f>MAX(HQ56,PortfolioFrontier[[#This Row],[P56 Growth]])</f>
        <v>1.4402369214125539</v>
      </c>
      <c r="HR57" s="27">
        <f>PortfolioFrontier[[#This Row],[P56 Growth]]/PortfolioFrontier[[#This Row],[P56 HWM]]-1</f>
        <v>-4.2397295724666773E-2</v>
      </c>
      <c r="HS57" s="28">
        <f>SUMPRODUCT(INDEX(PortfolioRef[[SPY]:[PE]],MATCH(HS$1,PortfolioRef[Reference '#]),0),AssetMonthlyReturns[[#This Row],[SPY]:[PE]])</f>
        <v>-1.2398854297544927E-2</v>
      </c>
      <c r="HT57" s="27">
        <f>IF(ISNUMBER(HT56),HT56*(1+PortfolioFrontier[[#This Row],[P57 Return]]),1+PortfolioFrontier[[#This Row],[P57 Return]])</f>
        <v>1.3744148853837372</v>
      </c>
      <c r="HU57" s="27">
        <f>MAX(HU56,PortfolioFrontier[[#This Row],[P57 Growth]])</f>
        <v>1.4319231187362127</v>
      </c>
      <c r="HV57" s="27">
        <f>PortfolioFrontier[[#This Row],[P57 Growth]]/PortfolioFrontier[[#This Row],[P57 HWM]]-1</f>
        <v>-4.0161537026674354E-2</v>
      </c>
      <c r="HW57" s="28">
        <f>SUMPRODUCT(INDEX(PortfolioRef[[SPY]:[PE]],MATCH(HW$1,PortfolioRef[Reference '#]),0),AssetMonthlyReturns[[#This Row],[SPY]:[PE]])</f>
        <v>-1.5495396207548633E-2</v>
      </c>
      <c r="HX57" s="27">
        <f>IF(ISNUMBER(HX56),HX56*(1+PortfolioFrontier[[#This Row],[P58 Return]]),1+PortfolioFrontier[[#This Row],[P58 Return]])</f>
        <v>1.366000786578808</v>
      </c>
      <c r="HY57" s="27">
        <f>MAX(HY56,PortfolioFrontier[[#This Row],[P58 Growth]])</f>
        <v>1.4305109650682046</v>
      </c>
      <c r="HZ57" s="27">
        <f>PortfolioFrontier[[#This Row],[P58 Growth]]/PortfolioFrontier[[#This Row],[P58 HWM]]-1</f>
        <v>-4.5095899342736501E-2</v>
      </c>
      <c r="IA57" s="28">
        <f>SUMPRODUCT(INDEX(PortfolioRef[[SPY]:[PE]],MATCH(IA$1,PortfolioRef[Reference '#]),0),AssetMonthlyReturns[[#This Row],[SPY]:[PE]])</f>
        <v>-1.4379716221796094E-2</v>
      </c>
      <c r="IB57" s="27">
        <f>IF(ISNUMBER(IB56),IB56*(1+PortfolioFrontier[[#This Row],[P59 Return]]),1+PortfolioFrontier[[#This Row],[P59 Return]])</f>
        <v>1.3620794625679604</v>
      </c>
      <c r="IC57" s="27">
        <f>MAX(IC56,PortfolioFrontier[[#This Row],[P59 Growth]])</f>
        <v>1.4230772969773542</v>
      </c>
      <c r="ID57" s="27">
        <f>PortfolioFrontier[[#This Row],[P59 Growth]]/PortfolioFrontier[[#This Row],[P59 HWM]]-1</f>
        <v>-4.2863331836545004E-2</v>
      </c>
      <c r="IE57" s="28">
        <f>SUMPRODUCT(INDEX(PortfolioRef[[SPY]:[PE]],MATCH(IE$1,PortfolioRef[Reference '#]),0),AssetMonthlyReturns[[#This Row],[SPY]:[PE]])</f>
        <v>-1.3264036236043558E-2</v>
      </c>
      <c r="IF57" s="27">
        <f>IF(ISNUMBER(IF56),IF56*(1+PortfolioFrontier[[#This Row],[P60 Return]]),1+PortfolioFrontier[[#This Row],[P60 Return]])</f>
        <v>1.3577085472327362</v>
      </c>
      <c r="IG57" s="27">
        <f>MAX(IG56,PortfolioFrontier[[#This Row],[P60 Growth]])</f>
        <v>1.4152057527783501</v>
      </c>
      <c r="IH57" s="27">
        <f>PortfolioFrontier[[#This Row],[P60 Growth]]/PortfolioFrontier[[#This Row],[P60 HWM]]-1</f>
        <v>-4.062815985077417E-2</v>
      </c>
      <c r="II57" s="28">
        <f>SUMPRODUCT(INDEX(PortfolioRef[[SPY]:[PE]],MATCH(II$1,PortfolioRef[Reference '#]),0),AssetMonthlyReturns[[#This Row],[SPY]:[PE]])</f>
        <v>-1.1355812182692824E-2</v>
      </c>
      <c r="IJ57" s="27">
        <f>IF(ISNUMBER(IJ56),IJ56*(1+PortfolioFrontier[[#This Row],[P61 Return]]),1+PortfolioFrontier[[#This Row],[P61 Return]])</f>
        <v>1.352453828687451</v>
      </c>
      <c r="IK57" s="27">
        <f>MAX(IK56,PortfolioFrontier[[#This Row],[P61 Growth]])</f>
        <v>1.3979029490621369</v>
      </c>
      <c r="IL57" s="27">
        <f>PortfolioFrontier[[#This Row],[P61 Growth]]/PortfolioFrontier[[#This Row],[P61 HWM]]-1</f>
        <v>-3.2512357460278585E-2</v>
      </c>
      <c r="IM57" s="28">
        <f>SUMPRODUCT(INDEX(PortfolioRef[[SPY]:[PE]],MATCH(IM$1,PortfolioRef[Reference '#]),0),AssetMonthlyReturns[[#This Row],[SPY]:[PE]])</f>
        <v>-1.1333204335716841E-2</v>
      </c>
      <c r="IN57" s="27">
        <f>IF(ISNUMBER(IN56),IN56*(1+PortfolioFrontier[[#This Row],[P62 Return]]),1+PortfolioFrontier[[#This Row],[P62 Return]])</f>
        <v>1.366109879235941</v>
      </c>
      <c r="IO57" s="27">
        <f>MAX(IO56,PortfolioFrontier[[#This Row],[P62 Growth]])</f>
        <v>1.4149369808113292</v>
      </c>
      <c r="IP57" s="27">
        <f>PortfolioFrontier[[#This Row],[P62 Growth]]/PortfolioFrontier[[#This Row],[P62 HWM]]-1</f>
        <v>-3.4508322446552109E-2</v>
      </c>
      <c r="IQ57" s="28">
        <f>SUMPRODUCT(INDEX(PortfolioRef[[SPY]:[PE]],MATCH(IQ$1,PortfolioRef[Reference '#]),0),AssetMonthlyReturns[[#This Row],[SPY]:[PE]])</f>
        <v>-1.2198386274215474E-2</v>
      </c>
      <c r="IR57" s="27">
        <f>IF(ISNUMBER(IR56),IR56*(1+PortfolioFrontier[[#This Row],[P63 Return]]),1+PortfolioFrontier[[#This Row],[P63 Return]])</f>
        <v>1.3501518081540591</v>
      </c>
      <c r="IS57" s="27">
        <f>MAX(IS56,PortfolioFrontier[[#This Row],[P63 Growth]])</f>
        <v>1.3990899920175692</v>
      </c>
      <c r="IT57" s="27">
        <f>PortfolioFrontier[[#This Row],[P63 Growth]]/PortfolioFrontier[[#This Row],[P63 HWM]]-1</f>
        <v>-3.4978581894463012E-2</v>
      </c>
      <c r="IU57" s="28">
        <f>SUMPRODUCT(INDEX(PortfolioRef[[SPY]:[PE]],MATCH(IU$1,PortfolioRef[Reference '#]),0),AssetMonthlyReturns[[#This Row],[SPY]:[PE]])</f>
        <v>-1.1082706288462934E-2</v>
      </c>
      <c r="IV57" s="27">
        <f>IF(ISNUMBER(IV56),IV56*(1+PortfolioFrontier[[#This Row],[P64 Return]]),1+PortfolioFrontier[[#This Row],[P64 Return]])</f>
        <v>1.3449192428922214</v>
      </c>
      <c r="IW57" s="27">
        <f>MAX(IW56,PortfolioFrontier[[#This Row],[P64 Growth]])</f>
        <v>1.3904342039652706</v>
      </c>
      <c r="IX57" s="27">
        <f>PortfolioFrontier[[#This Row],[P64 Growth]]/PortfolioFrontier[[#This Row],[P64 HWM]]-1</f>
        <v>-3.2734350854753624E-2</v>
      </c>
      <c r="IY57" s="28">
        <f>SUMPRODUCT(INDEX(PortfolioRef[[SPY]:[PE]],MATCH(IY$1,PortfolioRef[Reference '#]),0),AssetMonthlyReturns[[#This Row],[SPY]:[PE]])</f>
        <v>-1.1310596488740854E-2</v>
      </c>
      <c r="IZ57" s="27">
        <f>IF(ISNUMBER(IZ56),IZ56*(1+PortfolioFrontier[[#This Row],[P65 Return]]),1+PortfolioFrontier[[#This Row],[P65 Return]])</f>
        <v>1.3797209521248155</v>
      </c>
      <c r="JA57" s="27">
        <f>MAX(JA56,PortfolioFrontier[[#This Row],[P65 Growth]])</f>
        <v>1.4319950429411292</v>
      </c>
      <c r="JB57" s="27">
        <f>PortfolioFrontier[[#This Row],[P65 Growth]]/PortfolioFrontier[[#This Row],[P65 HWM]]-1</f>
        <v>-3.6504379728123704E-2</v>
      </c>
      <c r="JC57" s="28">
        <f>SUMPRODUCT(INDEX(PortfolioRef[[SPY]:[PE]],MATCH(JC$1,PortfolioRef[Reference '#]),0),AssetMonthlyReturns[[#This Row],[SPY]:[PE]])</f>
        <v>-1.2175778427239487E-2</v>
      </c>
      <c r="JD57" s="27">
        <f>IF(ISNUMBER(JD56),JD56*(1+PortfolioFrontier[[#This Row],[P66 Return]]),1+PortfolioFrontier[[#This Row],[P66 Return]])</f>
        <v>1.363754368639345</v>
      </c>
      <c r="JE57" s="27">
        <f>MAX(JE56,PortfolioFrontier[[#This Row],[P66 Growth]])</f>
        <v>1.4161120891304451</v>
      </c>
      <c r="JF57" s="27">
        <f>PortfolioFrontier[[#This Row],[P66 Growth]]/PortfolioFrontier[[#This Row],[P66 HWM]]-1</f>
        <v>-3.6972864572641262E-2</v>
      </c>
      <c r="JG57" s="28">
        <f>SUMPRODUCT(INDEX(PortfolioRef[[SPY]:[PE]],MATCH(JG$1,PortfolioRef[Reference '#]),0),AssetMonthlyReturns[[#This Row],[SPY]:[PE]])</f>
        <v>-1.106009844148695E-2</v>
      </c>
      <c r="JH57" s="27">
        <f>IF(ISNUMBER(JH56),JH56*(1+PortfolioFrontier[[#This Row],[P67 Return]]),1+PortfolioFrontier[[#This Row],[P67 Return]])</f>
        <v>1.3585203668128119</v>
      </c>
      <c r="JI57" s="27">
        <f>MAX(JI56,PortfolioFrontier[[#This Row],[P67 Growth]])</f>
        <v>1.4074006357318996</v>
      </c>
      <c r="JJ57" s="27">
        <f>PortfolioFrontier[[#This Row],[P67 Growth]]/PortfolioFrontier[[#This Row],[P67 HWM]]-1</f>
        <v>-3.4730884495919101E-2</v>
      </c>
      <c r="JK57" s="28">
        <f>SUMPRODUCT(INDEX(PortfolioRef[[SPY]:[PE]],MATCH(JK$1,PortfolioRef[Reference '#]),0),AssetMonthlyReturns[[#This Row],[SPY]:[PE]])</f>
        <v>-1.3040960365738119E-2</v>
      </c>
      <c r="JL57" s="27">
        <f>IF(ISNUMBER(JL56),JL56*(1+PortfolioFrontier[[#This Row],[P68 Return]]),1+PortfolioFrontier[[#This Row],[P68 Return]])</f>
        <v>1.3474761539906133</v>
      </c>
      <c r="JM57" s="27">
        <f>MAX(JM56,PortfolioFrontier[[#This Row],[P68 Growth]])</f>
        <v>1.3998908761397537</v>
      </c>
      <c r="JN57" s="27">
        <f>PortfolioFrontier[[#This Row],[P68 Growth]]/PortfolioFrontier[[#This Row],[P68 HWM]]-1</f>
        <v>-3.7442005689526159E-2</v>
      </c>
      <c r="JO57" s="28">
        <f>SUMPRODUCT(INDEX(PortfolioRef[[SPY]:[PE]],MATCH(JO$1,PortfolioRef[Reference '#]),0),AssetMonthlyReturns[[#This Row],[SPY]:[PE]])</f>
        <v>-1.1925280379985579E-2</v>
      </c>
      <c r="JP57" s="27">
        <f>IF(ISNUMBER(JP56),JP56*(1+PortfolioFrontier[[#This Row],[P69 Return]]),1+PortfolioFrontier[[#This Row],[P69 Return]])</f>
        <v>1.342625030496768</v>
      </c>
      <c r="JQ57" s="27">
        <f>MAX(JQ56,PortfolioFrontier[[#This Row],[P69 Growth]])</f>
        <v>1.3916105748494492</v>
      </c>
      <c r="JR57" s="27">
        <f>PortfolioFrontier[[#This Row],[P69 Growth]]/PortfolioFrontier[[#This Row],[P69 HWM]]-1</f>
        <v>-3.520061232502536E-2</v>
      </c>
      <c r="JS57" s="28">
        <f>SUMPRODUCT(INDEX(PortfolioRef[[SPY]:[PE]],MATCH(JS$1,PortfolioRef[Reference '#]),0),AssetMonthlyReturns[[#This Row],[SPY]:[PE]])</f>
        <v>-1.0809600394233045E-2</v>
      </c>
      <c r="JT57" s="27">
        <f>IF(ISNUMBER(JT56),JT56*(1+PortfolioFrontier[[#This Row],[P70 Return]]),1+PortfolioFrontier[[#This Row],[P70 Return]])</f>
        <v>1.3373464938171498</v>
      </c>
      <c r="JU57" s="27">
        <f>MAX(JU56,PortfolioFrontier[[#This Row],[P70 Growth]])</f>
        <v>1.3829229524168012</v>
      </c>
      <c r="JV57" s="27">
        <f>PortfolioFrontier[[#This Row],[P70 Growth]]/PortfolioFrontier[[#This Row],[P70 HWM]]-1</f>
        <v>-3.2956614480945445E-2</v>
      </c>
      <c r="JW57" s="28">
        <f>SUMPRODUCT(INDEX(PortfolioRef[[SPY]:[PE]],MATCH(JW$1,PortfolioRef[Reference '#]),0),AssetMonthlyReturns[[#This Row],[SPY]:[PE]])</f>
        <v>-1.21531705802635E-2</v>
      </c>
      <c r="JX57" s="27">
        <f>IF(ISNUMBER(JX56),JX56*(1+PortfolioFrontier[[#This Row],[P71 Return]]),1+PortfolioFrontier[[#This Row],[P71 Return]])</f>
        <v>1.3773116530225258</v>
      </c>
      <c r="JY57" s="27">
        <f>MAX(JY56,PortfolioFrontier[[#This Row],[P71 Growth]])</f>
        <v>1.4331578586062355</v>
      </c>
      <c r="JZ57" s="27">
        <f>PortfolioFrontier[[#This Row],[P71 Growth]]/PortfolioFrontier[[#This Row],[P71 HWM]]-1</f>
        <v>-3.8967239546117249E-2</v>
      </c>
      <c r="KA57" s="28">
        <f>SUMPRODUCT(INDEX(PortfolioRef[[SPY]:[PE]],MATCH(KA$1,PortfolioRef[Reference '#]),0),AssetMonthlyReturns[[#This Row],[SPY]:[PE]])</f>
        <v>-1.1037490594510964E-2</v>
      </c>
      <c r="KB57" s="27">
        <f>IF(ISNUMBER(KB56),KB56*(1+PortfolioFrontier[[#This Row],[P72 Return]]),1+PortfolioFrontier[[#This Row],[P72 Return]])</f>
        <v>1.3720771498902236</v>
      </c>
      <c r="KC57" s="27">
        <f>MAX(KC56,PortfolioFrontier[[#This Row],[P72 Growth]])</f>
        <v>1.4243915037022443</v>
      </c>
      <c r="KD57" s="27">
        <f>PortfolioFrontier[[#This Row],[P72 Growth]]/PortfolioFrontier[[#This Row],[P72 HWM]]-1</f>
        <v>-3.6727510432382204E-2</v>
      </c>
      <c r="KE57" s="28">
        <f>SUMPRODUCT(INDEX(PortfolioRef[[SPY]:[PE]],MATCH(KE$1,PortfolioRef[Reference '#]),0),AssetMonthlyReturns[[#This Row],[SPY]:[PE]])</f>
        <v>-1.3018352518762134E-2</v>
      </c>
      <c r="KF57" s="27">
        <f>IF(ISNUMBER(KF56),KF56*(1+PortfolioFrontier[[#This Row],[P73 Return]]),1+PortfolioFrontier[[#This Row],[P73 Return]])</f>
        <v>1.3610218636706701</v>
      </c>
      <c r="KG57" s="27">
        <f>MAX(KG56,PortfolioFrontier[[#This Row],[P73 Growth]])</f>
        <v>1.4168966238597704</v>
      </c>
      <c r="KH57" s="27">
        <f>PortfolioFrontier[[#This Row],[P73 Growth]]/PortfolioFrontier[[#This Row],[P73 HWM]]-1</f>
        <v>-3.9434606059609245E-2</v>
      </c>
      <c r="KI57" s="28">
        <f>SUMPRODUCT(INDEX(PortfolioRef[[SPY]:[PE]],MATCH(KI$1,PortfolioRef[Reference '#]),0),AssetMonthlyReturns[[#This Row],[SPY]:[PE]])</f>
        <v>-1.1902672533009596E-2</v>
      </c>
      <c r="KJ57" s="27">
        <f>IF(ISNUMBER(KJ56),KJ56*(1+PortfolioFrontier[[#This Row],[P74 Return]]),1+PortfolioFrontier[[#This Row],[P74 Return]])</f>
        <v>1.3561728760916487</v>
      </c>
      <c r="KK57" s="27">
        <f>MAX(KK56,PortfolioFrontier[[#This Row],[P74 Growth]])</f>
        <v>1.4085651083908624</v>
      </c>
      <c r="KL57" s="27">
        <f>PortfolioFrontier[[#This Row],[P74 Growth]]/PortfolioFrontier[[#This Row],[P74 HWM]]-1</f>
        <v>-3.7195463658095451E-2</v>
      </c>
      <c r="KM57" s="28">
        <f>SUMPRODUCT(INDEX(PortfolioRef[[SPY]:[PE]],MATCH(KM$1,PortfolioRef[Reference '#]),0),AssetMonthlyReturns[[#This Row],[SPY]:[PE]])</f>
        <v>-1.0786992547257058E-2</v>
      </c>
      <c r="KN57" s="27">
        <f>IF(ISNUMBER(KN56),KN56*(1+PortfolioFrontier[[#This Row],[P75 Return]]),1+PortfolioFrontier[[#This Row],[P75 Return]])</f>
        <v>1.3508920705774634</v>
      </c>
      <c r="KO57" s="27">
        <f>MAX(KO56,PortfolioFrontier[[#This Row],[P75 Growth]])</f>
        <v>1.3998210179783752</v>
      </c>
      <c r="KP57" s="27">
        <f>PortfolioFrontier[[#This Row],[P75 Growth]]/PortfolioFrontier[[#This Row],[P75 HWM]]-1</f>
        <v>-3.4953716777002763E-2</v>
      </c>
      <c r="KQ57" s="28">
        <f>SUMPRODUCT(INDEX(PortfolioRef[[SPY]:[PE]],MATCH(KQ$1,PortfolioRef[Reference '#]),0),AssetMonthlyReturns[[#This Row],[SPY]:[PE]])</f>
        <v>-1.3883534457260765E-2</v>
      </c>
      <c r="KR57" s="27">
        <f>IF(ISNUMBER(KR56),KR56*(1+PortfolioFrontier[[#This Row],[P76 Return]]),1+PortfolioFrontier[[#This Row],[P76 Return]])</f>
        <v>1.3444258140151533</v>
      </c>
      <c r="KS57" s="27">
        <f>MAX(KS56,PortfolioFrontier[[#This Row],[P76 Growth]])</f>
        <v>1.4003015260821514</v>
      </c>
      <c r="KT57" s="27">
        <f>PortfolioFrontier[[#This Row],[P76 Growth]]/PortfolioFrontier[[#This Row],[P76 HWM]]-1</f>
        <v>-3.9902628845467691E-2</v>
      </c>
      <c r="KU57" s="28">
        <f>SUMPRODUCT(INDEX(PortfolioRef[[SPY]:[PE]],MATCH(KU$1,PortfolioRef[Reference '#]),0),AssetMonthlyReturns[[#This Row],[SPY]:[PE]])</f>
        <v>-1.2767854471508227E-2</v>
      </c>
      <c r="KV57" s="27">
        <f>IF(ISNUMBER(KV56),KV56*(1+PortfolioFrontier[[#This Row],[P77 Return]]),1+PortfolioFrontier[[#This Row],[P77 Return]])</f>
        <v>1.3399592851991962</v>
      </c>
      <c r="KW57" s="27">
        <f>MAX(KW56,PortfolioFrontier[[#This Row],[P77 Growth]])</f>
        <v>1.3924028479263622</v>
      </c>
      <c r="KX57" s="27">
        <f>PortfolioFrontier[[#This Row],[P77 Growth]]/PortfolioFrontier[[#This Row],[P77 HWM]]-1</f>
        <v>-3.7664073156175815E-2</v>
      </c>
      <c r="KY57" s="28">
        <f>SUMPRODUCT(INDEX(PortfolioRef[[SPY]:[PE]],MATCH(KY$1,PortfolioRef[Reference '#]),0),AssetMonthlyReturns[[#This Row],[SPY]:[PE]])</f>
        <v>-1.165217448575569E-2</v>
      </c>
      <c r="KZ57" s="27">
        <f>IF(ISNUMBER(KZ56),KZ56*(1+PortfolioFrontier[[#This Row],[P78 Return]]),1+PortfolioFrontier[[#This Row],[P78 Return]])</f>
        <v>1.3350601074258903</v>
      </c>
      <c r="LA57" s="27">
        <f>MAX(LA56,PortfolioFrontier[[#This Row],[P78 Growth]])</f>
        <v>1.3840885559085636</v>
      </c>
      <c r="LB57" s="27">
        <f>PortfolioFrontier[[#This Row],[P78 Growth]]/PortfolioFrontier[[#This Row],[P78 HWM]]-1</f>
        <v>-3.5422912987304711E-2</v>
      </c>
      <c r="LC57" s="28">
        <f>SUMPRODUCT(INDEX(PortfolioRef[[SPY]:[PE]],MATCH(LC$1,PortfolioRef[Reference '#]),0),AssetMonthlyReturns[[#This Row],[SPY]:[PE]])</f>
        <v>-1.2995744671786148E-2</v>
      </c>
      <c r="LD57" s="27">
        <f>IF(ISNUMBER(LD56),LD56*(1+PortfolioFrontier[[#This Row],[P79 Return]]),1+PortfolioFrontier[[#This Row],[P79 Return]])</f>
        <v>1.3745220166591219</v>
      </c>
      <c r="LE57" s="27">
        <f>MAX(LE56,PortfolioFrontier[[#This Row],[P79 Growth]])</f>
        <v>1.4339256843334383</v>
      </c>
      <c r="LF57" s="27">
        <f>PortfolioFrontier[[#This Row],[P79 Growth]]/PortfolioFrontier[[#This Row],[P79 HWM]]-1</f>
        <v>-4.1427298724989514E-2</v>
      </c>
      <c r="LG57" s="28">
        <f>SUMPRODUCT(INDEX(PortfolioRef[[SPY]:[PE]],MATCH(LG$1,PortfolioRef[Reference '#]),0),AssetMonthlyReturns[[#This Row],[SPY]:[PE]])</f>
        <v>-1.1880064686033609E-2</v>
      </c>
      <c r="LH57" s="27">
        <f>IF(ISNUMBER(LH56),LH56*(1+PortfolioFrontier[[#This Row],[P80 Return]]),1+PortfolioFrontier[[#This Row],[P80 Return]])</f>
        <v>1.369676082614999</v>
      </c>
      <c r="LI57" s="27">
        <f>MAX(LI56,PortfolioFrontier[[#This Row],[P80 Growth]])</f>
        <v>1.4255437216719848</v>
      </c>
      <c r="LJ57" s="27">
        <f>PortfolioFrontier[[#This Row],[P80 Growth]]/PortfolioFrontier[[#This Row],[P80 HWM]]-1</f>
        <v>-3.9190407286463391E-2</v>
      </c>
      <c r="LK57" s="28">
        <f>SUMPRODUCT(INDEX(PortfolioRef[[SPY]:[PE]],MATCH(LK$1,PortfolioRef[Reference '#]),0),AssetMonthlyReturns[[#This Row],[SPY]:[PE]])</f>
        <v>-1.0764384700281071E-2</v>
      </c>
      <c r="LL57" s="27">
        <f>IF(ISNUMBER(LL56),LL56*(1+PortfolioFrontier[[#This Row],[P81 Return]]),1+PortfolioFrontier[[#This Row],[P81 Return]])</f>
        <v>1.3643939399427849</v>
      </c>
      <c r="LM57" s="27">
        <f>MAX(LM56,PortfolioFrontier[[#This Row],[P81 Growth]])</f>
        <v>1.4167439189225519</v>
      </c>
      <c r="LN57" s="27">
        <f>PortfolioFrontier[[#This Row],[P81 Growth]]/PortfolioFrontier[[#This Row],[P81 HWM]]-1</f>
        <v>-3.6950911368357708E-2</v>
      </c>
      <c r="LO57" s="28">
        <f>SUMPRODUCT(INDEX(PortfolioRef[[SPY]:[PE]],MATCH(LO$1,PortfolioRef[Reference '#]),0),AssetMonthlyReturns[[#This Row],[SPY]:[PE]])</f>
        <v>-1.386092661028478E-2</v>
      </c>
      <c r="LP57" s="27">
        <f>IF(ISNUMBER(LP56),LP56*(1+PortfolioFrontier[[#This Row],[P82 Return]]),1+PortfolioFrontier[[#This Row],[P82 Return]])</f>
        <v>1.357911324986999</v>
      </c>
      <c r="LQ57" s="27">
        <f>MAX(LQ56,PortfolioFrontier[[#This Row],[P82 Growth]])</f>
        <v>1.4172864827326623</v>
      </c>
      <c r="LR57" s="27">
        <f>PortfolioFrontier[[#This Row],[P82 Growth]]/PortfolioFrontier[[#This Row],[P82 HWM]]-1</f>
        <v>-4.1893546907455503E-2</v>
      </c>
      <c r="LS57" s="28">
        <f>SUMPRODUCT(INDEX(PortfolioRef[[SPY]:[PE]],MATCH(LS$1,PortfolioRef[Reference '#]),0),AssetMonthlyReturns[[#This Row],[SPY]:[PE]])</f>
        <v>-1.2745246624532242E-2</v>
      </c>
      <c r="LT57" s="27">
        <f>IF(ISNUMBER(LT56),LT56*(1+PortfolioFrontier[[#This Row],[P83 Return]]),1+PortfolioFrontier[[#This Row],[P83 Return]])</f>
        <v>1.3534505057955524</v>
      </c>
      <c r="LU57" s="27">
        <f>MAX(LU56,PortfolioFrontier[[#This Row],[P83 Growth]])</f>
        <v>1.40934108658198</v>
      </c>
      <c r="LV57" s="27">
        <f>PortfolioFrontier[[#This Row],[P83 Growth]]/PortfolioFrontier[[#This Row],[P83 HWM]]-1</f>
        <v>-3.9657242181150631E-2</v>
      </c>
      <c r="LW57" s="28">
        <f>SUMPRODUCT(INDEX(PortfolioRef[[SPY]:[PE]],MATCH(LW$1,PortfolioRef[Reference '#]),0),AssetMonthlyReturns[[#This Row],[SPY]:[PE]])</f>
        <v>-1.1629566638779704E-2</v>
      </c>
      <c r="LX57" s="27">
        <f>IF(ISNUMBER(LX56),LX56*(1+PortfolioFrontier[[#This Row],[P84 Return]]),1+PortfolioFrontier[[#This Row],[P84 Return]])</f>
        <v>1.348552618776613</v>
      </c>
      <c r="LY57" s="27">
        <f>MAX(LY56,PortfolioFrontier[[#This Row],[P84 Growth]])</f>
        <v>1.4009747587909986</v>
      </c>
      <c r="LZ57" s="27">
        <f>PortfolioFrontier[[#This Row],[P84 Growth]]/PortfolioFrontier[[#This Row],[P84 HWM]]-1</f>
        <v>-3.7418332975266755E-2</v>
      </c>
      <c r="MA57" s="28">
        <f>SUMPRODUCT(INDEX(PortfolioRef[[SPY]:[PE]],MATCH(MA$1,PortfolioRef[Reference '#]),0),AssetMonthlyReturns[[#This Row],[SPY]:[PE]])</f>
        <v>-1.4726108548783411E-2</v>
      </c>
      <c r="MB57" s="27">
        <f>IF(ISNUMBER(MB56),MB56*(1+PortfolioFrontier[[#This Row],[P85 Return]]),1+PortfolioFrontier[[#This Row],[P85 Return]])</f>
        <v>1.3409999518459423</v>
      </c>
      <c r="MC57" s="27">
        <f>MAX(MC56,PortfolioFrontier[[#This Row],[P85 Growth]])</f>
        <v>1.4003180567819897</v>
      </c>
      <c r="MD57" s="27">
        <f>PortfolioFrontier[[#This Row],[P85 Growth]]/PortfolioFrontier[[#This Row],[P85 HWM]]-1</f>
        <v>-4.2360451362288165E-2</v>
      </c>
      <c r="ME57" s="28">
        <f>SUMPRODUCT(INDEX(PortfolioRef[[SPY]:[PE]],MATCH(ME$1,PortfolioRef[Reference '#]),0),AssetMonthlyReturns[[#This Row],[SPY]:[PE]])</f>
        <v>-1.3610428563030873E-2</v>
      </c>
      <c r="MF57" s="27">
        <f>IF(ISNUMBER(MF56),MF56*(1+PortfolioFrontier[[#This Row],[P86 Return]]),1+PortfolioFrontier[[#This Row],[P86 Return]])</f>
        <v>1.3369209701867506</v>
      </c>
      <c r="MG57" s="27">
        <f>MAX(MG56,PortfolioFrontier[[#This Row],[P86 Growth]])</f>
        <v>1.3928069788173143</v>
      </c>
      <c r="MH57" s="27">
        <f>PortfolioFrontier[[#This Row],[P86 Growth]]/PortfolioFrontier[[#This Row],[P86 HWM]]-1</f>
        <v>-4.0124733348204988E-2</v>
      </c>
      <c r="MI57" s="28">
        <f>SUMPRODUCT(INDEX(PortfolioRef[[SPY]:[PE]],MATCH(MI$1,PortfolioRef[Reference '#]),0),AssetMonthlyReturns[[#This Row],[SPY]:[PE]])</f>
        <v>-1.2494748577278336E-2</v>
      </c>
      <c r="MJ57" s="27">
        <f>IF(ISNUMBER(MJ56),MJ56*(1+PortfolioFrontier[[#This Row],[P87 Return]]),1+PortfolioFrontier[[#This Row],[P87 Return]])</f>
        <v>1.3324042963352343</v>
      </c>
      <c r="MK57" s="27">
        <f>MAX(MK56,PortfolioFrontier[[#This Row],[P87 Growth]])</f>
        <v>1.3848721308662384</v>
      </c>
      <c r="ML57" s="27">
        <f>PortfolioFrontier[[#This Row],[P87 Growth]]/PortfolioFrontier[[#This Row],[P87 HWM]]-1</f>
        <v>-3.7886410854542585E-2</v>
      </c>
      <c r="MM57" s="28">
        <f>SUMPRODUCT(INDEX(PortfolioRef[[SPY]:[PE]],MATCH(MM$1,PortfolioRef[Reference '#]),0),AssetMonthlyReturns[[#This Row],[SPY]:[PE]])</f>
        <v>-1.3838318763308793E-2</v>
      </c>
      <c r="MN57" s="27">
        <f>IF(ISNUMBER(MN56),MN56*(1+PortfolioFrontier[[#This Row],[P88 Return]]),1+PortfolioFrontier[[#This Row],[P88 Return]])</f>
        <v>1.371351016820757</v>
      </c>
      <c r="MO57" s="27">
        <f>MAX(MO56,PortfolioFrontier[[#This Row],[P88 Growth]])</f>
        <v>1.4342943911643034</v>
      </c>
      <c r="MP57" s="27">
        <f>PortfolioFrontier[[#This Row],[P88 Growth]]/PortfolioFrontier[[#This Row],[P88 HWM]]-1</f>
        <v>-4.388455726474072E-2</v>
      </c>
      <c r="MQ57" s="28">
        <f>SUMPRODUCT(INDEX(PortfolioRef[[SPY]:[PE]],MATCH(MQ$1,PortfolioRef[Reference '#]),0),AssetMonthlyReturns[[#This Row],[SPY]:[PE]])</f>
        <v>-1.2722638777556255E-2</v>
      </c>
      <c r="MR57" s="27">
        <f>IF(ISNUMBER(MR56),MR56*(1+PortfolioFrontier[[#This Row],[P89 Return]]),1+PortfolioFrontier[[#This Row],[P89 Return]])</f>
        <v>1.3668968067599565</v>
      </c>
      <c r="MS57" s="27">
        <f>MAX(MS56,PortfolioFrontier[[#This Row],[P89 Growth]])</f>
        <v>1.4263030468049986</v>
      </c>
      <c r="MT57" s="27">
        <f>PortfolioFrontier[[#This Row],[P89 Growth]]/PortfolioFrontier[[#This Row],[P89 HWM]]-1</f>
        <v>-4.1650503501423186E-2</v>
      </c>
      <c r="MU57" s="28">
        <f>SUMPRODUCT(INDEX(PortfolioRef[[SPY]:[PE]],MATCH(MU$1,PortfolioRef[Reference '#]),0),AssetMonthlyReturns[[#This Row],[SPY]:[PE]])</f>
        <v>-1.1606958791803717E-2</v>
      </c>
      <c r="MV57" s="27">
        <f>IF(ISNUMBER(MV56),MV56*(1+PortfolioFrontier[[#This Row],[P90 Return]]),1+PortfolioFrontier[[#This Row],[P90 Return]])</f>
        <v>1.3620011247418948</v>
      </c>
      <c r="MW57" s="27">
        <f>MAX(MW56,PortfolioFrontier[[#This Row],[P90 Growth]])</f>
        <v>1.4178854421532396</v>
      </c>
      <c r="MX57" s="27">
        <f>PortfolioFrontier[[#This Row],[P90 Growth]]/PortfolioFrontier[[#This Row],[P90 HWM]]-1</f>
        <v>-3.9413845258526203E-2</v>
      </c>
      <c r="MY57" s="28">
        <f>SUMPRODUCT(INDEX(PortfolioRef[[SPY]:[PE]],MATCH(MY$1,PortfolioRef[Reference '#]),0),AssetMonthlyReturns[[#This Row],[SPY]:[PE]])</f>
        <v>-1.4703500701807426E-2</v>
      </c>
      <c r="MZ57" s="27">
        <f>IF(ISNUMBER(MZ56),MZ56*(1+PortfolioFrontier[[#This Row],[P91 Return]]),1+PortfolioFrontier[[#This Row],[P91 Return]])</f>
        <v>1.3544219309549455</v>
      </c>
      <c r="NA57" s="27">
        <f>MAX(NA56,PortfolioFrontier[[#This Row],[P91 Growth]])</f>
        <v>1.4172777559898164</v>
      </c>
      <c r="NB57" s="27">
        <f>PortfolioFrontier[[#This Row],[P91 Growth]]/PortfolioFrontier[[#This Row],[P91 HWM]]-1</f>
        <v>-4.4349687116180592E-2</v>
      </c>
      <c r="NC57" s="28">
        <f>SUMPRODUCT(INDEX(PortfolioRef[[SPY]:[PE]],MATCH(NC$1,PortfolioRef[Reference '#]),0),AssetMonthlyReturns[[#This Row],[SPY]:[PE]])</f>
        <v>-1.3587820716054888E-2</v>
      </c>
      <c r="ND57" s="27">
        <f>IF(ISNUMBER(ND56),ND56*(1+PortfolioFrontier[[#This Row],[P92 Return]]),1+PortfolioFrontier[[#This Row],[P92 Return]])</f>
        <v>1.3503522319509202</v>
      </c>
      <c r="NE57" s="27">
        <f>MAX(NE56,PortfolioFrontier[[#This Row],[P92 Growth]])</f>
        <v>1.4097244991899451</v>
      </c>
      <c r="NF57" s="27">
        <f>PortfolioFrontier[[#This Row],[P92 Growth]]/PortfolioFrontier[[#This Row],[P92 HWM]]-1</f>
        <v>-4.2116220065084642E-2</v>
      </c>
      <c r="NG57" s="28">
        <f>SUMPRODUCT(INDEX(PortfolioRef[[SPY]:[PE]],MATCH(NG$1,PortfolioRef[Reference '#]),0),AssetMonthlyReturns[[#This Row],[SPY]:[PE]])</f>
        <v>-1.2472140730302351E-2</v>
      </c>
      <c r="NH57" s="27">
        <f>IF(ISNUMBER(NH56),NH56*(1+PortfolioFrontier[[#This Row],[P93 Return]]),1+PortfolioFrontier[[#This Row],[P93 Return]])</f>
        <v>1.3458404098008148</v>
      </c>
      <c r="NI57" s="27">
        <f>MAX(NI56,PortfolioFrontier[[#This Row],[P93 Growth]])</f>
        <v>1.4017420926631547</v>
      </c>
      <c r="NJ57" s="27">
        <f>PortfolioFrontier[[#This Row],[P93 Growth]]/PortfolioFrontier[[#This Row],[P93 HWM]]-1</f>
        <v>-3.9880148534409021E-2</v>
      </c>
      <c r="NK57" s="28">
        <f>SUMPRODUCT(INDEX(PortfolioRef[[SPY]:[PE]],MATCH(NK$1,PortfolioRef[Reference '#]),0),AssetMonthlyReturns[[#This Row],[SPY]:[PE]])</f>
        <v>-1.5568682640306059E-2</v>
      </c>
      <c r="NL57" s="27">
        <f>IF(ISNUMBER(NL56),NL56*(1+PortfolioFrontier[[#This Row],[P94 Return]]),1+PortfolioFrontier[[#This Row],[P94 Return]])</f>
        <v>1.3371979497391979</v>
      </c>
      <c r="NM57" s="27">
        <f>MAX(NM56,PortfolioFrontier[[#This Row],[P94 Growth]])</f>
        <v>1.3999367789959658</v>
      </c>
      <c r="NN57" s="27">
        <f>PortfolioFrontier[[#This Row],[P94 Growth]]/PortfolioFrontier[[#This Row],[P94 HWM]]-1</f>
        <v>-4.4815473239987469E-2</v>
      </c>
      <c r="NO57" s="28">
        <f>SUMPRODUCT(INDEX(PortfolioRef[[SPY]:[PE]],MATCH(NO$1,PortfolioRef[Reference '#]),0),AssetMonthlyReturns[[#This Row],[SPY]:[PE]])</f>
        <v>-1.445300265455352E-2</v>
      </c>
      <c r="NP57" s="27">
        <f>IF(ISNUMBER(NP56),NP56*(1+PortfolioFrontier[[#This Row],[P95 Return]]),1+PortfolioFrontier[[#This Row],[P95 Return]])</f>
        <v>1.333509263488895</v>
      </c>
      <c r="NQ57" s="27">
        <f>MAX(NQ56,PortfolioFrontier[[#This Row],[P95 Growth]])</f>
        <v>1.392819112752107</v>
      </c>
      <c r="NR57" s="27">
        <f>PortfolioFrontier[[#This Row],[P95 Growth]]/PortfolioFrontier[[#This Row],[P95 HWM]]-1</f>
        <v>-4.258259290111277E-2</v>
      </c>
      <c r="NS57" s="28">
        <f>SUMPRODUCT(INDEX(PortfolioRef[[SPY]:[PE]],MATCH(NS$1,PortfolioRef[Reference '#]),0),AssetMonthlyReturns[[#This Row],[SPY]:[PE]])</f>
        <v>-1.3337322668800984E-2</v>
      </c>
      <c r="NT57" s="27">
        <f>IF(ISNUMBER(NT56),NT56*(1+PortfolioFrontier[[#This Row],[P96 Return]]),1+PortfolioFrontier[[#This Row],[P96 Return]])</f>
        <v>1.3293780390621468</v>
      </c>
      <c r="NU57" s="27">
        <f>MAX(NU56,PortfolioFrontier[[#This Row],[P96 Growth]])</f>
        <v>1.3852696639157855</v>
      </c>
      <c r="NV57" s="27">
        <f>PortfolioFrontier[[#This Row],[P96 Growth]]/PortfolioFrontier[[#This Row],[P96 HWM]]-1</f>
        <v>-4.0347108082658845E-2</v>
      </c>
      <c r="NW57" s="28">
        <f>SUMPRODUCT(INDEX(PortfolioRef[[SPY]:[PE]],MATCH(NW$1,PortfolioRef[Reference '#]),0),AssetMonthlyReturns[[#This Row],[SPY]:[PE]])</f>
        <v>-1.0586524523927604E-2</v>
      </c>
      <c r="NX57" s="27">
        <f>IF(ISNUMBER(NX56),NX56*(1+PortfolioFrontier[[#This Row],[P97 Return]]),1+PortfolioFrontier[[#This Row],[P97 Return]])</f>
        <v>1.3262568129867451</v>
      </c>
      <c r="NY57" s="27">
        <f>MAX(NY56,PortfolioFrontier[[#This Row],[P97 Growth]])</f>
        <v>1.3669395084475813</v>
      </c>
      <c r="NZ57" s="27">
        <f>PortfolioFrontier[[#This Row],[P97 Growth]]/PortfolioFrontier[[#This Row],[P97 HWM]]-1</f>
        <v>-2.9761884274629669E-2</v>
      </c>
      <c r="OA57" s="28">
        <f>SUMPRODUCT(INDEX(PortfolioRef[[SPY]:[PE]],MATCH(OA$1,PortfolioRef[Reference '#]),0),AssetMonthlyReturns[[#This Row],[SPY]:[PE]])</f>
        <v>-1.0563916676951618E-2</v>
      </c>
      <c r="OB57" s="27">
        <f>IF(ISNUMBER(OB56),OB56*(1+PortfolioFrontier[[#This Row],[P98 Return]]),1+PortfolioFrontier[[#This Row],[P98 Return]])</f>
        <v>1.3396739185026045</v>
      </c>
      <c r="OC57" s="27">
        <f>MAX(OC56,PortfolioFrontier[[#This Row],[P98 Growth]])</f>
        <v>1.3836167192263067</v>
      </c>
      <c r="OD57" s="27">
        <f>PortfolioFrontier[[#This Row],[P98 Growth]]/PortfolioFrontier[[#This Row],[P98 HWM]]-1</f>
        <v>-3.1759373902531474E-2</v>
      </c>
      <c r="OE57" s="28">
        <f>SUMPRODUCT(INDEX(PortfolioRef[[SPY]:[PE]],MATCH(OE$1,PortfolioRef[Reference '#]),0),AssetMonthlyReturns[[#This Row],[SPY]:[PE]])</f>
        <v>-1.142909861545025E-2</v>
      </c>
      <c r="OF57" s="27">
        <f>IF(ISNUMBER(OF56),OF56*(1+PortfolioFrontier[[#This Row],[P99 Return]]),1+PortfolioFrontier[[#This Row],[P99 Return]])</f>
        <v>1.3242621354447734</v>
      </c>
      <c r="OG57" s="27">
        <f>MAX(OG56,PortfolioFrontier[[#This Row],[P99 Growth]])</f>
        <v>1.3683660629923269</v>
      </c>
      <c r="OH57" s="27">
        <f>PortfolioFrontier[[#This Row],[P99 Growth]]/PortfolioFrontier[[#This Row],[P99 HWM]]-1</f>
        <v>-3.2231088405618169E-2</v>
      </c>
      <c r="OI57" s="28">
        <f>SUMPRODUCT(INDEX(PortfolioRef[[SPY]:[PE]],MATCH(OI$1,PortfolioRef[Reference '#]),0),AssetMonthlyReturns[[#This Row],[SPY]:[PE]])</f>
        <v>-1.0313418629697714E-2</v>
      </c>
      <c r="OJ57" s="27">
        <f>IF(ISNUMBER(OJ56),OJ56*(1+PortfolioFrontier[[#This Row],[P100 Return]]),1+PortfolioFrontier[[#This Row],[P100 Return]])</f>
        <v>1.318911249382885</v>
      </c>
      <c r="OK57" s="27">
        <f>MAX(OK56,PortfolioFrontier[[#This Row],[P100 Growth]])</f>
        <v>1.3596794803423304</v>
      </c>
      <c r="OL57" s="27">
        <f>PortfolioFrontier[[#This Row],[P100 Growth]]/PortfolioFrontier[[#This Row],[P100 HWM]]-1</f>
        <v>-2.9983706858017101E-2</v>
      </c>
      <c r="OM57" s="28">
        <f>SUMPRODUCT(INDEX(PortfolioRef[[SPY]:[PE]],MATCH(OM$1,PortfolioRef[Reference '#]),0),AssetMonthlyReturns[[#This Row],[SPY]:[PE]])</f>
        <v>-1.0541308829975631E-2</v>
      </c>
      <c r="ON57" s="27">
        <f>IF(ISNUMBER(ON56),ON56*(1+PortfolioFrontier[[#This Row],[P101 Return]]),1+PortfolioFrontier[[#This Row],[P101 Return]])</f>
        <v>1.3530470528142597</v>
      </c>
      <c r="OO57" s="27">
        <f>MAX(OO56,PortfolioFrontier[[#This Row],[P101 Growth]])</f>
        <v>1.4003175091113282</v>
      </c>
      <c r="OP57" s="27">
        <f>PortfolioFrontier[[#This Row],[P101 Growth]]/PortfolioFrontier[[#This Row],[P101 HWM]]-1</f>
        <v>-3.3756955825730794E-2</v>
      </c>
      <c r="OQ57" s="28">
        <f>SUMPRODUCT(INDEX(PortfolioRef[[SPY]:[PE]],MATCH(OQ$1,PortfolioRef[Reference '#]),0),AssetMonthlyReturns[[#This Row],[SPY]:[PE]])</f>
        <v>-1.1406490768474263E-2</v>
      </c>
      <c r="OR57" s="27">
        <f>IF(ISNUMBER(OR56),OR56*(1+PortfolioFrontier[[#This Row],[P102 Return]]),1+PortfolioFrontier[[#This Row],[P102 Return]])</f>
        <v>1.3376291282239443</v>
      </c>
      <c r="OS57" s="27">
        <f>MAX(OS56,PortfolioFrontier[[#This Row],[P102 Growth]])</f>
        <v>1.3850345617448963</v>
      </c>
      <c r="OT57" s="27">
        <f>PortfolioFrontier[[#This Row],[P102 Growth]]/PortfolioFrontier[[#This Row],[P102 HWM]]-1</f>
        <v>-3.4226895725424811E-2</v>
      </c>
      <c r="OU57" s="28">
        <f>SUMPRODUCT(INDEX(PortfolioRef[[SPY]:[PE]],MATCH(OU$1,PortfolioRef[Reference '#]),0),AssetMonthlyReturns[[#This Row],[SPY]:[PE]])</f>
        <v>-1.0290810782721727E-2</v>
      </c>
      <c r="OV57" s="27">
        <f>IF(ISNUMBER(OV56),OV56*(1+PortfolioFrontier[[#This Row],[P103 Return]]),1+PortfolioFrontier[[#This Row],[P103 Return]])</f>
        <v>1.3322747939531863</v>
      </c>
      <c r="OW57" s="27">
        <f>MAX(OW56,PortfolioFrontier[[#This Row],[P103 Growth]])</f>
        <v>1.3762910097938215</v>
      </c>
      <c r="OX57" s="27">
        <f>PortfolioFrontier[[#This Row],[P103 Growth]]/PortfolioFrontier[[#This Row],[P103 HWM]]-1</f>
        <v>-3.1981765140810747E-2</v>
      </c>
      <c r="OY57" s="28">
        <f>SUMPRODUCT(INDEX(PortfolioRef[[SPY]:[PE]],MATCH(OY$1,PortfolioRef[Reference '#]),0),AssetMonthlyReturns[[#This Row],[SPY]:[PE]])</f>
        <v>-1.2271672706972898E-2</v>
      </c>
      <c r="OZ57" s="27">
        <f>IF(ISNUMBER(OZ56),OZ56*(1+PortfolioFrontier[[#This Row],[P104 Return]]),1+PortfolioFrontier[[#This Row],[P104 Return]])</f>
        <v>1.321902204399193</v>
      </c>
      <c r="PA57" s="27">
        <f>MAX(PA56,PortfolioFrontier[[#This Row],[P104 Growth]])</f>
        <v>1.3694175590589139</v>
      </c>
      <c r="PB57" s="27">
        <f>PortfolioFrontier[[#This Row],[P104 Growth]]/PortfolioFrontier[[#This Row],[P104 HWM]]-1</f>
        <v>-3.4697491897485389E-2</v>
      </c>
      <c r="PC57" s="28">
        <f>SUMPRODUCT(INDEX(PortfolioRef[[SPY]:[PE]],MATCH(PC$1,PortfolioRef[Reference '#]),0),AssetMonthlyReturns[[#This Row],[SPY]:[PE]])</f>
        <v>-1.1155992721220359E-2</v>
      </c>
      <c r="PD57" s="27">
        <f>IF(ISNUMBER(PD56),PD56*(1+PortfolioFrontier[[#This Row],[P105 Return]]),1+PortfolioFrontier[[#This Row],[P105 Return]])</f>
        <v>1.3169228328040377</v>
      </c>
      <c r="PE57" s="27">
        <f>MAX(PE56,PortfolioFrontier[[#This Row],[P105 Growth]])</f>
        <v>1.3610943572366874</v>
      </c>
      <c r="PF57" s="27">
        <f>PortfolioFrontier[[#This Row],[P105 Growth]]/PortfolioFrontier[[#This Row],[P105 HWM]]-1</f>
        <v>-3.2452948025093131E-2</v>
      </c>
      <c r="PG57" s="28">
        <f>SUMPRODUCT(INDEX(PortfolioRef[[SPY]:[PE]],MATCH(PG$1,PortfolioRef[Reference '#]),0),AssetMonthlyReturns[[#This Row],[SPY]:[PE]])</f>
        <v>-1.0040312735467821E-2</v>
      </c>
      <c r="PH57" s="27">
        <f>IF(ISNUMBER(PH56),PH56*(1+PortfolioFrontier[[#This Row],[P106 Return]]),1+PortfolioFrontier[[#This Row],[P106 Return]])</f>
        <v>1.3115278132616006</v>
      </c>
      <c r="PI57" s="27">
        <f>MAX(PI56,PortfolioFrontier[[#This Row],[P106 Growth]])</f>
        <v>1.3523774557731296</v>
      </c>
      <c r="PJ57" s="27">
        <f>PortfolioFrontier[[#This Row],[P106 Growth]]/PortfolioFrontier[[#This Row],[P106 HWM]]-1</f>
        <v>-3.0205799673121536E-2</v>
      </c>
      <c r="PK57" s="28">
        <f>SUMPRODUCT(INDEX(PortfolioRef[[SPY]:[PE]],MATCH(PK$1,PortfolioRef[Reference '#]),0),AssetMonthlyReturns[[#This Row],[SPY]:[PE]])</f>
        <v>-1.138388292149828E-2</v>
      </c>
      <c r="PL57" s="27">
        <f>IF(ISNUMBER(PL56),PL56*(1+PortfolioFrontier[[#This Row],[P107 Return]]),1+PortfolioFrontier[[#This Row],[P107 Return]])</f>
        <v>1.3509518443795507</v>
      </c>
      <c r="PM57" s="27">
        <f>MAX(PM56,PortfolioFrontier[[#This Row],[P107 Growth]])</f>
        <v>1.4017262888645294</v>
      </c>
      <c r="PN57" s="27">
        <f>PortfolioFrontier[[#This Row],[P107 Growth]]/PortfolioFrontier[[#This Row],[P107 HWM]]-1</f>
        <v>-3.6222795340528746E-2</v>
      </c>
      <c r="PO57" s="28">
        <f>SUMPRODUCT(INDEX(PortfolioRef[[SPY]:[PE]],MATCH(PO$1,PortfolioRef[Reference '#]),0),AssetMonthlyReturns[[#This Row],[SPY]:[PE]])</f>
        <v>-1.026820293574574E-2</v>
      </c>
      <c r="PP57" s="27">
        <f>IF(ISNUMBER(PP56),PP56*(1+PortfolioFrontier[[#This Row],[P108 Return]]),1+PortfolioFrontier[[#This Row],[P108 Return]])</f>
        <v>1.3455949914874354</v>
      </c>
      <c r="PQ57" s="27">
        <f>MAX(PQ56,PortfolioFrontier[[#This Row],[P108 Growth]])</f>
        <v>1.3929265171425633</v>
      </c>
      <c r="PR57" s="27">
        <f>PortfolioFrontier[[#This Row],[P108 Growth]]/PortfolioFrontier[[#This Row],[P108 HWM]]-1</f>
        <v>-3.397991571890191E-2</v>
      </c>
      <c r="PS57" s="28">
        <f>SUMPRODUCT(INDEX(PortfolioRef[[SPY]:[PE]],MATCH(PS$1,PortfolioRef[Reference '#]),0),AssetMonthlyReturns[[#This Row],[SPY]:[PE]])</f>
        <v>-1.2249064859996913E-2</v>
      </c>
      <c r="PT57" s="27">
        <f>IF(ISNUMBER(PT56),PT56*(1+PortfolioFrontier[[#This Row],[P109 Return]]),1+PortfolioFrontier[[#This Row],[P109 Return]])</f>
        <v>1.3352157826966196</v>
      </c>
      <c r="PU57" s="27">
        <f>MAX(PU56,PortfolioFrontier[[#This Row],[P109 Growth]])</f>
        <v>1.3860730438289555</v>
      </c>
      <c r="PV57" s="27">
        <f>PortfolioFrontier[[#This Row],[P109 Growth]]/PortfolioFrontier[[#This Row],[P109 HWM]]-1</f>
        <v>-3.6691616909196423E-2</v>
      </c>
      <c r="PW57" s="28">
        <f>SUMPRODUCT(INDEX(PortfolioRef[[SPY]:[PE]],MATCH(PW$1,PortfolioRef[Reference '#]),0),AssetMonthlyReturns[[#This Row],[SPY]:[PE]])</f>
        <v>-1.1133384874244373E-2</v>
      </c>
      <c r="PX57" s="27">
        <f>IF(ISNUMBER(PX56),PX56*(1+PortfolioFrontier[[#This Row],[P110 Return]]),1+PortfolioFrontier[[#This Row],[P110 Return]])</f>
        <v>1.3302364623062743</v>
      </c>
      <c r="PY57" s="27">
        <f>MAX(PY56,PortfolioFrontier[[#This Row],[P110 Growth]])</f>
        <v>1.3776971995056497</v>
      </c>
      <c r="PZ57" s="27">
        <f>PortfolioFrontier[[#This Row],[P110 Growth]]/PortfolioFrontier[[#This Row],[P110 HWM]]-1</f>
        <v>-3.4449323999791392E-2</v>
      </c>
      <c r="QA57" s="28">
        <f>SUMPRODUCT(INDEX(PortfolioRef[[SPY]:[PE]],MATCH(QA$1,PortfolioRef[Reference '#]),0),AssetMonthlyReturns[[#This Row],[SPY]:[PE]])</f>
        <v>-1.0017704888491836E-2</v>
      </c>
      <c r="QB57" s="27">
        <f>IF(ISNUMBER(QB56),QB56*(1+PortfolioFrontier[[#This Row],[P111 Return]]),1+PortfolioFrontier[[#This Row],[P111 Return]])</f>
        <v>1.3248371842787892</v>
      </c>
      <c r="QC57" s="27">
        <f>MAX(QC56,PortfolioFrontier[[#This Row],[P111 Growth]])</f>
        <v>1.3689225500786766</v>
      </c>
      <c r="QD57" s="27">
        <f>PortfolioFrontier[[#This Row],[P111 Growth]]/PortfolioFrontier[[#This Row],[P111 HWM]]-1</f>
        <v>-3.2204426610806913E-2</v>
      </c>
      <c r="QE57" s="28">
        <f>SUMPRODUCT(INDEX(PortfolioRef[[SPY]:[PE]],MATCH(QE$1,PortfolioRef[Reference '#]),0),AssetMonthlyReturns[[#This Row],[SPY]:[PE]])</f>
        <v>-1.3114246798495545E-2</v>
      </c>
      <c r="QF57" s="27">
        <f>IF(ISNUMBER(QF56),QF56*(1+PortfolioFrontier[[#This Row],[P112 Return]]),1+PortfolioFrontier[[#This Row],[P112 Return]])</f>
        <v>1.3191758371424507</v>
      </c>
      <c r="QG57" s="27">
        <f>MAX(QG56,PortfolioFrontier[[#This Row],[P112 Growth]])</f>
        <v>1.370089876873271</v>
      </c>
      <c r="QH57" s="27">
        <f>PortfolioFrontier[[#This Row],[P112 Growth]]/PortfolioFrontier[[#This Row],[P112 HWM]]-1</f>
        <v>-3.7161094750231216E-2</v>
      </c>
      <c r="QI57" s="28">
        <f>SUMPRODUCT(INDEX(PortfolioRef[[SPY]:[PE]],MATCH(QI$1,PortfolioRef[Reference '#]),0),AssetMonthlyReturns[[#This Row],[SPY]:[PE]])</f>
        <v>-1.1998566812743005E-2</v>
      </c>
      <c r="QJ57" s="27">
        <f>IF(ISNUMBER(QJ56),QJ56*(1+PortfolioFrontier[[#This Row],[P113 Return]]),1+PortfolioFrontier[[#This Row],[P113 Return]])</f>
        <v>1.3145712006559502</v>
      </c>
      <c r="QK57" s="27">
        <f>MAX(QK56,PortfolioFrontier[[#This Row],[P113 Growth]])</f>
        <v>1.362136162579211</v>
      </c>
      <c r="QL57" s="27">
        <f>PortfolioFrontier[[#This Row],[P113 Growth]]/PortfolioFrontier[[#This Row],[P113 HWM]]-1</f>
        <v>-3.4919388553047659E-2</v>
      </c>
      <c r="QM57" s="28">
        <f>SUMPRODUCT(INDEX(PortfolioRef[[SPY]:[PE]],MATCH(QM$1,PortfolioRef[Reference '#]),0),AssetMonthlyReturns[[#This Row],[SPY]:[PE]])</f>
        <v>-1.0882886826990469E-2</v>
      </c>
      <c r="QN57" s="27">
        <f>IF(ISNUMBER(QN56),QN56*(1+PortfolioFrontier[[#This Row],[P114 Return]]),1+PortfolioFrontier[[#This Row],[P114 Return]])</f>
        <v>1.3095456693415211</v>
      </c>
      <c r="QO57" s="27">
        <f>MAX(QO56,PortfolioFrontier[[#This Row],[P114 Growth]])</f>
        <v>1.3537805543833987</v>
      </c>
      <c r="QP57" s="27">
        <f>PortfolioFrontier[[#This Row],[P114 Growth]]/PortfolioFrontier[[#This Row],[P114 HWM]]-1</f>
        <v>-3.2675077876284875E-2</v>
      </c>
      <c r="QQ57" s="28">
        <f>SUMPRODUCT(INDEX(PortfolioRef[[SPY]:[PE]],MATCH(QQ$1,PortfolioRef[Reference '#]),0),AssetMonthlyReturns[[#This Row],[SPY]:[PE]])</f>
        <v>-1.2226457013020926E-2</v>
      </c>
      <c r="QR57" s="27">
        <f>IF(ISNUMBER(QR56),QR56*(1+PortfolioFrontier[[#This Row],[P115 Return]]),1+PortfolioFrontier[[#This Row],[P115 Return]])</f>
        <v>1.3484847962837438</v>
      </c>
      <c r="QS57" s="27">
        <f>MAX(QS56,PortfolioFrontier[[#This Row],[P115 Growth]])</f>
        <v>1.402751404567387</v>
      </c>
      <c r="QT57" s="27">
        <f>PortfolioFrontier[[#This Row],[P115 Growth]]/PortfolioFrontier[[#This Row],[P115 HWM]]-1</f>
        <v>-3.8685834216205417E-2</v>
      </c>
      <c r="QU57" s="28">
        <f>SUMPRODUCT(INDEX(PortfolioRef[[SPY]:[PE]],MATCH(QU$1,PortfolioRef[Reference '#]),0),AssetMonthlyReturns[[#This Row],[SPY]:[PE]])</f>
        <v>-1.1110777027268386E-2</v>
      </c>
      <c r="QV57" s="27">
        <f>IF(ISNUMBER(QV56),QV56*(1+PortfolioFrontier[[#This Row],[P116 Return]]),1+PortfolioFrontier[[#This Row],[P116 Return]])</f>
        <v>1.3435064396777379</v>
      </c>
      <c r="QW57" s="27">
        <f>MAX(QW56,PortfolioFrontier[[#This Row],[P116 Growth]])</f>
        <v>1.3943236705307489</v>
      </c>
      <c r="QX57" s="27">
        <f>PortfolioFrontier[[#This Row],[P116 Growth]]/PortfolioFrontier[[#This Row],[P116 HWM]]-1</f>
        <v>-3.644579226978728E-2</v>
      </c>
      <c r="QY57" s="28">
        <f>SUMPRODUCT(INDEX(PortfolioRef[[SPY]:[PE]],MATCH(QY$1,PortfolioRef[Reference '#]),0),AssetMonthlyReturns[[#This Row],[SPY]:[PE]])</f>
        <v>-9.9950970415158512E-3</v>
      </c>
      <c r="QZ57" s="27">
        <f>IF(ISNUMBER(QZ56),QZ56*(1+PortfolioFrontier[[#This Row],[P117 Return]]),1+PortfolioFrontier[[#This Row],[P117 Return]])</f>
        <v>1.3381038291384002</v>
      </c>
      <c r="RA57" s="27">
        <f>MAX(RA56,PortfolioFrontier[[#This Row],[P117 Growth]])</f>
        <v>1.3854920145784329</v>
      </c>
      <c r="RB57" s="27">
        <f>PortfolioFrontier[[#This Row],[P117 Growth]]/PortfolioFrontier[[#This Row],[P117 HWM]]-1</f>
        <v>-3.4203145843790028E-2</v>
      </c>
      <c r="RC57" s="28">
        <f>SUMPRODUCT(INDEX(PortfolioRef[[SPY]:[PE]],MATCH(RC$1,PortfolioRef[Reference '#]),0),AssetMonthlyReturns[[#This Row],[SPY]:[PE]])</f>
        <v>-1.3091638951519559E-2</v>
      </c>
      <c r="RD57" s="27">
        <f>IF(ISNUMBER(RD56),RD56*(1+PortfolioFrontier[[#This Row],[P118 Return]]),1+PortfolioFrontier[[#This Row],[P118 Return]])</f>
        <v>1.332432710465977</v>
      </c>
      <c r="RE57" s="27">
        <f>MAX(RE56,PortfolioFrontier[[#This Row],[P118 Growth]])</f>
        <v>1.3867280178512138</v>
      </c>
      <c r="RF57" s="27">
        <f>PortfolioFrontier[[#This Row],[P118 Growth]]/PortfolioFrontier[[#This Row],[P118 HWM]]-1</f>
        <v>-3.9153537453847198E-2</v>
      </c>
      <c r="RG57" s="28">
        <f>SUMPRODUCT(INDEX(PortfolioRef[[SPY]:[PE]],MATCH(RG$1,PortfolioRef[Reference '#]),0),AssetMonthlyReturns[[#This Row],[SPY]:[PE]])</f>
        <v>-1.1975958965767019E-2</v>
      </c>
      <c r="RH57" s="27">
        <f>IF(ISNUMBER(RH56),RH56*(1+PortfolioFrontier[[#This Row],[P119 Return]]),1+PortfolioFrontier[[#This Row],[P119 Return]])</f>
        <v>1.3278316270414716</v>
      </c>
      <c r="RI57" s="27">
        <f>MAX(RI56,PortfolioFrontier[[#This Row],[P119 Growth]])</f>
        <v>1.3787260331889826</v>
      </c>
      <c r="RJ57" s="27">
        <f>PortfolioFrontier[[#This Row],[P119 Growth]]/PortfolioFrontier[[#This Row],[P119 HWM]]-1</f>
        <v>-3.6914082219650646E-2</v>
      </c>
      <c r="RK57" s="28">
        <f>SUMPRODUCT(INDEX(PortfolioRef[[SPY]:[PE]],MATCH(RK$1,PortfolioRef[Reference '#]),0),AssetMonthlyReturns[[#This Row],[SPY]:[PE]])</f>
        <v>-1.0860278980014482E-2</v>
      </c>
      <c r="RL57" s="27">
        <f>IF(ISNUMBER(RL56),RL56*(1+PortfolioFrontier[[#This Row],[P120 Return]]),1+PortfolioFrontier[[#This Row],[P120 Return]])</f>
        <v>1.3228053240334354</v>
      </c>
      <c r="RM57" s="27">
        <f>MAX(RM56,PortfolioFrontier[[#This Row],[P120 Growth]])</f>
        <v>1.3703169853910981</v>
      </c>
      <c r="RN57" s="27">
        <f>PortfolioFrontier[[#This Row],[P120 Growth]]/PortfolioFrontier[[#This Row],[P120 HWM]]-1</f>
        <v>-3.4672022505874867E-2</v>
      </c>
      <c r="RO57" s="28">
        <f>SUMPRODUCT(INDEX(PortfolioRef[[SPY]:[PE]],MATCH(RO$1,PortfolioRef[Reference '#]),0),AssetMonthlyReturns[[#This Row],[SPY]:[PE]])</f>
        <v>-1.3956820890018191E-2</v>
      </c>
      <c r="RP57" s="27">
        <f>IF(ISNUMBER(RP56),RP56*(1+PortfolioFrontier[[#This Row],[P121 Return]]),1+PortfolioFrontier[[#This Row],[P121 Return]])</f>
        <v>1.3160820602834622</v>
      </c>
      <c r="RQ57" s="27">
        <f>MAX(RQ56,PortfolioFrontier[[#This Row],[P121 Growth]])</f>
        <v>1.3703790789510859</v>
      </c>
      <c r="RR57" s="27">
        <f>PortfolioFrontier[[#This Row],[P121 Growth]]/PortfolioFrontier[[#This Row],[P121 HWM]]-1</f>
        <v>-3.9621896963855874E-2</v>
      </c>
      <c r="RS57" s="28">
        <f>SUMPRODUCT(INDEX(PortfolioRef[[SPY]:[PE]],MATCH(RS$1,PortfolioRef[Reference '#]),0),AssetMonthlyReturns[[#This Row],[SPY]:[PE]])</f>
        <v>-1.2841140904265651E-2</v>
      </c>
      <c r="RT57" s="27">
        <f>IF(ISNUMBER(RT56),RT56*(1+PortfolioFrontier[[#This Row],[P122 Return]]),1+PortfolioFrontier[[#This Row],[P122 Return]])</f>
        <v>1.3118551858674086</v>
      </c>
      <c r="RU57" s="27">
        <f>MAX(RU56,PortfolioFrontier[[#This Row],[P122 Growth]])</f>
        <v>1.3628008072037239</v>
      </c>
      <c r="RV57" s="27">
        <f>PortfolioFrontier[[#This Row],[P122 Growth]]/PortfolioFrontier[[#This Row],[P122 HWM]]-1</f>
        <v>-3.7383028441881128E-2</v>
      </c>
      <c r="RW57" s="28">
        <f>SUMPRODUCT(INDEX(PortfolioRef[[SPY]:[PE]],MATCH(RW$1,PortfolioRef[Reference '#]),0),AssetMonthlyReturns[[#This Row],[SPY]:[PE]])</f>
        <v>-1.1725460918513116E-2</v>
      </c>
      <c r="RX57" s="27">
        <f>IF(ISNUMBER(RX56),RX56*(1+PortfolioFrontier[[#This Row],[P123 Return]]),1+PortfolioFrontier[[#This Row],[P123 Return]])</f>
        <v>1.3072023552541203</v>
      </c>
      <c r="RY57" s="27">
        <f>MAX(RY56,PortfolioFrontier[[#This Row],[P123 Growth]])</f>
        <v>1.3548125765232644</v>
      </c>
      <c r="RZ57" s="27">
        <f>PortfolioFrontier[[#This Row],[P123 Growth]]/PortfolioFrontier[[#This Row],[P123 HWM]]-1</f>
        <v>-3.51415554403266E-2</v>
      </c>
      <c r="SA57" s="28">
        <f>SUMPRODUCT(INDEX(PortfolioRef[[SPY]:[PE]],MATCH(SA$1,PortfolioRef[Reference '#]),0),AssetMonthlyReturns[[#This Row],[SPY]:[PE]])</f>
        <v>-1.3069031104543572E-2</v>
      </c>
      <c r="SB57" s="27">
        <f>IF(ISNUMBER(SB56),SB56*(1+PortfolioFrontier[[#This Row],[P124 Return]]),1+PortfolioFrontier[[#This Row],[P124 Return]])</f>
        <v>1.3456447486169774</v>
      </c>
      <c r="SC57" s="27">
        <f>MAX(SC56,PortfolioFrontier[[#This Row],[P124 Growth]])</f>
        <v>1.4033886809632767</v>
      </c>
      <c r="SD57" s="27">
        <f>PortfolioFrontier[[#This Row],[P124 Growth]]/PortfolioFrontier[[#This Row],[P124 HWM]]-1</f>
        <v>-4.1146072452760807E-2</v>
      </c>
      <c r="SE57" s="28">
        <f>SUMPRODUCT(INDEX(PortfolioRef[[SPY]:[PE]],MATCH(SE$1,PortfolioRef[Reference '#]),0),AssetMonthlyReturns[[#This Row],[SPY]:[PE]])</f>
        <v>-1.1953351118791034E-2</v>
      </c>
      <c r="SF57" s="27">
        <f>IF(ISNUMBER(SF56),SF56*(1+PortfolioFrontier[[#This Row],[P125 Return]]),1+PortfolioFrontier[[#This Row],[P125 Return]])</f>
        <v>1.3410481133538987</v>
      </c>
      <c r="SG57" s="27">
        <f>MAX(SG56,PortfolioFrontier[[#This Row],[P125 Growth]])</f>
        <v>1.3953391816409191</v>
      </c>
      <c r="SH57" s="27">
        <f>PortfolioFrontier[[#This Row],[P125 Growth]]/PortfolioFrontier[[#This Row],[P125 HWM]]-1</f>
        <v>-3.890886818155137E-2</v>
      </c>
      <c r="SI57" s="28">
        <f>SUMPRODUCT(INDEX(PortfolioRef[[SPY]:[PE]],MATCH(SI$1,PortfolioRef[Reference '#]),0),AssetMonthlyReturns[[#This Row],[SPY]:[PE]])</f>
        <v>-1.0837671133038497E-2</v>
      </c>
      <c r="SJ57" s="27">
        <f>IF(ISNUMBER(SJ56),SJ56*(1+PortfolioFrontier[[#This Row],[P126 Return]]),1+PortfolioFrontier[[#This Row],[P126 Return]])</f>
        <v>1.3360219478206175</v>
      </c>
      <c r="SK57" s="27">
        <f>MAX(SK56,PortfolioFrontier[[#This Row],[P126 Growth]])</f>
        <v>1.3868774390565666</v>
      </c>
      <c r="SL57" s="27">
        <f>PortfolioFrontier[[#This Row],[P126 Growth]]/PortfolioFrontier[[#This Row],[P126 HWM]]-1</f>
        <v>-3.6669059430762596E-2</v>
      </c>
      <c r="SM57" s="28">
        <f>SUMPRODUCT(INDEX(PortfolioRef[[SPY]:[PE]],MATCH(SM$1,PortfolioRef[Reference '#]),0),AssetMonthlyReturns[[#This Row],[SPY]:[PE]])</f>
        <v>-1.3934213043042204E-2</v>
      </c>
      <c r="SN57" s="27">
        <f>IF(ISNUMBER(SN56),SN56*(1+PortfolioFrontier[[#This Row],[P127 Return]]),1+PortfolioFrontier[[#This Row],[P127 Return]])</f>
        <v>1.3292789512611884</v>
      </c>
      <c r="SO57" s="27">
        <f>MAX(SO56,PortfolioFrontier[[#This Row],[P127 Growth]])</f>
        <v>1.3869955206197271</v>
      </c>
      <c r="SP57" s="27">
        <f>PortfolioFrontier[[#This Row],[P127 Growth]]/PortfolioFrontier[[#This Row],[P127 HWM]]-1</f>
        <v>-4.161265735937647E-2</v>
      </c>
      <c r="SQ57" s="28">
        <f>SUMPRODUCT(INDEX(PortfolioRef[[SPY]:[PE]],MATCH(SQ$1,PortfolioRef[Reference '#]),0),AssetMonthlyReturns[[#This Row],[SPY]:[PE]])</f>
        <v>-1.2818533057289664E-2</v>
      </c>
      <c r="SR57" s="27">
        <f>IF(ISNUMBER(SR56),SR56*(1+PortfolioFrontier[[#This Row],[P128 Return]]),1+PortfolioFrontier[[#This Row],[P128 Return]])</f>
        <v>1.3250591323448375</v>
      </c>
      <c r="SS57" s="27">
        <f>MAX(SS56,PortfolioFrontier[[#This Row],[P128 Growth]])</f>
        <v>1.3793733940068482</v>
      </c>
      <c r="ST57" s="27">
        <f>PortfolioFrontier[[#This Row],[P128 Growth]]/PortfolioFrontier[[#This Row],[P128 HWM]]-1</f>
        <v>-3.9376039800388507E-2</v>
      </c>
      <c r="SU57" s="28">
        <f>SUMPRODUCT(INDEX(PortfolioRef[[SPY]:[PE]],MATCH(SU$1,PortfolioRef[Reference '#]),0),AssetMonthlyReturns[[#This Row],[SPY]:[PE]])</f>
        <v>-1.170285307153713E-2</v>
      </c>
      <c r="SV57" s="27">
        <f>IF(ISNUMBER(SV56),SV56*(1+PortfolioFrontier[[#This Row],[P129 Return]]),1+PortfolioFrontier[[#This Row],[P129 Return]])</f>
        <v>1.3204090193950719</v>
      </c>
      <c r="SW57" s="27">
        <f>MAX(SW56,PortfolioFrontier[[#This Row],[P129 Growth]])</f>
        <v>1.3713360773913663</v>
      </c>
      <c r="SX57" s="27">
        <f>PortfolioFrontier[[#This Row],[P129 Growth]]/PortfolioFrontier[[#This Row],[P129 HWM]]-1</f>
        <v>-3.7136817761821539E-2</v>
      </c>
      <c r="SY57" s="28">
        <f>SUMPRODUCT(INDEX(PortfolioRef[[SPY]:[PE]],MATCH(SY$1,PortfolioRef[Reference '#]),0),AssetMonthlyReturns[[#This Row],[SPY]:[PE]])</f>
        <v>-1.4799394981540837E-2</v>
      </c>
      <c r="SZ57" s="27">
        <f>IF(ISNUMBER(SZ56),SZ56*(1+PortfolioFrontier[[#This Row],[P130 Return]]),1+PortfolioFrontier[[#This Row],[P130 Return]])</f>
        <v>1.312620112620497</v>
      </c>
      <c r="TA57" s="27">
        <f>MAX(TA56,PortfolioFrontier[[#This Row],[P130 Growth]])</f>
        <v>1.3702814155560969</v>
      </c>
      <c r="TB57" s="27">
        <f>PortfolioFrontier[[#This Row],[P130 Growth]]/PortfolioFrontier[[#This Row],[P130 HWM]]-1</f>
        <v>-4.2079898538359251E-2</v>
      </c>
      <c r="TC57" s="28">
        <f>SUMPRODUCT(INDEX(PortfolioRef[[SPY]:[PE]],MATCH(TC$1,PortfolioRef[Reference '#]),0),AssetMonthlyReturns[[#This Row],[SPY]:[PE]])</f>
        <v>-1.3683714995788297E-2</v>
      </c>
      <c r="TD57" s="27">
        <f>IF(ISNUMBER(TD56),TD56*(1+PortfolioFrontier[[#This Row],[P131 Return]]),1+PortfolioFrontier[[#This Row],[P131 Return]])</f>
        <v>1.3087738297635689</v>
      </c>
      <c r="TE57" s="27">
        <f>MAX(TE56,PortfolioFrontier[[#This Row],[P131 Growth]])</f>
        <v>1.3630843835960462</v>
      </c>
      <c r="TF57" s="27">
        <f>PortfolioFrontier[[#This Row],[P131 Growth]]/PortfolioFrontier[[#This Row],[P131 HWM]]-1</f>
        <v>-3.9843867691592871E-2</v>
      </c>
      <c r="TG57" s="28">
        <f>SUMPRODUCT(INDEX(PortfolioRef[[SPY]:[PE]],MATCH(TG$1,PortfolioRef[Reference '#]),0),AssetMonthlyReturns[[#This Row],[SPY]:[PE]])</f>
        <v>-1.2568035010035762E-2</v>
      </c>
      <c r="TH57" s="27">
        <f>IF(ISNUMBER(TH56),TH56*(1+PortfolioFrontier[[#This Row],[P132 Return]]),1+PortfolioFrontier[[#This Row],[P132 Return]])</f>
        <v>1.3044967195311359</v>
      </c>
      <c r="TI57" s="27">
        <f>MAX(TI56,PortfolioFrontier[[#This Row],[P132 Growth]])</f>
        <v>1.3554694636766953</v>
      </c>
      <c r="TJ57" s="27">
        <f>PortfolioFrontier[[#This Row],[P132 Growth]]/PortfolioFrontier[[#This Row],[P132 HWM]]-1</f>
        <v>-3.7605232365247376E-2</v>
      </c>
      <c r="TK57" s="28">
        <f>SUMPRODUCT(INDEX(PortfolioRef[[SPY]:[PE]],MATCH(TK$1,PortfolioRef[Reference '#]),0),AssetMonthlyReturns[[#This Row],[SPY]:[PE]])</f>
        <v>-1.3911605196066218E-2</v>
      </c>
      <c r="TL57" s="27">
        <f>IF(ISNUMBER(TL56),TL56*(1+PortfolioFrontier[[#This Row],[P133 Return]]),1+PortfolioFrontier[[#This Row],[P133 Return]])</f>
        <v>1.3424307545107841</v>
      </c>
      <c r="TM57" s="27">
        <f>MAX(TM56,PortfolioFrontier[[#This Row],[P133 Growth]])</f>
        <v>1.40363412937791</v>
      </c>
      <c r="TN57" s="27">
        <f>PortfolioFrontier[[#This Row],[P133 Growth]]/PortfolioFrontier[[#This Row],[P133 HWM]]-1</f>
        <v>-4.3603510050194694E-2</v>
      </c>
      <c r="TO57" s="28">
        <f>SUMPRODUCT(INDEX(PortfolioRef[[SPY]:[PE]],MATCH(TO$1,PortfolioRef[Reference '#]),0),AssetMonthlyReturns[[#This Row],[SPY]:[PE]])</f>
        <v>-1.2795925210313681E-2</v>
      </c>
      <c r="TP57" s="27">
        <f>IF(ISNUMBER(TP56),TP56*(1+PortfolioFrontier[[#This Row],[P134 Return]]),1+PortfolioFrontier[[#This Row],[P134 Return]])</f>
        <v>1.3382188682493905</v>
      </c>
      <c r="TQ57" s="27">
        <f>MAX(TQ56,PortfolioFrontier[[#This Row],[P134 Growth]])</f>
        <v>1.3959689061870362</v>
      </c>
      <c r="TR57" s="27">
        <f>PortfolioFrontier[[#This Row],[P134 Growth]]/PortfolioFrontier[[#This Row],[P134 HWM]]-1</f>
        <v>-4.1369143454193957E-2</v>
      </c>
      <c r="TS57" s="28">
        <f>SUMPRODUCT(INDEX(PortfolioRef[[SPY]:[PE]],MATCH(TS$1,PortfolioRef[Reference '#]),0),AssetMonthlyReturns[[#This Row],[SPY]:[PE]])</f>
        <v>-1.1680245224561143E-2</v>
      </c>
      <c r="TT57" s="27">
        <f>IF(ISNUMBER(TT56),TT56*(1+PortfolioFrontier[[#This Row],[P135 Return]]),1+PortfolioFrontier[[#This Row],[P135 Return]])</f>
        <v>1.3335723648570814</v>
      </c>
      <c r="TU57" s="27">
        <f>MAX(TU56,PortfolioFrontier[[#This Row],[P135 Growth]])</f>
        <v>1.3878832514960149</v>
      </c>
      <c r="TV57" s="27">
        <f>PortfolioFrontier[[#This Row],[P135 Growth]]/PortfolioFrontier[[#This Row],[P135 HWM]]-1</f>
        <v>-3.9132172378614105E-2</v>
      </c>
      <c r="TW57" s="28">
        <f>SUMPRODUCT(INDEX(PortfolioRef[[SPY]:[PE]],MATCH(TW$1,PortfolioRef[Reference '#]),0),AssetMonthlyReturns[[#This Row],[SPY]:[PE]])</f>
        <v>-1.477678713456485E-2</v>
      </c>
      <c r="TX57" s="27">
        <f>IF(ISNUMBER(TX56),TX56*(1+PortfolioFrontier[[#This Row],[P136 Return]]),1+PortfolioFrontier[[#This Row],[P136 Return]])</f>
        <v>1.3257537588729185</v>
      </c>
      <c r="TY57" s="27">
        <f>MAX(TY56,PortfolioFrontier[[#This Row],[P136 Growth]])</f>
        <v>1.3868717788793108</v>
      </c>
      <c r="TZ57" s="27">
        <f>PortfolioFrontier[[#This Row],[P136 Growth]]/PortfolioFrontier[[#This Row],[P136 HWM]]-1</f>
        <v>-4.4068976625784351E-2</v>
      </c>
      <c r="UA57" s="28">
        <f>SUMPRODUCT(INDEX(PortfolioRef[[SPY]:[PE]],MATCH(UA$1,PortfolioRef[Reference '#]),0),AssetMonthlyReturns[[#This Row],[SPY]:[PE]])</f>
        <v>-1.3661107148812312E-2</v>
      </c>
      <c r="UB57" s="27">
        <f>IF(ISNUMBER(UB56),UB56*(1+PortfolioFrontier[[#This Row],[P137 Return]]),1+PortfolioFrontier[[#This Row],[P137 Return]])</f>
        <v>1.3219180326596223</v>
      </c>
      <c r="UC57" s="27">
        <f>MAX(UC56,PortfolioFrontier[[#This Row],[P137 Growth]])</f>
        <v>1.3796353489136499</v>
      </c>
      <c r="UD57" s="27">
        <f>PortfolioFrontier[[#This Row],[P137 Growth]]/PortfolioFrontier[[#This Row],[P137 HWM]]-1</f>
        <v>-4.1835196742005309E-2</v>
      </c>
      <c r="UE57" s="28">
        <f>SUMPRODUCT(INDEX(PortfolioRef[[SPY]:[PE]],MATCH(UE$1,PortfolioRef[Reference '#]),0),AssetMonthlyReturns[[#This Row],[SPY]:[PE]])</f>
        <v>-1.2545427163059775E-2</v>
      </c>
      <c r="UF57" s="27">
        <f>IF(ISNUMBER(UF56),UF56*(1+PortfolioFrontier[[#This Row],[P138 Return]]),1+PortfolioFrontier[[#This Row],[P138 Return]])</f>
        <v>1.3176471301568995</v>
      </c>
      <c r="UG57" s="27">
        <f>MAX(UG56,PortfolioFrontier[[#This Row],[P138 Growth]])</f>
        <v>1.3719757400762334</v>
      </c>
      <c r="UH57" s="27">
        <f>PortfolioFrontier[[#This Row],[P138 Growth]]/PortfolioFrontier[[#This Row],[P138 HWM]]-1</f>
        <v>-3.9598812378646819E-2</v>
      </c>
      <c r="UI57" s="28">
        <f>SUMPRODUCT(INDEX(PortfolioRef[[SPY]:[PE]],MATCH(UI$1,PortfolioRef[Reference '#]),0),AssetMonthlyReturns[[#This Row],[SPY]:[PE]])</f>
        <v>-1.5641969073063484E-2</v>
      </c>
      <c r="UJ57" s="27">
        <f>IF(ISNUMBER(UJ56),UJ56*(1+PortfolioFrontier[[#This Row],[P139 Return]]),1+PortfolioFrontier[[#This Row],[P139 Return]])</f>
        <v>1.3087894478820827</v>
      </c>
      <c r="UK57" s="27">
        <f>MAX(UK56,PortfolioFrontier[[#This Row],[P139 Growth]])</f>
        <v>1.3697933300963927</v>
      </c>
      <c r="UL57" s="27">
        <f>PortfolioFrontier[[#This Row],[P139 Growth]]/PortfolioFrontier[[#This Row],[P139 HWM]]-1</f>
        <v>-4.4535099473741124E-2</v>
      </c>
      <c r="UM57" s="28">
        <f>SUMPRODUCT(INDEX(PortfolioRef[[SPY]:[PE]],MATCH(UM$1,PortfolioRef[Reference '#]),0),AssetMonthlyReturns[[#This Row],[SPY]:[PE]])</f>
        <v>-1.4526289087310944E-2</v>
      </c>
      <c r="UN57" s="27">
        <f>IF(ISNUMBER(UN56),UN56*(1+PortfolioFrontier[[#This Row],[P140 Return]]),1+PortfolioFrontier[[#This Row],[P140 Return]])</f>
        <v>1.3053263849189556</v>
      </c>
      <c r="UO57" s="27">
        <f>MAX(UO56,PortfolioFrontier[[#This Row],[P140 Growth]])</f>
        <v>1.3629831713237457</v>
      </c>
      <c r="UP57" s="27">
        <f>PortfolioFrontier[[#This Row],[P140 Growth]]/PortfolioFrontier[[#This Row],[P140 HWM]]-1</f>
        <v>-4.2301906302183556E-2</v>
      </c>
      <c r="UQ57" s="28">
        <f>SUMPRODUCT(INDEX(PortfolioRef[[SPY]:[PE]],MATCH(UQ$1,PortfolioRef[Reference '#]),0),AssetMonthlyReturns[[#This Row],[SPY]:[PE]])</f>
        <v>-1.3410609101558408E-2</v>
      </c>
      <c r="UR57" s="27">
        <f>IF(ISNUMBER(UR56),UR56*(1+PortfolioFrontier[[#This Row],[P141 Return]]),1+PortfolioFrontier[[#This Row],[P141 Return]])</f>
        <v>1.3014278181751535</v>
      </c>
      <c r="US57" s="27">
        <f>MAX(US56,PortfolioFrontier[[#This Row],[P141 Growth]])</f>
        <v>1.3557473383363032</v>
      </c>
      <c r="UT57" s="27">
        <f>PortfolioFrontier[[#This Row],[P141 Growth]]/PortfolioFrontier[[#This Row],[P141 HWM]]-1</f>
        <v>-4.0066108651046761E-2</v>
      </c>
    </row>
    <row r="58" spans="2:566" x14ac:dyDescent="0.2">
      <c r="B58" s="41">
        <f>AssetMonthlyReturns[[#This Row],[Date]]</f>
        <v>44136</v>
      </c>
      <c r="C58" s="28">
        <f>SUMPRODUCT(INDEX(PortfolioRef[[SPY]:[PE]],MATCH(C$1,PortfolioRef[Reference '#]),0),AssetMonthlyReturns[[#This Row],[SPY]:[PE]])</f>
        <v>6.7177332798601802E-2</v>
      </c>
      <c r="D58" s="29">
        <f>IF(ISNUMBER(D57),D57*(1+PortfolioFrontier[[#This Row],[P1 Return]]),1+PortfolioFrontier[[#This Row],[P1 Return]])</f>
        <v>1.5849099111953266</v>
      </c>
      <c r="E58" s="29">
        <f>MAX(E57,PortfolioFrontier[[#This Row],[P1 Growth]])</f>
        <v>1.5849099111953266</v>
      </c>
      <c r="F58" s="29">
        <f>PortfolioFrontier[[#This Row],[P1 Growth]]/PortfolioFrontier[[#This Row],[P1 HWM]]-1</f>
        <v>0</v>
      </c>
      <c r="G58" s="28">
        <f>SUMPRODUCT(INDEX(PortfolioRef[[SPY]:[PE]],MATCH(G$1,PortfolioRef[Reference '#]),0),AssetMonthlyReturns[[#This Row],[SPY]:[PE]])</f>
        <v>6.2345550606701425E-2</v>
      </c>
      <c r="H58" s="27">
        <f>IF(ISNUMBER(H57),H57*(1+PortfolioFrontier[[#This Row],[P2 Return]]),1+PortfolioFrontier[[#This Row],[P2 Return]])</f>
        <v>1.5493496480122539</v>
      </c>
      <c r="I58" s="27">
        <f>MAX(I57,PortfolioFrontier[[#This Row],[P2 Growth]])</f>
        <v>1.5493496480122539</v>
      </c>
      <c r="J58" s="27">
        <f>PortfolioFrontier[[#This Row],[P2 Growth]]/PortfolioFrontier[[#This Row],[P2 HWM]]-1</f>
        <v>0</v>
      </c>
      <c r="K58" s="28">
        <f>SUMPRODUCT(INDEX(PortfolioRef[[SPY]:[PE]],MATCH(K$1,PortfolioRef[Reference '#]),0),AssetMonthlyReturns[[#This Row],[SPY]:[PE]])</f>
        <v>5.9034170611161486E-2</v>
      </c>
      <c r="L58" s="27">
        <f>IF(ISNUMBER(L57),L57*(1+PortfolioFrontier[[#This Row],[P3 Return]]),1+PortfolioFrontier[[#This Row],[P3 Return]])</f>
        <v>1.5600022138521703</v>
      </c>
      <c r="M58" s="27">
        <f>MAX(M57,PortfolioFrontier[[#This Row],[P3 Growth]])</f>
        <v>1.5600022138521703</v>
      </c>
      <c r="N58" s="27">
        <f>PortfolioFrontier[[#This Row],[P3 Growth]]/PortfolioFrontier[[#This Row],[P3 HWM]]-1</f>
        <v>0</v>
      </c>
      <c r="O58" s="28">
        <f>SUMPRODUCT(INDEX(PortfolioRef[[SPY]:[PE]],MATCH(O$1,PortfolioRef[Reference '#]),0),AssetMonthlyReturns[[#This Row],[SPY]:[PE]])</f>
        <v>6.6575928178635002E-2</v>
      </c>
      <c r="P58" s="27">
        <f>IF(ISNUMBER(P57),P57*(1+PortfolioFrontier[[#This Row],[P4 Return]]),1+PortfolioFrontier[[#This Row],[P4 Return]])</f>
        <v>1.5516216604202484</v>
      </c>
      <c r="Q58" s="27">
        <f>MAX(Q57,PortfolioFrontier[[#This Row],[P4 Growth]])</f>
        <v>1.5516216604202484</v>
      </c>
      <c r="R58" s="27">
        <f>PortfolioFrontier[[#This Row],[P4 Growth]]/PortfolioFrontier[[#This Row],[P4 HWM]]-1</f>
        <v>0</v>
      </c>
      <c r="S58" s="28">
        <f>SUMPRODUCT(INDEX(PortfolioRef[[SPY]:[PE]],MATCH(S$1,PortfolioRef[Reference '#]),0),AssetMonthlyReturns[[#This Row],[SPY]:[PE]])</f>
        <v>6.236974700918687E-2</v>
      </c>
      <c r="T58" s="27">
        <f>IF(ISNUMBER(T57),T57*(1+PortfolioFrontier[[#This Row],[P5 Return]]),1+PortfolioFrontier[[#This Row],[P5 Return]])</f>
        <v>1.540549439900641</v>
      </c>
      <c r="U58" s="27">
        <f>MAX(U57,PortfolioFrontier[[#This Row],[P5 Growth]])</f>
        <v>1.540549439900641</v>
      </c>
      <c r="V58" s="27">
        <f>PortfolioFrontier[[#This Row],[P5 Growth]]/PortfolioFrontier[[#This Row],[P5 HWM]]-1</f>
        <v>0</v>
      </c>
      <c r="W58" s="28">
        <f>SUMPRODUCT(INDEX(PortfolioRef[[SPY]:[PE]],MATCH(W$1,PortfolioRef[Reference '#]),0),AssetMonthlyReturns[[#This Row],[SPY]:[PE]])</f>
        <v>5.7513768414801054E-2</v>
      </c>
      <c r="X58" s="27">
        <f>IF(ISNUMBER(X57),X57*(1+PortfolioFrontier[[#This Row],[P6 Return]]),1+PortfolioFrontier[[#This Row],[P6 Return]])</f>
        <v>1.5141281517566041</v>
      </c>
      <c r="Y58" s="27">
        <f>MAX(Y57,PortfolioFrontier[[#This Row],[P6 Growth]])</f>
        <v>1.5141281517566041</v>
      </c>
      <c r="Z58" s="27">
        <f>PortfolioFrontier[[#This Row],[P6 Growth]]/PortfolioFrontier[[#This Row],[P6 HWM]]-1</f>
        <v>0</v>
      </c>
      <c r="AA58" s="28">
        <f>SUMPRODUCT(INDEX(PortfolioRef[[SPY]:[PE]],MATCH(AA$1,PortfolioRef[Reference '#]),0),AssetMonthlyReturns[[#This Row],[SPY]:[PE]])</f>
        <v>5.4202388419261123E-2</v>
      </c>
      <c r="AB58" s="27">
        <f>IF(ISNUMBER(AB57),AB57*(1+PortfolioFrontier[[#This Row],[P7 Return]]),1+PortfolioFrontier[[#This Row],[P7 Return]])</f>
        <v>1.5245436553130913</v>
      </c>
      <c r="AC58" s="27">
        <f>MAX(AC57,PortfolioFrontier[[#This Row],[P7 Growth]])</f>
        <v>1.5245436553130913</v>
      </c>
      <c r="AD58" s="27">
        <f>PortfolioFrontier[[#This Row],[P7 Growth]]/PortfolioFrontier[[#This Row],[P7 HWM]]-1</f>
        <v>0</v>
      </c>
      <c r="AE58" s="28">
        <f>SUMPRODUCT(INDEX(PortfolioRef[[SPY]:[PE]],MATCH(AE$1,PortfolioRef[Reference '#]),0),AssetMonthlyReturns[[#This Row],[SPY]:[PE]])</f>
        <v>6.1744145986734646E-2</v>
      </c>
      <c r="AF58" s="27">
        <f>IF(ISNUMBER(AF57),AF57*(1+PortfolioFrontier[[#This Row],[P8 Return]]),1+PortfolioFrontier[[#This Row],[P8 Return]])</f>
        <v>1.5166840411024622</v>
      </c>
      <c r="AG58" s="27">
        <f>MAX(AG57,PortfolioFrontier[[#This Row],[P8 Growth]])</f>
        <v>1.5166840411024622</v>
      </c>
      <c r="AH58" s="27">
        <f>PortfolioFrontier[[#This Row],[P8 Growth]]/PortfolioFrontier[[#This Row],[P8 HWM]]-1</f>
        <v>0</v>
      </c>
      <c r="AI58" s="28">
        <f>SUMPRODUCT(INDEX(PortfolioRef[[SPY]:[PE]],MATCH(AI$1,PortfolioRef[Reference '#]),0),AssetMonthlyReturns[[#This Row],[SPY]:[PE]])</f>
        <v>5.7537964817286506E-2</v>
      </c>
      <c r="AJ58" s="27">
        <f>IF(ISNUMBER(AJ57),AJ57*(1+PortfolioFrontier[[#This Row],[P9 Return]]),1+PortfolioFrontier[[#This Row],[P9 Return]])</f>
        <v>1.5055783210302172</v>
      </c>
      <c r="AK58" s="27">
        <f>MAX(AK57,PortfolioFrontier[[#This Row],[P9 Growth]])</f>
        <v>1.5055783210302172</v>
      </c>
      <c r="AL58" s="27">
        <f>PortfolioFrontier[[#This Row],[P9 Growth]]/PortfolioFrontier[[#This Row],[P9 HWM]]-1</f>
        <v>0</v>
      </c>
      <c r="AM58" s="28">
        <f>SUMPRODUCT(INDEX(PortfolioRef[[SPY]:[PE]],MATCH(AM$1,PortfolioRef[Reference '#]),0),AssetMonthlyReturns[[#This Row],[SPY]:[PE]])</f>
        <v>5.0891008423721178E-2</v>
      </c>
      <c r="AN58" s="27">
        <f>IF(ISNUMBER(AN57),AN57*(1+PortfolioFrontier[[#This Row],[P10 Return]]),1+PortfolioFrontier[[#This Row],[P10 Return]])</f>
        <v>1.5348134717468931</v>
      </c>
      <c r="AO58" s="27">
        <f>MAX(AO57,PortfolioFrontier[[#This Row],[P10 Growth]])</f>
        <v>1.5348134717468931</v>
      </c>
      <c r="AP58" s="27">
        <f>PortfolioFrontier[[#This Row],[P10 Growth]]/PortfolioFrontier[[#This Row],[P10 HWM]]-1</f>
        <v>0</v>
      </c>
      <c r="AQ58" s="28">
        <f>SUMPRODUCT(INDEX(PortfolioRef[[SPY]:[PE]],MATCH(AQ$1,PortfolioRef[Reference '#]),0),AssetMonthlyReturns[[#This Row],[SPY]:[PE]])</f>
        <v>5.8432765991194707E-2</v>
      </c>
      <c r="AR58" s="27">
        <f>IF(ISNUMBER(AR57),AR57*(1+PortfolioFrontier[[#This Row],[P11 Return]]),1+PortfolioFrontier[[#This Row],[P11 Return]])</f>
        <v>1.5271032782247163</v>
      </c>
      <c r="AS58" s="27">
        <f>MAX(AS57,PortfolioFrontier[[#This Row],[P11 Growth]])</f>
        <v>1.5271032782247163</v>
      </c>
      <c r="AT58" s="27">
        <f>PortfolioFrontier[[#This Row],[P11 Growth]]/PortfolioFrontier[[#This Row],[P11 HWM]]-1</f>
        <v>0</v>
      </c>
      <c r="AU58" s="28">
        <f>SUMPRODUCT(INDEX(PortfolioRef[[SPY]:[PE]],MATCH(AU$1,PortfolioRef[Reference '#]),0),AssetMonthlyReturns[[#This Row],[SPY]:[PE]])</f>
        <v>5.4226584821746568E-2</v>
      </c>
      <c r="AV58" s="27">
        <f>IF(ISNUMBER(AV57),AV57*(1+PortfolioFrontier[[#This Row],[P12 Return]]),1+PortfolioFrontier[[#This Row],[P12 Return]])</f>
        <v>1.5159587064447564</v>
      </c>
      <c r="AW58" s="27">
        <f>MAX(AW57,PortfolioFrontier[[#This Row],[P12 Growth]])</f>
        <v>1.5159587064447564</v>
      </c>
      <c r="AX58" s="27">
        <f>PortfolioFrontier[[#This Row],[P12 Growth]]/PortfolioFrontier[[#This Row],[P12 HWM]]-1</f>
        <v>0</v>
      </c>
      <c r="AY58" s="28">
        <f>SUMPRODUCT(INDEX(PortfolioRef[[SPY]:[PE]],MATCH(AY$1,PortfolioRef[Reference '#]),0),AssetMonthlyReturns[[#This Row],[SPY]:[PE]])</f>
        <v>6.597452355866823E-2</v>
      </c>
      <c r="AZ58" s="27">
        <f>IF(ISNUMBER(AZ57),AZ57*(1+PortfolioFrontier[[#This Row],[P13 Return]]),1+PortfolioFrontier[[#This Row],[P13 Return]])</f>
        <v>1.5187868105466988</v>
      </c>
      <c r="BA58" s="27">
        <f>MAX(BA57,PortfolioFrontier[[#This Row],[P13 Growth]])</f>
        <v>1.5187868105466988</v>
      </c>
      <c r="BB58" s="27">
        <f>PortfolioFrontier[[#This Row],[P13 Growth]]/PortfolioFrontier[[#This Row],[P13 HWM]]-1</f>
        <v>0</v>
      </c>
      <c r="BC58" s="28">
        <f>SUMPRODUCT(INDEX(PortfolioRef[[SPY]:[PE]],MATCH(BC$1,PortfolioRef[Reference '#]),0),AssetMonthlyReturns[[#This Row],[SPY]:[PE]])</f>
        <v>6.1768342389220091E-2</v>
      </c>
      <c r="BD58" s="27">
        <f>IF(ISNUMBER(BD57),BD57*(1+PortfolioFrontier[[#This Row],[P14 Return]]),1+PortfolioFrontier[[#This Row],[P14 Return]])</f>
        <v>1.5081135416454665</v>
      </c>
      <c r="BE58" s="27">
        <f>MAX(BE57,PortfolioFrontier[[#This Row],[P14 Growth]])</f>
        <v>1.5081135416454665</v>
      </c>
      <c r="BF58" s="27">
        <f>PortfolioFrontier[[#This Row],[P14 Growth]]/PortfolioFrontier[[#This Row],[P14 HWM]]-1</f>
        <v>0</v>
      </c>
      <c r="BG58" s="28">
        <f>SUMPRODUCT(INDEX(PortfolioRef[[SPY]:[PE]],MATCH(BG$1,PortfolioRef[Reference '#]),0),AssetMonthlyReturns[[#This Row],[SPY]:[PE]])</f>
        <v>5.7562161219771944E-2</v>
      </c>
      <c r="BH58" s="27">
        <f>IF(ISNUMBER(BH57),BH57*(1+PortfolioFrontier[[#This Row],[P15 Return]]),1+PortfolioFrontier[[#This Row],[P15 Return]])</f>
        <v>1.496986918632335</v>
      </c>
      <c r="BI58" s="27">
        <f>MAX(BI57,PortfolioFrontier[[#This Row],[P15 Growth]])</f>
        <v>1.496986918632335</v>
      </c>
      <c r="BJ58" s="27">
        <f>PortfolioFrontier[[#This Row],[P15 Growth]]/PortfolioFrontier[[#This Row],[P15 HWM]]-1</f>
        <v>0</v>
      </c>
      <c r="BK58" s="28">
        <f>SUMPRODUCT(INDEX(PortfolioRef[[SPY]:[PE]],MATCH(BK$1,PortfolioRef[Reference '#]),0),AssetMonthlyReturns[[#This Row],[SPY]:[PE]])</f>
        <v>5.2681986222900684E-2</v>
      </c>
      <c r="BL58" s="27">
        <f>IF(ISNUMBER(BL57),BL57*(1+PortfolioFrontier[[#This Row],[P16 Return]]),1+PortfolioFrontier[[#This Row],[P16 Return]])</f>
        <v>1.4792595961787827</v>
      </c>
      <c r="BM58" s="27">
        <f>MAX(BM57,PortfolioFrontier[[#This Row],[P16 Growth]])</f>
        <v>1.4792595961787827</v>
      </c>
      <c r="BN58" s="27">
        <f>PortfolioFrontier[[#This Row],[P16 Growth]]/PortfolioFrontier[[#This Row],[P16 HWM]]-1</f>
        <v>0</v>
      </c>
      <c r="BO58" s="28">
        <f>SUMPRODUCT(INDEX(PortfolioRef[[SPY]:[PE]],MATCH(BO$1,PortfolioRef[Reference '#]),0),AssetMonthlyReturns[[#This Row],[SPY]:[PE]])</f>
        <v>4.9370606227360753E-2</v>
      </c>
      <c r="BP58" s="27">
        <f>IF(ISNUMBER(BP57),BP57*(1+PortfolioFrontier[[#This Row],[P17 Return]]),1+PortfolioFrontier[[#This Row],[P17 Return]])</f>
        <v>1.4894405714876131</v>
      </c>
      <c r="BQ58" s="27">
        <f>MAX(BQ57,PortfolioFrontier[[#This Row],[P17 Growth]])</f>
        <v>1.4894405714876131</v>
      </c>
      <c r="BR58" s="27">
        <f>PortfolioFrontier[[#This Row],[P17 Growth]]/PortfolioFrontier[[#This Row],[P17 HWM]]-1</f>
        <v>0</v>
      </c>
      <c r="BS58" s="28">
        <f>SUMPRODUCT(INDEX(PortfolioRef[[SPY]:[PE]],MATCH(BS$1,PortfolioRef[Reference '#]),0),AssetMonthlyReturns[[#This Row],[SPY]:[PE]])</f>
        <v>5.6912363794834275E-2</v>
      </c>
      <c r="BT58" s="27">
        <f>IF(ISNUMBER(BT57),BT57*(1+PortfolioFrontier[[#This Row],[P18 Return]]),1+PortfolioFrontier[[#This Row],[P18 Return]])</f>
        <v>1.4820829274096361</v>
      </c>
      <c r="BU58" s="27">
        <f>MAX(BU57,PortfolioFrontier[[#This Row],[P18 Growth]])</f>
        <v>1.4820829274096361</v>
      </c>
      <c r="BV58" s="27">
        <f>PortfolioFrontier[[#This Row],[P18 Growth]]/PortfolioFrontier[[#This Row],[P18 HWM]]-1</f>
        <v>0</v>
      </c>
      <c r="BW58" s="28">
        <f>SUMPRODUCT(INDEX(PortfolioRef[[SPY]:[PE]],MATCH(BW$1,PortfolioRef[Reference '#]),0),AssetMonthlyReturns[[#This Row],[SPY]:[PE]])</f>
        <v>5.2706182625386136E-2</v>
      </c>
      <c r="BX58" s="27">
        <f>IF(ISNUMBER(BX57),BX57*(1+PortfolioFrontier[[#This Row],[P19 Return]]),1+PortfolioFrontier[[#This Row],[P19 Return]])</f>
        <v>1.4709555762433837</v>
      </c>
      <c r="BY58" s="27">
        <f>MAX(BY57,PortfolioFrontier[[#This Row],[P19 Growth]])</f>
        <v>1.4709555762433837</v>
      </c>
      <c r="BZ58" s="27">
        <f>PortfolioFrontier[[#This Row],[P19 Growth]]/PortfolioFrontier[[#This Row],[P19 HWM]]-1</f>
        <v>0</v>
      </c>
      <c r="CA58" s="28">
        <f>SUMPRODUCT(INDEX(PortfolioRef[[SPY]:[PE]],MATCH(CA$1,PortfolioRef[Reference '#]),0),AssetMonthlyReturns[[#This Row],[SPY]:[PE]])</f>
        <v>4.6059226231820814E-2</v>
      </c>
      <c r="CB58" s="27">
        <f>IF(ISNUMBER(CB57),CB57*(1+PortfolioFrontier[[#This Row],[P20 Return]]),1+PortfolioFrontier[[#This Row],[P20 Return]])</f>
        <v>1.4994787551893827</v>
      </c>
      <c r="CC58" s="27">
        <f>MAX(CC57,PortfolioFrontier[[#This Row],[P20 Growth]])</f>
        <v>1.4994787551893827</v>
      </c>
      <c r="CD58" s="27">
        <f>PortfolioFrontier[[#This Row],[P20 Growth]]/PortfolioFrontier[[#This Row],[P20 HWM]]-1</f>
        <v>0</v>
      </c>
      <c r="CE58" s="28">
        <f>SUMPRODUCT(INDEX(PortfolioRef[[SPY]:[PE]],MATCH(CE$1,PortfolioRef[Reference '#]),0),AssetMonthlyReturns[[#This Row],[SPY]:[PE]])</f>
        <v>5.3600983799294344E-2</v>
      </c>
      <c r="CF58" s="27">
        <f>IF(ISNUMBER(CF57),CF57*(1+PortfolioFrontier[[#This Row],[P21 Return]]),1+PortfolioFrontier[[#This Row],[P21 Return]])</f>
        <v>1.4922696787969674</v>
      </c>
      <c r="CG58" s="27">
        <f>MAX(CG57,PortfolioFrontier[[#This Row],[P21 Growth]])</f>
        <v>1.4922696787969674</v>
      </c>
      <c r="CH58" s="27">
        <f>PortfolioFrontier[[#This Row],[P21 Growth]]/PortfolioFrontier[[#This Row],[P21 HWM]]-1</f>
        <v>0</v>
      </c>
      <c r="CI58" s="28">
        <f>SUMPRODUCT(INDEX(PortfolioRef[[SPY]:[PE]],MATCH(CI$1,PortfolioRef[Reference '#]),0),AssetMonthlyReturns[[#This Row],[SPY]:[PE]])</f>
        <v>4.9394802629846205E-2</v>
      </c>
      <c r="CJ58" s="27">
        <f>IF(ISNUMBER(CJ57),CJ57*(1+PortfolioFrontier[[#This Row],[P22 Return]]),1+PortfolioFrontier[[#This Row],[P22 Return]])</f>
        <v>1.481102554793764</v>
      </c>
      <c r="CK58" s="27">
        <f>MAX(CK57,PortfolioFrontier[[#This Row],[P22 Growth]])</f>
        <v>1.481102554793764</v>
      </c>
      <c r="CL58" s="27">
        <f>PortfolioFrontier[[#This Row],[P22 Growth]]/PortfolioFrontier[[#This Row],[P22 HWM]]-1</f>
        <v>0</v>
      </c>
      <c r="CM58" s="28">
        <f>SUMPRODUCT(INDEX(PortfolioRef[[SPY]:[PE]],MATCH(CM$1,PortfolioRef[Reference '#]),0),AssetMonthlyReturns[[#This Row],[SPY]:[PE]])</f>
        <v>6.1142741366767867E-2</v>
      </c>
      <c r="CN58" s="27">
        <f>IF(ISNUMBER(CN57),CN57*(1+PortfolioFrontier[[#This Row],[P23 Return]]),1+PortfolioFrontier[[#This Row],[P23 Return]])</f>
        <v>1.484466931847414</v>
      </c>
      <c r="CO58" s="27">
        <f>MAX(CO57,PortfolioFrontier[[#This Row],[P23 Growth]])</f>
        <v>1.484466931847414</v>
      </c>
      <c r="CP58" s="27">
        <f>PortfolioFrontier[[#This Row],[P23 Growth]]/PortfolioFrontier[[#This Row],[P23 HWM]]-1</f>
        <v>0</v>
      </c>
      <c r="CQ58" s="28">
        <f>SUMPRODUCT(INDEX(PortfolioRef[[SPY]:[PE]],MATCH(CQ$1,PortfolioRef[Reference '#]),0),AssetMonthlyReturns[[#This Row],[SPY]:[PE]])</f>
        <v>5.6936560197319727E-2</v>
      </c>
      <c r="CR58" s="27">
        <f>IF(ISNUMBER(CR57),CR57*(1+PortfolioFrontier[[#This Row],[P24 Return]]),1+PortfolioFrontier[[#This Row],[P24 Return]])</f>
        <v>1.4737571146835129</v>
      </c>
      <c r="CS58" s="27">
        <f>MAX(CS57,PortfolioFrontier[[#This Row],[P24 Growth]])</f>
        <v>1.4737571146835129</v>
      </c>
      <c r="CT58" s="27">
        <f>PortfolioFrontier[[#This Row],[P24 Growth]]/PortfolioFrontier[[#This Row],[P24 HWM]]-1</f>
        <v>0</v>
      </c>
      <c r="CU58" s="28">
        <f>SUMPRODUCT(INDEX(PortfolioRef[[SPY]:[PE]],MATCH(CU$1,PortfolioRef[Reference '#]),0),AssetMonthlyReturns[[#This Row],[SPY]:[PE]])</f>
        <v>5.2730379027871581E-2</v>
      </c>
      <c r="CV58" s="27">
        <f>IF(ISNUMBER(CV57),CV57*(1+PortfolioFrontier[[#This Row],[P25 Return]]),1+PortfolioFrontier[[#This Row],[P25 Return]])</f>
        <v>1.4626104361107564</v>
      </c>
      <c r="CW58" s="27">
        <f>MAX(CW57,PortfolioFrontier[[#This Row],[P25 Growth]])</f>
        <v>1.4626104361107564</v>
      </c>
      <c r="CX58" s="27">
        <f>PortfolioFrontier[[#This Row],[P25 Growth]]/PortfolioFrontier[[#This Row],[P25 HWM]]-1</f>
        <v>0</v>
      </c>
      <c r="CY58" s="28">
        <f>SUMPRODUCT(INDEX(PortfolioRef[[SPY]:[PE]],MATCH(CY$1,PortfolioRef[Reference '#]),0),AssetMonthlyReturns[[#This Row],[SPY]:[PE]])</f>
        <v>5.0289603803754399E-2</v>
      </c>
      <c r="CZ58" s="27">
        <f>IF(ISNUMBER(CZ57),CZ57*(1+PortfolioFrontier[[#This Row],[P26 Return]]),1+PortfolioFrontier[[#This Row],[P26 Return]])</f>
        <v>1.5023135436599129</v>
      </c>
      <c r="DA58" s="27">
        <f>MAX(DA57,PortfolioFrontier[[#This Row],[P26 Growth]])</f>
        <v>1.5023135436599129</v>
      </c>
      <c r="DB58" s="27">
        <f>PortfolioFrontier[[#This Row],[P26 Growth]]/PortfolioFrontier[[#This Row],[P26 HWM]]-1</f>
        <v>0</v>
      </c>
      <c r="DC58" s="28">
        <f>SUMPRODUCT(INDEX(PortfolioRef[[SPY]:[PE]],MATCH(DC$1,PortfolioRef[Reference '#]),0),AssetMonthlyReturns[[#This Row],[SPY]:[PE]])</f>
        <v>4.6083422634306259E-2</v>
      </c>
      <c r="DD58" s="27">
        <f>IF(ISNUMBER(DD57),DD57*(1+PortfolioFrontier[[#This Row],[P27 Return]]),1+PortfolioFrontier[[#This Row],[P27 Return]])</f>
        <v>1.4911078157621438</v>
      </c>
      <c r="DE58" s="27">
        <f>MAX(DE57,PortfolioFrontier[[#This Row],[P27 Growth]])</f>
        <v>1.4911078157621438</v>
      </c>
      <c r="DF58" s="27">
        <f>PortfolioFrontier[[#This Row],[P27 Growth]]/PortfolioFrontier[[#This Row],[P27 HWM]]-1</f>
        <v>0</v>
      </c>
      <c r="DG58" s="28">
        <f>SUMPRODUCT(INDEX(PortfolioRef[[SPY]:[PE]],MATCH(DG$1,PortfolioRef[Reference '#]),0),AssetMonthlyReturns[[#This Row],[SPY]:[PE]])</f>
        <v>5.7831361371227921E-2</v>
      </c>
      <c r="DH58" s="27">
        <f>IF(ISNUMBER(DH57),DH57*(1+PortfolioFrontier[[#This Row],[P28 Return]]),1+PortfolioFrontier[[#This Row],[P28 Return]])</f>
        <v>1.4946565611399509</v>
      </c>
      <c r="DI58" s="27">
        <f>MAX(DI57,PortfolioFrontier[[#This Row],[P28 Growth]])</f>
        <v>1.4946565611399509</v>
      </c>
      <c r="DJ58" s="27">
        <f>PortfolioFrontier[[#This Row],[P28 Growth]]/PortfolioFrontier[[#This Row],[P28 HWM]]-1</f>
        <v>0</v>
      </c>
      <c r="DK58" s="28">
        <f>SUMPRODUCT(INDEX(PortfolioRef[[SPY]:[PE]],MATCH(DK$1,PortfolioRef[Reference '#]),0),AssetMonthlyReturns[[#This Row],[SPY]:[PE]])</f>
        <v>5.3625180201779789E-2</v>
      </c>
      <c r="DL58" s="27">
        <f>IF(ISNUMBER(DL57),DL57*(1+PortfolioFrontier[[#This Row],[P29 Return]]),1+PortfolioFrontier[[#This Row],[P29 Return]])</f>
        <v>1.4839098413952692</v>
      </c>
      <c r="DM58" s="27">
        <f>MAX(DM57,PortfolioFrontier[[#This Row],[P29 Growth]])</f>
        <v>1.4839098413952692</v>
      </c>
      <c r="DN58" s="27">
        <f>PortfolioFrontier[[#This Row],[P29 Growth]]/PortfolioFrontier[[#This Row],[P29 HWM]]-1</f>
        <v>0</v>
      </c>
      <c r="DO58" s="28">
        <f>SUMPRODUCT(INDEX(PortfolioRef[[SPY]:[PE]],MATCH(DO$1,PortfolioRef[Reference '#]),0),AssetMonthlyReturns[[#This Row],[SPY]:[PE]])</f>
        <v>4.9418999032331642E-2</v>
      </c>
      <c r="DP58" s="27">
        <f>IF(ISNUMBER(DP57),DP57*(1+PortfolioFrontier[[#This Row],[P30 Return]]),1+PortfolioFrontier[[#This Row],[P30 Return]])</f>
        <v>1.4727228756569857</v>
      </c>
      <c r="DQ58" s="27">
        <f>MAX(DQ57,PortfolioFrontier[[#This Row],[P30 Growth]])</f>
        <v>1.4727228756569857</v>
      </c>
      <c r="DR58" s="27">
        <f>PortfolioFrontier[[#This Row],[P30 Growth]]/PortfolioFrontier[[#This Row],[P30 HWM]]-1</f>
        <v>0</v>
      </c>
      <c r="DS58" s="28">
        <f>SUMPRODUCT(INDEX(PortfolioRef[[SPY]:[PE]],MATCH(DS$1,PortfolioRef[Reference '#]),0),AssetMonthlyReturns[[#This Row],[SPY]:[PE]])</f>
        <v>6.5373118938701444E-2</v>
      </c>
      <c r="DT58" s="27">
        <f>IF(ISNUMBER(DT57),DT57*(1+PortfolioFrontier[[#This Row],[P31 Return]]),1+PortfolioFrontier[[#This Row],[P31 Return]])</f>
        <v>1.4864058359188834</v>
      </c>
      <c r="DU58" s="27">
        <f>MAX(DU57,PortfolioFrontier[[#This Row],[P31 Growth]])</f>
        <v>1.4864058359188834</v>
      </c>
      <c r="DV58" s="27">
        <f>PortfolioFrontier[[#This Row],[P31 Growth]]/PortfolioFrontier[[#This Row],[P31 HWM]]-1</f>
        <v>0</v>
      </c>
      <c r="DW58" s="28">
        <f>SUMPRODUCT(INDEX(PortfolioRef[[SPY]:[PE]],MATCH(DW$1,PortfolioRef[Reference '#]),0),AssetMonthlyReturns[[#This Row],[SPY]:[PE]])</f>
        <v>6.1166937769253305E-2</v>
      </c>
      <c r="DX58" s="27">
        <f>IF(ISNUMBER(DX57),DX57*(1+PortfolioFrontier[[#This Row],[P32 Return]]),1+PortfolioFrontier[[#This Row],[P32 Return]])</f>
        <v>1.476121777093043</v>
      </c>
      <c r="DY58" s="27">
        <f>MAX(DY57,PortfolioFrontier[[#This Row],[P32 Growth]])</f>
        <v>1.476121777093043</v>
      </c>
      <c r="DZ58" s="27">
        <f>PortfolioFrontier[[#This Row],[P32 Growth]]/PortfolioFrontier[[#This Row],[P32 HWM]]-1</f>
        <v>0</v>
      </c>
      <c r="EA58" s="28">
        <f>SUMPRODUCT(INDEX(PortfolioRef[[SPY]:[PE]],MATCH(EA$1,PortfolioRef[Reference '#]),0),AssetMonthlyReturns[[#This Row],[SPY]:[PE]])</f>
        <v>5.6960756599805165E-2</v>
      </c>
      <c r="EB58" s="27">
        <f>IF(ISNUMBER(EB57),EB57*(1+PortfolioFrontier[[#This Row],[P33 Return]]),1+PortfolioFrontier[[#This Row],[P33 Return]])</f>
        <v>1.46539005071803</v>
      </c>
      <c r="EC58" s="27">
        <f>MAX(EC57,PortfolioFrontier[[#This Row],[P33 Growth]])</f>
        <v>1.46539005071803</v>
      </c>
      <c r="ED58" s="27">
        <f>PortfolioFrontier[[#This Row],[P33 Growth]]/PortfolioFrontier[[#This Row],[P33 HWM]]-1</f>
        <v>0</v>
      </c>
      <c r="EE58" s="28">
        <f>SUMPRODUCT(INDEX(PortfolioRef[[SPY]:[PE]],MATCH(EE$1,PortfolioRef[Reference '#]),0),AssetMonthlyReturns[[#This Row],[SPY]:[PE]])</f>
        <v>4.7850204031000314E-2</v>
      </c>
      <c r="EF58" s="27">
        <f>IF(ISNUMBER(EF57),EF57*(1+PortfolioFrontier[[#This Row],[P34 Return]]),1+PortfolioFrontier[[#This Row],[P34 Return]])</f>
        <v>1.4447574045938973</v>
      </c>
      <c r="EG58" s="27">
        <f>MAX(EG57,PortfolioFrontier[[#This Row],[P34 Growth]])</f>
        <v>1.4447574045938973</v>
      </c>
      <c r="EH58" s="27">
        <f>PortfolioFrontier[[#This Row],[P34 Growth]]/PortfolioFrontier[[#This Row],[P34 HWM]]-1</f>
        <v>0</v>
      </c>
      <c r="EI58" s="28">
        <f>SUMPRODUCT(INDEX(PortfolioRef[[SPY]:[PE]],MATCH(EI$1,PortfolioRef[Reference '#]),0),AssetMonthlyReturns[[#This Row],[SPY]:[PE]])</f>
        <v>4.4538824035460375E-2</v>
      </c>
      <c r="EJ58" s="27">
        <f>IF(ISNUMBER(EJ57),EJ57*(1+PortfolioFrontier[[#This Row],[P35 Return]]),1+PortfolioFrontier[[#This Row],[P35 Return]])</f>
        <v>1.4547064573701585</v>
      </c>
      <c r="EK58" s="27">
        <f>MAX(EK57,PortfolioFrontier[[#This Row],[P35 Growth]])</f>
        <v>1.4547064573701585</v>
      </c>
      <c r="EL58" s="27">
        <f>PortfolioFrontier[[#This Row],[P35 Growth]]/PortfolioFrontier[[#This Row],[P35 HWM]]-1</f>
        <v>0</v>
      </c>
      <c r="EM58" s="28">
        <f>SUMPRODUCT(INDEX(PortfolioRef[[SPY]:[PE]],MATCH(EM$1,PortfolioRef[Reference '#]),0),AssetMonthlyReturns[[#This Row],[SPY]:[PE]])</f>
        <v>5.2080581602933898E-2</v>
      </c>
      <c r="EN58" s="27">
        <f>IF(ISNUMBER(EN57),EN57*(1+PortfolioFrontier[[#This Row],[P36 Return]]),1+PortfolioFrontier[[#This Row],[P36 Return]])</f>
        <v>1.4478321652546835</v>
      </c>
      <c r="EO58" s="27">
        <f>MAX(EO57,PortfolioFrontier[[#This Row],[P36 Growth]])</f>
        <v>1.4478321652546835</v>
      </c>
      <c r="EP58" s="27">
        <f>PortfolioFrontier[[#This Row],[P36 Growth]]/PortfolioFrontier[[#This Row],[P36 HWM]]-1</f>
        <v>0</v>
      </c>
      <c r="EQ58" s="28">
        <f>SUMPRODUCT(INDEX(PortfolioRef[[SPY]:[PE]],MATCH(EQ$1,PortfolioRef[Reference '#]),0),AssetMonthlyReturns[[#This Row],[SPY]:[PE]])</f>
        <v>4.7874400433485759E-2</v>
      </c>
      <c r="ER58" s="27">
        <f>IF(ISNUMBER(ER57),ER57*(1+PortfolioFrontier[[#This Row],[P37 Return]]),1+PortfolioFrontier[[#This Row],[P37 Return]])</f>
        <v>1.4366946097128477</v>
      </c>
      <c r="ES58" s="27">
        <f>MAX(ES57,PortfolioFrontier[[#This Row],[P37 Growth]])</f>
        <v>1.4366946097128477</v>
      </c>
      <c r="ET58" s="27">
        <f>PortfolioFrontier[[#This Row],[P37 Growth]]/PortfolioFrontier[[#This Row],[P37 HWM]]-1</f>
        <v>0</v>
      </c>
      <c r="EU58" s="28">
        <f>SUMPRODUCT(INDEX(PortfolioRef[[SPY]:[PE]],MATCH(EU$1,PortfolioRef[Reference '#]),0),AssetMonthlyReturns[[#This Row],[SPY]:[PE]])</f>
        <v>4.1227444039920437E-2</v>
      </c>
      <c r="EV58" s="27">
        <f>IF(ISNUMBER(EV57),EV57*(1+PortfolioFrontier[[#This Row],[P38 Return]]),1+PortfolioFrontier[[#This Row],[P38 Return]])</f>
        <v>1.4645155962363023</v>
      </c>
      <c r="EW58" s="27">
        <f>MAX(EW57,PortfolioFrontier[[#This Row],[P38 Growth]])</f>
        <v>1.4645155962363023</v>
      </c>
      <c r="EX58" s="27">
        <f>PortfolioFrontier[[#This Row],[P38 Growth]]/PortfolioFrontier[[#This Row],[P38 HWM]]-1</f>
        <v>0</v>
      </c>
      <c r="EY58" s="28">
        <f>SUMPRODUCT(INDEX(PortfolioRef[[SPY]:[PE]],MATCH(EY$1,PortfolioRef[Reference '#]),0),AssetMonthlyReturns[[#This Row],[SPY]:[PE]])</f>
        <v>4.8769201607393967E-2</v>
      </c>
      <c r="EZ58" s="27">
        <f>IF(ISNUMBER(EZ57),EZ57*(1+PortfolioFrontier[[#This Row],[P39 Return]]),1+PortfolioFrontier[[#This Row],[P39 Return]])</f>
        <v>1.4577889330258862</v>
      </c>
      <c r="FA58" s="27">
        <f>MAX(FA57,PortfolioFrontier[[#This Row],[P39 Growth]])</f>
        <v>1.4577889330258862</v>
      </c>
      <c r="FB58" s="27">
        <f>PortfolioFrontier[[#This Row],[P39 Growth]]/PortfolioFrontier[[#This Row],[P39 HWM]]-1</f>
        <v>0</v>
      </c>
      <c r="FC58" s="28">
        <f>SUMPRODUCT(INDEX(PortfolioRef[[SPY]:[PE]],MATCH(FC$1,PortfolioRef[Reference '#]),0),AssetMonthlyReturns[[#This Row],[SPY]:[PE]])</f>
        <v>4.4563020437945827E-2</v>
      </c>
      <c r="FD58" s="27">
        <f>IF(ISNUMBER(FD57),FD57*(1+PortfolioFrontier[[#This Row],[P40 Return]]),1+PortfolioFrontier[[#This Row],[P40 Return]])</f>
        <v>1.446610762191483</v>
      </c>
      <c r="FE58" s="27">
        <f>MAX(FE57,PortfolioFrontier[[#This Row],[P40 Growth]])</f>
        <v>1.446610762191483</v>
      </c>
      <c r="FF58" s="27">
        <f>PortfolioFrontier[[#This Row],[P40 Growth]]/PortfolioFrontier[[#This Row],[P40 HWM]]-1</f>
        <v>0</v>
      </c>
      <c r="FG58" s="28">
        <f>SUMPRODUCT(INDEX(PortfolioRef[[SPY]:[PE]],MATCH(FG$1,PortfolioRef[Reference '#]),0),AssetMonthlyReturns[[#This Row],[SPY]:[PE]])</f>
        <v>5.6310959174867489E-2</v>
      </c>
      <c r="FH58" s="27">
        <f>IF(ISNUMBER(FH57),FH57*(1+PortfolioFrontier[[#This Row],[P41 Return]]),1+PortfolioFrontier[[#This Row],[P41 Return]])</f>
        <v>1.4504811929319983</v>
      </c>
      <c r="FI58" s="27">
        <f>MAX(FI57,PortfolioFrontier[[#This Row],[P41 Growth]])</f>
        <v>1.4504811929319983</v>
      </c>
      <c r="FJ58" s="27">
        <f>PortfolioFrontier[[#This Row],[P41 Growth]]/PortfolioFrontier[[#This Row],[P41 HWM]]-1</f>
        <v>0</v>
      </c>
      <c r="FK58" s="28">
        <f>SUMPRODUCT(INDEX(PortfolioRef[[SPY]:[PE]],MATCH(FK$1,PortfolioRef[Reference '#]),0),AssetMonthlyReturns[[#This Row],[SPY]:[PE]])</f>
        <v>5.210477800541935E-2</v>
      </c>
      <c r="FL58" s="27">
        <f>IF(ISNUMBER(FL57),FL57*(1+PortfolioFrontier[[#This Row],[P42 Return]]),1+PortfolioFrontier[[#This Row],[P42 Return]])</f>
        <v>1.4397465509333973</v>
      </c>
      <c r="FM58" s="27">
        <f>MAX(FM57,PortfolioFrontier[[#This Row],[P42 Growth]])</f>
        <v>1.4397465509333973</v>
      </c>
      <c r="FN58" s="27">
        <f>PortfolioFrontier[[#This Row],[P42 Growth]]/PortfolioFrontier[[#This Row],[P42 HWM]]-1</f>
        <v>0</v>
      </c>
      <c r="FO58" s="28">
        <f>SUMPRODUCT(INDEX(PortfolioRef[[SPY]:[PE]],MATCH(FO$1,PortfolioRef[Reference '#]),0),AssetMonthlyReturns[[#This Row],[SPY]:[PE]])</f>
        <v>4.7898596835971204E-2</v>
      </c>
      <c r="FP58" s="27">
        <f>IF(ISNUMBER(FP57),FP57*(1+PortfolioFrontier[[#This Row],[P43 Return]]),1+PortfolioFrontier[[#This Row],[P43 Return]])</f>
        <v>1.4285911616748534</v>
      </c>
      <c r="FQ58" s="27">
        <f>MAX(FQ57,PortfolioFrontier[[#This Row],[P43 Growth]])</f>
        <v>1.4285911616748534</v>
      </c>
      <c r="FR58" s="27">
        <f>PortfolioFrontier[[#This Row],[P43 Growth]]/PortfolioFrontier[[#This Row],[P43 HWM]]-1</f>
        <v>0</v>
      </c>
      <c r="FS58" s="28">
        <f>SUMPRODUCT(INDEX(PortfolioRef[[SPY]:[PE]],MATCH(FS$1,PortfolioRef[Reference '#]),0),AssetMonthlyReturns[[#This Row],[SPY]:[PE]])</f>
        <v>4.5457821611854028E-2</v>
      </c>
      <c r="FT58" s="27">
        <f>IF(ISNUMBER(FT57),FT57*(1+PortfolioFrontier[[#This Row],[P44 Return]]),1+PortfolioFrontier[[#This Row],[P44 Return]])</f>
        <v>1.46760566547806</v>
      </c>
      <c r="FU58" s="27">
        <f>MAX(FU57,PortfolioFrontier[[#This Row],[P44 Growth]])</f>
        <v>1.46760566547806</v>
      </c>
      <c r="FV58" s="27">
        <f>PortfolioFrontier[[#This Row],[P44 Growth]]/PortfolioFrontier[[#This Row],[P44 HWM]]-1</f>
        <v>0</v>
      </c>
      <c r="FW58" s="28">
        <f>SUMPRODUCT(INDEX(PortfolioRef[[SPY]:[PE]],MATCH(FW$1,PortfolioRef[Reference '#]),0),AssetMonthlyReturns[[#This Row],[SPY]:[PE]])</f>
        <v>4.1251640442405889E-2</v>
      </c>
      <c r="FX58" s="27">
        <f>IF(ISNUMBER(FX57),FX57*(1+PortfolioFrontier[[#This Row],[P45 Return]]),1+PortfolioFrontier[[#This Row],[P45 Return]])</f>
        <v>1.4563880489431418</v>
      </c>
      <c r="FY58" s="27">
        <f>MAX(FY57,PortfolioFrontier[[#This Row],[P45 Growth]])</f>
        <v>1.4563880489431418</v>
      </c>
      <c r="FZ58" s="27">
        <f>PortfolioFrontier[[#This Row],[P45 Growth]]/PortfolioFrontier[[#This Row],[P45 HWM]]-1</f>
        <v>0</v>
      </c>
      <c r="GA58" s="28">
        <f>SUMPRODUCT(INDEX(PortfolioRef[[SPY]:[PE]],MATCH(GA$1,PortfolioRef[Reference '#]),0),AssetMonthlyReturns[[#This Row],[SPY]:[PE]])</f>
        <v>5.2999579179327558E-2</v>
      </c>
      <c r="GB58" s="27">
        <f>IF(ISNUMBER(GB57),GB57*(1+PortfolioFrontier[[#This Row],[P46 Return]]),1+PortfolioFrontier[[#This Row],[P46 Return]])</f>
        <v>1.4604428581246462</v>
      </c>
      <c r="GC58" s="27">
        <f>MAX(GC57,PortfolioFrontier[[#This Row],[P46 Growth]])</f>
        <v>1.4604428581246462</v>
      </c>
      <c r="GD58" s="27">
        <f>PortfolioFrontier[[#This Row],[P46 Growth]]/PortfolioFrontier[[#This Row],[P46 HWM]]-1</f>
        <v>0</v>
      </c>
      <c r="GE58" s="28">
        <f>SUMPRODUCT(INDEX(PortfolioRef[[SPY]:[PE]],MATCH(GE$1,PortfolioRef[Reference '#]),0),AssetMonthlyReturns[[#This Row],[SPY]:[PE]])</f>
        <v>4.8793398009879418E-2</v>
      </c>
      <c r="GF58" s="27">
        <f>IF(ISNUMBER(GF57),GF57*(1+PortfolioFrontier[[#This Row],[P47 Return]]),1+PortfolioFrontier[[#This Row],[P47 Return]])</f>
        <v>1.4496703850056916</v>
      </c>
      <c r="GG58" s="27">
        <f>MAX(GG57,PortfolioFrontier[[#This Row],[P47 Growth]])</f>
        <v>1.4496703850056916</v>
      </c>
      <c r="GH58" s="27">
        <f>PortfolioFrontier[[#This Row],[P47 Growth]]/PortfolioFrontier[[#This Row],[P47 HWM]]-1</f>
        <v>0</v>
      </c>
      <c r="GI58" s="28">
        <f>SUMPRODUCT(INDEX(PortfolioRef[[SPY]:[PE]],MATCH(GI$1,PortfolioRef[Reference '#]),0),AssetMonthlyReturns[[#This Row],[SPY]:[PE]])</f>
        <v>4.4587216840431272E-2</v>
      </c>
      <c r="GJ58" s="27">
        <f>IF(ISNUMBER(GJ57),GJ57*(1+PortfolioFrontier[[#This Row],[P48 Return]]),1+PortfolioFrontier[[#This Row],[P48 Return]])</f>
        <v>1.4384738820131884</v>
      </c>
      <c r="GK58" s="27">
        <f>MAX(GK57,PortfolioFrontier[[#This Row],[P48 Growth]])</f>
        <v>1.4384738820131884</v>
      </c>
      <c r="GL58" s="27">
        <f>PortfolioFrontier[[#This Row],[P48 Growth]]/PortfolioFrontier[[#This Row],[P48 HWM]]-1</f>
        <v>0</v>
      </c>
      <c r="GM58" s="28">
        <f>SUMPRODUCT(INDEX(PortfolioRef[[SPY]:[PE]],MATCH(GM$1,PortfolioRef[Reference '#]),0),AssetMonthlyReturns[[#This Row],[SPY]:[PE]])</f>
        <v>6.0541336746801074E-2</v>
      </c>
      <c r="GN58" s="27">
        <f>IF(ISNUMBER(GN57),GN57*(1+PortfolioFrontier[[#This Row],[P49 Return]]),1+PortfolioFrontier[[#This Row],[P49 Return]])</f>
        <v>1.4526986697868391</v>
      </c>
      <c r="GO58" s="27">
        <f>MAX(GO57,PortfolioFrontier[[#This Row],[P49 Growth]])</f>
        <v>1.4526986697868391</v>
      </c>
      <c r="GP58" s="27">
        <f>PortfolioFrontier[[#This Row],[P49 Growth]]/PortfolioFrontier[[#This Row],[P49 HWM]]-1</f>
        <v>0</v>
      </c>
      <c r="GQ58" s="28">
        <f>SUMPRODUCT(INDEX(PortfolioRef[[SPY]:[PE]],MATCH(GQ$1,PortfolioRef[Reference '#]),0),AssetMonthlyReturns[[#This Row],[SPY]:[PE]])</f>
        <v>5.6335155577352941E-2</v>
      </c>
      <c r="GR58" s="27">
        <f>IF(ISNUMBER(GR57),GR57*(1+PortfolioFrontier[[#This Row],[P50 Return]]),1+PortfolioFrontier[[#This Row],[P50 Return]])</f>
        <v>1.4423751163033387</v>
      </c>
      <c r="GS58" s="27">
        <f>MAX(GS57,PortfolioFrontier[[#This Row],[P50 Growth]])</f>
        <v>1.4423751163033387</v>
      </c>
      <c r="GT58" s="27">
        <f>PortfolioFrontier[[#This Row],[P50 Growth]]/PortfolioFrontier[[#This Row],[P50 HWM]]-1</f>
        <v>0</v>
      </c>
      <c r="GU58" s="28">
        <f>SUMPRODUCT(INDEX(PortfolioRef[[SPY]:[PE]],MATCH(GU$1,PortfolioRef[Reference '#]),0),AssetMonthlyReturns[[#This Row],[SPY]:[PE]])</f>
        <v>5.2128974407904795E-2</v>
      </c>
      <c r="GV58" s="27">
        <f>IF(ISNUMBER(GV57),GV57*(1+PortfolioFrontier[[#This Row],[P51 Return]]),1+PortfolioFrontier[[#This Row],[P51 Return]])</f>
        <v>1.4316201466609848</v>
      </c>
      <c r="GW58" s="27">
        <f>MAX(GW57,PortfolioFrontier[[#This Row],[P51 Growth]])</f>
        <v>1.4316201466609848</v>
      </c>
      <c r="GX58" s="27">
        <f>PortfolioFrontier[[#This Row],[P51 Growth]]/PortfolioFrontier[[#This Row],[P51 HWM]]-1</f>
        <v>0</v>
      </c>
      <c r="GY58" s="28">
        <f>SUMPRODUCT(INDEX(PortfolioRef[[SPY]:[PE]],MATCH(GY$1,PortfolioRef[Reference '#]),0),AssetMonthlyReturns[[#This Row],[SPY]:[PE]])</f>
        <v>4.9688199183787612E-2</v>
      </c>
      <c r="GZ58" s="27">
        <f>IF(ISNUMBER(GZ57),GZ57*(1+PortfolioFrontier[[#This Row],[P52 Return]]),1+PortfolioFrontier[[#This Row],[P52 Return]])</f>
        <v>1.4702644060656196</v>
      </c>
      <c r="HA58" s="27">
        <f>MAX(HA57,PortfolioFrontier[[#This Row],[P52 Growth]])</f>
        <v>1.4702644060656196</v>
      </c>
      <c r="HB58" s="27">
        <f>PortfolioFrontier[[#This Row],[P52 Growth]]/PortfolioFrontier[[#This Row],[P52 HWM]]-1</f>
        <v>0</v>
      </c>
      <c r="HC58" s="28">
        <f>SUMPRODUCT(INDEX(PortfolioRef[[SPY]:[PE]],MATCH(HC$1,PortfolioRef[Reference '#]),0),AssetMonthlyReturns[[#This Row],[SPY]:[PE]])</f>
        <v>4.5482018014339473E-2</v>
      </c>
      <c r="HD58" s="27">
        <f>IF(ISNUMBER(HD57),HD57*(1+PortfolioFrontier[[#This Row],[P53 Return]]),1+PortfolioFrontier[[#This Row],[P53 Return]])</f>
        <v>1.4594552332861439</v>
      </c>
      <c r="HE58" s="27">
        <f>MAX(HE57,PortfolioFrontier[[#This Row],[P53 Growth]])</f>
        <v>1.4594552332861439</v>
      </c>
      <c r="HF58" s="27">
        <f>PortfolioFrontier[[#This Row],[P53 Growth]]/PortfolioFrontier[[#This Row],[P53 HWM]]-1</f>
        <v>0</v>
      </c>
      <c r="HG58" s="28">
        <f>SUMPRODUCT(INDEX(PortfolioRef[[SPY]:[PE]],MATCH(HG$1,PortfolioRef[Reference '#]),0),AssetMonthlyReturns[[#This Row],[SPY]:[PE]])</f>
        <v>4.1275836844891327E-2</v>
      </c>
      <c r="HH58" s="27">
        <f>IF(ISNUMBER(HH57),HH57*(1+PortfolioFrontier[[#This Row],[P54 Return]]),1+PortfolioFrontier[[#This Row],[P54 Return]])</f>
        <v>1.4482187854102733</v>
      </c>
      <c r="HI58" s="27">
        <f>MAX(HI57,PortfolioFrontier[[#This Row],[P54 Growth]])</f>
        <v>1.4483030788515188</v>
      </c>
      <c r="HJ58" s="27">
        <f>PortfolioFrontier[[#This Row],[P54 Growth]]/PortfolioFrontier[[#This Row],[P54 HWM]]-1</f>
        <v>-5.820152043889415E-5</v>
      </c>
      <c r="HK58" s="28">
        <f>SUMPRODUCT(INDEX(PortfolioRef[[SPY]:[PE]],MATCH(HK$1,PortfolioRef[Reference '#]),0),AssetMonthlyReturns[[#This Row],[SPY]:[PE]])</f>
        <v>5.7229956751261135E-2</v>
      </c>
      <c r="HL58" s="27">
        <f>IF(ISNUMBER(HL57),HL57*(1+PortfolioFrontier[[#This Row],[P55 Return]]),1+PortfolioFrontier[[#This Row],[P55 Return]])</f>
        <v>1.4626623897739723</v>
      </c>
      <c r="HM58" s="27">
        <f>MAX(HM57,PortfolioFrontier[[#This Row],[P55 Growth]])</f>
        <v>1.4626623897739723</v>
      </c>
      <c r="HN58" s="27">
        <f>PortfolioFrontier[[#This Row],[P55 Growth]]/PortfolioFrontier[[#This Row],[P55 HWM]]-1</f>
        <v>0</v>
      </c>
      <c r="HO58" s="28">
        <f>SUMPRODUCT(INDEX(PortfolioRef[[SPY]:[PE]],MATCH(HO$1,PortfolioRef[Reference '#]),0),AssetMonthlyReturns[[#This Row],[SPY]:[PE]])</f>
        <v>5.3023775581812996E-2</v>
      </c>
      <c r="HP58" s="27">
        <f>IF(ISNUMBER(HP57),HP57*(1+PortfolioFrontier[[#This Row],[P56 Return]]),1+PortfolioFrontier[[#This Row],[P56 Return]])</f>
        <v>1.452303824273756</v>
      </c>
      <c r="HQ58" s="27">
        <f>MAX(HQ57,PortfolioFrontier[[#This Row],[P56 Growth]])</f>
        <v>1.452303824273756</v>
      </c>
      <c r="HR58" s="27">
        <f>PortfolioFrontier[[#This Row],[P56 Growth]]/PortfolioFrontier[[#This Row],[P56 HWM]]-1</f>
        <v>0</v>
      </c>
      <c r="HS58" s="28">
        <f>SUMPRODUCT(INDEX(PortfolioRef[[SPY]:[PE]],MATCH(HS$1,PortfolioRef[Reference '#]),0),AssetMonthlyReturns[[#This Row],[SPY]:[PE]])</f>
        <v>4.8817594412364856E-2</v>
      </c>
      <c r="HT58" s="27">
        <f>IF(ISNUMBER(HT57),HT57*(1+PortfolioFrontier[[#This Row],[P57 Return]]),1+PortfolioFrontier[[#This Row],[P57 Return]])</f>
        <v>1.4415105138127173</v>
      </c>
      <c r="HU58" s="27">
        <f>MAX(HU57,PortfolioFrontier[[#This Row],[P57 Growth]])</f>
        <v>1.4415105138127173</v>
      </c>
      <c r="HV58" s="27">
        <f>PortfolioFrontier[[#This Row],[P57 Growth]]/PortfolioFrontier[[#This Row],[P57 HWM]]-1</f>
        <v>0</v>
      </c>
      <c r="HW58" s="28">
        <f>SUMPRODUCT(INDEX(PortfolioRef[[SPY]:[PE]],MATCH(HW$1,PortfolioRef[Reference '#]),0),AssetMonthlyReturns[[#This Row],[SPY]:[PE]])</f>
        <v>6.4771714318734658E-2</v>
      </c>
      <c r="HX58" s="27">
        <f>IF(ISNUMBER(HX57),HX57*(1+PortfolioFrontier[[#This Row],[P58 Return]]),1+PortfolioFrontier[[#This Row],[P58 Return]])</f>
        <v>1.4544789992862575</v>
      </c>
      <c r="HY58" s="27">
        <f>MAX(HY57,PortfolioFrontier[[#This Row],[P58 Growth]])</f>
        <v>1.4544789992862575</v>
      </c>
      <c r="HZ58" s="27">
        <f>PortfolioFrontier[[#This Row],[P58 Growth]]/PortfolioFrontier[[#This Row],[P58 HWM]]-1</f>
        <v>0</v>
      </c>
      <c r="IA58" s="28">
        <f>SUMPRODUCT(INDEX(PortfolioRef[[SPY]:[PE]],MATCH(IA$1,PortfolioRef[Reference '#]),0),AssetMonthlyReturns[[#This Row],[SPY]:[PE]])</f>
        <v>6.0565533149286518E-2</v>
      </c>
      <c r="IB58" s="27">
        <f>IF(ISNUMBER(IB57),IB57*(1+PortfolioFrontier[[#This Row],[P59 Return]]),1+PortfolioFrontier[[#This Row],[P59 Return]])</f>
        <v>1.4445745314100826</v>
      </c>
      <c r="IC58" s="27">
        <f>MAX(IC57,PortfolioFrontier[[#This Row],[P59 Growth]])</f>
        <v>1.4445745314100826</v>
      </c>
      <c r="ID58" s="27">
        <f>PortfolioFrontier[[#This Row],[P59 Growth]]/PortfolioFrontier[[#This Row],[P59 HWM]]-1</f>
        <v>0</v>
      </c>
      <c r="IE58" s="28">
        <f>SUMPRODUCT(INDEX(PortfolioRef[[SPY]:[PE]],MATCH(IE$1,PortfolioRef[Reference '#]),0),AssetMonthlyReturns[[#This Row],[SPY]:[PE]])</f>
        <v>5.6359351979838372E-2</v>
      </c>
      <c r="IF58" s="27">
        <f>IF(ISNUMBER(IF57),IF57*(1+PortfolioFrontier[[#This Row],[P60 Return]]),1+PortfolioFrontier[[#This Row],[P60 Return]])</f>
        <v>1.4342281211322609</v>
      </c>
      <c r="IG58" s="27">
        <f>MAX(IG57,PortfolioFrontier[[#This Row],[P60 Growth]])</f>
        <v>1.4342281211322609</v>
      </c>
      <c r="IH58" s="27">
        <f>PortfolioFrontier[[#This Row],[P60 Growth]]/PortfolioFrontier[[#This Row],[P60 HWM]]-1</f>
        <v>0</v>
      </c>
      <c r="II58" s="28">
        <f>SUMPRODUCT(INDEX(PortfolioRef[[SPY]:[PE]],MATCH(II$1,PortfolioRef[Reference '#]),0),AssetMonthlyReturns[[#This Row],[SPY]:[PE]])</f>
        <v>4.3018421839099943E-2</v>
      </c>
      <c r="IJ58" s="27">
        <f>IF(ISNUMBER(IJ57),IJ57*(1+PortfolioFrontier[[#This Row],[P61 Return]]),1+PortfolioFrontier[[#This Row],[P61 Return]])</f>
        <v>1.4106342580078335</v>
      </c>
      <c r="IK58" s="27">
        <f>MAX(IK57,PortfolioFrontier[[#This Row],[P61 Growth]])</f>
        <v>1.4106342580078335</v>
      </c>
      <c r="IL58" s="27">
        <f>PortfolioFrontier[[#This Row],[P61 Growth]]/PortfolioFrontier[[#This Row],[P61 HWM]]-1</f>
        <v>0</v>
      </c>
      <c r="IM58" s="28">
        <f>SUMPRODUCT(INDEX(PortfolioRef[[SPY]:[PE]],MATCH(IM$1,PortfolioRef[Reference '#]),0),AssetMonthlyReturns[[#This Row],[SPY]:[PE]])</f>
        <v>3.9707041843560012E-2</v>
      </c>
      <c r="IN58" s="27">
        <f>IF(ISNUMBER(IN57),IN57*(1+PortfolioFrontier[[#This Row],[P62 Return]]),1+PortfolioFrontier[[#This Row],[P62 Return]])</f>
        <v>1.4203540613736634</v>
      </c>
      <c r="IO58" s="27">
        <f>MAX(IO57,PortfolioFrontier[[#This Row],[P62 Growth]])</f>
        <v>1.4203540613736634</v>
      </c>
      <c r="IP58" s="27">
        <f>PortfolioFrontier[[#This Row],[P62 Growth]]/PortfolioFrontier[[#This Row],[P62 HWM]]-1</f>
        <v>0</v>
      </c>
      <c r="IQ58" s="28">
        <f>SUMPRODUCT(INDEX(PortfolioRef[[SPY]:[PE]],MATCH(IQ$1,PortfolioRef[Reference '#]),0),AssetMonthlyReturns[[#This Row],[SPY]:[PE]])</f>
        <v>4.7248799411033535E-2</v>
      </c>
      <c r="IR58" s="27">
        <f>IF(ISNUMBER(IR57),IR57*(1+PortfolioFrontier[[#This Row],[P63 Return]]),1+PortfolioFrontier[[#This Row],[P63 Return]])</f>
        <v>1.4139448601119744</v>
      </c>
      <c r="IS58" s="27">
        <f>MAX(IS57,PortfolioFrontier[[#This Row],[P63 Growth]])</f>
        <v>1.4139448601119744</v>
      </c>
      <c r="IT58" s="27">
        <f>PortfolioFrontier[[#This Row],[P63 Growth]]/PortfolioFrontier[[#This Row],[P63 HWM]]-1</f>
        <v>0</v>
      </c>
      <c r="IU58" s="28">
        <f>SUMPRODUCT(INDEX(PortfolioRef[[SPY]:[PE]],MATCH(IU$1,PortfolioRef[Reference '#]),0),AssetMonthlyReturns[[#This Row],[SPY]:[PE]])</f>
        <v>4.3042618241585395E-2</v>
      </c>
      <c r="IV58" s="27">
        <f>IF(ISNUMBER(IV57),IV57*(1+PortfolioFrontier[[#This Row],[P64 Return]]),1+PortfolioFrontier[[#This Row],[P64 Return]])</f>
        <v>1.4028080884297933</v>
      </c>
      <c r="IW58" s="27">
        <f>MAX(IW57,PortfolioFrontier[[#This Row],[P64 Growth]])</f>
        <v>1.4028080884297933</v>
      </c>
      <c r="IX58" s="27">
        <f>PortfolioFrontier[[#This Row],[P64 Growth]]/PortfolioFrontier[[#This Row],[P64 HWM]]-1</f>
        <v>0</v>
      </c>
      <c r="IY58" s="28">
        <f>SUMPRODUCT(INDEX(PortfolioRef[[SPY]:[PE]],MATCH(IY$1,PortfolioRef[Reference '#]),0),AssetMonthlyReturns[[#This Row],[SPY]:[PE]])</f>
        <v>3.6395661848020067E-2</v>
      </c>
      <c r="IZ58" s="27">
        <f>IF(ISNUMBER(IZ57),IZ57*(1+PortfolioFrontier[[#This Row],[P65 Return]]),1+PortfolioFrontier[[#This Row],[P65 Return]])</f>
        <v>1.4299368093429787</v>
      </c>
      <c r="JA58" s="27">
        <f>MAX(JA57,PortfolioFrontier[[#This Row],[P65 Growth]])</f>
        <v>1.4319950429411292</v>
      </c>
      <c r="JB58" s="27">
        <f>PortfolioFrontier[[#This Row],[P65 Growth]]/PortfolioFrontier[[#This Row],[P65 HWM]]-1</f>
        <v>-1.4373189406600151E-3</v>
      </c>
      <c r="JC58" s="28">
        <f>SUMPRODUCT(INDEX(PortfolioRef[[SPY]:[PE]],MATCH(JC$1,PortfolioRef[Reference '#]),0),AssetMonthlyReturns[[#This Row],[SPY]:[PE]])</f>
        <v>4.3937419415493596E-2</v>
      </c>
      <c r="JD58" s="27">
        <f>IF(ISNUMBER(JD57),JD57*(1+PortfolioFrontier[[#This Row],[P66 Return]]),1+PortfolioFrontier[[#This Row],[P66 Return]])</f>
        <v>1.4236742163139635</v>
      </c>
      <c r="JE58" s="27">
        <f>MAX(JE57,PortfolioFrontier[[#This Row],[P66 Growth]])</f>
        <v>1.4236742163139635</v>
      </c>
      <c r="JF58" s="27">
        <f>PortfolioFrontier[[#This Row],[P66 Growth]]/PortfolioFrontier[[#This Row],[P66 HWM]]-1</f>
        <v>0</v>
      </c>
      <c r="JG58" s="28">
        <f>SUMPRODUCT(INDEX(PortfolioRef[[SPY]:[PE]],MATCH(JG$1,PortfolioRef[Reference '#]),0),AssetMonthlyReturns[[#This Row],[SPY]:[PE]])</f>
        <v>3.9731238246045457E-2</v>
      </c>
      <c r="JH58" s="27">
        <f>IF(ISNUMBER(JH57),JH57*(1+PortfolioFrontier[[#This Row],[P67 Return]]),1+PortfolioFrontier[[#This Row],[P67 Return]])</f>
        <v>1.4124960631687569</v>
      </c>
      <c r="JI58" s="27">
        <f>MAX(JI57,PortfolioFrontier[[#This Row],[P67 Growth]])</f>
        <v>1.4124960631687569</v>
      </c>
      <c r="JJ58" s="27">
        <f>PortfolioFrontier[[#This Row],[P67 Growth]]/PortfolioFrontier[[#This Row],[P67 HWM]]-1</f>
        <v>0</v>
      </c>
      <c r="JK58" s="28">
        <f>SUMPRODUCT(INDEX(PortfolioRef[[SPY]:[PE]],MATCH(JK$1,PortfolioRef[Reference '#]),0),AssetMonthlyReturns[[#This Row],[SPY]:[PE]])</f>
        <v>5.1479176982967112E-2</v>
      </c>
      <c r="JL58" s="27">
        <f>IF(ISNUMBER(JL57),JL57*(1+PortfolioFrontier[[#This Row],[P68 Return]]),1+PortfolioFrontier[[#This Row],[P68 Return]])</f>
        <v>1.4168431174022238</v>
      </c>
      <c r="JM58" s="27">
        <f>MAX(JM57,PortfolioFrontier[[#This Row],[P68 Growth]])</f>
        <v>1.4168431174022238</v>
      </c>
      <c r="JN58" s="27">
        <f>PortfolioFrontier[[#This Row],[P68 Growth]]/PortfolioFrontier[[#This Row],[P68 HWM]]-1</f>
        <v>0</v>
      </c>
      <c r="JO58" s="28">
        <f>SUMPRODUCT(INDEX(PortfolioRef[[SPY]:[PE]],MATCH(JO$1,PortfolioRef[Reference '#]),0),AssetMonthlyReturns[[#This Row],[SPY]:[PE]])</f>
        <v>4.727299581351898E-2</v>
      </c>
      <c r="JP58" s="27">
        <f>IF(ISNUMBER(JP57),JP57*(1+PortfolioFrontier[[#This Row],[P69 Return]]),1+PortfolioFrontier[[#This Row],[P69 Return]])</f>
        <v>1.4060949379425673</v>
      </c>
      <c r="JQ58" s="27">
        <f>MAX(JQ57,PortfolioFrontier[[#This Row],[P69 Growth]])</f>
        <v>1.4060949379425673</v>
      </c>
      <c r="JR58" s="27">
        <f>PortfolioFrontier[[#This Row],[P69 Growth]]/PortfolioFrontier[[#This Row],[P69 HWM]]-1</f>
        <v>0</v>
      </c>
      <c r="JS58" s="28">
        <f>SUMPRODUCT(INDEX(PortfolioRef[[SPY]:[PE]],MATCH(JS$1,PortfolioRef[Reference '#]),0),AssetMonthlyReturns[[#This Row],[SPY]:[PE]])</f>
        <v>4.3066814644070833E-2</v>
      </c>
      <c r="JT58" s="27">
        <f>IF(ISNUMBER(JT57),JT57*(1+PortfolioFrontier[[#This Row],[P70 Return]]),1+PortfolioFrontier[[#This Row],[P70 Return]])</f>
        <v>1.3949417473812711</v>
      </c>
      <c r="JU58" s="27">
        <f>MAX(JU57,PortfolioFrontier[[#This Row],[P70 Growth]])</f>
        <v>1.3949417473812711</v>
      </c>
      <c r="JV58" s="27">
        <f>PortfolioFrontier[[#This Row],[P70 Growth]]/PortfolioFrontier[[#This Row],[P70 HWM]]-1</f>
        <v>0</v>
      </c>
      <c r="JW58" s="28">
        <f>SUMPRODUCT(INDEX(PortfolioRef[[SPY]:[PE]],MATCH(JW$1,PortfolioRef[Reference '#]),0),AssetMonthlyReturns[[#This Row],[SPY]:[PE]])</f>
        <v>4.0626039419953658E-2</v>
      </c>
      <c r="JX58" s="27">
        <f>IF(ISNUMBER(JX57),JX57*(1+PortfolioFrontier[[#This Row],[P71 Return]]),1+PortfolioFrontier[[#This Row],[P71 Return]])</f>
        <v>1.4332663705317803</v>
      </c>
      <c r="JY58" s="27">
        <f>MAX(JY57,PortfolioFrontier[[#This Row],[P71 Growth]])</f>
        <v>1.4332663705317803</v>
      </c>
      <c r="JZ58" s="27">
        <f>PortfolioFrontier[[#This Row],[P71 Growth]]/PortfolioFrontier[[#This Row],[P71 HWM]]-1</f>
        <v>0</v>
      </c>
      <c r="KA58" s="28">
        <f>SUMPRODUCT(INDEX(PortfolioRef[[SPY]:[PE]],MATCH(KA$1,PortfolioRef[Reference '#]),0),AssetMonthlyReturns[[#This Row],[SPY]:[PE]])</f>
        <v>3.6419858250505519E-2</v>
      </c>
      <c r="KB58" s="27">
        <f>IF(ISNUMBER(KB57),KB57*(1+PortfolioFrontier[[#This Row],[P72 Return]]),1+PortfolioFrontier[[#This Row],[P72 Return]])</f>
        <v>1.4220480051979831</v>
      </c>
      <c r="KC58" s="27">
        <f>MAX(KC57,PortfolioFrontier[[#This Row],[P72 Growth]])</f>
        <v>1.4243915037022443</v>
      </c>
      <c r="KD58" s="27">
        <f>PortfolioFrontier[[#This Row],[P72 Growth]]/PortfolioFrontier[[#This Row],[P72 HWM]]-1</f>
        <v>-1.6452629057179813E-3</v>
      </c>
      <c r="KE58" s="28">
        <f>SUMPRODUCT(INDEX(PortfolioRef[[SPY]:[PE]],MATCH(KE$1,PortfolioRef[Reference '#]),0),AssetMonthlyReturns[[#This Row],[SPY]:[PE]])</f>
        <v>4.8167796987427181E-2</v>
      </c>
      <c r="KF58" s="27">
        <f>IF(ISNUMBER(KF57),KF57*(1+PortfolioFrontier[[#This Row],[P73 Return]]),1+PortfolioFrontier[[#This Row],[P73 Return]])</f>
        <v>1.4265792884954089</v>
      </c>
      <c r="KG58" s="27">
        <f>MAX(KG57,PortfolioFrontier[[#This Row],[P73 Growth]])</f>
        <v>1.4265792884954089</v>
      </c>
      <c r="KH58" s="27">
        <f>PortfolioFrontier[[#This Row],[P73 Growth]]/PortfolioFrontier[[#This Row],[P73 HWM]]-1</f>
        <v>0</v>
      </c>
      <c r="KI58" s="28">
        <f>SUMPRODUCT(INDEX(PortfolioRef[[SPY]:[PE]],MATCH(KI$1,PortfolioRef[Reference '#]),0),AssetMonthlyReturns[[#This Row],[SPY]:[PE]])</f>
        <v>4.3961615817979048E-2</v>
      </c>
      <c r="KJ58" s="27">
        <f>IF(ISNUMBER(KJ57),KJ57*(1+PortfolioFrontier[[#This Row],[P74 Return]]),1+PortfolioFrontier[[#This Row],[P74 Return]])</f>
        <v>1.4157924270531534</v>
      </c>
      <c r="KK58" s="27">
        <f>MAX(KK57,PortfolioFrontier[[#This Row],[P74 Growth]])</f>
        <v>1.4157924270531534</v>
      </c>
      <c r="KL58" s="27">
        <f>PortfolioFrontier[[#This Row],[P74 Growth]]/PortfolioFrontier[[#This Row],[P74 HWM]]-1</f>
        <v>0</v>
      </c>
      <c r="KM58" s="28">
        <f>SUMPRODUCT(INDEX(PortfolioRef[[SPY]:[PE]],MATCH(KM$1,PortfolioRef[Reference '#]),0),AssetMonthlyReturns[[#This Row],[SPY]:[PE]])</f>
        <v>3.9755434648530902E-2</v>
      </c>
      <c r="KN58" s="27">
        <f>IF(ISNUMBER(KN57),KN57*(1+PortfolioFrontier[[#This Row],[P75 Return]]),1+PortfolioFrontier[[#This Row],[P75 Return]])</f>
        <v>1.4045973720065243</v>
      </c>
      <c r="KO58" s="27">
        <f>MAX(KO57,PortfolioFrontier[[#This Row],[P75 Growth]])</f>
        <v>1.4045973720065243</v>
      </c>
      <c r="KP58" s="27">
        <f>PortfolioFrontier[[#This Row],[P75 Growth]]/PortfolioFrontier[[#This Row],[P75 HWM]]-1</f>
        <v>0</v>
      </c>
      <c r="KQ58" s="28">
        <f>SUMPRODUCT(INDEX(PortfolioRef[[SPY]:[PE]],MATCH(KQ$1,PortfolioRef[Reference '#]),0),AssetMonthlyReturns[[#This Row],[SPY]:[PE]])</f>
        <v>5.5709554554900703E-2</v>
      </c>
      <c r="KR58" s="27">
        <f>IF(ISNUMBER(KR57),KR57*(1+PortfolioFrontier[[#This Row],[P76 Return]]),1+PortfolioFrontier[[#This Row],[P76 Return]])</f>
        <v>1.4193231772460473</v>
      </c>
      <c r="KS58" s="27">
        <f>MAX(KS57,PortfolioFrontier[[#This Row],[P76 Growth]])</f>
        <v>1.4193231772460473</v>
      </c>
      <c r="KT58" s="27">
        <f>PortfolioFrontier[[#This Row],[P76 Growth]]/PortfolioFrontier[[#This Row],[P76 HWM]]-1</f>
        <v>0</v>
      </c>
      <c r="KU58" s="28">
        <f>SUMPRODUCT(INDEX(PortfolioRef[[SPY]:[PE]],MATCH(KU$1,PortfolioRef[Reference '#]),0),AssetMonthlyReturns[[#This Row],[SPY]:[PE]])</f>
        <v>5.1503373385452564E-2</v>
      </c>
      <c r="KV58" s="27">
        <f>IF(ISNUMBER(KV57),KV57*(1+PortfolioFrontier[[#This Row],[P77 Return]]),1+PortfolioFrontier[[#This Row],[P77 Return]])</f>
        <v>1.4089717085861146</v>
      </c>
      <c r="KW58" s="27">
        <f>MAX(KW57,PortfolioFrontier[[#This Row],[P77 Growth]])</f>
        <v>1.4089717085861146</v>
      </c>
      <c r="KX58" s="27">
        <f>PortfolioFrontier[[#This Row],[P77 Growth]]/PortfolioFrontier[[#This Row],[P77 HWM]]-1</f>
        <v>0</v>
      </c>
      <c r="KY58" s="28">
        <f>SUMPRODUCT(INDEX(PortfolioRef[[SPY]:[PE]],MATCH(KY$1,PortfolioRef[Reference '#]),0),AssetMonthlyReturns[[#This Row],[SPY]:[PE]])</f>
        <v>4.7297192216004424E-2</v>
      </c>
      <c r="KZ58" s="27">
        <f>IF(ISNUMBER(KZ57),KZ57*(1+PortfolioFrontier[[#This Row],[P78 Return]]),1+PortfolioFrontier[[#This Row],[P78 Return]])</f>
        <v>1.3982047019467321</v>
      </c>
      <c r="LA58" s="27">
        <f>MAX(LA57,PortfolioFrontier[[#This Row],[P78 Growth]])</f>
        <v>1.3982047019467321</v>
      </c>
      <c r="LB58" s="27">
        <f>PortfolioFrontier[[#This Row],[P78 Growth]]/PortfolioFrontier[[#This Row],[P78 HWM]]-1</f>
        <v>0</v>
      </c>
      <c r="LC58" s="28">
        <f>SUMPRODUCT(INDEX(PortfolioRef[[SPY]:[PE]],MATCH(LC$1,PortfolioRef[Reference '#]),0),AssetMonthlyReturns[[#This Row],[SPY]:[PE]])</f>
        <v>4.4856416991887249E-2</v>
      </c>
      <c r="LD58" s="27">
        <f>IF(ISNUMBER(LD57),LD57*(1+PortfolioFrontier[[#This Row],[P79 Return]]),1+PortfolioFrontier[[#This Row],[P79 Return]])</f>
        <v>1.4361781494029133</v>
      </c>
      <c r="LE58" s="27">
        <f>MAX(LE57,PortfolioFrontier[[#This Row],[P79 Growth]])</f>
        <v>1.4361781494029133</v>
      </c>
      <c r="LF58" s="27">
        <f>PortfolioFrontier[[#This Row],[P79 Growth]]/PortfolioFrontier[[#This Row],[P79 HWM]]-1</f>
        <v>0</v>
      </c>
      <c r="LG58" s="28">
        <f>SUMPRODUCT(INDEX(PortfolioRef[[SPY]:[PE]],MATCH(LG$1,PortfolioRef[Reference '#]),0),AssetMonthlyReturns[[#This Row],[SPY]:[PE]])</f>
        <v>4.065023582243911E-2</v>
      </c>
      <c r="LH58" s="27">
        <f>IF(ISNUMBER(LH57),LH57*(1+PortfolioFrontier[[#This Row],[P80 Return]]),1+PortfolioFrontier[[#This Row],[P80 Return]])</f>
        <v>1.4253537383736534</v>
      </c>
      <c r="LI58" s="27">
        <f>MAX(LI57,PortfolioFrontier[[#This Row],[P80 Growth]])</f>
        <v>1.4255437216719848</v>
      </c>
      <c r="LJ58" s="27">
        <f>PortfolioFrontier[[#This Row],[P80 Growth]]/PortfolioFrontier[[#This Row],[P80 HWM]]-1</f>
        <v>-1.3327076219638023E-4</v>
      </c>
      <c r="LK58" s="28">
        <f>SUMPRODUCT(INDEX(PortfolioRef[[SPY]:[PE]],MATCH(LK$1,PortfolioRef[Reference '#]),0),AssetMonthlyReturns[[#This Row],[SPY]:[PE]])</f>
        <v>3.6444054652990963E-2</v>
      </c>
      <c r="LL58" s="27">
        <f>IF(ISNUMBER(LL57),LL57*(1+PortfolioFrontier[[#This Row],[P81 Return]]),1+PortfolioFrontier[[#This Row],[P81 Return]])</f>
        <v>1.4141179872582694</v>
      </c>
      <c r="LM58" s="27">
        <f>MAX(LM57,PortfolioFrontier[[#This Row],[P81 Growth]])</f>
        <v>1.4167439189225519</v>
      </c>
      <c r="LN58" s="27">
        <f>PortfolioFrontier[[#This Row],[P81 Growth]]/PortfolioFrontier[[#This Row],[P81 HWM]]-1</f>
        <v>-1.8534977487529858E-3</v>
      </c>
      <c r="LO58" s="28">
        <f>SUMPRODUCT(INDEX(PortfolioRef[[SPY]:[PE]],MATCH(LO$1,PortfolioRef[Reference '#]),0),AssetMonthlyReturns[[#This Row],[SPY]:[PE]])</f>
        <v>5.2398174559360772E-2</v>
      </c>
      <c r="LP58" s="27">
        <f>IF(ISNUMBER(LP57),LP57*(1+PortfolioFrontier[[#This Row],[P82 Return]]),1+PortfolioFrontier[[#This Row],[P82 Return]])</f>
        <v>1.4290633996298006</v>
      </c>
      <c r="LQ58" s="27">
        <f>MAX(LQ57,PortfolioFrontier[[#This Row],[P82 Growth]])</f>
        <v>1.4290633996298006</v>
      </c>
      <c r="LR58" s="27">
        <f>PortfolioFrontier[[#This Row],[P82 Growth]]/PortfolioFrontier[[#This Row],[P82 HWM]]-1</f>
        <v>0</v>
      </c>
      <c r="LS58" s="28">
        <f>SUMPRODUCT(INDEX(PortfolioRef[[SPY]:[PE]],MATCH(LS$1,PortfolioRef[Reference '#]),0),AssetMonthlyReturns[[#This Row],[SPY]:[PE]])</f>
        <v>4.8191993389912632E-2</v>
      </c>
      <c r="LT58" s="27">
        <f>IF(ISNUMBER(LT57),LT57*(1+PortfolioFrontier[[#This Row],[P83 Return]]),1+PortfolioFrontier[[#This Row],[P83 Return]])</f>
        <v>1.4186759836244256</v>
      </c>
      <c r="LU58" s="27">
        <f>MAX(LU57,PortfolioFrontier[[#This Row],[P83 Growth]])</f>
        <v>1.4186759836244256</v>
      </c>
      <c r="LV58" s="27">
        <f>PortfolioFrontier[[#This Row],[P83 Growth]]/PortfolioFrontier[[#This Row],[P83 HWM]]-1</f>
        <v>0</v>
      </c>
      <c r="LW58" s="28">
        <f>SUMPRODUCT(INDEX(PortfolioRef[[SPY]:[PE]],MATCH(LW$1,PortfolioRef[Reference '#]),0),AssetMonthlyReturns[[#This Row],[SPY]:[PE]])</f>
        <v>4.3985812220464493E-2</v>
      </c>
      <c r="LX58" s="27">
        <f>IF(ISNUMBER(LX57),LX57*(1+PortfolioFrontier[[#This Row],[P84 Return]]),1+PortfolioFrontier[[#This Row],[P84 Return]])</f>
        <v>1.4078698010355366</v>
      </c>
      <c r="LY58" s="27">
        <f>MAX(LY57,PortfolioFrontier[[#This Row],[P84 Growth]])</f>
        <v>1.4078698010355366</v>
      </c>
      <c r="LZ58" s="27">
        <f>PortfolioFrontier[[#This Row],[P84 Growth]]/PortfolioFrontier[[#This Row],[P84 HWM]]-1</f>
        <v>0</v>
      </c>
      <c r="MA58" s="28">
        <f>SUMPRODUCT(INDEX(PortfolioRef[[SPY]:[PE]],MATCH(MA$1,PortfolioRef[Reference '#]),0),AssetMonthlyReturns[[#This Row],[SPY]:[PE]])</f>
        <v>5.9939932126834294E-2</v>
      </c>
      <c r="MB58" s="27">
        <f>IF(ISNUMBER(MB57),MB57*(1+PortfolioFrontier[[#This Row],[P85 Return]]),1+PortfolioFrontier[[#This Row],[P85 Return]])</f>
        <v>1.4213793979416762</v>
      </c>
      <c r="MC58" s="27">
        <f>MAX(MC57,PortfolioFrontier[[#This Row],[P85 Growth]])</f>
        <v>1.4213793979416762</v>
      </c>
      <c r="MD58" s="27">
        <f>PortfolioFrontier[[#This Row],[P85 Growth]]/PortfolioFrontier[[#This Row],[P85 HWM]]-1</f>
        <v>0</v>
      </c>
      <c r="ME58" s="28">
        <f>SUMPRODUCT(INDEX(PortfolioRef[[SPY]:[PE]],MATCH(ME$1,PortfolioRef[Reference '#]),0),AssetMonthlyReturns[[#This Row],[SPY]:[PE]])</f>
        <v>5.5733750957386155E-2</v>
      </c>
      <c r="MF58" s="27">
        <f>IF(ISNUMBER(MF57),MF57*(1+PortfolioFrontier[[#This Row],[P86 Return]]),1+PortfolioFrontier[[#This Row],[P86 Return]])</f>
        <v>1.4114325905888458</v>
      </c>
      <c r="MG58" s="27">
        <f>MAX(MG57,PortfolioFrontier[[#This Row],[P86 Growth]])</f>
        <v>1.4114325905888458</v>
      </c>
      <c r="MH58" s="27">
        <f>PortfolioFrontier[[#This Row],[P86 Growth]]/PortfolioFrontier[[#This Row],[P86 HWM]]-1</f>
        <v>0</v>
      </c>
      <c r="MI58" s="28">
        <f>SUMPRODUCT(INDEX(PortfolioRef[[SPY]:[PE]],MATCH(MI$1,PortfolioRef[Reference '#]),0),AssetMonthlyReturns[[#This Row],[SPY]:[PE]])</f>
        <v>5.1527569787938009E-2</v>
      </c>
      <c r="MJ58" s="27">
        <f>IF(ISNUMBER(MJ57),MJ57*(1+PortfolioFrontier[[#This Row],[P87 Return]]),1+PortfolioFrontier[[#This Row],[P87 Return]])</f>
        <v>1.4010598517003965</v>
      </c>
      <c r="MK58" s="27">
        <f>MAX(MK57,PortfolioFrontier[[#This Row],[P87 Growth]])</f>
        <v>1.4010598517003965</v>
      </c>
      <c r="ML58" s="27">
        <f>PortfolioFrontier[[#This Row],[P87 Growth]]/PortfolioFrontier[[#This Row],[P87 HWM]]-1</f>
        <v>0</v>
      </c>
      <c r="MM58" s="28">
        <f>SUMPRODUCT(INDEX(PortfolioRef[[SPY]:[PE]],MATCH(MM$1,PortfolioRef[Reference '#]),0),AssetMonthlyReturns[[#This Row],[SPY]:[PE]])</f>
        <v>4.9086794563820826E-2</v>
      </c>
      <c r="MN58" s="27">
        <f>IF(ISNUMBER(MN57),MN57*(1+PortfolioFrontier[[#This Row],[P88 Return]]),1+PortfolioFrontier[[#This Row],[P88 Return]])</f>
        <v>1.4386662424583245</v>
      </c>
      <c r="MO58" s="27">
        <f>MAX(MO57,PortfolioFrontier[[#This Row],[P88 Growth]])</f>
        <v>1.4386662424583245</v>
      </c>
      <c r="MP58" s="27">
        <f>PortfolioFrontier[[#This Row],[P88 Growth]]/PortfolioFrontier[[#This Row],[P88 HWM]]-1</f>
        <v>0</v>
      </c>
      <c r="MQ58" s="28">
        <f>SUMPRODUCT(INDEX(PortfolioRef[[SPY]:[PE]],MATCH(MQ$1,PortfolioRef[Reference '#]),0),AssetMonthlyReturns[[#This Row],[SPY]:[PE]])</f>
        <v>4.4880613394372687E-2</v>
      </c>
      <c r="MR58" s="27">
        <f>IF(ISNUMBER(MR57),MR57*(1+PortfolioFrontier[[#This Row],[P89 Return]]),1+PortfolioFrontier[[#This Row],[P89 Return]])</f>
        <v>1.4282439738941526</v>
      </c>
      <c r="MS58" s="27">
        <f>MAX(MS57,PortfolioFrontier[[#This Row],[P89 Growth]])</f>
        <v>1.4282439738941526</v>
      </c>
      <c r="MT58" s="27">
        <f>PortfolioFrontier[[#This Row],[P89 Growth]]/PortfolioFrontier[[#This Row],[P89 HWM]]-1</f>
        <v>0</v>
      </c>
      <c r="MU58" s="28">
        <f>SUMPRODUCT(INDEX(PortfolioRef[[SPY]:[PE]],MATCH(MU$1,PortfolioRef[Reference '#]),0),AssetMonthlyReturns[[#This Row],[SPY]:[PE]])</f>
        <v>4.0674432224924548E-2</v>
      </c>
      <c r="MV58" s="27">
        <f>IF(ISNUMBER(MV57),MV57*(1+PortfolioFrontier[[#This Row],[P90 Return]]),1+PortfolioFrontier[[#This Row],[P90 Return]])</f>
        <v>1.4173997471804802</v>
      </c>
      <c r="MW58" s="27">
        <f>MAX(MW57,PortfolioFrontier[[#This Row],[P90 Growth]])</f>
        <v>1.4178854421532396</v>
      </c>
      <c r="MX58" s="27">
        <f>PortfolioFrontier[[#This Row],[P90 Growth]]/PortfolioFrontier[[#This Row],[P90 HWM]]-1</f>
        <v>-3.4254881129314185E-4</v>
      </c>
      <c r="MY58" s="28">
        <f>SUMPRODUCT(INDEX(PortfolioRef[[SPY]:[PE]],MATCH(MY$1,PortfolioRef[Reference '#]),0),AssetMonthlyReturns[[#This Row],[SPY]:[PE]])</f>
        <v>5.6628552131294349E-2</v>
      </c>
      <c r="MZ58" s="27">
        <f>IF(ISNUMBER(MZ57),MZ57*(1+PortfolioFrontier[[#This Row],[P91 Return]]),1+PortfolioFrontier[[#This Row],[P91 Return]])</f>
        <v>1.431120883879796</v>
      </c>
      <c r="NA58" s="27">
        <f>MAX(NA57,PortfolioFrontier[[#This Row],[P91 Growth]])</f>
        <v>1.431120883879796</v>
      </c>
      <c r="NB58" s="27">
        <f>PortfolioFrontier[[#This Row],[P91 Growth]]/PortfolioFrontier[[#This Row],[P91 HWM]]-1</f>
        <v>0</v>
      </c>
      <c r="NC58" s="28">
        <f>SUMPRODUCT(INDEX(PortfolioRef[[SPY]:[PE]],MATCH(NC$1,PortfolioRef[Reference '#]),0),AssetMonthlyReturns[[#This Row],[SPY]:[PE]])</f>
        <v>5.2422370961846217E-2</v>
      </c>
      <c r="ND58" s="27">
        <f>IF(ISNUMBER(ND57),ND57*(1+PortfolioFrontier[[#This Row],[P92 Return]]),1+PortfolioFrontier[[#This Row],[P92 Return]])</f>
        <v>1.4211408975834086</v>
      </c>
      <c r="NE58" s="27">
        <f>MAX(NE57,PortfolioFrontier[[#This Row],[P92 Growth]])</f>
        <v>1.4211408975834086</v>
      </c>
      <c r="NF58" s="27">
        <f>PortfolioFrontier[[#This Row],[P92 Growth]]/PortfolioFrontier[[#This Row],[P92 HWM]]-1</f>
        <v>0</v>
      </c>
      <c r="NG58" s="28">
        <f>SUMPRODUCT(INDEX(PortfolioRef[[SPY]:[PE]],MATCH(NG$1,PortfolioRef[Reference '#]),0),AssetMonthlyReturns[[#This Row],[SPY]:[PE]])</f>
        <v>4.8216189792398077E-2</v>
      </c>
      <c r="NH58" s="27">
        <f>IF(ISNUMBER(NH57),NH57*(1+PortfolioFrontier[[#This Row],[P93 Return]]),1+PortfolioFrontier[[#This Row],[P93 Return]])</f>
        <v>1.4107317064300495</v>
      </c>
      <c r="NI58" s="27">
        <f>MAX(NI57,PortfolioFrontier[[#This Row],[P93 Growth]])</f>
        <v>1.4107317064300495</v>
      </c>
      <c r="NJ58" s="27">
        <f>PortfolioFrontier[[#This Row],[P93 Growth]]/PortfolioFrontier[[#This Row],[P93 HWM]]-1</f>
        <v>0</v>
      </c>
      <c r="NK58" s="28">
        <f>SUMPRODUCT(INDEX(PortfolioRef[[SPY]:[PE]],MATCH(NK$1,PortfolioRef[Reference '#]),0),AssetMonthlyReturns[[#This Row],[SPY]:[PE]])</f>
        <v>6.4170309698767872E-2</v>
      </c>
      <c r="NL58" s="27">
        <f>IF(ISNUMBER(NL57),NL57*(1+PortfolioFrontier[[#This Row],[P94 Return]]),1+PortfolioFrontier[[#This Row],[P94 Return]])</f>
        <v>1.4230063563025197</v>
      </c>
      <c r="NM58" s="27">
        <f>MAX(NM57,PortfolioFrontier[[#This Row],[P94 Growth]])</f>
        <v>1.4230063563025197</v>
      </c>
      <c r="NN58" s="27">
        <f>PortfolioFrontier[[#This Row],[P94 Growth]]/PortfolioFrontier[[#This Row],[P94 HWM]]-1</f>
        <v>0</v>
      </c>
      <c r="NO58" s="28">
        <f>SUMPRODUCT(INDEX(PortfolioRef[[SPY]:[PE]],MATCH(NO$1,PortfolioRef[Reference '#]),0),AssetMonthlyReturns[[#This Row],[SPY]:[PE]])</f>
        <v>5.9964128529319732E-2</v>
      </c>
      <c r="NP58" s="27">
        <f>IF(ISNUMBER(NP57),NP57*(1+PortfolioFrontier[[#This Row],[P95 Return]]),1+PortfolioFrontier[[#This Row],[P95 Return]])</f>
        <v>1.4134719843597816</v>
      </c>
      <c r="NQ58" s="27">
        <f>MAX(NQ57,PortfolioFrontier[[#This Row],[P95 Growth]])</f>
        <v>1.4134719843597816</v>
      </c>
      <c r="NR58" s="27">
        <f>PortfolioFrontier[[#This Row],[P95 Growth]]/PortfolioFrontier[[#This Row],[P95 HWM]]-1</f>
        <v>0</v>
      </c>
      <c r="NS58" s="28">
        <f>SUMPRODUCT(INDEX(PortfolioRef[[SPY]:[PE]],MATCH(NS$1,PortfolioRef[Reference '#]),0),AssetMonthlyReturns[[#This Row],[SPY]:[PE]])</f>
        <v>5.5757947359871593E-2</v>
      </c>
      <c r="NT58" s="27">
        <f>IF(ISNUMBER(NT57),NT57*(1+PortfolioFrontier[[#This Row],[P96 Return]]),1+PortfolioFrontier[[#This Row],[P96 Return]])</f>
        <v>1.4035014297855433</v>
      </c>
      <c r="NU58" s="27">
        <f>MAX(NU57,PortfolioFrontier[[#This Row],[P96 Growth]])</f>
        <v>1.4035014297855433</v>
      </c>
      <c r="NV58" s="27">
        <f>PortfolioFrontier[[#This Row],[P96 Growth]]/PortfolioFrontier[[#This Row],[P96 HWM]]-1</f>
        <v>0</v>
      </c>
      <c r="NW58" s="28">
        <f>SUMPRODUCT(INDEX(PortfolioRef[[SPY]:[PE]],MATCH(NW$1,PortfolioRef[Reference '#]),0),AssetMonthlyReturns[[#This Row],[SPY]:[PE]])</f>
        <v>3.818663964719958E-2</v>
      </c>
      <c r="NX58" s="27">
        <f>IF(ISNUMBER(NX57),NX57*(1+PortfolioFrontier[[#This Row],[P97 Return]]),1+PortfolioFrontier[[#This Row],[P97 Return]])</f>
        <v>1.3769021039839131</v>
      </c>
      <c r="NY58" s="27">
        <f>MAX(NY57,PortfolioFrontier[[#This Row],[P97 Growth]])</f>
        <v>1.3769021039839131</v>
      </c>
      <c r="NZ58" s="27">
        <f>PortfolioFrontier[[#This Row],[P97 Growth]]/PortfolioFrontier[[#This Row],[P97 HWM]]-1</f>
        <v>0</v>
      </c>
      <c r="OA58" s="28">
        <f>SUMPRODUCT(INDEX(PortfolioRef[[SPY]:[PE]],MATCH(OA$1,PortfolioRef[Reference '#]),0),AssetMonthlyReturns[[#This Row],[SPY]:[PE]])</f>
        <v>3.4875259651659642E-2</v>
      </c>
      <c r="OB58" s="27">
        <f>IF(ISNUMBER(OB57),OB57*(1+PortfolioFrontier[[#This Row],[P98 Return]]),1+PortfolioFrontier[[#This Row],[P98 Return]])</f>
        <v>1.3863953942589393</v>
      </c>
      <c r="OC58" s="27">
        <f>MAX(OC57,PortfolioFrontier[[#This Row],[P98 Growth]])</f>
        <v>1.3863953942589393</v>
      </c>
      <c r="OD58" s="27">
        <f>PortfolioFrontier[[#This Row],[P98 Growth]]/PortfolioFrontier[[#This Row],[P98 HWM]]-1</f>
        <v>0</v>
      </c>
      <c r="OE58" s="28">
        <f>SUMPRODUCT(INDEX(PortfolioRef[[SPY]:[PE]],MATCH(OE$1,PortfolioRef[Reference '#]),0),AssetMonthlyReturns[[#This Row],[SPY]:[PE]])</f>
        <v>4.2417017219133164E-2</v>
      </c>
      <c r="OF58" s="27">
        <f>IF(ISNUMBER(OF57),OF57*(1+PortfolioFrontier[[#This Row],[P99 Return]]),1+PortfolioFrontier[[#This Row],[P99 Return]])</f>
        <v>1.3804333852465804</v>
      </c>
      <c r="OG58" s="27">
        <f>MAX(OG57,PortfolioFrontier[[#This Row],[P99 Growth]])</f>
        <v>1.3804333852465804</v>
      </c>
      <c r="OH58" s="27">
        <f>PortfolioFrontier[[#This Row],[P99 Growth]]/PortfolioFrontier[[#This Row],[P99 HWM]]-1</f>
        <v>0</v>
      </c>
      <c r="OI58" s="28">
        <f>SUMPRODUCT(INDEX(PortfolioRef[[SPY]:[PE]],MATCH(OI$1,PortfolioRef[Reference '#]),0),AssetMonthlyReturns[[#This Row],[SPY]:[PE]])</f>
        <v>3.8210836049685025E-2</v>
      </c>
      <c r="OJ58" s="27">
        <f>IF(ISNUMBER(OJ57),OJ57*(1+PortfolioFrontier[[#This Row],[P100 Return]]),1+PortfolioFrontier[[#This Row],[P100 Return]])</f>
        <v>1.3693079508971397</v>
      </c>
      <c r="OK58" s="27">
        <f>MAX(OK57,PortfolioFrontier[[#This Row],[P100 Growth]])</f>
        <v>1.3693079508971397</v>
      </c>
      <c r="OL58" s="27">
        <f>PortfolioFrontier[[#This Row],[P100 Growth]]/PortfolioFrontier[[#This Row],[P100 HWM]]-1</f>
        <v>0</v>
      </c>
      <c r="OM58" s="28">
        <f>SUMPRODUCT(INDEX(PortfolioRef[[SPY]:[PE]],MATCH(OM$1,PortfolioRef[Reference '#]),0),AssetMonthlyReturns[[#This Row],[SPY]:[PE]])</f>
        <v>3.1563879656119703E-2</v>
      </c>
      <c r="ON58" s="27">
        <f>IF(ISNUMBER(ON57),ON57*(1+PortfolioFrontier[[#This Row],[P101 Return]]),1+PortfolioFrontier[[#This Row],[P101 Return]])</f>
        <v>1.3957544671583566</v>
      </c>
      <c r="OO58" s="27">
        <f>MAX(OO57,PortfolioFrontier[[#This Row],[P101 Growth]])</f>
        <v>1.4003175091113282</v>
      </c>
      <c r="OP58" s="27">
        <f>PortfolioFrontier[[#This Row],[P101 Growth]]/PortfolioFrontier[[#This Row],[P101 HWM]]-1</f>
        <v>-3.2585766608512756E-3</v>
      </c>
      <c r="OQ58" s="28">
        <f>SUMPRODUCT(INDEX(PortfolioRef[[SPY]:[PE]],MATCH(OQ$1,PortfolioRef[Reference '#]),0),AssetMonthlyReturns[[#This Row],[SPY]:[PE]])</f>
        <v>3.9105637223593233E-2</v>
      </c>
      <c r="OR58" s="27">
        <f>IF(ISNUMBER(OR57),OR57*(1+PortfolioFrontier[[#This Row],[P102 Return]]),1+PortfolioFrontier[[#This Row],[P102 Return]])</f>
        <v>1.389937967651981</v>
      </c>
      <c r="OS58" s="27">
        <f>MAX(OS57,PortfolioFrontier[[#This Row],[P102 Growth]])</f>
        <v>1.389937967651981</v>
      </c>
      <c r="OT58" s="27">
        <f>PortfolioFrontier[[#This Row],[P102 Growth]]/PortfolioFrontier[[#This Row],[P102 HWM]]-1</f>
        <v>0</v>
      </c>
      <c r="OU58" s="28">
        <f>SUMPRODUCT(INDEX(PortfolioRef[[SPY]:[PE]],MATCH(OU$1,PortfolioRef[Reference '#]),0),AssetMonthlyReturns[[#This Row],[SPY]:[PE]])</f>
        <v>3.4899456054145093E-2</v>
      </c>
      <c r="OV58" s="27">
        <f>IF(ISNUMBER(OV57),OV57*(1+PortfolioFrontier[[#This Row],[P103 Return]]),1+PortfolioFrontier[[#This Row],[P103 Return]])</f>
        <v>1.3787704595768007</v>
      </c>
      <c r="OW58" s="27">
        <f>MAX(OW57,PortfolioFrontier[[#This Row],[P103 Growth]])</f>
        <v>1.3787704595768007</v>
      </c>
      <c r="OX58" s="27">
        <f>PortfolioFrontier[[#This Row],[P103 Growth]]/PortfolioFrontier[[#This Row],[P103 HWM]]-1</f>
        <v>0</v>
      </c>
      <c r="OY58" s="28">
        <f>SUMPRODUCT(INDEX(PortfolioRef[[SPY]:[PE]],MATCH(OY$1,PortfolioRef[Reference '#]),0),AssetMonthlyReturns[[#This Row],[SPY]:[PE]])</f>
        <v>4.6647394791066749E-2</v>
      </c>
      <c r="OZ58" s="27">
        <f>IF(ISNUMBER(OZ57),OZ57*(1+PortfolioFrontier[[#This Row],[P104 Return]]),1+PortfolioFrontier[[#This Row],[P104 Return]])</f>
        <v>1.3835654984029837</v>
      </c>
      <c r="PA58" s="27">
        <f>MAX(PA57,PortfolioFrontier[[#This Row],[P104 Growth]])</f>
        <v>1.3835654984029837</v>
      </c>
      <c r="PB58" s="27">
        <f>PortfolioFrontier[[#This Row],[P104 Growth]]/PortfolioFrontier[[#This Row],[P104 HWM]]-1</f>
        <v>0</v>
      </c>
      <c r="PC58" s="28">
        <f>SUMPRODUCT(INDEX(PortfolioRef[[SPY]:[PE]],MATCH(PC$1,PortfolioRef[Reference '#]),0),AssetMonthlyReturns[[#This Row],[SPY]:[PE]])</f>
        <v>4.2441213621618616E-2</v>
      </c>
      <c r="PD58" s="27">
        <f>IF(ISNUMBER(PD57),PD57*(1+PortfolioFrontier[[#This Row],[P105 Return]]),1+PortfolioFrontier[[#This Row],[P105 Return]])</f>
        <v>1.3728146360742608</v>
      </c>
      <c r="PE58" s="27">
        <f>MAX(PE57,PortfolioFrontier[[#This Row],[P105 Growth]])</f>
        <v>1.3728146360742608</v>
      </c>
      <c r="PF58" s="27">
        <f>PortfolioFrontier[[#This Row],[P105 Growth]]/PortfolioFrontier[[#This Row],[P105 HWM]]-1</f>
        <v>0</v>
      </c>
      <c r="PG58" s="28">
        <f>SUMPRODUCT(INDEX(PortfolioRef[[SPY]:[PE]],MATCH(PG$1,PortfolioRef[Reference '#]),0),AssetMonthlyReturns[[#This Row],[SPY]:[PE]])</f>
        <v>3.823503245217047E-2</v>
      </c>
      <c r="PH58" s="27">
        <f>IF(ISNUMBER(PH57),PH57*(1+PortfolioFrontier[[#This Row],[P106 Return]]),1+PortfolioFrontier[[#This Row],[P106 Return]])</f>
        <v>1.3616741217635822</v>
      </c>
      <c r="PI58" s="27">
        <f>MAX(PI57,PortfolioFrontier[[#This Row],[P106 Growth]])</f>
        <v>1.3616741217635822</v>
      </c>
      <c r="PJ58" s="27">
        <f>PortfolioFrontier[[#This Row],[P106 Growth]]/PortfolioFrontier[[#This Row],[P106 HWM]]-1</f>
        <v>0</v>
      </c>
      <c r="PK58" s="28">
        <f>SUMPRODUCT(INDEX(PortfolioRef[[SPY]:[PE]],MATCH(PK$1,PortfolioRef[Reference '#]),0),AssetMonthlyReturns[[#This Row],[SPY]:[PE]])</f>
        <v>3.5794257228053294E-2</v>
      </c>
      <c r="PL58" s="27">
        <f>IF(ISNUMBER(PL57),PL57*(1+PortfolioFrontier[[#This Row],[P107 Return]]),1+PortfolioFrontier[[#This Row],[P107 Return]])</f>
        <v>1.3993081621999852</v>
      </c>
      <c r="PM58" s="27">
        <f>MAX(PM57,PortfolioFrontier[[#This Row],[P107 Growth]])</f>
        <v>1.4017262888645294</v>
      </c>
      <c r="PN58" s="27">
        <f>PortfolioFrontier[[#This Row],[P107 Growth]]/PortfolioFrontier[[#This Row],[P107 HWM]]-1</f>
        <v>-1.7251061664135259E-3</v>
      </c>
      <c r="PO58" s="28">
        <f>SUMPRODUCT(INDEX(PortfolioRef[[SPY]:[PE]],MATCH(PO$1,PortfolioRef[Reference '#]),0),AssetMonthlyReturns[[#This Row],[SPY]:[PE]])</f>
        <v>3.1588076058605155E-2</v>
      </c>
      <c r="PP58" s="27">
        <f>IF(ISNUMBER(PP57),PP57*(1+PortfolioFrontier[[#This Row],[P108 Return]]),1+PortfolioFrontier[[#This Row],[P108 Return]])</f>
        <v>1.3880997484226187</v>
      </c>
      <c r="PQ58" s="27">
        <f>MAX(PQ57,PortfolioFrontier[[#This Row],[P108 Growth]])</f>
        <v>1.3929265171425633</v>
      </c>
      <c r="PR58" s="27">
        <f>PortfolioFrontier[[#This Row],[P108 Growth]]/PortfolioFrontier[[#This Row],[P108 HWM]]-1</f>
        <v>-3.4651998224903835E-3</v>
      </c>
      <c r="PS58" s="28">
        <f>SUMPRODUCT(INDEX(PortfolioRef[[SPY]:[PE]],MATCH(PS$1,PortfolioRef[Reference '#]),0),AssetMonthlyReturns[[#This Row],[SPY]:[PE]])</f>
        <v>4.3336014795526817E-2</v>
      </c>
      <c r="PT58" s="27">
        <f>IF(ISNUMBER(PT57),PT57*(1+PortfolioFrontier[[#This Row],[P109 Return]]),1+PortfolioFrontier[[#This Row],[P109 Return]])</f>
        <v>1.3930787136107812</v>
      </c>
      <c r="PU58" s="27">
        <f>MAX(PU57,PortfolioFrontier[[#This Row],[P109 Growth]])</f>
        <v>1.3930787136107812</v>
      </c>
      <c r="PV58" s="27">
        <f>PortfolioFrontier[[#This Row],[P109 Growth]]/PortfolioFrontier[[#This Row],[P109 HWM]]-1</f>
        <v>0</v>
      </c>
      <c r="PW58" s="28">
        <f>SUMPRODUCT(INDEX(PortfolioRef[[SPY]:[PE]],MATCH(PW$1,PortfolioRef[Reference '#]),0),AssetMonthlyReturns[[#This Row],[SPY]:[PE]])</f>
        <v>3.9129833626078678E-2</v>
      </c>
      <c r="PX58" s="27">
        <f>IF(ISNUMBER(PX57),PX57*(1+PortfolioFrontier[[#This Row],[P110 Return]]),1+PortfolioFrontier[[#This Row],[P110 Return]])</f>
        <v>1.3822883937596622</v>
      </c>
      <c r="PY58" s="27">
        <f>MAX(PY57,PortfolioFrontier[[#This Row],[P110 Growth]])</f>
        <v>1.3822883937596622</v>
      </c>
      <c r="PZ58" s="27">
        <f>PortfolioFrontier[[#This Row],[P110 Growth]]/PortfolioFrontier[[#This Row],[P110 HWM]]-1</f>
        <v>0</v>
      </c>
      <c r="QA58" s="28">
        <f>SUMPRODUCT(INDEX(PortfolioRef[[SPY]:[PE]],MATCH(QA$1,PortfolioRef[Reference '#]),0),AssetMonthlyReturns[[#This Row],[SPY]:[PE]])</f>
        <v>3.4923652456630531E-2</v>
      </c>
      <c r="QB58" s="27">
        <f>IF(ISNUMBER(QB57),QB57*(1+PortfolioFrontier[[#This Row],[P111 Return]]),1+PortfolioFrontier[[#This Row],[P111 Return]])</f>
        <v>1.3711053376641626</v>
      </c>
      <c r="QC58" s="27">
        <f>MAX(QC57,PortfolioFrontier[[#This Row],[P111 Growth]])</f>
        <v>1.3711053376641626</v>
      </c>
      <c r="QD58" s="27">
        <f>PortfolioFrontier[[#This Row],[P111 Growth]]/PortfolioFrontier[[#This Row],[P111 HWM]]-1</f>
        <v>0</v>
      </c>
      <c r="QE58" s="28">
        <f>SUMPRODUCT(INDEX(PortfolioRef[[SPY]:[PE]],MATCH(QE$1,PortfolioRef[Reference '#]),0),AssetMonthlyReturns[[#This Row],[SPY]:[PE]])</f>
        <v>5.087777236300034E-2</v>
      </c>
      <c r="QF58" s="27">
        <f>IF(ISNUMBER(QF57),QF57*(1+PortfolioFrontier[[#This Row],[P112 Return]]),1+PortfolioFrontier[[#This Row],[P112 Return]])</f>
        <v>1.3862925650913547</v>
      </c>
      <c r="QG58" s="27">
        <f>MAX(QG57,PortfolioFrontier[[#This Row],[P112 Growth]])</f>
        <v>1.3862925650913547</v>
      </c>
      <c r="QH58" s="27">
        <f>PortfolioFrontier[[#This Row],[P112 Growth]]/PortfolioFrontier[[#This Row],[P112 HWM]]-1</f>
        <v>0</v>
      </c>
      <c r="QI58" s="28">
        <f>SUMPRODUCT(INDEX(PortfolioRef[[SPY]:[PE]],MATCH(QI$1,PortfolioRef[Reference '#]),0),AssetMonthlyReturns[[#This Row],[SPY]:[PE]])</f>
        <v>4.66715911935522E-2</v>
      </c>
      <c r="QJ58" s="27">
        <f>IF(ISNUMBER(QJ57),QJ57*(1+PortfolioFrontier[[#This Row],[P113 Return]]),1+PortfolioFrontier[[#This Row],[P113 Return]])</f>
        <v>1.3759243303277819</v>
      </c>
      <c r="QK58" s="27">
        <f>MAX(QK57,PortfolioFrontier[[#This Row],[P113 Growth]])</f>
        <v>1.3759243303277819</v>
      </c>
      <c r="QL58" s="27">
        <f>PortfolioFrontier[[#This Row],[P113 Growth]]/PortfolioFrontier[[#This Row],[P113 HWM]]-1</f>
        <v>0</v>
      </c>
      <c r="QM58" s="28">
        <f>SUMPRODUCT(INDEX(PortfolioRef[[SPY]:[PE]],MATCH(QM$1,PortfolioRef[Reference '#]),0),AssetMonthlyReturns[[#This Row],[SPY]:[PE]])</f>
        <v>4.2465410024104054E-2</v>
      </c>
      <c r="QN58" s="27">
        <f>IF(ISNUMBER(QN57),QN57*(1+PortfolioFrontier[[#This Row],[P114 Return]]),1+PortfolioFrontier[[#This Row],[P114 Return]])</f>
        <v>1.3651560631353985</v>
      </c>
      <c r="QO58" s="27">
        <f>MAX(QO57,PortfolioFrontier[[#This Row],[P114 Growth]])</f>
        <v>1.3651560631353985</v>
      </c>
      <c r="QP58" s="27">
        <f>PortfolioFrontier[[#This Row],[P114 Growth]]/PortfolioFrontier[[#This Row],[P114 HWM]]-1</f>
        <v>0</v>
      </c>
      <c r="QQ58" s="28">
        <f>SUMPRODUCT(INDEX(PortfolioRef[[SPY]:[PE]],MATCH(QQ$1,PortfolioRef[Reference '#]),0),AssetMonthlyReturns[[#This Row],[SPY]:[PE]])</f>
        <v>4.0024634799986872E-2</v>
      </c>
      <c r="QR58" s="27">
        <f>IF(ISNUMBER(QR57),QR57*(1+PortfolioFrontier[[#This Row],[P115 Return]]),1+PortfolioFrontier[[#This Row],[P115 Return]])</f>
        <v>1.4024574077883354</v>
      </c>
      <c r="QS58" s="27">
        <f>MAX(QS57,PortfolioFrontier[[#This Row],[P115 Growth]])</f>
        <v>1.402751404567387</v>
      </c>
      <c r="QT58" s="27">
        <f>PortfolioFrontier[[#This Row],[P115 Growth]]/PortfolioFrontier[[#This Row],[P115 HWM]]-1</f>
        <v>-2.0958580265495463E-4</v>
      </c>
      <c r="QU58" s="28">
        <f>SUMPRODUCT(INDEX(PortfolioRef[[SPY]:[PE]],MATCH(QU$1,PortfolioRef[Reference '#]),0),AssetMonthlyReturns[[#This Row],[SPY]:[PE]])</f>
        <v>3.5818453630538739E-2</v>
      </c>
      <c r="QV58" s="27">
        <f>IF(ISNUMBER(QV57),QV57*(1+PortfolioFrontier[[#This Row],[P116 Return]]),1+PortfolioFrontier[[#This Row],[P116 Return]])</f>
        <v>1.3916287627896653</v>
      </c>
      <c r="QW58" s="27">
        <f>MAX(QW57,PortfolioFrontier[[#This Row],[P116 Growth]])</f>
        <v>1.3943236705307489</v>
      </c>
      <c r="QX58" s="27">
        <f>PortfolioFrontier[[#This Row],[P116 Growth]]/PortfolioFrontier[[#This Row],[P116 HWM]]-1</f>
        <v>-1.9327705596920985E-3</v>
      </c>
      <c r="QY58" s="28">
        <f>SUMPRODUCT(INDEX(PortfolioRef[[SPY]:[PE]],MATCH(QY$1,PortfolioRef[Reference '#]),0),AssetMonthlyReturns[[#This Row],[SPY]:[PE]])</f>
        <v>3.1612272461090593E-2</v>
      </c>
      <c r="QZ58" s="27">
        <f>IF(ISNUMBER(QZ57),QZ57*(1+PortfolioFrontier[[#This Row],[P117 Return]]),1+PortfolioFrontier[[#This Row],[P117 Return]])</f>
        <v>1.3804043319663519</v>
      </c>
      <c r="RA58" s="27">
        <f>MAX(RA57,PortfolioFrontier[[#This Row],[P117 Growth]])</f>
        <v>1.3854920145784329</v>
      </c>
      <c r="RB58" s="27">
        <f>PortfolioFrontier[[#This Row],[P117 Growth]]/PortfolioFrontier[[#This Row],[P117 HWM]]-1</f>
        <v>-3.6721125481398165E-3</v>
      </c>
      <c r="RC58" s="28">
        <f>SUMPRODUCT(INDEX(PortfolioRef[[SPY]:[PE]],MATCH(RC$1,PortfolioRef[Reference '#]),0),AssetMonthlyReturns[[#This Row],[SPY]:[PE]])</f>
        <v>4.7566392367460401E-2</v>
      </c>
      <c r="RD58" s="27">
        <f>IF(ISNUMBER(RD57),RD57*(1+PortfolioFrontier[[#This Row],[P118 Return]]),1+PortfolioFrontier[[#This Row],[P118 Return]])</f>
        <v>1.3958117275752402</v>
      </c>
      <c r="RE58" s="27">
        <f>MAX(RE57,PortfolioFrontier[[#This Row],[P118 Growth]])</f>
        <v>1.3958117275752402</v>
      </c>
      <c r="RF58" s="27">
        <f>PortfolioFrontier[[#This Row],[P118 Growth]]/PortfolioFrontier[[#This Row],[P118 HWM]]-1</f>
        <v>0</v>
      </c>
      <c r="RG58" s="28">
        <f>SUMPRODUCT(INDEX(PortfolioRef[[SPY]:[PE]],MATCH(RG$1,PortfolioRef[Reference '#]),0),AssetMonthlyReturns[[#This Row],[SPY]:[PE]])</f>
        <v>4.3360211198012269E-2</v>
      </c>
      <c r="RH58" s="27">
        <f>IF(ISNUMBER(RH57),RH57*(1+PortfolioFrontier[[#This Row],[P119 Return]]),1+PortfolioFrontier[[#This Row],[P119 Return]])</f>
        <v>1.38540668682539</v>
      </c>
      <c r="RI58" s="27">
        <f>MAX(RI57,PortfolioFrontier[[#This Row],[P119 Growth]])</f>
        <v>1.38540668682539</v>
      </c>
      <c r="RJ58" s="27">
        <f>PortfolioFrontier[[#This Row],[P119 Growth]]/PortfolioFrontier[[#This Row],[P119 HWM]]-1</f>
        <v>0</v>
      </c>
      <c r="RK58" s="28">
        <f>SUMPRODUCT(INDEX(PortfolioRef[[SPY]:[PE]],MATCH(RK$1,PortfolioRef[Reference '#]),0),AssetMonthlyReturns[[#This Row],[SPY]:[PE]])</f>
        <v>3.9154030028564123E-2</v>
      </c>
      <c r="RL58" s="27">
        <f>IF(ISNUMBER(RL57),RL57*(1+PortfolioFrontier[[#This Row],[P120 Return]]),1+PortfolioFrontier[[#This Row],[P120 Return]])</f>
        <v>1.3745984834125851</v>
      </c>
      <c r="RM58" s="27">
        <f>MAX(RM57,PortfolioFrontier[[#This Row],[P120 Growth]])</f>
        <v>1.3745984834125851</v>
      </c>
      <c r="RN58" s="27">
        <f>PortfolioFrontier[[#This Row],[P120 Growth]]/PortfolioFrontier[[#This Row],[P120 HWM]]-1</f>
        <v>0</v>
      </c>
      <c r="RO58" s="28">
        <f>SUMPRODUCT(INDEX(PortfolioRef[[SPY]:[PE]],MATCH(RO$1,PortfolioRef[Reference '#]),0),AssetMonthlyReturns[[#This Row],[SPY]:[PE]])</f>
        <v>5.5108149934933917E-2</v>
      </c>
      <c r="RP58" s="27">
        <f>IF(ISNUMBER(RP57),RP57*(1+PortfolioFrontier[[#This Row],[P121 Return]]),1+PortfolioFrontier[[#This Row],[P121 Return]])</f>
        <v>1.38860890778824</v>
      </c>
      <c r="RQ58" s="27">
        <f>MAX(RQ57,PortfolioFrontier[[#This Row],[P121 Growth]])</f>
        <v>1.38860890778824</v>
      </c>
      <c r="RR58" s="27">
        <f>PortfolioFrontier[[#This Row],[P121 Growth]]/PortfolioFrontier[[#This Row],[P121 HWM]]-1</f>
        <v>0</v>
      </c>
      <c r="RS58" s="28">
        <f>SUMPRODUCT(INDEX(PortfolioRef[[SPY]:[PE]],MATCH(RS$1,PortfolioRef[Reference '#]),0),AssetMonthlyReturns[[#This Row],[SPY]:[PE]])</f>
        <v>5.0901968765485785E-2</v>
      </c>
      <c r="RT58" s="27">
        <f>IF(ISNUMBER(RT57),RT57*(1+PortfolioFrontier[[#This Row],[P122 Return]]),1+PortfolioFrontier[[#This Row],[P122 Return]])</f>
        <v>1.3786311975632719</v>
      </c>
      <c r="RU58" s="27">
        <f>MAX(RU57,PortfolioFrontier[[#This Row],[P122 Growth]])</f>
        <v>1.3786311975632719</v>
      </c>
      <c r="RV58" s="27">
        <f>PortfolioFrontier[[#This Row],[P122 Growth]]/PortfolioFrontier[[#This Row],[P122 HWM]]-1</f>
        <v>0</v>
      </c>
      <c r="RW58" s="28">
        <f>SUMPRODUCT(INDEX(PortfolioRef[[SPY]:[PE]],MATCH(RW$1,PortfolioRef[Reference '#]),0),AssetMonthlyReturns[[#This Row],[SPY]:[PE]])</f>
        <v>4.6695787596037645E-2</v>
      </c>
      <c r="RX58" s="27">
        <f>IF(ISNUMBER(RX57),RX57*(1+PortfolioFrontier[[#This Row],[P123 Return]]),1+PortfolioFrontier[[#This Row],[P123 Return]])</f>
        <v>1.3682431987801069</v>
      </c>
      <c r="RY58" s="27">
        <f>MAX(RY57,PortfolioFrontier[[#This Row],[P123 Growth]])</f>
        <v>1.3682431987801069</v>
      </c>
      <c r="RZ58" s="27">
        <f>PortfolioFrontier[[#This Row],[P123 Growth]]/PortfolioFrontier[[#This Row],[P123 HWM]]-1</f>
        <v>0</v>
      </c>
      <c r="SA58" s="28">
        <f>SUMPRODUCT(INDEX(PortfolioRef[[SPY]:[PE]],MATCH(SA$1,PortfolioRef[Reference '#]),0),AssetMonthlyReturns[[#This Row],[SPY]:[PE]])</f>
        <v>4.4255012371920463E-2</v>
      </c>
      <c r="SB58" s="27">
        <f>IF(ISNUMBER(SB57),SB57*(1+PortfolioFrontier[[#This Row],[P124 Return]]),1+PortfolioFrontier[[#This Row],[P124 Return]])</f>
        <v>1.4051962736152317</v>
      </c>
      <c r="SC58" s="27">
        <f>MAX(SC57,PortfolioFrontier[[#This Row],[P124 Growth]])</f>
        <v>1.4051962736152317</v>
      </c>
      <c r="SD58" s="27">
        <f>PortfolioFrontier[[#This Row],[P124 Growth]]/PortfolioFrontier[[#This Row],[P124 HWM]]-1</f>
        <v>0</v>
      </c>
      <c r="SE58" s="28">
        <f>SUMPRODUCT(INDEX(PortfolioRef[[SPY]:[PE]],MATCH(SE$1,PortfolioRef[Reference '#]),0),AssetMonthlyReturns[[#This Row],[SPY]:[PE]])</f>
        <v>4.0048831202472324E-2</v>
      </c>
      <c r="SF58" s="27">
        <f>IF(ISNUMBER(SF57),SF57*(1+PortfolioFrontier[[#This Row],[P125 Return]]),1+PortfolioFrontier[[#This Row],[P125 Return]])</f>
        <v>1.3947555228800028</v>
      </c>
      <c r="SG58" s="27">
        <f>MAX(SG57,PortfolioFrontier[[#This Row],[P125 Growth]])</f>
        <v>1.3953391816409191</v>
      </c>
      <c r="SH58" s="27">
        <f>PortfolioFrontier[[#This Row],[P125 Growth]]/PortfolioFrontier[[#This Row],[P125 HWM]]-1</f>
        <v>-4.1829167316143057E-4</v>
      </c>
      <c r="SI58" s="28">
        <f>SUMPRODUCT(INDEX(PortfolioRef[[SPY]:[PE]],MATCH(SI$1,PortfolioRef[Reference '#]),0),AssetMonthlyReturns[[#This Row],[SPY]:[PE]])</f>
        <v>3.5842650033024184E-2</v>
      </c>
      <c r="SJ58" s="27">
        <f>IF(ISNUMBER(SJ57),SJ57*(1+PortfolioFrontier[[#This Row],[P126 Return]]),1+PortfolioFrontier[[#This Row],[P126 Return]])</f>
        <v>1.3839085149327912</v>
      </c>
      <c r="SK58" s="27">
        <f>MAX(SK57,PortfolioFrontier[[#This Row],[P126 Growth]])</f>
        <v>1.3868774390565666</v>
      </c>
      <c r="SL58" s="27">
        <f>PortfolioFrontier[[#This Row],[P126 Growth]]/PortfolioFrontier[[#This Row],[P126 HWM]]-1</f>
        <v>-2.1407256619553339E-3</v>
      </c>
      <c r="SM58" s="28">
        <f>SUMPRODUCT(INDEX(PortfolioRef[[SPY]:[PE]],MATCH(SM$1,PortfolioRef[Reference '#]),0),AssetMonthlyReturns[[#This Row],[SPY]:[PE]])</f>
        <v>5.1796769939393986E-2</v>
      </c>
      <c r="SN58" s="27">
        <f>IF(ISNUMBER(SN57),SN57*(1+PortfolioFrontier[[#This Row],[P127 Return]]),1+PortfolioFrontier[[#This Row],[P127 Return]])</f>
        <v>1.3981313072849431</v>
      </c>
      <c r="SO58" s="27">
        <f>MAX(SO57,PortfolioFrontier[[#This Row],[P127 Growth]])</f>
        <v>1.3981313072849431</v>
      </c>
      <c r="SP58" s="27">
        <f>PortfolioFrontier[[#This Row],[P127 Growth]]/PortfolioFrontier[[#This Row],[P127 HWM]]-1</f>
        <v>0</v>
      </c>
      <c r="SQ58" s="28">
        <f>SUMPRODUCT(INDEX(PortfolioRef[[SPY]:[PE]],MATCH(SQ$1,PortfolioRef[Reference '#]),0),AssetMonthlyReturns[[#This Row],[SPY]:[PE]])</f>
        <v>4.7590588769945846E-2</v>
      </c>
      <c r="SR58" s="27">
        <f>IF(ISNUMBER(SR57),SR57*(1+PortfolioFrontier[[#This Row],[P128 Return]]),1+PortfolioFrontier[[#This Row],[P128 Return]])</f>
        <v>1.388119476608122</v>
      </c>
      <c r="SS58" s="27">
        <f>MAX(SS57,PortfolioFrontier[[#This Row],[P128 Growth]])</f>
        <v>1.388119476608122</v>
      </c>
      <c r="ST58" s="27">
        <f>PortfolioFrontier[[#This Row],[P128 Growth]]/PortfolioFrontier[[#This Row],[P128 HWM]]-1</f>
        <v>0</v>
      </c>
      <c r="SU58" s="28">
        <f>SUMPRODUCT(INDEX(PortfolioRef[[SPY]:[PE]],MATCH(SU$1,PortfolioRef[Reference '#]),0),AssetMonthlyReturns[[#This Row],[SPY]:[PE]])</f>
        <v>4.33844076004977E-2</v>
      </c>
      <c r="SV58" s="27">
        <f>IF(ISNUMBER(SV57),SV57*(1+PortfolioFrontier[[#This Row],[P129 Return]]),1+PortfolioFrontier[[#This Row],[P129 Return]])</f>
        <v>1.3776941824918811</v>
      </c>
      <c r="SW58" s="27">
        <f>MAX(SW57,PortfolioFrontier[[#This Row],[P129 Growth]])</f>
        <v>1.3776941824918811</v>
      </c>
      <c r="SX58" s="27">
        <f>PortfolioFrontier[[#This Row],[P129 Growth]]/PortfolioFrontier[[#This Row],[P129 HWM]]-1</f>
        <v>0</v>
      </c>
      <c r="SY58" s="28">
        <f>SUMPRODUCT(INDEX(PortfolioRef[[SPY]:[PE]],MATCH(SY$1,PortfolioRef[Reference '#]),0),AssetMonthlyReturns[[#This Row],[SPY]:[PE]])</f>
        <v>5.9338527506867508E-2</v>
      </c>
      <c r="SZ58" s="27">
        <f>IF(ISNUMBER(SZ57),SZ57*(1+PortfolioFrontier[[#This Row],[P130 Return]]),1+PortfolioFrontier[[#This Row],[P130 Return]])</f>
        <v>1.3905090572792957</v>
      </c>
      <c r="TA58" s="27">
        <f>MAX(TA57,PortfolioFrontier[[#This Row],[P130 Growth]])</f>
        <v>1.3905090572792957</v>
      </c>
      <c r="TB58" s="27">
        <f>PortfolioFrontier[[#This Row],[P130 Growth]]/PortfolioFrontier[[#This Row],[P130 HWM]]-1</f>
        <v>0</v>
      </c>
      <c r="TC58" s="28">
        <f>SUMPRODUCT(INDEX(PortfolioRef[[SPY]:[PE]],MATCH(TC$1,PortfolioRef[Reference '#]),0),AssetMonthlyReturns[[#This Row],[SPY]:[PE]])</f>
        <v>5.5132346337419369E-2</v>
      </c>
      <c r="TD58" s="27">
        <f>IF(ISNUMBER(TD57),TD57*(1+PortfolioFrontier[[#This Row],[P131 Return]]),1+PortfolioFrontier[[#This Row],[P131 Return]])</f>
        <v>1.3809296018234447</v>
      </c>
      <c r="TE58" s="27">
        <f>MAX(TE57,PortfolioFrontier[[#This Row],[P131 Growth]])</f>
        <v>1.3809296018234447</v>
      </c>
      <c r="TF58" s="27">
        <f>PortfolioFrontier[[#This Row],[P131 Growth]]/PortfolioFrontier[[#This Row],[P131 HWM]]-1</f>
        <v>0</v>
      </c>
      <c r="TG58" s="28">
        <f>SUMPRODUCT(INDEX(PortfolioRef[[SPY]:[PE]],MATCH(TG$1,PortfolioRef[Reference '#]),0),AssetMonthlyReturns[[#This Row],[SPY]:[PE]])</f>
        <v>5.0926165167971223E-2</v>
      </c>
      <c r="TH58" s="27">
        <f>IF(ISNUMBER(TH57),TH57*(1+PortfolioFrontier[[#This Row],[P132 Return]]),1+PortfolioFrontier[[#This Row],[P132 Return]])</f>
        <v>1.3709297349310552</v>
      </c>
      <c r="TI58" s="27">
        <f>MAX(TI57,PortfolioFrontier[[#This Row],[P132 Growth]])</f>
        <v>1.3709297349310552</v>
      </c>
      <c r="TJ58" s="27">
        <f>PortfolioFrontier[[#This Row],[P132 Growth]]/PortfolioFrontier[[#This Row],[P132 HWM]]-1</f>
        <v>0</v>
      </c>
      <c r="TK58" s="28">
        <f>SUMPRODUCT(INDEX(PortfolioRef[[SPY]:[PE]],MATCH(TK$1,PortfolioRef[Reference '#]),0),AssetMonthlyReturns[[#This Row],[SPY]:[PE]])</f>
        <v>4.848538994385404E-2</v>
      </c>
      <c r="TL58" s="27">
        <f>IF(ISNUMBER(TL57),TL57*(1+PortfolioFrontier[[#This Row],[P133 Return]]),1+PortfolioFrontier[[#This Row],[P133 Return]])</f>
        <v>1.4075190331158616</v>
      </c>
      <c r="TM58" s="27">
        <f>MAX(TM57,PortfolioFrontier[[#This Row],[P133 Growth]])</f>
        <v>1.4075190331158616</v>
      </c>
      <c r="TN58" s="27">
        <f>PortfolioFrontier[[#This Row],[P133 Growth]]/PortfolioFrontier[[#This Row],[P133 HWM]]-1</f>
        <v>0</v>
      </c>
      <c r="TO58" s="28">
        <f>SUMPRODUCT(INDEX(PortfolioRef[[SPY]:[PE]],MATCH(TO$1,PortfolioRef[Reference '#]),0),AssetMonthlyReturns[[#This Row],[SPY]:[PE]])</f>
        <v>4.4279208774405908E-2</v>
      </c>
      <c r="TP58" s="27">
        <f>IF(ISNUMBER(TP57),TP57*(1+PortfolioFrontier[[#This Row],[P134 Return]]),1+PortfolioFrontier[[#This Row],[P134 Return]])</f>
        <v>1.3974741409024545</v>
      </c>
      <c r="TQ58" s="27">
        <f>MAX(TQ57,PortfolioFrontier[[#This Row],[P134 Growth]])</f>
        <v>1.3974741409024545</v>
      </c>
      <c r="TR58" s="27">
        <f>PortfolioFrontier[[#This Row],[P134 Growth]]/PortfolioFrontier[[#This Row],[P134 HWM]]-1</f>
        <v>0</v>
      </c>
      <c r="TS58" s="28">
        <f>SUMPRODUCT(INDEX(PortfolioRef[[SPY]:[PE]],MATCH(TS$1,PortfolioRef[Reference '#]),0),AssetMonthlyReturns[[#This Row],[SPY]:[PE]])</f>
        <v>4.0073027604957769E-2</v>
      </c>
      <c r="TT58" s="27">
        <f>IF(ISNUMBER(TT57),TT57*(1+PortfolioFrontier[[#This Row],[P135 Return]]),1+PortfolioFrontier[[#This Row],[P135 Return]])</f>
        <v>1.3870126470472079</v>
      </c>
      <c r="TU58" s="27">
        <f>MAX(TU57,PortfolioFrontier[[#This Row],[P135 Growth]])</f>
        <v>1.3878832514960149</v>
      </c>
      <c r="TV58" s="27">
        <f>PortfolioFrontier[[#This Row],[P135 Growth]]/PortfolioFrontier[[#This Row],[P135 HWM]]-1</f>
        <v>-6.2728939762657365E-4</v>
      </c>
      <c r="TW58" s="28">
        <f>SUMPRODUCT(INDEX(PortfolioRef[[SPY]:[PE]],MATCH(TW$1,PortfolioRef[Reference '#]),0),AssetMonthlyReturns[[#This Row],[SPY]:[PE]])</f>
        <v>5.602714751132757E-2</v>
      </c>
      <c r="TX58" s="27">
        <f>IF(ISNUMBER(TX57),TX57*(1+PortfolioFrontier[[#This Row],[P136 Return]]),1+PortfolioFrontier[[#This Row],[P136 Return]])</f>
        <v>1.4000319602849887</v>
      </c>
      <c r="TY58" s="27">
        <f>MAX(TY57,PortfolioFrontier[[#This Row],[P136 Growth]])</f>
        <v>1.4000319602849887</v>
      </c>
      <c r="TZ58" s="27">
        <f>PortfolioFrontier[[#This Row],[P136 Growth]]/PortfolioFrontier[[#This Row],[P136 HWM]]-1</f>
        <v>0</v>
      </c>
      <c r="UA58" s="28">
        <f>SUMPRODUCT(INDEX(PortfolioRef[[SPY]:[PE]],MATCH(UA$1,PortfolioRef[Reference '#]),0),AssetMonthlyReturns[[#This Row],[SPY]:[PE]])</f>
        <v>5.1820966341879438E-2</v>
      </c>
      <c r="UB58" s="27">
        <f>IF(ISNUMBER(UB57),UB57*(1+PortfolioFrontier[[#This Row],[P137 Return]]),1+PortfolioFrontier[[#This Row],[P137 Return]])</f>
        <v>1.3904211025368001</v>
      </c>
      <c r="UC58" s="27">
        <f>MAX(UC57,PortfolioFrontier[[#This Row],[P137 Growth]])</f>
        <v>1.3904211025368001</v>
      </c>
      <c r="UD58" s="27">
        <f>PortfolioFrontier[[#This Row],[P137 Growth]]/PortfolioFrontier[[#This Row],[P137 HWM]]-1</f>
        <v>0</v>
      </c>
      <c r="UE58" s="28">
        <f>SUMPRODUCT(INDEX(PortfolioRef[[SPY]:[PE]],MATCH(UE$1,PortfolioRef[Reference '#]),0),AssetMonthlyReturns[[#This Row],[SPY]:[PE]])</f>
        <v>4.7614785172431291E-2</v>
      </c>
      <c r="UF58" s="27">
        <f>IF(ISNUMBER(UF57),UF57*(1+PortfolioFrontier[[#This Row],[P138 Return]]),1+PortfolioFrontier[[#This Row],[P138 Return]])</f>
        <v>1.3803866151923909</v>
      </c>
      <c r="UG58" s="27">
        <f>MAX(UG57,PortfolioFrontier[[#This Row],[P138 Growth]])</f>
        <v>1.3803866151923909</v>
      </c>
      <c r="UH58" s="27">
        <f>PortfolioFrontier[[#This Row],[P138 Growth]]/PortfolioFrontier[[#This Row],[P138 HWM]]-1</f>
        <v>0</v>
      </c>
      <c r="UI58" s="28">
        <f>SUMPRODUCT(INDEX(PortfolioRef[[SPY]:[PE]],MATCH(UI$1,PortfolioRef[Reference '#]),0),AssetMonthlyReturns[[#This Row],[SPY]:[PE]])</f>
        <v>6.35689050788011E-2</v>
      </c>
      <c r="UJ58" s="27">
        <f>IF(ISNUMBER(UJ57),UJ57*(1+PortfolioFrontier[[#This Row],[P139 Return]]),1+PortfolioFrontier[[#This Row],[P139 Return]])</f>
        <v>1.3919877600626354</v>
      </c>
      <c r="UK58" s="27">
        <f>MAX(UK57,PortfolioFrontier[[#This Row],[P139 Growth]])</f>
        <v>1.3919877600626354</v>
      </c>
      <c r="UL58" s="27">
        <f>PortfolioFrontier[[#This Row],[P139 Growth]]/PortfolioFrontier[[#This Row],[P139 HWM]]-1</f>
        <v>0</v>
      </c>
      <c r="UM58" s="28">
        <f>SUMPRODUCT(INDEX(PortfolioRef[[SPY]:[PE]],MATCH(UM$1,PortfolioRef[Reference '#]),0),AssetMonthlyReturns[[#This Row],[SPY]:[PE]])</f>
        <v>5.9362723909352953E-2</v>
      </c>
      <c r="UN58" s="27">
        <f>IF(ISNUMBER(UN57),UN57*(1+PortfolioFrontier[[#This Row],[P140 Return]]),1+PortfolioFrontier[[#This Row],[P140 Return]])</f>
        <v>1.3828141147184934</v>
      </c>
      <c r="UO58" s="27">
        <f>MAX(UO57,PortfolioFrontier[[#This Row],[P140 Growth]])</f>
        <v>1.3828141147184934</v>
      </c>
      <c r="UP58" s="27">
        <f>PortfolioFrontier[[#This Row],[P140 Growth]]/PortfolioFrontier[[#This Row],[P140 HWM]]-1</f>
        <v>0</v>
      </c>
      <c r="UQ58" s="28">
        <f>SUMPRODUCT(INDEX(PortfolioRef[[SPY]:[PE]],MATCH(UQ$1,PortfolioRef[Reference '#]),0),AssetMonthlyReturns[[#This Row],[SPY]:[PE]])</f>
        <v>5.5156542739904814E-2</v>
      </c>
      <c r="UR58" s="27">
        <f>IF(ISNUMBER(UR57),UR57*(1+PortfolioFrontier[[#This Row],[P141 Return]]),1+PortfolioFrontier[[#This Row],[P141 Return]])</f>
        <v>1.3732100772512323</v>
      </c>
      <c r="US58" s="27">
        <f>MAX(US57,PortfolioFrontier[[#This Row],[P141 Growth]])</f>
        <v>1.3732100772512323</v>
      </c>
      <c r="UT58" s="27">
        <f>PortfolioFrontier[[#This Row],[P141 Growth]]/PortfolioFrontier[[#This Row],[P141 HWM]]-1</f>
        <v>0</v>
      </c>
    </row>
    <row r="59" spans="2:566" x14ac:dyDescent="0.2">
      <c r="B59" s="41">
        <f>AssetMonthlyReturns[[#This Row],[Date]]</f>
        <v>44166</v>
      </c>
      <c r="C59" s="28">
        <f>SUMPRODUCT(INDEX(PortfolioRef[[SPY]:[PE]],MATCH(C$1,PortfolioRef[Reference '#]),0),AssetMonthlyReturns[[#This Row],[SPY]:[PE]])</f>
        <v>2.858199743349819E-2</v>
      </c>
      <c r="D59" s="29">
        <f>IF(ISNUMBER(D58),D58*(1+PortfolioFrontier[[#This Row],[P1 Return]]),1+PortfolioFrontier[[#This Row],[P1 Return]])</f>
        <v>1.6302098022094373</v>
      </c>
      <c r="E59" s="29">
        <f>MAX(E58,PortfolioFrontier[[#This Row],[P1 Growth]])</f>
        <v>1.6302098022094373</v>
      </c>
      <c r="F59" s="29">
        <f>PortfolioFrontier[[#This Row],[P1 Growth]]/PortfolioFrontier[[#This Row],[P1 HWM]]-1</f>
        <v>0</v>
      </c>
      <c r="G59" s="28">
        <f>SUMPRODUCT(INDEX(PortfolioRef[[SPY]:[PE]],MATCH(G$1,PortfolioRef[Reference '#]),0),AssetMonthlyReturns[[#This Row],[SPY]:[PE]])</f>
        <v>2.6934451588643007E-2</v>
      </c>
      <c r="H59" s="27">
        <f>IF(ISNUMBER(H58),H58*(1+PortfolioFrontier[[#This Row],[P2 Return]]),1+PortfolioFrontier[[#This Row],[P2 Return]])</f>
        <v>1.5910805311005209</v>
      </c>
      <c r="I59" s="27">
        <f>MAX(I58,PortfolioFrontier[[#This Row],[P2 Growth]])</f>
        <v>1.5910805311005209</v>
      </c>
      <c r="J59" s="27">
        <f>PortfolioFrontier[[#This Row],[P2 Growth]]/PortfolioFrontier[[#This Row],[P2 HWM]]-1</f>
        <v>0</v>
      </c>
      <c r="K59" s="28">
        <f>SUMPRODUCT(INDEX(PortfolioRef[[SPY]:[PE]],MATCH(K$1,PortfolioRef[Reference '#]),0),AssetMonthlyReturns[[#This Row],[SPY]:[PE]])</f>
        <v>3.0456605672773186E-2</v>
      </c>
      <c r="L59" s="27">
        <f>IF(ISNUMBER(L58),L58*(1+PortfolioFrontier[[#This Row],[P3 Return]]),1+PortfolioFrontier[[#This Row],[P3 Return]])</f>
        <v>1.6075145861281188</v>
      </c>
      <c r="M59" s="27">
        <f>MAX(M58,PortfolioFrontier[[#This Row],[P3 Growth]])</f>
        <v>1.6075145861281188</v>
      </c>
      <c r="N59" s="27">
        <f>PortfolioFrontier[[#This Row],[P3 Growth]]/PortfolioFrontier[[#This Row],[P3 HWM]]-1</f>
        <v>0</v>
      </c>
      <c r="O59" s="28">
        <f>SUMPRODUCT(INDEX(PortfolioRef[[SPY]:[PE]],MATCH(O$1,PortfolioRef[Reference '#]),0),AssetMonthlyReturns[[#This Row],[SPY]:[PE]])</f>
        <v>2.7503260132822515E-2</v>
      </c>
      <c r="P59" s="27">
        <f>IF(ISNUMBER(P58),P58*(1+PortfolioFrontier[[#This Row],[P4 Return]]),1+PortfolioFrontier[[#This Row],[P4 Return]])</f>
        <v>1.5942963145745084</v>
      </c>
      <c r="Q59" s="27">
        <f>MAX(Q58,PortfolioFrontier[[#This Row],[P4 Growth]])</f>
        <v>1.5942963145745084</v>
      </c>
      <c r="R59" s="27">
        <f>PortfolioFrontier[[#This Row],[P4 Growth]]/PortfolioFrontier[[#This Row],[P4 HWM]]-1</f>
        <v>0</v>
      </c>
      <c r="S59" s="28">
        <f>SUMPRODUCT(INDEX(PortfolioRef[[SPY]:[PE]],MATCH(S$1,PortfolioRef[Reference '#]),0),AssetMonthlyReturns[[#This Row],[SPY]:[PE]])</f>
        <v>2.8225220179056109E-2</v>
      </c>
      <c r="T59" s="27">
        <f>IF(ISNUMBER(T58),T58*(1+PortfolioFrontier[[#This Row],[P5 Return]]),1+PortfolioFrontier[[#This Row],[P5 Return]])</f>
        <v>1.5840317870385581</v>
      </c>
      <c r="U59" s="27">
        <f>MAX(U58,PortfolioFrontier[[#This Row],[P5 Growth]])</f>
        <v>1.5840317870385581</v>
      </c>
      <c r="V59" s="27">
        <f>PortfolioFrontier[[#This Row],[P5 Growth]]/PortfolioFrontier[[#This Row],[P5 HWM]]-1</f>
        <v>0</v>
      </c>
      <c r="W59" s="28">
        <f>SUMPRODUCT(INDEX(PortfolioRef[[SPY]:[PE]],MATCH(W$1,PortfolioRef[Reference '#]),0),AssetMonthlyReturns[[#This Row],[SPY]:[PE]])</f>
        <v>2.5286905743787828E-2</v>
      </c>
      <c r="X59" s="27">
        <f>IF(ISNUMBER(X58),X58*(1+PortfolioFrontier[[#This Row],[P6 Return]]),1+PortfolioFrontier[[#This Row],[P6 Return]])</f>
        <v>1.5524157676140891</v>
      </c>
      <c r="Y59" s="27">
        <f>MAX(Y58,PortfolioFrontier[[#This Row],[P6 Growth]])</f>
        <v>1.5524157676140891</v>
      </c>
      <c r="Z59" s="27">
        <f>PortfolioFrontier[[#This Row],[P6 Growth]]/PortfolioFrontier[[#This Row],[P6 HWM]]-1</f>
        <v>0</v>
      </c>
      <c r="AA59" s="28">
        <f>SUMPRODUCT(INDEX(PortfolioRef[[SPY]:[PE]],MATCH(AA$1,PortfolioRef[Reference '#]),0),AssetMonthlyReturns[[#This Row],[SPY]:[PE]])</f>
        <v>2.8809059827918006E-2</v>
      </c>
      <c r="AB59" s="27">
        <f>IF(ISNUMBER(AB58),AB58*(1+PortfolioFrontier[[#This Row],[P7 Return]]),1+PortfolioFrontier[[#This Row],[P7 Return]])</f>
        <v>1.5684643246892791</v>
      </c>
      <c r="AC59" s="27">
        <f>MAX(AC58,PortfolioFrontier[[#This Row],[P7 Growth]])</f>
        <v>1.5684643246892791</v>
      </c>
      <c r="AD59" s="27">
        <f>PortfolioFrontier[[#This Row],[P7 Growth]]/PortfolioFrontier[[#This Row],[P7 HWM]]-1</f>
        <v>0</v>
      </c>
      <c r="AE59" s="28">
        <f>SUMPRODUCT(INDEX(PortfolioRef[[SPY]:[PE]],MATCH(AE$1,PortfolioRef[Reference '#]),0),AssetMonthlyReturns[[#This Row],[SPY]:[PE]])</f>
        <v>2.5855714287967336E-2</v>
      </c>
      <c r="AF59" s="27">
        <f>IF(ISNUMBER(AF58),AF58*(1+PortfolioFrontier[[#This Row],[P8 Return]]),1+PortfolioFrontier[[#This Row],[P8 Return]])</f>
        <v>1.5558989903343272</v>
      </c>
      <c r="AG59" s="27">
        <f>MAX(AG58,PortfolioFrontier[[#This Row],[P8 Growth]])</f>
        <v>1.5558989903343272</v>
      </c>
      <c r="AH59" s="27">
        <f>PortfolioFrontier[[#This Row],[P8 Growth]]/PortfolioFrontier[[#This Row],[P8 HWM]]-1</f>
        <v>0</v>
      </c>
      <c r="AI59" s="28">
        <f>SUMPRODUCT(INDEX(PortfolioRef[[SPY]:[PE]],MATCH(AI$1,PortfolioRef[Reference '#]),0),AssetMonthlyReturns[[#This Row],[SPY]:[PE]])</f>
        <v>2.657767433420093E-2</v>
      </c>
      <c r="AJ59" s="27">
        <f>IF(ISNUMBER(AJ58),AJ58*(1+PortfolioFrontier[[#This Row],[P9 Return]]),1+PortfolioFrontier[[#This Row],[P9 Return]])</f>
        <v>1.5455930913311915</v>
      </c>
      <c r="AK59" s="27">
        <f>MAX(AK58,PortfolioFrontier[[#This Row],[P9 Growth]])</f>
        <v>1.5455930913311915</v>
      </c>
      <c r="AL59" s="27">
        <f>PortfolioFrontier[[#This Row],[P9 Growth]]/PortfolioFrontier[[#This Row],[P9 HWM]]-1</f>
        <v>0</v>
      </c>
      <c r="AM59" s="28">
        <f>SUMPRODUCT(INDEX(PortfolioRef[[SPY]:[PE]],MATCH(AM$1,PortfolioRef[Reference '#]),0),AssetMonthlyReturns[[#This Row],[SPY]:[PE]])</f>
        <v>3.2331213912048191E-2</v>
      </c>
      <c r="AN59" s="27">
        <f>IF(ISNUMBER(AN58),AN58*(1+PortfolioFrontier[[#This Row],[P10 Return]]),1+PortfolioFrontier[[#This Row],[P10 Return]])</f>
        <v>1.5844358544170352</v>
      </c>
      <c r="AO59" s="27">
        <f>MAX(AO58,PortfolioFrontier[[#This Row],[P10 Growth]])</f>
        <v>1.5844358544170352</v>
      </c>
      <c r="AP59" s="27">
        <f>PortfolioFrontier[[#This Row],[P10 Growth]]/PortfolioFrontier[[#This Row],[P10 HWM]]-1</f>
        <v>0</v>
      </c>
      <c r="AQ59" s="28">
        <f>SUMPRODUCT(INDEX(PortfolioRef[[SPY]:[PE]],MATCH(AQ$1,PortfolioRef[Reference '#]),0),AssetMonthlyReturns[[#This Row],[SPY]:[PE]])</f>
        <v>2.9377868372097514E-2</v>
      </c>
      <c r="AR59" s="27">
        <f>IF(ISNUMBER(AR58),AR58*(1+PortfolioFrontier[[#This Row],[P11 Return]]),1+PortfolioFrontier[[#This Row],[P11 Return]])</f>
        <v>1.5719663173230007</v>
      </c>
      <c r="AS59" s="27">
        <f>MAX(AS58,PortfolioFrontier[[#This Row],[P11 Growth]])</f>
        <v>1.5719663173230007</v>
      </c>
      <c r="AT59" s="27">
        <f>PortfolioFrontier[[#This Row],[P11 Growth]]/PortfolioFrontier[[#This Row],[P11 HWM]]-1</f>
        <v>0</v>
      </c>
      <c r="AU59" s="28">
        <f>SUMPRODUCT(INDEX(PortfolioRef[[SPY]:[PE]],MATCH(AU$1,PortfolioRef[Reference '#]),0),AssetMonthlyReturns[[#This Row],[SPY]:[PE]])</f>
        <v>3.0099828418331108E-2</v>
      </c>
      <c r="AV59" s="27">
        <f>IF(ISNUMBER(AV58),AV58*(1+PortfolioFrontier[[#This Row],[P12 Return]]),1+PortfolioFrontier[[#This Row],[P12 Return]])</f>
        <v>1.5615888033980188</v>
      </c>
      <c r="AW59" s="27">
        <f>MAX(AW58,PortfolioFrontier[[#This Row],[P12 Growth]])</f>
        <v>1.5615888033980188</v>
      </c>
      <c r="AX59" s="27">
        <f>PortfolioFrontier[[#This Row],[P12 Growth]]/PortfolioFrontier[[#This Row],[P12 HWM]]-1</f>
        <v>0</v>
      </c>
      <c r="AY59" s="28">
        <f>SUMPRODUCT(INDEX(PortfolioRef[[SPY]:[PE]],MATCH(AY$1,PortfolioRef[Reference '#]),0),AssetMonthlyReturns[[#This Row],[SPY]:[PE]])</f>
        <v>2.6424522832146847E-2</v>
      </c>
      <c r="AZ59" s="27">
        <f>IF(ISNUMBER(AZ58),AZ58*(1+PortfolioFrontier[[#This Row],[P13 Return]]),1+PortfolioFrontier[[#This Row],[P13 Return]])</f>
        <v>1.5589200272991537</v>
      </c>
      <c r="BA59" s="27">
        <f>MAX(BA58,PortfolioFrontier[[#This Row],[P13 Growth]])</f>
        <v>1.5589200272991537</v>
      </c>
      <c r="BB59" s="27">
        <f>PortfolioFrontier[[#This Row],[P13 Growth]]/PortfolioFrontier[[#This Row],[P13 HWM]]-1</f>
        <v>0</v>
      </c>
      <c r="BC59" s="28">
        <f>SUMPRODUCT(INDEX(PortfolioRef[[SPY]:[PE]],MATCH(BC$1,PortfolioRef[Reference '#]),0),AssetMonthlyReturns[[#This Row],[SPY]:[PE]])</f>
        <v>2.7146482878380437E-2</v>
      </c>
      <c r="BD59" s="27">
        <f>IF(ISNUMBER(BD58),BD58*(1+PortfolioFrontier[[#This Row],[P14 Return]]),1+PortfolioFrontier[[#This Row],[P14 Return]])</f>
        <v>1.5490535200823989</v>
      </c>
      <c r="BE59" s="27">
        <f>MAX(BE58,PortfolioFrontier[[#This Row],[P14 Growth]])</f>
        <v>1.5490535200823989</v>
      </c>
      <c r="BF59" s="27">
        <f>PortfolioFrontier[[#This Row],[P14 Growth]]/PortfolioFrontier[[#This Row],[P14 HWM]]-1</f>
        <v>0</v>
      </c>
      <c r="BG59" s="28">
        <f>SUMPRODUCT(INDEX(PortfolioRef[[SPY]:[PE]],MATCH(BG$1,PortfolioRef[Reference '#]),0),AssetMonthlyReturns[[#This Row],[SPY]:[PE]])</f>
        <v>2.7868442924614035E-2</v>
      </c>
      <c r="BH59" s="27">
        <f>IF(ISNUMBER(BH58),BH58*(1+PortfolioFrontier[[#This Row],[P15 Return]]),1+PortfolioFrontier[[#This Row],[P15 Return]])</f>
        <v>1.5387056131331343</v>
      </c>
      <c r="BI59" s="27">
        <f>MAX(BI58,PortfolioFrontier[[#This Row],[P15 Growth]])</f>
        <v>1.5387056131331343</v>
      </c>
      <c r="BJ59" s="27">
        <f>PortfolioFrontier[[#This Row],[P15 Growth]]/PortfolioFrontier[[#This Row],[P15 HWM]]-1</f>
        <v>0</v>
      </c>
      <c r="BK59" s="28">
        <f>SUMPRODUCT(INDEX(PortfolioRef[[SPY]:[PE]],MATCH(BK$1,PortfolioRef[Reference '#]),0),AssetMonthlyReturns[[#This Row],[SPY]:[PE]])</f>
        <v>2.3639359898932649E-2</v>
      </c>
      <c r="BL59" s="27">
        <f>IF(ISNUMBER(BL58),BL58*(1+PortfolioFrontier[[#This Row],[P16 Return]]),1+PortfolioFrontier[[#This Row],[P16 Return]])</f>
        <v>1.5142283461568027</v>
      </c>
      <c r="BM59" s="27">
        <f>MAX(BM58,PortfolioFrontier[[#This Row],[P16 Growth]])</f>
        <v>1.5142283461568027</v>
      </c>
      <c r="BN59" s="27">
        <f>PortfolioFrontier[[#This Row],[P16 Growth]]/PortfolioFrontier[[#This Row],[P16 HWM]]-1</f>
        <v>0</v>
      </c>
      <c r="BO59" s="28">
        <f>SUMPRODUCT(INDEX(PortfolioRef[[SPY]:[PE]],MATCH(BO$1,PortfolioRef[Reference '#]),0),AssetMonthlyReturns[[#This Row],[SPY]:[PE]])</f>
        <v>2.7161513983062827E-2</v>
      </c>
      <c r="BP59" s="27">
        <f>IF(ISNUMBER(BP58),BP58*(1+PortfolioFrontier[[#This Row],[P17 Return]]),1+PortfolioFrontier[[#This Row],[P17 Return]])</f>
        <v>1.529896032397015</v>
      </c>
      <c r="BQ59" s="27">
        <f>MAX(BQ58,PortfolioFrontier[[#This Row],[P17 Growth]])</f>
        <v>1.529896032397015</v>
      </c>
      <c r="BR59" s="27">
        <f>PortfolioFrontier[[#This Row],[P17 Growth]]/PortfolioFrontier[[#This Row],[P17 HWM]]-1</f>
        <v>0</v>
      </c>
      <c r="BS59" s="28">
        <f>SUMPRODUCT(INDEX(PortfolioRef[[SPY]:[PE]],MATCH(BS$1,PortfolioRef[Reference '#]),0),AssetMonthlyReturns[[#This Row],[SPY]:[PE]])</f>
        <v>2.4208168443112157E-2</v>
      </c>
      <c r="BT59" s="27">
        <f>IF(ISNUMBER(BT58),BT58*(1+PortfolioFrontier[[#This Row],[P18 Return]]),1+PortfolioFrontier[[#This Row],[P18 Return]])</f>
        <v>1.5179614405630293</v>
      </c>
      <c r="BU59" s="27">
        <f>MAX(BU58,PortfolioFrontier[[#This Row],[P18 Growth]])</f>
        <v>1.5179614405630293</v>
      </c>
      <c r="BV59" s="27">
        <f>PortfolioFrontier[[#This Row],[P18 Growth]]/PortfolioFrontier[[#This Row],[P18 HWM]]-1</f>
        <v>0</v>
      </c>
      <c r="BW59" s="28">
        <f>SUMPRODUCT(INDEX(PortfolioRef[[SPY]:[PE]],MATCH(BW$1,PortfolioRef[Reference '#]),0),AssetMonthlyReturns[[#This Row],[SPY]:[PE]])</f>
        <v>2.4930128489345751E-2</v>
      </c>
      <c r="BX59" s="27">
        <f>IF(ISNUMBER(BX58),BX58*(1+PortfolioFrontier[[#This Row],[P19 Return]]),1+PortfolioFrontier[[#This Row],[P19 Return]])</f>
        <v>1.5076266877612507</v>
      </c>
      <c r="BY59" s="27">
        <f>MAX(BY58,PortfolioFrontier[[#This Row],[P19 Growth]])</f>
        <v>1.5076266877612507</v>
      </c>
      <c r="BZ59" s="27">
        <f>PortfolioFrontier[[#This Row],[P19 Growth]]/PortfolioFrontier[[#This Row],[P19 HWM]]-1</f>
        <v>0</v>
      </c>
      <c r="CA59" s="28">
        <f>SUMPRODUCT(INDEX(PortfolioRef[[SPY]:[PE]],MATCH(CA$1,PortfolioRef[Reference '#]),0),AssetMonthlyReturns[[#This Row],[SPY]:[PE]])</f>
        <v>3.0683668067193009E-2</v>
      </c>
      <c r="CB59" s="27">
        <f>IF(ISNUMBER(CB58),CB58*(1+PortfolioFrontier[[#This Row],[P20 Return]]),1+PortfolioFrontier[[#This Row],[P20 Return]])</f>
        <v>1.5454882635874214</v>
      </c>
      <c r="CC59" s="27">
        <f>MAX(CC58,PortfolioFrontier[[#This Row],[P20 Growth]])</f>
        <v>1.5454882635874214</v>
      </c>
      <c r="CD59" s="27">
        <f>PortfolioFrontier[[#This Row],[P20 Growth]]/PortfolioFrontier[[#This Row],[P20 HWM]]-1</f>
        <v>0</v>
      </c>
      <c r="CE59" s="28">
        <f>SUMPRODUCT(INDEX(PortfolioRef[[SPY]:[PE]],MATCH(CE$1,PortfolioRef[Reference '#]),0),AssetMonthlyReturns[[#This Row],[SPY]:[PE]])</f>
        <v>2.7730322527242335E-2</v>
      </c>
      <c r="CF59" s="27">
        <f>IF(ISNUMBER(CF58),CF58*(1+PortfolioFrontier[[#This Row],[P21 Return]]),1+PortfolioFrontier[[#This Row],[P21 Return]])</f>
        <v>1.5336507982876315</v>
      </c>
      <c r="CG59" s="27">
        <f>MAX(CG58,PortfolioFrontier[[#This Row],[P21 Growth]])</f>
        <v>1.5336507982876315</v>
      </c>
      <c r="CH59" s="27">
        <f>PortfolioFrontier[[#This Row],[P21 Growth]]/PortfolioFrontier[[#This Row],[P21 HWM]]-1</f>
        <v>0</v>
      </c>
      <c r="CI59" s="28">
        <f>SUMPRODUCT(INDEX(PortfolioRef[[SPY]:[PE]],MATCH(CI$1,PortfolioRef[Reference '#]),0),AssetMonthlyReturns[[#This Row],[SPY]:[PE]])</f>
        <v>2.8452282573475929E-2</v>
      </c>
      <c r="CJ59" s="27">
        <f>IF(ISNUMBER(CJ58),CJ58*(1+PortfolioFrontier[[#This Row],[P22 Return]]),1+PortfolioFrontier[[#This Row],[P22 Return]])</f>
        <v>1.5232433032030532</v>
      </c>
      <c r="CK59" s="27">
        <f>MAX(CK58,PortfolioFrontier[[#This Row],[P22 Growth]])</f>
        <v>1.5232433032030532</v>
      </c>
      <c r="CL59" s="27">
        <f>PortfolioFrontier[[#This Row],[P22 Growth]]/PortfolioFrontier[[#This Row],[P22 HWM]]-1</f>
        <v>0</v>
      </c>
      <c r="CM59" s="28">
        <f>SUMPRODUCT(INDEX(PortfolioRef[[SPY]:[PE]],MATCH(CM$1,PortfolioRef[Reference '#]),0),AssetMonthlyReturns[[#This Row],[SPY]:[PE]])</f>
        <v>2.4776976987291668E-2</v>
      </c>
      <c r="CN59" s="27">
        <f>IF(ISNUMBER(CN58),CN58*(1+PortfolioFrontier[[#This Row],[P23 Return]]),1+PortfolioFrontier[[#This Row],[P23 Return]])</f>
        <v>1.5212475348561927</v>
      </c>
      <c r="CO59" s="27">
        <f>MAX(CO58,PortfolioFrontier[[#This Row],[P23 Growth]])</f>
        <v>1.5212475348561927</v>
      </c>
      <c r="CP59" s="27">
        <f>PortfolioFrontier[[#This Row],[P23 Growth]]/PortfolioFrontier[[#This Row],[P23 HWM]]-1</f>
        <v>0</v>
      </c>
      <c r="CQ59" s="28">
        <f>SUMPRODUCT(INDEX(PortfolioRef[[SPY]:[PE]],MATCH(CQ$1,PortfolioRef[Reference '#]),0),AssetMonthlyReturns[[#This Row],[SPY]:[PE]])</f>
        <v>2.5498937033525258E-2</v>
      </c>
      <c r="CR59" s="27">
        <f>IF(ISNUMBER(CR58),CR58*(1+PortfolioFrontier[[#This Row],[P24 Return]]),1+PortfolioFrontier[[#This Row],[P24 Return]])</f>
        <v>1.5113363545535377</v>
      </c>
      <c r="CS59" s="27">
        <f>MAX(CS58,PortfolioFrontier[[#This Row],[P24 Growth]])</f>
        <v>1.5113363545535377</v>
      </c>
      <c r="CT59" s="27">
        <f>PortfolioFrontier[[#This Row],[P24 Growth]]/PortfolioFrontier[[#This Row],[P24 HWM]]-1</f>
        <v>0</v>
      </c>
      <c r="CU59" s="28">
        <f>SUMPRODUCT(INDEX(PortfolioRef[[SPY]:[PE]],MATCH(CU$1,PortfolioRef[Reference '#]),0),AssetMonthlyReturns[[#This Row],[SPY]:[PE]])</f>
        <v>2.6220897079758856E-2</v>
      </c>
      <c r="CV59" s="27">
        <f>IF(ISNUMBER(CV58),CV58*(1+PortfolioFrontier[[#This Row],[P25 Return]]),1+PortfolioFrontier[[#This Row],[P25 Return]])</f>
        <v>1.5009613938237978</v>
      </c>
      <c r="CW59" s="27">
        <f>MAX(CW58,PortfolioFrontier[[#This Row],[P25 Growth]])</f>
        <v>1.5009613938237978</v>
      </c>
      <c r="CX59" s="27">
        <f>PortfolioFrontier[[#This Row],[P25 Growth]]/PortfolioFrontier[[#This Row],[P25 HWM]]-1</f>
        <v>0</v>
      </c>
      <c r="CY59" s="28">
        <f>SUMPRODUCT(INDEX(PortfolioRef[[SPY]:[PE]],MATCH(CY$1,PortfolioRef[Reference '#]),0),AssetMonthlyReturns[[#This Row],[SPY]:[PE]])</f>
        <v>3.1252476611372516E-2</v>
      </c>
      <c r="CZ59" s="27">
        <f>IF(ISNUMBER(CZ58),CZ58*(1+PortfolioFrontier[[#This Row],[P26 Return]]),1+PortfolioFrontier[[#This Row],[P26 Return]])</f>
        <v>1.5492645625460923</v>
      </c>
      <c r="DA59" s="27">
        <f>MAX(DA58,PortfolioFrontier[[#This Row],[P26 Growth]])</f>
        <v>1.5492645625460923</v>
      </c>
      <c r="DB59" s="27">
        <f>PortfolioFrontier[[#This Row],[P26 Growth]]/PortfolioFrontier[[#This Row],[P26 HWM]]-1</f>
        <v>0</v>
      </c>
      <c r="DC59" s="28">
        <f>SUMPRODUCT(INDEX(PortfolioRef[[SPY]:[PE]],MATCH(DC$1,PortfolioRef[Reference '#]),0),AssetMonthlyReturns[[#This Row],[SPY]:[PE]])</f>
        <v>3.197443665760611E-2</v>
      </c>
      <c r="DD59" s="27">
        <f>IF(ISNUMBER(DD58),DD58*(1+PortfolioFrontier[[#This Row],[P27 Return]]),1+PortfolioFrontier[[#This Row],[P27 Return]])</f>
        <v>1.5387851481668917</v>
      </c>
      <c r="DE59" s="27">
        <f>MAX(DE58,PortfolioFrontier[[#This Row],[P27 Growth]])</f>
        <v>1.5387851481668917</v>
      </c>
      <c r="DF59" s="27">
        <f>PortfolioFrontier[[#This Row],[P27 Growth]]/PortfolioFrontier[[#This Row],[P27 HWM]]-1</f>
        <v>0</v>
      </c>
      <c r="DG59" s="28">
        <f>SUMPRODUCT(INDEX(PortfolioRef[[SPY]:[PE]],MATCH(DG$1,PortfolioRef[Reference '#]),0),AssetMonthlyReturns[[#This Row],[SPY]:[PE]])</f>
        <v>2.8299131071421849E-2</v>
      </c>
      <c r="DH59" s="27">
        <f>IF(ISNUMBER(DH58),DH58*(1+PortfolioFrontier[[#This Row],[P28 Return]]),1+PortfolioFrontier[[#This Row],[P28 Return]])</f>
        <v>1.5369540430704109</v>
      </c>
      <c r="DI59" s="27">
        <f>MAX(DI58,PortfolioFrontier[[#This Row],[P28 Growth]])</f>
        <v>1.5369540430704109</v>
      </c>
      <c r="DJ59" s="27">
        <f>PortfolioFrontier[[#This Row],[P28 Growth]]/PortfolioFrontier[[#This Row],[P28 HWM]]-1</f>
        <v>0</v>
      </c>
      <c r="DK59" s="28">
        <f>SUMPRODUCT(INDEX(PortfolioRef[[SPY]:[PE]],MATCH(DK$1,PortfolioRef[Reference '#]),0),AssetMonthlyReturns[[#This Row],[SPY]:[PE]])</f>
        <v>2.902109111765544E-2</v>
      </c>
      <c r="DL59" s="27">
        <f>IF(ISNUMBER(DL58),DL58*(1+PortfolioFrontier[[#This Row],[P29 Return]]),1+PortfolioFrontier[[#This Row],[P29 Return]])</f>
        <v>1.5269745241127868</v>
      </c>
      <c r="DM59" s="27">
        <f>MAX(DM58,PortfolioFrontier[[#This Row],[P29 Growth]])</f>
        <v>1.5269745241127868</v>
      </c>
      <c r="DN59" s="27">
        <f>PortfolioFrontier[[#This Row],[P29 Growth]]/PortfolioFrontier[[#This Row],[P29 HWM]]-1</f>
        <v>0</v>
      </c>
      <c r="DO59" s="28">
        <f>SUMPRODUCT(INDEX(PortfolioRef[[SPY]:[PE]],MATCH(DO$1,PortfolioRef[Reference '#]),0),AssetMonthlyReturns[[#This Row],[SPY]:[PE]])</f>
        <v>2.9743051163889037E-2</v>
      </c>
      <c r="DP59" s="27">
        <f>IF(ISNUMBER(DP58),DP58*(1+PortfolioFrontier[[#This Row],[P30 Return]]),1+PortfolioFrontier[[#This Row],[P30 Return]])</f>
        <v>1.5165261474978811</v>
      </c>
      <c r="DQ59" s="27">
        <f>MAX(DQ58,PortfolioFrontier[[#This Row],[P30 Growth]])</f>
        <v>1.5165261474978811</v>
      </c>
      <c r="DR59" s="27">
        <f>PortfolioFrontier[[#This Row],[P30 Growth]]/PortfolioFrontier[[#This Row],[P30 HWM]]-1</f>
        <v>0</v>
      </c>
      <c r="DS59" s="28">
        <f>SUMPRODUCT(INDEX(PortfolioRef[[SPY]:[PE]],MATCH(DS$1,PortfolioRef[Reference '#]),0),AssetMonthlyReturns[[#This Row],[SPY]:[PE]])</f>
        <v>2.5345785531471182E-2</v>
      </c>
      <c r="DT59" s="27">
        <f>IF(ISNUMBER(DT58),DT58*(1+PortfolioFrontier[[#This Row],[P31 Return]]),1+PortfolioFrontier[[#This Row],[P31 Return]])</f>
        <v>1.5240799594488106</v>
      </c>
      <c r="DU59" s="27">
        <f>MAX(DU58,PortfolioFrontier[[#This Row],[P31 Growth]])</f>
        <v>1.5240799594488106</v>
      </c>
      <c r="DV59" s="27">
        <f>PortfolioFrontier[[#This Row],[P31 Growth]]/PortfolioFrontier[[#This Row],[P31 HWM]]-1</f>
        <v>0</v>
      </c>
      <c r="DW59" s="28">
        <f>SUMPRODUCT(INDEX(PortfolioRef[[SPY]:[PE]],MATCH(DW$1,PortfolioRef[Reference '#]),0),AssetMonthlyReturns[[#This Row],[SPY]:[PE]])</f>
        <v>2.6067745577704773E-2</v>
      </c>
      <c r="DX59" s="27">
        <f>IF(ISNUMBER(DX58),DX58*(1+PortfolioFrontier[[#This Row],[P32 Return]]),1+PortfolioFrontier[[#This Row],[P32 Return]])</f>
        <v>1.5146009440200139</v>
      </c>
      <c r="DY59" s="27">
        <f>MAX(DY58,PortfolioFrontier[[#This Row],[P32 Growth]])</f>
        <v>1.5146009440200139</v>
      </c>
      <c r="DZ59" s="27">
        <f>PortfolioFrontier[[#This Row],[P32 Growth]]/PortfolioFrontier[[#This Row],[P32 HWM]]-1</f>
        <v>0</v>
      </c>
      <c r="EA59" s="28">
        <f>SUMPRODUCT(INDEX(PortfolioRef[[SPY]:[PE]],MATCH(EA$1,PortfolioRef[Reference '#]),0),AssetMonthlyReturns[[#This Row],[SPY]:[PE]])</f>
        <v>2.6789705623938367E-2</v>
      </c>
      <c r="EB59" s="27">
        <f>IF(ISNUMBER(EB58),EB58*(1+PortfolioFrontier[[#This Row],[P33 Return]]),1+PortfolioFrontier[[#This Row],[P33 Return]])</f>
        <v>1.5046474188010142</v>
      </c>
      <c r="EC59" s="27">
        <f>MAX(EC58,PortfolioFrontier[[#This Row],[P33 Growth]])</f>
        <v>1.5046474188010142</v>
      </c>
      <c r="ED59" s="27">
        <f>PortfolioFrontier[[#This Row],[P33 Growth]]/PortfolioFrontier[[#This Row],[P33 HWM]]-1</f>
        <v>0</v>
      </c>
      <c r="EE59" s="28">
        <f>SUMPRODUCT(INDEX(PortfolioRef[[SPY]:[PE]],MATCH(EE$1,PortfolioRef[Reference '#]),0),AssetMonthlyReturns[[#This Row],[SPY]:[PE]])</f>
        <v>2.1991814054077463E-2</v>
      </c>
      <c r="EF59" s="27">
        <f>IF(ISNUMBER(EF58),EF58*(1+PortfolioFrontier[[#This Row],[P34 Return]]),1+PortfolioFrontier[[#This Row],[P34 Return]])</f>
        <v>1.4765302407889778</v>
      </c>
      <c r="EG59" s="27">
        <f>MAX(EG58,PortfolioFrontier[[#This Row],[P34 Growth]])</f>
        <v>1.4765302407889778</v>
      </c>
      <c r="EH59" s="27">
        <f>PortfolioFrontier[[#This Row],[P34 Growth]]/PortfolioFrontier[[#This Row],[P34 HWM]]-1</f>
        <v>0</v>
      </c>
      <c r="EI59" s="28">
        <f>SUMPRODUCT(INDEX(PortfolioRef[[SPY]:[PE]],MATCH(EI$1,PortfolioRef[Reference '#]),0),AssetMonthlyReturns[[#This Row],[SPY]:[PE]])</f>
        <v>2.5513968138207645E-2</v>
      </c>
      <c r="EJ59" s="27">
        <f>IF(ISNUMBER(EJ58),EJ58*(1+PortfolioFrontier[[#This Row],[P35 Return]]),1+PortfolioFrontier[[#This Row],[P35 Return]])</f>
        <v>1.4918217915739458</v>
      </c>
      <c r="EK59" s="27">
        <f>MAX(EK58,PortfolioFrontier[[#This Row],[P35 Growth]])</f>
        <v>1.4918217915739458</v>
      </c>
      <c r="EL59" s="27">
        <f>PortfolioFrontier[[#This Row],[P35 Growth]]/PortfolioFrontier[[#This Row],[P35 HWM]]-1</f>
        <v>0</v>
      </c>
      <c r="EM59" s="28">
        <f>SUMPRODUCT(INDEX(PortfolioRef[[SPY]:[PE]],MATCH(EM$1,PortfolioRef[Reference '#]),0),AssetMonthlyReturns[[#This Row],[SPY]:[PE]])</f>
        <v>2.2560622598256974E-2</v>
      </c>
      <c r="EN59" s="27">
        <f>IF(ISNUMBER(EN58),EN58*(1+PortfolioFrontier[[#This Row],[P36 Return]]),1+PortfolioFrontier[[#This Row],[P36 Return]])</f>
        <v>1.4804961603206115</v>
      </c>
      <c r="EO59" s="27">
        <f>MAX(EO58,PortfolioFrontier[[#This Row],[P36 Growth]])</f>
        <v>1.4804961603206115</v>
      </c>
      <c r="EP59" s="27">
        <f>PortfolioFrontier[[#This Row],[P36 Growth]]/PortfolioFrontier[[#This Row],[P36 HWM]]-1</f>
        <v>0</v>
      </c>
      <c r="EQ59" s="28">
        <f>SUMPRODUCT(INDEX(PortfolioRef[[SPY]:[PE]],MATCH(EQ$1,PortfolioRef[Reference '#]),0),AssetMonthlyReturns[[#This Row],[SPY]:[PE]])</f>
        <v>2.3282582644490568E-2</v>
      </c>
      <c r="ER59" s="27">
        <f>IF(ISNUMBER(ER58),ER58*(1+PortfolioFrontier[[#This Row],[P37 Return]]),1+PortfolioFrontier[[#This Row],[P37 Return]])</f>
        <v>1.4701445706983811</v>
      </c>
      <c r="ES59" s="27">
        <f>MAX(ES58,PortfolioFrontier[[#This Row],[P37 Growth]])</f>
        <v>1.4701445706983811</v>
      </c>
      <c r="ET59" s="27">
        <f>PortfolioFrontier[[#This Row],[P37 Growth]]/PortfolioFrontier[[#This Row],[P37 HWM]]-1</f>
        <v>0</v>
      </c>
      <c r="EU59" s="28">
        <f>SUMPRODUCT(INDEX(PortfolioRef[[SPY]:[PE]],MATCH(EU$1,PortfolioRef[Reference '#]),0),AssetMonthlyReturns[[#This Row],[SPY]:[PE]])</f>
        <v>2.9036122222337826E-2</v>
      </c>
      <c r="EV59" s="27">
        <f>IF(ISNUMBER(EV58),EV58*(1+PortfolioFrontier[[#This Row],[P38 Return]]),1+PortfolioFrontier[[#This Row],[P38 Return]])</f>
        <v>1.5070394500851396</v>
      </c>
      <c r="EW59" s="27">
        <f>MAX(EW58,PortfolioFrontier[[#This Row],[P38 Growth]])</f>
        <v>1.5070394500851396</v>
      </c>
      <c r="EX59" s="27">
        <f>PortfolioFrontier[[#This Row],[P38 Growth]]/PortfolioFrontier[[#This Row],[P38 HWM]]-1</f>
        <v>0</v>
      </c>
      <c r="EY59" s="28">
        <f>SUMPRODUCT(INDEX(PortfolioRef[[SPY]:[PE]],MATCH(EY$1,PortfolioRef[Reference '#]),0),AssetMonthlyReturns[[#This Row],[SPY]:[PE]])</f>
        <v>2.6082776682387152E-2</v>
      </c>
      <c r="EZ59" s="27">
        <f>IF(ISNUMBER(EZ58),EZ58*(1+PortfolioFrontier[[#This Row],[P39 Return]]),1+PortfolioFrontier[[#This Row],[P39 Return]])</f>
        <v>1.495812116216056</v>
      </c>
      <c r="FA59" s="27">
        <f>MAX(FA58,PortfolioFrontier[[#This Row],[P39 Growth]])</f>
        <v>1.495812116216056</v>
      </c>
      <c r="FB59" s="27">
        <f>PortfolioFrontier[[#This Row],[P39 Growth]]/PortfolioFrontier[[#This Row],[P39 HWM]]-1</f>
        <v>0</v>
      </c>
      <c r="FC59" s="28">
        <f>SUMPRODUCT(INDEX(PortfolioRef[[SPY]:[PE]],MATCH(FC$1,PortfolioRef[Reference '#]),0),AssetMonthlyReturns[[#This Row],[SPY]:[PE]])</f>
        <v>2.6804736728620746E-2</v>
      </c>
      <c r="FD59" s="27">
        <f>IF(ISNUMBER(FD58),FD58*(1+PortfolioFrontier[[#This Row],[P40 Return]]),1+PortfolioFrontier[[#This Row],[P40 Return]])</f>
        <v>1.4853867828208152</v>
      </c>
      <c r="FE59" s="27">
        <f>MAX(FE58,PortfolioFrontier[[#This Row],[P40 Growth]])</f>
        <v>1.4853867828208152</v>
      </c>
      <c r="FF59" s="27">
        <f>PortfolioFrontier[[#This Row],[P40 Growth]]/PortfolioFrontier[[#This Row],[P40 HWM]]-1</f>
        <v>0</v>
      </c>
      <c r="FG59" s="28">
        <f>SUMPRODUCT(INDEX(PortfolioRef[[SPY]:[PE]],MATCH(FG$1,PortfolioRef[Reference '#]),0),AssetMonthlyReturns[[#This Row],[SPY]:[PE]])</f>
        <v>2.3129431142436485E-2</v>
      </c>
      <c r="FH59" s="27">
        <f>IF(ISNUMBER(FH58),FH58*(1+PortfolioFrontier[[#This Row],[P41 Return]]),1+PortfolioFrontier[[#This Row],[P41 Return]])</f>
        <v>1.4840299978073179</v>
      </c>
      <c r="FI59" s="27">
        <f>MAX(FI58,PortfolioFrontier[[#This Row],[P41 Growth]])</f>
        <v>1.4840299978073179</v>
      </c>
      <c r="FJ59" s="27">
        <f>PortfolioFrontier[[#This Row],[P41 Growth]]/PortfolioFrontier[[#This Row],[P41 HWM]]-1</f>
        <v>0</v>
      </c>
      <c r="FK59" s="28">
        <f>SUMPRODUCT(INDEX(PortfolioRef[[SPY]:[PE]],MATCH(FK$1,PortfolioRef[Reference '#]),0),AssetMonthlyReturns[[#This Row],[SPY]:[PE]])</f>
        <v>2.3851391188670076E-2</v>
      </c>
      <c r="FL59" s="27">
        <f>IF(ISNUMBER(FL58),FL58*(1+PortfolioFrontier[[#This Row],[P42 Return]]),1+PortfolioFrontier[[#This Row],[P42 Return]])</f>
        <v>1.4740865091322481</v>
      </c>
      <c r="FM59" s="27">
        <f>MAX(FM58,PortfolioFrontier[[#This Row],[P42 Growth]])</f>
        <v>1.4740865091322481</v>
      </c>
      <c r="FN59" s="27">
        <f>PortfolioFrontier[[#This Row],[P42 Growth]]/PortfolioFrontier[[#This Row],[P42 HWM]]-1</f>
        <v>0</v>
      </c>
      <c r="FO59" s="28">
        <f>SUMPRODUCT(INDEX(PortfolioRef[[SPY]:[PE]],MATCH(FO$1,PortfolioRef[Reference '#]),0),AssetMonthlyReturns[[#This Row],[SPY]:[PE]])</f>
        <v>2.4573351234903673E-2</v>
      </c>
      <c r="FP59" s="27">
        <f>IF(ISNUMBER(FP58),FP58*(1+PortfolioFrontier[[#This Row],[P43 Return]]),1+PortfolioFrontier[[#This Row],[P43 Return]])</f>
        <v>1.4636964340617684</v>
      </c>
      <c r="FQ59" s="27">
        <f>MAX(FQ58,PortfolioFrontier[[#This Row],[P43 Growth]])</f>
        <v>1.4636964340617684</v>
      </c>
      <c r="FR59" s="27">
        <f>PortfolioFrontier[[#This Row],[P43 Growth]]/PortfolioFrontier[[#This Row],[P43 HWM]]-1</f>
        <v>0</v>
      </c>
      <c r="FS59" s="28">
        <f>SUMPRODUCT(INDEX(PortfolioRef[[SPY]:[PE]],MATCH(FS$1,PortfolioRef[Reference '#]),0),AssetMonthlyReturns[[#This Row],[SPY]:[PE]])</f>
        <v>2.9604930766517334E-2</v>
      </c>
      <c r="FT59" s="27">
        <f>IF(ISNUMBER(FT58),FT58*(1+PortfolioFrontier[[#This Row],[P44 Return]]),1+PortfolioFrontier[[#This Row],[P44 Return]])</f>
        <v>1.5110540295970867</v>
      </c>
      <c r="FU59" s="27">
        <f>MAX(FU58,PortfolioFrontier[[#This Row],[P44 Growth]])</f>
        <v>1.5110540295970867</v>
      </c>
      <c r="FV59" s="27">
        <f>PortfolioFrontier[[#This Row],[P44 Growth]]/PortfolioFrontier[[#This Row],[P44 HWM]]-1</f>
        <v>0</v>
      </c>
      <c r="FW59" s="28">
        <f>SUMPRODUCT(INDEX(PortfolioRef[[SPY]:[PE]],MATCH(FW$1,PortfolioRef[Reference '#]),0),AssetMonthlyReturns[[#This Row],[SPY]:[PE]])</f>
        <v>3.0326890812750928E-2</v>
      </c>
      <c r="FX59" s="27">
        <f>IF(ISNUMBER(FX58),FX58*(1+PortfolioFrontier[[#This Row],[P45 Return]]),1+PortfolioFrontier[[#This Row],[P45 Return]])</f>
        <v>1.5005557702844359</v>
      </c>
      <c r="FY59" s="27">
        <f>MAX(FY58,PortfolioFrontier[[#This Row],[P45 Growth]])</f>
        <v>1.5005557702844359</v>
      </c>
      <c r="FZ59" s="27">
        <f>PortfolioFrontier[[#This Row],[P45 Growth]]/PortfolioFrontier[[#This Row],[P45 HWM]]-1</f>
        <v>0</v>
      </c>
      <c r="GA59" s="28">
        <f>SUMPRODUCT(INDEX(PortfolioRef[[SPY]:[PE]],MATCH(GA$1,PortfolioRef[Reference '#]),0),AssetMonthlyReturns[[#This Row],[SPY]:[PE]])</f>
        <v>2.6651585226566663E-2</v>
      </c>
      <c r="GB59" s="27">
        <f>IF(ISNUMBER(GB58),GB58*(1+PortfolioFrontier[[#This Row],[P46 Return]]),1+PortfolioFrontier[[#This Row],[P46 Return]])</f>
        <v>1.4993659754264861</v>
      </c>
      <c r="GC59" s="27">
        <f>MAX(GC58,PortfolioFrontier[[#This Row],[P46 Growth]])</f>
        <v>1.4993659754264861</v>
      </c>
      <c r="GD59" s="27">
        <f>PortfolioFrontier[[#This Row],[P46 Growth]]/PortfolioFrontier[[#This Row],[P46 HWM]]-1</f>
        <v>0</v>
      </c>
      <c r="GE59" s="28">
        <f>SUMPRODUCT(INDEX(PortfolioRef[[SPY]:[PE]],MATCH(GE$1,PortfolioRef[Reference '#]),0),AssetMonthlyReturns[[#This Row],[SPY]:[PE]])</f>
        <v>2.7373545272800254E-2</v>
      </c>
      <c r="GF59" s="27">
        <f>IF(ISNUMBER(GF58),GF58*(1+PortfolioFrontier[[#This Row],[P47 Return]]),1+PortfolioFrontier[[#This Row],[P47 Return]])</f>
        <v>1.4893530029202828</v>
      </c>
      <c r="GG59" s="27">
        <f>MAX(GG58,PortfolioFrontier[[#This Row],[P47 Growth]])</f>
        <v>1.4893530029202828</v>
      </c>
      <c r="GH59" s="27">
        <f>PortfolioFrontier[[#This Row],[P47 Growth]]/PortfolioFrontier[[#This Row],[P47 HWM]]-1</f>
        <v>0</v>
      </c>
      <c r="GI59" s="28">
        <f>SUMPRODUCT(INDEX(PortfolioRef[[SPY]:[PE]],MATCH(GI$1,PortfolioRef[Reference '#]),0),AssetMonthlyReturns[[#This Row],[SPY]:[PE]])</f>
        <v>2.8095505319033851E-2</v>
      </c>
      <c r="GJ59" s="27">
        <f>IF(ISNUMBER(GJ58),GJ58*(1+PortfolioFrontier[[#This Row],[P48 Return]]),1+PortfolioFrontier[[#This Row],[P48 Return]])</f>
        <v>1.4788885326165813</v>
      </c>
      <c r="GK59" s="27">
        <f>MAX(GK58,PortfolioFrontier[[#This Row],[P48 Growth]])</f>
        <v>1.4788885326165813</v>
      </c>
      <c r="GL59" s="27">
        <f>PortfolioFrontier[[#This Row],[P48 Growth]]/PortfolioFrontier[[#This Row],[P48 HWM]]-1</f>
        <v>0</v>
      </c>
      <c r="GM59" s="28">
        <f>SUMPRODUCT(INDEX(PortfolioRef[[SPY]:[PE]],MATCH(GM$1,PortfolioRef[Reference '#]),0),AssetMonthlyReturns[[#This Row],[SPY]:[PE]])</f>
        <v>2.3698239686615996E-2</v>
      </c>
      <c r="GN59" s="27">
        <f>IF(ISNUMBER(GN58),GN58*(1+PortfolioFrontier[[#This Row],[P49 Return]]),1+PortfolioFrontier[[#This Row],[P49 Return]])</f>
        <v>1.4871250710558757</v>
      </c>
      <c r="GO59" s="27">
        <f>MAX(GO58,PortfolioFrontier[[#This Row],[P49 Growth]])</f>
        <v>1.4871250710558757</v>
      </c>
      <c r="GP59" s="27">
        <f>PortfolioFrontier[[#This Row],[P49 Growth]]/PortfolioFrontier[[#This Row],[P49 HWM]]-1</f>
        <v>0</v>
      </c>
      <c r="GQ59" s="28">
        <f>SUMPRODUCT(INDEX(PortfolioRef[[SPY]:[PE]],MATCH(GQ$1,PortfolioRef[Reference '#]),0),AssetMonthlyReturns[[#This Row],[SPY]:[PE]])</f>
        <v>2.4420199732849587E-2</v>
      </c>
      <c r="GR59" s="27">
        <f>IF(ISNUMBER(GR58),GR58*(1+PortfolioFrontier[[#This Row],[P50 Return]]),1+PortfolioFrontier[[#This Row],[P50 Return]])</f>
        <v>1.4775982047331582</v>
      </c>
      <c r="GS59" s="27">
        <f>MAX(GS58,PortfolioFrontier[[#This Row],[P50 Growth]])</f>
        <v>1.4775982047331582</v>
      </c>
      <c r="GT59" s="27">
        <f>PortfolioFrontier[[#This Row],[P50 Growth]]/PortfolioFrontier[[#This Row],[P50 HWM]]-1</f>
        <v>0</v>
      </c>
      <c r="GU59" s="28">
        <f>SUMPRODUCT(INDEX(PortfolioRef[[SPY]:[PE]],MATCH(GU$1,PortfolioRef[Reference '#]),0),AssetMonthlyReturns[[#This Row],[SPY]:[PE]])</f>
        <v>2.5142159779083181E-2</v>
      </c>
      <c r="GV59" s="27">
        <f>IF(ISNUMBER(GV58),GV58*(1+PortfolioFrontier[[#This Row],[P51 Return]]),1+PortfolioFrontier[[#This Row],[P51 Return]])</f>
        <v>1.4676141691312896</v>
      </c>
      <c r="GW59" s="27">
        <f>MAX(GW58,PortfolioFrontier[[#This Row],[P51 Growth]])</f>
        <v>1.4676141691312896</v>
      </c>
      <c r="GX59" s="27">
        <f>PortfolioFrontier[[#This Row],[P51 Growth]]/PortfolioFrontier[[#This Row],[P51 HWM]]-1</f>
        <v>0</v>
      </c>
      <c r="GY59" s="28">
        <f>SUMPRODUCT(INDEX(PortfolioRef[[SPY]:[PE]],MATCH(GY$1,PortfolioRef[Reference '#]),0),AssetMonthlyReturns[[#This Row],[SPY]:[PE]])</f>
        <v>3.0173739310696845E-2</v>
      </c>
      <c r="GZ59" s="27">
        <f>IF(ISNUMBER(GZ58),GZ58*(1+PortfolioFrontier[[#This Row],[P52 Return]]),1+PortfolioFrontier[[#This Row],[P52 Return]])</f>
        <v>1.5146277809720401</v>
      </c>
      <c r="HA59" s="27">
        <f>MAX(HA58,PortfolioFrontier[[#This Row],[P52 Growth]])</f>
        <v>1.5146277809720401</v>
      </c>
      <c r="HB59" s="27">
        <f>PortfolioFrontier[[#This Row],[P52 Growth]]/PortfolioFrontier[[#This Row],[P52 HWM]]-1</f>
        <v>0</v>
      </c>
      <c r="HC59" s="28">
        <f>SUMPRODUCT(INDEX(PortfolioRef[[SPY]:[PE]],MATCH(HC$1,PortfolioRef[Reference '#]),0),AssetMonthlyReturns[[#This Row],[SPY]:[PE]])</f>
        <v>3.0895699356930435E-2</v>
      </c>
      <c r="HD59" s="27">
        <f>IF(ISNUMBER(HD58),HD58*(1+PortfolioFrontier[[#This Row],[P53 Return]]),1+PortfolioFrontier[[#This Row],[P53 Return]])</f>
        <v>1.5045461233986515</v>
      </c>
      <c r="HE59" s="27">
        <f>MAX(HE58,PortfolioFrontier[[#This Row],[P53 Growth]])</f>
        <v>1.5045461233986515</v>
      </c>
      <c r="HF59" s="27">
        <f>PortfolioFrontier[[#This Row],[P53 Growth]]/PortfolioFrontier[[#This Row],[P53 HWM]]-1</f>
        <v>0</v>
      </c>
      <c r="HG59" s="28">
        <f>SUMPRODUCT(INDEX(PortfolioRef[[SPY]:[PE]],MATCH(HG$1,PortfolioRef[Reference '#]),0),AssetMonthlyReturns[[#This Row],[SPY]:[PE]])</f>
        <v>3.1617659403164036E-2</v>
      </c>
      <c r="HH59" s="27">
        <f>IF(ISNUMBER(HH58),HH58*(1+PortfolioFrontier[[#This Row],[P54 Return]]),1+PortfolioFrontier[[#This Row],[P54 Return]])</f>
        <v>1.4940080737086392</v>
      </c>
      <c r="HI59" s="27">
        <f>MAX(HI58,PortfolioFrontier[[#This Row],[P54 Growth]])</f>
        <v>1.4940080737086392</v>
      </c>
      <c r="HJ59" s="27">
        <f>PortfolioFrontier[[#This Row],[P54 Growth]]/PortfolioFrontier[[#This Row],[P54 HWM]]-1</f>
        <v>0</v>
      </c>
      <c r="HK59" s="28">
        <f>SUMPRODUCT(INDEX(PortfolioRef[[SPY]:[PE]],MATCH(HK$1,PortfolioRef[Reference '#]),0),AssetMonthlyReturns[[#This Row],[SPY]:[PE]])</f>
        <v>2.7220393770746178E-2</v>
      </c>
      <c r="HL59" s="27">
        <f>IF(ISNUMBER(HL58),HL58*(1+PortfolioFrontier[[#This Row],[P55 Return]]),1+PortfolioFrontier[[#This Row],[P55 Return]])</f>
        <v>1.5024766359772805</v>
      </c>
      <c r="HM59" s="27">
        <f>MAX(HM58,PortfolioFrontier[[#This Row],[P55 Growth]])</f>
        <v>1.5024766359772805</v>
      </c>
      <c r="HN59" s="27">
        <f>PortfolioFrontier[[#This Row],[P55 Growth]]/PortfolioFrontier[[#This Row],[P55 HWM]]-1</f>
        <v>0</v>
      </c>
      <c r="HO59" s="28">
        <f>SUMPRODUCT(INDEX(PortfolioRef[[SPY]:[PE]],MATCH(HO$1,PortfolioRef[Reference '#]),0),AssetMonthlyReturns[[#This Row],[SPY]:[PE]])</f>
        <v>2.7942353816979768E-2</v>
      </c>
      <c r="HP59" s="27">
        <f>IF(ISNUMBER(HP58),HP58*(1+PortfolioFrontier[[#This Row],[P56 Return]]),1+PortfolioFrontier[[#This Row],[P56 Return]])</f>
        <v>1.4928846115813663</v>
      </c>
      <c r="HQ59" s="27">
        <f>MAX(HQ58,PortfolioFrontier[[#This Row],[P56 Growth]])</f>
        <v>1.4928846115813663</v>
      </c>
      <c r="HR59" s="27">
        <f>PortfolioFrontier[[#This Row],[P56 Growth]]/PortfolioFrontier[[#This Row],[P56 HWM]]-1</f>
        <v>0</v>
      </c>
      <c r="HS59" s="28">
        <f>SUMPRODUCT(INDEX(PortfolioRef[[SPY]:[PE]],MATCH(HS$1,PortfolioRef[Reference '#]),0),AssetMonthlyReturns[[#This Row],[SPY]:[PE]])</f>
        <v>2.8664313863213362E-2</v>
      </c>
      <c r="HT59" s="27">
        <f>IF(ISNUMBER(HT58),HT58*(1+PortfolioFrontier[[#This Row],[P57 Return]]),1+PortfolioFrontier[[#This Row],[P57 Return]])</f>
        <v>1.4828304236177672</v>
      </c>
      <c r="HU59" s="27">
        <f>MAX(HU58,PortfolioFrontier[[#This Row],[P57 Growth]])</f>
        <v>1.4828304236177672</v>
      </c>
      <c r="HV59" s="27">
        <f>PortfolioFrontier[[#This Row],[P57 Growth]]/PortfolioFrontier[[#This Row],[P57 HWM]]-1</f>
        <v>0</v>
      </c>
      <c r="HW59" s="28">
        <f>SUMPRODUCT(INDEX(PortfolioRef[[SPY]:[PE]],MATCH(HW$1,PortfolioRef[Reference '#]),0),AssetMonthlyReturns[[#This Row],[SPY]:[PE]])</f>
        <v>2.4267048230795511E-2</v>
      </c>
      <c r="HX59" s="27">
        <f>IF(ISNUMBER(HX58),HX58*(1+PortfolioFrontier[[#This Row],[P58 Return]]),1+PortfolioFrontier[[#This Row],[P58 Return]])</f>
        <v>1.4897749113126164</v>
      </c>
      <c r="HY59" s="27">
        <f>MAX(HY58,PortfolioFrontier[[#This Row],[P58 Growth]])</f>
        <v>1.4897749113126164</v>
      </c>
      <c r="HZ59" s="27">
        <f>PortfolioFrontier[[#This Row],[P58 Growth]]/PortfolioFrontier[[#This Row],[P58 HWM]]-1</f>
        <v>0</v>
      </c>
      <c r="IA59" s="28">
        <f>SUMPRODUCT(INDEX(PortfolioRef[[SPY]:[PE]],MATCH(IA$1,PortfolioRef[Reference '#]),0),AssetMonthlyReturns[[#This Row],[SPY]:[PE]])</f>
        <v>2.4989008277029101E-2</v>
      </c>
      <c r="IB59" s="27">
        <f>IF(ISNUMBER(IB58),IB58*(1+PortfolioFrontier[[#This Row],[P59 Return]]),1+PortfolioFrontier[[#This Row],[P59 Return]])</f>
        <v>1.4806730163322745</v>
      </c>
      <c r="IC59" s="27">
        <f>MAX(IC58,PortfolioFrontier[[#This Row],[P59 Growth]])</f>
        <v>1.4806730163322745</v>
      </c>
      <c r="ID59" s="27">
        <f>PortfolioFrontier[[#This Row],[P59 Growth]]/PortfolioFrontier[[#This Row],[P59 HWM]]-1</f>
        <v>0</v>
      </c>
      <c r="IE59" s="28">
        <f>SUMPRODUCT(INDEX(PortfolioRef[[SPY]:[PE]],MATCH(IE$1,PortfolioRef[Reference '#]),0),AssetMonthlyReturns[[#This Row],[SPY]:[PE]])</f>
        <v>2.5710968323262695E-2</v>
      </c>
      <c r="IF59" s="27">
        <f>IF(ISNUMBER(IF58),IF58*(1+PortfolioFrontier[[#This Row],[P60 Return]]),1+PortfolioFrontier[[#This Row],[P60 Return]])</f>
        <v>1.4711035149230249</v>
      </c>
      <c r="IG59" s="27">
        <f>MAX(IG58,PortfolioFrontier[[#This Row],[P60 Growth]])</f>
        <v>1.4711035149230249</v>
      </c>
      <c r="IH59" s="27">
        <f>PortfolioFrontier[[#This Row],[P60 Growth]]/PortfolioFrontier[[#This Row],[P60 HWM]]-1</f>
        <v>0</v>
      </c>
      <c r="II59" s="28">
        <f>SUMPRODUCT(INDEX(PortfolioRef[[SPY]:[PE]],MATCH(II$1,PortfolioRef[Reference '#]),0),AssetMonthlyReturns[[#This Row],[SPY]:[PE]])</f>
        <v>2.0344268209222284E-2</v>
      </c>
      <c r="IJ59" s="27">
        <f>IF(ISNUMBER(IJ58),IJ58*(1+PortfolioFrontier[[#This Row],[P61 Return]]),1+PortfolioFrontier[[#This Row],[P61 Return]])</f>
        <v>1.4393325796978622</v>
      </c>
      <c r="IK59" s="27">
        <f>MAX(IK58,PortfolioFrontier[[#This Row],[P61 Growth]])</f>
        <v>1.4393325796978622</v>
      </c>
      <c r="IL59" s="27">
        <f>PortfolioFrontier[[#This Row],[P61 Growth]]/PortfolioFrontier[[#This Row],[P61 HWM]]-1</f>
        <v>0</v>
      </c>
      <c r="IM59" s="28">
        <f>SUMPRODUCT(INDEX(PortfolioRef[[SPY]:[PE]],MATCH(IM$1,PortfolioRef[Reference '#]),0),AssetMonthlyReturns[[#This Row],[SPY]:[PE]])</f>
        <v>2.3866422293352466E-2</v>
      </c>
      <c r="IN59" s="27">
        <f>IF(ISNUMBER(IN58),IN58*(1+PortfolioFrontier[[#This Row],[P62 Return]]),1+PortfolioFrontier[[#This Row],[P62 Return]])</f>
        <v>1.4542528312084855</v>
      </c>
      <c r="IO59" s="27">
        <f>MAX(IO58,PortfolioFrontier[[#This Row],[P62 Growth]])</f>
        <v>1.4542528312084855</v>
      </c>
      <c r="IP59" s="27">
        <f>PortfolioFrontier[[#This Row],[P62 Growth]]/PortfolioFrontier[[#This Row],[P62 HWM]]-1</f>
        <v>0</v>
      </c>
      <c r="IQ59" s="28">
        <f>SUMPRODUCT(INDEX(PortfolioRef[[SPY]:[PE]],MATCH(IQ$1,PortfolioRef[Reference '#]),0),AssetMonthlyReturns[[#This Row],[SPY]:[PE]])</f>
        <v>2.0913076753401795E-2</v>
      </c>
      <c r="IR59" s="27">
        <f>IF(ISNUMBER(IR58),IR58*(1+PortfolioFrontier[[#This Row],[P63 Return]]),1+PortfolioFrontier[[#This Row],[P63 Return]])</f>
        <v>1.4435147974965741</v>
      </c>
      <c r="IS59" s="27">
        <f>MAX(IS58,PortfolioFrontier[[#This Row],[P63 Growth]])</f>
        <v>1.4435147974965741</v>
      </c>
      <c r="IT59" s="27">
        <f>PortfolioFrontier[[#This Row],[P63 Growth]]/PortfolioFrontier[[#This Row],[P63 HWM]]-1</f>
        <v>0</v>
      </c>
      <c r="IU59" s="28">
        <f>SUMPRODUCT(INDEX(PortfolioRef[[SPY]:[PE]],MATCH(IU$1,PortfolioRef[Reference '#]),0),AssetMonthlyReturns[[#This Row],[SPY]:[PE]])</f>
        <v>2.1635036799635389E-2</v>
      </c>
      <c r="IV59" s="27">
        <f>IF(ISNUMBER(IV58),IV58*(1+PortfolioFrontier[[#This Row],[P64 Return]]),1+PortfolioFrontier[[#This Row],[P64 Return]])</f>
        <v>1.433157893045798</v>
      </c>
      <c r="IW59" s="27">
        <f>MAX(IW58,PortfolioFrontier[[#This Row],[P64 Growth]])</f>
        <v>1.433157893045798</v>
      </c>
      <c r="IX59" s="27">
        <f>PortfolioFrontier[[#This Row],[P64 Growth]]/PortfolioFrontier[[#This Row],[P64 HWM]]-1</f>
        <v>0</v>
      </c>
      <c r="IY59" s="28">
        <f>SUMPRODUCT(INDEX(PortfolioRef[[SPY]:[PE]],MATCH(IY$1,PortfolioRef[Reference '#]),0),AssetMonthlyReturns[[#This Row],[SPY]:[PE]])</f>
        <v>2.7388576377482647E-2</v>
      </c>
      <c r="IZ59" s="27">
        <f>IF(ISNUMBER(IZ58),IZ58*(1+PortfolioFrontier[[#This Row],[P65 Return]]),1+PortfolioFrontier[[#This Row],[P65 Return]])</f>
        <v>1.4691007428606426</v>
      </c>
      <c r="JA59" s="27">
        <f>MAX(JA58,PortfolioFrontier[[#This Row],[P65 Growth]])</f>
        <v>1.4691007428606426</v>
      </c>
      <c r="JB59" s="27">
        <f>PortfolioFrontier[[#This Row],[P65 Growth]]/PortfolioFrontier[[#This Row],[P65 HWM]]-1</f>
        <v>0</v>
      </c>
      <c r="JC59" s="28">
        <f>SUMPRODUCT(INDEX(PortfolioRef[[SPY]:[PE]],MATCH(JC$1,PortfolioRef[Reference '#]),0),AssetMonthlyReturns[[#This Row],[SPY]:[PE]])</f>
        <v>2.4435230837531973E-2</v>
      </c>
      <c r="JD59" s="27">
        <f>IF(ISNUMBER(JD58),JD58*(1+PortfolioFrontier[[#This Row],[P66 Return]]),1+PortfolioFrontier[[#This Row],[P66 Return]])</f>
        <v>1.4584620244270377</v>
      </c>
      <c r="JE59" s="27">
        <f>MAX(JE58,PortfolioFrontier[[#This Row],[P66 Growth]])</f>
        <v>1.4584620244270377</v>
      </c>
      <c r="JF59" s="27">
        <f>PortfolioFrontier[[#This Row],[P66 Growth]]/PortfolioFrontier[[#This Row],[P66 HWM]]-1</f>
        <v>0</v>
      </c>
      <c r="JG59" s="28">
        <f>SUMPRODUCT(INDEX(PortfolioRef[[SPY]:[PE]],MATCH(JG$1,PortfolioRef[Reference '#]),0),AssetMonthlyReturns[[#This Row],[SPY]:[PE]])</f>
        <v>2.5157190883765567E-2</v>
      </c>
      <c r="JH59" s="27">
        <f>IF(ISNUMBER(JH58),JH58*(1+PortfolioFrontier[[#This Row],[P67 Return]]),1+PortfolioFrontier[[#This Row],[P67 Return]])</f>
        <v>1.4480304962524606</v>
      </c>
      <c r="JI59" s="27">
        <f>MAX(JI58,PortfolioFrontier[[#This Row],[P67 Growth]])</f>
        <v>1.4480304962524606</v>
      </c>
      <c r="JJ59" s="27">
        <f>PortfolioFrontier[[#This Row],[P67 Growth]]/PortfolioFrontier[[#This Row],[P67 HWM]]-1</f>
        <v>0</v>
      </c>
      <c r="JK59" s="28">
        <f>SUMPRODUCT(INDEX(PortfolioRef[[SPY]:[PE]],MATCH(JK$1,PortfolioRef[Reference '#]),0),AssetMonthlyReturns[[#This Row],[SPY]:[PE]])</f>
        <v>2.1481885297581306E-2</v>
      </c>
      <c r="JL59" s="27">
        <f>IF(ISNUMBER(JL58),JL58*(1+PortfolioFrontier[[#This Row],[P68 Return]]),1+PortfolioFrontier[[#This Row],[P68 Return]])</f>
        <v>1.447279578734926</v>
      </c>
      <c r="JM59" s="27">
        <f>MAX(JM58,PortfolioFrontier[[#This Row],[P68 Growth]])</f>
        <v>1.447279578734926</v>
      </c>
      <c r="JN59" s="27">
        <f>PortfolioFrontier[[#This Row],[P68 Growth]]/PortfolioFrontier[[#This Row],[P68 HWM]]-1</f>
        <v>0</v>
      </c>
      <c r="JO59" s="28">
        <f>SUMPRODUCT(INDEX(PortfolioRef[[SPY]:[PE]],MATCH(JO$1,PortfolioRef[Reference '#]),0),AssetMonthlyReturns[[#This Row],[SPY]:[PE]])</f>
        <v>2.2203845343814897E-2</v>
      </c>
      <c r="JP59" s="27">
        <f>IF(ISNUMBER(JP58),JP58*(1+PortfolioFrontier[[#This Row],[P69 Return]]),1+PortfolioFrontier[[#This Row],[P69 Return]])</f>
        <v>1.4373156524833652</v>
      </c>
      <c r="JQ59" s="27">
        <f>MAX(JQ58,PortfolioFrontier[[#This Row],[P69 Growth]])</f>
        <v>1.4373156524833652</v>
      </c>
      <c r="JR59" s="27">
        <f>PortfolioFrontier[[#This Row],[P69 Growth]]/PortfolioFrontier[[#This Row],[P69 HWM]]-1</f>
        <v>0</v>
      </c>
      <c r="JS59" s="28">
        <f>SUMPRODUCT(INDEX(PortfolioRef[[SPY]:[PE]],MATCH(JS$1,PortfolioRef[Reference '#]),0),AssetMonthlyReturns[[#This Row],[SPY]:[PE]])</f>
        <v>2.2925805390048494E-2</v>
      </c>
      <c r="JT59" s="27">
        <f>IF(ISNUMBER(JT58),JT58*(1+PortfolioFrontier[[#This Row],[P70 Return]]),1+PortfolioFrontier[[#This Row],[P70 Return]])</f>
        <v>1.4269219104121884</v>
      </c>
      <c r="JU59" s="27">
        <f>MAX(JU58,PortfolioFrontier[[#This Row],[P70 Growth]])</f>
        <v>1.4269219104121884</v>
      </c>
      <c r="JV59" s="27">
        <f>PortfolioFrontier[[#This Row],[P70 Growth]]/PortfolioFrontier[[#This Row],[P70 HWM]]-1</f>
        <v>0</v>
      </c>
      <c r="JW59" s="28">
        <f>SUMPRODUCT(INDEX(PortfolioRef[[SPY]:[PE]],MATCH(JW$1,PortfolioRef[Reference '#]),0),AssetMonthlyReturns[[#This Row],[SPY]:[PE]])</f>
        <v>2.7957384921662155E-2</v>
      </c>
      <c r="JX59" s="27">
        <f>IF(ISNUMBER(JX58),JX58*(1+PortfolioFrontier[[#This Row],[P71 Return]]),1+PortfolioFrontier[[#This Row],[P71 Return]])</f>
        <v>1.4733367501480108</v>
      </c>
      <c r="JY59" s="27">
        <f>MAX(JY58,PortfolioFrontier[[#This Row],[P71 Growth]])</f>
        <v>1.4733367501480108</v>
      </c>
      <c r="JZ59" s="27">
        <f>PortfolioFrontier[[#This Row],[P71 Growth]]/PortfolioFrontier[[#This Row],[P71 HWM]]-1</f>
        <v>0</v>
      </c>
      <c r="KA59" s="28">
        <f>SUMPRODUCT(INDEX(PortfolioRef[[SPY]:[PE]],MATCH(KA$1,PortfolioRef[Reference '#]),0),AssetMonthlyReturns[[#This Row],[SPY]:[PE]])</f>
        <v>2.8679344967895749E-2</v>
      </c>
      <c r="KB59" s="27">
        <f>IF(ISNUMBER(KB58),KB58*(1+PortfolioFrontier[[#This Row],[P72 Return]]),1+PortfolioFrontier[[#This Row],[P72 Return]])</f>
        <v>1.462831410499964</v>
      </c>
      <c r="KC59" s="27">
        <f>MAX(KC58,PortfolioFrontier[[#This Row],[P72 Growth]])</f>
        <v>1.462831410499964</v>
      </c>
      <c r="KD59" s="27">
        <f>PortfolioFrontier[[#This Row],[P72 Growth]]/PortfolioFrontier[[#This Row],[P72 HWM]]-1</f>
        <v>0</v>
      </c>
      <c r="KE59" s="28">
        <f>SUMPRODUCT(INDEX(PortfolioRef[[SPY]:[PE]],MATCH(KE$1,PortfolioRef[Reference '#]),0),AssetMonthlyReturns[[#This Row],[SPY]:[PE]])</f>
        <v>2.5004039381711484E-2</v>
      </c>
      <c r="KF59" s="27">
        <f>IF(ISNUMBER(KF58),KF58*(1+PortfolioFrontier[[#This Row],[P73 Return]]),1+PortfolioFrontier[[#This Row],[P73 Return]])</f>
        <v>1.4622495332060821</v>
      </c>
      <c r="KG59" s="27">
        <f>MAX(KG58,PortfolioFrontier[[#This Row],[P73 Growth]])</f>
        <v>1.4622495332060821</v>
      </c>
      <c r="KH59" s="27">
        <f>PortfolioFrontier[[#This Row],[P73 Growth]]/PortfolioFrontier[[#This Row],[P73 HWM]]-1</f>
        <v>0</v>
      </c>
      <c r="KI59" s="28">
        <f>SUMPRODUCT(INDEX(PortfolioRef[[SPY]:[PE]],MATCH(KI$1,PortfolioRef[Reference '#]),0),AssetMonthlyReturns[[#This Row],[SPY]:[PE]])</f>
        <v>2.5725999427945075E-2</v>
      </c>
      <c r="KJ59" s="27">
        <f>IF(ISNUMBER(KJ58),KJ58*(1+PortfolioFrontier[[#This Row],[P74 Return]]),1+PortfolioFrontier[[#This Row],[P74 Return]])</f>
        <v>1.4522151022216119</v>
      </c>
      <c r="KK59" s="27">
        <f>MAX(KK58,PortfolioFrontier[[#This Row],[P74 Growth]])</f>
        <v>1.4522151022216119</v>
      </c>
      <c r="KL59" s="27">
        <f>PortfolioFrontier[[#This Row],[P74 Growth]]/PortfolioFrontier[[#This Row],[P74 HWM]]-1</f>
        <v>0</v>
      </c>
      <c r="KM59" s="28">
        <f>SUMPRODUCT(INDEX(PortfolioRef[[SPY]:[PE]],MATCH(KM$1,PortfolioRef[Reference '#]),0),AssetMonthlyReturns[[#This Row],[SPY]:[PE]])</f>
        <v>2.6447959474178672E-2</v>
      </c>
      <c r="KN59" s="27">
        <f>IF(ISNUMBER(KN58),KN58*(1+PortfolioFrontier[[#This Row],[P75 Return]]),1+PortfolioFrontier[[#This Row],[P75 Return]])</f>
        <v>1.4417461063788908</v>
      </c>
      <c r="KO59" s="27">
        <f>MAX(KO58,PortfolioFrontier[[#This Row],[P75 Growth]])</f>
        <v>1.4417461063788908</v>
      </c>
      <c r="KP59" s="27">
        <f>PortfolioFrontier[[#This Row],[P75 Growth]]/PortfolioFrontier[[#This Row],[P75 HWM]]-1</f>
        <v>0</v>
      </c>
      <c r="KQ59" s="28">
        <f>SUMPRODUCT(INDEX(PortfolioRef[[SPY]:[PE]],MATCH(KQ$1,PortfolioRef[Reference '#]),0),AssetMonthlyReturns[[#This Row],[SPY]:[PE]])</f>
        <v>2.2050693841760817E-2</v>
      </c>
      <c r="KR59" s="27">
        <f>IF(ISNUMBER(KR58),KR58*(1+PortfolioFrontier[[#This Row],[P76 Return]]),1+PortfolioFrontier[[#This Row],[P76 Return]])</f>
        <v>1.4506202380900151</v>
      </c>
      <c r="KS59" s="27">
        <f>MAX(KS58,PortfolioFrontier[[#This Row],[P76 Growth]])</f>
        <v>1.4506202380900151</v>
      </c>
      <c r="KT59" s="27">
        <f>PortfolioFrontier[[#This Row],[P76 Growth]]/PortfolioFrontier[[#This Row],[P76 HWM]]-1</f>
        <v>0</v>
      </c>
      <c r="KU59" s="28">
        <f>SUMPRODUCT(INDEX(PortfolioRef[[SPY]:[PE]],MATCH(KU$1,PortfolioRef[Reference '#]),0),AssetMonthlyReturns[[#This Row],[SPY]:[PE]])</f>
        <v>2.2772653887994408E-2</v>
      </c>
      <c r="KV59" s="27">
        <f>IF(ISNUMBER(KV58),KV58*(1+PortfolioFrontier[[#This Row],[P77 Return]]),1+PortfolioFrontier[[#This Row],[P77 Return]])</f>
        <v>1.4410577336437225</v>
      </c>
      <c r="KW59" s="27">
        <f>MAX(KW58,PortfolioFrontier[[#This Row],[P77 Growth]])</f>
        <v>1.4410577336437225</v>
      </c>
      <c r="KX59" s="27">
        <f>PortfolioFrontier[[#This Row],[P77 Growth]]/PortfolioFrontier[[#This Row],[P77 HWM]]-1</f>
        <v>0</v>
      </c>
      <c r="KY59" s="28">
        <f>SUMPRODUCT(INDEX(PortfolioRef[[SPY]:[PE]],MATCH(KY$1,PortfolioRef[Reference '#]),0),AssetMonthlyReturns[[#This Row],[SPY]:[PE]])</f>
        <v>2.3494613934228002E-2</v>
      </c>
      <c r="KZ59" s="27">
        <f>IF(ISNUMBER(KZ58),KZ58*(1+PortfolioFrontier[[#This Row],[P78 Return]]),1+PortfolioFrontier[[#This Row],[P78 Return]])</f>
        <v>1.4310549816199929</v>
      </c>
      <c r="LA59" s="27">
        <f>MAX(LA58,PortfolioFrontier[[#This Row],[P78 Growth]])</f>
        <v>1.4310549816199929</v>
      </c>
      <c r="LB59" s="27">
        <f>PortfolioFrontier[[#This Row],[P78 Growth]]/PortfolioFrontier[[#This Row],[P78 HWM]]-1</f>
        <v>0</v>
      </c>
      <c r="LC59" s="28">
        <f>SUMPRODUCT(INDEX(PortfolioRef[[SPY]:[PE]],MATCH(LC$1,PortfolioRef[Reference '#]),0),AssetMonthlyReturns[[#This Row],[SPY]:[PE]])</f>
        <v>2.8526193465841666E-2</v>
      </c>
      <c r="LD59" s="27">
        <f>IF(ISNUMBER(LD58),LD58*(1+PortfolioFrontier[[#This Row],[P79 Return]]),1+PortfolioFrontier[[#This Row],[P79 Return]])</f>
        <v>1.4771468451441951</v>
      </c>
      <c r="LE59" s="27">
        <f>MAX(LE58,PortfolioFrontier[[#This Row],[P79 Growth]])</f>
        <v>1.4771468451441951</v>
      </c>
      <c r="LF59" s="27">
        <f>PortfolioFrontier[[#This Row],[P79 Growth]]/PortfolioFrontier[[#This Row],[P79 HWM]]-1</f>
        <v>0</v>
      </c>
      <c r="LG59" s="28">
        <f>SUMPRODUCT(INDEX(PortfolioRef[[SPY]:[PE]],MATCH(LG$1,PortfolioRef[Reference '#]),0),AssetMonthlyReturns[[#This Row],[SPY]:[PE]])</f>
        <v>2.9248153512075256E-2</v>
      </c>
      <c r="LH59" s="27">
        <f>IF(ISNUMBER(LH58),LH58*(1+PortfolioFrontier[[#This Row],[P80 Return]]),1+PortfolioFrontier[[#This Row],[P80 Return]])</f>
        <v>1.4670427033226163</v>
      </c>
      <c r="LI59" s="27">
        <f>MAX(LI58,PortfolioFrontier[[#This Row],[P80 Growth]])</f>
        <v>1.4670427033226163</v>
      </c>
      <c r="LJ59" s="27">
        <f>PortfolioFrontier[[#This Row],[P80 Growth]]/PortfolioFrontier[[#This Row],[P80 HWM]]-1</f>
        <v>0</v>
      </c>
      <c r="LK59" s="28">
        <f>SUMPRODUCT(INDEX(PortfolioRef[[SPY]:[PE]],MATCH(LK$1,PortfolioRef[Reference '#]),0),AssetMonthlyReturns[[#This Row],[SPY]:[PE]])</f>
        <v>2.9970113558308854E-2</v>
      </c>
      <c r="LL59" s="27">
        <f>IF(ISNUMBER(LL58),LL58*(1+PortfolioFrontier[[#This Row],[P81 Return]]),1+PortfolioFrontier[[#This Row],[P81 Return]])</f>
        <v>1.4564992639212468</v>
      </c>
      <c r="LM59" s="27">
        <f>MAX(LM58,PortfolioFrontier[[#This Row],[P81 Growth]])</f>
        <v>1.4564992639212468</v>
      </c>
      <c r="LN59" s="27">
        <f>PortfolioFrontier[[#This Row],[P81 Growth]]/PortfolioFrontier[[#This Row],[P81 HWM]]-1</f>
        <v>0</v>
      </c>
      <c r="LO59" s="28">
        <f>SUMPRODUCT(INDEX(PortfolioRef[[SPY]:[PE]],MATCH(LO$1,PortfolioRef[Reference '#]),0),AssetMonthlyReturns[[#This Row],[SPY]:[PE]])</f>
        <v>2.5572847925890995E-2</v>
      </c>
      <c r="LP59" s="27">
        <f>IF(ISNUMBER(LP58),LP58*(1+PortfolioFrontier[[#This Row],[P82 Return]]),1+PortfolioFrontier[[#This Row],[P82 Return]])</f>
        <v>1.4656086206249903</v>
      </c>
      <c r="LQ59" s="27">
        <f>MAX(LQ58,PortfolioFrontier[[#This Row],[P82 Growth]])</f>
        <v>1.4656086206249903</v>
      </c>
      <c r="LR59" s="27">
        <f>PortfolioFrontier[[#This Row],[P82 Growth]]/PortfolioFrontier[[#This Row],[P82 HWM]]-1</f>
        <v>0</v>
      </c>
      <c r="LS59" s="28">
        <f>SUMPRODUCT(INDEX(PortfolioRef[[SPY]:[PE]],MATCH(LS$1,PortfolioRef[Reference '#]),0),AssetMonthlyReturns[[#This Row],[SPY]:[PE]])</f>
        <v>2.6294807972124586E-2</v>
      </c>
      <c r="LT59" s="27">
        <f>IF(ISNUMBER(LT58),LT58*(1+PortfolioFrontier[[#This Row],[P83 Return]]),1+PortfolioFrontier[[#This Row],[P83 Return]])</f>
        <v>1.4559797961884948</v>
      </c>
      <c r="LU59" s="27">
        <f>MAX(LU58,PortfolioFrontier[[#This Row],[P83 Growth]])</f>
        <v>1.4559797961884948</v>
      </c>
      <c r="LV59" s="27">
        <f>PortfolioFrontier[[#This Row],[P83 Growth]]/PortfolioFrontier[[#This Row],[P83 HWM]]-1</f>
        <v>0</v>
      </c>
      <c r="LW59" s="28">
        <f>SUMPRODUCT(INDEX(PortfolioRef[[SPY]:[PE]],MATCH(LW$1,PortfolioRef[Reference '#]),0),AssetMonthlyReturns[[#This Row],[SPY]:[PE]])</f>
        <v>2.701676801835818E-2</v>
      </c>
      <c r="LX59" s="27">
        <f>IF(ISNUMBER(LX58),LX58*(1+PortfolioFrontier[[#This Row],[P84 Return]]),1+PortfolioFrontier[[#This Row],[P84 Return]])</f>
        <v>1.4459058928501658</v>
      </c>
      <c r="LY59" s="27">
        <f>MAX(LY58,PortfolioFrontier[[#This Row],[P84 Growth]])</f>
        <v>1.4459058928501658</v>
      </c>
      <c r="LZ59" s="27">
        <f>PortfolioFrontier[[#This Row],[P84 Growth]]/PortfolioFrontier[[#This Row],[P84 HWM]]-1</f>
        <v>0</v>
      </c>
      <c r="MA59" s="28">
        <f>SUMPRODUCT(INDEX(PortfolioRef[[SPY]:[PE]],MATCH(MA$1,PortfolioRef[Reference '#]),0),AssetMonthlyReturns[[#This Row],[SPY]:[PE]])</f>
        <v>2.2619502385940328E-2</v>
      </c>
      <c r="MB59" s="27">
        <f>IF(ISNUMBER(MB58),MB58*(1+PortfolioFrontier[[#This Row],[P85 Return]]),1+PortfolioFrontier[[#This Row],[P85 Return]])</f>
        <v>1.4535302926247444</v>
      </c>
      <c r="MC59" s="27">
        <f>MAX(MC58,PortfolioFrontier[[#This Row],[P85 Growth]])</f>
        <v>1.4535302926247444</v>
      </c>
      <c r="MD59" s="27">
        <f>PortfolioFrontier[[#This Row],[P85 Growth]]/PortfolioFrontier[[#This Row],[P85 HWM]]-1</f>
        <v>0</v>
      </c>
      <c r="ME59" s="28">
        <f>SUMPRODUCT(INDEX(PortfolioRef[[SPY]:[PE]],MATCH(ME$1,PortfolioRef[Reference '#]),0),AssetMonthlyReturns[[#This Row],[SPY]:[PE]])</f>
        <v>2.3341462432173919E-2</v>
      </c>
      <c r="MF59" s="27">
        <f>IF(ISNUMBER(MF58),MF58*(1+PortfolioFrontier[[#This Row],[P86 Return]]),1+PortfolioFrontier[[#This Row],[P86 Return]])</f>
        <v>1.4443774913776213</v>
      </c>
      <c r="MG59" s="27">
        <f>MAX(MG58,PortfolioFrontier[[#This Row],[P86 Growth]])</f>
        <v>1.4443774913776213</v>
      </c>
      <c r="MH59" s="27">
        <f>PortfolioFrontier[[#This Row],[P86 Growth]]/PortfolioFrontier[[#This Row],[P86 HWM]]-1</f>
        <v>0</v>
      </c>
      <c r="MI59" s="28">
        <f>SUMPRODUCT(INDEX(PortfolioRef[[SPY]:[PE]],MATCH(MI$1,PortfolioRef[Reference '#]),0),AssetMonthlyReturns[[#This Row],[SPY]:[PE]])</f>
        <v>2.4063422478407513E-2</v>
      </c>
      <c r="MJ59" s="27">
        <f>IF(ISNUMBER(MJ58),MJ58*(1+PortfolioFrontier[[#This Row],[P87 Return]]),1+PortfolioFrontier[[#This Row],[P87 Return]])</f>
        <v>1.4347741468293982</v>
      </c>
      <c r="MK59" s="27">
        <f>MAX(MK58,PortfolioFrontier[[#This Row],[P87 Growth]])</f>
        <v>1.4347741468293982</v>
      </c>
      <c r="ML59" s="27">
        <f>PortfolioFrontier[[#This Row],[P87 Growth]]/PortfolioFrontier[[#This Row],[P87 HWM]]-1</f>
        <v>0</v>
      </c>
      <c r="MM59" s="28">
        <f>SUMPRODUCT(INDEX(PortfolioRef[[SPY]:[PE]],MATCH(MM$1,PortfolioRef[Reference '#]),0),AssetMonthlyReturns[[#This Row],[SPY]:[PE]])</f>
        <v>2.909500201002118E-2</v>
      </c>
      <c r="MN59" s="27">
        <f>IF(ISNUMBER(MN58),MN58*(1+PortfolioFrontier[[#This Row],[P88 Return]]),1+PortfolioFrontier[[#This Row],[P88 Return]])</f>
        <v>1.4805242396743989</v>
      </c>
      <c r="MO59" s="27">
        <f>MAX(MO58,PortfolioFrontier[[#This Row],[P88 Growth]])</f>
        <v>1.4805242396743989</v>
      </c>
      <c r="MP59" s="27">
        <f>PortfolioFrontier[[#This Row],[P88 Growth]]/PortfolioFrontier[[#This Row],[P88 HWM]]-1</f>
        <v>0</v>
      </c>
      <c r="MQ59" s="28">
        <f>SUMPRODUCT(INDEX(PortfolioRef[[SPY]:[PE]],MATCH(MQ$1,PortfolioRef[Reference '#]),0),AssetMonthlyReturns[[#This Row],[SPY]:[PE]])</f>
        <v>2.9816962056254771E-2</v>
      </c>
      <c r="MR59" s="27">
        <f>IF(ISNUMBER(MR58),MR58*(1+PortfolioFrontier[[#This Row],[P89 Return]]),1+PortfolioFrontier[[#This Row],[P89 Return]])</f>
        <v>1.4708298702708289</v>
      </c>
      <c r="MS59" s="27">
        <f>MAX(MS58,PortfolioFrontier[[#This Row],[P89 Growth]])</f>
        <v>1.4708298702708289</v>
      </c>
      <c r="MT59" s="27">
        <f>PortfolioFrontier[[#This Row],[P89 Growth]]/PortfolioFrontier[[#This Row],[P89 HWM]]-1</f>
        <v>0</v>
      </c>
      <c r="MU59" s="28">
        <f>SUMPRODUCT(INDEX(PortfolioRef[[SPY]:[PE]],MATCH(MU$1,PortfolioRef[Reference '#]),0),AssetMonthlyReturns[[#This Row],[SPY]:[PE]])</f>
        <v>3.0538922102488365E-2</v>
      </c>
      <c r="MV59" s="27">
        <f>IF(ISNUMBER(MV58),MV58*(1+PortfolioFrontier[[#This Row],[P90 Return]]),1+PortfolioFrontier[[#This Row],[P90 Return]])</f>
        <v>1.4606856076477115</v>
      </c>
      <c r="MW59" s="27">
        <f>MAX(MW58,PortfolioFrontier[[#This Row],[P90 Growth]])</f>
        <v>1.4606856076477115</v>
      </c>
      <c r="MX59" s="27">
        <f>PortfolioFrontier[[#This Row],[P90 Growth]]/PortfolioFrontier[[#This Row],[P90 HWM]]-1</f>
        <v>0</v>
      </c>
      <c r="MY59" s="28">
        <f>SUMPRODUCT(INDEX(PortfolioRef[[SPY]:[PE]],MATCH(MY$1,PortfolioRef[Reference '#]),0),AssetMonthlyReturns[[#This Row],[SPY]:[PE]])</f>
        <v>2.6141656470070506E-2</v>
      </c>
      <c r="MZ59" s="27">
        <f>IF(ISNUMBER(MZ58),MZ58*(1+PortfolioFrontier[[#This Row],[P91 Return]]),1+PortfolioFrontier[[#This Row],[P91 Return]])</f>
        <v>1.4685327543933253</v>
      </c>
      <c r="NA59" s="27">
        <f>MAX(NA58,PortfolioFrontier[[#This Row],[P91 Growth]])</f>
        <v>1.4685327543933253</v>
      </c>
      <c r="NB59" s="27">
        <f>PortfolioFrontier[[#This Row],[P91 Growth]]/PortfolioFrontier[[#This Row],[P91 HWM]]-1</f>
        <v>0</v>
      </c>
      <c r="NC59" s="28">
        <f>SUMPRODUCT(INDEX(PortfolioRef[[SPY]:[PE]],MATCH(NC$1,PortfolioRef[Reference '#]),0),AssetMonthlyReturns[[#This Row],[SPY]:[PE]])</f>
        <v>2.6863616516304097E-2</v>
      </c>
      <c r="ND59" s="27">
        <f>IF(ISNUMBER(ND58),ND58*(1+PortfolioFrontier[[#This Row],[P92 Return]]),1+PortfolioFrontier[[#This Row],[P92 Return]])</f>
        <v>1.4593178816717254</v>
      </c>
      <c r="NE59" s="27">
        <f>MAX(NE58,PortfolioFrontier[[#This Row],[P92 Growth]])</f>
        <v>1.4593178816717254</v>
      </c>
      <c r="NF59" s="27">
        <f>PortfolioFrontier[[#This Row],[P92 Growth]]/PortfolioFrontier[[#This Row],[P92 HWM]]-1</f>
        <v>0</v>
      </c>
      <c r="NG59" s="28">
        <f>SUMPRODUCT(INDEX(PortfolioRef[[SPY]:[PE]],MATCH(NG$1,PortfolioRef[Reference '#]),0),AssetMonthlyReturns[[#This Row],[SPY]:[PE]])</f>
        <v>2.7585576562537691E-2</v>
      </c>
      <c r="NH59" s="27">
        <f>IF(ISNUMBER(NH58),NH58*(1+PortfolioFrontier[[#This Row],[P93 Return]]),1+PortfolioFrontier[[#This Row],[P93 Return]])</f>
        <v>1.4496475539269751</v>
      </c>
      <c r="NI59" s="27">
        <f>MAX(NI58,PortfolioFrontier[[#This Row],[P93 Growth]])</f>
        <v>1.4496475539269751</v>
      </c>
      <c r="NJ59" s="27">
        <f>PortfolioFrontier[[#This Row],[P93 Growth]]/PortfolioFrontier[[#This Row],[P93 HWM]]-1</f>
        <v>0</v>
      </c>
      <c r="NK59" s="28">
        <f>SUMPRODUCT(INDEX(PortfolioRef[[SPY]:[PE]],MATCH(NK$1,PortfolioRef[Reference '#]),0),AssetMonthlyReturns[[#This Row],[SPY]:[PE]])</f>
        <v>2.3188310930119839E-2</v>
      </c>
      <c r="NL59" s="27">
        <f>IF(ISNUMBER(NL58),NL58*(1+PortfolioFrontier[[#This Row],[P94 Return]]),1+PortfolioFrontier[[#This Row],[P94 Return]])</f>
        <v>1.4560034701479994</v>
      </c>
      <c r="NM59" s="27">
        <f>MAX(NM58,PortfolioFrontier[[#This Row],[P94 Growth]])</f>
        <v>1.4560034701479994</v>
      </c>
      <c r="NN59" s="27">
        <f>PortfolioFrontier[[#This Row],[P94 Growth]]/PortfolioFrontier[[#This Row],[P94 HWM]]-1</f>
        <v>0</v>
      </c>
      <c r="NO59" s="28">
        <f>SUMPRODUCT(INDEX(PortfolioRef[[SPY]:[PE]],MATCH(NO$1,PortfolioRef[Reference '#]),0),AssetMonthlyReturns[[#This Row],[SPY]:[PE]])</f>
        <v>2.3910270976353429E-2</v>
      </c>
      <c r="NP59" s="27">
        <f>IF(ISNUMBER(NP58),NP58*(1+PortfolioFrontier[[#This Row],[P95 Return]]),1+PortfolioFrontier[[#This Row],[P95 Return]])</f>
        <v>1.447268482523308</v>
      </c>
      <c r="NQ59" s="27">
        <f>MAX(NQ58,PortfolioFrontier[[#This Row],[P95 Growth]])</f>
        <v>1.447268482523308</v>
      </c>
      <c r="NR59" s="27">
        <f>PortfolioFrontier[[#This Row],[P95 Growth]]/PortfolioFrontier[[#This Row],[P95 HWM]]-1</f>
        <v>0</v>
      </c>
      <c r="NS59" s="28">
        <f>SUMPRODUCT(INDEX(PortfolioRef[[SPY]:[PE]],MATCH(NS$1,PortfolioRef[Reference '#]),0),AssetMonthlyReturns[[#This Row],[SPY]:[PE]])</f>
        <v>2.4632231022587023E-2</v>
      </c>
      <c r="NT59" s="27">
        <f>IF(ISNUMBER(NT58),NT58*(1+PortfolioFrontier[[#This Row],[P96 Return]]),1+PortfolioFrontier[[#This Row],[P96 Return]])</f>
        <v>1.4380728012445521</v>
      </c>
      <c r="NU59" s="27">
        <f>MAX(NU58,PortfolioFrontier[[#This Row],[P96 Growth]])</f>
        <v>1.4380728012445521</v>
      </c>
      <c r="NV59" s="27">
        <f>PortfolioFrontier[[#This Row],[P96 Growth]]/PortfolioFrontier[[#This Row],[P96 HWM]]-1</f>
        <v>0</v>
      </c>
      <c r="NW59" s="28">
        <f>SUMPRODUCT(INDEX(PortfolioRef[[SPY]:[PE]],MATCH(NW$1,PortfolioRef[Reference '#]),0),AssetMonthlyReturns[[#This Row],[SPY]:[PE]])</f>
        <v>1.8696722364367105E-2</v>
      </c>
      <c r="NX59" s="27">
        <f>IF(ISNUMBER(NX58),NX58*(1+PortfolioFrontier[[#This Row],[P97 Return]]),1+PortfolioFrontier[[#This Row],[P97 Return]])</f>
        <v>1.4026456603450133</v>
      </c>
      <c r="NY59" s="27">
        <f>MAX(NY58,PortfolioFrontier[[#This Row],[P97 Growth]])</f>
        <v>1.4026456603450133</v>
      </c>
      <c r="NZ59" s="27">
        <f>PortfolioFrontier[[#This Row],[P97 Growth]]/PortfolioFrontier[[#This Row],[P97 HWM]]-1</f>
        <v>0</v>
      </c>
      <c r="OA59" s="28">
        <f>SUMPRODUCT(INDEX(PortfolioRef[[SPY]:[PE]],MATCH(OA$1,PortfolioRef[Reference '#]),0),AssetMonthlyReturns[[#This Row],[SPY]:[PE]])</f>
        <v>2.2218876448497286E-2</v>
      </c>
      <c r="OB59" s="27">
        <f>IF(ISNUMBER(OB58),OB58*(1+PortfolioFrontier[[#This Row],[P98 Return]]),1+PortfolioFrontier[[#This Row],[P98 Return]])</f>
        <v>1.4171995422327441</v>
      </c>
      <c r="OC59" s="27">
        <f>MAX(OC58,PortfolioFrontier[[#This Row],[P98 Growth]])</f>
        <v>1.4171995422327441</v>
      </c>
      <c r="OD59" s="27">
        <f>PortfolioFrontier[[#This Row],[P98 Growth]]/PortfolioFrontier[[#This Row],[P98 HWM]]-1</f>
        <v>0</v>
      </c>
      <c r="OE59" s="28">
        <f>SUMPRODUCT(INDEX(PortfolioRef[[SPY]:[PE]],MATCH(OE$1,PortfolioRef[Reference '#]),0),AssetMonthlyReturns[[#This Row],[SPY]:[PE]])</f>
        <v>1.9265530908546616E-2</v>
      </c>
      <c r="OF59" s="27">
        <f>IF(ISNUMBER(OF58),OF58*(1+PortfolioFrontier[[#This Row],[P99 Return]]),1+PortfolioFrontier[[#This Row],[P99 Return]])</f>
        <v>1.407028167297238</v>
      </c>
      <c r="OG59" s="27">
        <f>MAX(OG58,PortfolioFrontier[[#This Row],[P99 Growth]])</f>
        <v>1.407028167297238</v>
      </c>
      <c r="OH59" s="27">
        <f>PortfolioFrontier[[#This Row],[P99 Growth]]/PortfolioFrontier[[#This Row],[P99 HWM]]-1</f>
        <v>0</v>
      </c>
      <c r="OI59" s="28">
        <f>SUMPRODUCT(INDEX(PortfolioRef[[SPY]:[PE]],MATCH(OI$1,PortfolioRef[Reference '#]),0),AssetMonthlyReturns[[#This Row],[SPY]:[PE]])</f>
        <v>1.9987490954780206E-2</v>
      </c>
      <c r="OJ59" s="27">
        <f>IF(ISNUMBER(OJ58),OJ58*(1+PortfolioFrontier[[#This Row],[P100 Return]]),1+PortfolioFrontier[[#This Row],[P100 Return]])</f>
        <v>1.3966769811800048</v>
      </c>
      <c r="OK59" s="27">
        <f>MAX(OK58,PortfolioFrontier[[#This Row],[P100 Growth]])</f>
        <v>1.3966769811800048</v>
      </c>
      <c r="OL59" s="27">
        <f>PortfolioFrontier[[#This Row],[P100 Growth]]/PortfolioFrontier[[#This Row],[P100 HWM]]-1</f>
        <v>0</v>
      </c>
      <c r="OM59" s="28">
        <f>SUMPRODUCT(INDEX(PortfolioRef[[SPY]:[PE]],MATCH(OM$1,PortfolioRef[Reference '#]),0),AssetMonthlyReturns[[#This Row],[SPY]:[PE]])</f>
        <v>2.5741030532627468E-2</v>
      </c>
      <c r="ON59" s="27">
        <f>IF(ISNUMBER(ON58),ON58*(1+PortfolioFrontier[[#This Row],[P101 Return]]),1+PortfolioFrontier[[#This Row],[P101 Return]])</f>
        <v>1.4316826255135311</v>
      </c>
      <c r="OO59" s="27">
        <f>MAX(OO58,PortfolioFrontier[[#This Row],[P101 Growth]])</f>
        <v>1.4316826255135311</v>
      </c>
      <c r="OP59" s="27">
        <f>PortfolioFrontier[[#This Row],[P101 Growth]]/PortfolioFrontier[[#This Row],[P101 HWM]]-1</f>
        <v>0</v>
      </c>
      <c r="OQ59" s="28">
        <f>SUMPRODUCT(INDEX(PortfolioRef[[SPY]:[PE]],MATCH(OQ$1,PortfolioRef[Reference '#]),0),AssetMonthlyReturns[[#This Row],[SPY]:[PE]])</f>
        <v>2.278768499267679E-2</v>
      </c>
      <c r="OR59" s="27">
        <f>IF(ISNUMBER(OR58),OR58*(1+PortfolioFrontier[[#This Row],[P102 Return]]),1+PortfolioFrontier[[#This Row],[P102 Return]])</f>
        <v>1.4216114362181955</v>
      </c>
      <c r="OS59" s="27">
        <f>MAX(OS58,PortfolioFrontier[[#This Row],[P102 Growth]])</f>
        <v>1.4216114362181955</v>
      </c>
      <c r="OT59" s="27">
        <f>PortfolioFrontier[[#This Row],[P102 Growth]]/PortfolioFrontier[[#This Row],[P102 HWM]]-1</f>
        <v>0</v>
      </c>
      <c r="OU59" s="28">
        <f>SUMPRODUCT(INDEX(PortfolioRef[[SPY]:[PE]],MATCH(OU$1,PortfolioRef[Reference '#]),0),AssetMonthlyReturns[[#This Row],[SPY]:[PE]])</f>
        <v>2.3509645038910384E-2</v>
      </c>
      <c r="OV59" s="27">
        <f>IF(ISNUMBER(OV58),OV58*(1+PortfolioFrontier[[#This Row],[P103 Return]]),1+PortfolioFrontier[[#This Row],[P103 Return]])</f>
        <v>1.4111848636715865</v>
      </c>
      <c r="OW59" s="27">
        <f>MAX(OW58,PortfolioFrontier[[#This Row],[P103 Growth]])</f>
        <v>1.4111848636715865</v>
      </c>
      <c r="OX59" s="27">
        <f>PortfolioFrontier[[#This Row],[P103 Growth]]/PortfolioFrontier[[#This Row],[P103 HWM]]-1</f>
        <v>0</v>
      </c>
      <c r="OY59" s="28">
        <f>SUMPRODUCT(INDEX(PortfolioRef[[SPY]:[PE]],MATCH(OY$1,PortfolioRef[Reference '#]),0),AssetMonthlyReturns[[#This Row],[SPY]:[PE]])</f>
        <v>1.9834339452726127E-2</v>
      </c>
      <c r="OZ59" s="27">
        <f>IF(ISNUMBER(OZ58),OZ58*(1+PortfolioFrontier[[#This Row],[P104 Return]]),1+PortfolioFrontier[[#This Row],[P104 Return]])</f>
        <v>1.4110076061533885</v>
      </c>
      <c r="PA59" s="27">
        <f>MAX(PA58,PortfolioFrontier[[#This Row],[P104 Growth]])</f>
        <v>1.4110076061533885</v>
      </c>
      <c r="PB59" s="27">
        <f>PortfolioFrontier[[#This Row],[P104 Growth]]/PortfolioFrontier[[#This Row],[P104 HWM]]-1</f>
        <v>0</v>
      </c>
      <c r="PC59" s="28">
        <f>SUMPRODUCT(INDEX(PortfolioRef[[SPY]:[PE]],MATCH(PC$1,PortfolioRef[Reference '#]),0),AssetMonthlyReturns[[#This Row],[SPY]:[PE]])</f>
        <v>2.0556299498959717E-2</v>
      </c>
      <c r="PD59" s="27">
        <f>IF(ISNUMBER(PD58),PD58*(1+PortfolioFrontier[[#This Row],[P105 Return]]),1+PortfolioFrontier[[#This Row],[P105 Return]])</f>
        <v>1.4010346248899586</v>
      </c>
      <c r="PE59" s="27">
        <f>MAX(PE58,PortfolioFrontier[[#This Row],[P105 Growth]])</f>
        <v>1.4010346248899586</v>
      </c>
      <c r="PF59" s="27">
        <f>PortfolioFrontier[[#This Row],[P105 Growth]]/PortfolioFrontier[[#This Row],[P105 HWM]]-1</f>
        <v>0</v>
      </c>
      <c r="PG59" s="28">
        <f>SUMPRODUCT(INDEX(PortfolioRef[[SPY]:[PE]],MATCH(PG$1,PortfolioRef[Reference '#]),0),AssetMonthlyReturns[[#This Row],[SPY]:[PE]])</f>
        <v>2.1278259545193311E-2</v>
      </c>
      <c r="PH59" s="27">
        <f>IF(ISNUMBER(PH58),PH58*(1+PortfolioFrontier[[#This Row],[P106 Return]]),1+PortfolioFrontier[[#This Row],[P106 Return]])</f>
        <v>1.3906481771424408</v>
      </c>
      <c r="PI59" s="27">
        <f>MAX(PI58,PortfolioFrontier[[#This Row],[P106 Growth]])</f>
        <v>1.3906481771424408</v>
      </c>
      <c r="PJ59" s="27">
        <f>PortfolioFrontier[[#This Row],[P106 Growth]]/PortfolioFrontier[[#This Row],[P106 HWM]]-1</f>
        <v>0</v>
      </c>
      <c r="PK59" s="28">
        <f>SUMPRODUCT(INDEX(PortfolioRef[[SPY]:[PE]],MATCH(PK$1,PortfolioRef[Reference '#]),0),AssetMonthlyReturns[[#This Row],[SPY]:[PE]])</f>
        <v>2.6309839076806976E-2</v>
      </c>
      <c r="PL59" s="27">
        <f>IF(ISNUMBER(PL58),PL58*(1+PortfolioFrontier[[#This Row],[P107 Return]]),1+PortfolioFrontier[[#This Row],[P107 Return]])</f>
        <v>1.4361237347663294</v>
      </c>
      <c r="PM59" s="27">
        <f>MAX(PM58,PortfolioFrontier[[#This Row],[P107 Growth]])</f>
        <v>1.4361237347663294</v>
      </c>
      <c r="PN59" s="27">
        <f>PortfolioFrontier[[#This Row],[P107 Growth]]/PortfolioFrontier[[#This Row],[P107 HWM]]-1</f>
        <v>0</v>
      </c>
      <c r="PO59" s="28">
        <f>SUMPRODUCT(INDEX(PortfolioRef[[SPY]:[PE]],MATCH(PO$1,PortfolioRef[Reference '#]),0),AssetMonthlyReturns[[#This Row],[SPY]:[PE]])</f>
        <v>2.703179912304057E-2</v>
      </c>
      <c r="PP59" s="27">
        <f>IF(ISNUMBER(PP58),PP58*(1+PortfolioFrontier[[#This Row],[P108 Return]]),1+PortfolioFrontier[[#This Row],[P108 Return]])</f>
        <v>1.4256225819847221</v>
      </c>
      <c r="PQ59" s="27">
        <f>MAX(PQ58,PortfolioFrontier[[#This Row],[P108 Growth]])</f>
        <v>1.4256225819847221</v>
      </c>
      <c r="PR59" s="27">
        <f>PortfolioFrontier[[#This Row],[P108 Growth]]/PortfolioFrontier[[#This Row],[P108 HWM]]-1</f>
        <v>0</v>
      </c>
      <c r="PS59" s="28">
        <f>SUMPRODUCT(INDEX(PortfolioRef[[SPY]:[PE]],MATCH(PS$1,PortfolioRef[Reference '#]),0),AssetMonthlyReturns[[#This Row],[SPY]:[PE]])</f>
        <v>2.3356493536856305E-2</v>
      </c>
      <c r="PT59" s="27">
        <f>IF(ISNUMBER(PT58),PT58*(1+PortfolioFrontier[[#This Row],[P109 Return]]),1+PortfolioFrontier[[#This Row],[P109 Return]])</f>
        <v>1.4256161475815634</v>
      </c>
      <c r="PU59" s="27">
        <f>MAX(PU58,PortfolioFrontier[[#This Row],[P109 Growth]])</f>
        <v>1.4256161475815634</v>
      </c>
      <c r="PV59" s="27">
        <f>PortfolioFrontier[[#This Row],[P109 Growth]]/PortfolioFrontier[[#This Row],[P109 HWM]]-1</f>
        <v>0</v>
      </c>
      <c r="PW59" s="28">
        <f>SUMPRODUCT(INDEX(PortfolioRef[[SPY]:[PE]],MATCH(PW$1,PortfolioRef[Reference '#]),0),AssetMonthlyReturns[[#This Row],[SPY]:[PE]])</f>
        <v>2.4078453583089895E-2</v>
      </c>
      <c r="PX59" s="27">
        <f>IF(ISNUMBER(PX58),PX58*(1+PortfolioFrontier[[#This Row],[P110 Return]]),1+PortfolioFrontier[[#This Row],[P110 Return]])</f>
        <v>1.415571760687248</v>
      </c>
      <c r="PY59" s="27">
        <f>MAX(PY58,PortfolioFrontier[[#This Row],[P110 Growth]])</f>
        <v>1.415571760687248</v>
      </c>
      <c r="PZ59" s="27">
        <f>PortfolioFrontier[[#This Row],[P110 Growth]]/PortfolioFrontier[[#This Row],[P110 HWM]]-1</f>
        <v>0</v>
      </c>
      <c r="QA59" s="28">
        <f>SUMPRODUCT(INDEX(PortfolioRef[[SPY]:[PE]],MATCH(QA$1,PortfolioRef[Reference '#]),0),AssetMonthlyReturns[[#This Row],[SPY]:[PE]])</f>
        <v>2.4800413629323493E-2</v>
      </c>
      <c r="QB59" s="27">
        <f>IF(ISNUMBER(QB58),QB58*(1+PortfolioFrontier[[#This Row],[P111 Return]]),1+PortfolioFrontier[[#This Row],[P111 Return]])</f>
        <v>1.405109317167607</v>
      </c>
      <c r="QC59" s="27">
        <f>MAX(QC58,PortfolioFrontier[[#This Row],[P111 Growth]])</f>
        <v>1.405109317167607</v>
      </c>
      <c r="QD59" s="27">
        <f>PortfolioFrontier[[#This Row],[P111 Growth]]/PortfolioFrontier[[#This Row],[P111 HWM]]-1</f>
        <v>0</v>
      </c>
      <c r="QE59" s="28">
        <f>SUMPRODUCT(INDEX(PortfolioRef[[SPY]:[PE]],MATCH(QE$1,PortfolioRef[Reference '#]),0),AssetMonthlyReturns[[#This Row],[SPY]:[PE]])</f>
        <v>2.0403147996905638E-2</v>
      </c>
      <c r="QF59" s="27">
        <f>IF(ISNUMBER(QF58),QF58*(1+PortfolioFrontier[[#This Row],[P112 Return]]),1+PortfolioFrontier[[#This Row],[P112 Return]])</f>
        <v>1.4145772974639235</v>
      </c>
      <c r="QG59" s="27">
        <f>MAX(QG58,PortfolioFrontier[[#This Row],[P112 Growth]])</f>
        <v>1.4145772974639235</v>
      </c>
      <c r="QH59" s="27">
        <f>PortfolioFrontier[[#This Row],[P112 Growth]]/PortfolioFrontier[[#This Row],[P112 HWM]]-1</f>
        <v>0</v>
      </c>
      <c r="QI59" s="28">
        <f>SUMPRODUCT(INDEX(PortfolioRef[[SPY]:[PE]],MATCH(QI$1,PortfolioRef[Reference '#]),0),AssetMonthlyReturns[[#This Row],[SPY]:[PE]])</f>
        <v>2.1125108043139228E-2</v>
      </c>
      <c r="QJ59" s="27">
        <f>IF(ISNUMBER(QJ58),QJ58*(1+PortfolioFrontier[[#This Row],[P113 Return]]),1+PortfolioFrontier[[#This Row],[P113 Return]])</f>
        <v>1.4049908804651403</v>
      </c>
      <c r="QK59" s="27">
        <f>MAX(QK58,PortfolioFrontier[[#This Row],[P113 Growth]])</f>
        <v>1.4049908804651403</v>
      </c>
      <c r="QL59" s="27">
        <f>PortfolioFrontier[[#This Row],[P113 Growth]]/PortfolioFrontier[[#This Row],[P113 HWM]]-1</f>
        <v>0</v>
      </c>
      <c r="QM59" s="28">
        <f>SUMPRODUCT(INDEX(PortfolioRef[[SPY]:[PE]],MATCH(QM$1,PortfolioRef[Reference '#]),0),AssetMonthlyReturns[[#This Row],[SPY]:[PE]])</f>
        <v>2.1847068089372822E-2</v>
      </c>
      <c r="QN59" s="27">
        <f>IF(ISNUMBER(QN58),QN58*(1+PortfolioFrontier[[#This Row],[P114 Return]]),1+PortfolioFrontier[[#This Row],[P114 Return]])</f>
        <v>1.3949807205993376</v>
      </c>
      <c r="QO59" s="27">
        <f>MAX(QO58,PortfolioFrontier[[#This Row],[P114 Growth]])</f>
        <v>1.3949807205993376</v>
      </c>
      <c r="QP59" s="27">
        <f>PortfolioFrontier[[#This Row],[P114 Growth]]/PortfolioFrontier[[#This Row],[P114 HWM]]-1</f>
        <v>0</v>
      </c>
      <c r="QQ59" s="28">
        <f>SUMPRODUCT(INDEX(PortfolioRef[[SPY]:[PE]],MATCH(QQ$1,PortfolioRef[Reference '#]),0),AssetMonthlyReturns[[#This Row],[SPY]:[PE]])</f>
        <v>2.6878647620986486E-2</v>
      </c>
      <c r="QR59" s="27">
        <f>IF(ISNUMBER(QR58),QR58*(1+PortfolioFrontier[[#This Row],[P115 Return]]),1+PortfolioFrontier[[#This Row],[P115 Return]])</f>
        <v>1.4401535662557203</v>
      </c>
      <c r="QS59" s="27">
        <f>MAX(QS58,PortfolioFrontier[[#This Row],[P115 Growth]])</f>
        <v>1.4401535662557203</v>
      </c>
      <c r="QT59" s="27">
        <f>PortfolioFrontier[[#This Row],[P115 Growth]]/PortfolioFrontier[[#This Row],[P115 HWM]]-1</f>
        <v>0</v>
      </c>
      <c r="QU59" s="28">
        <f>SUMPRODUCT(INDEX(PortfolioRef[[SPY]:[PE]],MATCH(QU$1,PortfolioRef[Reference '#]),0),AssetMonthlyReturns[[#This Row],[SPY]:[PE]])</f>
        <v>2.7600607667220077E-2</v>
      </c>
      <c r="QV59" s="27">
        <f>IF(ISNUMBER(QV58),QV58*(1+PortfolioFrontier[[#This Row],[P116 Return]]),1+PortfolioFrontier[[#This Row],[P116 Return]])</f>
        <v>1.4300385622898419</v>
      </c>
      <c r="QW59" s="27">
        <f>MAX(QW58,PortfolioFrontier[[#This Row],[P116 Growth]])</f>
        <v>1.4300385622898419</v>
      </c>
      <c r="QX59" s="27">
        <f>PortfolioFrontier[[#This Row],[P116 Growth]]/PortfolioFrontier[[#This Row],[P116 HWM]]-1</f>
        <v>0</v>
      </c>
      <c r="QY59" s="28">
        <f>SUMPRODUCT(INDEX(PortfolioRef[[SPY]:[PE]],MATCH(QY$1,PortfolioRef[Reference '#]),0),AssetMonthlyReturns[[#This Row],[SPY]:[PE]])</f>
        <v>2.8322567713453674E-2</v>
      </c>
      <c r="QZ59" s="27">
        <f>IF(ISNUMBER(QZ58),QZ58*(1+PortfolioFrontier[[#This Row],[P117 Return]]),1+PortfolioFrontier[[#This Row],[P117 Return]])</f>
        <v>1.4195009271304138</v>
      </c>
      <c r="RA59" s="27">
        <f>MAX(RA58,PortfolioFrontier[[#This Row],[P117 Growth]])</f>
        <v>1.4195009271304138</v>
      </c>
      <c r="RB59" s="27">
        <f>PortfolioFrontier[[#This Row],[P117 Growth]]/PortfolioFrontier[[#This Row],[P117 HWM]]-1</f>
        <v>0</v>
      </c>
      <c r="RC59" s="28">
        <f>SUMPRODUCT(INDEX(PortfolioRef[[SPY]:[PE]],MATCH(RC$1,PortfolioRef[Reference '#]),0),AssetMonthlyReturns[[#This Row],[SPY]:[PE]])</f>
        <v>2.3925302081035816E-2</v>
      </c>
      <c r="RD59" s="27">
        <f>IF(ISNUMBER(RD58),RD58*(1+PortfolioFrontier[[#This Row],[P118 Return]]),1+PortfolioFrontier[[#This Row],[P118 Return]])</f>
        <v>1.4292069448057301</v>
      </c>
      <c r="RE59" s="27">
        <f>MAX(RE58,PortfolioFrontier[[#This Row],[P118 Growth]])</f>
        <v>1.4292069448057301</v>
      </c>
      <c r="RF59" s="27">
        <f>PortfolioFrontier[[#This Row],[P118 Growth]]/PortfolioFrontier[[#This Row],[P118 HWM]]-1</f>
        <v>0</v>
      </c>
      <c r="RG59" s="28">
        <f>SUMPRODUCT(INDEX(PortfolioRef[[SPY]:[PE]],MATCH(RG$1,PortfolioRef[Reference '#]),0),AssetMonthlyReturns[[#This Row],[SPY]:[PE]])</f>
        <v>2.4647262127269406E-2</v>
      </c>
      <c r="RH59" s="27">
        <f>IF(ISNUMBER(RH58),RH58*(1+PortfolioFrontier[[#This Row],[P119 Return]]),1+PortfolioFrontier[[#This Row],[P119 Return]])</f>
        <v>1.419553168588447</v>
      </c>
      <c r="RI59" s="27">
        <f>MAX(RI58,PortfolioFrontier[[#This Row],[P119 Growth]])</f>
        <v>1.419553168588447</v>
      </c>
      <c r="RJ59" s="27">
        <f>PortfolioFrontier[[#This Row],[P119 Growth]]/PortfolioFrontier[[#This Row],[P119 HWM]]-1</f>
        <v>0</v>
      </c>
      <c r="RK59" s="28">
        <f>SUMPRODUCT(INDEX(PortfolioRef[[SPY]:[PE]],MATCH(RK$1,PortfolioRef[Reference '#]),0),AssetMonthlyReturns[[#This Row],[SPY]:[PE]])</f>
        <v>2.5369222173503E-2</v>
      </c>
      <c r="RL59" s="27">
        <f>IF(ISNUMBER(RL58),RL58*(1+PortfolioFrontier[[#This Row],[P120 Return]]),1+PortfolioFrontier[[#This Row],[P120 Return]])</f>
        <v>1.4094709777376391</v>
      </c>
      <c r="RM59" s="27">
        <f>MAX(RM58,PortfolioFrontier[[#This Row],[P120 Growth]])</f>
        <v>1.4094709777376391</v>
      </c>
      <c r="RN59" s="27">
        <f>PortfolioFrontier[[#This Row],[P120 Growth]]/PortfolioFrontier[[#This Row],[P120 HWM]]-1</f>
        <v>0</v>
      </c>
      <c r="RO59" s="28">
        <f>SUMPRODUCT(INDEX(PortfolioRef[[SPY]:[PE]],MATCH(RO$1,PortfolioRef[Reference '#]),0),AssetMonthlyReturns[[#This Row],[SPY]:[PE]])</f>
        <v>2.0971956541085149E-2</v>
      </c>
      <c r="RP59" s="27">
        <f>IF(ISNUMBER(RP58),RP58*(1+PortfolioFrontier[[#This Row],[P121 Return]]),1+PortfolioFrontier[[#This Row],[P121 Return]])</f>
        <v>1.4177307534549386</v>
      </c>
      <c r="RQ59" s="27">
        <f>MAX(RQ58,PortfolioFrontier[[#This Row],[P121 Growth]])</f>
        <v>1.4177307534549386</v>
      </c>
      <c r="RR59" s="27">
        <f>PortfolioFrontier[[#This Row],[P121 Growth]]/PortfolioFrontier[[#This Row],[P121 HWM]]-1</f>
        <v>0</v>
      </c>
      <c r="RS59" s="28">
        <f>SUMPRODUCT(INDEX(PortfolioRef[[SPY]:[PE]],MATCH(RS$1,PortfolioRef[Reference '#]),0),AssetMonthlyReturns[[#This Row],[SPY]:[PE]])</f>
        <v>2.1693916587318739E-2</v>
      </c>
      <c r="RT59" s="27">
        <f>IF(ISNUMBER(RT58),RT58*(1+PortfolioFrontier[[#This Row],[P122 Return]]),1+PortfolioFrontier[[#This Row],[P122 Return]])</f>
        <v>1.4085391077678848</v>
      </c>
      <c r="RU59" s="27">
        <f>MAX(RU58,PortfolioFrontier[[#This Row],[P122 Growth]])</f>
        <v>1.4085391077678848</v>
      </c>
      <c r="RV59" s="27">
        <f>PortfolioFrontier[[#This Row],[P122 Growth]]/PortfolioFrontier[[#This Row],[P122 HWM]]-1</f>
        <v>0</v>
      </c>
      <c r="RW59" s="28">
        <f>SUMPRODUCT(INDEX(PortfolioRef[[SPY]:[PE]],MATCH(RW$1,PortfolioRef[Reference '#]),0),AssetMonthlyReturns[[#This Row],[SPY]:[PE]])</f>
        <v>2.2415876633552333E-2</v>
      </c>
      <c r="RX59" s="27">
        <f>IF(ISNUMBER(RX58),RX58*(1+PortfolioFrontier[[#This Row],[P123 Return]]),1+PortfolioFrontier[[#This Row],[P123 Return]])</f>
        <v>1.3989135695286588</v>
      </c>
      <c r="RY59" s="27">
        <f>MAX(RY58,PortfolioFrontier[[#This Row],[P123 Growth]])</f>
        <v>1.3989135695286588</v>
      </c>
      <c r="RZ59" s="27">
        <f>PortfolioFrontier[[#This Row],[P123 Growth]]/PortfolioFrontier[[#This Row],[P123 HWM]]-1</f>
        <v>0</v>
      </c>
      <c r="SA59" s="28">
        <f>SUMPRODUCT(INDEX(PortfolioRef[[SPY]:[PE]],MATCH(SA$1,PortfolioRef[Reference '#]),0),AssetMonthlyReturns[[#This Row],[SPY]:[PE]])</f>
        <v>2.7447456165165997E-2</v>
      </c>
      <c r="SB59" s="27">
        <f>IF(ISNUMBER(SB58),SB58*(1+PortfolioFrontier[[#This Row],[P124 Return]]),1+PortfolioFrontier[[#This Row],[P124 Return]])</f>
        <v>1.4437653367387404</v>
      </c>
      <c r="SC59" s="27">
        <f>MAX(SC58,PortfolioFrontier[[#This Row],[P124 Growth]])</f>
        <v>1.4437653367387404</v>
      </c>
      <c r="SD59" s="27">
        <f>PortfolioFrontier[[#This Row],[P124 Growth]]/PortfolioFrontier[[#This Row],[P124 HWM]]-1</f>
        <v>0</v>
      </c>
      <c r="SE59" s="28">
        <f>SUMPRODUCT(INDEX(PortfolioRef[[SPY]:[PE]],MATCH(SE$1,PortfolioRef[Reference '#]),0),AssetMonthlyReturns[[#This Row],[SPY]:[PE]])</f>
        <v>2.8169416211399588E-2</v>
      </c>
      <c r="SF59" s="27">
        <f>IF(ISNUMBER(SF58),SF58*(1+PortfolioFrontier[[#This Row],[P125 Return]]),1+PortfolioFrontier[[#This Row],[P125 Return]])</f>
        <v>1.4340449717171579</v>
      </c>
      <c r="SG59" s="27">
        <f>MAX(SG58,PortfolioFrontier[[#This Row],[P125 Growth]])</f>
        <v>1.4340449717171579</v>
      </c>
      <c r="SH59" s="27">
        <f>PortfolioFrontier[[#This Row],[P125 Growth]]/PortfolioFrontier[[#This Row],[P125 HWM]]-1</f>
        <v>0</v>
      </c>
      <c r="SI59" s="28">
        <f>SUMPRODUCT(INDEX(PortfolioRef[[SPY]:[PE]],MATCH(SI$1,PortfolioRef[Reference '#]),0),AssetMonthlyReturns[[#This Row],[SPY]:[PE]])</f>
        <v>2.8891376257633182E-2</v>
      </c>
      <c r="SJ59" s="27">
        <f>IF(ISNUMBER(SJ58),SJ58*(1+PortfolioFrontier[[#This Row],[P126 Return]]),1+PortfolioFrontier[[#This Row],[P126 Return]])</f>
        <v>1.4238915365438569</v>
      </c>
      <c r="SK59" s="27">
        <f>MAX(SK58,PortfolioFrontier[[#This Row],[P126 Growth]])</f>
        <v>1.4238915365438569</v>
      </c>
      <c r="SL59" s="27">
        <f>PortfolioFrontier[[#This Row],[P126 Growth]]/PortfolioFrontier[[#This Row],[P126 HWM]]-1</f>
        <v>0</v>
      </c>
      <c r="SM59" s="28">
        <f>SUMPRODUCT(INDEX(PortfolioRef[[SPY]:[PE]],MATCH(SM$1,PortfolioRef[Reference '#]),0),AssetMonthlyReturns[[#This Row],[SPY]:[PE]])</f>
        <v>2.4494110625215327E-2</v>
      </c>
      <c r="SN59" s="27">
        <f>IF(ISNUMBER(SN58),SN58*(1+PortfolioFrontier[[#This Row],[P127 Return]]),1+PortfolioFrontier[[#This Row],[P127 Return]])</f>
        <v>1.4323772901941572</v>
      </c>
      <c r="SO59" s="27">
        <f>MAX(SO58,PortfolioFrontier[[#This Row],[P127 Growth]])</f>
        <v>1.4323772901941572</v>
      </c>
      <c r="SP59" s="27">
        <f>PortfolioFrontier[[#This Row],[P127 Growth]]/PortfolioFrontier[[#This Row],[P127 HWM]]-1</f>
        <v>0</v>
      </c>
      <c r="SQ59" s="28">
        <f>SUMPRODUCT(INDEX(PortfolioRef[[SPY]:[PE]],MATCH(SQ$1,PortfolioRef[Reference '#]),0),AssetMonthlyReturns[[#This Row],[SPY]:[PE]])</f>
        <v>2.5216070671448917E-2</v>
      </c>
      <c r="SR59" s="27">
        <f>IF(ISNUMBER(SR58),SR58*(1+PortfolioFrontier[[#This Row],[P128 Return]]),1+PortfolioFrontier[[#This Row],[P128 Return]])</f>
        <v>1.4231223954306869</v>
      </c>
      <c r="SS59" s="27">
        <f>MAX(SS58,PortfolioFrontier[[#This Row],[P128 Growth]])</f>
        <v>1.4231223954306869</v>
      </c>
      <c r="ST59" s="27">
        <f>PortfolioFrontier[[#This Row],[P128 Growth]]/PortfolioFrontier[[#This Row],[P128 HWM]]-1</f>
        <v>0</v>
      </c>
      <c r="SU59" s="28">
        <f>SUMPRODUCT(INDEX(PortfolioRef[[SPY]:[PE]],MATCH(SU$1,PortfolioRef[Reference '#]),0),AssetMonthlyReturns[[#This Row],[SPY]:[PE]])</f>
        <v>2.5938030717682511E-2</v>
      </c>
      <c r="SV59" s="27">
        <f>IF(ISNUMBER(SV58),SV58*(1+PortfolioFrontier[[#This Row],[P129 Return]]),1+PortfolioFrontier[[#This Row],[P129 Return]])</f>
        <v>1.413428856516928</v>
      </c>
      <c r="SW59" s="27">
        <f>MAX(SW58,PortfolioFrontier[[#This Row],[P129 Growth]])</f>
        <v>1.413428856516928</v>
      </c>
      <c r="SX59" s="27">
        <f>PortfolioFrontier[[#This Row],[P129 Growth]]/PortfolioFrontier[[#This Row],[P129 HWM]]-1</f>
        <v>0</v>
      </c>
      <c r="SY59" s="28">
        <f>SUMPRODUCT(INDEX(PortfolioRef[[SPY]:[PE]],MATCH(SY$1,PortfolioRef[Reference '#]),0),AssetMonthlyReturns[[#This Row],[SPY]:[PE]])</f>
        <v>2.154076508526466E-2</v>
      </c>
      <c r="SZ59" s="27">
        <f>IF(ISNUMBER(SZ58),SZ58*(1+PortfolioFrontier[[#This Row],[P130 Return]]),1+PortfolioFrontier[[#This Row],[P130 Return]])</f>
        <v>1.4204616862310817</v>
      </c>
      <c r="TA59" s="27">
        <f>MAX(TA58,PortfolioFrontier[[#This Row],[P130 Growth]])</f>
        <v>1.4204616862310817</v>
      </c>
      <c r="TB59" s="27">
        <f>PortfolioFrontier[[#This Row],[P130 Growth]]/PortfolioFrontier[[#This Row],[P130 HWM]]-1</f>
        <v>0</v>
      </c>
      <c r="TC59" s="28">
        <f>SUMPRODUCT(INDEX(PortfolioRef[[SPY]:[PE]],MATCH(TC$1,PortfolioRef[Reference '#]),0),AssetMonthlyReturns[[#This Row],[SPY]:[PE]])</f>
        <v>2.226272513149825E-2</v>
      </c>
      <c r="TD59" s="27">
        <f>IF(ISNUMBER(TD58),TD58*(1+PortfolioFrontier[[#This Row],[P131 Return]]),1+PortfolioFrontier[[#This Row],[P131 Return]])</f>
        <v>1.4116728579747893</v>
      </c>
      <c r="TE59" s="27">
        <f>MAX(TE58,PortfolioFrontier[[#This Row],[P131 Growth]])</f>
        <v>1.4116728579747893</v>
      </c>
      <c r="TF59" s="27">
        <f>PortfolioFrontier[[#This Row],[P131 Growth]]/PortfolioFrontier[[#This Row],[P131 HWM]]-1</f>
        <v>0</v>
      </c>
      <c r="TG59" s="28">
        <f>SUMPRODUCT(INDEX(PortfolioRef[[SPY]:[PE]],MATCH(TG$1,PortfolioRef[Reference '#]),0),AssetMonthlyReturns[[#This Row],[SPY]:[PE]])</f>
        <v>2.2984685177731844E-2</v>
      </c>
      <c r="TH59" s="27">
        <f>IF(ISNUMBER(TH58),TH58*(1+PortfolioFrontier[[#This Row],[P132 Return]]),1+PortfolioFrontier[[#This Row],[P132 Return]])</f>
        <v>1.4024401232892367</v>
      </c>
      <c r="TI59" s="27">
        <f>MAX(TI58,PortfolioFrontier[[#This Row],[P132 Growth]])</f>
        <v>1.4024401232892367</v>
      </c>
      <c r="TJ59" s="27">
        <f>PortfolioFrontier[[#This Row],[P132 Growth]]/PortfolioFrontier[[#This Row],[P132 HWM]]-1</f>
        <v>0</v>
      </c>
      <c r="TK59" s="28">
        <f>SUMPRODUCT(INDEX(PortfolioRef[[SPY]:[PE]],MATCH(TK$1,PortfolioRef[Reference '#]),0),AssetMonthlyReturns[[#This Row],[SPY]:[PE]])</f>
        <v>2.8016264709345508E-2</v>
      </c>
      <c r="TL59" s="27">
        <f>IF(ISNUMBER(TL58),TL58*(1+PortfolioFrontier[[#This Row],[P133 Return]]),1+PortfolioFrontier[[#This Row],[P133 Return]])</f>
        <v>1.4469524589310778</v>
      </c>
      <c r="TM59" s="27">
        <f>MAX(TM58,PortfolioFrontier[[#This Row],[P133 Growth]])</f>
        <v>1.4469524589310778</v>
      </c>
      <c r="TN59" s="27">
        <f>PortfolioFrontier[[#This Row],[P133 Growth]]/PortfolioFrontier[[#This Row],[P133 HWM]]-1</f>
        <v>0</v>
      </c>
      <c r="TO59" s="28">
        <f>SUMPRODUCT(INDEX(PortfolioRef[[SPY]:[PE]],MATCH(TO$1,PortfolioRef[Reference '#]),0),AssetMonthlyReturns[[#This Row],[SPY]:[PE]])</f>
        <v>2.8738224755579099E-2</v>
      </c>
      <c r="TP59" s="27">
        <f>IF(ISNUMBER(TP58),TP58*(1+PortfolioFrontier[[#This Row],[P134 Return]]),1+PortfolioFrontier[[#This Row],[P134 Return]])</f>
        <v>1.4376350668538191</v>
      </c>
      <c r="TQ59" s="27">
        <f>MAX(TQ58,PortfolioFrontier[[#This Row],[P134 Growth]])</f>
        <v>1.4376350668538191</v>
      </c>
      <c r="TR59" s="27">
        <f>PortfolioFrontier[[#This Row],[P134 Growth]]/PortfolioFrontier[[#This Row],[P134 HWM]]-1</f>
        <v>0</v>
      </c>
      <c r="TS59" s="28">
        <f>SUMPRODUCT(INDEX(PortfolioRef[[SPY]:[PE]],MATCH(TS$1,PortfolioRef[Reference '#]),0),AssetMonthlyReturns[[#This Row],[SPY]:[PE]])</f>
        <v>2.9460184801812693E-2</v>
      </c>
      <c r="TT59" s="27">
        <f>IF(ISNUMBER(TT58),TT58*(1+PortfolioFrontier[[#This Row],[P135 Return]]),1+PortfolioFrontier[[#This Row],[P135 Return]])</f>
        <v>1.4278742959516701</v>
      </c>
      <c r="TU59" s="27">
        <f>MAX(TU58,PortfolioFrontier[[#This Row],[P135 Growth]])</f>
        <v>1.4278742959516701</v>
      </c>
      <c r="TV59" s="27">
        <f>PortfolioFrontier[[#This Row],[P135 Growth]]/PortfolioFrontier[[#This Row],[P135 HWM]]-1</f>
        <v>0</v>
      </c>
      <c r="TW59" s="28">
        <f>SUMPRODUCT(INDEX(PortfolioRef[[SPY]:[PE]],MATCH(TW$1,PortfolioRef[Reference '#]),0),AssetMonthlyReturns[[#This Row],[SPY]:[PE]])</f>
        <v>2.5062919169394841E-2</v>
      </c>
      <c r="TX59" s="27">
        <f>IF(ISNUMBER(TX58),TX58*(1+PortfolioFrontier[[#This Row],[P136 Return]]),1+PortfolioFrontier[[#This Row],[P136 Return]])</f>
        <v>1.4351208481401807</v>
      </c>
      <c r="TY59" s="27">
        <f>MAX(TY58,PortfolioFrontier[[#This Row],[P136 Growth]])</f>
        <v>1.4351208481401807</v>
      </c>
      <c r="TZ59" s="27">
        <f>PortfolioFrontier[[#This Row],[P136 Growth]]/PortfolioFrontier[[#This Row],[P136 HWM]]-1</f>
        <v>0</v>
      </c>
      <c r="UA59" s="28">
        <f>SUMPRODUCT(INDEX(PortfolioRef[[SPY]:[PE]],MATCH(UA$1,PortfolioRef[Reference '#]),0),AssetMonthlyReturns[[#This Row],[SPY]:[PE]])</f>
        <v>2.5784879215628432E-2</v>
      </c>
      <c r="UB59" s="27">
        <f>IF(ISNUMBER(UB58),UB58*(1+PortfolioFrontier[[#This Row],[P137 Return]]),1+PortfolioFrontier[[#This Row],[P137 Return]])</f>
        <v>1.4262729427245722</v>
      </c>
      <c r="UC59" s="27">
        <f>MAX(UC58,PortfolioFrontier[[#This Row],[P137 Growth]])</f>
        <v>1.4262729427245722</v>
      </c>
      <c r="UD59" s="27">
        <f>PortfolioFrontier[[#This Row],[P137 Growth]]/PortfolioFrontier[[#This Row],[P137 HWM]]-1</f>
        <v>0</v>
      </c>
      <c r="UE59" s="28">
        <f>SUMPRODUCT(INDEX(PortfolioRef[[SPY]:[PE]],MATCH(UE$1,PortfolioRef[Reference '#]),0),AssetMonthlyReturns[[#This Row],[SPY]:[PE]])</f>
        <v>2.6506839261862026E-2</v>
      </c>
      <c r="UF59" s="27">
        <f>IF(ISNUMBER(UF58),UF58*(1+PortfolioFrontier[[#This Row],[P138 Return]]),1+PortfolioFrontier[[#This Row],[P138 Return]])</f>
        <v>1.4169763013205212</v>
      </c>
      <c r="UG59" s="27">
        <f>MAX(UG58,PortfolioFrontier[[#This Row],[P138 Growth]])</f>
        <v>1.4169763013205212</v>
      </c>
      <c r="UH59" s="27">
        <f>PortfolioFrontier[[#This Row],[P138 Growth]]/PortfolioFrontier[[#This Row],[P138 HWM]]-1</f>
        <v>0</v>
      </c>
      <c r="UI59" s="28">
        <f>SUMPRODUCT(INDEX(PortfolioRef[[SPY]:[PE]],MATCH(UI$1,PortfolioRef[Reference '#]),0),AssetMonthlyReturns[[#This Row],[SPY]:[PE]])</f>
        <v>2.2109573629444171E-2</v>
      </c>
      <c r="UJ59" s="27">
        <f>IF(ISNUMBER(UJ58),UJ58*(1+PortfolioFrontier[[#This Row],[P139 Return]]),1+PortfolioFrontier[[#This Row],[P139 Return]])</f>
        <v>1.4227640159350252</v>
      </c>
      <c r="UK59" s="27">
        <f>MAX(UK58,PortfolioFrontier[[#This Row],[P139 Growth]])</f>
        <v>1.4227640159350252</v>
      </c>
      <c r="UL59" s="27">
        <f>PortfolioFrontier[[#This Row],[P139 Growth]]/PortfolioFrontier[[#This Row],[P139 HWM]]-1</f>
        <v>0</v>
      </c>
      <c r="UM59" s="28">
        <f>SUMPRODUCT(INDEX(PortfolioRef[[SPY]:[PE]],MATCH(UM$1,PortfolioRef[Reference '#]),0),AssetMonthlyReturns[[#This Row],[SPY]:[PE]])</f>
        <v>2.2831533675677761E-2</v>
      </c>
      <c r="UN59" s="27">
        <f>IF(ISNUMBER(UN58),UN58*(1+PortfolioFrontier[[#This Row],[P140 Return]]),1+PortfolioFrontier[[#This Row],[P140 Return]])</f>
        <v>1.414385881745891</v>
      </c>
      <c r="UO59" s="27">
        <f>MAX(UO58,PortfolioFrontier[[#This Row],[P140 Growth]])</f>
        <v>1.414385881745891</v>
      </c>
      <c r="UP59" s="27">
        <f>PortfolioFrontier[[#This Row],[P140 Growth]]/PortfolioFrontier[[#This Row],[P140 HWM]]-1</f>
        <v>0</v>
      </c>
      <c r="UQ59" s="28">
        <f>SUMPRODUCT(INDEX(PortfolioRef[[SPY]:[PE]],MATCH(UQ$1,PortfolioRef[Reference '#]),0),AssetMonthlyReturns[[#This Row],[SPY]:[PE]])</f>
        <v>2.3553493721911355E-2</v>
      </c>
      <c r="UR59" s="27">
        <f>IF(ISNUMBER(UR58),UR58*(1+PortfolioFrontier[[#This Row],[P141 Return]]),1+PortfolioFrontier[[#This Row],[P141 Return]])</f>
        <v>1.4055539721846346</v>
      </c>
      <c r="US59" s="27">
        <f>MAX(US58,PortfolioFrontier[[#This Row],[P141 Growth]])</f>
        <v>1.4055539721846346</v>
      </c>
      <c r="UT59" s="27">
        <f>PortfolioFrontier[[#This Row],[P141 Growth]]/PortfolioFrontier[[#This Row],[P141 HWM]]-1</f>
        <v>0</v>
      </c>
    </row>
    <row r="60" spans="2:566" x14ac:dyDescent="0.2">
      <c r="B60" s="41">
        <f>AssetMonthlyReturns[[#This Row],[Date]]</f>
        <v>44197</v>
      </c>
      <c r="C60" s="28">
        <f>SUMPRODUCT(INDEX(PortfolioRef[[SPY]:[PE]],MATCH(C$1,PortfolioRef[Reference '#]),0),AssetMonthlyReturns[[#This Row],[SPY]:[PE]])</f>
        <v>-5.9205980878743241E-3</v>
      </c>
      <c r="D60" s="29">
        <f>IF(ISNUMBER(D59),D59*(1+PortfolioFrontier[[#This Row],[P1 Return]]),1+PortfolioFrontier[[#This Row],[P1 Return]])</f>
        <v>1.6205579851716421</v>
      </c>
      <c r="E60" s="29">
        <f>MAX(E59,PortfolioFrontier[[#This Row],[P1 Growth]])</f>
        <v>1.6302098022094373</v>
      </c>
      <c r="F60" s="29">
        <f>PortfolioFrontier[[#This Row],[P1 Growth]]/PortfolioFrontier[[#This Row],[P1 HWM]]-1</f>
        <v>-5.9205980878743736E-3</v>
      </c>
      <c r="G60" s="28">
        <f>SUMPRODUCT(INDEX(PortfolioRef[[SPY]:[PE]],MATCH(G$1,PortfolioRef[Reference '#]),0),AssetMonthlyReturns[[#This Row],[SPY]:[PE]])</f>
        <v>-5.8551080590545481E-3</v>
      </c>
      <c r="H60" s="27">
        <f>IF(ISNUMBER(H59),H59*(1+PortfolioFrontier[[#This Row],[P2 Return]]),1+PortfolioFrontier[[#This Row],[P2 Return]])</f>
        <v>1.5817645826602695</v>
      </c>
      <c r="I60" s="27">
        <f>MAX(I59,PortfolioFrontier[[#This Row],[P2 Growth]])</f>
        <v>1.5910805311005209</v>
      </c>
      <c r="J60" s="27">
        <f>PortfolioFrontier[[#This Row],[P2 Growth]]/PortfolioFrontier[[#This Row],[P2 HWM]]-1</f>
        <v>-5.8551080590545368E-3</v>
      </c>
      <c r="K60" s="28">
        <f>SUMPRODUCT(INDEX(PortfolioRef[[SPY]:[PE]],MATCH(K$1,PortfolioRef[Reference '#]),0),AssetMonthlyReturns[[#This Row],[SPY]:[PE]])</f>
        <v>-7.2339438166178936E-3</v>
      </c>
      <c r="L60" s="27">
        <f>IF(ISNUMBER(L59),L59*(1+PortfolioFrontier[[#This Row],[P3 Return]]),1+PortfolioFrontier[[#This Row],[P3 Return]])</f>
        <v>1.5958859159276741</v>
      </c>
      <c r="M60" s="27">
        <f>MAX(M59,PortfolioFrontier[[#This Row],[P3 Growth]])</f>
        <v>1.6075145861281188</v>
      </c>
      <c r="N60" s="27">
        <f>PortfolioFrontier[[#This Row],[P3 Growth]]/PortfolioFrontier[[#This Row],[P3 HWM]]-1</f>
        <v>-7.2339438166179049E-3</v>
      </c>
      <c r="O60" s="28">
        <f>SUMPRODUCT(INDEX(PortfolioRef[[SPY]:[PE]],MATCH(O$1,PortfolioRef[Reference '#]),0),AssetMonthlyReturns[[#This Row],[SPY]:[PE]])</f>
        <v>-4.799547308168812E-3</v>
      </c>
      <c r="P60" s="27">
        <f>IF(ISNUMBER(P59),P59*(1+PortfolioFrontier[[#This Row],[P4 Return]]),1+PortfolioFrontier[[#This Row],[P4 Return]])</f>
        <v>1.5866444139894689</v>
      </c>
      <c r="Q60" s="27">
        <f>MAX(Q59,PortfolioFrontier[[#This Row],[P4 Growth]])</f>
        <v>1.5942963145745084</v>
      </c>
      <c r="R60" s="27">
        <f>PortfolioFrontier[[#This Row],[P4 Growth]]/PortfolioFrontier[[#This Row],[P4 HWM]]-1</f>
        <v>-4.7995473081687834E-3</v>
      </c>
      <c r="S60" s="28">
        <f>SUMPRODUCT(INDEX(PortfolioRef[[SPY]:[PE]],MATCH(S$1,PortfolioRef[Reference '#]),0),AssetMonthlyReturns[[#This Row],[SPY]:[PE]])</f>
        <v>-5.8012095710270823E-3</v>
      </c>
      <c r="T60" s="27">
        <f>IF(ISNUMBER(T59),T59*(1+PortfolioFrontier[[#This Row],[P5 Return]]),1+PortfolioFrontier[[#This Row],[P5 Return]])</f>
        <v>1.574842486674779</v>
      </c>
      <c r="U60" s="27">
        <f>MAX(U59,PortfolioFrontier[[#This Row],[P5 Growth]])</f>
        <v>1.5840317870385581</v>
      </c>
      <c r="V60" s="27">
        <f>PortfolioFrontier[[#This Row],[P5 Growth]]/PortfolioFrontier[[#This Row],[P5 HWM]]-1</f>
        <v>-5.8012095710270328E-3</v>
      </c>
      <c r="W60" s="28">
        <f>SUMPRODUCT(INDEX(PortfolioRef[[SPY]:[PE]],MATCH(W$1,PortfolioRef[Reference '#]),0),AssetMonthlyReturns[[#This Row],[SPY]:[PE]])</f>
        <v>-5.789618030234772E-3</v>
      </c>
      <c r="X60" s="27">
        <f>IF(ISNUMBER(X59),X59*(1+PortfolioFrontier[[#This Row],[P6 Return]]),1+PortfolioFrontier[[#This Row],[P6 Return]])</f>
        <v>1.5434278732954898</v>
      </c>
      <c r="Y60" s="27">
        <f>MAX(Y59,PortfolioFrontier[[#This Row],[P6 Growth]])</f>
        <v>1.5524157676140891</v>
      </c>
      <c r="Z60" s="27">
        <f>PortfolioFrontier[[#This Row],[P6 Growth]]/PortfolioFrontier[[#This Row],[P6 HWM]]-1</f>
        <v>-5.7896180302347E-3</v>
      </c>
      <c r="AA60" s="28">
        <f>SUMPRODUCT(INDEX(PortfolioRef[[SPY]:[PE]],MATCH(AA$1,PortfolioRef[Reference '#]),0),AssetMonthlyReturns[[#This Row],[SPY]:[PE]])</f>
        <v>-7.1684537877981193E-3</v>
      </c>
      <c r="AB60" s="27">
        <f>IF(ISNUMBER(AB59),AB59*(1+PortfolioFrontier[[#This Row],[P7 Return]]),1+PortfolioFrontier[[#This Row],[P7 Return]])</f>
        <v>1.557220860659934</v>
      </c>
      <c r="AC60" s="27">
        <f>MAX(AC59,PortfolioFrontier[[#This Row],[P7 Growth]])</f>
        <v>1.5684643246892791</v>
      </c>
      <c r="AD60" s="27">
        <f>PortfolioFrontier[[#This Row],[P7 Growth]]/PortfolioFrontier[[#This Row],[P7 HWM]]-1</f>
        <v>-7.1684537877980681E-3</v>
      </c>
      <c r="AE60" s="28">
        <f>SUMPRODUCT(INDEX(PortfolioRef[[SPY]:[PE]],MATCH(AE$1,PortfolioRef[Reference '#]),0),AssetMonthlyReturns[[#This Row],[SPY]:[PE]])</f>
        <v>-4.7340572793490359E-3</v>
      </c>
      <c r="AF60" s="27">
        <f>IF(ISNUMBER(AF59),AF59*(1+PortfolioFrontier[[#This Row],[P8 Return]]),1+PortfolioFrontier[[#This Row],[P8 Return]])</f>
        <v>1.5485332753932031</v>
      </c>
      <c r="AG60" s="27">
        <f>MAX(AG59,PortfolioFrontier[[#This Row],[P8 Growth]])</f>
        <v>1.5558989903343272</v>
      </c>
      <c r="AH60" s="27">
        <f>PortfolioFrontier[[#This Row],[P8 Growth]]/PortfolioFrontier[[#This Row],[P8 HWM]]-1</f>
        <v>-4.7340572793490576E-3</v>
      </c>
      <c r="AI60" s="28">
        <f>SUMPRODUCT(INDEX(PortfolioRef[[SPY]:[PE]],MATCH(AI$1,PortfolioRef[Reference '#]),0),AssetMonthlyReturns[[#This Row],[SPY]:[PE]])</f>
        <v>-5.7357195422073079E-3</v>
      </c>
      <c r="AJ60" s="27">
        <f>IF(ISNUMBER(AJ59),AJ59*(1+PortfolioFrontier[[#This Row],[P9 Return]]),1+PortfolioFrontier[[#This Row],[P9 Return]])</f>
        <v>1.5367280028329426</v>
      </c>
      <c r="AK60" s="27">
        <f>MAX(AK59,PortfolioFrontier[[#This Row],[P9 Growth]])</f>
        <v>1.5455930913311915</v>
      </c>
      <c r="AL60" s="27">
        <f>PortfolioFrontier[[#This Row],[P9 Growth]]/PortfolioFrontier[[#This Row],[P9 HWM]]-1</f>
        <v>-5.7357195422073071E-3</v>
      </c>
      <c r="AM60" s="28">
        <f>SUMPRODUCT(INDEX(PortfolioRef[[SPY]:[PE]],MATCH(AM$1,PortfolioRef[Reference '#]),0),AssetMonthlyReturns[[#This Row],[SPY]:[PE]])</f>
        <v>-8.5472895453614639E-3</v>
      </c>
      <c r="AN60" s="27">
        <f>IF(ISNUMBER(AN59),AN59*(1+PortfolioFrontier[[#This Row],[P10 Return]]),1+PortfolioFrontier[[#This Row],[P10 Return]])</f>
        <v>1.5708932224032806</v>
      </c>
      <c r="AO60" s="27">
        <f>MAX(AO59,PortfolioFrontier[[#This Row],[P10 Growth]])</f>
        <v>1.5844358544170352</v>
      </c>
      <c r="AP60" s="27">
        <f>PortfolioFrontier[[#This Row],[P10 Growth]]/PortfolioFrontier[[#This Row],[P10 HWM]]-1</f>
        <v>-8.5472895453614361E-3</v>
      </c>
      <c r="AQ60" s="28">
        <f>SUMPRODUCT(INDEX(PortfolioRef[[SPY]:[PE]],MATCH(AQ$1,PortfolioRef[Reference '#]),0),AssetMonthlyReturns[[#This Row],[SPY]:[PE]])</f>
        <v>-6.1128930369123815E-3</v>
      </c>
      <c r="AR60" s="27">
        <f>IF(ISNUMBER(AR59),AR59*(1+PortfolioFrontier[[#This Row],[P11 Return]]),1+PortfolioFrontier[[#This Row],[P11 Return]])</f>
        <v>1.5623570553675761</v>
      </c>
      <c r="AS60" s="27">
        <f>MAX(AS59,PortfolioFrontier[[#This Row],[P11 Growth]])</f>
        <v>1.5719663173230007</v>
      </c>
      <c r="AT60" s="27">
        <f>PortfolioFrontier[[#This Row],[P11 Growth]]/PortfolioFrontier[[#This Row],[P11 HWM]]-1</f>
        <v>-6.1128930369124257E-3</v>
      </c>
      <c r="AU60" s="28">
        <f>SUMPRODUCT(INDEX(PortfolioRef[[SPY]:[PE]],MATCH(AU$1,PortfolioRef[Reference '#]),0),AssetMonthlyReturns[[#This Row],[SPY]:[PE]])</f>
        <v>-7.1145552997706535E-3</v>
      </c>
      <c r="AV60" s="27">
        <f>IF(ISNUMBER(AV59),AV59*(1+PortfolioFrontier[[#This Row],[P12 Return]]),1+PortfolioFrontier[[#This Row],[P12 Return]])</f>
        <v>1.5504787935007409</v>
      </c>
      <c r="AW60" s="27">
        <f>MAX(AW59,PortfolioFrontier[[#This Row],[P12 Growth]])</f>
        <v>1.5615888033980188</v>
      </c>
      <c r="AX60" s="27">
        <f>PortfolioFrontier[[#This Row],[P12 Growth]]/PortfolioFrontier[[#This Row],[P12 HWM]]-1</f>
        <v>-7.1145552997706751E-3</v>
      </c>
      <c r="AY60" s="28">
        <f>SUMPRODUCT(INDEX(PortfolioRef[[SPY]:[PE]],MATCH(AY$1,PortfolioRef[Reference '#]),0),AssetMonthlyReturns[[#This Row],[SPY]:[PE]])</f>
        <v>-3.678496528463299E-3</v>
      </c>
      <c r="AZ60" s="27">
        <f>IF(ISNUMBER(AZ59),AZ59*(1+PortfolioFrontier[[#This Row],[P13 Return]]),1+PortfolioFrontier[[#This Row],[P13 Return]])</f>
        <v>1.5531855453905818</v>
      </c>
      <c r="BA60" s="27">
        <f>MAX(BA59,PortfolioFrontier[[#This Row],[P13 Growth]])</f>
        <v>1.5589200272991537</v>
      </c>
      <c r="BB60" s="27">
        <f>PortfolioFrontier[[#This Row],[P13 Growth]]/PortfolioFrontier[[#This Row],[P13 HWM]]-1</f>
        <v>-3.6784965284633042E-3</v>
      </c>
      <c r="BC60" s="28">
        <f>SUMPRODUCT(INDEX(PortfolioRef[[SPY]:[PE]],MATCH(BC$1,PortfolioRef[Reference '#]),0),AssetMonthlyReturns[[#This Row],[SPY]:[PE]])</f>
        <v>-4.6801587913215701E-3</v>
      </c>
      <c r="BD60" s="27">
        <f>IF(ISNUMBER(BD59),BD59*(1+PortfolioFrontier[[#This Row],[P14 Return]]),1+PortfolioFrontier[[#This Row],[P14 Return]])</f>
        <v>1.5418037036321577</v>
      </c>
      <c r="BE60" s="27">
        <f>MAX(BE59,PortfolioFrontier[[#This Row],[P14 Growth]])</f>
        <v>1.5490535200823989</v>
      </c>
      <c r="BF60" s="27">
        <f>PortfolioFrontier[[#This Row],[P14 Growth]]/PortfolioFrontier[[#This Row],[P14 HWM]]-1</f>
        <v>-4.6801587913215537E-3</v>
      </c>
      <c r="BG60" s="28">
        <f>SUMPRODUCT(INDEX(PortfolioRef[[SPY]:[PE]],MATCH(BG$1,PortfolioRef[Reference '#]),0),AssetMonthlyReturns[[#This Row],[SPY]:[PE]])</f>
        <v>-5.681821054179843E-3</v>
      </c>
      <c r="BH60" s="27">
        <f>IF(ISNUMBER(BH59),BH59*(1+PortfolioFrontier[[#This Row],[P15 Return]]),1+PortfolioFrontier[[#This Row],[P15 Return]])</f>
        <v>1.5299629631842497</v>
      </c>
      <c r="BI60" s="27">
        <f>MAX(BI59,PortfolioFrontier[[#This Row],[P15 Growth]])</f>
        <v>1.5387056131331343</v>
      </c>
      <c r="BJ60" s="27">
        <f>PortfolioFrontier[[#This Row],[P15 Growth]]/PortfolioFrontier[[#This Row],[P15 HWM]]-1</f>
        <v>-5.6818210541798031E-3</v>
      </c>
      <c r="BK60" s="28">
        <f>SUMPRODUCT(INDEX(PortfolioRef[[SPY]:[PE]],MATCH(BK$1,PortfolioRef[Reference '#]),0),AssetMonthlyReturns[[#This Row],[SPY]:[PE]])</f>
        <v>-5.7241280014149977E-3</v>
      </c>
      <c r="BL60" s="27">
        <f>IF(ISNUMBER(BL59),BL59*(1+PortfolioFrontier[[#This Row],[P16 Return]]),1+PortfolioFrontier[[#This Row],[P16 Return]])</f>
        <v>1.5055607092800303</v>
      </c>
      <c r="BM60" s="27">
        <f>MAX(BM59,PortfolioFrontier[[#This Row],[P16 Growth]])</f>
        <v>1.5142283461568027</v>
      </c>
      <c r="BN60" s="27">
        <f>PortfolioFrontier[[#This Row],[P16 Growth]]/PortfolioFrontier[[#This Row],[P16 HWM]]-1</f>
        <v>-5.7241280014149742E-3</v>
      </c>
      <c r="BO60" s="28">
        <f>SUMPRODUCT(INDEX(PortfolioRef[[SPY]:[PE]],MATCH(BO$1,PortfolioRef[Reference '#]),0),AssetMonthlyReturns[[#This Row],[SPY]:[PE]])</f>
        <v>-7.1029637589783432E-3</v>
      </c>
      <c r="BP60" s="27">
        <f>IF(ISNUMBER(BP59),BP59*(1+PortfolioFrontier[[#This Row],[P17 Return]]),1+PortfolioFrontier[[#This Row],[P17 Return]])</f>
        <v>1.5190292363238942</v>
      </c>
      <c r="BQ60" s="27">
        <f>MAX(BQ59,PortfolioFrontier[[#This Row],[P17 Growth]])</f>
        <v>1.529896032397015</v>
      </c>
      <c r="BR60" s="27">
        <f>PortfolioFrontier[[#This Row],[P17 Growth]]/PortfolioFrontier[[#This Row],[P17 HWM]]-1</f>
        <v>-7.1029637589783423E-3</v>
      </c>
      <c r="BS60" s="28">
        <f>SUMPRODUCT(INDEX(PortfolioRef[[SPY]:[PE]],MATCH(BS$1,PortfolioRef[Reference '#]),0),AssetMonthlyReturns[[#This Row],[SPY]:[PE]])</f>
        <v>-4.6685672505292599E-3</v>
      </c>
      <c r="BT60" s="27">
        <f>IF(ISNUMBER(BT59),BT59*(1+PortfolioFrontier[[#This Row],[P18 Return]]),1+PortfolioFrontier[[#This Row],[P18 Return]])</f>
        <v>1.5108747354940506</v>
      </c>
      <c r="BU60" s="27">
        <f>MAX(BU59,PortfolioFrontier[[#This Row],[P18 Growth]])</f>
        <v>1.5179614405630293</v>
      </c>
      <c r="BV60" s="27">
        <f>PortfolioFrontier[[#This Row],[P18 Growth]]/PortfolioFrontier[[#This Row],[P18 HWM]]-1</f>
        <v>-4.6685672505292208E-3</v>
      </c>
      <c r="BW60" s="28">
        <f>SUMPRODUCT(INDEX(PortfolioRef[[SPY]:[PE]],MATCH(BW$1,PortfolioRef[Reference '#]),0),AssetMonthlyReturns[[#This Row],[SPY]:[PE]])</f>
        <v>-5.6702295133875319E-3</v>
      </c>
      <c r="BX60" s="27">
        <f>IF(ISNUMBER(BX59),BX59*(1+PortfolioFrontier[[#This Row],[P19 Return]]),1+PortfolioFrontier[[#This Row],[P19 Return]])</f>
        <v>1.499078098421136</v>
      </c>
      <c r="BY60" s="27">
        <f>MAX(BY59,PortfolioFrontier[[#This Row],[P19 Growth]])</f>
        <v>1.5076266877612507</v>
      </c>
      <c r="BZ60" s="27">
        <f>PortfolioFrontier[[#This Row],[P19 Growth]]/PortfolioFrontier[[#This Row],[P19 HWM]]-1</f>
        <v>-5.6702295133876923E-3</v>
      </c>
      <c r="CA60" s="28">
        <f>SUMPRODUCT(INDEX(PortfolioRef[[SPY]:[PE]],MATCH(CA$1,PortfolioRef[Reference '#]),0),AssetMonthlyReturns[[#This Row],[SPY]:[PE]])</f>
        <v>-8.4817995165416878E-3</v>
      </c>
      <c r="CB60" s="27">
        <f>IF(ISNUMBER(CB59),CB59*(1+PortfolioFrontier[[#This Row],[P20 Return]]),1+PortfolioFrontier[[#This Row],[P20 Return]])</f>
        <v>1.5323797419805048</v>
      </c>
      <c r="CC60" s="27">
        <f>MAX(CC59,PortfolioFrontier[[#This Row],[P20 Growth]])</f>
        <v>1.5454882635874214</v>
      </c>
      <c r="CD60" s="27">
        <f>PortfolioFrontier[[#This Row],[P20 Growth]]/PortfolioFrontier[[#This Row],[P20 HWM]]-1</f>
        <v>-8.4817995165417104E-3</v>
      </c>
      <c r="CE60" s="28">
        <f>SUMPRODUCT(INDEX(PortfolioRef[[SPY]:[PE]],MATCH(CE$1,PortfolioRef[Reference '#]),0),AssetMonthlyReturns[[#This Row],[SPY]:[PE]])</f>
        <v>-6.0474030080926054E-3</v>
      </c>
      <c r="CF60" s="27">
        <f>IF(ISNUMBER(CF59),CF59*(1+PortfolioFrontier[[#This Row],[P21 Return]]),1+PortfolioFrontier[[#This Row],[P21 Return]])</f>
        <v>1.5243761938367033</v>
      </c>
      <c r="CG60" s="27">
        <f>MAX(CG59,PortfolioFrontier[[#This Row],[P21 Growth]])</f>
        <v>1.5336507982876315</v>
      </c>
      <c r="CH60" s="27">
        <f>PortfolioFrontier[[#This Row],[P21 Growth]]/PortfolioFrontier[[#This Row],[P21 HWM]]-1</f>
        <v>-6.0474030080925889E-3</v>
      </c>
      <c r="CI60" s="28">
        <f>SUMPRODUCT(INDEX(PortfolioRef[[SPY]:[PE]],MATCH(CI$1,PortfolioRef[Reference '#]),0),AssetMonthlyReturns[[#This Row],[SPY]:[PE]])</f>
        <v>-7.0490652709508774E-3</v>
      </c>
      <c r="CJ60" s="27">
        <f>IF(ISNUMBER(CJ59),CJ59*(1+PortfolioFrontier[[#This Row],[P22 Return]]),1+PortfolioFrontier[[#This Row],[P22 Return]])</f>
        <v>1.512505861735236</v>
      </c>
      <c r="CK60" s="27">
        <f>MAX(CK59,PortfolioFrontier[[#This Row],[P22 Growth]])</f>
        <v>1.5232433032030532</v>
      </c>
      <c r="CL60" s="27">
        <f>PortfolioFrontier[[#This Row],[P22 Growth]]/PortfolioFrontier[[#This Row],[P22 HWM]]-1</f>
        <v>-7.0490652709509494E-3</v>
      </c>
      <c r="CM60" s="28">
        <f>SUMPRODUCT(INDEX(PortfolioRef[[SPY]:[PE]],MATCH(CM$1,PortfolioRef[Reference '#]),0),AssetMonthlyReturns[[#This Row],[SPY]:[PE]])</f>
        <v>-3.6130064996435229E-3</v>
      </c>
      <c r="CN60" s="27">
        <f>IF(ISNUMBER(CN59),CN59*(1+PortfolioFrontier[[#This Row],[P23 Return]]),1+PortfolioFrontier[[#This Row],[P23 Return]])</f>
        <v>1.5157512576251906</v>
      </c>
      <c r="CO60" s="27">
        <f>MAX(CO59,PortfolioFrontier[[#This Row],[P23 Growth]])</f>
        <v>1.5212475348561927</v>
      </c>
      <c r="CP60" s="27">
        <f>PortfolioFrontier[[#This Row],[P23 Growth]]/PortfolioFrontier[[#This Row],[P23 HWM]]-1</f>
        <v>-3.6130064996434674E-3</v>
      </c>
      <c r="CQ60" s="28">
        <f>SUMPRODUCT(INDEX(PortfolioRef[[SPY]:[PE]],MATCH(CQ$1,PortfolioRef[Reference '#]),0),AssetMonthlyReturns[[#This Row],[SPY]:[PE]])</f>
        <v>-4.6146687625017941E-3</v>
      </c>
      <c r="CR60" s="27">
        <f>IF(ISNUMBER(CR59),CR59*(1+PortfolioFrontier[[#This Row],[P24 Return]]),1+PortfolioFrontier[[#This Row],[P24 Return]])</f>
        <v>1.5043620378885461</v>
      </c>
      <c r="CS60" s="27">
        <f>MAX(CS59,PortfolioFrontier[[#This Row],[P24 Growth]])</f>
        <v>1.5113363545535377</v>
      </c>
      <c r="CT60" s="27">
        <f>PortfolioFrontier[[#This Row],[P24 Growth]]/PortfolioFrontier[[#This Row],[P24 HWM]]-1</f>
        <v>-4.6146687625018279E-3</v>
      </c>
      <c r="CU60" s="28">
        <f>SUMPRODUCT(INDEX(PortfolioRef[[SPY]:[PE]],MATCH(CU$1,PortfolioRef[Reference '#]),0),AssetMonthlyReturns[[#This Row],[SPY]:[PE]])</f>
        <v>-5.6163310253600669E-3</v>
      </c>
      <c r="CV60" s="27">
        <f>IF(ISNUMBER(CV59),CV59*(1+PortfolioFrontier[[#This Row],[P25 Return]]),1+PortfolioFrontier[[#This Row],[P25 Return]])</f>
        <v>1.4925314977797974</v>
      </c>
      <c r="CW60" s="27">
        <f>MAX(CW59,PortfolioFrontier[[#This Row],[P25 Growth]])</f>
        <v>1.5009613938237978</v>
      </c>
      <c r="CX60" s="27">
        <f>PortfolioFrontier[[#This Row],[P25 Growth]]/PortfolioFrontier[[#This Row],[P25 HWM]]-1</f>
        <v>-5.6163310253600773E-3</v>
      </c>
      <c r="CY60" s="28">
        <f>SUMPRODUCT(INDEX(PortfolioRef[[SPY]:[PE]],MATCH(CY$1,PortfolioRef[Reference '#]),0),AssetMonthlyReturns[[#This Row],[SPY]:[PE]])</f>
        <v>-7.4262387656559526E-3</v>
      </c>
      <c r="CZ60" s="27">
        <f>IF(ISNUMBER(CZ59),CZ59*(1+PortfolioFrontier[[#This Row],[P26 Return]]),1+PortfolioFrontier[[#This Row],[P26 Return]])</f>
        <v>1.5377593539934555</v>
      </c>
      <c r="DA60" s="27">
        <f>MAX(DA59,PortfolioFrontier[[#This Row],[P26 Growth]])</f>
        <v>1.5492645625460923</v>
      </c>
      <c r="DB60" s="27">
        <f>PortfolioFrontier[[#This Row],[P26 Growth]]/PortfolioFrontier[[#This Row],[P26 HWM]]-1</f>
        <v>-7.426238765655957E-3</v>
      </c>
      <c r="DC60" s="28">
        <f>SUMPRODUCT(INDEX(PortfolioRef[[SPY]:[PE]],MATCH(DC$1,PortfolioRef[Reference '#]),0),AssetMonthlyReturns[[#This Row],[SPY]:[PE]])</f>
        <v>-8.4279010285142255E-3</v>
      </c>
      <c r="DD60" s="27">
        <f>IF(ISNUMBER(DD59),DD59*(1+PortfolioFrontier[[#This Row],[P27 Return]]),1+PortfolioFrontier[[#This Row],[P27 Return]])</f>
        <v>1.5258164192339936</v>
      </c>
      <c r="DE60" s="27">
        <f>MAX(DE59,PortfolioFrontier[[#This Row],[P27 Growth]])</f>
        <v>1.5387851481668917</v>
      </c>
      <c r="DF60" s="27">
        <f>PortfolioFrontier[[#This Row],[P27 Growth]]/PortfolioFrontier[[#This Row],[P27 HWM]]-1</f>
        <v>-8.4279010285142064E-3</v>
      </c>
      <c r="DG60" s="28">
        <f>SUMPRODUCT(INDEX(PortfolioRef[[SPY]:[PE]],MATCH(DG$1,PortfolioRef[Reference '#]),0),AssetMonthlyReturns[[#This Row],[SPY]:[PE]])</f>
        <v>-4.9918422572068702E-3</v>
      </c>
      <c r="DH60" s="27">
        <f>IF(ISNUMBER(DH59),DH59*(1+PortfolioFrontier[[#This Row],[P28 Return]]),1+PortfolioFrontier[[#This Row],[P28 Return]])</f>
        <v>1.5292818109308273</v>
      </c>
      <c r="DI60" s="27">
        <f>MAX(DI59,PortfolioFrontier[[#This Row],[P28 Growth]])</f>
        <v>1.5369540430704109</v>
      </c>
      <c r="DJ60" s="27">
        <f>PortfolioFrontier[[#This Row],[P28 Growth]]/PortfolioFrontier[[#This Row],[P28 HWM]]-1</f>
        <v>-4.9918422572067245E-3</v>
      </c>
      <c r="DK60" s="28">
        <f>SUMPRODUCT(INDEX(PortfolioRef[[SPY]:[PE]],MATCH(DK$1,PortfolioRef[Reference '#]),0),AssetMonthlyReturns[[#This Row],[SPY]:[PE]])</f>
        <v>-5.9935045200651413E-3</v>
      </c>
      <c r="DL60" s="27">
        <f>IF(ISNUMBER(DL59),DL59*(1+PortfolioFrontier[[#This Row],[P29 Return]]),1+PortfolioFrontier[[#This Row],[P29 Return]])</f>
        <v>1.5178225954004925</v>
      </c>
      <c r="DM60" s="27">
        <f>MAX(DM59,PortfolioFrontier[[#This Row],[P29 Growth]])</f>
        <v>1.5269745241127868</v>
      </c>
      <c r="DN60" s="27">
        <f>PortfolioFrontier[[#This Row],[P29 Growth]]/PortfolioFrontier[[#This Row],[P29 HWM]]-1</f>
        <v>-5.993504520065196E-3</v>
      </c>
      <c r="DO60" s="28">
        <f>SUMPRODUCT(INDEX(PortfolioRef[[SPY]:[PE]],MATCH(DO$1,PortfolioRef[Reference '#]),0),AssetMonthlyReturns[[#This Row],[SPY]:[PE]])</f>
        <v>-6.9951667829234142E-3</v>
      </c>
      <c r="DP60" s="27">
        <f>IF(ISNUMBER(DP59),DP59*(1+PortfolioFrontier[[#This Row],[P30 Return]]),1+PortfolioFrontier[[#This Row],[P30 Return]])</f>
        <v>1.5059177941654691</v>
      </c>
      <c r="DQ60" s="27">
        <f>MAX(DQ59,PortfolioFrontier[[#This Row],[P30 Growth]])</f>
        <v>1.5165261474978811</v>
      </c>
      <c r="DR60" s="27">
        <f>PortfolioFrontier[[#This Row],[P30 Growth]]/PortfolioFrontier[[#This Row],[P30 HWM]]-1</f>
        <v>-6.9951667829233344E-3</v>
      </c>
      <c r="DS60" s="28">
        <f>SUMPRODUCT(INDEX(PortfolioRef[[SPY]:[PE]],MATCH(DS$1,PortfolioRef[Reference '#]),0),AssetMonthlyReturns[[#This Row],[SPY]:[PE]])</f>
        <v>-2.5574457487577869E-3</v>
      </c>
      <c r="DT60" s="27">
        <f>IF(ISNUMBER(DT59),DT59*(1+PortfolioFrontier[[#This Row],[P31 Return]]),1+PortfolioFrontier[[#This Row],[P31 Return]])</f>
        <v>1.5201822076357512</v>
      </c>
      <c r="DU60" s="27">
        <f>MAX(DU59,PortfolioFrontier[[#This Row],[P31 Growth]])</f>
        <v>1.5240799594488106</v>
      </c>
      <c r="DV60" s="27">
        <f>PortfolioFrontier[[#This Row],[P31 Growth]]/PortfolioFrontier[[#This Row],[P31 HWM]]-1</f>
        <v>-2.557445748757825E-3</v>
      </c>
      <c r="DW60" s="28">
        <f>SUMPRODUCT(INDEX(PortfolioRef[[SPY]:[PE]],MATCH(DW$1,PortfolioRef[Reference '#]),0),AssetMonthlyReturns[[#This Row],[SPY]:[PE]])</f>
        <v>-3.559108011616058E-3</v>
      </c>
      <c r="DX60" s="27">
        <f>IF(ISNUMBER(DX59),DX59*(1+PortfolioFrontier[[#This Row],[P32 Return]]),1+PortfolioFrontier[[#This Row],[P32 Return]])</f>
        <v>1.509210315665751</v>
      </c>
      <c r="DY60" s="27">
        <f>MAX(DY59,PortfolioFrontier[[#This Row],[P32 Growth]])</f>
        <v>1.5146009440200139</v>
      </c>
      <c r="DZ60" s="27">
        <f>PortfolioFrontier[[#This Row],[P32 Growth]]/PortfolioFrontier[[#This Row],[P32 HWM]]-1</f>
        <v>-3.5591080116160745E-3</v>
      </c>
      <c r="EA60" s="28">
        <f>SUMPRODUCT(INDEX(PortfolioRef[[SPY]:[PE]],MATCH(EA$1,PortfolioRef[Reference '#]),0),AssetMonthlyReturns[[#This Row],[SPY]:[PE]])</f>
        <v>-4.56077027447433E-3</v>
      </c>
      <c r="EB60" s="27">
        <f>IF(ISNUMBER(EB59),EB59*(1+PortfolioFrontier[[#This Row],[P33 Return]]),1+PortfolioFrontier[[#This Row],[P33 Return]])</f>
        <v>1.4977850675797819</v>
      </c>
      <c r="EC60" s="27">
        <f>MAX(EC59,PortfolioFrontier[[#This Row],[P33 Growth]])</f>
        <v>1.5046474188010142</v>
      </c>
      <c r="ED60" s="27">
        <f>PortfolioFrontier[[#This Row],[P33 Growth]]/PortfolioFrontier[[#This Row],[P33 HWM]]-1</f>
        <v>-4.5607702744743239E-3</v>
      </c>
      <c r="EE60" s="28">
        <f>SUMPRODUCT(INDEX(PortfolioRef[[SPY]:[PE]],MATCH(EE$1,PortfolioRef[Reference '#]),0),AssetMonthlyReturns[[#This Row],[SPY]:[PE]])</f>
        <v>-5.6586379725952199E-3</v>
      </c>
      <c r="EF60" s="27">
        <f>IF(ISNUMBER(EF59),EF59*(1+PortfolioFrontier[[#This Row],[P34 Return]]),1+PortfolioFrontier[[#This Row],[P34 Return]])</f>
        <v>1.468175090700764</v>
      </c>
      <c r="EG60" s="27">
        <f>MAX(EG59,PortfolioFrontier[[#This Row],[P34 Growth]])</f>
        <v>1.4765302407889778</v>
      </c>
      <c r="EH60" s="27">
        <f>PortfolioFrontier[[#This Row],[P34 Growth]]/PortfolioFrontier[[#This Row],[P34 HWM]]-1</f>
        <v>-5.6586379725952485E-3</v>
      </c>
      <c r="EI60" s="28">
        <f>SUMPRODUCT(INDEX(PortfolioRef[[SPY]:[PE]],MATCH(EI$1,PortfolioRef[Reference '#]),0),AssetMonthlyReturns[[#This Row],[SPY]:[PE]])</f>
        <v>-7.0374737301585671E-3</v>
      </c>
      <c r="EJ60" s="27">
        <f>IF(ISNUMBER(EJ59),EJ59*(1+PortfolioFrontier[[#This Row],[P35 Return]]),1+PortfolioFrontier[[#This Row],[P35 Return]])</f>
        <v>1.4813231349056659</v>
      </c>
      <c r="EK60" s="27">
        <f>MAX(EK59,PortfolioFrontier[[#This Row],[P35 Growth]])</f>
        <v>1.4918217915739458</v>
      </c>
      <c r="EL60" s="27">
        <f>PortfolioFrontier[[#This Row],[P35 Growth]]/PortfolioFrontier[[#This Row],[P35 HWM]]-1</f>
        <v>-7.0374737301586165E-3</v>
      </c>
      <c r="EM60" s="28">
        <f>SUMPRODUCT(INDEX(PortfolioRef[[SPY]:[PE]],MATCH(EM$1,PortfolioRef[Reference '#]),0),AssetMonthlyReturns[[#This Row],[SPY]:[PE]])</f>
        <v>-4.6030772217094838E-3</v>
      </c>
      <c r="EN60" s="27">
        <f>IF(ISNUMBER(EN59),EN59*(1+PortfolioFrontier[[#This Row],[P36 Return]]),1+PortfolioFrontier[[#This Row],[P36 Return]])</f>
        <v>1.4736813221682112</v>
      </c>
      <c r="EO60" s="27">
        <f>MAX(EO59,PortfolioFrontier[[#This Row],[P36 Growth]])</f>
        <v>1.4804961603206115</v>
      </c>
      <c r="EP60" s="27">
        <f>PortfolioFrontier[[#This Row],[P36 Growth]]/PortfolioFrontier[[#This Row],[P36 HWM]]-1</f>
        <v>-4.6030772217094951E-3</v>
      </c>
      <c r="EQ60" s="28">
        <f>SUMPRODUCT(INDEX(PortfolioRef[[SPY]:[PE]],MATCH(EQ$1,PortfolioRef[Reference '#]),0),AssetMonthlyReturns[[#This Row],[SPY]:[PE]])</f>
        <v>-5.6047394845677558E-3</v>
      </c>
      <c r="ER60" s="27">
        <f>IF(ISNUMBER(ER59),ER59*(1+PortfolioFrontier[[#This Row],[P37 Return]]),1+PortfolioFrontier[[#This Row],[P37 Return]])</f>
        <v>1.4619047933749649</v>
      </c>
      <c r="ES60" s="27">
        <f>MAX(ES59,PortfolioFrontier[[#This Row],[P37 Growth]])</f>
        <v>1.4701445706983811</v>
      </c>
      <c r="ET60" s="27">
        <f>PortfolioFrontier[[#This Row],[P37 Growth]]/PortfolioFrontier[[#This Row],[P37 HWM]]-1</f>
        <v>-5.6047394845677445E-3</v>
      </c>
      <c r="EU60" s="28">
        <f>SUMPRODUCT(INDEX(PortfolioRef[[SPY]:[PE]],MATCH(EU$1,PortfolioRef[Reference '#]),0),AssetMonthlyReturns[[#This Row],[SPY]:[PE]])</f>
        <v>-8.4163094877219118E-3</v>
      </c>
      <c r="EV60" s="27">
        <f>IF(ISNUMBER(EV59),EV59*(1+PortfolioFrontier[[#This Row],[P38 Return]]),1+PortfolioFrontier[[#This Row],[P38 Return]])</f>
        <v>1.4943557396630169</v>
      </c>
      <c r="EW60" s="27">
        <f>MAX(EW59,PortfolioFrontier[[#This Row],[P38 Growth]])</f>
        <v>1.5070394500851396</v>
      </c>
      <c r="EX60" s="27">
        <f>PortfolioFrontier[[#This Row],[P38 Growth]]/PortfolioFrontier[[#This Row],[P38 HWM]]-1</f>
        <v>-8.4163094877218736E-3</v>
      </c>
      <c r="EY60" s="28">
        <f>SUMPRODUCT(INDEX(PortfolioRef[[SPY]:[PE]],MATCH(EY$1,PortfolioRef[Reference '#]),0),AssetMonthlyReturns[[#This Row],[SPY]:[PE]])</f>
        <v>-5.9819129792728293E-3</v>
      </c>
      <c r="EZ60" s="27">
        <f>IF(ISNUMBER(EZ59),EZ59*(1+PortfolioFrontier[[#This Row],[P39 Return]]),1+PortfolioFrontier[[#This Row],[P39 Return]])</f>
        <v>1.4868642983035096</v>
      </c>
      <c r="FA60" s="27">
        <f>MAX(FA59,PortfolioFrontier[[#This Row],[P39 Growth]])</f>
        <v>1.495812116216056</v>
      </c>
      <c r="FB60" s="27">
        <f>PortfolioFrontier[[#This Row],[P39 Growth]]/PortfolioFrontier[[#This Row],[P39 HWM]]-1</f>
        <v>-5.9819129792728631E-3</v>
      </c>
      <c r="FC60" s="28">
        <f>SUMPRODUCT(INDEX(PortfolioRef[[SPY]:[PE]],MATCH(FC$1,PortfolioRef[Reference '#]),0),AssetMonthlyReturns[[#This Row],[SPY]:[PE]])</f>
        <v>-6.9835752421311013E-3</v>
      </c>
      <c r="FD60" s="27">
        <f>IF(ISNUMBER(FD59),FD59*(1+PortfolioFrontier[[#This Row],[P40 Return]]),1+PortfolioFrontier[[#This Row],[P40 Return]])</f>
        <v>1.4750134724593189</v>
      </c>
      <c r="FE60" s="27">
        <f>MAX(FE59,PortfolioFrontier[[#This Row],[P40 Growth]])</f>
        <v>1.4853867828208152</v>
      </c>
      <c r="FF60" s="27">
        <f>PortfolioFrontier[[#This Row],[P40 Growth]]/PortfolioFrontier[[#This Row],[P40 HWM]]-1</f>
        <v>-6.9835752421311126E-3</v>
      </c>
      <c r="FG60" s="28">
        <f>SUMPRODUCT(INDEX(PortfolioRef[[SPY]:[PE]],MATCH(FG$1,PortfolioRef[Reference '#]),0),AssetMonthlyReturns[[#This Row],[SPY]:[PE]])</f>
        <v>-3.5475164708237469E-3</v>
      </c>
      <c r="FH60" s="27">
        <f>IF(ISNUMBER(FH59),FH59*(1+PortfolioFrontier[[#This Row],[P41 Return]]),1+PortfolioFrontier[[#This Row],[P41 Return]])</f>
        <v>1.4787653769469</v>
      </c>
      <c r="FI60" s="27">
        <f>MAX(FI59,PortfolioFrontier[[#This Row],[P41 Growth]])</f>
        <v>1.4840299978073179</v>
      </c>
      <c r="FJ60" s="27">
        <f>PortfolioFrontier[[#This Row],[P41 Growth]]/PortfolioFrontier[[#This Row],[P41 HWM]]-1</f>
        <v>-3.5475164708237417E-3</v>
      </c>
      <c r="FK60" s="28">
        <f>SUMPRODUCT(INDEX(PortfolioRef[[SPY]:[PE]],MATCH(FK$1,PortfolioRef[Reference '#]),0),AssetMonthlyReturns[[#This Row],[SPY]:[PE]])</f>
        <v>-4.549178733682018E-3</v>
      </c>
      <c r="FL60" s="27">
        <f>IF(ISNUMBER(FL59),FL59*(1+PortfolioFrontier[[#This Row],[P42 Return]]),1+PortfolioFrontier[[#This Row],[P42 Return]])</f>
        <v>1.4673806261332962</v>
      </c>
      <c r="FM60" s="27">
        <f>MAX(FM59,PortfolioFrontier[[#This Row],[P42 Growth]])</f>
        <v>1.4740865091322481</v>
      </c>
      <c r="FN60" s="27">
        <f>PortfolioFrontier[[#This Row],[P42 Growth]]/PortfolioFrontier[[#This Row],[P42 HWM]]-1</f>
        <v>-4.5491787336819911E-3</v>
      </c>
      <c r="FO60" s="28">
        <f>SUMPRODUCT(INDEX(PortfolioRef[[SPY]:[PE]],MATCH(FO$1,PortfolioRef[Reference '#]),0),AssetMonthlyReturns[[#This Row],[SPY]:[PE]])</f>
        <v>-5.5508409965402909E-3</v>
      </c>
      <c r="FP60" s="27">
        <f>IF(ISNUMBER(FP59),FP59*(1+PortfolioFrontier[[#This Row],[P43 Return]]),1+PortfolioFrontier[[#This Row],[P43 Return]])</f>
        <v>1.4555716878890885</v>
      </c>
      <c r="FQ60" s="27">
        <f>MAX(FQ59,PortfolioFrontier[[#This Row],[P43 Growth]])</f>
        <v>1.4636964340617684</v>
      </c>
      <c r="FR60" s="27">
        <f>PortfolioFrontier[[#This Row],[P43 Growth]]/PortfolioFrontier[[#This Row],[P43 HWM]]-1</f>
        <v>-5.5508409965402405E-3</v>
      </c>
      <c r="FS60" s="28">
        <f>SUMPRODUCT(INDEX(PortfolioRef[[SPY]:[PE]],MATCH(FS$1,PortfolioRef[Reference '#]),0),AssetMonthlyReturns[[#This Row],[SPY]:[PE]])</f>
        <v>-7.3607487368361748E-3</v>
      </c>
      <c r="FT60" s="27">
        <f>IF(ISNUMBER(FT59),FT59*(1+PortfolioFrontier[[#This Row],[P44 Return]]),1+PortfolioFrontier[[#This Row],[P44 Return]])</f>
        <v>1.4999315405574387</v>
      </c>
      <c r="FU60" s="27">
        <f>MAX(FU59,PortfolioFrontier[[#This Row],[P44 Growth]])</f>
        <v>1.5110540295970867</v>
      </c>
      <c r="FV60" s="27">
        <f>PortfolioFrontier[[#This Row],[P44 Growth]]/PortfolioFrontier[[#This Row],[P44 HWM]]-1</f>
        <v>-7.3607487368361202E-3</v>
      </c>
      <c r="FW60" s="28">
        <f>SUMPRODUCT(INDEX(PortfolioRef[[SPY]:[PE]],MATCH(FW$1,PortfolioRef[Reference '#]),0),AssetMonthlyReturns[[#This Row],[SPY]:[PE]])</f>
        <v>-8.3624109996944477E-3</v>
      </c>
      <c r="FX60" s="27">
        <f>IF(ISNUMBER(FX59),FX59*(1+PortfolioFrontier[[#This Row],[P45 Return]]),1+PortfolioFrontier[[#This Row],[P45 Return]])</f>
        <v>1.4880075062053544</v>
      </c>
      <c r="FY60" s="27">
        <f>MAX(FY59,PortfolioFrontier[[#This Row],[P45 Growth]])</f>
        <v>1.5005557702844359</v>
      </c>
      <c r="FZ60" s="27">
        <f>PortfolioFrontier[[#This Row],[P45 Growth]]/PortfolioFrontier[[#This Row],[P45 HWM]]-1</f>
        <v>-8.3624109996943696E-3</v>
      </c>
      <c r="GA60" s="28">
        <f>SUMPRODUCT(INDEX(PortfolioRef[[SPY]:[PE]],MATCH(GA$1,PortfolioRef[Reference '#]),0),AssetMonthlyReturns[[#This Row],[SPY]:[PE]])</f>
        <v>-4.9263522283870924E-3</v>
      </c>
      <c r="GB60" s="27">
        <f>IF(ISNUMBER(GB59),GB59*(1+PortfolioFrontier[[#This Row],[P46 Return]]),1+PortfolioFrontier[[#This Row],[P46 Return]])</f>
        <v>1.491979570512276</v>
      </c>
      <c r="GC60" s="27">
        <f>MAX(GC59,PortfolioFrontier[[#This Row],[P46 Growth]])</f>
        <v>1.4993659754264861</v>
      </c>
      <c r="GD60" s="27">
        <f>PortfolioFrontier[[#This Row],[P46 Growth]]/PortfolioFrontier[[#This Row],[P46 HWM]]-1</f>
        <v>-4.9263522283871097E-3</v>
      </c>
      <c r="GE60" s="28">
        <f>SUMPRODUCT(INDEX(PortfolioRef[[SPY]:[PE]],MATCH(GE$1,PortfolioRef[Reference '#]),0),AssetMonthlyReturns[[#This Row],[SPY]:[PE]])</f>
        <v>-5.9280144912453635E-3</v>
      </c>
      <c r="GF60" s="27">
        <f>IF(ISNUMBER(GF59),GF59*(1+PortfolioFrontier[[#This Row],[P47 Return]]),1+PortfolioFrontier[[#This Row],[P47 Return]])</f>
        <v>1.4805240967363915</v>
      </c>
      <c r="GG60" s="27">
        <f>MAX(GG59,PortfolioFrontier[[#This Row],[P47 Growth]])</f>
        <v>1.4893530029202828</v>
      </c>
      <c r="GH60" s="27">
        <f>PortfolioFrontier[[#This Row],[P47 Growth]]/PortfolioFrontier[[#This Row],[P47 HWM]]-1</f>
        <v>-5.9280144912454702E-3</v>
      </c>
      <c r="GI60" s="28">
        <f>SUMPRODUCT(INDEX(PortfolioRef[[SPY]:[PE]],MATCH(GI$1,PortfolioRef[Reference '#]),0),AssetMonthlyReturns[[#This Row],[SPY]:[PE]])</f>
        <v>-6.9296767541036364E-3</v>
      </c>
      <c r="GJ60" s="27">
        <f>IF(ISNUMBER(GJ59),GJ59*(1+PortfolioFrontier[[#This Row],[P48 Return]]),1+PortfolioFrontier[[#This Row],[P48 Return]])</f>
        <v>1.4686403131301977</v>
      </c>
      <c r="GK60" s="27">
        <f>MAX(GK59,PortfolioFrontier[[#This Row],[P48 Growth]])</f>
        <v>1.4788885326165813</v>
      </c>
      <c r="GL60" s="27">
        <f>PortfolioFrontier[[#This Row],[P48 Growth]]/PortfolioFrontier[[#This Row],[P48 HWM]]-1</f>
        <v>-6.9296767541036086E-3</v>
      </c>
      <c r="GM60" s="28">
        <f>SUMPRODUCT(INDEX(PortfolioRef[[SPY]:[PE]],MATCH(GM$1,PortfolioRef[Reference '#]),0),AssetMonthlyReturns[[#This Row],[SPY]:[PE]])</f>
        <v>-2.4919557199380099E-3</v>
      </c>
      <c r="GN60" s="27">
        <f>IF(ISNUMBER(GN59),GN59*(1+PortfolioFrontier[[#This Row],[P49 Return]]),1+PortfolioFrontier[[#This Row],[P49 Return]])</f>
        <v>1.4834192212287949</v>
      </c>
      <c r="GO60" s="27">
        <f>MAX(GO59,PortfolioFrontier[[#This Row],[P49 Growth]])</f>
        <v>1.4871250710558757</v>
      </c>
      <c r="GP60" s="27">
        <f>PortfolioFrontier[[#This Row],[P49 Growth]]/PortfolioFrontier[[#This Row],[P49 HWM]]-1</f>
        <v>-2.4919557199378772E-3</v>
      </c>
      <c r="GQ60" s="28">
        <f>SUMPRODUCT(INDEX(PortfolioRef[[SPY]:[PE]],MATCH(GQ$1,PortfolioRef[Reference '#]),0),AssetMonthlyReturns[[#This Row],[SPY]:[PE]])</f>
        <v>-3.4936179827962811E-3</v>
      </c>
      <c r="GR60" s="27">
        <f>IF(ISNUMBER(GR59),GR59*(1+PortfolioFrontier[[#This Row],[P50 Return]]),1+PortfolioFrontier[[#This Row],[P50 Return]])</f>
        <v>1.4724360410737549</v>
      </c>
      <c r="GS60" s="27">
        <f>MAX(GS59,PortfolioFrontier[[#This Row],[P50 Growth]])</f>
        <v>1.4775982047331582</v>
      </c>
      <c r="GT60" s="27">
        <f>PortfolioFrontier[[#This Row],[P50 Growth]]/PortfolioFrontier[[#This Row],[P50 HWM]]-1</f>
        <v>-3.4936179827962377E-3</v>
      </c>
      <c r="GU60" s="28">
        <f>SUMPRODUCT(INDEX(PortfolioRef[[SPY]:[PE]],MATCH(GU$1,PortfolioRef[Reference '#]),0),AssetMonthlyReturns[[#This Row],[SPY]:[PE]])</f>
        <v>-4.4952802456545531E-3</v>
      </c>
      <c r="GV60" s="27">
        <f>IF(ISNUMBER(GV59),GV59*(1+PortfolioFrontier[[#This Row],[P51 Return]]),1+PortfolioFrontier[[#This Row],[P51 Return]])</f>
        <v>1.461016832148551</v>
      </c>
      <c r="GW60" s="27">
        <f>MAX(GW59,PortfolioFrontier[[#This Row],[P51 Growth]])</f>
        <v>1.4676141691312896</v>
      </c>
      <c r="GX60" s="27">
        <f>PortfolioFrontier[[#This Row],[P51 Growth]]/PortfolioFrontier[[#This Row],[P51 HWM]]-1</f>
        <v>-4.4952802456544871E-3</v>
      </c>
      <c r="GY60" s="28">
        <f>SUMPRODUCT(INDEX(PortfolioRef[[SPY]:[PE]],MATCH(GY$1,PortfolioRef[Reference '#]),0),AssetMonthlyReturns[[#This Row],[SPY]:[PE]])</f>
        <v>-6.3051879859504396E-3</v>
      </c>
      <c r="GZ60" s="27">
        <f>IF(ISNUMBER(GZ59),GZ59*(1+PortfolioFrontier[[#This Row],[P52 Return]]),1+PortfolioFrontier[[#This Row],[P52 Return]])</f>
        <v>1.5050777680842684</v>
      </c>
      <c r="HA60" s="27">
        <f>MAX(HA59,PortfolioFrontier[[#This Row],[P52 Growth]])</f>
        <v>1.5146277809720401</v>
      </c>
      <c r="HB60" s="27">
        <f>PortfolioFrontier[[#This Row],[P52 Growth]]/PortfolioFrontier[[#This Row],[P52 HWM]]-1</f>
        <v>-6.3051879859504778E-3</v>
      </c>
      <c r="HC60" s="28">
        <f>SUMPRODUCT(INDEX(PortfolioRef[[SPY]:[PE]],MATCH(HC$1,PortfolioRef[Reference '#]),0),AssetMonthlyReturns[[#This Row],[SPY]:[PE]])</f>
        <v>-7.3068502488087108E-3</v>
      </c>
      <c r="HD60" s="27">
        <f>IF(ISNUMBER(HD59),HD59*(1+PortfolioFrontier[[#This Row],[P53 Return]]),1+PortfolioFrontier[[#This Row],[P53 Return]])</f>
        <v>1.4935526301825519</v>
      </c>
      <c r="HE60" s="27">
        <f>MAX(HE59,PortfolioFrontier[[#This Row],[P53 Growth]])</f>
        <v>1.5045461233986515</v>
      </c>
      <c r="HF60" s="27">
        <f>PortfolioFrontier[[#This Row],[P53 Growth]]/PortfolioFrontier[[#This Row],[P53 HWM]]-1</f>
        <v>-7.3068502488086162E-3</v>
      </c>
      <c r="HG60" s="28">
        <f>SUMPRODUCT(INDEX(PortfolioRef[[SPY]:[PE]],MATCH(HG$1,PortfolioRef[Reference '#]),0),AssetMonthlyReturns[[#This Row],[SPY]:[PE]])</f>
        <v>-8.3085125116669836E-3</v>
      </c>
      <c r="HH60" s="27">
        <f>IF(ISNUMBER(HH59),HH59*(1+PortfolioFrontier[[#This Row],[P54 Return]]),1+PortfolioFrontier[[#This Row],[P54 Return]])</f>
        <v>1.4815950889356995</v>
      </c>
      <c r="HI60" s="27">
        <f>MAX(HI59,PortfolioFrontier[[#This Row],[P54 Growth]])</f>
        <v>1.4940080737086392</v>
      </c>
      <c r="HJ60" s="27">
        <f>PortfolioFrontier[[#This Row],[P54 Growth]]/PortfolioFrontier[[#This Row],[P54 HWM]]-1</f>
        <v>-8.3085125116669767E-3</v>
      </c>
      <c r="HK60" s="28">
        <f>SUMPRODUCT(INDEX(PortfolioRef[[SPY]:[PE]],MATCH(HK$1,PortfolioRef[Reference '#]),0),AssetMonthlyReturns[[#This Row],[SPY]:[PE]])</f>
        <v>-3.8707914775013563E-3</v>
      </c>
      <c r="HL60" s="27">
        <f>IF(ISNUMBER(HL59),HL59*(1+PortfolioFrontier[[#This Row],[P55 Return]]),1+PortfolioFrontier[[#This Row],[P55 Return]])</f>
        <v>1.4966608622195947</v>
      </c>
      <c r="HM60" s="27">
        <f>MAX(HM59,PortfolioFrontier[[#This Row],[P55 Growth]])</f>
        <v>1.5024766359772805</v>
      </c>
      <c r="HN60" s="27">
        <f>PortfolioFrontier[[#This Row],[P55 Growth]]/PortfolioFrontier[[#This Row],[P55 HWM]]-1</f>
        <v>-3.8707914775013563E-3</v>
      </c>
      <c r="HO60" s="28">
        <f>SUMPRODUCT(INDEX(PortfolioRef[[SPY]:[PE]],MATCH(HO$1,PortfolioRef[Reference '#]),0),AssetMonthlyReturns[[#This Row],[SPY]:[PE]])</f>
        <v>-4.8724537403596275E-3</v>
      </c>
      <c r="HP60" s="27">
        <f>IF(ISNUMBER(HP59),HP59*(1+PortfolioFrontier[[#This Row],[P56 Return]]),1+PortfolioFrontier[[#This Row],[P56 Return]])</f>
        <v>1.4856106003717413</v>
      </c>
      <c r="HQ60" s="27">
        <f>MAX(HQ59,PortfolioFrontier[[#This Row],[P56 Growth]])</f>
        <v>1.4928846115813663</v>
      </c>
      <c r="HR60" s="27">
        <f>PortfolioFrontier[[#This Row],[P56 Growth]]/PortfolioFrontier[[#This Row],[P56 HWM]]-1</f>
        <v>-4.8724537403597168E-3</v>
      </c>
      <c r="HS60" s="28">
        <f>SUMPRODUCT(INDEX(PortfolioRef[[SPY]:[PE]],MATCH(HS$1,PortfolioRef[Reference '#]),0),AssetMonthlyReturns[[#This Row],[SPY]:[PE]])</f>
        <v>-5.8741160032179003E-3</v>
      </c>
      <c r="HT60" s="27">
        <f>IF(ISNUMBER(HT59),HT59*(1+PortfolioFrontier[[#This Row],[P57 Return]]),1+PortfolioFrontier[[#This Row],[P57 Return]])</f>
        <v>1.4741201056963358</v>
      </c>
      <c r="HU60" s="27">
        <f>MAX(HU59,PortfolioFrontier[[#This Row],[P57 Growth]])</f>
        <v>1.4828304236177672</v>
      </c>
      <c r="HV60" s="27">
        <f>PortfolioFrontier[[#This Row],[P57 Growth]]/PortfolioFrontier[[#This Row],[P57 HWM]]-1</f>
        <v>-5.8741160032178552E-3</v>
      </c>
      <c r="HW60" s="28">
        <f>SUMPRODUCT(INDEX(PortfolioRef[[SPY]:[PE]],MATCH(HW$1,PortfolioRef[Reference '#]),0),AssetMonthlyReturns[[#This Row],[SPY]:[PE]])</f>
        <v>-1.4363949690522737E-3</v>
      </c>
      <c r="HX60" s="27">
        <f>IF(ISNUMBER(HX59),HX59*(1+PortfolioFrontier[[#This Row],[P58 Return]]),1+PortfolioFrontier[[#This Row],[P58 Return]])</f>
        <v>1.4876350061249868</v>
      </c>
      <c r="HY60" s="27">
        <f>MAX(HY59,PortfolioFrontier[[#This Row],[P58 Growth]])</f>
        <v>1.4897749113126164</v>
      </c>
      <c r="HZ60" s="27">
        <f>PortfolioFrontier[[#This Row],[P58 Growth]]/PortfolioFrontier[[#This Row],[P58 HWM]]-1</f>
        <v>-1.4363949690522348E-3</v>
      </c>
      <c r="IA60" s="28">
        <f>SUMPRODUCT(INDEX(PortfolioRef[[SPY]:[PE]],MATCH(IA$1,PortfolioRef[Reference '#]),0),AssetMonthlyReturns[[#This Row],[SPY]:[PE]])</f>
        <v>-2.438057231910545E-3</v>
      </c>
      <c r="IB60" s="27">
        <f>IF(ISNUMBER(IB59),IB59*(1+PortfolioFrontier[[#This Row],[P59 Return]]),1+PortfolioFrontier[[#This Row],[P59 Return]])</f>
        <v>1.4770630507767109</v>
      </c>
      <c r="IC60" s="27">
        <f>MAX(IC59,PortfolioFrontier[[#This Row],[P59 Growth]])</f>
        <v>1.4806730163322745</v>
      </c>
      <c r="ID60" s="27">
        <f>PortfolioFrontier[[#This Row],[P59 Growth]]/PortfolioFrontier[[#This Row],[P59 HWM]]-1</f>
        <v>-2.4380572319105953E-3</v>
      </c>
      <c r="IE60" s="28">
        <f>SUMPRODUCT(INDEX(PortfolioRef[[SPY]:[PE]],MATCH(IE$1,PortfolioRef[Reference '#]),0),AssetMonthlyReturns[[#This Row],[SPY]:[PE]])</f>
        <v>-3.4397194947688166E-3</v>
      </c>
      <c r="IF60" s="27">
        <f>IF(ISNUMBER(IF59),IF59*(1+PortfolioFrontier[[#This Row],[P60 Return]]),1+PortfolioFrontier[[#This Row],[P60 Return]])</f>
        <v>1.4660433314839212</v>
      </c>
      <c r="IG60" s="27">
        <f>MAX(IG59,PortfolioFrontier[[#This Row],[P60 Growth]])</f>
        <v>1.4711035149230249</v>
      </c>
      <c r="IH60" s="27">
        <f>PortfolioFrontier[[#This Row],[P60 Growth]]/PortfolioFrontier[[#This Row],[P60 HWM]]-1</f>
        <v>-3.4397194947688448E-3</v>
      </c>
      <c r="II60" s="28">
        <f>SUMPRODUCT(INDEX(PortfolioRef[[SPY]:[PE]],MATCH(II$1,PortfolioRef[Reference '#]),0),AssetMonthlyReturns[[#This Row],[SPY]:[PE]])</f>
        <v>-5.5931479437754455E-3</v>
      </c>
      <c r="IJ60" s="27">
        <f>IF(ISNUMBER(IJ59),IJ59*(1+PortfolioFrontier[[#This Row],[P61 Return]]),1+PortfolioFrontier[[#This Row],[P61 Return]])</f>
        <v>1.4312821796393163</v>
      </c>
      <c r="IK60" s="27">
        <f>MAX(IK59,PortfolioFrontier[[#This Row],[P61 Growth]])</f>
        <v>1.4393325796978622</v>
      </c>
      <c r="IL60" s="27">
        <f>PortfolioFrontier[[#This Row],[P61 Growth]]/PortfolioFrontier[[#This Row],[P61 HWM]]-1</f>
        <v>-5.5931479437753007E-3</v>
      </c>
      <c r="IM60" s="28">
        <f>SUMPRODUCT(INDEX(PortfolioRef[[SPY]:[PE]],MATCH(IM$1,PortfolioRef[Reference '#]),0),AssetMonthlyReturns[[#This Row],[SPY]:[PE]])</f>
        <v>-6.971983701338791E-3</v>
      </c>
      <c r="IN60" s="27">
        <f>IF(ISNUMBER(IN59),IN59*(1+PortfolioFrontier[[#This Row],[P62 Return]]),1+PortfolioFrontier[[#This Row],[P62 Return]])</f>
        <v>1.4441138041716741</v>
      </c>
      <c r="IO60" s="27">
        <f>MAX(IO59,PortfolioFrontier[[#This Row],[P62 Growth]])</f>
        <v>1.4542528312084855</v>
      </c>
      <c r="IP60" s="27">
        <f>PortfolioFrontier[[#This Row],[P62 Growth]]/PortfolioFrontier[[#This Row],[P62 HWM]]-1</f>
        <v>-6.9719837013387798E-3</v>
      </c>
      <c r="IQ60" s="28">
        <f>SUMPRODUCT(INDEX(PortfolioRef[[SPY]:[PE]],MATCH(IQ$1,PortfolioRef[Reference '#]),0),AssetMonthlyReturns[[#This Row],[SPY]:[PE]])</f>
        <v>-4.5375871928897077E-3</v>
      </c>
      <c r="IR60" s="27">
        <f>IF(ISNUMBER(IR59),IR59*(1+PortfolioFrontier[[#This Row],[P63 Return]]),1+PortfolioFrontier[[#This Row],[P63 Return]])</f>
        <v>1.4369647232387068</v>
      </c>
      <c r="IS60" s="27">
        <f>MAX(IS59,PortfolioFrontier[[#This Row],[P63 Growth]])</f>
        <v>1.4435147974965741</v>
      </c>
      <c r="IT60" s="27">
        <f>PortfolioFrontier[[#This Row],[P63 Growth]]/PortfolioFrontier[[#This Row],[P63 HWM]]-1</f>
        <v>-4.5375871928897693E-3</v>
      </c>
      <c r="IU60" s="28">
        <f>SUMPRODUCT(INDEX(PortfolioRef[[SPY]:[PE]],MATCH(IU$1,PortfolioRef[Reference '#]),0),AssetMonthlyReturns[[#This Row],[SPY]:[PE]])</f>
        <v>-5.5392494557479797E-3</v>
      </c>
      <c r="IV60" s="27">
        <f>IF(ISNUMBER(IV59),IV59*(1+PortfolioFrontier[[#This Row],[P64 Return]]),1+PortfolioFrontier[[#This Row],[P64 Return]])</f>
        <v>1.4252192739667431</v>
      </c>
      <c r="IW60" s="27">
        <f>MAX(IW59,PortfolioFrontier[[#This Row],[P64 Growth]])</f>
        <v>1.433157893045798</v>
      </c>
      <c r="IX60" s="27">
        <f>PortfolioFrontier[[#This Row],[P64 Growth]]/PortfolioFrontier[[#This Row],[P64 HWM]]-1</f>
        <v>-5.5392494557480187E-3</v>
      </c>
      <c r="IY60" s="28">
        <f>SUMPRODUCT(INDEX(PortfolioRef[[SPY]:[PE]],MATCH(IY$1,PortfolioRef[Reference '#]),0),AssetMonthlyReturns[[#This Row],[SPY]:[PE]])</f>
        <v>-8.3508194589021357E-3</v>
      </c>
      <c r="IZ60" s="27">
        <f>IF(ISNUMBER(IZ59),IZ59*(1+PortfolioFrontier[[#This Row],[P65 Return]]),1+PortfolioFrontier[[#This Row],[P65 Return]])</f>
        <v>1.4568325477900743</v>
      </c>
      <c r="JA60" s="27">
        <f>MAX(JA59,PortfolioFrontier[[#This Row],[P65 Growth]])</f>
        <v>1.4691007428606426</v>
      </c>
      <c r="JB60" s="27">
        <f>PortfolioFrontier[[#This Row],[P65 Growth]]/PortfolioFrontier[[#This Row],[P65 HWM]]-1</f>
        <v>-8.3508194589021478E-3</v>
      </c>
      <c r="JC60" s="28">
        <f>SUMPRODUCT(INDEX(PortfolioRef[[SPY]:[PE]],MATCH(JC$1,PortfolioRef[Reference '#]),0),AssetMonthlyReturns[[#This Row],[SPY]:[PE]])</f>
        <v>-5.9164229504530532E-3</v>
      </c>
      <c r="JD60" s="27">
        <f>IF(ISNUMBER(JD59),JD59*(1+PortfolioFrontier[[#This Row],[P66 Return]]),1+PortfolioFrontier[[#This Row],[P66 Return]])</f>
        <v>1.4498331462333534</v>
      </c>
      <c r="JE60" s="27">
        <f>MAX(JE59,PortfolioFrontier[[#This Row],[P66 Growth]])</f>
        <v>1.4584620244270377</v>
      </c>
      <c r="JF60" s="27">
        <f>PortfolioFrontier[[#This Row],[P66 Growth]]/PortfolioFrontier[[#This Row],[P66 HWM]]-1</f>
        <v>-5.9164229504530264E-3</v>
      </c>
      <c r="JG60" s="28">
        <f>SUMPRODUCT(INDEX(PortfolioRef[[SPY]:[PE]],MATCH(JG$1,PortfolioRef[Reference '#]),0),AssetMonthlyReturns[[#This Row],[SPY]:[PE]])</f>
        <v>-6.9180852133113252E-3</v>
      </c>
      <c r="JH60" s="27">
        <f>IF(ISNUMBER(JH59),JH59*(1+PortfolioFrontier[[#This Row],[P67 Return]]),1+PortfolioFrontier[[#This Row],[P67 Return]])</f>
        <v>1.4380128978879128</v>
      </c>
      <c r="JI60" s="27">
        <f>MAX(JI59,PortfolioFrontier[[#This Row],[P67 Growth]])</f>
        <v>1.4480304962524606</v>
      </c>
      <c r="JJ60" s="27">
        <f>PortfolioFrontier[[#This Row],[P67 Growth]]/PortfolioFrontier[[#This Row],[P67 HWM]]-1</f>
        <v>-6.9180852133111648E-3</v>
      </c>
      <c r="JK60" s="28">
        <f>SUMPRODUCT(INDEX(PortfolioRef[[SPY]:[PE]],MATCH(JK$1,PortfolioRef[Reference '#]),0),AssetMonthlyReturns[[#This Row],[SPY]:[PE]])</f>
        <v>-3.4820264420039708E-3</v>
      </c>
      <c r="JL60" s="27">
        <f>IF(ISNUMBER(JL59),JL59*(1+PortfolioFrontier[[#This Row],[P68 Return]]),1+PortfolioFrontier[[#This Row],[P68 Return]])</f>
        <v>1.4422401129727984</v>
      </c>
      <c r="JM60" s="27">
        <f>MAX(JM59,PortfolioFrontier[[#This Row],[P68 Growth]])</f>
        <v>1.447279578734926</v>
      </c>
      <c r="JN60" s="27">
        <f>PortfolioFrontier[[#This Row],[P68 Growth]]/PortfolioFrontier[[#This Row],[P68 HWM]]-1</f>
        <v>-3.4820264420041269E-3</v>
      </c>
      <c r="JO60" s="28">
        <f>SUMPRODUCT(INDEX(PortfolioRef[[SPY]:[PE]],MATCH(JO$1,PortfolioRef[Reference '#]),0),AssetMonthlyReturns[[#This Row],[SPY]:[PE]])</f>
        <v>-4.4836887048622419E-3</v>
      </c>
      <c r="JP60" s="27">
        <f>IF(ISNUMBER(JP59),JP59*(1+PortfolioFrontier[[#This Row],[P69 Return]]),1+PortfolioFrontier[[#This Row],[P69 Return]])</f>
        <v>1.4308711765270039</v>
      </c>
      <c r="JQ60" s="27">
        <f>MAX(JQ59,PortfolioFrontier[[#This Row],[P69 Growth]])</f>
        <v>1.4373156524833652</v>
      </c>
      <c r="JR60" s="27">
        <f>PortfolioFrontier[[#This Row],[P69 Growth]]/PortfolioFrontier[[#This Row],[P69 HWM]]-1</f>
        <v>-4.4836887048622653E-3</v>
      </c>
      <c r="JS60" s="28">
        <f>SUMPRODUCT(INDEX(PortfolioRef[[SPY]:[PE]],MATCH(JS$1,PortfolioRef[Reference '#]),0),AssetMonthlyReturns[[#This Row],[SPY]:[PE]])</f>
        <v>-5.4853509677205148E-3</v>
      </c>
      <c r="JT60" s="27">
        <f>IF(ISNUMBER(JT59),JT59*(1+PortfolioFrontier[[#This Row],[P70 Return]]),1+PortfolioFrontier[[#This Row],[P70 Return]])</f>
        <v>1.4190947429300473</v>
      </c>
      <c r="JU60" s="27">
        <f>MAX(JU59,PortfolioFrontier[[#This Row],[P70 Growth]])</f>
        <v>1.4269219104121884</v>
      </c>
      <c r="JV60" s="27">
        <f>PortfolioFrontier[[#This Row],[P70 Growth]]/PortfolioFrontier[[#This Row],[P70 HWM]]-1</f>
        <v>-5.4853509677205148E-3</v>
      </c>
      <c r="JW60" s="28">
        <f>SUMPRODUCT(INDEX(PortfolioRef[[SPY]:[PE]],MATCH(JW$1,PortfolioRef[Reference '#]),0),AssetMonthlyReturns[[#This Row],[SPY]:[PE]])</f>
        <v>-7.2952587080164005E-3</v>
      </c>
      <c r="JX60" s="27">
        <f>IF(ISNUMBER(JX59),JX59*(1+PortfolioFrontier[[#This Row],[P71 Return]]),1+PortfolioFrontier[[#This Row],[P71 Return]])</f>
        <v>1.462588377391653</v>
      </c>
      <c r="JY60" s="27">
        <f>MAX(JY59,PortfolioFrontier[[#This Row],[P71 Growth]])</f>
        <v>1.4733367501480108</v>
      </c>
      <c r="JZ60" s="27">
        <f>PortfolioFrontier[[#This Row],[P71 Growth]]/PortfolioFrontier[[#This Row],[P71 HWM]]-1</f>
        <v>-7.2952587080162834E-3</v>
      </c>
      <c r="KA60" s="28">
        <f>SUMPRODUCT(INDEX(PortfolioRef[[SPY]:[PE]],MATCH(KA$1,PortfolioRef[Reference '#]),0),AssetMonthlyReturns[[#This Row],[SPY]:[PE]])</f>
        <v>-8.2969209708746734E-3</v>
      </c>
      <c r="KB60" s="27">
        <f>IF(ISNUMBER(KB59),KB59*(1+PortfolioFrontier[[#This Row],[P72 Return]]),1+PortfolioFrontier[[#This Row],[P72 Return]])</f>
        <v>1.4506944138933326</v>
      </c>
      <c r="KC60" s="27">
        <f>MAX(KC59,PortfolioFrontier[[#This Row],[P72 Growth]])</f>
        <v>1.462831410499964</v>
      </c>
      <c r="KD60" s="27">
        <f>PortfolioFrontier[[#This Row],[P72 Growth]]/PortfolioFrontier[[#This Row],[P72 HWM]]-1</f>
        <v>-8.2969209708746439E-3</v>
      </c>
      <c r="KE60" s="28">
        <f>SUMPRODUCT(INDEX(PortfolioRef[[SPY]:[PE]],MATCH(KE$1,PortfolioRef[Reference '#]),0),AssetMonthlyReturns[[#This Row],[SPY]:[PE]])</f>
        <v>-4.8608621995673172E-3</v>
      </c>
      <c r="KF60" s="27">
        <f>IF(ISNUMBER(KF59),KF59*(1+PortfolioFrontier[[#This Row],[P73 Return]]),1+PortfolioFrontier[[#This Row],[P73 Return]])</f>
        <v>1.4551417397237858</v>
      </c>
      <c r="KG60" s="27">
        <f>MAX(KG59,PortfolioFrontier[[#This Row],[P73 Growth]])</f>
        <v>1.4622495332060821</v>
      </c>
      <c r="KH60" s="27">
        <f>PortfolioFrontier[[#This Row],[P73 Growth]]/PortfolioFrontier[[#This Row],[P73 HWM]]-1</f>
        <v>-4.8608621995672729E-3</v>
      </c>
      <c r="KI60" s="28">
        <f>SUMPRODUCT(INDEX(PortfolioRef[[SPY]:[PE]],MATCH(KI$1,PortfolioRef[Reference '#]),0),AssetMonthlyReturns[[#This Row],[SPY]:[PE]])</f>
        <v>-5.8625244624255892E-3</v>
      </c>
      <c r="KJ60" s="27">
        <f>IF(ISNUMBER(KJ59),KJ59*(1+PortfolioFrontier[[#This Row],[P74 Return]]),1+PortfolioFrontier[[#This Row],[P74 Return]])</f>
        <v>1.4437014556601337</v>
      </c>
      <c r="KK60" s="27">
        <f>MAX(KK59,PortfolioFrontier[[#This Row],[P74 Growth]])</f>
        <v>1.4522151022216119</v>
      </c>
      <c r="KL60" s="27">
        <f>PortfolioFrontier[[#This Row],[P74 Growth]]/PortfolioFrontier[[#This Row],[P74 HWM]]-1</f>
        <v>-5.8625244624256334E-3</v>
      </c>
      <c r="KM60" s="28">
        <f>SUMPRODUCT(INDEX(PortfolioRef[[SPY]:[PE]],MATCH(KM$1,PortfolioRef[Reference '#]),0),AssetMonthlyReturns[[#This Row],[SPY]:[PE]])</f>
        <v>-6.8641867252838603E-3</v>
      </c>
      <c r="KN60" s="27">
        <f>IF(ISNUMBER(KN59),KN59*(1+PortfolioFrontier[[#This Row],[P75 Return]]),1+PortfolioFrontier[[#This Row],[P75 Return]])</f>
        <v>1.4318496918942551</v>
      </c>
      <c r="KO60" s="27">
        <f>MAX(KO59,PortfolioFrontier[[#This Row],[P75 Growth]])</f>
        <v>1.4417461063788908</v>
      </c>
      <c r="KP60" s="27">
        <f>PortfolioFrontier[[#This Row],[P75 Growth]]/PortfolioFrontier[[#This Row],[P75 HWM]]-1</f>
        <v>-6.8641867252838829E-3</v>
      </c>
      <c r="KQ60" s="28">
        <f>SUMPRODUCT(INDEX(PortfolioRef[[SPY]:[PE]],MATCH(KQ$1,PortfolioRef[Reference '#]),0),AssetMonthlyReturns[[#This Row],[SPY]:[PE]])</f>
        <v>-2.4264656911182347E-3</v>
      </c>
      <c r="KR60" s="27">
        <f>IF(ISNUMBER(KR59),KR59*(1+PortfolioFrontier[[#This Row],[P76 Return]]),1+PortfolioFrontier[[#This Row],[P76 Return]])</f>
        <v>1.4471003578514479</v>
      </c>
      <c r="KS60" s="27">
        <f>MAX(KS59,PortfolioFrontier[[#This Row],[P76 Growth]])</f>
        <v>1.4506202380900151</v>
      </c>
      <c r="KT60" s="27">
        <f>PortfolioFrontier[[#This Row],[P76 Growth]]/PortfolioFrontier[[#This Row],[P76 HWM]]-1</f>
        <v>-2.4264656911182625E-3</v>
      </c>
      <c r="KU60" s="28">
        <f>SUMPRODUCT(INDEX(PortfolioRef[[SPY]:[PE]],MATCH(KU$1,PortfolioRef[Reference '#]),0),AssetMonthlyReturns[[#This Row],[SPY]:[PE]])</f>
        <v>-3.4281279539765059E-3</v>
      </c>
      <c r="KV60" s="27">
        <f>IF(ISNUMBER(KV59),KV59*(1+PortfolioFrontier[[#This Row],[P77 Return]]),1+PortfolioFrontier[[#This Row],[P77 Return]])</f>
        <v>1.4361176033437244</v>
      </c>
      <c r="KW60" s="27">
        <f>MAX(KW59,PortfolioFrontier[[#This Row],[P77 Growth]])</f>
        <v>1.4410577336437225</v>
      </c>
      <c r="KX60" s="27">
        <f>PortfolioFrontier[[#This Row],[P77 Growth]]/PortfolioFrontier[[#This Row],[P77 HWM]]-1</f>
        <v>-3.4281279539765119E-3</v>
      </c>
      <c r="KY60" s="28">
        <f>SUMPRODUCT(INDEX(PortfolioRef[[SPY]:[PE]],MATCH(KY$1,PortfolioRef[Reference '#]),0),AssetMonthlyReturns[[#This Row],[SPY]:[PE]])</f>
        <v>-4.4297902168347779E-3</v>
      </c>
      <c r="KZ60" s="27">
        <f>IF(ISNUMBER(KZ59),KZ59*(1+PortfolioFrontier[[#This Row],[P78 Return]]),1+PortfolioFrontier[[#This Row],[P78 Return]])</f>
        <v>1.42471570826266</v>
      </c>
      <c r="LA60" s="27">
        <f>MAX(LA59,PortfolioFrontier[[#This Row],[P78 Growth]])</f>
        <v>1.4310549816199929</v>
      </c>
      <c r="LB60" s="27">
        <f>PortfolioFrontier[[#This Row],[P78 Growth]]/PortfolioFrontier[[#This Row],[P78 HWM]]-1</f>
        <v>-4.4297902168347614E-3</v>
      </c>
      <c r="LC60" s="28">
        <f>SUMPRODUCT(INDEX(PortfolioRef[[SPY]:[PE]],MATCH(LC$1,PortfolioRef[Reference '#]),0),AssetMonthlyReturns[[#This Row],[SPY]:[PE]])</f>
        <v>-6.2396979571306636E-3</v>
      </c>
      <c r="LD60" s="27">
        <f>IF(ISNUMBER(LD59),LD59*(1+PortfolioFrontier[[#This Row],[P79 Return]]),1+PortfolioFrontier[[#This Row],[P79 Return]])</f>
        <v>1.4679298949921669</v>
      </c>
      <c r="LE60" s="27">
        <f>MAX(LE59,PortfolioFrontier[[#This Row],[P79 Growth]])</f>
        <v>1.4771468451441951</v>
      </c>
      <c r="LF60" s="27">
        <f>PortfolioFrontier[[#This Row],[P79 Growth]]/PortfolioFrontier[[#This Row],[P79 HWM]]-1</f>
        <v>-6.239697957130641E-3</v>
      </c>
      <c r="LG60" s="28">
        <f>SUMPRODUCT(INDEX(PortfolioRef[[SPY]:[PE]],MATCH(LG$1,PortfolioRef[Reference '#]),0),AssetMonthlyReturns[[#This Row],[SPY]:[PE]])</f>
        <v>-7.2413602199889347E-3</v>
      </c>
      <c r="LH60" s="27">
        <f>IF(ISNUMBER(LH59),LH59*(1+PortfolioFrontier[[#This Row],[P80 Return]]),1+PortfolioFrontier[[#This Row],[P80 Return]])</f>
        <v>1.4564193186497509</v>
      </c>
      <c r="LI60" s="27">
        <f>MAX(LI59,PortfolioFrontier[[#This Row],[P80 Growth]])</f>
        <v>1.4670427033226163</v>
      </c>
      <c r="LJ60" s="27">
        <f>PortfolioFrontier[[#This Row],[P80 Growth]]/PortfolioFrontier[[#This Row],[P80 HWM]]-1</f>
        <v>-7.2413602199888905E-3</v>
      </c>
      <c r="LK60" s="28">
        <f>SUMPRODUCT(INDEX(PortfolioRef[[SPY]:[PE]],MATCH(LK$1,PortfolioRef[Reference '#]),0),AssetMonthlyReturns[[#This Row],[SPY]:[PE]])</f>
        <v>-8.2430224828472076E-3</v>
      </c>
      <c r="LL60" s="27">
        <f>IF(ISNUMBER(LL59),LL59*(1+PortfolioFrontier[[#This Row],[P81 Return]]),1+PortfolioFrontier[[#This Row],[P81 Return]])</f>
        <v>1.4444933077424935</v>
      </c>
      <c r="LM60" s="27">
        <f>MAX(LM59,PortfolioFrontier[[#This Row],[P81 Growth]])</f>
        <v>1.4564992639212468</v>
      </c>
      <c r="LN60" s="27">
        <f>PortfolioFrontier[[#This Row],[P81 Growth]]/PortfolioFrontier[[#This Row],[P81 HWM]]-1</f>
        <v>-8.2430224828472509E-3</v>
      </c>
      <c r="LO60" s="28">
        <f>SUMPRODUCT(INDEX(PortfolioRef[[SPY]:[PE]],MATCH(LO$1,PortfolioRef[Reference '#]),0),AssetMonthlyReturns[[#This Row],[SPY]:[PE]])</f>
        <v>-3.8053014486815811E-3</v>
      </c>
      <c r="LP60" s="27">
        <f>IF(ISNUMBER(LP59),LP59*(1+PortfolioFrontier[[#This Row],[P82 Return]]),1+PortfolioFrontier[[#This Row],[P82 Return]])</f>
        <v>1.4600315380177258</v>
      </c>
      <c r="LQ60" s="27">
        <f>MAX(LQ59,PortfolioFrontier[[#This Row],[P82 Growth]])</f>
        <v>1.4656086206249903</v>
      </c>
      <c r="LR60" s="27">
        <f>PortfolioFrontier[[#This Row],[P82 Growth]]/PortfolioFrontier[[#This Row],[P82 HWM]]-1</f>
        <v>-3.8053014486816306E-3</v>
      </c>
      <c r="LS60" s="28">
        <f>SUMPRODUCT(INDEX(PortfolioRef[[SPY]:[PE]],MATCH(LS$1,PortfolioRef[Reference '#]),0),AssetMonthlyReturns[[#This Row],[SPY]:[PE]])</f>
        <v>-4.8069637115398522E-3</v>
      </c>
      <c r="LT60" s="27">
        <f>IF(ISNUMBER(LT59),LT59*(1+PortfolioFrontier[[#This Row],[P83 Return]]),1+PortfolioFrontier[[#This Row],[P83 Return]])</f>
        <v>1.4489809541434815</v>
      </c>
      <c r="LU60" s="27">
        <f>MAX(LU59,PortfolioFrontier[[#This Row],[P83 Growth]])</f>
        <v>1.4559797961884948</v>
      </c>
      <c r="LV60" s="27">
        <f>PortfolioFrontier[[#This Row],[P83 Growth]]/PortfolioFrontier[[#This Row],[P83 HWM]]-1</f>
        <v>-4.80696371153988E-3</v>
      </c>
      <c r="LW60" s="28">
        <f>SUMPRODUCT(INDEX(PortfolioRef[[SPY]:[PE]],MATCH(LW$1,PortfolioRef[Reference '#]),0),AssetMonthlyReturns[[#This Row],[SPY]:[PE]])</f>
        <v>-5.8086259743981242E-3</v>
      </c>
      <c r="LX60" s="27">
        <f>IF(ISNUMBER(LX59),LX59*(1+PortfolioFrontier[[#This Row],[P84 Return]]),1+PortfolioFrontier[[#This Row],[P84 Return]])</f>
        <v>1.437507166324421</v>
      </c>
      <c r="LY60" s="27">
        <f>MAX(LY59,PortfolioFrontier[[#This Row],[P84 Growth]])</f>
        <v>1.4459058928501658</v>
      </c>
      <c r="LZ60" s="27">
        <f>PortfolioFrontier[[#This Row],[P84 Growth]]/PortfolioFrontier[[#This Row],[P84 HWM]]-1</f>
        <v>-5.8086259743981294E-3</v>
      </c>
      <c r="MA60" s="28">
        <f>SUMPRODUCT(INDEX(PortfolioRef[[SPY]:[PE]],MATCH(MA$1,PortfolioRef[Reference '#]),0),AssetMonthlyReturns[[#This Row],[SPY]:[PE]])</f>
        <v>-1.3709049402324985E-3</v>
      </c>
      <c r="MB60" s="27">
        <f>IF(ISNUMBER(MB59),MB59*(1+PortfolioFrontier[[#This Row],[P85 Return]]),1+PortfolioFrontier[[#This Row],[P85 Return]])</f>
        <v>1.4515376407658076</v>
      </c>
      <c r="MC60" s="27">
        <f>MAX(MC59,PortfolioFrontier[[#This Row],[P85 Growth]])</f>
        <v>1.4535302926247444</v>
      </c>
      <c r="MD60" s="27">
        <f>PortfolioFrontier[[#This Row],[P85 Growth]]/PortfolioFrontier[[#This Row],[P85 HWM]]-1</f>
        <v>-1.3709049402325091E-3</v>
      </c>
      <c r="ME60" s="28">
        <f>SUMPRODUCT(INDEX(PortfolioRef[[SPY]:[PE]],MATCH(ME$1,PortfolioRef[Reference '#]),0),AssetMonthlyReturns[[#This Row],[SPY]:[PE]])</f>
        <v>-2.3725672030907698E-3</v>
      </c>
      <c r="MF60" s="27">
        <f>IF(ISNUMBER(MF59),MF59*(1+PortfolioFrontier[[#This Row],[P86 Return]]),1+PortfolioFrontier[[#This Row],[P86 Return]])</f>
        <v>1.4409506087126962</v>
      </c>
      <c r="MG60" s="27">
        <f>MAX(MG59,PortfolioFrontier[[#This Row],[P86 Growth]])</f>
        <v>1.4443774913776213</v>
      </c>
      <c r="MH60" s="27">
        <f>PortfolioFrontier[[#This Row],[P86 Growth]]/PortfolioFrontier[[#This Row],[P86 HWM]]-1</f>
        <v>-2.3725672030907585E-3</v>
      </c>
      <c r="MI60" s="28">
        <f>SUMPRODUCT(INDEX(PortfolioRef[[SPY]:[PE]],MATCH(MI$1,PortfolioRef[Reference '#]),0),AssetMonthlyReturns[[#This Row],[SPY]:[PE]])</f>
        <v>-3.3742294659490414E-3</v>
      </c>
      <c r="MJ60" s="27">
        <f>IF(ISNUMBER(MJ59),MJ59*(1+PortfolioFrontier[[#This Row],[P87 Return]]),1+PortfolioFrontier[[#This Row],[P87 Return]])</f>
        <v>1.4299328896261845</v>
      </c>
      <c r="MK60" s="27">
        <f>MAX(MK59,PortfolioFrontier[[#This Row],[P87 Growth]])</f>
        <v>1.4347741468293982</v>
      </c>
      <c r="ML60" s="27">
        <f>PortfolioFrontier[[#This Row],[P87 Growth]]/PortfolioFrontier[[#This Row],[P87 HWM]]-1</f>
        <v>-3.374229465949119E-3</v>
      </c>
      <c r="MM60" s="28">
        <f>SUMPRODUCT(INDEX(PortfolioRef[[SPY]:[PE]],MATCH(MM$1,PortfolioRef[Reference '#]),0),AssetMonthlyReturns[[#This Row],[SPY]:[PE]])</f>
        <v>-5.1841372062449266E-3</v>
      </c>
      <c r="MN60" s="27">
        <f>IF(ISNUMBER(MN59),MN59*(1+PortfolioFrontier[[#This Row],[P88 Return]]),1+PortfolioFrontier[[#This Row],[P88 Return]])</f>
        <v>1.4728489988787554</v>
      </c>
      <c r="MO60" s="27">
        <f>MAX(MO59,PortfolioFrontier[[#This Row],[P88 Growth]])</f>
        <v>1.4805242396743989</v>
      </c>
      <c r="MP60" s="27">
        <f>PortfolioFrontier[[#This Row],[P88 Growth]]/PortfolioFrontier[[#This Row],[P88 HWM]]-1</f>
        <v>-5.1841372062448876E-3</v>
      </c>
      <c r="MQ60" s="28">
        <f>SUMPRODUCT(INDEX(PortfolioRef[[SPY]:[PE]],MATCH(MQ$1,PortfolioRef[Reference '#]),0),AssetMonthlyReturns[[#This Row],[SPY]:[PE]])</f>
        <v>-6.1857994691031978E-3</v>
      </c>
      <c r="MR60" s="27">
        <f>IF(ISNUMBER(MR59),MR59*(1+PortfolioFrontier[[#This Row],[P89 Return]]),1+PortfolioFrontier[[#This Row],[P89 Return]])</f>
        <v>1.4617316116401664</v>
      </c>
      <c r="MS60" s="27">
        <f>MAX(MS59,PortfolioFrontier[[#This Row],[P89 Growth]])</f>
        <v>1.4708298702708289</v>
      </c>
      <c r="MT60" s="27">
        <f>PortfolioFrontier[[#This Row],[P89 Growth]]/PortfolioFrontier[[#This Row],[P89 HWM]]-1</f>
        <v>-6.1857994691032481E-3</v>
      </c>
      <c r="MU60" s="28">
        <f>SUMPRODUCT(INDEX(PortfolioRef[[SPY]:[PE]],MATCH(MU$1,PortfolioRef[Reference '#]),0),AssetMonthlyReturns[[#This Row],[SPY]:[PE]])</f>
        <v>-7.1874617319614698E-3</v>
      </c>
      <c r="MV60" s="27">
        <f>IF(ISNUMBER(MV59),MV59*(1+PortfolioFrontier[[#This Row],[P90 Return]]),1+PortfolioFrontier[[#This Row],[P90 Return]])</f>
        <v>1.4501869857403167</v>
      </c>
      <c r="MW60" s="27">
        <f>MAX(MW59,PortfolioFrontier[[#This Row],[P90 Growth]])</f>
        <v>1.4606856076477115</v>
      </c>
      <c r="MX60" s="27">
        <f>PortfolioFrontier[[#This Row],[P90 Growth]]/PortfolioFrontier[[#This Row],[P90 HWM]]-1</f>
        <v>-7.1874617319614975E-3</v>
      </c>
      <c r="MY60" s="28">
        <f>SUMPRODUCT(INDEX(PortfolioRef[[SPY]:[PE]],MATCH(MY$1,PortfolioRef[Reference '#]),0),AssetMonthlyReturns[[#This Row],[SPY]:[PE]])</f>
        <v>-2.7497406977958442E-3</v>
      </c>
      <c r="MZ60" s="27">
        <f>IF(ISNUMBER(MZ59),MZ59*(1+PortfolioFrontier[[#This Row],[P91 Return]]),1+PortfolioFrontier[[#This Row],[P91 Return]])</f>
        <v>1.4644946701125237</v>
      </c>
      <c r="NA60" s="27">
        <f>MAX(NA59,PortfolioFrontier[[#This Row],[P91 Growth]])</f>
        <v>1.4685327543933253</v>
      </c>
      <c r="NB60" s="27">
        <f>PortfolioFrontier[[#This Row],[P91 Growth]]/PortfolioFrontier[[#This Row],[P91 HWM]]-1</f>
        <v>-2.7497406977958772E-3</v>
      </c>
      <c r="NC60" s="28">
        <f>SUMPRODUCT(INDEX(PortfolioRef[[SPY]:[PE]],MATCH(NC$1,PortfolioRef[Reference '#]),0),AssetMonthlyReturns[[#This Row],[SPY]:[PE]])</f>
        <v>-3.7514029606541153E-3</v>
      </c>
      <c r="ND60" s="27">
        <f>IF(ISNUMBER(ND59),ND59*(1+PortfolioFrontier[[#This Row],[P92 Return]]),1+PortfolioFrontier[[#This Row],[P92 Return]])</f>
        <v>1.4538433922498866</v>
      </c>
      <c r="NE60" s="27">
        <f>MAX(NE59,PortfolioFrontier[[#This Row],[P92 Growth]])</f>
        <v>1.4593178816717254</v>
      </c>
      <c r="NF60" s="27">
        <f>PortfolioFrontier[[#This Row],[P92 Growth]]/PortfolioFrontier[[#This Row],[P92 HWM]]-1</f>
        <v>-3.7514029606541266E-3</v>
      </c>
      <c r="NG60" s="28">
        <f>SUMPRODUCT(INDEX(PortfolioRef[[SPY]:[PE]],MATCH(NG$1,PortfolioRef[Reference '#]),0),AssetMonthlyReturns[[#This Row],[SPY]:[PE]])</f>
        <v>-4.7530652235123873E-3</v>
      </c>
      <c r="NH60" s="27">
        <f>IF(ISNUMBER(NH59),NH59*(1+PortfolioFrontier[[#This Row],[P93 Return]]),1+PortfolioFrontier[[#This Row],[P93 Return]])</f>
        <v>1.4427572845520551</v>
      </c>
      <c r="NI60" s="27">
        <f>MAX(NI59,PortfolioFrontier[[#This Row],[P93 Growth]])</f>
        <v>1.4496475539269751</v>
      </c>
      <c r="NJ60" s="27">
        <f>PortfolioFrontier[[#This Row],[P93 Growth]]/PortfolioFrontier[[#This Row],[P93 HWM]]-1</f>
        <v>-4.753065223512265E-3</v>
      </c>
      <c r="NK60" s="28">
        <f>SUMPRODUCT(INDEX(PortfolioRef[[SPY]:[PE]],MATCH(NK$1,PortfolioRef[Reference '#]),0),AssetMonthlyReturns[[#This Row],[SPY]:[PE]])</f>
        <v>-3.1534418934676159E-4</v>
      </c>
      <c r="NL60" s="27">
        <f>IF(ISNUMBER(NL59),NL59*(1+PortfolioFrontier[[#This Row],[P94 Return]]),1+PortfolioFrontier[[#This Row],[P94 Return]])</f>
        <v>1.4555443279140194</v>
      </c>
      <c r="NM60" s="27">
        <f>MAX(NM59,PortfolioFrontier[[#This Row],[P94 Growth]])</f>
        <v>1.4560034701479994</v>
      </c>
      <c r="NN60" s="27">
        <f>PortfolioFrontier[[#This Row],[P94 Growth]]/PortfolioFrontier[[#This Row],[P94 HWM]]-1</f>
        <v>-3.1534418934675568E-4</v>
      </c>
      <c r="NO60" s="28">
        <f>SUMPRODUCT(INDEX(PortfolioRef[[SPY]:[PE]],MATCH(NO$1,PortfolioRef[Reference '#]),0),AssetMonthlyReturns[[#This Row],[SPY]:[PE]])</f>
        <v>-1.3170064522050329E-3</v>
      </c>
      <c r="NP60" s="27">
        <f>IF(ISNUMBER(NP59),NP59*(1+PortfolioFrontier[[#This Row],[P95 Return]]),1+PortfolioFrontier[[#This Row],[P95 Return]])</f>
        <v>1.4453624205937519</v>
      </c>
      <c r="NQ60" s="27">
        <f>MAX(NQ59,PortfolioFrontier[[#This Row],[P95 Growth]])</f>
        <v>1.447268482523308</v>
      </c>
      <c r="NR60" s="27">
        <f>PortfolioFrontier[[#This Row],[P95 Growth]]/PortfolioFrontier[[#This Row],[P95 HWM]]-1</f>
        <v>-1.3170064522050051E-3</v>
      </c>
      <c r="NS60" s="28">
        <f>SUMPRODUCT(INDEX(PortfolioRef[[SPY]:[PE]],MATCH(NS$1,PortfolioRef[Reference '#]),0),AssetMonthlyReturns[[#This Row],[SPY]:[PE]])</f>
        <v>-2.3186687150633044E-3</v>
      </c>
      <c r="NT60" s="27">
        <f>IF(ISNUMBER(NT59),NT59*(1+PortfolioFrontier[[#This Row],[P96 Return]]),1+PortfolioFrontier[[#This Row],[P96 Return]])</f>
        <v>1.434738386830323</v>
      </c>
      <c r="NU60" s="27">
        <f>MAX(NU59,PortfolioFrontier[[#This Row],[P96 Growth]])</f>
        <v>1.4380728012445521</v>
      </c>
      <c r="NV60" s="27">
        <f>PortfolioFrontier[[#This Row],[P96 Growth]]/PortfolioFrontier[[#This Row],[P96 HWM]]-1</f>
        <v>-2.3186687150632546E-3</v>
      </c>
      <c r="NW60" s="28">
        <f>SUMPRODUCT(INDEX(PortfolioRef[[SPY]:[PE]],MATCH(NW$1,PortfolioRef[Reference '#]),0),AssetMonthlyReturns[[#This Row],[SPY]:[PE]])</f>
        <v>-5.5276579149556694E-3</v>
      </c>
      <c r="NX60" s="27">
        <f>IF(ISNUMBER(NX59),NX59*(1+PortfolioFrontier[[#This Row],[P97 Return]]),1+PortfolioFrontier[[#This Row],[P97 Return]])</f>
        <v>1.3948923149587289</v>
      </c>
      <c r="NY60" s="27">
        <f>MAX(NY59,PortfolioFrontier[[#This Row],[P97 Growth]])</f>
        <v>1.4026456603450133</v>
      </c>
      <c r="NZ60" s="27">
        <f>PortfolioFrontier[[#This Row],[P97 Growth]]/PortfolioFrontier[[#This Row],[P97 HWM]]-1</f>
        <v>-5.5276579149556859E-3</v>
      </c>
      <c r="OA60" s="28">
        <f>SUMPRODUCT(INDEX(PortfolioRef[[SPY]:[PE]],MATCH(OA$1,PortfolioRef[Reference '#]),0),AssetMonthlyReturns[[#This Row],[SPY]:[PE]])</f>
        <v>-6.906493672519015E-3</v>
      </c>
      <c r="OB60" s="27">
        <f>IF(ISNUMBER(OB59),OB59*(1+PortfolioFrontier[[#This Row],[P98 Return]]),1+PortfolioFrontier[[#This Row],[P98 Return]])</f>
        <v>1.4074116625616169</v>
      </c>
      <c r="OC60" s="27">
        <f>MAX(OC59,PortfolioFrontier[[#This Row],[P98 Growth]])</f>
        <v>1.4171995422327441</v>
      </c>
      <c r="OD60" s="27">
        <f>PortfolioFrontier[[#This Row],[P98 Growth]]/PortfolioFrontier[[#This Row],[P98 HWM]]-1</f>
        <v>-6.906493672518943E-3</v>
      </c>
      <c r="OE60" s="28">
        <f>SUMPRODUCT(INDEX(PortfolioRef[[SPY]:[PE]],MATCH(OE$1,PortfolioRef[Reference '#]),0),AssetMonthlyReturns[[#This Row],[SPY]:[PE]])</f>
        <v>-4.4720971640699334E-3</v>
      </c>
      <c r="OF60" s="27">
        <f>IF(ISNUMBER(OF59),OF59*(1+PortfolioFrontier[[#This Row],[P99 Return]]),1+PortfolioFrontier[[#This Row],[P99 Return]])</f>
        <v>1.4007358006205015</v>
      </c>
      <c r="OG60" s="27">
        <f>MAX(OG59,PortfolioFrontier[[#This Row],[P99 Growth]])</f>
        <v>1.407028167297238</v>
      </c>
      <c r="OH60" s="27">
        <f>PortfolioFrontier[[#This Row],[P99 Growth]]/PortfolioFrontier[[#This Row],[P99 HWM]]-1</f>
        <v>-4.4720971640699325E-3</v>
      </c>
      <c r="OI60" s="28">
        <f>SUMPRODUCT(INDEX(PortfolioRef[[SPY]:[PE]],MATCH(OI$1,PortfolioRef[Reference '#]),0),AssetMonthlyReturns[[#This Row],[SPY]:[PE]])</f>
        <v>-5.4737594269282036E-3</v>
      </c>
      <c r="OJ60" s="27">
        <f>IF(ISNUMBER(OJ59),OJ59*(1+PortfolioFrontier[[#This Row],[P100 Return]]),1+PortfolioFrontier[[#This Row],[P100 Return]])</f>
        <v>1.3890319073878972</v>
      </c>
      <c r="OK60" s="27">
        <f>MAX(OK59,PortfolioFrontier[[#This Row],[P100 Growth]])</f>
        <v>1.3966769811800048</v>
      </c>
      <c r="OL60" s="27">
        <f>PortfolioFrontier[[#This Row],[P100 Growth]]/PortfolioFrontier[[#This Row],[P100 HWM]]-1</f>
        <v>-5.473759426928182E-3</v>
      </c>
      <c r="OM60" s="28">
        <f>SUMPRODUCT(INDEX(PortfolioRef[[SPY]:[PE]],MATCH(OM$1,PortfolioRef[Reference '#]),0),AssetMonthlyReturns[[#This Row],[SPY]:[PE]])</f>
        <v>-8.2853294300823613E-3</v>
      </c>
      <c r="ON60" s="27">
        <f>IF(ISNUMBER(ON59),ON59*(1+PortfolioFrontier[[#This Row],[P101 Return]]),1+PortfolioFrontier[[#This Row],[P101 Return]])</f>
        <v>1.4198206633218262</v>
      </c>
      <c r="OO60" s="27">
        <f>MAX(OO59,PortfolioFrontier[[#This Row],[P101 Growth]])</f>
        <v>1.4316826255135311</v>
      </c>
      <c r="OP60" s="27">
        <f>PortfolioFrontier[[#This Row],[P101 Growth]]/PortfolioFrontier[[#This Row],[P101 HWM]]-1</f>
        <v>-8.2853294300824221E-3</v>
      </c>
      <c r="OQ60" s="28">
        <f>SUMPRODUCT(INDEX(PortfolioRef[[SPY]:[PE]],MATCH(OQ$1,PortfolioRef[Reference '#]),0),AssetMonthlyReturns[[#This Row],[SPY]:[PE]])</f>
        <v>-5.8509329216332789E-3</v>
      </c>
      <c r="OR60" s="27">
        <f>IF(ISNUMBER(OR59),OR59*(1+PortfolioFrontier[[#This Row],[P102 Return]]),1+PortfolioFrontier[[#This Row],[P102 Return]])</f>
        <v>1.4132936830642562</v>
      </c>
      <c r="OS60" s="27">
        <f>MAX(OS59,PortfolioFrontier[[#This Row],[P102 Growth]])</f>
        <v>1.4216114362181955</v>
      </c>
      <c r="OT60" s="27">
        <f>PortfolioFrontier[[#This Row],[P102 Growth]]/PortfolioFrontier[[#This Row],[P102 HWM]]-1</f>
        <v>-5.8509329216331896E-3</v>
      </c>
      <c r="OU60" s="28">
        <f>SUMPRODUCT(INDEX(PortfolioRef[[SPY]:[PE]],MATCH(OU$1,PortfolioRef[Reference '#]),0),AssetMonthlyReturns[[#This Row],[SPY]:[PE]])</f>
        <v>-6.8525951844915509E-3</v>
      </c>
      <c r="OV60" s="27">
        <f>IF(ISNUMBER(OV59),OV59*(1+PortfolioFrontier[[#This Row],[P103 Return]]),1+PortfolioFrontier[[#This Row],[P103 Return]])</f>
        <v>1.4015145850703632</v>
      </c>
      <c r="OW60" s="27">
        <f>MAX(OW59,PortfolioFrontier[[#This Row],[P103 Growth]])</f>
        <v>1.4111848636715865</v>
      </c>
      <c r="OX60" s="27">
        <f>PortfolioFrontier[[#This Row],[P103 Growth]]/PortfolioFrontier[[#This Row],[P103 HWM]]-1</f>
        <v>-6.85259518449155E-3</v>
      </c>
      <c r="OY60" s="28">
        <f>SUMPRODUCT(INDEX(PortfolioRef[[SPY]:[PE]],MATCH(OY$1,PortfolioRef[Reference '#]),0),AssetMonthlyReturns[[#This Row],[SPY]:[PE]])</f>
        <v>-3.4165364131841956E-3</v>
      </c>
      <c r="OZ60" s="27">
        <f>IF(ISNUMBER(OZ59),OZ59*(1+PortfolioFrontier[[#This Row],[P104 Return]]),1+PortfolioFrontier[[#This Row],[P104 Return]])</f>
        <v>1.4061868472876855</v>
      </c>
      <c r="PA60" s="27">
        <f>MAX(PA59,PortfolioFrontier[[#This Row],[P104 Growth]])</f>
        <v>1.4110076061533885</v>
      </c>
      <c r="PB60" s="27">
        <f>PortfolioFrontier[[#This Row],[P104 Growth]]/PortfolioFrontier[[#This Row],[P104 HWM]]-1</f>
        <v>-3.4165364131842901E-3</v>
      </c>
      <c r="PC60" s="28">
        <f>SUMPRODUCT(INDEX(PortfolioRef[[SPY]:[PE]],MATCH(PC$1,PortfolioRef[Reference '#]),0),AssetMonthlyReturns[[#This Row],[SPY]:[PE]])</f>
        <v>-4.4181986760424676E-3</v>
      </c>
      <c r="PD60" s="27">
        <f>IF(ISNUMBER(PD59),PD59*(1+PortfolioFrontier[[#This Row],[P105 Return]]),1+PortfolioFrontier[[#This Row],[P105 Return]])</f>
        <v>1.3948445755651802</v>
      </c>
      <c r="PE60" s="27">
        <f>MAX(PE59,PortfolioFrontier[[#This Row],[P105 Growth]])</f>
        <v>1.4010346248899586</v>
      </c>
      <c r="PF60" s="27">
        <f>PortfolioFrontier[[#This Row],[P105 Growth]]/PortfolioFrontier[[#This Row],[P105 HWM]]-1</f>
        <v>-4.4181986760424286E-3</v>
      </c>
      <c r="PG60" s="28">
        <f>SUMPRODUCT(INDEX(PortfolioRef[[SPY]:[PE]],MATCH(PG$1,PortfolioRef[Reference '#]),0),AssetMonthlyReturns[[#This Row],[SPY]:[PE]])</f>
        <v>-5.4198609389007387E-3</v>
      </c>
      <c r="PH60" s="27">
        <f>IF(ISNUMBER(PH59),PH59*(1+PortfolioFrontier[[#This Row],[P106 Return]]),1+PortfolioFrontier[[#This Row],[P106 Return]])</f>
        <v>1.3831110574073928</v>
      </c>
      <c r="PI60" s="27">
        <f>MAX(PI59,PortfolioFrontier[[#This Row],[P106 Growth]])</f>
        <v>1.3906481771424408</v>
      </c>
      <c r="PJ60" s="27">
        <f>PortfolioFrontier[[#This Row],[P106 Growth]]/PortfolioFrontier[[#This Row],[P106 HWM]]-1</f>
        <v>-5.4198609389009E-3</v>
      </c>
      <c r="PK60" s="28">
        <f>SUMPRODUCT(INDEX(PortfolioRef[[SPY]:[PE]],MATCH(PK$1,PortfolioRef[Reference '#]),0),AssetMonthlyReturns[[#This Row],[SPY]:[PE]])</f>
        <v>-7.2297686791966244E-3</v>
      </c>
      <c r="PL60" s="27">
        <f>IF(ISNUMBER(PL59),PL59*(1+PortfolioFrontier[[#This Row],[P107 Return]]),1+PortfolioFrontier[[#This Row],[P107 Return]])</f>
        <v>1.4257408923692647</v>
      </c>
      <c r="PM60" s="27">
        <f>MAX(PM59,PortfolioFrontier[[#This Row],[P107 Growth]])</f>
        <v>1.4361237347663294</v>
      </c>
      <c r="PN60" s="27">
        <f>PortfolioFrontier[[#This Row],[P107 Growth]]/PortfolioFrontier[[#This Row],[P107 HWM]]-1</f>
        <v>-7.2297686791967797E-3</v>
      </c>
      <c r="PO60" s="28">
        <f>SUMPRODUCT(INDEX(PortfolioRef[[SPY]:[PE]],MATCH(PO$1,PortfolioRef[Reference '#]),0),AssetMonthlyReturns[[#This Row],[SPY]:[PE]])</f>
        <v>-8.2314309420548973E-3</v>
      </c>
      <c r="PP60" s="27">
        <f>IF(ISNUMBER(PP59),PP59*(1+PortfolioFrontier[[#This Row],[P108 Return]]),1+PortfolioFrontier[[#This Row],[P108 Return]])</f>
        <v>1.4138876681516808</v>
      </c>
      <c r="PQ60" s="27">
        <f>MAX(PQ59,PortfolioFrontier[[#This Row],[P108 Growth]])</f>
        <v>1.4256225819847221</v>
      </c>
      <c r="PR60" s="27">
        <f>PortfolioFrontier[[#This Row],[P108 Growth]]/PortfolioFrontier[[#This Row],[P108 HWM]]-1</f>
        <v>-8.2314309420550291E-3</v>
      </c>
      <c r="PS60" s="28">
        <f>SUMPRODUCT(INDEX(PortfolioRef[[SPY]:[PE]],MATCH(PS$1,PortfolioRef[Reference '#]),0),AssetMonthlyReturns[[#This Row],[SPY]:[PE]])</f>
        <v>-4.795372170747542E-3</v>
      </c>
      <c r="PT60" s="27">
        <f>IF(ISNUMBER(PT59),PT59*(1+PortfolioFrontier[[#This Row],[P109 Return]]),1+PortfolioFrontier[[#This Row],[P109 Return]])</f>
        <v>1.4187797875812824</v>
      </c>
      <c r="PU60" s="27">
        <f>MAX(PU59,PortfolioFrontier[[#This Row],[P109 Growth]])</f>
        <v>1.4256161475815634</v>
      </c>
      <c r="PV60" s="27">
        <f>PortfolioFrontier[[#This Row],[P109 Growth]]/PortfolioFrontier[[#This Row],[P109 HWM]]-1</f>
        <v>-4.7953721707475472E-3</v>
      </c>
      <c r="PW60" s="28">
        <f>SUMPRODUCT(INDEX(PortfolioRef[[SPY]:[PE]],MATCH(PW$1,PortfolioRef[Reference '#]),0),AssetMonthlyReturns[[#This Row],[SPY]:[PE]])</f>
        <v>-5.7970344336058131E-3</v>
      </c>
      <c r="PX60" s="27">
        <f>IF(ISNUMBER(PX59),PX59*(1+PortfolioFrontier[[#This Row],[P110 Return]]),1+PortfolioFrontier[[#This Row],[P110 Return]])</f>
        <v>1.407365642447304</v>
      </c>
      <c r="PY60" s="27">
        <f>MAX(PY59,PortfolioFrontier[[#This Row],[P110 Growth]])</f>
        <v>1.415571760687248</v>
      </c>
      <c r="PZ60" s="27">
        <f>PortfolioFrontier[[#This Row],[P110 Growth]]/PortfolioFrontier[[#This Row],[P110 HWM]]-1</f>
        <v>-5.7970344336057966E-3</v>
      </c>
      <c r="QA60" s="28">
        <f>SUMPRODUCT(INDEX(PortfolioRef[[SPY]:[PE]],MATCH(QA$1,PortfolioRef[Reference '#]),0),AssetMonthlyReturns[[#This Row],[SPY]:[PE]])</f>
        <v>-6.798696696464086E-3</v>
      </c>
      <c r="QB60" s="27">
        <f>IF(ISNUMBER(QB59),QB59*(1+PortfolioFrontier[[#This Row],[P111 Return]]),1+PortfolioFrontier[[#This Row],[P111 Return]])</f>
        <v>1.3955564050948088</v>
      </c>
      <c r="QC60" s="27">
        <f>MAX(QC59,PortfolioFrontier[[#This Row],[P111 Growth]])</f>
        <v>1.405109317167607</v>
      </c>
      <c r="QD60" s="27">
        <f>PortfolioFrontier[[#This Row],[P111 Growth]]/PortfolioFrontier[[#This Row],[P111 HWM]]-1</f>
        <v>-6.798696696463935E-3</v>
      </c>
      <c r="QE60" s="28">
        <f>SUMPRODUCT(INDEX(PortfolioRef[[SPY]:[PE]],MATCH(QE$1,PortfolioRef[Reference '#]),0),AssetMonthlyReturns[[#This Row],[SPY]:[PE]])</f>
        <v>-2.3609756622984595E-3</v>
      </c>
      <c r="QF60" s="27">
        <f>IF(ISNUMBER(QF59),QF59*(1+PortfolioFrontier[[#This Row],[P112 Return]]),1+PortfolioFrontier[[#This Row],[P112 Return]])</f>
        <v>1.4112375148921712</v>
      </c>
      <c r="QG60" s="27">
        <f>MAX(QG59,PortfolioFrontier[[#This Row],[P112 Growth]])</f>
        <v>1.4145772974639235</v>
      </c>
      <c r="QH60" s="27">
        <f>PortfolioFrontier[[#This Row],[P112 Growth]]/PortfolioFrontier[[#This Row],[P112 HWM]]-1</f>
        <v>-2.3609756622984257E-3</v>
      </c>
      <c r="QI60" s="28">
        <f>SUMPRODUCT(INDEX(PortfolioRef[[SPY]:[PE]],MATCH(QI$1,PortfolioRef[Reference '#]),0),AssetMonthlyReturns[[#This Row],[SPY]:[PE]])</f>
        <v>-3.3626379251567307E-3</v>
      </c>
      <c r="QJ60" s="27">
        <f>IF(ISNUMBER(QJ59),QJ59*(1+PortfolioFrontier[[#This Row],[P113 Return]]),1+PortfolioFrontier[[#This Row],[P113 Return]])</f>
        <v>1.4002664048459887</v>
      </c>
      <c r="QK60" s="27">
        <f>MAX(QK59,PortfolioFrontier[[#This Row],[P113 Growth]])</f>
        <v>1.4049908804651403</v>
      </c>
      <c r="QL60" s="27">
        <f>PortfolioFrontier[[#This Row],[P113 Growth]]/PortfolioFrontier[[#This Row],[P113 HWM]]-1</f>
        <v>-3.3626379251567862E-3</v>
      </c>
      <c r="QM60" s="28">
        <f>SUMPRODUCT(INDEX(PortfolioRef[[SPY]:[PE]],MATCH(QM$1,PortfolioRef[Reference '#]),0),AssetMonthlyReturns[[#This Row],[SPY]:[PE]])</f>
        <v>-4.3643001880150026E-3</v>
      </c>
      <c r="QN60" s="27">
        <f>IF(ISNUMBER(QN59),QN59*(1+PortfolioFrontier[[#This Row],[P114 Return]]),1+PortfolioFrontier[[#This Row],[P114 Return]])</f>
        <v>1.3888926059781486</v>
      </c>
      <c r="QO60" s="27">
        <f>MAX(QO59,PortfolioFrontier[[#This Row],[P114 Growth]])</f>
        <v>1.3949807205993376</v>
      </c>
      <c r="QP60" s="27">
        <f>PortfolioFrontier[[#This Row],[P114 Growth]]/PortfolioFrontier[[#This Row],[P114 HWM]]-1</f>
        <v>-4.3643001880150356E-3</v>
      </c>
      <c r="QQ60" s="28">
        <f>SUMPRODUCT(INDEX(PortfolioRef[[SPY]:[PE]],MATCH(QQ$1,PortfolioRef[Reference '#]),0),AssetMonthlyReturns[[#This Row],[SPY]:[PE]])</f>
        <v>-6.1742079283108875E-3</v>
      </c>
      <c r="QR60" s="27">
        <f>IF(ISNUMBER(QR59),QR59*(1+PortfolioFrontier[[#This Row],[P115 Return]]),1+PortfolioFrontier[[#This Row],[P115 Return]])</f>
        <v>1.4312617586889591</v>
      </c>
      <c r="QS60" s="27">
        <f>MAX(QS59,PortfolioFrontier[[#This Row],[P115 Growth]])</f>
        <v>1.4401535662557203</v>
      </c>
      <c r="QT60" s="27">
        <f>PortfolioFrontier[[#This Row],[P115 Growth]]/PortfolioFrontier[[#This Row],[P115 HWM]]-1</f>
        <v>-6.1742079283108042E-3</v>
      </c>
      <c r="QU60" s="28">
        <f>SUMPRODUCT(INDEX(PortfolioRef[[SPY]:[PE]],MATCH(QU$1,PortfolioRef[Reference '#]),0),AssetMonthlyReturns[[#This Row],[SPY]:[PE]])</f>
        <v>-7.1758701911691586E-3</v>
      </c>
      <c r="QV60" s="27">
        <f>IF(ISNUMBER(QV59),QV59*(1+PortfolioFrontier[[#This Row],[P116 Return]]),1+PortfolioFrontier[[#This Row],[P116 Return]])</f>
        <v>1.4197767911984838</v>
      </c>
      <c r="QW60" s="27">
        <f>MAX(QW59,PortfolioFrontier[[#This Row],[P116 Growth]])</f>
        <v>1.4300385622898419</v>
      </c>
      <c r="QX60" s="27">
        <f>PortfolioFrontier[[#This Row],[P116 Growth]]/PortfolioFrontier[[#This Row],[P116 HWM]]-1</f>
        <v>-7.1758701911692757E-3</v>
      </c>
      <c r="QY60" s="28">
        <f>SUMPRODUCT(INDEX(PortfolioRef[[SPY]:[PE]],MATCH(QY$1,PortfolioRef[Reference '#]),0),AssetMonthlyReturns[[#This Row],[SPY]:[PE]])</f>
        <v>-8.1775324540274315E-3</v>
      </c>
      <c r="QZ60" s="27">
        <f>IF(ISNUMBER(QZ59),QZ59*(1+PortfolioFrontier[[#This Row],[P117 Return]]),1+PortfolioFrontier[[#This Row],[P117 Return]])</f>
        <v>1.4078929122302828</v>
      </c>
      <c r="RA60" s="27">
        <f>MAX(RA59,PortfolioFrontier[[#This Row],[P117 Growth]])</f>
        <v>1.4195009271304138</v>
      </c>
      <c r="RB60" s="27">
        <f>PortfolioFrontier[[#This Row],[P117 Growth]]/PortfolioFrontier[[#This Row],[P117 HWM]]-1</f>
        <v>-8.1775324540274141E-3</v>
      </c>
      <c r="RC60" s="28">
        <f>SUMPRODUCT(INDEX(PortfolioRef[[SPY]:[PE]],MATCH(RC$1,PortfolioRef[Reference '#]),0),AssetMonthlyReturns[[#This Row],[SPY]:[PE]])</f>
        <v>-3.739811419861805E-3</v>
      </c>
      <c r="RD60" s="27">
        <f>IF(ISNUMBER(RD59),RD59*(1+PortfolioFrontier[[#This Row],[P118 Return]]),1+PortfolioFrontier[[#This Row],[P118 Return]])</f>
        <v>1.4238619803521999</v>
      </c>
      <c r="RE60" s="27">
        <f>MAX(RE59,PortfolioFrontier[[#This Row],[P118 Growth]])</f>
        <v>1.4292069448057301</v>
      </c>
      <c r="RF60" s="27">
        <f>PortfolioFrontier[[#This Row],[P118 Growth]]/PortfolioFrontier[[#This Row],[P118 HWM]]-1</f>
        <v>-3.7398114198616828E-3</v>
      </c>
      <c r="RG60" s="28">
        <f>SUMPRODUCT(INDEX(PortfolioRef[[SPY]:[PE]],MATCH(RG$1,PortfolioRef[Reference '#]),0),AssetMonthlyReturns[[#This Row],[SPY]:[PE]])</f>
        <v>-4.7414736827200762E-3</v>
      </c>
      <c r="RH60" s="27">
        <f>IF(ISNUMBER(RH59),RH59*(1+PortfolioFrontier[[#This Row],[P119 Return]]),1+PortfolioFrontier[[#This Row],[P119 Return]])</f>
        <v>1.4128223945983631</v>
      </c>
      <c r="RI60" s="27">
        <f>MAX(RI59,PortfolioFrontier[[#This Row],[P119 Growth]])</f>
        <v>1.419553168588447</v>
      </c>
      <c r="RJ60" s="27">
        <f>PortfolioFrontier[[#This Row],[P119 Growth]]/PortfolioFrontier[[#This Row],[P119 HWM]]-1</f>
        <v>-4.7414736827200432E-3</v>
      </c>
      <c r="RK60" s="28">
        <f>SUMPRODUCT(INDEX(PortfolioRef[[SPY]:[PE]],MATCH(RK$1,PortfolioRef[Reference '#]),0),AssetMonthlyReturns[[#This Row],[SPY]:[PE]])</f>
        <v>-5.7431359455783482E-3</v>
      </c>
      <c r="RL60" s="27">
        <f>IF(ISNUMBER(RL59),RL59*(1+PortfolioFrontier[[#This Row],[P120 Return]]),1+PortfolioFrontier[[#This Row],[P120 Return]])</f>
        <v>1.4013761943011445</v>
      </c>
      <c r="RM60" s="27">
        <f>MAX(RM59,PortfolioFrontier[[#This Row],[P120 Growth]])</f>
        <v>1.4094709777376391</v>
      </c>
      <c r="RN60" s="27">
        <f>PortfolioFrontier[[#This Row],[P120 Growth]]/PortfolioFrontier[[#This Row],[P120 HWM]]-1</f>
        <v>-5.7431359455784037E-3</v>
      </c>
      <c r="RO60" s="28">
        <f>SUMPRODUCT(INDEX(PortfolioRef[[SPY]:[PE]],MATCH(RO$1,PortfolioRef[Reference '#]),0),AssetMonthlyReturns[[#This Row],[SPY]:[PE]])</f>
        <v>-1.3054149114127224E-3</v>
      </c>
      <c r="RP60" s="27">
        <f>IF(ISNUMBER(RP59),RP59*(1+PortfolioFrontier[[#This Row],[P121 Return]]),1+PortfolioFrontier[[#This Row],[P121 Return]])</f>
        <v>1.4158800265890101</v>
      </c>
      <c r="RQ60" s="27">
        <f>MAX(RQ59,PortfolioFrontier[[#This Row],[P121 Growth]])</f>
        <v>1.4177307534549386</v>
      </c>
      <c r="RR60" s="27">
        <f>PortfolioFrontier[[#This Row],[P121 Growth]]/PortfolioFrontier[[#This Row],[P121 HWM]]-1</f>
        <v>-1.3054149114126723E-3</v>
      </c>
      <c r="RS60" s="28">
        <f>SUMPRODUCT(INDEX(PortfolioRef[[SPY]:[PE]],MATCH(RS$1,PortfolioRef[Reference '#]),0),AssetMonthlyReturns[[#This Row],[SPY]:[PE]])</f>
        <v>-2.3070771742709937E-3</v>
      </c>
      <c r="RT60" s="27">
        <f>IF(ISNUMBER(RT59),RT59*(1+PortfolioFrontier[[#This Row],[P122 Return]]),1+PortfolioFrontier[[#This Row],[P122 Return]])</f>
        <v>1.4052894993432854</v>
      </c>
      <c r="RU60" s="27">
        <f>MAX(RU59,PortfolioFrontier[[#This Row],[P122 Growth]])</f>
        <v>1.4085391077678848</v>
      </c>
      <c r="RV60" s="27">
        <f>PortfolioFrontier[[#This Row],[P122 Growth]]/PortfolioFrontier[[#This Row],[P122 HWM]]-1</f>
        <v>-2.3070771742710328E-3</v>
      </c>
      <c r="RW60" s="28">
        <f>SUMPRODUCT(INDEX(PortfolioRef[[SPY]:[PE]],MATCH(RW$1,PortfolioRef[Reference '#]),0),AssetMonthlyReturns[[#This Row],[SPY]:[PE]])</f>
        <v>-3.3087394371292653E-3</v>
      </c>
      <c r="RX60" s="27">
        <f>IF(ISNUMBER(RX59),RX59*(1+PortfolioFrontier[[#This Row],[P123 Return]]),1+PortfolioFrontier[[#This Row],[P123 Return]])</f>
        <v>1.3942849290320241</v>
      </c>
      <c r="RY60" s="27">
        <f>MAX(RY59,PortfolioFrontier[[#This Row],[P123 Growth]])</f>
        <v>1.3989135695286588</v>
      </c>
      <c r="RZ60" s="27">
        <f>PortfolioFrontier[[#This Row],[P123 Growth]]/PortfolioFrontier[[#This Row],[P123 HWM]]-1</f>
        <v>-3.3087394371292822E-3</v>
      </c>
      <c r="SA60" s="28">
        <f>SUMPRODUCT(INDEX(PortfolioRef[[SPY]:[PE]],MATCH(SA$1,PortfolioRef[Reference '#]),0),AssetMonthlyReturns[[#This Row],[SPY]:[PE]])</f>
        <v>-5.1186471774251506E-3</v>
      </c>
      <c r="SB60" s="27">
        <f>IF(ISNUMBER(SB59),SB59*(1+PortfolioFrontier[[#This Row],[P124 Return]]),1+PortfolioFrontier[[#This Row],[P124 Return]])</f>
        <v>1.4363752113729784</v>
      </c>
      <c r="SC60" s="27">
        <f>MAX(SC59,PortfolioFrontier[[#This Row],[P124 Growth]])</f>
        <v>1.4437653367387404</v>
      </c>
      <c r="SD60" s="27">
        <f>PortfolioFrontier[[#This Row],[P124 Growth]]/PortfolioFrontier[[#This Row],[P124 HWM]]-1</f>
        <v>-5.1186471774251618E-3</v>
      </c>
      <c r="SE60" s="28">
        <f>SUMPRODUCT(INDEX(PortfolioRef[[SPY]:[PE]],MATCH(SE$1,PortfolioRef[Reference '#]),0),AssetMonthlyReturns[[#This Row],[SPY]:[PE]])</f>
        <v>-6.1203094402834217E-3</v>
      </c>
      <c r="SF60" s="27">
        <f>IF(ISNUMBER(SF59),SF59*(1+PortfolioFrontier[[#This Row],[P125 Return]]),1+PortfolioFrontier[[#This Row],[P125 Return]])</f>
        <v>1.4252681727389664</v>
      </c>
      <c r="SG60" s="27">
        <f>MAX(SG59,PortfolioFrontier[[#This Row],[P125 Growth]])</f>
        <v>1.4340449717171579</v>
      </c>
      <c r="SH60" s="27">
        <f>PortfolioFrontier[[#This Row],[P125 Growth]]/PortfolioFrontier[[#This Row],[P125 HWM]]-1</f>
        <v>-6.1203094402834113E-3</v>
      </c>
      <c r="SI60" s="28">
        <f>SUMPRODUCT(INDEX(PortfolioRef[[SPY]:[PE]],MATCH(SI$1,PortfolioRef[Reference '#]),0),AssetMonthlyReturns[[#This Row],[SPY]:[PE]])</f>
        <v>-7.1219717031416937E-3</v>
      </c>
      <c r="SJ60" s="27">
        <f>IF(ISNUMBER(SJ59),SJ59*(1+PortfolioFrontier[[#This Row],[P126 Return]]),1+PortfolioFrontier[[#This Row],[P126 Return]])</f>
        <v>1.4137506213122486</v>
      </c>
      <c r="SK60" s="27">
        <f>MAX(SK59,PortfolioFrontier[[#This Row],[P126 Growth]])</f>
        <v>1.4238915365438569</v>
      </c>
      <c r="SL60" s="27">
        <f>PortfolioFrontier[[#This Row],[P126 Growth]]/PortfolioFrontier[[#This Row],[P126 HWM]]-1</f>
        <v>-7.1219717031416607E-3</v>
      </c>
      <c r="SM60" s="28">
        <f>SUMPRODUCT(INDEX(PortfolioRef[[SPY]:[PE]],MATCH(SM$1,PortfolioRef[Reference '#]),0),AssetMonthlyReturns[[#This Row],[SPY]:[PE]])</f>
        <v>-2.6842506689760681E-3</v>
      </c>
      <c r="SN60" s="27">
        <f>IF(ISNUMBER(SN59),SN59*(1+PortfolioFrontier[[#This Row],[P127 Return]]),1+PortfolioFrontier[[#This Row],[P127 Return]])</f>
        <v>1.4285324304947273</v>
      </c>
      <c r="SO60" s="27">
        <f>MAX(SO59,PortfolioFrontier[[#This Row],[P127 Growth]])</f>
        <v>1.4323772901941572</v>
      </c>
      <c r="SP60" s="27">
        <f>PortfolioFrontier[[#This Row],[P127 Growth]]/PortfolioFrontier[[#This Row],[P127 HWM]]-1</f>
        <v>-2.6842506689760404E-3</v>
      </c>
      <c r="SQ60" s="28">
        <f>SUMPRODUCT(INDEX(PortfolioRef[[SPY]:[PE]],MATCH(SQ$1,PortfolioRef[Reference '#]),0),AssetMonthlyReturns[[#This Row],[SPY]:[PE]])</f>
        <v>-3.6859129318343392E-3</v>
      </c>
      <c r="SR60" s="27">
        <f>IF(ISNUMBER(SR59),SR59*(1+PortfolioFrontier[[#This Row],[P128 Return]]),1+PortfolioFrontier[[#This Row],[P128 Return]])</f>
        <v>1.4178768901897858</v>
      </c>
      <c r="SS60" s="27">
        <f>MAX(SS59,PortfolioFrontier[[#This Row],[P128 Growth]])</f>
        <v>1.4231223954306869</v>
      </c>
      <c r="ST60" s="27">
        <f>PortfolioFrontier[[#This Row],[P128 Growth]]/PortfolioFrontier[[#This Row],[P128 HWM]]-1</f>
        <v>-3.6859129318344008E-3</v>
      </c>
      <c r="SU60" s="28">
        <f>SUMPRODUCT(INDEX(PortfolioRef[[SPY]:[PE]],MATCH(SU$1,PortfolioRef[Reference '#]),0),AssetMonthlyReturns[[#This Row],[SPY]:[PE]])</f>
        <v>-4.6875751946926112E-3</v>
      </c>
      <c r="SV60" s="27">
        <f>IF(ISNUMBER(SV59),SV59*(1+PortfolioFrontier[[#This Row],[P129 Return]]),1+PortfolioFrontier[[#This Row],[P129 Return]])</f>
        <v>1.4068033024696565</v>
      </c>
      <c r="SW60" s="27">
        <f>MAX(SW59,PortfolioFrontier[[#This Row],[P129 Growth]])</f>
        <v>1.413428856516928</v>
      </c>
      <c r="SX60" s="27">
        <f>PortfolioFrontier[[#This Row],[P129 Growth]]/PortfolioFrontier[[#This Row],[P129 HWM]]-1</f>
        <v>-4.6875751946926503E-3</v>
      </c>
      <c r="SY60" s="28">
        <f>SUMPRODUCT(INDEX(PortfolioRef[[SPY]:[PE]],MATCH(SY$1,PortfolioRef[Reference '#]),0),AssetMonthlyReturns[[#This Row],[SPY]:[PE]])</f>
        <v>-2.4985416052698551E-4</v>
      </c>
      <c r="SZ60" s="27">
        <f>IF(ISNUMBER(SZ59),SZ59*(1+PortfolioFrontier[[#This Row],[P130 Return]]),1+PortfolioFrontier[[#This Row],[P130 Return]])</f>
        <v>1.4201067779689076</v>
      </c>
      <c r="TA60" s="27">
        <f>MAX(TA59,PortfolioFrontier[[#This Row],[P130 Growth]])</f>
        <v>1.4204616862310817</v>
      </c>
      <c r="TB60" s="27">
        <f>PortfolioFrontier[[#This Row],[P130 Growth]]/PortfolioFrontier[[#This Row],[P130 HWM]]-1</f>
        <v>-2.4985416052702991E-4</v>
      </c>
      <c r="TC60" s="28">
        <f>SUMPRODUCT(INDEX(PortfolioRef[[SPY]:[PE]],MATCH(TC$1,PortfolioRef[Reference '#]),0),AssetMonthlyReturns[[#This Row],[SPY]:[PE]])</f>
        <v>-1.2515164233852568E-3</v>
      </c>
      <c r="TD60" s="27">
        <f>IF(ISNUMBER(TD59),TD59*(1+PortfolioFrontier[[#This Row],[P131 Return]]),1+PortfolioFrontier[[#This Row],[P131 Return]])</f>
        <v>1.4099061262085866</v>
      </c>
      <c r="TE60" s="27">
        <f>MAX(TE59,PortfolioFrontier[[#This Row],[P131 Growth]])</f>
        <v>1.4116728579747893</v>
      </c>
      <c r="TF60" s="27">
        <f>PortfolioFrontier[[#This Row],[P131 Growth]]/PortfolioFrontier[[#This Row],[P131 HWM]]-1</f>
        <v>-1.2515164233852794E-3</v>
      </c>
      <c r="TG60" s="28">
        <f>SUMPRODUCT(INDEX(PortfolioRef[[SPY]:[PE]],MATCH(TG$1,PortfolioRef[Reference '#]),0),AssetMonthlyReturns[[#This Row],[SPY]:[PE]])</f>
        <v>-2.2531786862435284E-3</v>
      </c>
      <c r="TH60" s="27">
        <f>IF(ISNUMBER(TH59),TH59*(1+PortfolioFrontier[[#This Row],[P132 Return]]),1+PortfolioFrontier[[#This Row],[P132 Return]])</f>
        <v>1.3992801750947086</v>
      </c>
      <c r="TI60" s="27">
        <f>MAX(TI59,PortfolioFrontier[[#This Row],[P132 Growth]])</f>
        <v>1.4024401232892367</v>
      </c>
      <c r="TJ60" s="27">
        <f>PortfolioFrontier[[#This Row],[P132 Growth]]/PortfolioFrontier[[#This Row],[P132 HWM]]-1</f>
        <v>-2.2531786862436398E-3</v>
      </c>
      <c r="TK60" s="28">
        <f>SUMPRODUCT(INDEX(PortfolioRef[[SPY]:[PE]],MATCH(TK$1,PortfolioRef[Reference '#]),0),AssetMonthlyReturns[[#This Row],[SPY]:[PE]])</f>
        <v>-4.0630864265394136E-3</v>
      </c>
      <c r="TL60" s="27">
        <f>IF(ISNUMBER(TL59),TL59*(1+PortfolioFrontier[[#This Row],[P133 Return]]),1+PortfolioFrontier[[#This Row],[P133 Return]])</f>
        <v>1.4410733660353472</v>
      </c>
      <c r="TM60" s="27">
        <f>MAX(TM59,PortfolioFrontier[[#This Row],[P133 Growth]])</f>
        <v>1.4469524589310778</v>
      </c>
      <c r="TN60" s="27">
        <f>PortfolioFrontier[[#This Row],[P133 Growth]]/PortfolioFrontier[[#This Row],[P133 HWM]]-1</f>
        <v>-4.0630864265394084E-3</v>
      </c>
      <c r="TO60" s="28">
        <f>SUMPRODUCT(INDEX(PortfolioRef[[SPY]:[PE]],MATCH(TO$1,PortfolioRef[Reference '#]),0),AssetMonthlyReturns[[#This Row],[SPY]:[PE]])</f>
        <v>-5.0647486893976848E-3</v>
      </c>
      <c r="TP60" s="27">
        <f>IF(ISNUMBER(TP59),TP59*(1+PortfolioFrontier[[#This Row],[P134 Return]]),1+PortfolioFrontier[[#This Row],[P134 Return]])</f>
        <v>1.4303538065331391</v>
      </c>
      <c r="TQ60" s="27">
        <f>MAX(TQ59,PortfolioFrontier[[#This Row],[P134 Growth]])</f>
        <v>1.4376350668538191</v>
      </c>
      <c r="TR60" s="27">
        <f>PortfolioFrontier[[#This Row],[P134 Growth]]/PortfolioFrontier[[#This Row],[P134 HWM]]-1</f>
        <v>-5.0647486893976579E-3</v>
      </c>
      <c r="TS60" s="28">
        <f>SUMPRODUCT(INDEX(PortfolioRef[[SPY]:[PE]],MATCH(TS$1,PortfolioRef[Reference '#]),0),AssetMonthlyReturns[[#This Row],[SPY]:[PE]])</f>
        <v>-6.0664109522559568E-3</v>
      </c>
      <c r="TT60" s="27">
        <f>IF(ISNUMBER(TT59),TT59*(1+PortfolioFrontier[[#This Row],[P135 Return]]),1+PortfolioFrontier[[#This Row],[P135 Return]])</f>
        <v>1.4192122236842641</v>
      </c>
      <c r="TU60" s="27">
        <f>MAX(TU59,PortfolioFrontier[[#This Row],[P135 Growth]])</f>
        <v>1.4278742959516701</v>
      </c>
      <c r="TV60" s="27">
        <f>PortfolioFrontier[[#This Row],[P135 Growth]]/PortfolioFrontier[[#This Row],[P135 HWM]]-1</f>
        <v>-6.0664109522560183E-3</v>
      </c>
      <c r="TW60" s="28">
        <f>SUMPRODUCT(INDEX(PortfolioRef[[SPY]:[PE]],MATCH(TW$1,PortfolioRef[Reference '#]),0),AssetMonthlyReturns[[#This Row],[SPY]:[PE]])</f>
        <v>-1.6286899180903318E-3</v>
      </c>
      <c r="TX60" s="27">
        <f>IF(ISNUMBER(TX59),TX59*(1+PortfolioFrontier[[#This Row],[P136 Return]]),1+PortfolioFrontier[[#This Row],[P136 Return]])</f>
        <v>1.4327834812835736</v>
      </c>
      <c r="TY60" s="27">
        <f>MAX(TY59,PortfolioFrontier[[#This Row],[P136 Growth]])</f>
        <v>1.4351208481401807</v>
      </c>
      <c r="TZ60" s="27">
        <f>PortfolioFrontier[[#This Row],[P136 Growth]]/PortfolioFrontier[[#This Row],[P136 HWM]]-1</f>
        <v>-1.628689918090287E-3</v>
      </c>
      <c r="UA60" s="28">
        <f>SUMPRODUCT(INDEX(PortfolioRef[[SPY]:[PE]],MATCH(UA$1,PortfolioRef[Reference '#]),0),AssetMonthlyReturns[[#This Row],[SPY]:[PE]])</f>
        <v>-2.6303521809486032E-3</v>
      </c>
      <c r="UB60" s="27">
        <f>IF(ISNUMBER(UB59),UB59*(1+PortfolioFrontier[[#This Row],[P137 Return]]),1+PortfolioFrontier[[#This Row],[P137 Return]])</f>
        <v>1.4225213425790486</v>
      </c>
      <c r="UC60" s="27">
        <f>MAX(UC59,PortfolioFrontier[[#This Row],[P137 Growth]])</f>
        <v>1.4262729427245722</v>
      </c>
      <c r="UD60" s="27">
        <f>PortfolioFrontier[[#This Row],[P137 Growth]]/PortfolioFrontier[[#This Row],[P137 HWM]]-1</f>
        <v>-2.6303521809486474E-3</v>
      </c>
      <c r="UE60" s="28">
        <f>SUMPRODUCT(INDEX(PortfolioRef[[SPY]:[PE]],MATCH(UE$1,PortfolioRef[Reference '#]),0),AssetMonthlyReturns[[#This Row],[SPY]:[PE]])</f>
        <v>-3.6320144438068747E-3</v>
      </c>
      <c r="UF60" s="27">
        <f>IF(ISNUMBER(UF59),UF59*(1+PortfolioFrontier[[#This Row],[P138 Return]]),1+PortfolioFrontier[[#This Row],[P138 Return]])</f>
        <v>1.411829822927593</v>
      </c>
      <c r="UG60" s="27">
        <f>MAX(UG59,PortfolioFrontier[[#This Row],[P138 Growth]])</f>
        <v>1.4169763013205212</v>
      </c>
      <c r="UH60" s="27">
        <f>PortfolioFrontier[[#This Row],[P138 Growth]]/PortfolioFrontier[[#This Row],[P138 HWM]]-1</f>
        <v>-3.6320144438068969E-3</v>
      </c>
      <c r="UI60" s="28">
        <f>SUMPRODUCT(INDEX(PortfolioRef[[SPY]:[PE]],MATCH(UI$1,PortfolioRef[Reference '#]),0),AssetMonthlyReturns[[#This Row],[SPY]:[PE]])</f>
        <v>8.0570659035875147E-4</v>
      </c>
      <c r="UJ60" s="27">
        <f>IF(ISNUMBER(UJ59),UJ59*(1+PortfolioFrontier[[#This Row],[P139 Return]]),1+PortfolioFrontier[[#This Row],[P139 Return]])</f>
        <v>1.4239103462791896</v>
      </c>
      <c r="UK60" s="27">
        <f>MAX(UK59,PortfolioFrontier[[#This Row],[P139 Growth]])</f>
        <v>1.4239103462791896</v>
      </c>
      <c r="UL60" s="27">
        <f>PortfolioFrontier[[#This Row],[P139 Growth]]/PortfolioFrontier[[#This Row],[P139 HWM]]-1</f>
        <v>0</v>
      </c>
      <c r="UM60" s="28">
        <f>SUMPRODUCT(INDEX(PortfolioRef[[SPY]:[PE]],MATCH(UM$1,PortfolioRef[Reference '#]),0),AssetMonthlyReturns[[#This Row],[SPY]:[PE]])</f>
        <v>-1.9595567249952085E-4</v>
      </c>
      <c r="UN60" s="27">
        <f>IF(ISNUMBER(UN59),UN59*(1+PortfolioFrontier[[#This Row],[P140 Return]]),1+PortfolioFrontier[[#This Row],[P140 Return]])</f>
        <v>1.4141087248092596</v>
      </c>
      <c r="UO60" s="27">
        <f>MAX(UO59,PortfolioFrontier[[#This Row],[P140 Growth]])</f>
        <v>1.414385881745891</v>
      </c>
      <c r="UP60" s="27">
        <f>PortfolioFrontier[[#This Row],[P140 Growth]]/PortfolioFrontier[[#This Row],[P140 HWM]]-1</f>
        <v>-1.9595567249952595E-4</v>
      </c>
      <c r="UQ60" s="28">
        <f>SUMPRODUCT(INDEX(PortfolioRef[[SPY]:[PE]],MATCH(UQ$1,PortfolioRef[Reference '#]),0),AssetMonthlyReturns[[#This Row],[SPY]:[PE]])</f>
        <v>-1.1976179353577923E-3</v>
      </c>
      <c r="UR60" s="27">
        <f>IF(ISNUMBER(UR59),UR59*(1+PortfolioFrontier[[#This Row],[P141 Return]]),1+PortfolioFrontier[[#This Row],[P141 Return]])</f>
        <v>1.403870655538433</v>
      </c>
      <c r="US60" s="27">
        <f>MAX(US59,PortfolioFrontier[[#This Row],[P141 Growth]])</f>
        <v>1.4055539721846346</v>
      </c>
      <c r="UT60" s="27">
        <f>PortfolioFrontier[[#This Row],[P141 Growth]]/PortfolioFrontier[[#This Row],[P141 HWM]]-1</f>
        <v>-1.1976179353576644E-3</v>
      </c>
    </row>
    <row r="61" spans="2:566" x14ac:dyDescent="0.2">
      <c r="B61" s="41">
        <f>AssetMonthlyReturns[[#This Row],[Date]]</f>
        <v>44228</v>
      </c>
      <c r="C61" s="28">
        <f>SUMPRODUCT(INDEX(PortfolioRef[[SPY]:[PE]],MATCH(C$1,PortfolioRef[Reference '#]),0),AssetMonthlyReturns[[#This Row],[SPY]:[PE]])</f>
        <v>1.0171000168452692E-2</v>
      </c>
      <c r="D61" s="29">
        <f>IF(ISNUMBER(D60),D60*(1+PortfolioFrontier[[#This Row],[P1 Return]]),1+PortfolioFrontier[[#This Row],[P1 Return]])</f>
        <v>1.6370406807118103</v>
      </c>
      <c r="E61" s="29">
        <f>MAX(E60,PortfolioFrontier[[#This Row],[P1 Growth]])</f>
        <v>1.6370406807118103</v>
      </c>
      <c r="F61" s="29">
        <f>PortfolioFrontier[[#This Row],[P1 Growth]]/PortfolioFrontier[[#This Row],[P1 HWM]]-1</f>
        <v>0</v>
      </c>
      <c r="G61" s="28">
        <f>SUMPRODUCT(INDEX(PortfolioRef[[SPY]:[PE]],MATCH(G$1,PortfolioRef[Reference '#]),0),AssetMonthlyReturns[[#This Row],[SPY]:[PE]])</f>
        <v>7.941077823217001E-3</v>
      </c>
      <c r="H61" s="27">
        <f>IF(ISNUMBER(H60),H60*(1+PortfolioFrontier[[#This Row],[P2 Return]]),1+PortfolioFrontier[[#This Row],[P2 Return]])</f>
        <v>1.594325498309183</v>
      </c>
      <c r="I61" s="27">
        <f>MAX(I60,PortfolioFrontier[[#This Row],[P2 Growth]])</f>
        <v>1.594325498309183</v>
      </c>
      <c r="J61" s="27">
        <f>PortfolioFrontier[[#This Row],[P2 Growth]]/PortfolioFrontier[[#This Row],[P2 HWM]]-1</f>
        <v>0</v>
      </c>
      <c r="K61" s="28">
        <f>SUMPRODUCT(INDEX(PortfolioRef[[SPY]:[PE]],MATCH(K$1,PortfolioRef[Reference '#]),0),AssetMonthlyReturns[[#This Row],[SPY]:[PE]])</f>
        <v>5.6522856250845188E-3</v>
      </c>
      <c r="L61" s="27">
        <f>IF(ISNUMBER(L60),L60*(1+PortfolioFrontier[[#This Row],[P3 Return]]),1+PortfolioFrontier[[#This Row],[P3 Return]])</f>
        <v>1.6049063189495469</v>
      </c>
      <c r="M61" s="27">
        <f>MAX(M60,PortfolioFrontier[[#This Row],[P3 Growth]])</f>
        <v>1.6075145861281188</v>
      </c>
      <c r="N61" s="27">
        <f>PortfolioFrontier[[#This Row],[P3 Growth]]/PortfolioFrontier[[#This Row],[P3 HWM]]-1</f>
        <v>-1.6225465081808332E-3</v>
      </c>
      <c r="O61" s="28">
        <f>SUMPRODUCT(INDEX(PortfolioRef[[SPY]:[PE]],MATCH(O$1,PortfolioRef[Reference '#]),0),AssetMonthlyReturns[[#This Row],[SPY]:[PE]])</f>
        <v>1.0493292615516736E-2</v>
      </c>
      <c r="P61" s="27">
        <f>IF(ISNUMBER(P60),P60*(1+PortfolioFrontier[[#This Row],[P4 Return]]),1+PortfolioFrontier[[#This Row],[P4 Return]])</f>
        <v>1.6032935381022355</v>
      </c>
      <c r="Q61" s="27">
        <f>MAX(Q60,PortfolioFrontier[[#This Row],[P4 Growth]])</f>
        <v>1.6032935381022355</v>
      </c>
      <c r="R61" s="27">
        <f>PortfolioFrontier[[#This Row],[P4 Growth]]/PortfolioFrontier[[#This Row],[P4 HWM]]-1</f>
        <v>0</v>
      </c>
      <c r="S61" s="28">
        <f>SUMPRODUCT(INDEX(PortfolioRef[[SPY]:[PE]],MATCH(S$1,PortfolioRef[Reference '#]),0),AssetMonthlyReturns[[#This Row],[SPY]:[PE]])</f>
        <v>8.8950673691920307E-3</v>
      </c>
      <c r="T61" s="27">
        <f>IF(ISNUMBER(T60),T60*(1+PortfolioFrontier[[#This Row],[P5 Return]]),1+PortfolioFrontier[[#This Row],[P5 Return]])</f>
        <v>1.5888508166896171</v>
      </c>
      <c r="U61" s="27">
        <f>MAX(U60,PortfolioFrontier[[#This Row],[P5 Growth]])</f>
        <v>1.5888508166896171</v>
      </c>
      <c r="V61" s="27">
        <f>PortfolioFrontier[[#This Row],[P5 Growth]]/PortfolioFrontier[[#This Row],[P5 HWM]]-1</f>
        <v>0</v>
      </c>
      <c r="W61" s="28">
        <f>SUMPRODUCT(INDEX(PortfolioRef[[SPY]:[PE]],MATCH(W$1,PortfolioRef[Reference '#]),0),AssetMonthlyReturns[[#This Row],[SPY]:[PE]])</f>
        <v>5.7111554779813115E-3</v>
      </c>
      <c r="X61" s="27">
        <f>IF(ISNUMBER(X60),X60*(1+PortfolioFrontier[[#This Row],[P6 Return]]),1+PortfolioFrontier[[#This Row],[P6 Return]])</f>
        <v>1.5522426298489305</v>
      </c>
      <c r="Y61" s="27">
        <f>MAX(Y60,PortfolioFrontier[[#This Row],[P6 Growth]])</f>
        <v>1.5524157676140891</v>
      </c>
      <c r="Z61" s="27">
        <f>PortfolioFrontier[[#This Row],[P6 Growth]]/PortfolioFrontier[[#This Row],[P6 HWM]]-1</f>
        <v>-1.1152796098223838E-4</v>
      </c>
      <c r="AA61" s="28">
        <f>SUMPRODUCT(INDEX(PortfolioRef[[SPY]:[PE]],MATCH(AA$1,PortfolioRef[Reference '#]),0),AssetMonthlyReturns[[#This Row],[SPY]:[PE]])</f>
        <v>3.4223632798488293E-3</v>
      </c>
      <c r="AB61" s="27">
        <f>IF(ISNUMBER(AB60),AB60*(1+PortfolioFrontier[[#This Row],[P7 Return]]),1+PortfolioFrontier[[#This Row],[P7 Return]])</f>
        <v>1.5625502361520713</v>
      </c>
      <c r="AC61" s="27">
        <f>MAX(AC60,PortfolioFrontier[[#This Row],[P7 Growth]])</f>
        <v>1.5684643246892791</v>
      </c>
      <c r="AD61" s="27">
        <f>PortfolioFrontier[[#This Row],[P7 Growth]]/PortfolioFrontier[[#This Row],[P7 HWM]]-1</f>
        <v>-3.7706235609658023E-3</v>
      </c>
      <c r="AE61" s="28">
        <f>SUMPRODUCT(INDEX(PortfolioRef[[SPY]:[PE]],MATCH(AE$1,PortfolioRef[Reference '#]),0),AssetMonthlyReturns[[#This Row],[SPY]:[PE]])</f>
        <v>8.2633702702810466E-3</v>
      </c>
      <c r="AF61" s="27">
        <f>IF(ISNUMBER(AF60),AF60*(1+PortfolioFrontier[[#This Row],[P8 Return]]),1+PortfolioFrontier[[#This Row],[P8 Return]])</f>
        <v>1.5613293792236282</v>
      </c>
      <c r="AG61" s="27">
        <f>MAX(AG60,PortfolioFrontier[[#This Row],[P8 Growth]])</f>
        <v>1.5613293792236282</v>
      </c>
      <c r="AH61" s="27">
        <f>PortfolioFrontier[[#This Row],[P8 Growth]]/PortfolioFrontier[[#This Row],[P8 HWM]]-1</f>
        <v>0</v>
      </c>
      <c r="AI61" s="28">
        <f>SUMPRODUCT(INDEX(PortfolioRef[[SPY]:[PE]],MATCH(AI$1,PortfolioRef[Reference '#]),0),AssetMonthlyReturns[[#This Row],[SPY]:[PE]])</f>
        <v>6.6651450239563429E-3</v>
      </c>
      <c r="AJ61" s="27">
        <f>IF(ISNUMBER(AJ60),AJ60*(1+PortfolioFrontier[[#This Row],[P9 Return]]),1+PortfolioFrontier[[#This Row],[P9 Return]])</f>
        <v>1.546970517834199</v>
      </c>
      <c r="AK61" s="27">
        <f>MAX(AK60,PortfolioFrontier[[#This Row],[P9 Growth]])</f>
        <v>1.546970517834199</v>
      </c>
      <c r="AL61" s="27">
        <f>PortfolioFrontier[[#This Row],[P9 Growth]]/PortfolioFrontier[[#This Row],[P9 HWM]]-1</f>
        <v>0</v>
      </c>
      <c r="AM61" s="28">
        <f>SUMPRODUCT(INDEX(PortfolioRef[[SPY]:[PE]],MATCH(AM$1,PortfolioRef[Reference '#]),0),AssetMonthlyReturns[[#This Row],[SPY]:[PE]])</f>
        <v>1.1335710817163456E-3</v>
      </c>
      <c r="AN61" s="27">
        <f>IF(ISNUMBER(AN60),AN60*(1+PortfolioFrontier[[#This Row],[P10 Return]]),1+PortfolioFrontier[[#This Row],[P10 Return]])</f>
        <v>1.5726739415326612</v>
      </c>
      <c r="AO61" s="27">
        <f>MAX(AO60,PortfolioFrontier[[#This Row],[P10 Growth]])</f>
        <v>1.5844358544170352</v>
      </c>
      <c r="AP61" s="27">
        <f>PortfolioFrontier[[#This Row],[P10 Growth]]/PortfolioFrontier[[#This Row],[P10 HWM]]-1</f>
        <v>-7.4234074239007963E-3</v>
      </c>
      <c r="AQ61" s="28">
        <f>SUMPRODUCT(INDEX(PortfolioRef[[SPY]:[PE]],MATCH(AQ$1,PortfolioRef[Reference '#]),0),AssetMonthlyReturns[[#This Row],[SPY]:[PE]])</f>
        <v>5.9745780721485644E-3</v>
      </c>
      <c r="AR61" s="27">
        <f>IF(ISNUMBER(AR60),AR60*(1+PortfolioFrontier[[#This Row],[P11 Return]]),1+PortfolioFrontier[[#This Row],[P11 Return]])</f>
        <v>1.5716914795714416</v>
      </c>
      <c r="AS61" s="27">
        <f>MAX(AS60,PortfolioFrontier[[#This Row],[P11 Growth]])</f>
        <v>1.5719663173230007</v>
      </c>
      <c r="AT61" s="27">
        <f>PortfolioFrontier[[#This Row],[P11 Growth]]/PortfolioFrontier[[#This Row],[P11 HWM]]-1</f>
        <v>-1.7483692145969787E-4</v>
      </c>
      <c r="AU61" s="28">
        <f>SUMPRODUCT(INDEX(PortfolioRef[[SPY]:[PE]],MATCH(AU$1,PortfolioRef[Reference '#]),0),AssetMonthlyReturns[[#This Row],[SPY]:[PE]])</f>
        <v>4.3763528258238624E-3</v>
      </c>
      <c r="AV61" s="27">
        <f>IF(ISNUMBER(AV60),AV60*(1+PortfolioFrontier[[#This Row],[P12 Return]]),1+PortfolioFrontier[[#This Row],[P12 Return]])</f>
        <v>1.5572642357500579</v>
      </c>
      <c r="AW61" s="27">
        <f>MAX(AW60,PortfolioFrontier[[#This Row],[P12 Growth]])</f>
        <v>1.5615888033980188</v>
      </c>
      <c r="AX61" s="27">
        <f>PortfolioFrontier[[#This Row],[P12 Growth]]/PortfolioFrontier[[#This Row],[P12 HWM]]-1</f>
        <v>-2.7693382781374121E-3</v>
      </c>
      <c r="AY61" s="28">
        <f>SUMPRODUCT(INDEX(PortfolioRef[[SPY]:[PE]],MATCH(AY$1,PortfolioRef[Reference '#]),0),AssetMonthlyReturns[[#This Row],[SPY]:[PE]])</f>
        <v>1.0815585062580782E-2</v>
      </c>
      <c r="AZ61" s="27">
        <f>IF(ISNUMBER(AZ60),AZ60*(1+PortfolioFrontier[[#This Row],[P13 Return]]),1+PortfolioFrontier[[#This Row],[P13 Return]])</f>
        <v>1.5699841557747247</v>
      </c>
      <c r="BA61" s="27">
        <f>MAX(BA60,PortfolioFrontier[[#This Row],[P13 Growth]])</f>
        <v>1.5699841557747247</v>
      </c>
      <c r="BB61" s="27">
        <f>PortfolioFrontier[[#This Row],[P13 Growth]]/PortfolioFrontier[[#This Row],[P13 HWM]]-1</f>
        <v>0</v>
      </c>
      <c r="BC61" s="28">
        <f>SUMPRODUCT(INDEX(PortfolioRef[[SPY]:[PE]],MATCH(BC$1,PortfolioRef[Reference '#]),0),AssetMonthlyReturns[[#This Row],[SPY]:[PE]])</f>
        <v>9.217359816256078E-3</v>
      </c>
      <c r="BD61" s="27">
        <f>IF(ISNUMBER(BD60),BD60*(1+PortfolioFrontier[[#This Row],[P14 Return]]),1+PortfolioFrontier[[#This Row],[P14 Return]])</f>
        <v>1.5560150631345717</v>
      </c>
      <c r="BE61" s="27">
        <f>MAX(BE60,PortfolioFrontier[[#This Row],[P14 Growth]])</f>
        <v>1.5560150631345717</v>
      </c>
      <c r="BF61" s="27">
        <f>PortfolioFrontier[[#This Row],[P14 Growth]]/PortfolioFrontier[[#This Row],[P14 HWM]]-1</f>
        <v>0</v>
      </c>
      <c r="BG61" s="28">
        <f>SUMPRODUCT(INDEX(PortfolioRef[[SPY]:[PE]],MATCH(BG$1,PortfolioRef[Reference '#]),0),AssetMonthlyReturns[[#This Row],[SPY]:[PE]])</f>
        <v>7.6191345699313752E-3</v>
      </c>
      <c r="BH61" s="27">
        <f>IF(ISNUMBER(BH60),BH60*(1+PortfolioFrontier[[#This Row],[P15 Return]]),1+PortfolioFrontier[[#This Row],[P15 Return]])</f>
        <v>1.5416199568877615</v>
      </c>
      <c r="BI61" s="27">
        <f>MAX(BI60,PortfolioFrontier[[#This Row],[P15 Growth]])</f>
        <v>1.5416199568877615</v>
      </c>
      <c r="BJ61" s="27">
        <f>PortfolioFrontier[[#This Row],[P15 Growth]]/PortfolioFrontier[[#This Row],[P15 HWM]]-1</f>
        <v>0</v>
      </c>
      <c r="BK61" s="28">
        <f>SUMPRODUCT(INDEX(PortfolioRef[[SPY]:[PE]],MATCH(BK$1,PortfolioRef[Reference '#]),0),AssetMonthlyReturns[[#This Row],[SPY]:[PE]])</f>
        <v>3.4812331327456203E-3</v>
      </c>
      <c r="BL61" s="27">
        <f>IF(ISNUMBER(BL60),BL60*(1+PortfolioFrontier[[#This Row],[P16 Return]]),1+PortfolioFrontier[[#This Row],[P16 Return]])</f>
        <v>1.5108019171045359</v>
      </c>
      <c r="BM61" s="27">
        <f>MAX(BM60,PortfolioFrontier[[#This Row],[P16 Growth]])</f>
        <v>1.5142283461568027</v>
      </c>
      <c r="BN61" s="27">
        <f>PortfolioFrontier[[#This Row],[P16 Growth]]/PortfolioFrontier[[#This Row],[P16 HWM]]-1</f>
        <v>-2.2628218927239763E-3</v>
      </c>
      <c r="BO61" s="28">
        <f>SUMPRODUCT(INDEX(PortfolioRef[[SPY]:[PE]],MATCH(BO$1,PortfolioRef[Reference '#]),0),AssetMonthlyReturns[[#This Row],[SPY]:[PE]])</f>
        <v>1.1924409346131383E-3</v>
      </c>
      <c r="BP61" s="27">
        <f>IF(ISNUMBER(BP60),BP60*(1+PortfolioFrontier[[#This Row],[P17 Return]]),1+PortfolioFrontier[[#This Row],[P17 Return]])</f>
        <v>1.5208405889661609</v>
      </c>
      <c r="BQ61" s="27">
        <f>MAX(BQ60,PortfolioFrontier[[#This Row],[P17 Growth]])</f>
        <v>1.529896032397015</v>
      </c>
      <c r="BR61" s="27">
        <f>PortfolioFrontier[[#This Row],[P17 Growth]]/PortfolioFrontier[[#This Row],[P17 HWM]]-1</f>
        <v>-5.9189926891085598E-3</v>
      </c>
      <c r="BS61" s="28">
        <f>SUMPRODUCT(INDEX(PortfolioRef[[SPY]:[PE]],MATCH(BS$1,PortfolioRef[Reference '#]),0),AssetMonthlyReturns[[#This Row],[SPY]:[PE]])</f>
        <v>6.0334479250453536E-3</v>
      </c>
      <c r="BT61" s="27">
        <f>IF(ISNUMBER(BT60),BT60*(1+PortfolioFrontier[[#This Row],[P18 Return]]),1+PortfolioFrontier[[#This Row],[P18 Return]])</f>
        <v>1.5199905195319208</v>
      </c>
      <c r="BU61" s="27">
        <f>MAX(BU60,PortfolioFrontier[[#This Row],[P18 Growth]])</f>
        <v>1.5199905195319208</v>
      </c>
      <c r="BV61" s="27">
        <f>PortfolioFrontier[[#This Row],[P18 Growth]]/PortfolioFrontier[[#This Row],[P18 HWM]]-1</f>
        <v>0</v>
      </c>
      <c r="BW61" s="28">
        <f>SUMPRODUCT(INDEX(PortfolioRef[[SPY]:[PE]],MATCH(BW$1,PortfolioRef[Reference '#]),0),AssetMonthlyReturns[[#This Row],[SPY]:[PE]])</f>
        <v>4.4352226787206517E-3</v>
      </c>
      <c r="BX61" s="27">
        <f>IF(ISNUMBER(BX60),BX60*(1+PortfolioFrontier[[#This Row],[P19 Return]]),1+PortfolioFrontier[[#This Row],[P19 Return]])</f>
        <v>1.505726843600427</v>
      </c>
      <c r="BY61" s="27">
        <f>MAX(BY60,PortfolioFrontier[[#This Row],[P19 Growth]])</f>
        <v>1.5076266877612507</v>
      </c>
      <c r="BZ61" s="27">
        <f>PortfolioFrontier[[#This Row],[P19 Growth]]/PortfolioFrontier[[#This Row],[P19 HWM]]-1</f>
        <v>-1.2601555651983176E-3</v>
      </c>
      <c r="CA61" s="28">
        <f>SUMPRODUCT(INDEX(PortfolioRef[[SPY]:[PE]],MATCH(CA$1,PortfolioRef[Reference '#]),0),AssetMonthlyReturns[[#This Row],[SPY]:[PE]])</f>
        <v>-1.0963512635193474E-3</v>
      </c>
      <c r="CB61" s="27">
        <f>IF(ISNUMBER(CB60),CB60*(1+PortfolioFrontier[[#This Row],[P20 Return]]),1+PortfolioFrontier[[#This Row],[P20 Return]])</f>
        <v>1.530699715514193</v>
      </c>
      <c r="CC61" s="27">
        <f>MAX(CC60,PortfolioFrontier[[#This Row],[P20 Growth]])</f>
        <v>1.5454882635874214</v>
      </c>
      <c r="CD61" s="27">
        <f>PortfolioFrontier[[#This Row],[P20 Growth]]/PortfolioFrontier[[#This Row],[P20 HWM]]-1</f>
        <v>-9.5688517484441293E-3</v>
      </c>
      <c r="CE61" s="28">
        <f>SUMPRODUCT(INDEX(PortfolioRef[[SPY]:[PE]],MATCH(CE$1,PortfolioRef[Reference '#]),0),AssetMonthlyReturns[[#This Row],[SPY]:[PE]])</f>
        <v>3.7446557269128714E-3</v>
      </c>
      <c r="CF61" s="27">
        <f>IF(ISNUMBER(CF60),CF60*(1+PortfolioFrontier[[#This Row],[P21 Return]]),1+PortfolioFrontier[[#This Row],[P21 Return]])</f>
        <v>1.5300844578809236</v>
      </c>
      <c r="CG61" s="27">
        <f>MAX(CG60,PortfolioFrontier[[#This Row],[P21 Growth]])</f>
        <v>1.5336507982876315</v>
      </c>
      <c r="CH61" s="27">
        <f>PortfolioFrontier[[#This Row],[P21 Growth]]/PortfolioFrontier[[#This Row],[P21 HWM]]-1</f>
        <v>-2.3253927234868632E-3</v>
      </c>
      <c r="CI61" s="28">
        <f>SUMPRODUCT(INDEX(PortfolioRef[[SPY]:[PE]],MATCH(CI$1,PortfolioRef[Reference '#]),0),AssetMonthlyReturns[[#This Row],[SPY]:[PE]])</f>
        <v>2.1464304805881695E-3</v>
      </c>
      <c r="CJ61" s="27">
        <f>IF(ISNUMBER(CJ60),CJ60*(1+PortfolioFrontier[[#This Row],[P22 Return]]),1+PortfolioFrontier[[#This Row],[P22 Return]])</f>
        <v>1.515752350418933</v>
      </c>
      <c r="CK61" s="27">
        <f>MAX(CK60,PortfolioFrontier[[#This Row],[P22 Growth]])</f>
        <v>1.5232433032030532</v>
      </c>
      <c r="CL61" s="27">
        <f>PortfolioFrontier[[#This Row],[P22 Growth]]/PortfolioFrontier[[#This Row],[P22 HWM]]-1</f>
        <v>-4.9177651189198368E-3</v>
      </c>
      <c r="CM61" s="28">
        <f>SUMPRODUCT(INDEX(PortfolioRef[[SPY]:[PE]],MATCH(CM$1,PortfolioRef[Reference '#]),0),AssetMonthlyReturns[[#This Row],[SPY]:[PE]])</f>
        <v>8.5856627173450887E-3</v>
      </c>
      <c r="CN61" s="27">
        <f>IF(ISNUMBER(CN60),CN60*(1+PortfolioFrontier[[#This Row],[P23 Return]]),1+PortfolioFrontier[[#This Row],[P23 Return]])</f>
        <v>1.528764986686552</v>
      </c>
      <c r="CO61" s="27">
        <f>MAX(CO60,PortfolioFrontier[[#This Row],[P23 Growth]])</f>
        <v>1.528764986686552</v>
      </c>
      <c r="CP61" s="27">
        <f>PortfolioFrontier[[#This Row],[P23 Growth]]/PortfolioFrontier[[#This Row],[P23 HWM]]-1</f>
        <v>0</v>
      </c>
      <c r="CQ61" s="28">
        <f>SUMPRODUCT(INDEX(PortfolioRef[[SPY]:[PE]],MATCH(CQ$1,PortfolioRef[Reference '#]),0),AssetMonthlyReturns[[#This Row],[SPY]:[PE]])</f>
        <v>6.987437471020385E-3</v>
      </c>
      <c r="CR61" s="27">
        <f>IF(ISNUMBER(CR60),CR60*(1+PortfolioFrontier[[#This Row],[P24 Return]]),1+PortfolioFrontier[[#This Row],[P24 Return]])</f>
        <v>1.5148736735620691</v>
      </c>
      <c r="CS61" s="27">
        <f>MAX(CS60,PortfolioFrontier[[#This Row],[P24 Growth]])</f>
        <v>1.5148736735620691</v>
      </c>
      <c r="CT61" s="27">
        <f>PortfolioFrontier[[#This Row],[P24 Growth]]/PortfolioFrontier[[#This Row],[P24 HWM]]-1</f>
        <v>0</v>
      </c>
      <c r="CU61" s="28">
        <f>SUMPRODUCT(INDEX(PortfolioRef[[SPY]:[PE]],MATCH(CU$1,PortfolioRef[Reference '#]),0),AssetMonthlyReturns[[#This Row],[SPY]:[PE]])</f>
        <v>5.3892122246956822E-3</v>
      </c>
      <c r="CV61" s="27">
        <f>IF(ISNUMBER(CV60),CV60*(1+PortfolioFrontier[[#This Row],[P25 Return]]),1+PortfolioFrontier[[#This Row],[P25 Return]])</f>
        <v>1.5005750667733757</v>
      </c>
      <c r="CW61" s="27">
        <f>MAX(CW60,PortfolioFrontier[[#This Row],[P25 Growth]])</f>
        <v>1.5009613938237978</v>
      </c>
      <c r="CX61" s="27">
        <f>PortfolioFrontier[[#This Row],[P25 Growth]]/PortfolioFrontier[[#This Row],[P25 HWM]]-1</f>
        <v>-2.5738640048422745E-4</v>
      </c>
      <c r="CY61" s="28">
        <f>SUMPRODUCT(INDEX(PortfolioRef[[SPY]:[PE]],MATCH(CY$1,PortfolioRef[Reference '#]),0),AssetMonthlyReturns[[#This Row],[SPY]:[PE]])</f>
        <v>1.4558635287803877E-3</v>
      </c>
      <c r="CZ61" s="27">
        <f>IF(ISNUMBER(CZ60),CZ60*(1+PortfolioFrontier[[#This Row],[P26 Return]]),1+PortfolioFrontier[[#This Row],[P26 Return]])</f>
        <v>1.5399981217529757</v>
      </c>
      <c r="DA61" s="27">
        <f>MAX(DA60,PortfolioFrontier[[#This Row],[P26 Growth]])</f>
        <v>1.5492645625460923</v>
      </c>
      <c r="DB61" s="27">
        <f>PortfolioFrontier[[#This Row],[P26 Growth]]/PortfolioFrontier[[#This Row],[P26 HWM]]-1</f>
        <v>-5.9811868270503998E-3</v>
      </c>
      <c r="DC61" s="28">
        <f>SUMPRODUCT(INDEX(PortfolioRef[[SPY]:[PE]],MATCH(DC$1,PortfolioRef[Reference '#]),0),AssetMonthlyReturns[[#This Row],[SPY]:[PE]])</f>
        <v>-1.4236171754431463E-4</v>
      </c>
      <c r="DD61" s="27">
        <f>IF(ISNUMBER(DD60),DD60*(1+PortfolioFrontier[[#This Row],[P27 Return]]),1+PortfolioFrontier[[#This Row],[P27 Return]])</f>
        <v>1.5255992013878941</v>
      </c>
      <c r="DE61" s="27">
        <f>MAX(DE60,PortfolioFrontier[[#This Row],[P27 Growth]])</f>
        <v>1.5387851481668917</v>
      </c>
      <c r="DF61" s="27">
        <f>PortfolioFrontier[[#This Row],[P27 Growth]]/PortfolioFrontier[[#This Row],[P27 HWM]]-1</f>
        <v>-8.5690629355927861E-3</v>
      </c>
      <c r="DG61" s="28">
        <f>SUMPRODUCT(INDEX(PortfolioRef[[SPY]:[PE]],MATCH(DG$1,PortfolioRef[Reference '#]),0),AssetMonthlyReturns[[#This Row],[SPY]:[PE]])</f>
        <v>6.2968705192126074E-3</v>
      </c>
      <c r="DH61" s="27">
        <f>IF(ISNUMBER(DH60),DH60*(1+PortfolioFrontier[[#This Row],[P28 Return]]),1+PortfolioFrontier[[#This Row],[P28 Return]])</f>
        <v>1.5389115004816456</v>
      </c>
      <c r="DI61" s="27">
        <f>MAX(DI60,PortfolioFrontier[[#This Row],[P28 Growth]])</f>
        <v>1.5389115004816456</v>
      </c>
      <c r="DJ61" s="27">
        <f>PortfolioFrontier[[#This Row],[P28 Growth]]/PortfolioFrontier[[#This Row],[P28 HWM]]-1</f>
        <v>0</v>
      </c>
      <c r="DK61" s="28">
        <f>SUMPRODUCT(INDEX(PortfolioRef[[SPY]:[PE]],MATCH(DK$1,PortfolioRef[Reference '#]),0),AssetMonthlyReturns[[#This Row],[SPY]:[PE]])</f>
        <v>4.6986452728879045E-3</v>
      </c>
      <c r="DL61" s="27">
        <f>IF(ISNUMBER(DL60),DL60*(1+PortfolioFrontier[[#This Row],[P29 Return]]),1+PortfolioFrontier[[#This Row],[P29 Return]])</f>
        <v>1.5249543053634533</v>
      </c>
      <c r="DM61" s="27">
        <f>MAX(DM60,PortfolioFrontier[[#This Row],[P29 Growth]])</f>
        <v>1.5269745241127868</v>
      </c>
      <c r="DN61" s="27">
        <f>PortfolioFrontier[[#This Row],[P29 Growth]]/PortfolioFrontier[[#This Row],[P29 HWM]]-1</f>
        <v>-1.3230205988585819E-3</v>
      </c>
      <c r="DO61" s="28">
        <f>SUMPRODUCT(INDEX(PortfolioRef[[SPY]:[PE]],MATCH(DO$1,PortfolioRef[Reference '#]),0),AssetMonthlyReturns[[#This Row],[SPY]:[PE]])</f>
        <v>3.1004200265632022E-3</v>
      </c>
      <c r="DP61" s="27">
        <f>IF(ISNUMBER(DP60),DP60*(1+PortfolioFrontier[[#This Row],[P30 Return]]),1+PortfolioFrontier[[#This Row],[P30 Return]])</f>
        <v>1.5105867718528576</v>
      </c>
      <c r="DQ61" s="27">
        <f>MAX(DQ60,PortfolioFrontier[[#This Row],[P30 Growth]])</f>
        <v>1.5165261474978811</v>
      </c>
      <c r="DR61" s="27">
        <f>PortfolioFrontier[[#This Row],[P30 Growth]]/PortfolioFrontier[[#This Row],[P30 HWM]]-1</f>
        <v>-3.9164347115431264E-3</v>
      </c>
      <c r="DS61" s="28">
        <f>SUMPRODUCT(INDEX(PortfolioRef[[SPY]:[PE]],MATCH(DS$1,PortfolioRef[Reference '#]),0),AssetMonthlyReturns[[#This Row],[SPY]:[PE]])</f>
        <v>1.1137877509644824E-2</v>
      </c>
      <c r="DT61" s="27">
        <f>IF(ISNUMBER(DT60),DT60*(1+PortfolioFrontier[[#This Row],[P31 Return]]),1+PortfolioFrontier[[#This Row],[P31 Return]])</f>
        <v>1.5371138108567397</v>
      </c>
      <c r="DU61" s="27">
        <f>MAX(DU60,PortfolioFrontier[[#This Row],[P31 Growth]])</f>
        <v>1.5371138108567397</v>
      </c>
      <c r="DV61" s="27">
        <f>PortfolioFrontier[[#This Row],[P31 Growth]]/PortfolioFrontier[[#This Row],[P31 HWM]]-1</f>
        <v>0</v>
      </c>
      <c r="DW61" s="28">
        <f>SUMPRODUCT(INDEX(PortfolioRef[[SPY]:[PE]],MATCH(DW$1,PortfolioRef[Reference '#]),0),AssetMonthlyReturns[[#This Row],[SPY]:[PE]])</f>
        <v>9.5396522633201201E-3</v>
      </c>
      <c r="DX61" s="27">
        <f>IF(ISNUMBER(DX60),DX60*(1+PortfolioFrontier[[#This Row],[P32 Return]]),1+PortfolioFrontier[[#This Row],[P32 Return]])</f>
        <v>1.5236076572694179</v>
      </c>
      <c r="DY61" s="27">
        <f>MAX(DY60,PortfolioFrontier[[#This Row],[P32 Growth]])</f>
        <v>1.5236076572694179</v>
      </c>
      <c r="DZ61" s="27">
        <f>PortfolioFrontier[[#This Row],[P32 Growth]]/PortfolioFrontier[[#This Row],[P32 HWM]]-1</f>
        <v>0</v>
      </c>
      <c r="EA61" s="28">
        <f>SUMPRODUCT(INDEX(PortfolioRef[[SPY]:[PE]],MATCH(EA$1,PortfolioRef[Reference '#]),0),AssetMonthlyReturns[[#This Row],[SPY]:[PE]])</f>
        <v>7.9414270169954181E-3</v>
      </c>
      <c r="EB61" s="27">
        <f>IF(ISNUMBER(EB60),EB60*(1+PortfolioFrontier[[#This Row],[P33 Return]]),1+PortfolioFrontier[[#This Row],[P33 Return]])</f>
        <v>1.5096796183811125</v>
      </c>
      <c r="EC61" s="27">
        <f>MAX(EC60,PortfolioFrontier[[#This Row],[P33 Growth]])</f>
        <v>1.5096796183811125</v>
      </c>
      <c r="ED61" s="27">
        <f>PortfolioFrontier[[#This Row],[P33 Growth]]/PortfolioFrontier[[#This Row],[P33 HWM]]-1</f>
        <v>0</v>
      </c>
      <c r="EE61" s="28">
        <f>SUMPRODUCT(INDEX(PortfolioRef[[SPY]:[PE]],MATCH(EE$1,PortfolioRef[Reference '#]),0),AssetMonthlyReturns[[#This Row],[SPY]:[PE]])</f>
        <v>1.2513107875099293E-3</v>
      </c>
      <c r="EF61" s="27">
        <f>IF(ISNUMBER(EF60),EF60*(1+PortfolioFrontier[[#This Row],[P34 Return]]),1+PortfolioFrontier[[#This Row],[P34 Return]])</f>
        <v>1.470012234029711</v>
      </c>
      <c r="EG61" s="27">
        <f>MAX(EG60,PortfolioFrontier[[#This Row],[P34 Growth]])</f>
        <v>1.4765302407889778</v>
      </c>
      <c r="EH61" s="27">
        <f>PortfolioFrontier[[#This Row],[P34 Growth]]/PortfolioFrontier[[#This Row],[P34 HWM]]-1</f>
        <v>-4.4144078998231695E-3</v>
      </c>
      <c r="EI61" s="28">
        <f>SUMPRODUCT(INDEX(PortfolioRef[[SPY]:[PE]],MATCH(EI$1,PortfolioRef[Reference '#]),0),AssetMonthlyReturns[[#This Row],[SPY]:[PE]])</f>
        <v>-1.0374814106225529E-3</v>
      </c>
      <c r="EJ61" s="27">
        <f>IF(ISNUMBER(EJ60),EJ60*(1+PortfolioFrontier[[#This Row],[P35 Return]]),1+PortfolioFrontier[[#This Row],[P35 Return]])</f>
        <v>1.4797862896900762</v>
      </c>
      <c r="EK61" s="27">
        <f>MAX(EK60,PortfolioFrontier[[#This Row],[P35 Growth]])</f>
        <v>1.4918217915739458</v>
      </c>
      <c r="EL61" s="27">
        <f>PortfolioFrontier[[#This Row],[P35 Growth]]/PortfolioFrontier[[#This Row],[P35 HWM]]-1</f>
        <v>-8.0676538926084396E-3</v>
      </c>
      <c r="EM61" s="28">
        <f>SUMPRODUCT(INDEX(PortfolioRef[[SPY]:[PE]],MATCH(EM$1,PortfolioRef[Reference '#]),0),AssetMonthlyReturns[[#This Row],[SPY]:[PE]])</f>
        <v>3.8035255798096624E-3</v>
      </c>
      <c r="EN61" s="27">
        <f>IF(ISNUMBER(EN60),EN60*(1+PortfolioFrontier[[#This Row],[P36 Return]]),1+PortfolioFrontier[[#This Row],[P36 Return]])</f>
        <v>1.4792865067735659</v>
      </c>
      <c r="EO61" s="27">
        <f>MAX(EO60,PortfolioFrontier[[#This Row],[P36 Growth]])</f>
        <v>1.4804961603206115</v>
      </c>
      <c r="EP61" s="27">
        <f>PortfolioFrontier[[#This Row],[P36 Growth]]/PortfolioFrontier[[#This Row],[P36 HWM]]-1</f>
        <v>-8.1705956385835776E-4</v>
      </c>
      <c r="EQ61" s="28">
        <f>SUMPRODUCT(INDEX(PortfolioRef[[SPY]:[PE]],MATCH(EQ$1,PortfolioRef[Reference '#]),0),AssetMonthlyReturns[[#This Row],[SPY]:[PE]])</f>
        <v>2.2053003334849604E-3</v>
      </c>
      <c r="ER61" s="27">
        <f>IF(ISNUMBER(ER60),ER60*(1+PortfolioFrontier[[#This Row],[P37 Return]]),1+PortfolioFrontier[[#This Row],[P37 Return]])</f>
        <v>1.465128732503318</v>
      </c>
      <c r="ES61" s="27">
        <f>MAX(ES60,PortfolioFrontier[[#This Row],[P37 Growth]])</f>
        <v>1.4701445706983811</v>
      </c>
      <c r="ET61" s="27">
        <f>PortfolioFrontier[[#This Row],[P37 Growth]]/PortfolioFrontier[[#This Row],[P37 HWM]]-1</f>
        <v>-3.4117992849372891E-3</v>
      </c>
      <c r="EU61" s="28">
        <f>SUMPRODUCT(INDEX(PortfolioRef[[SPY]:[PE]],MATCH(EU$1,PortfolioRef[Reference '#]),0),AssetMonthlyReturns[[#This Row],[SPY]:[PE]])</f>
        <v>-3.3262736087550388E-3</v>
      </c>
      <c r="EV61" s="27">
        <f>IF(ISNUMBER(EV60),EV60*(1+PortfolioFrontier[[#This Row],[P38 Return]]),1+PortfolioFrontier[[#This Row],[P38 Return]])</f>
        <v>1.4893851036040842</v>
      </c>
      <c r="EW61" s="27">
        <f>MAX(EW60,PortfolioFrontier[[#This Row],[P38 Growth]])</f>
        <v>1.5070394500851396</v>
      </c>
      <c r="EX61" s="27">
        <f>PortfolioFrontier[[#This Row],[P38 Growth]]/PortfolioFrontier[[#This Row],[P38 HWM]]-1</f>
        <v>-1.1714588148344807E-2</v>
      </c>
      <c r="EY61" s="28">
        <f>SUMPRODUCT(INDEX(PortfolioRef[[SPY]:[PE]],MATCH(EY$1,PortfolioRef[Reference '#]),0),AssetMonthlyReturns[[#This Row],[SPY]:[PE]])</f>
        <v>1.5147333816771804E-3</v>
      </c>
      <c r="EZ61" s="27">
        <f>IF(ISNUMBER(EZ60),EZ60*(1+PortfolioFrontier[[#This Row],[P39 Return]]),1+PortfolioFrontier[[#This Row],[P39 Return]])</f>
        <v>1.4891165012901739</v>
      </c>
      <c r="FA61" s="27">
        <f>MAX(FA60,PortfolioFrontier[[#This Row],[P39 Growth]])</f>
        <v>1.495812116216056</v>
      </c>
      <c r="FB61" s="27">
        <f>PortfolioFrontier[[#This Row],[P39 Growth]]/PortfolioFrontier[[#This Row],[P39 HWM]]-1</f>
        <v>-4.4762406008717059E-3</v>
      </c>
      <c r="FC61" s="28">
        <f>SUMPRODUCT(INDEX(PortfolioRef[[SPY]:[PE]],MATCH(FC$1,PortfolioRef[Reference '#]),0),AssetMonthlyReturns[[#This Row],[SPY]:[PE]])</f>
        <v>-8.349186464752192E-5</v>
      </c>
      <c r="FD61" s="27">
        <f>IF(ISNUMBER(FD60),FD60*(1+PortfolioFrontier[[#This Row],[P40 Return]]),1+PortfolioFrontier[[#This Row],[P40 Return]])</f>
        <v>1.4748903208341231</v>
      </c>
      <c r="FE61" s="27">
        <f>MAX(FE60,PortfolioFrontier[[#This Row],[P40 Growth]])</f>
        <v>1.4853867828208152</v>
      </c>
      <c r="FF61" s="27">
        <f>PortfolioFrontier[[#This Row],[P40 Growth]]/PortfolioFrontier[[#This Row],[P40 HWM]]-1</f>
        <v>-7.0664840350597169E-3</v>
      </c>
      <c r="FG61" s="28">
        <f>SUMPRODUCT(INDEX(PortfolioRef[[SPY]:[PE]],MATCH(FG$1,PortfolioRef[Reference '#]),0),AssetMonthlyReturns[[#This Row],[SPY]:[PE]])</f>
        <v>6.3557403721093966E-3</v>
      </c>
      <c r="FH61" s="27">
        <f>IF(ISNUMBER(FH60),FH60*(1+PortfolioFrontier[[#This Row],[P41 Return]]),1+PortfolioFrontier[[#This Row],[P41 Return]])</f>
        <v>1.4881640257540389</v>
      </c>
      <c r="FI61" s="27">
        <f>MAX(FI60,PortfolioFrontier[[#This Row],[P41 Growth]])</f>
        <v>1.4881640257540389</v>
      </c>
      <c r="FJ61" s="27">
        <f>PortfolioFrontier[[#This Row],[P41 Growth]]/PortfolioFrontier[[#This Row],[P41 HWM]]-1</f>
        <v>0</v>
      </c>
      <c r="FK61" s="28">
        <f>SUMPRODUCT(INDEX(PortfolioRef[[SPY]:[PE]],MATCH(FK$1,PortfolioRef[Reference '#]),0),AssetMonthlyReturns[[#This Row],[SPY]:[PE]])</f>
        <v>4.7575151257846938E-3</v>
      </c>
      <c r="FL61" s="27">
        <f>IF(ISNUMBER(FL60),FL60*(1+PortfolioFrontier[[#This Row],[P42 Return]]),1+PortfolioFrontier[[#This Row],[P42 Return]])</f>
        <v>1.4743617116574086</v>
      </c>
      <c r="FM61" s="27">
        <f>MAX(FM60,PortfolioFrontier[[#This Row],[P42 Growth]])</f>
        <v>1.4743617116574086</v>
      </c>
      <c r="FN61" s="27">
        <f>PortfolioFrontier[[#This Row],[P42 Growth]]/PortfolioFrontier[[#This Row],[P42 HWM]]-1</f>
        <v>0</v>
      </c>
      <c r="FO61" s="28">
        <f>SUMPRODUCT(INDEX(PortfolioRef[[SPY]:[PE]],MATCH(FO$1,PortfolioRef[Reference '#]),0),AssetMonthlyReturns[[#This Row],[SPY]:[PE]])</f>
        <v>3.1592898794599914E-3</v>
      </c>
      <c r="FP61" s="27">
        <f>IF(ISNUMBER(FP60),FP60*(1+PortfolioFrontier[[#This Row],[P43 Return]]),1+PortfolioFrontier[[#This Row],[P43 Return]])</f>
        <v>1.4601702607914648</v>
      </c>
      <c r="FQ61" s="27">
        <f>MAX(FQ60,PortfolioFrontier[[#This Row],[P43 Growth]])</f>
        <v>1.4636964340617684</v>
      </c>
      <c r="FR61" s="27">
        <f>PortfolioFrontier[[#This Row],[P43 Growth]]/PortfolioFrontier[[#This Row],[P43 HWM]]-1</f>
        <v>-2.4090878328633103E-3</v>
      </c>
      <c r="FS61" s="28">
        <f>SUMPRODUCT(INDEX(PortfolioRef[[SPY]:[PE]],MATCH(FS$1,PortfolioRef[Reference '#]),0),AssetMonthlyReturns[[#This Row],[SPY]:[PE]])</f>
        <v>-7.7405881645530527E-4</v>
      </c>
      <c r="FT61" s="27">
        <f>IF(ISNUMBER(FT60),FT60*(1+PortfolioFrontier[[#This Row],[P44 Return]]),1+PortfolioFrontier[[#This Row],[P44 Return]])</f>
        <v>1.4987705053243909</v>
      </c>
      <c r="FU61" s="27">
        <f>MAX(FU60,PortfolioFrontier[[#This Row],[P44 Growth]])</f>
        <v>1.5110540295970867</v>
      </c>
      <c r="FV61" s="27">
        <f>PortfolioFrontier[[#This Row],[P44 Growth]]/PortfolioFrontier[[#This Row],[P44 HWM]]-1</f>
        <v>-8.1291099008359291E-3</v>
      </c>
      <c r="FW61" s="28">
        <f>SUMPRODUCT(INDEX(PortfolioRef[[SPY]:[PE]],MATCH(FW$1,PortfolioRef[Reference '#]),0),AssetMonthlyReturns[[#This Row],[SPY]:[PE]])</f>
        <v>-2.3722840627800074E-3</v>
      </c>
      <c r="FX61" s="27">
        <f>IF(ISNUMBER(FX60),FX60*(1+PortfolioFrontier[[#This Row],[P45 Return]]),1+PortfolioFrontier[[#This Row],[P45 Return]])</f>
        <v>1.4844775297130863</v>
      </c>
      <c r="FY61" s="27">
        <f>MAX(FY60,PortfolioFrontier[[#This Row],[P45 Growth]])</f>
        <v>1.5005557702844359</v>
      </c>
      <c r="FZ61" s="27">
        <f>PortfolioFrontier[[#This Row],[P45 Growth]]/PortfolioFrontier[[#This Row],[P45 HWM]]-1</f>
        <v>-1.0714857048133464E-2</v>
      </c>
      <c r="GA61" s="28">
        <f>SUMPRODUCT(INDEX(PortfolioRef[[SPY]:[PE]],MATCH(GA$1,PortfolioRef[Reference '#]),0),AssetMonthlyReturns[[#This Row],[SPY]:[PE]])</f>
        <v>4.0669481739769144E-3</v>
      </c>
      <c r="GB61" s="27">
        <f>IF(ISNUMBER(GB60),GB60*(1+PortfolioFrontier[[#This Row],[P46 Return]]),1+PortfolioFrontier[[#This Row],[P46 Return]])</f>
        <v>1.498047374102182</v>
      </c>
      <c r="GC61" s="27">
        <f>MAX(GC60,PortfolioFrontier[[#This Row],[P46 Growth]])</f>
        <v>1.4993659754264861</v>
      </c>
      <c r="GD61" s="27">
        <f>PortfolioFrontier[[#This Row],[P46 Growth]]/PortfolioFrontier[[#This Row],[P46 HWM]]-1</f>
        <v>-8.7943927360967233E-4</v>
      </c>
      <c r="GE61" s="28">
        <f>SUMPRODUCT(INDEX(PortfolioRef[[SPY]:[PE]],MATCH(GE$1,PortfolioRef[Reference '#]),0),AssetMonthlyReturns[[#This Row],[SPY]:[PE]])</f>
        <v>2.4687229276522116E-3</v>
      </c>
      <c r="GF61" s="27">
        <f>IF(ISNUMBER(GF60),GF60*(1+PortfolioFrontier[[#This Row],[P47 Return]]),1+PortfolioFrontier[[#This Row],[P47 Return]])</f>
        <v>1.4841791005189464</v>
      </c>
      <c r="GG61" s="27">
        <f>MAX(GG60,PortfolioFrontier[[#This Row],[P47 Growth]])</f>
        <v>1.4893530029202828</v>
      </c>
      <c r="GH61" s="27">
        <f>PortfolioFrontier[[#This Row],[P47 Growth]]/PortfolioFrontier[[#This Row],[P47 HWM]]-1</f>
        <v>-3.4739261888830919E-3</v>
      </c>
      <c r="GI61" s="28">
        <f>SUMPRODUCT(INDEX(PortfolioRef[[SPY]:[PE]],MATCH(GI$1,PortfolioRef[Reference '#]),0),AssetMonthlyReturns[[#This Row],[SPY]:[PE]])</f>
        <v>8.7049768132750919E-4</v>
      </c>
      <c r="GJ61" s="27">
        <f>IF(ISNUMBER(GJ60),GJ60*(1+PortfolioFrontier[[#This Row],[P48 Return]]),1+PortfolioFrontier[[#This Row],[P48 Return]])</f>
        <v>1.4699187611174815</v>
      </c>
      <c r="GK61" s="27">
        <f>MAX(GK60,PortfolioFrontier[[#This Row],[P48 Growth]])</f>
        <v>1.4788885326165813</v>
      </c>
      <c r="GL61" s="27">
        <f>PortfolioFrontier[[#This Row],[P48 Growth]]/PortfolioFrontier[[#This Row],[P48 HWM]]-1</f>
        <v>-6.0652113403230068E-3</v>
      </c>
      <c r="GM61" s="28">
        <f>SUMPRODUCT(INDEX(PortfolioRef[[SPY]:[PE]],MATCH(GM$1,PortfolioRef[Reference '#]),0),AssetMonthlyReturns[[#This Row],[SPY]:[PE]])</f>
        <v>8.9079551644091308E-3</v>
      </c>
      <c r="GN61" s="27">
        <f>IF(ISNUMBER(GN60),GN60*(1+PortfolioFrontier[[#This Row],[P49 Return]]),1+PortfolioFrontier[[#This Row],[P49 Return]])</f>
        <v>1.4966334531415237</v>
      </c>
      <c r="GO61" s="27">
        <f>MAX(GO60,PortfolioFrontier[[#This Row],[P49 Growth]])</f>
        <v>1.4966334531415237</v>
      </c>
      <c r="GP61" s="27">
        <f>PortfolioFrontier[[#This Row],[P49 Growth]]/PortfolioFrontier[[#This Row],[P49 HWM]]-1</f>
        <v>0</v>
      </c>
      <c r="GQ61" s="28">
        <f>SUMPRODUCT(INDEX(PortfolioRef[[SPY]:[PE]],MATCH(GQ$1,PortfolioRef[Reference '#]),0),AssetMonthlyReturns[[#This Row],[SPY]:[PE]])</f>
        <v>7.309729918084428E-3</v>
      </c>
      <c r="GR61" s="27">
        <f>IF(ISNUMBER(GR60),GR60*(1+PortfolioFrontier[[#This Row],[P50 Return]]),1+PortfolioFrontier[[#This Row],[P50 Return]])</f>
        <v>1.4831991508556575</v>
      </c>
      <c r="GS61" s="27">
        <f>MAX(GS60,PortfolioFrontier[[#This Row],[P50 Growth]])</f>
        <v>1.4831991508556575</v>
      </c>
      <c r="GT61" s="27">
        <f>PortfolioFrontier[[#This Row],[P50 Growth]]/PortfolioFrontier[[#This Row],[P50 HWM]]-1</f>
        <v>0</v>
      </c>
      <c r="GU61" s="28">
        <f>SUMPRODUCT(INDEX(PortfolioRef[[SPY]:[PE]],MATCH(GU$1,PortfolioRef[Reference '#]),0),AssetMonthlyReturns[[#This Row],[SPY]:[PE]])</f>
        <v>5.7115046717597243E-3</v>
      </c>
      <c r="GV61" s="27">
        <f>IF(ISNUMBER(GV60),GV60*(1+PortfolioFrontier[[#This Row],[P51 Return]]),1+PortfolioFrontier[[#This Row],[P51 Return]])</f>
        <v>1.4693614366108871</v>
      </c>
      <c r="GW61" s="27">
        <f>MAX(GW60,PortfolioFrontier[[#This Row],[P51 Growth]])</f>
        <v>1.4693614366108871</v>
      </c>
      <c r="GX61" s="27">
        <f>PortfolioFrontier[[#This Row],[P51 Growth]]/PortfolioFrontier[[#This Row],[P51 HWM]]-1</f>
        <v>0</v>
      </c>
      <c r="GY61" s="28">
        <f>SUMPRODUCT(INDEX(PortfolioRef[[SPY]:[PE]],MATCH(GY$1,PortfolioRef[Reference '#]),0),AssetMonthlyReturns[[#This Row],[SPY]:[PE]])</f>
        <v>1.7781559758444298E-3</v>
      </c>
      <c r="GZ61" s="27">
        <f>IF(ISNUMBER(GZ60),GZ60*(1+PortfolioFrontier[[#This Row],[P52 Return]]),1+PortfolioFrontier[[#This Row],[P52 Return]])</f>
        <v>1.5077540311116981</v>
      </c>
      <c r="HA61" s="27">
        <f>MAX(HA60,PortfolioFrontier[[#This Row],[P52 Growth]])</f>
        <v>1.5146277809720401</v>
      </c>
      <c r="HB61" s="27">
        <f>PortfolioFrontier[[#This Row],[P52 Growth]]/PortfolioFrontier[[#This Row],[P52 HWM]]-1</f>
        <v>-4.5382436178019736E-3</v>
      </c>
      <c r="HC61" s="28">
        <f>SUMPRODUCT(INDEX(PortfolioRef[[SPY]:[PE]],MATCH(HC$1,PortfolioRef[Reference '#]),0),AssetMonthlyReturns[[#This Row],[SPY]:[PE]])</f>
        <v>1.799307295197266E-4</v>
      </c>
      <c r="HD61" s="27">
        <f>IF(ISNUMBER(HD60),HD60*(1+PortfolioFrontier[[#This Row],[P53 Return]]),1+PortfolioFrontier[[#This Row],[P53 Return]])</f>
        <v>1.4938213661968769</v>
      </c>
      <c r="HE61" s="27">
        <f>MAX(HE60,PortfolioFrontier[[#This Row],[P53 Growth]])</f>
        <v>1.5045461233986515</v>
      </c>
      <c r="HF61" s="27">
        <f>PortfolioFrontier[[#This Row],[P53 Growth]]/PortfolioFrontier[[#This Row],[P53 HWM]]-1</f>
        <v>-7.1282342461845838E-3</v>
      </c>
      <c r="HG61" s="28">
        <f>SUMPRODUCT(INDEX(PortfolioRef[[SPY]:[PE]],MATCH(HG$1,PortfolioRef[Reference '#]),0),AssetMonthlyReturns[[#This Row],[SPY]:[PE]])</f>
        <v>-1.4182945168049756E-3</v>
      </c>
      <c r="HH61" s="27">
        <f>IF(ISNUMBER(HH60),HH60*(1+PortfolioFrontier[[#This Row],[P54 Return]]),1+PortfolioFrontier[[#This Row],[P54 Return]])</f>
        <v>1.4794937507449368</v>
      </c>
      <c r="HI61" s="27">
        <f>MAX(HI60,PortfolioFrontier[[#This Row],[P54 Growth]])</f>
        <v>1.4940080737086392</v>
      </c>
      <c r="HJ61" s="27">
        <f>PortfolioFrontier[[#This Row],[P54 Growth]]/PortfolioFrontier[[#This Row],[P54 HWM]]-1</f>
        <v>-9.7150231107338003E-3</v>
      </c>
      <c r="HK61" s="28">
        <f>SUMPRODUCT(INDEX(PortfolioRef[[SPY]:[PE]],MATCH(HK$1,PortfolioRef[Reference '#]),0),AssetMonthlyReturns[[#This Row],[SPY]:[PE]])</f>
        <v>6.6191629662766486E-3</v>
      </c>
      <c r="HL61" s="27">
        <f>IF(ISNUMBER(HL60),HL60*(1+PortfolioFrontier[[#This Row],[P55 Return]]),1+PortfolioFrontier[[#This Row],[P55 Return]])</f>
        <v>1.5065675043718743</v>
      </c>
      <c r="HM61" s="27">
        <f>MAX(HM60,PortfolioFrontier[[#This Row],[P55 Growth]])</f>
        <v>1.5065675043718743</v>
      </c>
      <c r="HN61" s="27">
        <f>PortfolioFrontier[[#This Row],[P55 Growth]]/PortfolioFrontier[[#This Row],[P55 HWM]]-1</f>
        <v>0</v>
      </c>
      <c r="HO61" s="28">
        <f>SUMPRODUCT(INDEX(PortfolioRef[[SPY]:[PE]],MATCH(HO$1,PortfolioRef[Reference '#]),0),AssetMonthlyReturns[[#This Row],[SPY]:[PE]])</f>
        <v>5.0209377199519466E-3</v>
      </c>
      <c r="HP61" s="27">
        <f>IF(ISNUMBER(HP60),HP60*(1+PortfolioFrontier[[#This Row],[P56 Return]]),1+PortfolioFrontier[[#This Row],[P56 Return]])</f>
        <v>1.4930697586723083</v>
      </c>
      <c r="HQ61" s="27">
        <f>MAX(HQ60,PortfolioFrontier[[#This Row],[P56 Growth]])</f>
        <v>1.4930697586723083</v>
      </c>
      <c r="HR61" s="27">
        <f>PortfolioFrontier[[#This Row],[P56 Growth]]/PortfolioFrontier[[#This Row],[P56 HWM]]-1</f>
        <v>0</v>
      </c>
      <c r="HS61" s="28">
        <f>SUMPRODUCT(INDEX(PortfolioRef[[SPY]:[PE]],MATCH(HS$1,PortfolioRef[Reference '#]),0),AssetMonthlyReturns[[#This Row],[SPY]:[PE]])</f>
        <v>3.4227124736272434E-3</v>
      </c>
      <c r="HT61" s="27">
        <f>IF(ISNUMBER(HT60),HT60*(1+PortfolioFrontier[[#This Row],[P57 Return]]),1+PortfolioFrontier[[#This Row],[P57 Return]])</f>
        <v>1.4791655949697273</v>
      </c>
      <c r="HU61" s="27">
        <f>MAX(HU60,PortfolioFrontier[[#This Row],[P57 Growth]])</f>
        <v>1.4828304236177672</v>
      </c>
      <c r="HV61" s="27">
        <f>PortfolioFrontier[[#This Row],[P57 Growth]]/PortfolioFrontier[[#This Row],[P57 HWM]]-1</f>
        <v>-2.4715089397063794E-3</v>
      </c>
      <c r="HW61" s="28">
        <f>SUMPRODUCT(INDEX(PortfolioRef[[SPY]:[PE]],MATCH(HW$1,PortfolioRef[Reference '#]),0),AssetMonthlyReturns[[#This Row],[SPY]:[PE]])</f>
        <v>1.1460169956708864E-2</v>
      </c>
      <c r="HX61" s="27">
        <f>IF(ISNUMBER(HX60),HX60*(1+PortfolioFrontier[[#This Row],[P58 Return]]),1+PortfolioFrontier[[#This Row],[P58 Return]])</f>
        <v>1.5046835561287288</v>
      </c>
      <c r="HY61" s="27">
        <f>MAX(HY60,PortfolioFrontier[[#This Row],[P58 Growth]])</f>
        <v>1.5046835561287288</v>
      </c>
      <c r="HZ61" s="27">
        <f>PortfolioFrontier[[#This Row],[P58 Growth]]/PortfolioFrontier[[#This Row],[P58 HWM]]-1</f>
        <v>0</v>
      </c>
      <c r="IA61" s="28">
        <f>SUMPRODUCT(INDEX(PortfolioRef[[SPY]:[PE]],MATCH(IA$1,PortfolioRef[Reference '#]),0),AssetMonthlyReturns[[#This Row],[SPY]:[PE]])</f>
        <v>9.8619447103841622E-3</v>
      </c>
      <c r="IB61" s="27">
        <f>IF(ISNUMBER(IB60),IB60*(1+PortfolioFrontier[[#This Row],[P59 Return]]),1+PortfolioFrontier[[#This Row],[P59 Return]])</f>
        <v>1.4916297649172223</v>
      </c>
      <c r="IC61" s="27">
        <f>MAX(IC60,PortfolioFrontier[[#This Row],[P59 Growth]])</f>
        <v>1.4916297649172223</v>
      </c>
      <c r="ID61" s="27">
        <f>PortfolioFrontier[[#This Row],[P59 Growth]]/PortfolioFrontier[[#This Row],[P59 HWM]]-1</f>
        <v>0</v>
      </c>
      <c r="IE61" s="28">
        <f>SUMPRODUCT(INDEX(PortfolioRef[[SPY]:[PE]],MATCH(IE$1,PortfolioRef[Reference '#]),0),AssetMonthlyReturns[[#This Row],[SPY]:[PE]])</f>
        <v>8.2637194640594602E-3</v>
      </c>
      <c r="IF61" s="27">
        <f>IF(ISNUMBER(IF60),IF60*(1+PortfolioFrontier[[#This Row],[P60 Return]]),1+PortfolioFrontier[[#This Row],[P60 Return]])</f>
        <v>1.4781583022974594</v>
      </c>
      <c r="IG61" s="27">
        <f>MAX(IG60,PortfolioFrontier[[#This Row],[P60 Growth]])</f>
        <v>1.4781583022974594</v>
      </c>
      <c r="IH61" s="27">
        <f>PortfolioFrontier[[#This Row],[P60 Growth]]/PortfolioFrontier[[#This Row],[P60 HWM]]-1</f>
        <v>0</v>
      </c>
      <c r="II61" s="28">
        <f>SUMPRODUCT(INDEX(PortfolioRef[[SPY]:[PE]],MATCH(II$1,PortfolioRef[Reference '#]),0),AssetMonthlyReturns[[#This Row],[SPY]:[PE]])</f>
        <v>-9.7861155772576368E-4</v>
      </c>
      <c r="IJ61" s="27">
        <f>IF(ISNUMBER(IJ60),IJ60*(1+PortfolioFrontier[[#This Row],[P61 Return]]),1+PortfolioFrontier[[#This Row],[P61 Return]])</f>
        <v>1.4298815103559543</v>
      </c>
      <c r="IK61" s="27">
        <f>MAX(IK60,PortfolioFrontier[[#This Row],[P61 Growth]])</f>
        <v>1.4393325796978622</v>
      </c>
      <c r="IL61" s="27">
        <f>PortfolioFrontier[[#This Row],[P61 Growth]]/PortfolioFrontier[[#This Row],[P61 HWM]]-1</f>
        <v>-6.566285982279263E-3</v>
      </c>
      <c r="IM61" s="28">
        <f>SUMPRODUCT(INDEX(PortfolioRef[[SPY]:[PE]],MATCH(IM$1,PortfolioRef[Reference '#]),0),AssetMonthlyReturns[[#This Row],[SPY]:[PE]])</f>
        <v>-3.2674037558582444E-3</v>
      </c>
      <c r="IN61" s="27">
        <f>IF(ISNUMBER(IN60),IN60*(1+PortfolioFrontier[[#This Row],[P62 Return]]),1+PortfolioFrontier[[#This Row],[P62 Return]])</f>
        <v>1.4393953013040368</v>
      </c>
      <c r="IO61" s="27">
        <f>MAX(IO60,PortfolioFrontier[[#This Row],[P62 Growth]])</f>
        <v>1.4542528312084855</v>
      </c>
      <c r="IP61" s="27">
        <f>PortfolioFrontier[[#This Row],[P62 Growth]]/PortfolioFrontier[[#This Row],[P62 HWM]]-1</f>
        <v>-1.0216607171465553E-2</v>
      </c>
      <c r="IQ61" s="28">
        <f>SUMPRODUCT(INDEX(PortfolioRef[[SPY]:[PE]],MATCH(IQ$1,PortfolioRef[Reference '#]),0),AssetMonthlyReturns[[#This Row],[SPY]:[PE]])</f>
        <v>1.5736032345739714E-3</v>
      </c>
      <c r="IR61" s="27">
        <f>IF(ISNUMBER(IR60),IR60*(1+PortfolioFrontier[[#This Row],[P63 Return]]),1+PortfolioFrontier[[#This Row],[P63 Return]])</f>
        <v>1.4392259355751638</v>
      </c>
      <c r="IS61" s="27">
        <f>MAX(IS60,PortfolioFrontier[[#This Row],[P63 Growth]])</f>
        <v>1.4435147974965741</v>
      </c>
      <c r="IT61" s="27">
        <f>PortfolioFrontier[[#This Row],[P63 Growth]]/PortfolioFrontier[[#This Row],[P63 HWM]]-1</f>
        <v>-2.9711243201997473E-3</v>
      </c>
      <c r="IU61" s="28">
        <f>SUMPRODUCT(INDEX(PortfolioRef[[SPY]:[PE]],MATCH(IU$1,PortfolioRef[Reference '#]),0),AssetMonthlyReturns[[#This Row],[SPY]:[PE]])</f>
        <v>-2.4622011750730945E-5</v>
      </c>
      <c r="IV61" s="27">
        <f>IF(ISNUMBER(IV60),IV60*(1+PortfolioFrontier[[#This Row],[P64 Return]]),1+PortfolioFrontier[[#This Row],[P64 Return]])</f>
        <v>1.4251841822010323</v>
      </c>
      <c r="IW61" s="27">
        <f>MAX(IW60,PortfolioFrontier[[#This Row],[P64 Growth]])</f>
        <v>1.433157893045798</v>
      </c>
      <c r="IX61" s="27">
        <f>PortfolioFrontier[[#This Row],[P64 Growth]]/PortfolioFrontier[[#This Row],[P64 HWM]]-1</f>
        <v>-5.5637350800334939E-3</v>
      </c>
      <c r="IY61" s="28">
        <f>SUMPRODUCT(INDEX(PortfolioRef[[SPY]:[PE]],MATCH(IY$1,PortfolioRef[Reference '#]),0),AssetMonthlyReturns[[#This Row],[SPY]:[PE]])</f>
        <v>-5.55619595399073E-3</v>
      </c>
      <c r="IZ61" s="27">
        <f>IF(ISNUMBER(IZ60),IZ60*(1+PortfolioFrontier[[#This Row],[P65 Return]]),1+PortfolioFrontier[[#This Row],[P65 Return]])</f>
        <v>1.4487381006824012</v>
      </c>
      <c r="JA61" s="27">
        <f>MAX(JA60,PortfolioFrontier[[#This Row],[P65 Growth]])</f>
        <v>1.4691007428606426</v>
      </c>
      <c r="JB61" s="27">
        <f>PortfolioFrontier[[#This Row],[P65 Growth]]/PortfolioFrontier[[#This Row],[P65 HWM]]-1</f>
        <v>-1.3860616623602828E-2</v>
      </c>
      <c r="JC61" s="28">
        <f>SUMPRODUCT(INDEX(PortfolioRef[[SPY]:[PE]],MATCH(JC$1,PortfolioRef[Reference '#]),0),AssetMonthlyReturns[[#This Row],[SPY]:[PE]])</f>
        <v>-7.1518896355851082E-4</v>
      </c>
      <c r="JD61" s="27">
        <f>IF(ISNUMBER(JD60),JD60*(1+PortfolioFrontier[[#This Row],[P66 Return]]),1+PortfolioFrontier[[#This Row],[P66 Return]])</f>
        <v>1.4487962415681659</v>
      </c>
      <c r="JE61" s="27">
        <f>MAX(JE60,PortfolioFrontier[[#This Row],[P66 Growth]])</f>
        <v>1.4584620244270377</v>
      </c>
      <c r="JF61" s="27">
        <f>PortfolioFrontier[[#This Row],[P66 Growth]]/PortfolioFrontier[[#This Row],[P66 HWM]]-1</f>
        <v>-6.627380553613671E-3</v>
      </c>
      <c r="JG61" s="28">
        <f>SUMPRODUCT(INDEX(PortfolioRef[[SPY]:[PE]],MATCH(JG$1,PortfolioRef[Reference '#]),0),AssetMonthlyReturns[[#This Row],[SPY]:[PE]])</f>
        <v>-2.313414209883213E-3</v>
      </c>
      <c r="JH61" s="27">
        <f>IF(ISNUMBER(JH60),JH60*(1+PortfolioFrontier[[#This Row],[P67 Return]]),1+PortfolioFrontier[[#This Row],[P67 Return]])</f>
        <v>1.4346861784159435</v>
      </c>
      <c r="JI61" s="27">
        <f>MAX(JI60,PortfolioFrontier[[#This Row],[P67 Growth]])</f>
        <v>1.4480304962524606</v>
      </c>
      <c r="JJ61" s="27">
        <f>PortfolioFrontier[[#This Row],[P67 Growth]]/PortfolioFrontier[[#This Row],[P67 HWM]]-1</f>
        <v>-9.2154950265568303E-3</v>
      </c>
      <c r="JK61" s="28">
        <f>SUMPRODUCT(INDEX(PortfolioRef[[SPY]:[PE]],MATCH(JK$1,PortfolioRef[Reference '#]),0),AssetMonthlyReturns[[#This Row],[SPY]:[PE]])</f>
        <v>4.1258180268737054E-3</v>
      </c>
      <c r="JL61" s="27">
        <f>IF(ISNUMBER(JL60),JL60*(1+PortfolioFrontier[[#This Row],[P68 Return]]),1+PortfolioFrontier[[#This Row],[P68 Return]])</f>
        <v>1.448190533229982</v>
      </c>
      <c r="JM61" s="27">
        <f>MAX(JM60,PortfolioFrontier[[#This Row],[P68 Growth]])</f>
        <v>1.448190533229982</v>
      </c>
      <c r="JN61" s="27">
        <f>PortfolioFrontier[[#This Row],[P68 Growth]]/PortfolioFrontier[[#This Row],[P68 HWM]]-1</f>
        <v>0</v>
      </c>
      <c r="JO61" s="28">
        <f>SUMPRODUCT(INDEX(PortfolioRef[[SPY]:[PE]],MATCH(JO$1,PortfolioRef[Reference '#]),0),AssetMonthlyReturns[[#This Row],[SPY]:[PE]])</f>
        <v>2.5275927805490025E-3</v>
      </c>
      <c r="JP61" s="27">
        <f>IF(ISNUMBER(JP60),JP60*(1+PortfolioFrontier[[#This Row],[P69 Return]]),1+PortfolioFrontier[[#This Row],[P69 Return]])</f>
        <v>1.4344878361826894</v>
      </c>
      <c r="JQ61" s="27">
        <f>MAX(JQ60,PortfolioFrontier[[#This Row],[P69 Growth]])</f>
        <v>1.4373156524833652</v>
      </c>
      <c r="JR61" s="27">
        <f>PortfolioFrontier[[#This Row],[P69 Growth]]/PortfolioFrontier[[#This Row],[P69 HWM]]-1</f>
        <v>-1.9674288635137538E-3</v>
      </c>
      <c r="JS61" s="28">
        <f>SUMPRODUCT(INDEX(PortfolioRef[[SPY]:[PE]],MATCH(JS$1,PortfolioRef[Reference '#]),0),AssetMonthlyReturns[[#This Row],[SPY]:[PE]])</f>
        <v>9.2936753422430017E-4</v>
      </c>
      <c r="JT61" s="27">
        <f>IF(ISNUMBER(JT60),JT60*(1+PortfolioFrontier[[#This Row],[P70 Return]]),1+PortfolioFrontier[[#This Row],[P70 Return]])</f>
        <v>1.4204136035121149</v>
      </c>
      <c r="JU61" s="27">
        <f>MAX(JU60,PortfolioFrontier[[#This Row],[P70 Growth]])</f>
        <v>1.4269219104121884</v>
      </c>
      <c r="JV61" s="27">
        <f>PortfolioFrontier[[#This Row],[P70 Growth]]/PortfolioFrontier[[#This Row],[P70 HWM]]-1</f>
        <v>-4.5610813405994044E-3</v>
      </c>
      <c r="JW61" s="28">
        <f>SUMPRODUCT(INDEX(PortfolioRef[[SPY]:[PE]],MATCH(JW$1,PortfolioRef[Reference '#]),0),AssetMonthlyReturns[[#This Row],[SPY]:[PE]])</f>
        <v>-3.0039811616909967E-3</v>
      </c>
      <c r="JX61" s="27">
        <f>IF(ISNUMBER(JX60),JX60*(1+PortfolioFrontier[[#This Row],[P71 Return]]),1+PortfolioFrontier[[#This Row],[P71 Return]])</f>
        <v>1.4581947894586604</v>
      </c>
      <c r="JY61" s="27">
        <f>MAX(JY60,PortfolioFrontier[[#This Row],[P71 Growth]])</f>
        <v>1.4733367501480108</v>
      </c>
      <c r="JZ61" s="27">
        <f>PortfolioFrontier[[#This Row],[P71 Growth]]/PortfolioFrontier[[#This Row],[P71 HWM]]-1</f>
        <v>-1.0277325049978692E-2</v>
      </c>
      <c r="KA61" s="28">
        <f>SUMPRODUCT(INDEX(PortfolioRef[[SPY]:[PE]],MATCH(KA$1,PortfolioRef[Reference '#]),0),AssetMonthlyReturns[[#This Row],[SPY]:[PE]])</f>
        <v>-4.6022064080156987E-3</v>
      </c>
      <c r="KB61" s="27">
        <f>IF(ISNUMBER(KB60),KB60*(1+PortfolioFrontier[[#This Row],[P72 Return]]),1+PortfolioFrontier[[#This Row],[P72 Return]])</f>
        <v>1.4440180187656402</v>
      </c>
      <c r="KC61" s="27">
        <f>MAX(KC60,PortfolioFrontier[[#This Row],[P72 Growth]])</f>
        <v>1.462831410499964</v>
      </c>
      <c r="KD61" s="27">
        <f>PortfolioFrontier[[#This Row],[P72 Growth]]/PortfolioFrontier[[#This Row],[P72 HWM]]-1</f>
        <v>-1.2860943236031486E-2</v>
      </c>
      <c r="KE61" s="28">
        <f>SUMPRODUCT(INDEX(PortfolioRef[[SPY]:[PE]],MATCH(KE$1,PortfolioRef[Reference '#]),0),AssetMonthlyReturns[[#This Row],[SPY]:[PE]])</f>
        <v>1.8370258287412234E-3</v>
      </c>
      <c r="KF61" s="27">
        <f>IF(ISNUMBER(KF60),KF60*(1+PortfolioFrontier[[#This Row],[P73 Return]]),1+PortfolioFrontier[[#This Row],[P73 Return]])</f>
        <v>1.4578148726841378</v>
      </c>
      <c r="KG61" s="27">
        <f>MAX(KG60,PortfolioFrontier[[#This Row],[P73 Growth]])</f>
        <v>1.4622495332060821</v>
      </c>
      <c r="KH61" s="27">
        <f>PortfolioFrontier[[#This Row],[P73 Growth]]/PortfolioFrontier[[#This Row],[P73 HWM]]-1</f>
        <v>-3.0327659002366003E-3</v>
      </c>
      <c r="KI61" s="28">
        <f>SUMPRODUCT(INDEX(PortfolioRef[[SPY]:[PE]],MATCH(KI$1,PortfolioRef[Reference '#]),0),AssetMonthlyReturns[[#This Row],[SPY]:[PE]])</f>
        <v>2.3880058241652018E-4</v>
      </c>
      <c r="KJ61" s="27">
        <f>IF(ISNUMBER(KJ60),KJ60*(1+PortfolioFrontier[[#This Row],[P74 Return]]),1+PortfolioFrontier[[#This Row],[P74 Return]])</f>
        <v>1.4440462124085811</v>
      </c>
      <c r="KK61" s="27">
        <f>MAX(KK60,PortfolioFrontier[[#This Row],[P74 Growth]])</f>
        <v>1.4522151022216119</v>
      </c>
      <c r="KL61" s="27">
        <f>PortfolioFrontier[[#This Row],[P74 Growth]]/PortfolioFrontier[[#This Row],[P74 HWM]]-1</f>
        <v>-5.6251238542650572E-3</v>
      </c>
      <c r="KM61" s="28">
        <f>SUMPRODUCT(INDEX(PortfolioRef[[SPY]:[PE]],MATCH(KM$1,PortfolioRef[Reference '#]),0),AssetMonthlyReturns[[#This Row],[SPY]:[PE]])</f>
        <v>-1.359424663908182E-3</v>
      </c>
      <c r="KN61" s="27">
        <f>IF(ISNUMBER(KN60),KN60*(1+PortfolioFrontier[[#This Row],[P75 Return]]),1+PortfolioFrontier[[#This Row],[P75 Return]])</f>
        <v>1.4299032001080849</v>
      </c>
      <c r="KO61" s="27">
        <f>MAX(KO60,PortfolioFrontier[[#This Row],[P75 Growth]])</f>
        <v>1.4417461063788908</v>
      </c>
      <c r="KP61" s="27">
        <f>PortfolioFrontier[[#This Row],[P75 Growth]]/PortfolioFrontier[[#This Row],[P75 HWM]]-1</f>
        <v>-8.2142800444598985E-3</v>
      </c>
      <c r="KQ61" s="28">
        <f>SUMPRODUCT(INDEX(PortfolioRef[[SPY]:[PE]],MATCH(KQ$1,PortfolioRef[Reference '#]),0),AssetMonthlyReturns[[#This Row],[SPY]:[PE]])</f>
        <v>6.6780328191734387E-3</v>
      </c>
      <c r="KR61" s="27">
        <f>IF(ISNUMBER(KR60),KR60*(1+PortfolioFrontier[[#This Row],[P76 Return]]),1+PortfolioFrontier[[#This Row],[P76 Return]])</f>
        <v>1.4567641415338173</v>
      </c>
      <c r="KS61" s="27">
        <f>MAX(KS60,PortfolioFrontier[[#This Row],[P76 Growth]])</f>
        <v>1.4567641415338173</v>
      </c>
      <c r="KT61" s="27">
        <f>PortfolioFrontier[[#This Row],[P76 Growth]]/PortfolioFrontier[[#This Row],[P76 HWM]]-1</f>
        <v>0</v>
      </c>
      <c r="KU61" s="28">
        <f>SUMPRODUCT(INDEX(PortfolioRef[[SPY]:[PE]],MATCH(KU$1,PortfolioRef[Reference '#]),0),AssetMonthlyReturns[[#This Row],[SPY]:[PE]])</f>
        <v>5.0798075728487367E-3</v>
      </c>
      <c r="KV61" s="27">
        <f>IF(ISNUMBER(KV60),KV60*(1+PortfolioFrontier[[#This Row],[P77 Return]]),1+PortfolioFrontier[[#This Row],[P77 Return]])</f>
        <v>1.4434128044206911</v>
      </c>
      <c r="KW61" s="27">
        <f>MAX(KW60,PortfolioFrontier[[#This Row],[P77 Growth]])</f>
        <v>1.4434128044206911</v>
      </c>
      <c r="KX61" s="27">
        <f>PortfolioFrontier[[#This Row],[P77 Growth]]/PortfolioFrontier[[#This Row],[P77 HWM]]-1</f>
        <v>0</v>
      </c>
      <c r="KY61" s="28">
        <f>SUMPRODUCT(INDEX(PortfolioRef[[SPY]:[PE]],MATCH(KY$1,PortfolioRef[Reference '#]),0),AssetMonthlyReturns[[#This Row],[SPY]:[PE]])</f>
        <v>3.4815823265240335E-3</v>
      </c>
      <c r="KZ61" s="27">
        <f>IF(ISNUMBER(KZ60),KZ60*(1+PortfolioFrontier[[#This Row],[P78 Return]]),1+PortfolioFrontier[[#This Row],[P78 Return]])</f>
        <v>1.4296759732928683</v>
      </c>
      <c r="LA61" s="27">
        <f>MAX(LA60,PortfolioFrontier[[#This Row],[P78 Growth]])</f>
        <v>1.4310549816199929</v>
      </c>
      <c r="LB61" s="27">
        <f>PortfolioFrontier[[#This Row],[P78 Growth]]/PortfolioFrontier[[#This Row],[P78 HWM]]-1</f>
        <v>-9.6363056963999494E-4</v>
      </c>
      <c r="LC61" s="28">
        <f>SUMPRODUCT(INDEX(PortfolioRef[[SPY]:[PE]],MATCH(LC$1,PortfolioRef[Reference '#]),0),AssetMonthlyReturns[[#This Row],[SPY]:[PE]])</f>
        <v>-4.517663693912623E-4</v>
      </c>
      <c r="LD61" s="27">
        <f>IF(ISNUMBER(LD60),LD60*(1+PortfolioFrontier[[#This Row],[P79 Return]]),1+PortfolioFrontier[[#This Row],[P79 Return]])</f>
        <v>1.4672667336329854</v>
      </c>
      <c r="LE61" s="27">
        <f>MAX(LE60,PortfolioFrontier[[#This Row],[P79 Growth]])</f>
        <v>1.4771468451441951</v>
      </c>
      <c r="LF61" s="27">
        <f>PortfolioFrontier[[#This Row],[P79 Growth]]/PortfolioFrontier[[#This Row],[P79 HWM]]-1</f>
        <v>-6.6886454408296991E-3</v>
      </c>
      <c r="LG61" s="28">
        <f>SUMPRODUCT(INDEX(PortfolioRef[[SPY]:[PE]],MATCH(LG$1,PortfolioRef[Reference '#]),0),AssetMonthlyReturns[[#This Row],[SPY]:[PE]])</f>
        <v>-2.0499916157159653E-3</v>
      </c>
      <c r="LH61" s="27">
        <f>IF(ISNUMBER(LH60),LH60*(1+PortfolioFrontier[[#This Row],[P80 Return]]),1+PortfolioFrontier[[#This Row],[P80 Return]])</f>
        <v>1.4534336712575522</v>
      </c>
      <c r="LI61" s="27">
        <f>MAX(LI60,PortfolioFrontier[[#This Row],[P80 Growth]])</f>
        <v>1.4670427033226163</v>
      </c>
      <c r="LJ61" s="27">
        <f>PortfolioFrontier[[#This Row],[P80 Growth]]/PortfolioFrontier[[#This Row],[P80 HWM]]-1</f>
        <v>-9.2765071079675687E-3</v>
      </c>
      <c r="LK61" s="28">
        <f>SUMPRODUCT(INDEX(PortfolioRef[[SPY]:[PE]],MATCH(LK$1,PortfolioRef[Reference '#]),0),AssetMonthlyReturns[[#This Row],[SPY]:[PE]])</f>
        <v>-3.6482168620406677E-3</v>
      </c>
      <c r="LL61" s="27">
        <f>IF(ISNUMBER(LL60),LL60*(1+PortfolioFrontier[[#This Row],[P81 Return]]),1+PortfolioFrontier[[#This Row],[P81 Return]])</f>
        <v>1.4392234829000825</v>
      </c>
      <c r="LM61" s="27">
        <f>MAX(LM60,PortfolioFrontier[[#This Row],[P81 Growth]])</f>
        <v>1.4564992639212468</v>
      </c>
      <c r="LN61" s="27">
        <f>PortfolioFrontier[[#This Row],[P81 Growth]]/PortfolioFrontier[[#This Row],[P81 HWM]]-1</f>
        <v>-1.1861167011271823E-2</v>
      </c>
      <c r="LO61" s="28">
        <f>SUMPRODUCT(INDEX(PortfolioRef[[SPY]:[PE]],MATCH(LO$1,PortfolioRef[Reference '#]),0),AssetMonthlyReturns[[#This Row],[SPY]:[PE]])</f>
        <v>4.3892406210409565E-3</v>
      </c>
      <c r="LP61" s="27">
        <f>IF(ISNUMBER(LP60),LP60*(1+PortfolioFrontier[[#This Row],[P82 Return]]),1+PortfolioFrontier[[#This Row],[P82 Return]])</f>
        <v>1.4664399677523938</v>
      </c>
      <c r="LQ61" s="27">
        <f>MAX(LQ60,PortfolioFrontier[[#This Row],[P82 Growth]])</f>
        <v>1.4664399677523938</v>
      </c>
      <c r="LR61" s="27">
        <f>PortfolioFrontier[[#This Row],[P82 Growth]]/PortfolioFrontier[[#This Row],[P82 HWM]]-1</f>
        <v>0</v>
      </c>
      <c r="LS61" s="28">
        <f>SUMPRODUCT(INDEX(PortfolioRef[[SPY]:[PE]],MATCH(LS$1,PortfolioRef[Reference '#]),0),AssetMonthlyReturns[[#This Row],[SPY]:[PE]])</f>
        <v>2.7910153747162545E-3</v>
      </c>
      <c r="LT61" s="27">
        <f>IF(ISNUMBER(LT60),LT60*(1+PortfolioFrontier[[#This Row],[P83 Return]]),1+PortfolioFrontier[[#This Row],[P83 Return]])</f>
        <v>1.4530250822641668</v>
      </c>
      <c r="LU61" s="27">
        <f>MAX(LU60,PortfolioFrontier[[#This Row],[P83 Growth]])</f>
        <v>1.4559797961884948</v>
      </c>
      <c r="LV61" s="27">
        <f>PortfolioFrontier[[#This Row],[P83 Growth]]/PortfolioFrontier[[#This Row],[P83 HWM]]-1</f>
        <v>-2.0293646464483173E-3</v>
      </c>
      <c r="LW61" s="28">
        <f>SUMPRODUCT(INDEX(PortfolioRef[[SPY]:[PE]],MATCH(LW$1,PortfolioRef[Reference '#]),0),AssetMonthlyReturns[[#This Row],[SPY]:[PE]])</f>
        <v>1.1927901283915513E-3</v>
      </c>
      <c r="LX61" s="27">
        <f>IF(ISNUMBER(LX60),LX60*(1+PortfolioFrontier[[#This Row],[P84 Return]]),1+PortfolioFrontier[[#This Row],[P84 Return]])</f>
        <v>1.4392218106819048</v>
      </c>
      <c r="LY61" s="27">
        <f>MAX(LY60,PortfolioFrontier[[#This Row],[P84 Growth]])</f>
        <v>1.4459058928501658</v>
      </c>
      <c r="LZ61" s="27">
        <f>PortfolioFrontier[[#This Row],[P84 Growth]]/PortfolioFrontier[[#This Row],[P84 HWM]]-1</f>
        <v>-4.6227643177284561E-3</v>
      </c>
      <c r="MA61" s="28">
        <f>SUMPRODUCT(INDEX(PortfolioRef[[SPY]:[PE]],MATCH(MA$1,PortfolioRef[Reference '#]),0),AssetMonthlyReturns[[#This Row],[SPY]:[PE]])</f>
        <v>9.2302476114731729E-3</v>
      </c>
      <c r="MB61" s="27">
        <f>IF(ISNUMBER(MB60),MB60*(1+PortfolioFrontier[[#This Row],[P85 Return]]),1+PortfolioFrontier[[#This Row],[P85 Return]])</f>
        <v>1.4649356926074497</v>
      </c>
      <c r="MC61" s="27">
        <f>MAX(MC60,PortfolioFrontier[[#This Row],[P85 Growth]])</f>
        <v>1.4649356926074497</v>
      </c>
      <c r="MD61" s="27">
        <f>PortfolioFrontier[[#This Row],[P85 Growth]]/PortfolioFrontier[[#This Row],[P85 HWM]]-1</f>
        <v>0</v>
      </c>
      <c r="ME61" s="28">
        <f>SUMPRODUCT(INDEX(PortfolioRef[[SPY]:[PE]],MATCH(ME$1,PortfolioRef[Reference '#]),0),AssetMonthlyReturns[[#This Row],[SPY]:[PE]])</f>
        <v>7.6320223651484701E-3</v>
      </c>
      <c r="MF61" s="27">
        <f>IF(ISNUMBER(MF60),MF60*(1+PortfolioFrontier[[#This Row],[P86 Return]]),1+PortfolioFrontier[[#This Row],[P86 Return]])</f>
        <v>1.4519479759854659</v>
      </c>
      <c r="MG61" s="27">
        <f>MAX(MG60,PortfolioFrontier[[#This Row],[P86 Growth]])</f>
        <v>1.4519479759854659</v>
      </c>
      <c r="MH61" s="27">
        <f>PortfolioFrontier[[#This Row],[P86 Growth]]/PortfolioFrontier[[#This Row],[P86 HWM]]-1</f>
        <v>0</v>
      </c>
      <c r="MI61" s="28">
        <f>SUMPRODUCT(INDEX(PortfolioRef[[SPY]:[PE]],MATCH(MI$1,PortfolioRef[Reference '#]),0),AssetMonthlyReturns[[#This Row],[SPY]:[PE]])</f>
        <v>6.0337971188237673E-3</v>
      </c>
      <c r="MJ61" s="27">
        <f>IF(ISNUMBER(MJ60),MJ60*(1+PortfolioFrontier[[#This Row],[P87 Return]]),1+PortfolioFrontier[[#This Row],[P87 Return]])</f>
        <v>1.4385608145757223</v>
      </c>
      <c r="MK61" s="27">
        <f>MAX(MK60,PortfolioFrontier[[#This Row],[P87 Growth]])</f>
        <v>1.4385608145757223</v>
      </c>
      <c r="ML61" s="27">
        <f>PortfolioFrontier[[#This Row],[P87 Growth]]/PortfolioFrontier[[#This Row],[P87 HWM]]-1</f>
        <v>0</v>
      </c>
      <c r="MM61" s="28">
        <f>SUMPRODUCT(INDEX(PortfolioRef[[SPY]:[PE]],MATCH(MM$1,PortfolioRef[Reference '#]),0),AssetMonthlyReturns[[#This Row],[SPY]:[PE]])</f>
        <v>2.1004484229084717E-3</v>
      </c>
      <c r="MN61" s="27">
        <f>IF(ISNUMBER(MN60),MN60*(1+PortfolioFrontier[[#This Row],[P88 Return]]),1+PortfolioFrontier[[#This Row],[P88 Return]])</f>
        <v>1.4759426422356328</v>
      </c>
      <c r="MO61" s="27">
        <f>MAX(MO60,PortfolioFrontier[[#This Row],[P88 Growth]])</f>
        <v>1.4805242396743989</v>
      </c>
      <c r="MP61" s="27">
        <f>PortfolioFrontier[[#This Row],[P88 Growth]]/PortfolioFrontier[[#This Row],[P88 HWM]]-1</f>
        <v>-3.0945777961554066E-3</v>
      </c>
      <c r="MQ61" s="28">
        <f>SUMPRODUCT(INDEX(PortfolioRef[[SPY]:[PE]],MATCH(MQ$1,PortfolioRef[Reference '#]),0),AssetMonthlyReturns[[#This Row],[SPY]:[PE]])</f>
        <v>5.0222317658376952E-4</v>
      </c>
      <c r="MR61" s="27">
        <f>IF(ISNUMBER(MR60),MR60*(1+PortfolioFrontier[[#This Row],[P89 Return]]),1+PortfolioFrontier[[#This Row],[P89 Return]])</f>
        <v>1.4624657271334771</v>
      </c>
      <c r="MS61" s="27">
        <f>MAX(MS60,PortfolioFrontier[[#This Row],[P89 Growth]])</f>
        <v>1.4708298702708289</v>
      </c>
      <c r="MT61" s="27">
        <f>PortfolioFrontier[[#This Row],[P89 Growth]]/PortfolioFrontier[[#This Row],[P89 HWM]]-1</f>
        <v>-5.6866829443786848E-3</v>
      </c>
      <c r="MU61" s="28">
        <f>SUMPRODUCT(INDEX(PortfolioRef[[SPY]:[PE]],MATCH(MU$1,PortfolioRef[Reference '#]),0),AssetMonthlyReturns[[#This Row],[SPY]:[PE]])</f>
        <v>-1.0960020697409335E-3</v>
      </c>
      <c r="MV61" s="27">
        <f>IF(ISNUMBER(MV60),MV60*(1+PortfolioFrontier[[#This Row],[P90 Return]]),1+PortfolioFrontier[[#This Row],[P90 Return]])</f>
        <v>1.448597577802434</v>
      </c>
      <c r="MW61" s="27">
        <f>MAX(MW60,PortfolioFrontier[[#This Row],[P90 Growth]])</f>
        <v>1.4606856076477115</v>
      </c>
      <c r="MX61" s="27">
        <f>PortfolioFrontier[[#This Row],[P90 Growth]]/PortfolioFrontier[[#This Row],[P90 HWM]]-1</f>
        <v>-8.2755863287679032E-3</v>
      </c>
      <c r="MY61" s="28">
        <f>SUMPRODUCT(INDEX(PortfolioRef[[SPY]:[PE]],MATCH(MY$1,PortfolioRef[Reference '#]),0),AssetMonthlyReturns[[#This Row],[SPY]:[PE]])</f>
        <v>6.9414554133406907E-3</v>
      </c>
      <c r="MZ61" s="27">
        <f>IF(ISNUMBER(MZ60),MZ60*(1+PortfolioFrontier[[#This Row],[P91 Return]]),1+PortfolioFrontier[[#This Row],[P91 Return]])</f>
        <v>1.4746603945681849</v>
      </c>
      <c r="NA61" s="27">
        <f>MAX(NA60,PortfolioFrontier[[#This Row],[P91 Growth]])</f>
        <v>1.4746603945681849</v>
      </c>
      <c r="NB61" s="27">
        <f>PortfolioFrontier[[#This Row],[P91 Growth]]/PortfolioFrontier[[#This Row],[P91 HWM]]-1</f>
        <v>0</v>
      </c>
      <c r="NC61" s="28">
        <f>SUMPRODUCT(INDEX(PortfolioRef[[SPY]:[PE]],MATCH(NC$1,PortfolioRef[Reference '#]),0),AssetMonthlyReturns[[#This Row],[SPY]:[PE]])</f>
        <v>5.3432301670159887E-3</v>
      </c>
      <c r="ND61" s="27">
        <f>IF(ISNUMBER(ND60),ND60*(1+PortfolioFrontier[[#This Row],[P92 Return]]),1+PortfolioFrontier[[#This Row],[P92 Return]])</f>
        <v>1.4616116121214731</v>
      </c>
      <c r="NE61" s="27">
        <f>MAX(NE60,PortfolioFrontier[[#This Row],[P92 Growth]])</f>
        <v>1.4616116121214731</v>
      </c>
      <c r="NF61" s="27">
        <f>PortfolioFrontier[[#This Row],[P92 Growth]]/PortfolioFrontier[[#This Row],[P92 HWM]]-1</f>
        <v>0</v>
      </c>
      <c r="NG61" s="28">
        <f>SUMPRODUCT(INDEX(PortfolioRef[[SPY]:[PE]],MATCH(NG$1,PortfolioRef[Reference '#]),0),AssetMonthlyReturns[[#This Row],[SPY]:[PE]])</f>
        <v>3.7450049206912864E-3</v>
      </c>
      <c r="NH61" s="27">
        <f>IF(ISNUMBER(NH60),NH60*(1+PortfolioFrontier[[#This Row],[P93 Return]]),1+PortfolioFrontier[[#This Row],[P93 Return]])</f>
        <v>1.4481604176820657</v>
      </c>
      <c r="NI61" s="27">
        <f>MAX(NI60,PortfolioFrontier[[#This Row],[P93 Growth]])</f>
        <v>1.4496475539269751</v>
      </c>
      <c r="NJ61" s="27">
        <f>PortfolioFrontier[[#This Row],[P93 Growth]]/PortfolioFrontier[[#This Row],[P93 HWM]]-1</f>
        <v>-1.0258605554714917E-3</v>
      </c>
      <c r="NK61" s="28">
        <f>SUMPRODUCT(INDEX(PortfolioRef[[SPY]:[PE]],MATCH(NK$1,PortfolioRef[Reference '#]),0),AssetMonthlyReturns[[#This Row],[SPY]:[PE]])</f>
        <v>1.1782462403772908E-2</v>
      </c>
      <c r="NL61" s="27">
        <f>IF(ISNUMBER(NL60),NL60*(1+PortfolioFrontier[[#This Row],[P94 Return]]),1+PortfolioFrontier[[#This Row],[P94 Return]])</f>
        <v>1.4726942242346914</v>
      </c>
      <c r="NM61" s="27">
        <f>MAX(NM60,PortfolioFrontier[[#This Row],[P94 Growth]])</f>
        <v>1.4726942242346914</v>
      </c>
      <c r="NN61" s="27">
        <f>PortfolioFrontier[[#This Row],[P94 Growth]]/PortfolioFrontier[[#This Row],[P94 HWM]]-1</f>
        <v>0</v>
      </c>
      <c r="NO61" s="28">
        <f>SUMPRODUCT(INDEX(PortfolioRef[[SPY]:[PE]],MATCH(NO$1,PortfolioRef[Reference '#]),0),AssetMonthlyReturns[[#This Row],[SPY]:[PE]])</f>
        <v>1.0184237157448203E-2</v>
      </c>
      <c r="NP61" s="27">
        <f>IF(ISNUMBER(NP60),NP60*(1+PortfolioFrontier[[#This Row],[P95 Return]]),1+PortfolioFrontier[[#This Row],[P95 Return]])</f>
        <v>1.4600823342635418</v>
      </c>
      <c r="NQ61" s="27">
        <f>MAX(NQ60,PortfolioFrontier[[#This Row],[P95 Growth]])</f>
        <v>1.4600823342635418</v>
      </c>
      <c r="NR61" s="27">
        <f>PortfolioFrontier[[#This Row],[P95 Growth]]/PortfolioFrontier[[#This Row],[P95 HWM]]-1</f>
        <v>0</v>
      </c>
      <c r="NS61" s="28">
        <f>SUMPRODUCT(INDEX(PortfolioRef[[SPY]:[PE]],MATCH(NS$1,PortfolioRef[Reference '#]),0),AssetMonthlyReturns[[#This Row],[SPY]:[PE]])</f>
        <v>8.5860119111235023E-3</v>
      </c>
      <c r="NT61" s="27">
        <f>IF(ISNUMBER(NT60),NT60*(1+PortfolioFrontier[[#This Row],[P96 Return]]),1+PortfolioFrontier[[#This Row],[P96 Return]])</f>
        <v>1.447057067708994</v>
      </c>
      <c r="NU61" s="27">
        <f>MAX(NU60,PortfolioFrontier[[#This Row],[P96 Growth]])</f>
        <v>1.447057067708994</v>
      </c>
      <c r="NV61" s="27">
        <f>PortfolioFrontier[[#This Row],[P96 Growth]]/PortfolioFrontier[[#This Row],[P96 HWM]]-1</f>
        <v>0</v>
      </c>
      <c r="NW61" s="28">
        <f>SUMPRODUCT(INDEX(PortfolioRef[[SPY]:[PE]],MATCH(NW$1,PortfolioRef[Reference '#]),0),AssetMonthlyReturns[[#This Row],[SPY]:[PE]])</f>
        <v>-3.2085339029614534E-3</v>
      </c>
      <c r="NX61" s="27">
        <f>IF(ISNUMBER(NX60),NX60*(1+PortfolioFrontier[[#This Row],[P97 Return]]),1+PortfolioFrontier[[#This Row],[P97 Return]])</f>
        <v>1.3904167556752034</v>
      </c>
      <c r="NY61" s="27">
        <f>MAX(NY60,PortfolioFrontier[[#This Row],[P97 Growth]])</f>
        <v>1.4026456603450133</v>
      </c>
      <c r="NZ61" s="27">
        <f>PortfolioFrontier[[#This Row],[P97 Growth]]/PortfolioFrontier[[#This Row],[P97 HWM]]-1</f>
        <v>-8.7184561400930338E-3</v>
      </c>
      <c r="OA61" s="28">
        <f>SUMPRODUCT(INDEX(PortfolioRef[[SPY]:[PE]],MATCH(OA$1,PortfolioRef[Reference '#]),0),AssetMonthlyReturns[[#This Row],[SPY]:[PE]])</f>
        <v>-5.4973261010939356E-3</v>
      </c>
      <c r="OB61" s="27">
        <f>IF(ISNUMBER(OB60),OB60*(1+PortfolioFrontier[[#This Row],[P98 Return]]),1+PortfolioFrontier[[#This Row],[P98 Return]])</f>
        <v>1.3996746616940328</v>
      </c>
      <c r="OC61" s="27">
        <f>MAX(OC60,PortfolioFrontier[[#This Row],[P98 Growth]])</f>
        <v>1.4171995422327441</v>
      </c>
      <c r="OD61" s="27">
        <f>PortfolioFrontier[[#This Row],[P98 Growth]]/PortfolioFrontier[[#This Row],[P98 HWM]]-1</f>
        <v>-1.236585252568001E-2</v>
      </c>
      <c r="OE61" s="28">
        <f>SUMPRODUCT(INDEX(PortfolioRef[[SPY]:[PE]],MATCH(OE$1,PortfolioRef[Reference '#]),0),AssetMonthlyReturns[[#This Row],[SPY]:[PE]])</f>
        <v>-6.5631911066171985E-4</v>
      </c>
      <c r="OF61" s="27">
        <f>IF(ISNUMBER(OF60),OF60*(1+PortfolioFrontier[[#This Row],[P99 Return]]),1+PortfolioFrontier[[#This Row],[P99 Return]])</f>
        <v>1.399816470945566</v>
      </c>
      <c r="OG61" s="27">
        <f>MAX(OG60,PortfolioFrontier[[#This Row],[P99 Growth]])</f>
        <v>1.407028167297238</v>
      </c>
      <c r="OH61" s="27">
        <f>PortfolioFrontier[[#This Row],[P99 Growth]]/PortfolioFrontier[[#This Row],[P99 HWM]]-1</f>
        <v>-5.125481151898259E-3</v>
      </c>
      <c r="OI61" s="28">
        <f>SUMPRODUCT(INDEX(PortfolioRef[[SPY]:[PE]],MATCH(OI$1,PortfolioRef[Reference '#]),0),AssetMonthlyReturns[[#This Row],[SPY]:[PE]])</f>
        <v>-2.254544356986422E-3</v>
      </c>
      <c r="OJ61" s="27">
        <f>IF(ISNUMBER(OJ60),OJ60*(1+PortfolioFrontier[[#This Row],[P100 Return]]),1+PortfolioFrontier[[#This Row],[P100 Return]])</f>
        <v>1.3859002733394217</v>
      </c>
      <c r="OK61" s="27">
        <f>MAX(OK60,PortfolioFrontier[[#This Row],[P100 Growth]])</f>
        <v>1.3966769811800048</v>
      </c>
      <c r="OL61" s="27">
        <f>PortfolioFrontier[[#This Row],[P100 Growth]]/PortfolioFrontier[[#This Row],[P100 HWM]]-1</f>
        <v>-7.7159629504871541E-3</v>
      </c>
      <c r="OM61" s="28">
        <f>SUMPRODUCT(INDEX(PortfolioRef[[SPY]:[PE]],MATCH(OM$1,PortfolioRef[Reference '#]),0),AssetMonthlyReturns[[#This Row],[SPY]:[PE]])</f>
        <v>-7.7861182992264204E-3</v>
      </c>
      <c r="ON61" s="27">
        <f>IF(ISNUMBER(ON60),ON60*(1+PortfolioFrontier[[#This Row],[P101 Return]]),1+PortfolioFrontier[[#This Row],[P101 Return]])</f>
        <v>1.4087657716735165</v>
      </c>
      <c r="OO61" s="27">
        <f>MAX(OO60,PortfolioFrontier[[#This Row],[P101 Growth]])</f>
        <v>1.4316826255135311</v>
      </c>
      <c r="OP61" s="27">
        <f>PortfolioFrontier[[#This Row],[P101 Growth]]/PortfolioFrontier[[#This Row],[P101 HWM]]-1</f>
        <v>-1.6006937174218083E-2</v>
      </c>
      <c r="OQ61" s="28">
        <f>SUMPRODUCT(INDEX(PortfolioRef[[SPY]:[PE]],MATCH(OQ$1,PortfolioRef[Reference '#]),0),AssetMonthlyReturns[[#This Row],[SPY]:[PE]])</f>
        <v>-2.9451113087942005E-3</v>
      </c>
      <c r="OR61" s="27">
        <f>IF(ISNUMBER(OR60),OR60*(1+PortfolioFrontier[[#This Row],[P102 Return]]),1+PortfolioFrontier[[#This Row],[P102 Return]])</f>
        <v>1.4091313758556163</v>
      </c>
      <c r="OS61" s="27">
        <f>MAX(OS60,PortfolioFrontier[[#This Row],[P102 Growth]])</f>
        <v>1.4216114362181955</v>
      </c>
      <c r="OT61" s="27">
        <f>PortfolioFrontier[[#This Row],[P102 Growth]]/PortfolioFrontier[[#This Row],[P102 HWM]]-1</f>
        <v>-8.7788125817128693E-3</v>
      </c>
      <c r="OU61" s="28">
        <f>SUMPRODUCT(INDEX(PortfolioRef[[SPY]:[PE]],MATCH(OU$1,PortfolioRef[Reference '#]),0),AssetMonthlyReturns[[#This Row],[SPY]:[PE]])</f>
        <v>-4.5433365551189025E-3</v>
      </c>
      <c r="OV61" s="27">
        <f>IF(ISNUMBER(OV60),OV60*(1+PortfolioFrontier[[#This Row],[P103 Return]]),1+PortfolioFrontier[[#This Row],[P103 Return]])</f>
        <v>1.3951470326234807</v>
      </c>
      <c r="OW61" s="27">
        <f>MAX(OW60,PortfolioFrontier[[#This Row],[P103 Growth]])</f>
        <v>1.4111848636715865</v>
      </c>
      <c r="OX61" s="27">
        <f>PortfolioFrontier[[#This Row],[P103 Growth]]/PortfolioFrontier[[#This Row],[P103 HWM]]-1</f>
        <v>-1.1364798093411288E-2</v>
      </c>
      <c r="OY61" s="28">
        <f>SUMPRODUCT(INDEX(PortfolioRef[[SPY]:[PE]],MATCH(OY$1,PortfolioRef[Reference '#]),0),AssetMonthlyReturns[[#This Row],[SPY]:[PE]])</f>
        <v>1.8958956816380161E-3</v>
      </c>
      <c r="OZ61" s="27">
        <f>IF(ISNUMBER(OZ60),OZ60*(1+PortfolioFrontier[[#This Row],[P104 Return]]),1+PortfolioFrontier[[#This Row],[P104 Return]])</f>
        <v>1.4088528308590342</v>
      </c>
      <c r="PA61" s="27">
        <f>MAX(PA60,PortfolioFrontier[[#This Row],[P104 Growth]])</f>
        <v>1.4110076061533885</v>
      </c>
      <c r="PB61" s="27">
        <f>PortfolioFrontier[[#This Row],[P104 Growth]]/PortfolioFrontier[[#This Row],[P104 HWM]]-1</f>
        <v>-1.5271181281782953E-3</v>
      </c>
      <c r="PC61" s="28">
        <f>SUMPRODUCT(INDEX(PortfolioRef[[SPY]:[PE]],MATCH(PC$1,PortfolioRef[Reference '#]),0),AssetMonthlyReturns[[#This Row],[SPY]:[PE]])</f>
        <v>2.9767043531331289E-4</v>
      </c>
      <c r="PD61" s="27">
        <f>IF(ISNUMBER(PD60),PD60*(1+PortfolioFrontier[[#This Row],[P105 Return]]),1+PortfolioFrontier[[#This Row],[P105 Return]])</f>
        <v>1.3952597795571831</v>
      </c>
      <c r="PE61" s="27">
        <f>MAX(PE60,PortfolioFrontier[[#This Row],[P105 Growth]])</f>
        <v>1.4010346248899586</v>
      </c>
      <c r="PF61" s="27">
        <f>PortfolioFrontier[[#This Row],[P105 Growth]]/PortfolioFrontier[[#This Row],[P105 HWM]]-1</f>
        <v>-4.1218434078522659E-3</v>
      </c>
      <c r="PG61" s="28">
        <f>SUMPRODUCT(INDEX(PortfolioRef[[SPY]:[PE]],MATCH(PG$1,PortfolioRef[Reference '#]),0),AssetMonthlyReturns[[#This Row],[SPY]:[PE]])</f>
        <v>-1.3005548110113893E-3</v>
      </c>
      <c r="PH61" s="27">
        <f>IF(ISNUMBER(PH60),PH60*(1+PortfolioFrontier[[#This Row],[P106 Return]]),1+PortfolioFrontier[[#This Row],[P106 Return]])</f>
        <v>1.3813122456675184</v>
      </c>
      <c r="PI61" s="27">
        <f>MAX(PI60,PortfolioFrontier[[#This Row],[P106 Growth]])</f>
        <v>1.3906481771424408</v>
      </c>
      <c r="PJ61" s="27">
        <f>PortfolioFrontier[[#This Row],[P106 Growth]]/PortfolioFrontier[[#This Row],[P106 HWM]]-1</f>
        <v>-6.7133669236932869E-3</v>
      </c>
      <c r="PK61" s="28">
        <f>SUMPRODUCT(INDEX(PortfolioRef[[SPY]:[PE]],MATCH(PK$1,PortfolioRef[Reference '#]),0),AssetMonthlyReturns[[#This Row],[SPY]:[PE]])</f>
        <v>-5.2339035069266862E-3</v>
      </c>
      <c r="PL61" s="27">
        <f>IF(ISNUMBER(PL60),PL60*(1+PortfolioFrontier[[#This Row],[P107 Return]]),1+PortfolioFrontier[[#This Row],[P107 Return]])</f>
        <v>1.4182787021127246</v>
      </c>
      <c r="PM61" s="27">
        <f>MAX(PM60,PortfolioFrontier[[#This Row],[P107 Growth]])</f>
        <v>1.4361237347663294</v>
      </c>
      <c r="PN61" s="27">
        <f>PortfolioFrontier[[#This Row],[P107 Growth]]/PortfolioFrontier[[#This Row],[P107 HWM]]-1</f>
        <v>-1.2425832274479021E-2</v>
      </c>
      <c r="PO61" s="28">
        <f>SUMPRODUCT(INDEX(PortfolioRef[[SPY]:[PE]],MATCH(PO$1,PortfolioRef[Reference '#]),0),AssetMonthlyReturns[[#This Row],[SPY]:[PE]])</f>
        <v>-6.8321287532513882E-3</v>
      </c>
      <c r="PP61" s="27">
        <f>IF(ISNUMBER(PP60),PP60*(1+PortfolioFrontier[[#This Row],[P108 Return]]),1+PortfolioFrontier[[#This Row],[P108 Return]])</f>
        <v>1.4042278055602342</v>
      </c>
      <c r="PQ61" s="27">
        <f>MAX(PQ60,PortfolioFrontier[[#This Row],[P108 Growth]])</f>
        <v>1.4256225819847221</v>
      </c>
      <c r="PR61" s="27">
        <f>PortfolioFrontier[[#This Row],[P108 Growth]]/PortfolioFrontier[[#This Row],[P108 HWM]]-1</f>
        <v>-1.5007321499286741E-2</v>
      </c>
      <c r="PS61" s="28">
        <f>SUMPRODUCT(INDEX(PortfolioRef[[SPY]:[PE]],MATCH(PS$1,PortfolioRef[Reference '#]),0),AssetMonthlyReturns[[#This Row],[SPY]:[PE]])</f>
        <v>-3.9289651649446612E-4</v>
      </c>
      <c r="PT61" s="27">
        <f>IF(ISNUMBER(PT60),PT60*(1+PortfolioFrontier[[#This Row],[P109 Return]]),1+PortfolioFrontier[[#This Row],[P109 Return]])</f>
        <v>1.4182223539450691</v>
      </c>
      <c r="PU61" s="27">
        <f>MAX(PU60,PortfolioFrontier[[#This Row],[P109 Growth]])</f>
        <v>1.4256161475815634</v>
      </c>
      <c r="PV61" s="27">
        <f>PortfolioFrontier[[#This Row],[P109 Growth]]/PortfolioFrontier[[#This Row],[P109 HWM]]-1</f>
        <v>-5.1863846022207616E-3</v>
      </c>
      <c r="PW61" s="28">
        <f>SUMPRODUCT(INDEX(PortfolioRef[[SPY]:[PE]],MATCH(PW$1,PortfolioRef[Reference '#]),0),AssetMonthlyReturns[[#This Row],[SPY]:[PE]])</f>
        <v>-1.9911217628191692E-3</v>
      </c>
      <c r="PX61" s="27">
        <f>IF(ISNUMBER(PX60),PX60*(1+PortfolioFrontier[[#This Row],[P110 Return]]),1+PortfolioFrontier[[#This Row],[P110 Return]])</f>
        <v>1.4045634060883831</v>
      </c>
      <c r="PY61" s="27">
        <f>MAX(PY60,PortfolioFrontier[[#This Row],[P110 Growth]])</f>
        <v>1.415571760687248</v>
      </c>
      <c r="PZ61" s="27">
        <f>PortfolioFrontier[[#This Row],[P110 Growth]]/PortfolioFrontier[[#This Row],[P110 HWM]]-1</f>
        <v>-7.7766135950044779E-3</v>
      </c>
      <c r="QA61" s="28">
        <f>SUMPRODUCT(INDEX(PortfolioRef[[SPY]:[PE]],MATCH(QA$1,PortfolioRef[Reference '#]),0),AssetMonthlyReturns[[#This Row],[SPY]:[PE]])</f>
        <v>-3.5893470091438715E-3</v>
      </c>
      <c r="QB61" s="27">
        <f>IF(ISNUMBER(QB60),QB60*(1+PortfolioFrontier[[#This Row],[P111 Return]]),1+PortfolioFrontier[[#This Row],[P111 Return]])</f>
        <v>1.3905472688860903</v>
      </c>
      <c r="QC61" s="27">
        <f>MAX(QC60,PortfolioFrontier[[#This Row],[P111 Growth]])</f>
        <v>1.405109317167607</v>
      </c>
      <c r="QD61" s="27">
        <f>PortfolioFrontier[[#This Row],[P111 Growth]]/PortfolioFrontier[[#This Row],[P111 HWM]]-1</f>
        <v>-1.0363640823954245E-2</v>
      </c>
      <c r="QE61" s="28">
        <f>SUMPRODUCT(INDEX(PortfolioRef[[SPY]:[PE]],MATCH(QE$1,PortfolioRef[Reference '#]),0),AssetMonthlyReturns[[#This Row],[SPY]:[PE]])</f>
        <v>4.4481104739377492E-3</v>
      </c>
      <c r="QF61" s="27">
        <f>IF(ISNUMBER(QF60),QF60*(1+PortfolioFrontier[[#This Row],[P112 Return]]),1+PortfolioFrontier[[#This Row],[P112 Return]])</f>
        <v>1.4175148552633769</v>
      </c>
      <c r="QG61" s="27">
        <f>MAX(QG60,PortfolioFrontier[[#This Row],[P112 Growth]])</f>
        <v>1.4175148552633769</v>
      </c>
      <c r="QH61" s="27">
        <f>PortfolioFrontier[[#This Row],[P112 Growth]]/PortfolioFrontier[[#This Row],[P112 HWM]]-1</f>
        <v>0</v>
      </c>
      <c r="QI61" s="28">
        <f>SUMPRODUCT(INDEX(PortfolioRef[[SPY]:[PE]],MATCH(QI$1,PortfolioRef[Reference '#]),0),AssetMonthlyReturns[[#This Row],[SPY]:[PE]])</f>
        <v>2.8498852276130473E-3</v>
      </c>
      <c r="QJ61" s="27">
        <f>IF(ISNUMBER(QJ60),QJ60*(1+PortfolioFrontier[[#This Row],[P113 Return]]),1+PortfolioFrontier[[#This Row],[P113 Return]])</f>
        <v>1.4042570033878823</v>
      </c>
      <c r="QK61" s="27">
        <f>MAX(QK60,PortfolioFrontier[[#This Row],[P113 Growth]])</f>
        <v>1.4049908804651403</v>
      </c>
      <c r="QL61" s="27">
        <f>PortfolioFrontier[[#This Row],[P113 Growth]]/PortfolioFrontier[[#This Row],[P113 HWM]]-1</f>
        <v>-5.2233582969241077E-4</v>
      </c>
      <c r="QM61" s="28">
        <f>SUMPRODUCT(INDEX(PortfolioRef[[SPY]:[PE]],MATCH(QM$1,PortfolioRef[Reference '#]),0),AssetMonthlyReturns[[#This Row],[SPY]:[PE]])</f>
        <v>1.251659981288344E-3</v>
      </c>
      <c r="QN61" s="27">
        <f>IF(ISNUMBER(QN60),QN60*(1+PortfolioFrontier[[#This Row],[P114 Return]]),1+PortfolioFrontier[[#This Row],[P114 Return]])</f>
        <v>1.3906310272713587</v>
      </c>
      <c r="QO61" s="27">
        <f>MAX(QO60,PortfolioFrontier[[#This Row],[P114 Growth]])</f>
        <v>1.3949807205993376</v>
      </c>
      <c r="QP61" s="27">
        <f>PortfolioFrontier[[#This Row],[P114 Growth]]/PortfolioFrontier[[#This Row],[P114 HWM]]-1</f>
        <v>-3.1181028266183963E-3</v>
      </c>
      <c r="QQ61" s="28">
        <f>SUMPRODUCT(INDEX(PortfolioRef[[SPY]:[PE]],MATCH(QQ$1,PortfolioRef[Reference '#]),0),AssetMonthlyReturns[[#This Row],[SPY]:[PE]])</f>
        <v>-2.681688714626952E-3</v>
      </c>
      <c r="QR61" s="27">
        <f>IF(ISNUMBER(QR60),QR60*(1+PortfolioFrontier[[#This Row],[P115 Return]]),1+PortfolioFrontier[[#This Row],[P115 Return]])</f>
        <v>1.4274235601830059</v>
      </c>
      <c r="QS61" s="27">
        <f>MAX(QS60,PortfolioFrontier[[#This Row],[P115 Growth]])</f>
        <v>1.4401535662557203</v>
      </c>
      <c r="QT61" s="27">
        <f>PortfolioFrontier[[#This Row],[P115 Growth]]/PortfolioFrontier[[#This Row],[P115 HWM]]-1</f>
        <v>-8.839339339214658E-3</v>
      </c>
      <c r="QU61" s="28">
        <f>SUMPRODUCT(INDEX(PortfolioRef[[SPY]:[PE]],MATCH(QU$1,PortfolioRef[Reference '#]),0),AssetMonthlyReturns[[#This Row],[SPY]:[PE]])</f>
        <v>-4.2799139609516548E-3</v>
      </c>
      <c r="QV61" s="27">
        <f>IF(ISNUMBER(QV60),QV60*(1+PortfolioFrontier[[#This Row],[P116 Return]]),1+PortfolioFrontier[[#This Row],[P116 Return]])</f>
        <v>1.4137002686883984</v>
      </c>
      <c r="QW61" s="27">
        <f>MAX(QW60,PortfolioFrontier[[#This Row],[P116 Growth]])</f>
        <v>1.4300385622898419</v>
      </c>
      <c r="QX61" s="27">
        <f>PortfolioFrontier[[#This Row],[P116 Growth]]/PortfolioFrontier[[#This Row],[P116 HWM]]-1</f>
        <v>-1.1425072045107565E-2</v>
      </c>
      <c r="QY61" s="28">
        <f>SUMPRODUCT(INDEX(PortfolioRef[[SPY]:[PE]],MATCH(QY$1,PortfolioRef[Reference '#]),0),AssetMonthlyReturns[[#This Row],[SPY]:[PE]])</f>
        <v>-5.8781392072763576E-3</v>
      </c>
      <c r="QZ61" s="27">
        <f>IF(ISNUMBER(QZ60),QZ60*(1+PortfolioFrontier[[#This Row],[P117 Return]]),1+PortfolioFrontier[[#This Row],[P117 Return]])</f>
        <v>1.3996171217032556</v>
      </c>
      <c r="RA61" s="27">
        <f>MAX(RA60,PortfolioFrontier[[#This Row],[P117 Growth]])</f>
        <v>1.4195009271304138</v>
      </c>
      <c r="RB61" s="27">
        <f>PortfolioFrontier[[#This Row],[P117 Growth]]/PortfolioFrontier[[#This Row],[P117 HWM]]-1</f>
        <v>-1.4007602987166856E-2</v>
      </c>
      <c r="RC61" s="28">
        <f>SUMPRODUCT(INDEX(PortfolioRef[[SPY]:[PE]],MATCH(RC$1,PortfolioRef[Reference '#]),0),AssetMonthlyReturns[[#This Row],[SPY]:[PE]])</f>
        <v>2.159318275805267E-3</v>
      </c>
      <c r="RD61" s="27">
        <f>IF(ISNUMBER(RD60),RD60*(1+PortfolioFrontier[[#This Row],[P118 Return]]),1+PortfolioFrontier[[#This Row],[P118 Return]])</f>
        <v>1.4269365515485988</v>
      </c>
      <c r="RE61" s="27">
        <f>MAX(RE60,PortfolioFrontier[[#This Row],[P118 Growth]])</f>
        <v>1.4292069448057301</v>
      </c>
      <c r="RF61" s="27">
        <f>PortfolioFrontier[[#This Row],[P118 Growth]]/PortfolioFrontier[[#This Row],[P118 HWM]]-1</f>
        <v>-1.5885685872033539E-3</v>
      </c>
      <c r="RG61" s="28">
        <f>SUMPRODUCT(INDEX(PortfolioRef[[SPY]:[PE]],MATCH(RG$1,PortfolioRef[Reference '#]),0),AssetMonthlyReturns[[#This Row],[SPY]:[PE]])</f>
        <v>5.6109302948056483E-4</v>
      </c>
      <c r="RH61" s="27">
        <f>IF(ISNUMBER(RH60),RH60*(1+PortfolioFrontier[[#This Row],[P119 Return]]),1+PortfolioFrontier[[#This Row],[P119 Return]])</f>
        <v>1.4136151193958664</v>
      </c>
      <c r="RI61" s="27">
        <f>MAX(RI60,PortfolioFrontier[[#This Row],[P119 Growth]])</f>
        <v>1.419553168588447</v>
      </c>
      <c r="RJ61" s="27">
        <f>PortfolioFrontier[[#This Row],[P119 Growth]]/PortfolioFrontier[[#This Row],[P119 HWM]]-1</f>
        <v>-4.1830410610722568E-3</v>
      </c>
      <c r="RK61" s="28">
        <f>SUMPRODUCT(INDEX(PortfolioRef[[SPY]:[PE]],MATCH(RK$1,PortfolioRef[Reference '#]),0),AssetMonthlyReturns[[#This Row],[SPY]:[PE]])</f>
        <v>-1.0371322168441382E-3</v>
      </c>
      <c r="RL61" s="27">
        <f>IF(ISNUMBER(RL60),RL60*(1+PortfolioFrontier[[#This Row],[P120 Return]]),1+PortfolioFrontier[[#This Row],[P120 Return]])</f>
        <v>1.3999227819021163</v>
      </c>
      <c r="RM61" s="27">
        <f>MAX(RM60,PortfolioFrontier[[#This Row],[P120 Growth]])</f>
        <v>1.4094709777376391</v>
      </c>
      <c r="RN61" s="27">
        <f>PortfolioFrontier[[#This Row],[P120 Growth]]/PortfolioFrontier[[#This Row],[P120 HWM]]-1</f>
        <v>-6.7743117711077661E-3</v>
      </c>
      <c r="RO61" s="28">
        <f>SUMPRODUCT(INDEX(PortfolioRef[[SPY]:[PE]],MATCH(RO$1,PortfolioRef[Reference '#]),0),AssetMonthlyReturns[[#This Row],[SPY]:[PE]])</f>
        <v>7.0003252662374825E-3</v>
      </c>
      <c r="RP61" s="27">
        <f>IF(ISNUMBER(RP60),RP60*(1+PortfolioFrontier[[#This Row],[P121 Return]]),1+PortfolioFrontier[[#This Row],[P121 Return]])</f>
        <v>1.425791647313102</v>
      </c>
      <c r="RQ61" s="27">
        <f>MAX(RQ60,PortfolioFrontier[[#This Row],[P121 Growth]])</f>
        <v>1.425791647313102</v>
      </c>
      <c r="RR61" s="27">
        <f>PortfolioFrontier[[#This Row],[P121 Growth]]/PortfolioFrontier[[#This Row],[P121 HWM]]-1</f>
        <v>0</v>
      </c>
      <c r="RS61" s="28">
        <f>SUMPRODUCT(INDEX(PortfolioRef[[SPY]:[PE]],MATCH(RS$1,PortfolioRef[Reference '#]),0),AssetMonthlyReturns[[#This Row],[SPY]:[PE]])</f>
        <v>5.4021000199127806E-3</v>
      </c>
      <c r="RT61" s="27">
        <f>IF(ISNUMBER(RT60),RT60*(1+PortfolioFrontier[[#This Row],[P122 Return]]),1+PortfolioFrontier[[#This Row],[P122 Return]])</f>
        <v>1.4128810137756709</v>
      </c>
      <c r="RU61" s="27">
        <f>MAX(RU60,PortfolioFrontier[[#This Row],[P122 Growth]])</f>
        <v>1.4128810137756709</v>
      </c>
      <c r="RV61" s="27">
        <f>PortfolioFrontier[[#This Row],[P122 Growth]]/PortfolioFrontier[[#This Row],[P122 HWM]]-1</f>
        <v>0</v>
      </c>
      <c r="RW61" s="28">
        <f>SUMPRODUCT(INDEX(PortfolioRef[[SPY]:[PE]],MATCH(RW$1,PortfolioRef[Reference '#]),0),AssetMonthlyReturns[[#This Row],[SPY]:[PE]])</f>
        <v>3.8038747735880782E-3</v>
      </c>
      <c r="RX61" s="27">
        <f>IF(ISNUMBER(RX60),RX60*(1+PortfolioFrontier[[#This Row],[P123 Return]]),1+PortfolioFrontier[[#This Row],[P123 Return]])</f>
        <v>1.399588614300763</v>
      </c>
      <c r="RY61" s="27">
        <f>MAX(RY60,PortfolioFrontier[[#This Row],[P123 Growth]])</f>
        <v>1.399588614300763</v>
      </c>
      <c r="RZ61" s="27">
        <f>PortfolioFrontier[[#This Row],[P123 Growth]]/PortfolioFrontier[[#This Row],[P123 HWM]]-1</f>
        <v>0</v>
      </c>
      <c r="SA61" s="28">
        <f>SUMPRODUCT(INDEX(PortfolioRef[[SPY]:[PE]],MATCH(SA$1,PortfolioRef[Reference '#]),0),AssetMonthlyReturns[[#This Row],[SPY]:[PE]])</f>
        <v>-1.2947392232721849E-4</v>
      </c>
      <c r="SB61" s="27">
        <f>IF(ISNUMBER(SB60),SB60*(1+PortfolioFrontier[[#This Row],[P124 Return]]),1+PortfolioFrontier[[#This Row],[P124 Return]])</f>
        <v>1.4361892382404284</v>
      </c>
      <c r="SC61" s="27">
        <f>MAX(SC60,PortfolioFrontier[[#This Row],[P124 Growth]])</f>
        <v>1.4437653367387404</v>
      </c>
      <c r="SD61" s="27">
        <f>PortfolioFrontier[[#This Row],[P124 Growth]]/PortfolioFrontier[[#This Row],[P124 HWM]]-1</f>
        <v>-5.2474583684252174E-3</v>
      </c>
      <c r="SE61" s="28">
        <f>SUMPRODUCT(INDEX(PortfolioRef[[SPY]:[PE]],MATCH(SE$1,PortfolioRef[Reference '#]),0),AssetMonthlyReturns[[#This Row],[SPY]:[PE]])</f>
        <v>-1.7276991686519208E-3</v>
      </c>
      <c r="SF61" s="27">
        <f>IF(ISNUMBER(SF60),SF60*(1+PortfolioFrontier[[#This Row],[P125 Return]]),1+PortfolioFrontier[[#This Row],[P125 Return]])</f>
        <v>1.4228057381018193</v>
      </c>
      <c r="SG61" s="27">
        <f>MAX(SG60,PortfolioFrontier[[#This Row],[P125 Growth]])</f>
        <v>1.4340449717171579</v>
      </c>
      <c r="SH61" s="27">
        <f>PortfolioFrontier[[#This Row],[P125 Growth]]/PortfolioFrontier[[#This Row],[P125 HWM]]-1</f>
        <v>-7.8374345554034219E-3</v>
      </c>
      <c r="SI61" s="28">
        <f>SUMPRODUCT(INDEX(PortfolioRef[[SPY]:[PE]],MATCH(SI$1,PortfolioRef[Reference '#]),0),AssetMonthlyReturns[[#This Row],[SPY]:[PE]])</f>
        <v>-3.3259244149766239E-3</v>
      </c>
      <c r="SJ61" s="27">
        <f>IF(ISNUMBER(SJ60),SJ60*(1+PortfolioFrontier[[#This Row],[P126 Return]]),1+PortfolioFrontier[[#This Row],[P126 Return]])</f>
        <v>1.4090485936041379</v>
      </c>
      <c r="SK61" s="27">
        <f>MAX(SK60,PortfolioFrontier[[#This Row],[P126 Growth]])</f>
        <v>1.4238915365438569</v>
      </c>
      <c r="SL61" s="27">
        <f>PortfolioFrontier[[#This Row],[P126 Growth]]/PortfolioFrontier[[#This Row],[P126 HWM]]-1</f>
        <v>-1.0424208978548011E-2</v>
      </c>
      <c r="SM61" s="28">
        <f>SUMPRODUCT(INDEX(PortfolioRef[[SPY]:[PE]],MATCH(SM$1,PortfolioRef[Reference '#]),0),AssetMonthlyReturns[[#This Row],[SPY]:[PE]])</f>
        <v>4.7115330681050003E-3</v>
      </c>
      <c r="SN61" s="27">
        <f>IF(ISNUMBER(SN60),SN60*(1+PortfolioFrontier[[#This Row],[P127 Return]]),1+PortfolioFrontier[[#This Row],[P127 Return]])</f>
        <v>1.4352630082798634</v>
      </c>
      <c r="SO61" s="27">
        <f>MAX(SO60,PortfolioFrontier[[#This Row],[P127 Growth]])</f>
        <v>1.4352630082798634</v>
      </c>
      <c r="SP61" s="27">
        <f>PortfolioFrontier[[#This Row],[P127 Growth]]/PortfolioFrontier[[#This Row],[P127 HWM]]-1</f>
        <v>0</v>
      </c>
      <c r="SQ61" s="28">
        <f>SUMPRODUCT(INDEX(PortfolioRef[[SPY]:[PE]],MATCH(SQ$1,PortfolioRef[Reference '#]),0),AssetMonthlyReturns[[#This Row],[SPY]:[PE]])</f>
        <v>3.1133078217802984E-3</v>
      </c>
      <c r="SR61" s="27">
        <f>IF(ISNUMBER(SR60),SR60*(1+PortfolioFrontier[[#This Row],[P128 Return]]),1+PortfolioFrontier[[#This Row],[P128 Return]])</f>
        <v>1.422291177402335</v>
      </c>
      <c r="SS61" s="27">
        <f>MAX(SS60,PortfolioFrontier[[#This Row],[P128 Growth]])</f>
        <v>1.4231223954306869</v>
      </c>
      <c r="ST61" s="27">
        <f>PortfolioFrontier[[#This Row],[P128 Growth]]/PortfolioFrontier[[#This Row],[P128 HWM]]-1</f>
        <v>-5.8408049161529085E-4</v>
      </c>
      <c r="SU61" s="28">
        <f>SUMPRODUCT(INDEX(PortfolioRef[[SPY]:[PE]],MATCH(SU$1,PortfolioRef[Reference '#]),0),AssetMonthlyReturns[[#This Row],[SPY]:[PE]])</f>
        <v>1.515082575455596E-3</v>
      </c>
      <c r="SV61" s="27">
        <f>IF(ISNUMBER(SV60),SV60*(1+PortfolioFrontier[[#This Row],[P129 Return]]),1+PortfolioFrontier[[#This Row],[P129 Return]])</f>
        <v>1.4089347256403215</v>
      </c>
      <c r="SW61" s="27">
        <f>MAX(SW60,PortfolioFrontier[[#This Row],[P129 Growth]])</f>
        <v>1.413428856516928</v>
      </c>
      <c r="SX61" s="27">
        <f>PortfolioFrontier[[#This Row],[P129 Growth]]/PortfolioFrontier[[#This Row],[P129 HWM]]-1</f>
        <v>-3.1795946827357646E-3</v>
      </c>
      <c r="SY61" s="28">
        <f>SUMPRODUCT(INDEX(PortfolioRef[[SPY]:[PE]],MATCH(SY$1,PortfolioRef[Reference '#]),0),AssetMonthlyReturns[[#This Row],[SPY]:[PE]])</f>
        <v>9.5525400585372167E-3</v>
      </c>
      <c r="SZ61" s="27">
        <f>IF(ISNUMBER(SZ60),SZ60*(1+PortfolioFrontier[[#This Row],[P130 Return]]),1+PortfolioFrontier[[#This Row],[P130 Return]])</f>
        <v>1.4336724048528557</v>
      </c>
      <c r="TA61" s="27">
        <f>MAX(TA60,PortfolioFrontier[[#This Row],[P130 Growth]])</f>
        <v>1.4336724048528557</v>
      </c>
      <c r="TB61" s="27">
        <f>PortfolioFrontier[[#This Row],[P130 Growth]]/PortfolioFrontier[[#This Row],[P130 HWM]]-1</f>
        <v>0</v>
      </c>
      <c r="TC61" s="28">
        <f>SUMPRODUCT(INDEX(PortfolioRef[[SPY]:[PE]],MATCH(TC$1,PortfolioRef[Reference '#]),0),AssetMonthlyReturns[[#This Row],[SPY]:[PE]])</f>
        <v>7.954314812212513E-3</v>
      </c>
      <c r="TD61" s="27">
        <f>IF(ISNUMBER(TD60),TD60*(1+PortfolioFrontier[[#This Row],[P131 Return]]),1+PortfolioFrontier[[#This Row],[P131 Return]])</f>
        <v>1.4211209633921167</v>
      </c>
      <c r="TE61" s="27">
        <f>MAX(TE60,PortfolioFrontier[[#This Row],[P131 Growth]])</f>
        <v>1.4211209633921167</v>
      </c>
      <c r="TF61" s="27">
        <f>PortfolioFrontier[[#This Row],[P131 Growth]]/PortfolioFrontier[[#This Row],[P131 HWM]]-1</f>
        <v>0</v>
      </c>
      <c r="TG61" s="28">
        <f>SUMPRODUCT(INDEX(PortfolioRef[[SPY]:[PE]],MATCH(TG$1,PortfolioRef[Reference '#]),0),AssetMonthlyReturns[[#This Row],[SPY]:[PE]])</f>
        <v>6.3560895658878111E-3</v>
      </c>
      <c r="TH61" s="27">
        <f>IF(ISNUMBER(TH60),TH60*(1+PortfolioFrontier[[#This Row],[P132 Return]]),1+PortfolioFrontier[[#This Row],[P132 Return]])</f>
        <v>1.4081741252153819</v>
      </c>
      <c r="TI61" s="27">
        <f>MAX(TI60,PortfolioFrontier[[#This Row],[P132 Growth]])</f>
        <v>1.4081741252153819</v>
      </c>
      <c r="TJ61" s="27">
        <f>PortfolioFrontier[[#This Row],[P132 Growth]]/PortfolioFrontier[[#This Row],[P132 HWM]]-1</f>
        <v>0</v>
      </c>
      <c r="TK61" s="28">
        <f>SUMPRODUCT(INDEX(PortfolioRef[[SPY]:[PE]],MATCH(TK$1,PortfolioRef[Reference '#]),0),AssetMonthlyReturns[[#This Row],[SPY]:[PE]])</f>
        <v>2.4227408699725147E-3</v>
      </c>
      <c r="TL61" s="27">
        <f>IF(ISNUMBER(TL60),TL60*(1+PortfolioFrontier[[#This Row],[P133 Return]]),1+PortfolioFrontier[[#This Row],[P133 Return]])</f>
        <v>1.4445647133758697</v>
      </c>
      <c r="TM61" s="27">
        <f>MAX(TM60,PortfolioFrontier[[#This Row],[P133 Growth]])</f>
        <v>1.4469524589310778</v>
      </c>
      <c r="TN61" s="27">
        <f>PortfolioFrontier[[#This Row],[P133 Growth]]/PortfolioFrontier[[#This Row],[P133 HWM]]-1</f>
        <v>-1.6501893621108099E-3</v>
      </c>
      <c r="TO61" s="28">
        <f>SUMPRODUCT(INDEX(PortfolioRef[[SPY]:[PE]],MATCH(TO$1,PortfolioRef[Reference '#]),0),AssetMonthlyReturns[[#This Row],[SPY]:[PE]])</f>
        <v>8.2451562364781249E-4</v>
      </c>
      <c r="TP61" s="27">
        <f>IF(ISNUMBER(TP60),TP60*(1+PortfolioFrontier[[#This Row],[P134 Return]]),1+PortfolioFrontier[[#This Row],[P134 Return]])</f>
        <v>1.4315331555939697</v>
      </c>
      <c r="TQ61" s="27">
        <f>MAX(TQ60,PortfolioFrontier[[#This Row],[P134 Growth]])</f>
        <v>1.4376350668538191</v>
      </c>
      <c r="TR61" s="27">
        <f>PortfolioFrontier[[#This Row],[P134 Growth]]/PortfolioFrontier[[#This Row],[P134 HWM]]-1</f>
        <v>-4.244409030174201E-3</v>
      </c>
      <c r="TS61" s="28">
        <f>SUMPRODUCT(INDEX(PortfolioRef[[SPY]:[PE]],MATCH(TS$1,PortfolioRef[Reference '#]),0),AssetMonthlyReturns[[#This Row],[SPY]:[PE]])</f>
        <v>-7.7370962267688968E-4</v>
      </c>
      <c r="TT61" s="27">
        <f>IF(ISNUMBER(TT60),TT60*(1+PortfolioFrontier[[#This Row],[P135 Return]]),1+PortfolioFrontier[[#This Row],[P135 Return]])</f>
        <v>1.418114165530179</v>
      </c>
      <c r="TU61" s="27">
        <f>MAX(TU60,PortfolioFrontier[[#This Row],[P135 Growth]])</f>
        <v>1.4278742959516701</v>
      </c>
      <c r="TV61" s="27">
        <f>PortfolioFrontier[[#This Row],[P135 Growth]]/PortfolioFrontier[[#This Row],[P135 HWM]]-1</f>
        <v>-6.8354269344039764E-3</v>
      </c>
      <c r="TW61" s="28">
        <f>SUMPRODUCT(INDEX(PortfolioRef[[SPY]:[PE]],MATCH(TW$1,PortfolioRef[Reference '#]),0),AssetMonthlyReturns[[#This Row],[SPY]:[PE]])</f>
        <v>7.2637478604047345E-3</v>
      </c>
      <c r="TX61" s="27">
        <f>IF(ISNUMBER(TX60),TX60*(1+PortfolioFrontier[[#This Row],[P136 Return]]),1+PortfolioFrontier[[#This Row],[P136 Return]])</f>
        <v>1.4431908592301703</v>
      </c>
      <c r="TY61" s="27">
        <f>MAX(TY60,PortfolioFrontier[[#This Row],[P136 Growth]])</f>
        <v>1.4431908592301703</v>
      </c>
      <c r="TZ61" s="27">
        <f>PortfolioFrontier[[#This Row],[P136 Growth]]/PortfolioFrontier[[#This Row],[P136 HWM]]-1</f>
        <v>0</v>
      </c>
      <c r="UA61" s="28">
        <f>SUMPRODUCT(INDEX(PortfolioRef[[SPY]:[PE]],MATCH(UA$1,PortfolioRef[Reference '#]),0),AssetMonthlyReturns[[#This Row],[SPY]:[PE]])</f>
        <v>5.6655226140800326E-3</v>
      </c>
      <c r="UB61" s="27">
        <f>IF(ISNUMBER(UB60),UB60*(1+PortfolioFrontier[[#This Row],[P137 Return]]),1+PortfolioFrontier[[#This Row],[P137 Return]])</f>
        <v>1.4305806694144416</v>
      </c>
      <c r="UC61" s="27">
        <f>MAX(UC60,PortfolioFrontier[[#This Row],[P137 Growth]])</f>
        <v>1.4305806694144416</v>
      </c>
      <c r="UD61" s="27">
        <f>PortfolioFrontier[[#This Row],[P137 Growth]]/PortfolioFrontier[[#This Row],[P137 HWM]]-1</f>
        <v>0</v>
      </c>
      <c r="UE61" s="28">
        <f>SUMPRODUCT(INDEX(PortfolioRef[[SPY]:[PE]],MATCH(UE$1,PortfolioRef[Reference '#]),0),AssetMonthlyReturns[[#This Row],[SPY]:[PE]])</f>
        <v>4.0672973677553298E-3</v>
      </c>
      <c r="UF61" s="27">
        <f>IF(ISNUMBER(UF60),UF60*(1+PortfolioFrontier[[#This Row],[P138 Return]]),1+PortfolioFrontier[[#This Row],[P138 Return]])</f>
        <v>1.4175721546501048</v>
      </c>
      <c r="UG61" s="27">
        <f>MAX(UG60,PortfolioFrontier[[#This Row],[P138 Growth]])</f>
        <v>1.4175721546501048</v>
      </c>
      <c r="UH61" s="27">
        <f>PortfolioFrontier[[#This Row],[P138 Growth]]/PortfolioFrontier[[#This Row],[P138 HWM]]-1</f>
        <v>0</v>
      </c>
      <c r="UI61" s="28">
        <f>SUMPRODUCT(INDEX(PortfolioRef[[SPY]:[PE]],MATCH(UI$1,PortfolioRef[Reference '#]),0),AssetMonthlyReturns[[#This Row],[SPY]:[PE]])</f>
        <v>1.2104754850836952E-2</v>
      </c>
      <c r="UJ61" s="27">
        <f>IF(ISNUMBER(UJ60),UJ60*(1+PortfolioFrontier[[#This Row],[P139 Return]]),1+PortfolioFrontier[[#This Row],[P139 Return]])</f>
        <v>1.4411464319504694</v>
      </c>
      <c r="UK61" s="27">
        <f>MAX(UK60,PortfolioFrontier[[#This Row],[P139 Growth]])</f>
        <v>1.4411464319504694</v>
      </c>
      <c r="UL61" s="27">
        <f>PortfolioFrontier[[#This Row],[P139 Growth]]/PortfolioFrontier[[#This Row],[P139 HWM]]-1</f>
        <v>0</v>
      </c>
      <c r="UM61" s="28">
        <f>SUMPRODUCT(INDEX(PortfolioRef[[SPY]:[PE]],MATCH(UM$1,PortfolioRef[Reference '#]),0),AssetMonthlyReturns[[#This Row],[SPY]:[PE]])</f>
        <v>1.0506529604512246E-2</v>
      </c>
      <c r="UN61" s="27">
        <f>IF(ISNUMBER(UN60),UN60*(1+PortfolioFrontier[[#This Row],[P140 Return]]),1+PortfolioFrontier[[#This Row],[P140 Return]])</f>
        <v>1.428966099990467</v>
      </c>
      <c r="UO61" s="27">
        <f>MAX(UO60,PortfolioFrontier[[#This Row],[P140 Growth]])</f>
        <v>1.428966099990467</v>
      </c>
      <c r="UP61" s="27">
        <f>PortfolioFrontier[[#This Row],[P140 Growth]]/PortfolioFrontier[[#This Row],[P140 HWM]]-1</f>
        <v>0</v>
      </c>
      <c r="UQ61" s="28">
        <f>SUMPRODUCT(INDEX(PortfolioRef[[SPY]:[PE]],MATCH(UQ$1,PortfolioRef[Reference '#]),0),AssetMonthlyReturns[[#This Row],[SPY]:[PE]])</f>
        <v>8.9083043581875462E-3</v>
      </c>
      <c r="UR61" s="27">
        <f>IF(ISNUMBER(UR60),UR60*(1+PortfolioFrontier[[#This Row],[P141 Return]]),1+PortfolioFrontier[[#This Row],[P141 Return]])</f>
        <v>1.4163767626174975</v>
      </c>
      <c r="US61" s="27">
        <f>MAX(US60,PortfolioFrontier[[#This Row],[P141 Growth]])</f>
        <v>1.4163767626174975</v>
      </c>
      <c r="UT61" s="27">
        <f>PortfolioFrontier[[#This Row],[P141 Growth]]/PortfolioFrontier[[#This Row],[P141 HWM]]-1</f>
        <v>0</v>
      </c>
    </row>
    <row r="62" spans="2:566" x14ac:dyDescent="0.2">
      <c r="B62" s="41">
        <f>AssetMonthlyReturns[[#This Row],[Date]]</f>
        <v>44256</v>
      </c>
      <c r="C62" s="28">
        <f>SUMPRODUCT(INDEX(PortfolioRef[[SPY]:[PE]],MATCH(C$1,PortfolioRef[Reference '#]),0),AssetMonthlyReturns[[#This Row],[SPY]:[PE]])</f>
        <v>2.3156454386276323E-2</v>
      </c>
      <c r="D62" s="29">
        <f>IF(ISNUMBER(D61),D61*(1+PortfolioFrontier[[#This Row],[P1 Return]]),1+PortfolioFrontier[[#This Row],[P1 Return]])</f>
        <v>1.674948738563192</v>
      </c>
      <c r="E62" s="29">
        <f>MAX(E61,PortfolioFrontier[[#This Row],[P1 Growth]])</f>
        <v>1.674948738563192</v>
      </c>
      <c r="F62" s="29">
        <f>PortfolioFrontier[[#This Row],[P1 Growth]]/PortfolioFrontier[[#This Row],[P1 HWM]]-1</f>
        <v>0</v>
      </c>
      <c r="G62" s="28">
        <f>SUMPRODUCT(INDEX(PortfolioRef[[SPY]:[PE]],MATCH(G$1,PortfolioRef[Reference '#]),0),AssetMonthlyReturns[[#This Row],[SPY]:[PE]])</f>
        <v>2.0483431868147647E-2</v>
      </c>
      <c r="H62" s="27">
        <f>IF(ISNUMBER(H61),H61*(1+PortfolioFrontier[[#This Row],[P2 Return]]),1+PortfolioFrontier[[#This Row],[P2 Return]])</f>
        <v>1.6269827560294499</v>
      </c>
      <c r="I62" s="27">
        <f>MAX(I61,PortfolioFrontier[[#This Row],[P2 Growth]])</f>
        <v>1.6269827560294499</v>
      </c>
      <c r="J62" s="27">
        <f>PortfolioFrontier[[#This Row],[P2 Growth]]/PortfolioFrontier[[#This Row],[P2 HWM]]-1</f>
        <v>0</v>
      </c>
      <c r="K62" s="28">
        <f>SUMPRODUCT(INDEX(PortfolioRef[[SPY]:[PE]],MATCH(K$1,PortfolioRef[Reference '#]),0),AssetMonthlyReturns[[#This Row],[SPY]:[PE]])</f>
        <v>2.0485464780988238E-2</v>
      </c>
      <c r="L62" s="27">
        <f>IF(ISNUMBER(L61),L61*(1+PortfolioFrontier[[#This Row],[P3 Return]]),1+PortfolioFrontier[[#This Row],[P3 Return]])</f>
        <v>1.6377835708231734</v>
      </c>
      <c r="M62" s="27">
        <f>MAX(M61,PortfolioFrontier[[#This Row],[P3 Growth]])</f>
        <v>1.6377835708231734</v>
      </c>
      <c r="N62" s="27">
        <f>PortfolioFrontier[[#This Row],[P3 Growth]]/PortfolioFrontier[[#This Row],[P3 HWM]]-1</f>
        <v>0</v>
      </c>
      <c r="O62" s="28">
        <f>SUMPRODUCT(INDEX(PortfolioRef[[SPY]:[PE]],MATCH(O$1,PortfolioRef[Reference '#]),0),AssetMonthlyReturns[[#This Row],[SPY]:[PE]])</f>
        <v>2.3327531309474122E-2</v>
      </c>
      <c r="P62" s="27">
        <f>IF(ISNUMBER(P61),P61*(1+PortfolioFrontier[[#This Row],[P4 Return]]),1+PortfolioFrontier[[#This Row],[P4 Return]])</f>
        <v>1.6406944183105929</v>
      </c>
      <c r="Q62" s="27">
        <f>MAX(Q61,PortfolioFrontier[[#This Row],[P4 Growth]])</f>
        <v>1.6406944183105929</v>
      </c>
      <c r="R62" s="27">
        <f>PortfolioFrontier[[#This Row],[P4 Growth]]/PortfolioFrontier[[#This Row],[P4 HWM]]-1</f>
        <v>0</v>
      </c>
      <c r="S62" s="28">
        <f>SUMPRODUCT(INDEX(PortfolioRef[[SPY]:[PE]],MATCH(S$1,PortfolioRef[Reference '#]),0),AssetMonthlyReturns[[#This Row],[SPY]:[PE]])</f>
        <v>2.025078512665943E-2</v>
      </c>
      <c r="T62" s="27">
        <f>IF(ISNUMBER(T61),T61*(1+PortfolioFrontier[[#This Row],[P5 Return]]),1+PortfolioFrontier[[#This Row],[P5 Return]])</f>
        <v>1.6210262931767159</v>
      </c>
      <c r="U62" s="27">
        <f>MAX(U61,PortfolioFrontier[[#This Row],[P5 Growth]])</f>
        <v>1.6210262931767159</v>
      </c>
      <c r="V62" s="27">
        <f>PortfolioFrontier[[#This Row],[P5 Growth]]/PortfolioFrontier[[#This Row],[P5 HWM]]-1</f>
        <v>0</v>
      </c>
      <c r="W62" s="28">
        <f>SUMPRODUCT(INDEX(PortfolioRef[[SPY]:[PE]],MATCH(W$1,PortfolioRef[Reference '#]),0),AssetMonthlyReturns[[#This Row],[SPY]:[PE]])</f>
        <v>1.7810409350018975E-2</v>
      </c>
      <c r="X62" s="27">
        <f>IF(ISNUMBER(X61),X61*(1+PortfolioFrontier[[#This Row],[P6 Return]]),1+PortfolioFrontier[[#This Row],[P6 Return]])</f>
        <v>1.5798887064970897</v>
      </c>
      <c r="Y62" s="27">
        <f>MAX(Y61,PortfolioFrontier[[#This Row],[P6 Growth]])</f>
        <v>1.5798887064970897</v>
      </c>
      <c r="Z62" s="27">
        <f>PortfolioFrontier[[#This Row],[P6 Growth]]/PortfolioFrontier[[#This Row],[P6 HWM]]-1</f>
        <v>0</v>
      </c>
      <c r="AA62" s="28">
        <f>SUMPRODUCT(INDEX(PortfolioRef[[SPY]:[PE]],MATCH(AA$1,PortfolioRef[Reference '#]),0),AssetMonthlyReturns[[#This Row],[SPY]:[PE]])</f>
        <v>1.7812442262859562E-2</v>
      </c>
      <c r="AB62" s="27">
        <f>IF(ISNUMBER(AB61),AB61*(1+PortfolioFrontier[[#This Row],[P7 Return]]),1+PortfolioFrontier[[#This Row],[P7 Return]])</f>
        <v>1.5903830720163477</v>
      </c>
      <c r="AC62" s="27">
        <f>MAX(AC61,PortfolioFrontier[[#This Row],[P7 Growth]])</f>
        <v>1.5903830720163477</v>
      </c>
      <c r="AD62" s="27">
        <f>PortfolioFrontier[[#This Row],[P7 Growth]]/PortfolioFrontier[[#This Row],[P7 HWM]]-1</f>
        <v>0</v>
      </c>
      <c r="AE62" s="28">
        <f>SUMPRODUCT(INDEX(PortfolioRef[[SPY]:[PE]],MATCH(AE$1,PortfolioRef[Reference '#]),0),AssetMonthlyReturns[[#This Row],[SPY]:[PE]])</f>
        <v>2.0654508791345446E-2</v>
      </c>
      <c r="AF62" s="27">
        <f>IF(ISNUMBER(AF61),AF61*(1+PortfolioFrontier[[#This Row],[P8 Return]]),1+PortfolioFrontier[[#This Row],[P8 Return]])</f>
        <v>1.5935778706129886</v>
      </c>
      <c r="AG62" s="27">
        <f>MAX(AG61,PortfolioFrontier[[#This Row],[P8 Growth]])</f>
        <v>1.5935778706129886</v>
      </c>
      <c r="AH62" s="27">
        <f>PortfolioFrontier[[#This Row],[P8 Growth]]/PortfolioFrontier[[#This Row],[P8 HWM]]-1</f>
        <v>0</v>
      </c>
      <c r="AI62" s="28">
        <f>SUMPRODUCT(INDEX(PortfolioRef[[SPY]:[PE]],MATCH(AI$1,PortfolioRef[Reference '#]),0),AssetMonthlyReturns[[#This Row],[SPY]:[PE]])</f>
        <v>1.7577762608530754E-2</v>
      </c>
      <c r="AJ62" s="27">
        <f>IF(ISNUMBER(AJ61),AJ61*(1+PortfolioFrontier[[#This Row],[P9 Return]]),1+PortfolioFrontier[[#This Row],[P9 Return]])</f>
        <v>1.5741627983590845</v>
      </c>
      <c r="AK62" s="27">
        <f>MAX(AK61,PortfolioFrontier[[#This Row],[P9 Growth]])</f>
        <v>1.5741627983590845</v>
      </c>
      <c r="AL62" s="27">
        <f>PortfolioFrontier[[#This Row],[P9 Growth]]/PortfolioFrontier[[#This Row],[P9 HWM]]-1</f>
        <v>0</v>
      </c>
      <c r="AM62" s="28">
        <f>SUMPRODUCT(INDEX(PortfolioRef[[SPY]:[PE]],MATCH(AM$1,PortfolioRef[Reference '#]),0),AssetMonthlyReturns[[#This Row],[SPY]:[PE]])</f>
        <v>1.7814475175700149E-2</v>
      </c>
      <c r="AN62" s="27">
        <f>IF(ISNUMBER(AN61),AN61*(1+PortfolioFrontier[[#This Row],[P10 Return]]),1+PortfolioFrontier[[#This Row],[P10 Return]])</f>
        <v>1.6006903024235652</v>
      </c>
      <c r="AO62" s="27">
        <f>MAX(AO61,PortfolioFrontier[[#This Row],[P10 Growth]])</f>
        <v>1.6006903024235652</v>
      </c>
      <c r="AP62" s="27">
        <f>PortfolioFrontier[[#This Row],[P10 Growth]]/PortfolioFrontier[[#This Row],[P10 HWM]]-1</f>
        <v>0</v>
      </c>
      <c r="AQ62" s="28">
        <f>SUMPRODUCT(INDEX(PortfolioRef[[SPY]:[PE]],MATCH(AQ$1,PortfolioRef[Reference '#]),0),AssetMonthlyReturns[[#This Row],[SPY]:[PE]])</f>
        <v>2.0656541704186033E-2</v>
      </c>
      <c r="AR62" s="27">
        <f>IF(ISNUMBER(AR61),AR61*(1+PortfolioFrontier[[#This Row],[P11 Return]]),1+PortfolioFrontier[[#This Row],[P11 Return]])</f>
        <v>1.6041571901653229</v>
      </c>
      <c r="AS62" s="27">
        <f>MAX(AS61,PortfolioFrontier[[#This Row],[P11 Growth]])</f>
        <v>1.6041571901653229</v>
      </c>
      <c r="AT62" s="27">
        <f>PortfolioFrontier[[#This Row],[P11 Growth]]/PortfolioFrontier[[#This Row],[P11 HWM]]-1</f>
        <v>0</v>
      </c>
      <c r="AU62" s="28">
        <f>SUMPRODUCT(INDEX(PortfolioRef[[SPY]:[PE]],MATCH(AU$1,PortfolioRef[Reference '#]),0),AssetMonthlyReturns[[#This Row],[SPY]:[PE]])</f>
        <v>1.7579795521371341E-2</v>
      </c>
      <c r="AV62" s="27">
        <f>IF(ISNUMBER(AV61),AV61*(1+PortfolioFrontier[[#This Row],[P12 Return]]),1+PortfolioFrontier[[#This Row],[P12 Return]])</f>
        <v>1.5846406225872884</v>
      </c>
      <c r="AW62" s="27">
        <f>MAX(AW61,PortfolioFrontier[[#This Row],[P12 Growth]])</f>
        <v>1.5846406225872884</v>
      </c>
      <c r="AX62" s="27">
        <f>PortfolioFrontier[[#This Row],[P12 Growth]]/PortfolioFrontier[[#This Row],[P12 HWM]]-1</f>
        <v>0</v>
      </c>
      <c r="AY62" s="28">
        <f>SUMPRODUCT(INDEX(PortfolioRef[[SPY]:[PE]],MATCH(AY$1,PortfolioRef[Reference '#]),0),AssetMonthlyReturns[[#This Row],[SPY]:[PE]])</f>
        <v>2.3498608232671921E-2</v>
      </c>
      <c r="AZ62" s="27">
        <f>IF(ISNUMBER(AZ61),AZ61*(1+PortfolioFrontier[[#This Row],[P13 Return]]),1+PortfolioFrontier[[#This Row],[P13 Return]])</f>
        <v>1.6068765983827773</v>
      </c>
      <c r="BA62" s="27">
        <f>MAX(BA61,PortfolioFrontier[[#This Row],[P13 Growth]])</f>
        <v>1.6068765983827773</v>
      </c>
      <c r="BB62" s="27">
        <f>PortfolioFrontier[[#This Row],[P13 Growth]]/PortfolioFrontier[[#This Row],[P13 HWM]]-1</f>
        <v>0</v>
      </c>
      <c r="BC62" s="28">
        <f>SUMPRODUCT(INDEX(PortfolioRef[[SPY]:[PE]],MATCH(BC$1,PortfolioRef[Reference '#]),0),AssetMonthlyReturns[[#This Row],[SPY]:[PE]])</f>
        <v>2.0421862049857228E-2</v>
      </c>
      <c r="BD62" s="27">
        <f>IF(ISNUMBER(BD61),BD61*(1+PortfolioFrontier[[#This Row],[P14 Return]]),1+PortfolioFrontier[[#This Row],[P14 Return]])</f>
        <v>1.5877917881014059</v>
      </c>
      <c r="BE62" s="27">
        <f>MAX(BE61,PortfolioFrontier[[#This Row],[P14 Growth]])</f>
        <v>1.5877917881014059</v>
      </c>
      <c r="BF62" s="27">
        <f>PortfolioFrontier[[#This Row],[P14 Growth]]/PortfolioFrontier[[#This Row],[P14 HWM]]-1</f>
        <v>0</v>
      </c>
      <c r="BG62" s="28">
        <f>SUMPRODUCT(INDEX(PortfolioRef[[SPY]:[PE]],MATCH(BG$1,PortfolioRef[Reference '#]),0),AssetMonthlyReturns[[#This Row],[SPY]:[PE]])</f>
        <v>1.7345115867042533E-2</v>
      </c>
      <c r="BH62" s="27">
        <f>IF(ISNUMBER(BH61),BH61*(1+PortfolioFrontier[[#This Row],[P15 Return]]),1+PortfolioFrontier[[#This Row],[P15 Return]])</f>
        <v>1.568359533662925</v>
      </c>
      <c r="BI62" s="27">
        <f>MAX(BI61,PortfolioFrontier[[#This Row],[P15 Growth]])</f>
        <v>1.568359533662925</v>
      </c>
      <c r="BJ62" s="27">
        <f>PortfolioFrontier[[#This Row],[P15 Growth]]/PortfolioFrontier[[#This Row],[P15 HWM]]-1</f>
        <v>0</v>
      </c>
      <c r="BK62" s="28">
        <f>SUMPRODUCT(INDEX(PortfolioRef[[SPY]:[PE]],MATCH(BK$1,PortfolioRef[Reference '#]),0),AssetMonthlyReturns[[#This Row],[SPY]:[PE]])</f>
        <v>1.5137386831890299E-2</v>
      </c>
      <c r="BL62" s="27">
        <f>IF(ISNUMBER(BL61),BL61*(1+PortfolioFrontier[[#This Row],[P16 Return]]),1+PortfolioFrontier[[#This Row],[P16 Return]])</f>
        <v>1.5336715101501086</v>
      </c>
      <c r="BM62" s="27">
        <f>MAX(BM61,PortfolioFrontier[[#This Row],[P16 Growth]])</f>
        <v>1.5336715101501086</v>
      </c>
      <c r="BN62" s="27">
        <f>PortfolioFrontier[[#This Row],[P16 Growth]]/PortfolioFrontier[[#This Row],[P16 HWM]]-1</f>
        <v>0</v>
      </c>
      <c r="BO62" s="28">
        <f>SUMPRODUCT(INDEX(PortfolioRef[[SPY]:[PE]],MATCH(BO$1,PortfolioRef[Reference '#]),0),AssetMonthlyReturns[[#This Row],[SPY]:[PE]])</f>
        <v>1.5139419744730886E-2</v>
      </c>
      <c r="BP62" s="27">
        <f>IF(ISNUMBER(BP61),BP61*(1+PortfolioFrontier[[#This Row],[P17 Return]]),1+PortfolioFrontier[[#This Row],[P17 Return]])</f>
        <v>1.5438652330073435</v>
      </c>
      <c r="BQ62" s="27">
        <f>MAX(BQ61,PortfolioFrontier[[#This Row],[P17 Growth]])</f>
        <v>1.5438652330073435</v>
      </c>
      <c r="BR62" s="27">
        <f>PortfolioFrontier[[#This Row],[P17 Growth]]/PortfolioFrontier[[#This Row],[P17 HWM]]-1</f>
        <v>0</v>
      </c>
      <c r="BS62" s="28">
        <f>SUMPRODUCT(INDEX(PortfolioRef[[SPY]:[PE]],MATCH(BS$1,PortfolioRef[Reference '#]),0),AssetMonthlyReturns[[#This Row],[SPY]:[PE]])</f>
        <v>1.7981486273216777E-2</v>
      </c>
      <c r="BT62" s="27">
        <f>IF(ISNUMBER(BT61),BT61*(1+PortfolioFrontier[[#This Row],[P18 Return]]),1+PortfolioFrontier[[#This Row],[P18 Return]])</f>
        <v>1.5473222081943037</v>
      </c>
      <c r="BU62" s="27">
        <f>MAX(BU61,PortfolioFrontier[[#This Row],[P18 Growth]])</f>
        <v>1.5473222081943037</v>
      </c>
      <c r="BV62" s="27">
        <f>PortfolioFrontier[[#This Row],[P18 Growth]]/PortfolioFrontier[[#This Row],[P18 HWM]]-1</f>
        <v>0</v>
      </c>
      <c r="BW62" s="28">
        <f>SUMPRODUCT(INDEX(PortfolioRef[[SPY]:[PE]],MATCH(BW$1,PortfolioRef[Reference '#]),0),AssetMonthlyReturns[[#This Row],[SPY]:[PE]])</f>
        <v>1.4904740090402085E-2</v>
      </c>
      <c r="BX62" s="27">
        <f>IF(ISNUMBER(BX61),BX61*(1+PortfolioFrontier[[#This Row],[P19 Return]]),1+PortfolioFrontier[[#This Row],[P19 Return]])</f>
        <v>1.5281693108514329</v>
      </c>
      <c r="BY62" s="27">
        <f>MAX(BY61,PortfolioFrontier[[#This Row],[P19 Growth]])</f>
        <v>1.5281693108514329</v>
      </c>
      <c r="BZ62" s="27">
        <f>PortfolioFrontier[[#This Row],[P19 Growth]]/PortfolioFrontier[[#This Row],[P19 HWM]]-1</f>
        <v>0</v>
      </c>
      <c r="CA62" s="28">
        <f>SUMPRODUCT(INDEX(PortfolioRef[[SPY]:[PE]],MATCH(CA$1,PortfolioRef[Reference '#]),0),AssetMonthlyReturns[[#This Row],[SPY]:[PE]])</f>
        <v>1.5141452657571476E-2</v>
      </c>
      <c r="CB62" s="27">
        <f>IF(ISNUMBER(CB61),CB61*(1+PortfolioFrontier[[#This Row],[P20 Return]]),1+PortfolioFrontier[[#This Row],[P20 Return]])</f>
        <v>1.5538767327896092</v>
      </c>
      <c r="CC62" s="27">
        <f>MAX(CC61,PortfolioFrontier[[#This Row],[P20 Growth]])</f>
        <v>1.5538767327896092</v>
      </c>
      <c r="CD62" s="27">
        <f>PortfolioFrontier[[#This Row],[P20 Growth]]/PortfolioFrontier[[#This Row],[P20 HWM]]-1</f>
        <v>0</v>
      </c>
      <c r="CE62" s="28">
        <f>SUMPRODUCT(INDEX(PortfolioRef[[SPY]:[PE]],MATCH(CE$1,PortfolioRef[Reference '#]),0),AssetMonthlyReturns[[#This Row],[SPY]:[PE]])</f>
        <v>1.7983519186057364E-2</v>
      </c>
      <c r="CF62" s="27">
        <f>IF(ISNUMBER(CF61),CF61*(1+PortfolioFrontier[[#This Row],[P21 Return]]),1+PortfolioFrontier[[#This Row],[P21 Return]])</f>
        <v>1.5576007610855134</v>
      </c>
      <c r="CG62" s="27">
        <f>MAX(CG61,PortfolioFrontier[[#This Row],[P21 Growth]])</f>
        <v>1.5576007610855134</v>
      </c>
      <c r="CH62" s="27">
        <f>PortfolioFrontier[[#This Row],[P21 Growth]]/PortfolioFrontier[[#This Row],[P21 HWM]]-1</f>
        <v>0</v>
      </c>
      <c r="CI62" s="28">
        <f>SUMPRODUCT(INDEX(PortfolioRef[[SPY]:[PE]],MATCH(CI$1,PortfolioRef[Reference '#]),0),AssetMonthlyReturns[[#This Row],[SPY]:[PE]])</f>
        <v>1.4906773003242672E-2</v>
      </c>
      <c r="CJ62" s="27">
        <f>IF(ISNUMBER(CJ61),CJ61*(1+PortfolioFrontier[[#This Row],[P22 Return]]),1+PortfolioFrontier[[#This Row],[P22 Return]])</f>
        <v>1.5383473266357595</v>
      </c>
      <c r="CK62" s="27">
        <f>MAX(CK61,PortfolioFrontier[[#This Row],[P22 Growth]])</f>
        <v>1.5383473266357595</v>
      </c>
      <c r="CL62" s="27">
        <f>PortfolioFrontier[[#This Row],[P22 Growth]]/PortfolioFrontier[[#This Row],[P22 HWM]]-1</f>
        <v>0</v>
      </c>
      <c r="CM62" s="28">
        <f>SUMPRODUCT(INDEX(PortfolioRef[[SPY]:[PE]],MATCH(CM$1,PortfolioRef[Reference '#]),0),AssetMonthlyReturns[[#This Row],[SPY]:[PE]])</f>
        <v>2.0825585714543248E-2</v>
      </c>
      <c r="CN62" s="27">
        <f>IF(ISNUMBER(CN61),CN61*(1+PortfolioFrontier[[#This Row],[P23 Return]]),1+PortfolioFrontier[[#This Row],[P23 Return]])</f>
        <v>1.5606024129541853</v>
      </c>
      <c r="CO62" s="27">
        <f>MAX(CO61,PortfolioFrontier[[#This Row],[P23 Growth]])</f>
        <v>1.5606024129541853</v>
      </c>
      <c r="CP62" s="27">
        <f>PortfolioFrontier[[#This Row],[P23 Growth]]/PortfolioFrontier[[#This Row],[P23 HWM]]-1</f>
        <v>0</v>
      </c>
      <c r="CQ62" s="28">
        <f>SUMPRODUCT(INDEX(PortfolioRef[[SPY]:[PE]],MATCH(CQ$1,PortfolioRef[Reference '#]),0),AssetMonthlyReturns[[#This Row],[SPY]:[PE]])</f>
        <v>1.7748839531728556E-2</v>
      </c>
      <c r="CR62" s="27">
        <f>IF(ISNUMBER(CR61),CR61*(1+PortfolioFrontier[[#This Row],[P24 Return]]),1+PortfolioFrontier[[#This Row],[P24 Return]])</f>
        <v>1.5417609233049623</v>
      </c>
      <c r="CS62" s="27">
        <f>MAX(CS61,PortfolioFrontier[[#This Row],[P24 Growth]])</f>
        <v>1.5417609233049623</v>
      </c>
      <c r="CT62" s="27">
        <f>PortfolioFrontier[[#This Row],[P24 Growth]]/PortfolioFrontier[[#This Row],[P24 HWM]]-1</f>
        <v>0</v>
      </c>
      <c r="CU62" s="28">
        <f>SUMPRODUCT(INDEX(PortfolioRef[[SPY]:[PE]],MATCH(CU$1,PortfolioRef[Reference '#]),0),AssetMonthlyReturns[[#This Row],[SPY]:[PE]])</f>
        <v>1.4672093348913862E-2</v>
      </c>
      <c r="CV62" s="27">
        <f>IF(ISNUMBER(CV61),CV61*(1+PortfolioFrontier[[#This Row],[P25 Return]]),1+PortfolioFrontier[[#This Row],[P25 Return]])</f>
        <v>1.5225916442301275</v>
      </c>
      <c r="CW62" s="27">
        <f>MAX(CW61,PortfolioFrontier[[#This Row],[P25 Growth]])</f>
        <v>1.5225916442301275</v>
      </c>
      <c r="CX62" s="27">
        <f>PortfolioFrontier[[#This Row],[P25 Growth]]/PortfolioFrontier[[#This Row],[P25 HWM]]-1</f>
        <v>0</v>
      </c>
      <c r="CY62" s="28">
        <f>SUMPRODUCT(INDEX(PortfolioRef[[SPY]:[PE]],MATCH(CY$1,PortfolioRef[Reference '#]),0),AssetMonthlyReturns[[#This Row],[SPY]:[PE]])</f>
        <v>1.7985552098897951E-2</v>
      </c>
      <c r="CZ62" s="27">
        <f>IF(ISNUMBER(CZ61),CZ61*(1+PortfolioFrontier[[#This Row],[P26 Return]]),1+PortfolioFrontier[[#This Row],[P26 Return]])</f>
        <v>1.5676958382039687</v>
      </c>
      <c r="DA62" s="27">
        <f>MAX(DA61,PortfolioFrontier[[#This Row],[P26 Growth]])</f>
        <v>1.5676958382039687</v>
      </c>
      <c r="DB62" s="27">
        <f>PortfolioFrontier[[#This Row],[P26 Growth]]/PortfolioFrontier[[#This Row],[P26 HWM]]-1</f>
        <v>0</v>
      </c>
      <c r="DC62" s="28">
        <f>SUMPRODUCT(INDEX(PortfolioRef[[SPY]:[PE]],MATCH(DC$1,PortfolioRef[Reference '#]),0),AssetMonthlyReturns[[#This Row],[SPY]:[PE]])</f>
        <v>1.4908805916083259E-2</v>
      </c>
      <c r="DD62" s="27">
        <f>IF(ISNUMBER(DD61),DD61*(1+PortfolioFrontier[[#This Row],[P27 Return]]),1+PortfolioFrontier[[#This Row],[P27 Return]])</f>
        <v>1.548344063787118</v>
      </c>
      <c r="DE62" s="27">
        <f>MAX(DE61,PortfolioFrontier[[#This Row],[P27 Growth]])</f>
        <v>1.548344063787118</v>
      </c>
      <c r="DF62" s="27">
        <f>PortfolioFrontier[[#This Row],[P27 Growth]]/PortfolioFrontier[[#This Row],[P27 HWM]]-1</f>
        <v>0</v>
      </c>
      <c r="DG62" s="28">
        <f>SUMPRODUCT(INDEX(PortfolioRef[[SPY]:[PE]],MATCH(DG$1,PortfolioRef[Reference '#]),0),AssetMonthlyReturns[[#This Row],[SPY]:[PE]])</f>
        <v>2.0827618627383838E-2</v>
      </c>
      <c r="DH62" s="27">
        <f>IF(ISNUMBER(DH61),DH61*(1+PortfolioFrontier[[#This Row],[P28 Return]]),1+PortfolioFrontier[[#This Row],[P28 Return]])</f>
        <v>1.5709633623149724</v>
      </c>
      <c r="DI62" s="27">
        <f>MAX(DI61,PortfolioFrontier[[#This Row],[P28 Growth]])</f>
        <v>1.5709633623149724</v>
      </c>
      <c r="DJ62" s="27">
        <f>PortfolioFrontier[[#This Row],[P28 Growth]]/PortfolioFrontier[[#This Row],[P28 HWM]]-1</f>
        <v>0</v>
      </c>
      <c r="DK62" s="28">
        <f>SUMPRODUCT(INDEX(PortfolioRef[[SPY]:[PE]],MATCH(DK$1,PortfolioRef[Reference '#]),0),AssetMonthlyReturns[[#This Row],[SPY]:[PE]])</f>
        <v>1.7750872444569146E-2</v>
      </c>
      <c r="DL62" s="27">
        <f>IF(ISNUMBER(DL61),DL61*(1+PortfolioFrontier[[#This Row],[P29 Return]]),1+PortfolioFrontier[[#This Row],[P29 Return]])</f>
        <v>1.5520235747217566</v>
      </c>
      <c r="DM62" s="27">
        <f>MAX(DM61,PortfolioFrontier[[#This Row],[P29 Growth]])</f>
        <v>1.5520235747217566</v>
      </c>
      <c r="DN62" s="27">
        <f>PortfolioFrontier[[#This Row],[P29 Growth]]/PortfolioFrontier[[#This Row],[P29 HWM]]-1</f>
        <v>0</v>
      </c>
      <c r="DO62" s="28">
        <f>SUMPRODUCT(INDEX(PortfolioRef[[SPY]:[PE]],MATCH(DO$1,PortfolioRef[Reference '#]),0),AssetMonthlyReturns[[#This Row],[SPY]:[PE]])</f>
        <v>1.4674126261754452E-2</v>
      </c>
      <c r="DP62" s="27">
        <f>IF(ISNUMBER(DP61),DP61*(1+PortfolioFrontier[[#This Row],[P30 Return]]),1+PortfolioFrontier[[#This Row],[P30 Return]])</f>
        <v>1.5327533128723625</v>
      </c>
      <c r="DQ62" s="27">
        <f>MAX(DQ61,PortfolioFrontier[[#This Row],[P30 Growth]])</f>
        <v>1.5327533128723625</v>
      </c>
      <c r="DR62" s="27">
        <f>PortfolioFrontier[[#This Row],[P30 Growth]]/PortfolioFrontier[[#This Row],[P30 HWM]]-1</f>
        <v>0</v>
      </c>
      <c r="DS62" s="28">
        <f>SUMPRODUCT(INDEX(PortfolioRef[[SPY]:[PE]],MATCH(DS$1,PortfolioRef[Reference '#]),0),AssetMonthlyReturns[[#This Row],[SPY]:[PE]])</f>
        <v>2.3669685155869726E-2</v>
      </c>
      <c r="DT62" s="27">
        <f>IF(ISNUMBER(DT61),DT61*(1+PortfolioFrontier[[#This Row],[P31 Return]]),1+PortfolioFrontier[[#This Row],[P31 Return]])</f>
        <v>1.5734968108084579</v>
      </c>
      <c r="DU62" s="27">
        <f>MAX(DU61,PortfolioFrontier[[#This Row],[P31 Growth]])</f>
        <v>1.5734968108084579</v>
      </c>
      <c r="DV62" s="27">
        <f>PortfolioFrontier[[#This Row],[P31 Growth]]/PortfolioFrontier[[#This Row],[P31 HWM]]-1</f>
        <v>0</v>
      </c>
      <c r="DW62" s="28">
        <f>SUMPRODUCT(INDEX(PortfolioRef[[SPY]:[PE]],MATCH(DW$1,PortfolioRef[Reference '#]),0),AssetMonthlyReturns[[#This Row],[SPY]:[PE]])</f>
        <v>2.0592938973055034E-2</v>
      </c>
      <c r="DX62" s="27">
        <f>IF(ISNUMBER(DX61),DX61*(1+PortfolioFrontier[[#This Row],[P32 Return]]),1+PortfolioFrontier[[#This Row],[P32 Return]])</f>
        <v>1.5549832167744464</v>
      </c>
      <c r="DY62" s="27">
        <f>MAX(DY61,PortfolioFrontier[[#This Row],[P32 Growth]])</f>
        <v>1.5549832167744464</v>
      </c>
      <c r="DZ62" s="27">
        <f>PortfolioFrontier[[#This Row],[P32 Growth]]/PortfolioFrontier[[#This Row],[P32 HWM]]-1</f>
        <v>0</v>
      </c>
      <c r="EA62" s="28">
        <f>SUMPRODUCT(INDEX(PortfolioRef[[SPY]:[PE]],MATCH(EA$1,PortfolioRef[Reference '#]),0),AssetMonthlyReturns[[#This Row],[SPY]:[PE]])</f>
        <v>1.7516192790240338E-2</v>
      </c>
      <c r="EB62" s="27">
        <f>IF(ISNUMBER(EB61),EB61*(1+PortfolioFrontier[[#This Row],[P33 Return]]),1+PortfolioFrontier[[#This Row],[P33 Return]])</f>
        <v>1.5361234576281726</v>
      </c>
      <c r="EC62" s="27">
        <f>MAX(EC61,PortfolioFrontier[[#This Row],[P33 Growth]])</f>
        <v>1.5361234576281726</v>
      </c>
      <c r="ED62" s="27">
        <f>PortfolioFrontier[[#This Row],[P33 Growth]]/PortfolioFrontier[[#This Row],[P33 HWM]]-1</f>
        <v>0</v>
      </c>
      <c r="EE62" s="28">
        <f>SUMPRODUCT(INDEX(PortfolioRef[[SPY]:[PE]],MATCH(EE$1,PortfolioRef[Reference '#]),0),AssetMonthlyReturns[[#This Row],[SPY]:[PE]])</f>
        <v>1.2464364313761621E-2</v>
      </c>
      <c r="EF62" s="27">
        <f>IF(ISNUMBER(EF61),EF61*(1+PortfolioFrontier[[#This Row],[P34 Return]]),1+PortfolioFrontier[[#This Row],[P34 Return]])</f>
        <v>1.4883350020603441</v>
      </c>
      <c r="EG62" s="27">
        <f>MAX(EG61,PortfolioFrontier[[#This Row],[P34 Growth]])</f>
        <v>1.4883350020603441</v>
      </c>
      <c r="EH62" s="27">
        <f>PortfolioFrontier[[#This Row],[P34 Growth]]/PortfolioFrontier[[#This Row],[P34 HWM]]-1</f>
        <v>0</v>
      </c>
      <c r="EI62" s="28">
        <f>SUMPRODUCT(INDEX(PortfolioRef[[SPY]:[PE]],MATCH(EI$1,PortfolioRef[Reference '#]),0),AssetMonthlyReturns[[#This Row],[SPY]:[PE]])</f>
        <v>1.246639722660221E-2</v>
      </c>
      <c r="EJ62" s="27">
        <f>IF(ISNUMBER(EJ61),EJ61*(1+PortfolioFrontier[[#This Row],[P35 Return]]),1+PortfolioFrontier[[#This Row],[P35 Return]])</f>
        <v>1.4982338933878325</v>
      </c>
      <c r="EK62" s="27">
        <f>MAX(EK61,PortfolioFrontier[[#This Row],[P35 Growth]])</f>
        <v>1.4982338933878325</v>
      </c>
      <c r="EL62" s="27">
        <f>PortfolioFrontier[[#This Row],[P35 Growth]]/PortfolioFrontier[[#This Row],[P35 HWM]]-1</f>
        <v>0</v>
      </c>
      <c r="EM62" s="28">
        <f>SUMPRODUCT(INDEX(PortfolioRef[[SPY]:[PE]],MATCH(EM$1,PortfolioRef[Reference '#]),0),AssetMonthlyReturns[[#This Row],[SPY]:[PE]])</f>
        <v>1.5308463755088098E-2</v>
      </c>
      <c r="EN62" s="27">
        <f>IF(ISNUMBER(EN61),EN61*(1+PortfolioFrontier[[#This Row],[P36 Return]]),1+PortfolioFrontier[[#This Row],[P36 Return]])</f>
        <v>1.5019321106459</v>
      </c>
      <c r="EO62" s="27">
        <f>MAX(EO61,PortfolioFrontier[[#This Row],[P36 Growth]])</f>
        <v>1.5019321106459</v>
      </c>
      <c r="EP62" s="27">
        <f>PortfolioFrontier[[#This Row],[P36 Growth]]/PortfolioFrontier[[#This Row],[P36 HWM]]-1</f>
        <v>0</v>
      </c>
      <c r="EQ62" s="28">
        <f>SUMPRODUCT(INDEX(PortfolioRef[[SPY]:[PE]],MATCH(EQ$1,PortfolioRef[Reference '#]),0),AssetMonthlyReturns[[#This Row],[SPY]:[PE]])</f>
        <v>1.2231717572273405E-2</v>
      </c>
      <c r="ER62" s="27">
        <f>IF(ISNUMBER(ER61),ER61*(1+PortfolioFrontier[[#This Row],[P37 Return]]),1+PortfolioFrontier[[#This Row],[P37 Return]])</f>
        <v>1.4830497733663215</v>
      </c>
      <c r="ES62" s="27">
        <f>MAX(ES61,PortfolioFrontier[[#This Row],[P37 Growth]])</f>
        <v>1.4830497733663215</v>
      </c>
      <c r="ET62" s="27">
        <f>PortfolioFrontier[[#This Row],[P37 Growth]]/PortfolioFrontier[[#This Row],[P37 HWM]]-1</f>
        <v>0</v>
      </c>
      <c r="EU62" s="28">
        <f>SUMPRODUCT(INDEX(PortfolioRef[[SPY]:[PE]],MATCH(EU$1,PortfolioRef[Reference '#]),0),AssetMonthlyReturns[[#This Row],[SPY]:[PE]])</f>
        <v>1.2468430139442797E-2</v>
      </c>
      <c r="EV62" s="27">
        <f>IF(ISNUMBER(EV61),EV61*(1+PortfolioFrontier[[#This Row],[P38 Return]]),1+PortfolioFrontier[[#This Row],[P38 Return]])</f>
        <v>1.5079553977190985</v>
      </c>
      <c r="EW62" s="27">
        <f>MAX(EW61,PortfolioFrontier[[#This Row],[P38 Growth]])</f>
        <v>1.5079553977190985</v>
      </c>
      <c r="EX62" s="27">
        <f>PortfolioFrontier[[#This Row],[P38 Growth]]/PortfolioFrontier[[#This Row],[P38 HWM]]-1</f>
        <v>0</v>
      </c>
      <c r="EY62" s="28">
        <f>SUMPRODUCT(INDEX(PortfolioRef[[SPY]:[PE]],MATCH(EY$1,PortfolioRef[Reference '#]),0),AssetMonthlyReturns[[#This Row],[SPY]:[PE]])</f>
        <v>1.5310496667928684E-2</v>
      </c>
      <c r="EZ62" s="27">
        <f>IF(ISNUMBER(EZ61),EZ61*(1+PortfolioFrontier[[#This Row],[P39 Return]]),1+PortfolioFrontier[[#This Row],[P39 Return]])</f>
        <v>1.5119156145213348</v>
      </c>
      <c r="FA62" s="27">
        <f>MAX(FA61,PortfolioFrontier[[#This Row],[P39 Growth]])</f>
        <v>1.5119156145213348</v>
      </c>
      <c r="FB62" s="27">
        <f>PortfolioFrontier[[#This Row],[P39 Growth]]/PortfolioFrontier[[#This Row],[P39 HWM]]-1</f>
        <v>0</v>
      </c>
      <c r="FC62" s="28">
        <f>SUMPRODUCT(INDEX(PortfolioRef[[SPY]:[PE]],MATCH(FC$1,PortfolioRef[Reference '#]),0),AssetMonthlyReturns[[#This Row],[SPY]:[PE]])</f>
        <v>1.2233750485113992E-2</v>
      </c>
      <c r="FD62" s="27">
        <f>IF(ISNUMBER(FD61),FD61*(1+PortfolioFrontier[[#This Row],[P40 Return]]),1+PortfolioFrontier[[#This Row],[P40 Return]])</f>
        <v>1.4929337610121174</v>
      </c>
      <c r="FE62" s="27">
        <f>MAX(FE61,PortfolioFrontier[[#This Row],[P40 Growth]])</f>
        <v>1.4929337610121174</v>
      </c>
      <c r="FF62" s="27">
        <f>PortfolioFrontier[[#This Row],[P40 Growth]]/PortfolioFrontier[[#This Row],[P40 HWM]]-1</f>
        <v>0</v>
      </c>
      <c r="FG62" s="28">
        <f>SUMPRODUCT(INDEX(PortfolioRef[[SPY]:[PE]],MATCH(FG$1,PortfolioRef[Reference '#]),0),AssetMonthlyReturns[[#This Row],[SPY]:[PE]])</f>
        <v>1.8152563196414572E-2</v>
      </c>
      <c r="FH62" s="27">
        <f>IF(ISNUMBER(FH61),FH61*(1+PortfolioFrontier[[#This Row],[P41 Return]]),1+PortfolioFrontier[[#This Row],[P41 Return]])</f>
        <v>1.5151780172781699</v>
      </c>
      <c r="FI62" s="27">
        <f>MAX(FI61,PortfolioFrontier[[#This Row],[P41 Growth]])</f>
        <v>1.5151780172781699</v>
      </c>
      <c r="FJ62" s="27">
        <f>PortfolioFrontier[[#This Row],[P41 Growth]]/PortfolioFrontier[[#This Row],[P41 HWM]]-1</f>
        <v>0</v>
      </c>
      <c r="FK62" s="28">
        <f>SUMPRODUCT(INDEX(PortfolioRef[[SPY]:[PE]],MATCH(FK$1,PortfolioRef[Reference '#]),0),AssetMonthlyReturns[[#This Row],[SPY]:[PE]])</f>
        <v>1.507581701359988E-2</v>
      </c>
      <c r="FL62" s="27">
        <f>IF(ISNUMBER(FL61),FL61*(1+PortfolioFrontier[[#This Row],[P42 Return]]),1+PortfolioFrontier[[#This Row],[P42 Return]])</f>
        <v>1.4965889190342134</v>
      </c>
      <c r="FM62" s="27">
        <f>MAX(FM61,PortfolioFrontier[[#This Row],[P42 Growth]])</f>
        <v>1.4965889190342134</v>
      </c>
      <c r="FN62" s="27">
        <f>PortfolioFrontier[[#This Row],[P42 Growth]]/PortfolioFrontier[[#This Row],[P42 HWM]]-1</f>
        <v>0</v>
      </c>
      <c r="FO62" s="28">
        <f>SUMPRODUCT(INDEX(PortfolioRef[[SPY]:[PE]],MATCH(FO$1,PortfolioRef[Reference '#]),0),AssetMonthlyReturns[[#This Row],[SPY]:[PE]])</f>
        <v>1.1999070830785186E-2</v>
      </c>
      <c r="FP62" s="27">
        <f>IF(ISNUMBER(FP61),FP61*(1+PortfolioFrontier[[#This Row],[P43 Return]]),1+PortfolioFrontier[[#This Row],[P43 Return]])</f>
        <v>1.4776909471757076</v>
      </c>
      <c r="FQ62" s="27">
        <f>MAX(FQ61,PortfolioFrontier[[#This Row],[P43 Growth]])</f>
        <v>1.4776909471757076</v>
      </c>
      <c r="FR62" s="27">
        <f>PortfolioFrontier[[#This Row],[P43 Growth]]/PortfolioFrontier[[#This Row],[P43 HWM]]-1</f>
        <v>0</v>
      </c>
      <c r="FS62" s="28">
        <f>SUMPRODUCT(INDEX(PortfolioRef[[SPY]:[PE]],MATCH(FS$1,PortfolioRef[Reference '#]),0),AssetMonthlyReturns[[#This Row],[SPY]:[PE]])</f>
        <v>1.5312529580769271E-2</v>
      </c>
      <c r="FT62" s="27">
        <f>IF(ISNUMBER(FT61),FT61*(1+PortfolioFrontier[[#This Row],[P44 Return]]),1+PortfolioFrontier[[#This Row],[P44 Return]])</f>
        <v>1.5217204730219551</v>
      </c>
      <c r="FU62" s="27">
        <f>MAX(FU61,PortfolioFrontier[[#This Row],[P44 Growth]])</f>
        <v>1.5217204730219551</v>
      </c>
      <c r="FV62" s="27">
        <f>PortfolioFrontier[[#This Row],[P44 Growth]]/PortfolioFrontier[[#This Row],[P44 HWM]]-1</f>
        <v>0</v>
      </c>
      <c r="FW62" s="28">
        <f>SUMPRODUCT(INDEX(PortfolioRef[[SPY]:[PE]],MATCH(FW$1,PortfolioRef[Reference '#]),0),AssetMonthlyReturns[[#This Row],[SPY]:[PE]])</f>
        <v>1.2235783397954579E-2</v>
      </c>
      <c r="FX62" s="27">
        <f>IF(ISNUMBER(FX61),FX61*(1+PortfolioFrontier[[#This Row],[P45 Return]]),1+PortfolioFrontier[[#This Row],[P45 Return]])</f>
        <v>1.5026412752257863</v>
      </c>
      <c r="FY62" s="27">
        <f>MAX(FY61,PortfolioFrontier[[#This Row],[P45 Growth]])</f>
        <v>1.5026412752257863</v>
      </c>
      <c r="FZ62" s="27">
        <f>PortfolioFrontier[[#This Row],[P45 Growth]]/PortfolioFrontier[[#This Row],[P45 HWM]]-1</f>
        <v>0</v>
      </c>
      <c r="GA62" s="28">
        <f>SUMPRODUCT(INDEX(PortfolioRef[[SPY]:[PE]],MATCH(GA$1,PortfolioRef[Reference '#]),0),AssetMonthlyReturns[[#This Row],[SPY]:[PE]])</f>
        <v>1.8154596109255159E-2</v>
      </c>
      <c r="GB62" s="27">
        <f>IF(ISNUMBER(GB61),GB61*(1+PortfolioFrontier[[#This Row],[P46 Return]]),1+PortfolioFrontier[[#This Row],[P46 Return]])</f>
        <v>1.5252438191315372</v>
      </c>
      <c r="GC62" s="27">
        <f>MAX(GC61,PortfolioFrontier[[#This Row],[P46 Growth]])</f>
        <v>1.5252438191315372</v>
      </c>
      <c r="GD62" s="27">
        <f>PortfolioFrontier[[#This Row],[P46 Growth]]/PortfolioFrontier[[#This Row],[P46 HWM]]-1</f>
        <v>0</v>
      </c>
      <c r="GE62" s="28">
        <f>SUMPRODUCT(INDEX(PortfolioRef[[SPY]:[PE]],MATCH(GE$1,PortfolioRef[Reference '#]),0),AssetMonthlyReturns[[#This Row],[SPY]:[PE]])</f>
        <v>1.5077849926440467E-2</v>
      </c>
      <c r="GF62" s="27">
        <f>IF(ISNUMBER(GF61),GF61*(1+PortfolioFrontier[[#This Row],[P47 Return]]),1+PortfolioFrontier[[#This Row],[P47 Return]])</f>
        <v>1.5065573302605306</v>
      </c>
      <c r="GG62" s="27">
        <f>MAX(GG61,PortfolioFrontier[[#This Row],[P47 Growth]])</f>
        <v>1.5065573302605306</v>
      </c>
      <c r="GH62" s="27">
        <f>PortfolioFrontier[[#This Row],[P47 Growth]]/PortfolioFrontier[[#This Row],[P47 HWM]]-1</f>
        <v>0</v>
      </c>
      <c r="GI62" s="28">
        <f>SUMPRODUCT(INDEX(PortfolioRef[[SPY]:[PE]],MATCH(GI$1,PortfolioRef[Reference '#]),0),AssetMonthlyReturns[[#This Row],[SPY]:[PE]])</f>
        <v>1.2001103743625773E-2</v>
      </c>
      <c r="GJ62" s="27">
        <f>IF(ISNUMBER(GJ61),GJ61*(1+PortfolioFrontier[[#This Row],[P48 Return]]),1+PortfolioFrontier[[#This Row],[P48 Return]])</f>
        <v>1.4875594086643544</v>
      </c>
      <c r="GK62" s="27">
        <f>MAX(GK61,PortfolioFrontier[[#This Row],[P48 Growth]])</f>
        <v>1.4875594086643544</v>
      </c>
      <c r="GL62" s="27">
        <f>PortfolioFrontier[[#This Row],[P48 Growth]]/PortfolioFrontier[[#This Row],[P48 HWM]]-1</f>
        <v>0</v>
      </c>
      <c r="GM62" s="28">
        <f>SUMPRODUCT(INDEX(PortfolioRef[[SPY]:[PE]],MATCH(GM$1,PortfolioRef[Reference '#]),0),AssetMonthlyReturns[[#This Row],[SPY]:[PE]])</f>
        <v>2.0996662637741047E-2</v>
      </c>
      <c r="GN62" s="27">
        <f>IF(ISNUMBER(GN61),GN61*(1+PortfolioFrontier[[#This Row],[P49 Return]]),1+PortfolioFrontier[[#This Row],[P49 Return]])</f>
        <v>1.5280577608494939</v>
      </c>
      <c r="GO62" s="27">
        <f>MAX(GO61,PortfolioFrontier[[#This Row],[P49 Growth]])</f>
        <v>1.5280577608494939</v>
      </c>
      <c r="GP62" s="27">
        <f>PortfolioFrontier[[#This Row],[P49 Growth]]/PortfolioFrontier[[#This Row],[P49 HWM]]-1</f>
        <v>0</v>
      </c>
      <c r="GQ62" s="28">
        <f>SUMPRODUCT(INDEX(PortfolioRef[[SPY]:[PE]],MATCH(GQ$1,PortfolioRef[Reference '#]),0),AssetMonthlyReturns[[#This Row],[SPY]:[PE]])</f>
        <v>1.7919916454926355E-2</v>
      </c>
      <c r="GR62" s="27">
        <f>IF(ISNUMBER(GR61),GR61*(1+PortfolioFrontier[[#This Row],[P50 Return]]),1+PortfolioFrontier[[#This Row],[P50 Return]])</f>
        <v>1.5097779557250086</v>
      </c>
      <c r="GS62" s="27">
        <f>MAX(GS61,PortfolioFrontier[[#This Row],[P50 Growth]])</f>
        <v>1.5097779557250086</v>
      </c>
      <c r="GT62" s="27">
        <f>PortfolioFrontier[[#This Row],[P50 Growth]]/PortfolioFrontier[[#This Row],[P50 HWM]]-1</f>
        <v>0</v>
      </c>
      <c r="GU62" s="28">
        <f>SUMPRODUCT(INDEX(PortfolioRef[[SPY]:[PE]],MATCH(GU$1,PortfolioRef[Reference '#]),0),AssetMonthlyReturns[[#This Row],[SPY]:[PE]])</f>
        <v>1.4843170272111661E-2</v>
      </c>
      <c r="GV62" s="27">
        <f>IF(ISNUMBER(GV61),GV61*(1+PortfolioFrontier[[#This Row],[P51 Return]]),1+PortfolioFrontier[[#This Row],[P51 Return]])</f>
        <v>1.4911714186057772</v>
      </c>
      <c r="GW62" s="27">
        <f>MAX(GW61,PortfolioFrontier[[#This Row],[P51 Growth]])</f>
        <v>1.4911714186057772</v>
      </c>
      <c r="GX62" s="27">
        <f>PortfolioFrontier[[#This Row],[P51 Growth]]/PortfolioFrontier[[#This Row],[P51 HWM]]-1</f>
        <v>0</v>
      </c>
      <c r="GY62" s="28">
        <f>SUMPRODUCT(INDEX(PortfolioRef[[SPY]:[PE]],MATCH(GY$1,PortfolioRef[Reference '#]),0),AssetMonthlyReturns[[#This Row],[SPY]:[PE]])</f>
        <v>1.8156629022095749E-2</v>
      </c>
      <c r="GZ62" s="27">
        <f>IF(ISNUMBER(GZ61),GZ61*(1+PortfolioFrontier[[#This Row],[P52 Return]]),1+PortfolioFrontier[[#This Row],[P52 Return]])</f>
        <v>1.5351297617111628</v>
      </c>
      <c r="HA62" s="27">
        <f>MAX(HA61,PortfolioFrontier[[#This Row],[P52 Growth]])</f>
        <v>1.5351297617111628</v>
      </c>
      <c r="HB62" s="27">
        <f>PortfolioFrontier[[#This Row],[P52 Growth]]/PortfolioFrontier[[#This Row],[P52 HWM]]-1</f>
        <v>0</v>
      </c>
      <c r="HC62" s="28">
        <f>SUMPRODUCT(INDEX(PortfolioRef[[SPY]:[PE]],MATCH(HC$1,PortfolioRef[Reference '#]),0),AssetMonthlyReturns[[#This Row],[SPY]:[PE]])</f>
        <v>1.5079882839281057E-2</v>
      </c>
      <c r="HD62" s="27">
        <f>IF(ISNUMBER(HD61),HD61*(1+PortfolioFrontier[[#This Row],[P53 Return]]),1+PortfolioFrontier[[#This Row],[P53 Return]])</f>
        <v>1.5163480173819406</v>
      </c>
      <c r="HE62" s="27">
        <f>MAX(HE61,PortfolioFrontier[[#This Row],[P53 Growth]])</f>
        <v>1.5163480173819406</v>
      </c>
      <c r="HF62" s="27">
        <f>PortfolioFrontier[[#This Row],[P53 Growth]]/PortfolioFrontier[[#This Row],[P53 HWM]]-1</f>
        <v>0</v>
      </c>
      <c r="HG62" s="28">
        <f>SUMPRODUCT(INDEX(PortfolioRef[[SPY]:[PE]],MATCH(HG$1,PortfolioRef[Reference '#]),0),AssetMonthlyReturns[[#This Row],[SPY]:[PE]])</f>
        <v>1.2003136656466363E-2</v>
      </c>
      <c r="HH62" s="27">
        <f>IF(ISNUMBER(HH61),HH61*(1+PortfolioFrontier[[#This Row],[P54 Return]]),1+PortfolioFrontier[[#This Row],[P54 Return]])</f>
        <v>1.4972523164175162</v>
      </c>
      <c r="HI62" s="27">
        <f>MAX(HI61,PortfolioFrontier[[#This Row],[P54 Growth]])</f>
        <v>1.4972523164175162</v>
      </c>
      <c r="HJ62" s="27">
        <f>PortfolioFrontier[[#This Row],[P54 Growth]]/PortfolioFrontier[[#This Row],[P54 HWM]]-1</f>
        <v>0</v>
      </c>
      <c r="HK62" s="28">
        <f>SUMPRODUCT(INDEX(PortfolioRef[[SPY]:[PE]],MATCH(HK$1,PortfolioRef[Reference '#]),0),AssetMonthlyReturns[[#This Row],[SPY]:[PE]])</f>
        <v>2.0998695550581637E-2</v>
      </c>
      <c r="HL62" s="27">
        <f>IF(ISNUMBER(HL61),HL61*(1+PortfolioFrontier[[#This Row],[P55 Return]]),1+PortfolioFrontier[[#This Row],[P55 Return]])</f>
        <v>1.5382034567225789</v>
      </c>
      <c r="HM62" s="27">
        <f>MAX(HM61,PortfolioFrontier[[#This Row],[P55 Growth]])</f>
        <v>1.5382034567225789</v>
      </c>
      <c r="HN62" s="27">
        <f>PortfolioFrontier[[#This Row],[P55 Growth]]/PortfolioFrontier[[#This Row],[P55 HWM]]-1</f>
        <v>0</v>
      </c>
      <c r="HO62" s="28">
        <f>SUMPRODUCT(INDEX(PortfolioRef[[SPY]:[PE]],MATCH(HO$1,PortfolioRef[Reference '#]),0),AssetMonthlyReturns[[#This Row],[SPY]:[PE]])</f>
        <v>1.7921949367766945E-2</v>
      </c>
      <c r="HP62" s="27">
        <f>IF(ISNUMBER(HP61),HP61*(1+PortfolioFrontier[[#This Row],[P56 Return]]),1+PortfolioFrontier[[#This Row],[P56 Return]])</f>
        <v>1.5198284792897774</v>
      </c>
      <c r="HQ62" s="27">
        <f>MAX(HQ61,PortfolioFrontier[[#This Row],[P56 Growth]])</f>
        <v>1.5198284792897774</v>
      </c>
      <c r="HR62" s="27">
        <f>PortfolioFrontier[[#This Row],[P56 Growth]]/PortfolioFrontier[[#This Row],[P56 HWM]]-1</f>
        <v>0</v>
      </c>
      <c r="HS62" s="28">
        <f>SUMPRODUCT(INDEX(PortfolioRef[[SPY]:[PE]],MATCH(HS$1,PortfolioRef[Reference '#]),0),AssetMonthlyReturns[[#This Row],[SPY]:[PE]])</f>
        <v>1.4845203184952251E-2</v>
      </c>
      <c r="HT62" s="27">
        <f>IF(ISNUMBER(HT61),HT61*(1+PortfolioFrontier[[#This Row],[P57 Return]]),1+PortfolioFrontier[[#This Row],[P57 Return]])</f>
        <v>1.5011241087712437</v>
      </c>
      <c r="HU62" s="27">
        <f>MAX(HU61,PortfolioFrontier[[#This Row],[P57 Growth]])</f>
        <v>1.5011241087712437</v>
      </c>
      <c r="HV62" s="27">
        <f>PortfolioFrontier[[#This Row],[P57 Growth]]/PortfolioFrontier[[#This Row],[P57 HWM]]-1</f>
        <v>0</v>
      </c>
      <c r="HW62" s="28">
        <f>SUMPRODUCT(INDEX(PortfolioRef[[SPY]:[PE]],MATCH(HW$1,PortfolioRef[Reference '#]),0),AssetMonthlyReturns[[#This Row],[SPY]:[PE]])</f>
        <v>2.3840762079067521E-2</v>
      </c>
      <c r="HX62" s="27">
        <f>IF(ISNUMBER(HX61),HX61*(1+PortfolioFrontier[[#This Row],[P58 Return]]),1+PortfolioFrontier[[#This Row],[P58 Return]])</f>
        <v>1.5405563587946791</v>
      </c>
      <c r="HY62" s="27">
        <f>MAX(HY61,PortfolioFrontier[[#This Row],[P58 Growth]])</f>
        <v>1.5405563587946791</v>
      </c>
      <c r="HZ62" s="27">
        <f>PortfolioFrontier[[#This Row],[P58 Growth]]/PortfolioFrontier[[#This Row],[P58 HWM]]-1</f>
        <v>0</v>
      </c>
      <c r="IA62" s="28">
        <f>SUMPRODUCT(INDEX(PortfolioRef[[SPY]:[PE]],MATCH(IA$1,PortfolioRef[Reference '#]),0),AssetMonthlyReturns[[#This Row],[SPY]:[PE]])</f>
        <v>2.0764015896252829E-2</v>
      </c>
      <c r="IB62" s="27">
        <f>IF(ISNUMBER(IB61),IB61*(1+PortfolioFrontier[[#This Row],[P59 Return]]),1+PortfolioFrontier[[#This Row],[P59 Return]])</f>
        <v>1.5226019890672873</v>
      </c>
      <c r="IC62" s="27">
        <f>MAX(IC61,PortfolioFrontier[[#This Row],[P59 Growth]])</f>
        <v>1.5226019890672873</v>
      </c>
      <c r="ID62" s="27">
        <f>PortfolioFrontier[[#This Row],[P59 Growth]]/PortfolioFrontier[[#This Row],[P59 HWM]]-1</f>
        <v>0</v>
      </c>
      <c r="IE62" s="28">
        <f>SUMPRODUCT(INDEX(PortfolioRef[[SPY]:[PE]],MATCH(IE$1,PortfolioRef[Reference '#]),0),AssetMonthlyReturns[[#This Row],[SPY]:[PE]])</f>
        <v>1.7687269713438133E-2</v>
      </c>
      <c r="IF62" s="27">
        <f>IF(ISNUMBER(IF61),IF61*(1+PortfolioFrontier[[#This Row],[P60 Return]]),1+PortfolioFrontier[[#This Row],[P60 Return]])</f>
        <v>1.5043028868693522</v>
      </c>
      <c r="IG62" s="27">
        <f>MAX(IG61,PortfolioFrontier[[#This Row],[P60 Growth]])</f>
        <v>1.5043028868693522</v>
      </c>
      <c r="IH62" s="27">
        <f>PortfolioFrontier[[#This Row],[P60 Growth]]/PortfolioFrontier[[#This Row],[P60 HWM]]-1</f>
        <v>0</v>
      </c>
      <c r="II62" s="28">
        <f>SUMPRODUCT(INDEX(PortfolioRef[[SPY]:[PE]],MATCH(II$1,PortfolioRef[Reference '#]),0),AssetMonthlyReturns[[#This Row],[SPY]:[PE]])</f>
        <v>9.7913417956329452E-3</v>
      </c>
      <c r="IJ62" s="27">
        <f>IF(ISNUMBER(IJ61),IJ61*(1+PortfolioFrontier[[#This Row],[P61 Return]]),1+PortfolioFrontier[[#This Row],[P61 Return]])</f>
        <v>1.4438819689511055</v>
      </c>
      <c r="IK62" s="27">
        <f>MAX(IK61,PortfolioFrontier[[#This Row],[P61 Growth]])</f>
        <v>1.4438819689511055</v>
      </c>
      <c r="IL62" s="27">
        <f>PortfolioFrontier[[#This Row],[P61 Growth]]/PortfolioFrontier[[#This Row],[P61 HWM]]-1</f>
        <v>0</v>
      </c>
      <c r="IM62" s="28">
        <f>SUMPRODUCT(INDEX(PortfolioRef[[SPY]:[PE]],MATCH(IM$1,PortfolioRef[Reference '#]),0),AssetMonthlyReturns[[#This Row],[SPY]:[PE]])</f>
        <v>9.7933747084735321E-3</v>
      </c>
      <c r="IN62" s="27">
        <f>IF(ISNUMBER(IN61),IN61*(1+PortfolioFrontier[[#This Row],[P62 Return]]),1+PortfolioFrontier[[#This Row],[P62 Return]])</f>
        <v>1.4534918388433233</v>
      </c>
      <c r="IO62" s="27">
        <f>MAX(IO61,PortfolioFrontier[[#This Row],[P62 Growth]])</f>
        <v>1.4542528312084855</v>
      </c>
      <c r="IP62" s="27">
        <f>PortfolioFrontier[[#This Row],[P62 Growth]]/PortfolioFrontier[[#This Row],[P62 HWM]]-1</f>
        <v>-5.2328752527153188E-4</v>
      </c>
      <c r="IQ62" s="28">
        <f>SUMPRODUCT(INDEX(PortfolioRef[[SPY]:[PE]],MATCH(IQ$1,PortfolioRef[Reference '#]),0),AssetMonthlyReturns[[#This Row],[SPY]:[PE]])</f>
        <v>1.263544123695942E-2</v>
      </c>
      <c r="IR62" s="27">
        <f>IF(ISNUMBER(IR61),IR61*(1+PortfolioFrontier[[#This Row],[P63 Return]]),1+PortfolioFrontier[[#This Row],[P63 Return]])</f>
        <v>1.4574111903108316</v>
      </c>
      <c r="IS62" s="27">
        <f>MAX(IS61,PortfolioFrontier[[#This Row],[P63 Growth]])</f>
        <v>1.4574111903108316</v>
      </c>
      <c r="IT62" s="27">
        <f>PortfolioFrontier[[#This Row],[P63 Growth]]/PortfolioFrontier[[#This Row],[P63 HWM]]-1</f>
        <v>0</v>
      </c>
      <c r="IU62" s="28">
        <f>SUMPRODUCT(INDEX(PortfolioRef[[SPY]:[PE]],MATCH(IU$1,PortfolioRef[Reference '#]),0),AssetMonthlyReturns[[#This Row],[SPY]:[PE]])</f>
        <v>9.5586950541447276E-3</v>
      </c>
      <c r="IV62" s="27">
        <f>IF(ISNUMBER(IV61),IV61*(1+PortfolioFrontier[[#This Row],[P64 Return]]),1+PortfolioFrontier[[#This Row],[P64 Return]])</f>
        <v>1.4388070831946824</v>
      </c>
      <c r="IW62" s="27">
        <f>MAX(IW61,PortfolioFrontier[[#This Row],[P64 Growth]])</f>
        <v>1.4388070831946824</v>
      </c>
      <c r="IX62" s="27">
        <f>PortfolioFrontier[[#This Row],[P64 Growth]]/PortfolioFrontier[[#This Row],[P64 HWM]]-1</f>
        <v>0</v>
      </c>
      <c r="IY62" s="28">
        <f>SUMPRODUCT(INDEX(PortfolioRef[[SPY]:[PE]],MATCH(IY$1,PortfolioRef[Reference '#]),0),AssetMonthlyReturns[[#This Row],[SPY]:[PE]])</f>
        <v>9.7954076213141207E-3</v>
      </c>
      <c r="IZ62" s="27">
        <f>IF(ISNUMBER(IZ61),IZ61*(1+PortfolioFrontier[[#This Row],[P65 Return]]),1+PortfolioFrontier[[#This Row],[P65 Return]])</f>
        <v>1.4629290809151136</v>
      </c>
      <c r="JA62" s="27">
        <f>MAX(JA61,PortfolioFrontier[[#This Row],[P65 Growth]])</f>
        <v>1.4691007428606426</v>
      </c>
      <c r="JB62" s="27">
        <f>PortfolioFrontier[[#This Row],[P65 Growth]]/PortfolioFrontier[[#This Row],[P65 HWM]]-1</f>
        <v>-4.200979391999704E-3</v>
      </c>
      <c r="JC62" s="28">
        <f>SUMPRODUCT(INDEX(PortfolioRef[[SPY]:[PE]],MATCH(JC$1,PortfolioRef[Reference '#]),0),AssetMonthlyReturns[[#This Row],[SPY]:[PE]])</f>
        <v>1.2637474149800008E-2</v>
      </c>
      <c r="JD62" s="27">
        <f>IF(ISNUMBER(JD61),JD61*(1+PortfolioFrontier[[#This Row],[P66 Return]]),1+PortfolioFrontier[[#This Row],[P66 Return]])</f>
        <v>1.467105366619311</v>
      </c>
      <c r="JE62" s="27">
        <f>MAX(JE61,PortfolioFrontier[[#This Row],[P66 Growth]])</f>
        <v>1.467105366619311</v>
      </c>
      <c r="JF62" s="27">
        <f>PortfolioFrontier[[#This Row],[P66 Growth]]/PortfolioFrontier[[#This Row],[P66 HWM]]-1</f>
        <v>0</v>
      </c>
      <c r="JG62" s="28">
        <f>SUMPRODUCT(INDEX(PortfolioRef[[SPY]:[PE]],MATCH(JG$1,PortfolioRef[Reference '#]),0),AssetMonthlyReturns[[#This Row],[SPY]:[PE]])</f>
        <v>9.5607279669853162E-3</v>
      </c>
      <c r="JH62" s="27">
        <f>IF(ISNUMBER(JH61),JH61*(1+PortfolioFrontier[[#This Row],[P67 Return]]),1+PortfolioFrontier[[#This Row],[P67 Return]])</f>
        <v>1.4484028226857721</v>
      </c>
      <c r="JI62" s="27">
        <f>MAX(JI61,PortfolioFrontier[[#This Row],[P67 Growth]])</f>
        <v>1.4484028226857721</v>
      </c>
      <c r="JJ62" s="27">
        <f>PortfolioFrontier[[#This Row],[P67 Growth]]/PortfolioFrontier[[#This Row],[P67 HWM]]-1</f>
        <v>0</v>
      </c>
      <c r="JK62" s="28">
        <f>SUMPRODUCT(INDEX(PortfolioRef[[SPY]:[PE]],MATCH(JK$1,PortfolioRef[Reference '#]),0),AssetMonthlyReturns[[#This Row],[SPY]:[PE]])</f>
        <v>1.5479540678285896E-2</v>
      </c>
      <c r="JL62" s="27">
        <f>IF(ISNUMBER(JL61),JL61*(1+PortfolioFrontier[[#This Row],[P68 Return]]),1+PortfolioFrontier[[#This Row],[P68 Return]])</f>
        <v>1.4706078574990242</v>
      </c>
      <c r="JM62" s="27">
        <f>MAX(JM61,PortfolioFrontier[[#This Row],[P68 Growth]])</f>
        <v>1.4706078574990242</v>
      </c>
      <c r="JN62" s="27">
        <f>PortfolioFrontier[[#This Row],[P68 Growth]]/PortfolioFrontier[[#This Row],[P68 HWM]]-1</f>
        <v>0</v>
      </c>
      <c r="JO62" s="28">
        <f>SUMPRODUCT(INDEX(PortfolioRef[[SPY]:[PE]],MATCH(JO$1,PortfolioRef[Reference '#]),0),AssetMonthlyReturns[[#This Row],[SPY]:[PE]])</f>
        <v>1.2402794495471204E-2</v>
      </c>
      <c r="JP62" s="27">
        <f>IF(ISNUMBER(JP61),JP61*(1+PortfolioFrontier[[#This Row],[P69 Return]]),1+PortfolioFrontier[[#This Row],[P69 Return]])</f>
        <v>1.4522794940211166</v>
      </c>
      <c r="JQ62" s="27">
        <f>MAX(JQ61,PortfolioFrontier[[#This Row],[P69 Growth]])</f>
        <v>1.4522794940211166</v>
      </c>
      <c r="JR62" s="27">
        <f>PortfolioFrontier[[#This Row],[P69 Growth]]/PortfolioFrontier[[#This Row],[P69 HWM]]-1</f>
        <v>0</v>
      </c>
      <c r="JS62" s="28">
        <f>SUMPRODUCT(INDEX(PortfolioRef[[SPY]:[PE]],MATCH(JS$1,PortfolioRef[Reference '#]),0),AssetMonthlyReturns[[#This Row],[SPY]:[PE]])</f>
        <v>9.32604831265651E-3</v>
      </c>
      <c r="JT62" s="27">
        <f>IF(ISNUMBER(JT61),JT61*(1+PortfolioFrontier[[#This Row],[P70 Return]]),1+PortfolioFrontier[[#This Row],[P70 Return]])</f>
        <v>1.4336604494024234</v>
      </c>
      <c r="JU62" s="27">
        <f>MAX(JU61,PortfolioFrontier[[#This Row],[P70 Growth]])</f>
        <v>1.4336604494024234</v>
      </c>
      <c r="JV62" s="27">
        <f>PortfolioFrontier[[#This Row],[P70 Growth]]/PortfolioFrontier[[#This Row],[P70 HWM]]-1</f>
        <v>0</v>
      </c>
      <c r="JW62" s="28">
        <f>SUMPRODUCT(INDEX(PortfolioRef[[SPY]:[PE]],MATCH(JW$1,PortfolioRef[Reference '#]),0),AssetMonthlyReturns[[#This Row],[SPY]:[PE]])</f>
        <v>1.2639507062640595E-2</v>
      </c>
      <c r="JX62" s="27">
        <f>IF(ISNUMBER(JX61),JX61*(1+PortfolioFrontier[[#This Row],[P71 Return]]),1+PortfolioFrontier[[#This Row],[P71 Return]])</f>
        <v>1.4766256527987289</v>
      </c>
      <c r="JY62" s="27">
        <f>MAX(JY61,PortfolioFrontier[[#This Row],[P71 Growth]])</f>
        <v>1.4766256527987289</v>
      </c>
      <c r="JZ62" s="27">
        <f>PortfolioFrontier[[#This Row],[P71 Growth]]/PortfolioFrontier[[#This Row],[P71 HWM]]-1</f>
        <v>0</v>
      </c>
      <c r="KA62" s="28">
        <f>SUMPRODUCT(INDEX(PortfolioRef[[SPY]:[PE]],MATCH(KA$1,PortfolioRef[Reference '#]),0),AssetMonthlyReturns[[#This Row],[SPY]:[PE]])</f>
        <v>9.5627608798259031E-3</v>
      </c>
      <c r="KB62" s="27">
        <f>IF(ISNUMBER(KB61),KB61*(1+PortfolioFrontier[[#This Row],[P72 Return]]),1+PortfolioFrontier[[#This Row],[P72 Return]])</f>
        <v>1.457826817785256</v>
      </c>
      <c r="KC62" s="27">
        <f>MAX(KC61,PortfolioFrontier[[#This Row],[P72 Growth]])</f>
        <v>1.462831410499964</v>
      </c>
      <c r="KD62" s="27">
        <f>PortfolioFrontier[[#This Row],[P72 Growth]]/PortfolioFrontier[[#This Row],[P72 HWM]]-1</f>
        <v>-3.4211684810606657E-3</v>
      </c>
      <c r="KE62" s="28">
        <f>SUMPRODUCT(INDEX(PortfolioRef[[SPY]:[PE]],MATCH(KE$1,PortfolioRef[Reference '#]),0),AssetMonthlyReturns[[#This Row],[SPY]:[PE]])</f>
        <v>1.5481573591126483E-2</v>
      </c>
      <c r="KF62" s="27">
        <f>IF(ISNUMBER(KF61),KF61*(1+PortfolioFrontier[[#This Row],[P73 Return]]),1+PortfolioFrontier[[#This Row],[P73 Return]])</f>
        <v>1.480384140917836</v>
      </c>
      <c r="KG62" s="27">
        <f>MAX(KG61,PortfolioFrontier[[#This Row],[P73 Growth]])</f>
        <v>1.480384140917836</v>
      </c>
      <c r="KH62" s="27">
        <f>PortfolioFrontier[[#This Row],[P73 Growth]]/PortfolioFrontier[[#This Row],[P73 HWM]]-1</f>
        <v>0</v>
      </c>
      <c r="KI62" s="28">
        <f>SUMPRODUCT(INDEX(PortfolioRef[[SPY]:[PE]],MATCH(KI$1,PortfolioRef[Reference '#]),0),AssetMonthlyReturns[[#This Row],[SPY]:[PE]])</f>
        <v>1.2404827408311791E-2</v>
      </c>
      <c r="KJ62" s="27">
        <f>IF(ISNUMBER(KJ61),KJ61*(1+PortfolioFrontier[[#This Row],[P74 Return]]),1+PortfolioFrontier[[#This Row],[P74 Return]])</f>
        <v>1.4619593564431359</v>
      </c>
      <c r="KK62" s="27">
        <f>MAX(KK61,PortfolioFrontier[[#This Row],[P74 Growth]])</f>
        <v>1.4619593564431359</v>
      </c>
      <c r="KL62" s="27">
        <f>PortfolioFrontier[[#This Row],[P74 Growth]]/PortfolioFrontier[[#This Row],[P74 HWM]]-1</f>
        <v>0</v>
      </c>
      <c r="KM62" s="28">
        <f>SUMPRODUCT(INDEX(PortfolioRef[[SPY]:[PE]],MATCH(KM$1,PortfolioRef[Reference '#]),0),AssetMonthlyReturns[[#This Row],[SPY]:[PE]])</f>
        <v>9.3280812254970969E-3</v>
      </c>
      <c r="KN62" s="27">
        <f>IF(ISNUMBER(KN61),KN61*(1+PortfolioFrontier[[#This Row],[P75 Return]]),1+PortfolioFrontier[[#This Row],[P75 Return]])</f>
        <v>1.4432414533032911</v>
      </c>
      <c r="KO62" s="27">
        <f>MAX(KO61,PortfolioFrontier[[#This Row],[P75 Growth]])</f>
        <v>1.4432414533032911</v>
      </c>
      <c r="KP62" s="27">
        <f>PortfolioFrontier[[#This Row],[P75 Growth]]/PortfolioFrontier[[#This Row],[P75 HWM]]-1</f>
        <v>0</v>
      </c>
      <c r="KQ62" s="28">
        <f>SUMPRODUCT(INDEX(PortfolioRef[[SPY]:[PE]],MATCH(KQ$1,PortfolioRef[Reference '#]),0),AssetMonthlyReturns[[#This Row],[SPY]:[PE]])</f>
        <v>1.8323640119612371E-2</v>
      </c>
      <c r="KR62" s="27">
        <f>IF(ISNUMBER(KR61),KR61*(1+PortfolioFrontier[[#This Row],[P76 Return]]),1+PortfolioFrontier[[#This Row],[P76 Return]])</f>
        <v>1.4834573634024388</v>
      </c>
      <c r="KS62" s="27">
        <f>MAX(KS61,PortfolioFrontier[[#This Row],[P76 Growth]])</f>
        <v>1.4834573634024388</v>
      </c>
      <c r="KT62" s="27">
        <f>PortfolioFrontier[[#This Row],[P76 Growth]]/PortfolioFrontier[[#This Row],[P76 HWM]]-1</f>
        <v>0</v>
      </c>
      <c r="KU62" s="28">
        <f>SUMPRODUCT(INDEX(PortfolioRef[[SPY]:[PE]],MATCH(KU$1,PortfolioRef[Reference '#]),0),AssetMonthlyReturns[[#This Row],[SPY]:[PE]])</f>
        <v>1.5246893936797679E-2</v>
      </c>
      <c r="KV62" s="27">
        <f>IF(ISNUMBER(KV61),KV61*(1+PortfolioFrontier[[#This Row],[P77 Return]]),1+PortfolioFrontier[[#This Row],[P77 Return]])</f>
        <v>1.4654203663567091</v>
      </c>
      <c r="KW62" s="27">
        <f>MAX(KW61,PortfolioFrontier[[#This Row],[P77 Growth]])</f>
        <v>1.4654203663567091</v>
      </c>
      <c r="KX62" s="27">
        <f>PortfolioFrontier[[#This Row],[P77 Growth]]/PortfolioFrontier[[#This Row],[P77 HWM]]-1</f>
        <v>0</v>
      </c>
      <c r="KY62" s="28">
        <f>SUMPRODUCT(INDEX(PortfolioRef[[SPY]:[PE]],MATCH(KY$1,PortfolioRef[Reference '#]),0),AssetMonthlyReturns[[#This Row],[SPY]:[PE]])</f>
        <v>1.2170147753982985E-2</v>
      </c>
      <c r="KZ62" s="27">
        <f>IF(ISNUMBER(KZ61),KZ61*(1+PortfolioFrontier[[#This Row],[P78 Return]]),1+PortfolioFrontier[[#This Row],[P78 Return]])</f>
        <v>1.4470753411281621</v>
      </c>
      <c r="LA62" s="27">
        <f>MAX(LA61,PortfolioFrontier[[#This Row],[P78 Growth]])</f>
        <v>1.4470753411281621</v>
      </c>
      <c r="LB62" s="27">
        <f>PortfolioFrontier[[#This Row],[P78 Growth]]/PortfolioFrontier[[#This Row],[P78 HWM]]-1</f>
        <v>0</v>
      </c>
      <c r="LC62" s="28">
        <f>SUMPRODUCT(INDEX(PortfolioRef[[SPY]:[PE]],MATCH(LC$1,PortfolioRef[Reference '#]),0),AssetMonthlyReturns[[#This Row],[SPY]:[PE]])</f>
        <v>1.548360650396707E-2</v>
      </c>
      <c r="LD62" s="27">
        <f>IF(ISNUMBER(LD61),LD61*(1+PortfolioFrontier[[#This Row],[P79 Return]]),1+PortfolioFrontier[[#This Row],[P79 Return]])</f>
        <v>1.4899853143729196</v>
      </c>
      <c r="LE62" s="27">
        <f>MAX(LE61,PortfolioFrontier[[#This Row],[P79 Growth]])</f>
        <v>1.4899853143729196</v>
      </c>
      <c r="LF62" s="27">
        <f>PortfolioFrontier[[#This Row],[P79 Growth]]/PortfolioFrontier[[#This Row],[P79 HWM]]-1</f>
        <v>0</v>
      </c>
      <c r="LG62" s="28">
        <f>SUMPRODUCT(INDEX(PortfolioRef[[SPY]:[PE]],MATCH(LG$1,PortfolioRef[Reference '#]),0),AssetMonthlyReturns[[#This Row],[SPY]:[PE]])</f>
        <v>1.2406860321152378E-2</v>
      </c>
      <c r="LH62" s="27">
        <f>IF(ISNUMBER(LH61),LH61*(1+PortfolioFrontier[[#This Row],[P80 Return]]),1+PortfolioFrontier[[#This Row],[P80 Return]])</f>
        <v>1.4714662198029045</v>
      </c>
      <c r="LI62" s="27">
        <f>MAX(LI61,PortfolioFrontier[[#This Row],[P80 Growth]])</f>
        <v>1.4714662198029045</v>
      </c>
      <c r="LJ62" s="27">
        <f>PortfolioFrontier[[#This Row],[P80 Growth]]/PortfolioFrontier[[#This Row],[P80 HWM]]-1</f>
        <v>0</v>
      </c>
      <c r="LK62" s="28">
        <f>SUMPRODUCT(INDEX(PortfolioRef[[SPY]:[PE]],MATCH(LK$1,PortfolioRef[Reference '#]),0),AssetMonthlyReturns[[#This Row],[SPY]:[PE]])</f>
        <v>9.3301141383376838E-3</v>
      </c>
      <c r="LL62" s="27">
        <f>IF(ISNUMBER(LL61),LL61*(1+PortfolioFrontier[[#This Row],[P81 Return]]),1+PortfolioFrontier[[#This Row],[P81 Return]])</f>
        <v>1.4526516022661162</v>
      </c>
      <c r="LM62" s="27">
        <f>MAX(LM61,PortfolioFrontier[[#This Row],[P81 Growth]])</f>
        <v>1.4564992639212468</v>
      </c>
      <c r="LN62" s="27">
        <f>PortfolioFrontier[[#This Row],[P81 Growth]]/PortfolioFrontier[[#This Row],[P81 HWM]]-1</f>
        <v>-2.6417189149631204E-3</v>
      </c>
      <c r="LO62" s="28">
        <f>SUMPRODUCT(INDEX(PortfolioRef[[SPY]:[PE]],MATCH(LO$1,PortfolioRef[Reference '#]),0),AssetMonthlyReturns[[#This Row],[SPY]:[PE]])</f>
        <v>1.8325673032452958E-2</v>
      </c>
      <c r="LP62" s="27">
        <f>IF(ISNUMBER(LP61),LP61*(1+PortfolioFrontier[[#This Row],[P82 Return]]),1+PortfolioFrontier[[#This Row],[P82 Return]])</f>
        <v>1.4933134671231452</v>
      </c>
      <c r="LQ62" s="27">
        <f>MAX(LQ61,PortfolioFrontier[[#This Row],[P82 Growth]])</f>
        <v>1.4933134671231452</v>
      </c>
      <c r="LR62" s="27">
        <f>PortfolioFrontier[[#This Row],[P82 Growth]]/PortfolioFrontier[[#This Row],[P82 HWM]]-1</f>
        <v>0</v>
      </c>
      <c r="LS62" s="28">
        <f>SUMPRODUCT(INDEX(PortfolioRef[[SPY]:[PE]],MATCH(LS$1,PortfolioRef[Reference '#]),0),AssetMonthlyReturns[[#This Row],[SPY]:[PE]])</f>
        <v>1.5248926849638265E-2</v>
      </c>
      <c r="LT62" s="27">
        <f>IF(ISNUMBER(LT61),LT61*(1+PortfolioFrontier[[#This Row],[P83 Return]]),1+PortfolioFrontier[[#This Row],[P83 Return]])</f>
        <v>1.4751821554543028</v>
      </c>
      <c r="LU62" s="27">
        <f>MAX(LU61,PortfolioFrontier[[#This Row],[P83 Growth]])</f>
        <v>1.4751821554543028</v>
      </c>
      <c r="LV62" s="27">
        <f>PortfolioFrontier[[#This Row],[P83 Growth]]/PortfolioFrontier[[#This Row],[P83 HWM]]-1</f>
        <v>0</v>
      </c>
      <c r="LW62" s="28">
        <f>SUMPRODUCT(INDEX(PortfolioRef[[SPY]:[PE]],MATCH(LW$1,PortfolioRef[Reference '#]),0),AssetMonthlyReturns[[#This Row],[SPY]:[PE]])</f>
        <v>1.2172180666823572E-2</v>
      </c>
      <c r="LX62" s="27">
        <f>IF(ISNUMBER(LX61),LX61*(1+PortfolioFrontier[[#This Row],[P84 Return]]),1+PortfolioFrontier[[#This Row],[P84 Return]])</f>
        <v>1.4567402785811578</v>
      </c>
      <c r="LY62" s="27">
        <f>MAX(LY61,PortfolioFrontier[[#This Row],[P84 Growth]])</f>
        <v>1.4567402785811578</v>
      </c>
      <c r="LZ62" s="27">
        <f>PortfolioFrontier[[#This Row],[P84 Growth]]/PortfolioFrontier[[#This Row],[P84 HWM]]-1</f>
        <v>0</v>
      </c>
      <c r="MA62" s="28">
        <f>SUMPRODUCT(INDEX(PortfolioRef[[SPY]:[PE]],MATCH(MA$1,PortfolioRef[Reference '#]),0),AssetMonthlyReturns[[#This Row],[SPY]:[PE]])</f>
        <v>2.1167739560938845E-2</v>
      </c>
      <c r="MB62" s="27">
        <f>IF(ISNUMBER(MB61),MB61*(1+PortfolioFrontier[[#This Row],[P85 Return]]),1+PortfolioFrontier[[#This Row],[P85 Return]])</f>
        <v>1.4959450698220877</v>
      </c>
      <c r="MC62" s="27">
        <f>MAX(MC61,PortfolioFrontier[[#This Row],[P85 Growth]])</f>
        <v>1.4959450698220877</v>
      </c>
      <c r="MD62" s="27">
        <f>PortfolioFrontier[[#This Row],[P85 Growth]]/PortfolioFrontier[[#This Row],[P85 HWM]]-1</f>
        <v>0</v>
      </c>
      <c r="ME62" s="28">
        <f>SUMPRODUCT(INDEX(PortfolioRef[[SPY]:[PE]],MATCH(ME$1,PortfolioRef[Reference '#]),0),AssetMonthlyReturns[[#This Row],[SPY]:[PE]])</f>
        <v>1.8090993378124153E-2</v>
      </c>
      <c r="MF62" s="27">
        <f>IF(ISNUMBER(MF61),MF61*(1+PortfolioFrontier[[#This Row],[P86 Return]]),1+PortfolioFrontier[[#This Row],[P86 Return]])</f>
        <v>1.4782151572043998</v>
      </c>
      <c r="MG62" s="27">
        <f>MAX(MG61,PortfolioFrontier[[#This Row],[P86 Growth]])</f>
        <v>1.4782151572043998</v>
      </c>
      <c r="MH62" s="27">
        <f>PortfolioFrontier[[#This Row],[P86 Growth]]/PortfolioFrontier[[#This Row],[P86 HWM]]-1</f>
        <v>0</v>
      </c>
      <c r="MI62" s="28">
        <f>SUMPRODUCT(INDEX(PortfolioRef[[SPY]:[PE]],MATCH(MI$1,PortfolioRef[Reference '#]),0),AssetMonthlyReturns[[#This Row],[SPY]:[PE]])</f>
        <v>1.5014247195309459E-2</v>
      </c>
      <c r="MJ62" s="27">
        <f>IF(ISNUMBER(MJ61),MJ61*(1+PortfolioFrontier[[#This Row],[P87 Return]]),1+PortfolioFrontier[[#This Row],[P87 Return]])</f>
        <v>1.4601597222512479</v>
      </c>
      <c r="MK62" s="27">
        <f>MAX(MK61,PortfolioFrontier[[#This Row],[P87 Growth]])</f>
        <v>1.4601597222512479</v>
      </c>
      <c r="ML62" s="27">
        <f>PortfolioFrontier[[#This Row],[P87 Growth]]/PortfolioFrontier[[#This Row],[P87 HWM]]-1</f>
        <v>0</v>
      </c>
      <c r="MM62" s="28">
        <f>SUMPRODUCT(INDEX(PortfolioRef[[SPY]:[PE]],MATCH(MM$1,PortfolioRef[Reference '#]),0),AssetMonthlyReturns[[#This Row],[SPY]:[PE]])</f>
        <v>1.8327705945293548E-2</v>
      </c>
      <c r="MN62" s="27">
        <f>IF(ISNUMBER(MN61),MN61*(1+PortfolioFrontier[[#This Row],[P88 Return]]),1+PortfolioFrontier[[#This Row],[P88 Return]])</f>
        <v>1.502993284974647</v>
      </c>
      <c r="MO62" s="27">
        <f>MAX(MO61,PortfolioFrontier[[#This Row],[P88 Growth]])</f>
        <v>1.502993284974647</v>
      </c>
      <c r="MP62" s="27">
        <f>PortfolioFrontier[[#This Row],[P88 Growth]]/PortfolioFrontier[[#This Row],[P88 HWM]]-1</f>
        <v>0</v>
      </c>
      <c r="MQ62" s="28">
        <f>SUMPRODUCT(INDEX(PortfolioRef[[SPY]:[PE]],MATCH(MQ$1,PortfolioRef[Reference '#]),0),AssetMonthlyReturns[[#This Row],[SPY]:[PE]])</f>
        <v>1.5250959762478856E-2</v>
      </c>
      <c r="MR62" s="27">
        <f>IF(ISNUMBER(MR61),MR61*(1+PortfolioFrontier[[#This Row],[P89 Return]]),1+PortfolioFrontier[[#This Row],[P89 Return]])</f>
        <v>1.484769733091994</v>
      </c>
      <c r="MS62" s="27">
        <f>MAX(MS61,PortfolioFrontier[[#This Row],[P89 Growth]])</f>
        <v>1.484769733091994</v>
      </c>
      <c r="MT62" s="27">
        <f>PortfolioFrontier[[#This Row],[P89 Growth]]/PortfolioFrontier[[#This Row],[P89 HWM]]-1</f>
        <v>0</v>
      </c>
      <c r="MU62" s="28">
        <f>SUMPRODUCT(INDEX(PortfolioRef[[SPY]:[PE]],MATCH(MU$1,PortfolioRef[Reference '#]),0),AssetMonthlyReturns[[#This Row],[SPY]:[PE]])</f>
        <v>1.2174213579664162E-2</v>
      </c>
      <c r="MV62" s="27">
        <f>IF(ISNUMBER(MV61),MV61*(1+PortfolioFrontier[[#This Row],[P90 Return]]),1+PortfolioFrontier[[#This Row],[P90 Return]])</f>
        <v>1.4662331141055849</v>
      </c>
      <c r="MW62" s="27">
        <f>MAX(MW61,PortfolioFrontier[[#This Row],[P90 Growth]])</f>
        <v>1.4662331141055849</v>
      </c>
      <c r="MX62" s="27">
        <f>PortfolioFrontier[[#This Row],[P90 Growth]]/PortfolioFrontier[[#This Row],[P90 HWM]]-1</f>
        <v>0</v>
      </c>
      <c r="MY62" s="28">
        <f>SUMPRODUCT(INDEX(PortfolioRef[[SPY]:[PE]],MATCH(MY$1,PortfolioRef[Reference '#]),0),AssetMonthlyReturns[[#This Row],[SPY]:[PE]])</f>
        <v>2.1169772473779432E-2</v>
      </c>
      <c r="MZ62" s="27">
        <f>IF(ISNUMBER(MZ61),MZ61*(1+PortfolioFrontier[[#This Row],[P91 Return]]),1+PortfolioFrontier[[#This Row],[P91 Return]])</f>
        <v>1.5058786195972871</v>
      </c>
      <c r="NA62" s="27">
        <f>MAX(NA61,PortfolioFrontier[[#This Row],[P91 Growth]])</f>
        <v>1.5058786195972871</v>
      </c>
      <c r="NB62" s="27">
        <f>PortfolioFrontier[[#This Row],[P91 Growth]]/PortfolioFrontier[[#This Row],[P91 HWM]]-1</f>
        <v>0</v>
      </c>
      <c r="NC62" s="28">
        <f>SUMPRODUCT(INDEX(PortfolioRef[[SPY]:[PE]],MATCH(NC$1,PortfolioRef[Reference '#]),0),AssetMonthlyReturns[[#This Row],[SPY]:[PE]])</f>
        <v>1.809302629096474E-2</v>
      </c>
      <c r="ND62" s="27">
        <f>IF(ISNUMBER(ND61),ND61*(1+PortfolioFrontier[[#This Row],[P92 Return]]),1+PortfolioFrontier[[#This Row],[P92 Return]])</f>
        <v>1.4880565894467661</v>
      </c>
      <c r="NE62" s="27">
        <f>MAX(NE61,PortfolioFrontier[[#This Row],[P92 Growth]])</f>
        <v>1.4880565894467661</v>
      </c>
      <c r="NF62" s="27">
        <f>PortfolioFrontier[[#This Row],[P92 Growth]]/PortfolioFrontier[[#This Row],[P92 HWM]]-1</f>
        <v>0</v>
      </c>
      <c r="NG62" s="28">
        <f>SUMPRODUCT(INDEX(PortfolioRef[[SPY]:[PE]],MATCH(NG$1,PortfolioRef[Reference '#]),0),AssetMonthlyReturns[[#This Row],[SPY]:[PE]])</f>
        <v>1.5016280108150046E-2</v>
      </c>
      <c r="NH62" s="27">
        <f>IF(ISNUMBER(NH61),NH61*(1+PortfolioFrontier[[#This Row],[P93 Return]]),1+PortfolioFrontier[[#This Row],[P93 Return]])</f>
        <v>1.4699064001555153</v>
      </c>
      <c r="NI62" s="27">
        <f>MAX(NI61,PortfolioFrontier[[#This Row],[P93 Growth]])</f>
        <v>1.4699064001555153</v>
      </c>
      <c r="NJ62" s="27">
        <f>PortfolioFrontier[[#This Row],[P93 Growth]]/PortfolioFrontier[[#This Row],[P93 HWM]]-1</f>
        <v>0</v>
      </c>
      <c r="NK62" s="28">
        <f>SUMPRODUCT(INDEX(PortfolioRef[[SPY]:[PE]],MATCH(NK$1,PortfolioRef[Reference '#]),0),AssetMonthlyReturns[[#This Row],[SPY]:[PE]])</f>
        <v>2.4011839002265323E-2</v>
      </c>
      <c r="NL62" s="27">
        <f>IF(ISNUMBER(NL61),NL61*(1+PortfolioFrontier[[#This Row],[P94 Return]]),1+PortfolioFrontier[[#This Row],[P94 Return]])</f>
        <v>1.5080563208465807</v>
      </c>
      <c r="NM62" s="27">
        <f>MAX(NM61,PortfolioFrontier[[#This Row],[P94 Growth]])</f>
        <v>1.5080563208465807</v>
      </c>
      <c r="NN62" s="27">
        <f>PortfolioFrontier[[#This Row],[P94 Growth]]/PortfolioFrontier[[#This Row],[P94 HWM]]-1</f>
        <v>0</v>
      </c>
      <c r="NO62" s="28">
        <f>SUMPRODUCT(INDEX(PortfolioRef[[SPY]:[PE]],MATCH(NO$1,PortfolioRef[Reference '#]),0),AssetMonthlyReturns[[#This Row],[SPY]:[PE]])</f>
        <v>2.0935092819450631E-2</v>
      </c>
      <c r="NP62" s="27">
        <f>IF(ISNUMBER(NP61),NP61*(1+PortfolioFrontier[[#This Row],[P95 Return]]),1+PortfolioFrontier[[#This Row],[P95 Return]])</f>
        <v>1.4906492934553894</v>
      </c>
      <c r="NQ62" s="27">
        <f>MAX(NQ61,PortfolioFrontier[[#This Row],[P95 Growth]])</f>
        <v>1.4906492934553894</v>
      </c>
      <c r="NR62" s="27">
        <f>PortfolioFrontier[[#This Row],[P95 Growth]]/PortfolioFrontier[[#This Row],[P95 HWM]]-1</f>
        <v>0</v>
      </c>
      <c r="NS62" s="28">
        <f>SUMPRODUCT(INDEX(PortfolioRef[[SPY]:[PE]],MATCH(NS$1,PortfolioRef[Reference '#]),0),AssetMonthlyReturns[[#This Row],[SPY]:[PE]])</f>
        <v>1.7858346636635936E-2</v>
      </c>
      <c r="NT62" s="27">
        <f>IF(ISNUMBER(NT61),NT61*(1+PortfolioFrontier[[#This Row],[P96 Return]]),1+PortfolioFrontier[[#This Row],[P96 Return]])</f>
        <v>1.4728991144271353</v>
      </c>
      <c r="NU62" s="27">
        <f>MAX(NU61,PortfolioFrontier[[#This Row],[P96 Growth]])</f>
        <v>1.4728991144271353</v>
      </c>
      <c r="NV62" s="27">
        <f>PortfolioFrontier[[#This Row],[P96 Growth]]/PortfolioFrontier[[#This Row],[P96 HWM]]-1</f>
        <v>0</v>
      </c>
      <c r="NW62" s="28">
        <f>SUMPRODUCT(INDEX(PortfolioRef[[SPY]:[PE]],MATCH(NW$1,PortfolioRef[Reference '#]),0),AssetMonthlyReturns[[#This Row],[SPY]:[PE]])</f>
        <v>7.1183192775042701E-3</v>
      </c>
      <c r="NX62" s="27">
        <f>IF(ISNUMBER(NX61),NX61*(1+PortfolioFrontier[[#This Row],[P97 Return]]),1+PortfolioFrontier[[#This Row],[P97 Return]])</f>
        <v>1.400314186070891</v>
      </c>
      <c r="NY62" s="27">
        <f>MAX(NY61,PortfolioFrontier[[#This Row],[P97 Growth]])</f>
        <v>1.4026456603450133</v>
      </c>
      <c r="NZ62" s="27">
        <f>PortfolioFrontier[[#This Row],[P97 Growth]]/PortfolioFrontier[[#This Row],[P97 HWM]]-1</f>
        <v>-1.6621976170010377E-3</v>
      </c>
      <c r="OA62" s="28">
        <f>SUMPRODUCT(INDEX(PortfolioRef[[SPY]:[PE]],MATCH(OA$1,PortfolioRef[Reference '#]),0),AssetMonthlyReturns[[#This Row],[SPY]:[PE]])</f>
        <v>7.1203521903448587E-3</v>
      </c>
      <c r="OB62" s="27">
        <f>IF(ISNUMBER(OB61),OB61*(1+PortfolioFrontier[[#This Row],[P98 Return]]),1+PortfolioFrontier[[#This Row],[P98 Return]])</f>
        <v>1.4096408382371961</v>
      </c>
      <c r="OC62" s="27">
        <f>MAX(OC61,PortfolioFrontier[[#This Row],[P98 Growth]])</f>
        <v>1.4171995422327441</v>
      </c>
      <c r="OD62" s="27">
        <f>PortfolioFrontier[[#This Row],[P98 Growth]]/PortfolioFrontier[[#This Row],[P98 HWM]]-1</f>
        <v>-5.3335495604518446E-3</v>
      </c>
      <c r="OE62" s="28">
        <f>SUMPRODUCT(INDEX(PortfolioRef[[SPY]:[PE]],MATCH(OE$1,PortfolioRef[Reference '#]),0),AssetMonthlyReturns[[#This Row],[SPY]:[PE]])</f>
        <v>9.9624187188307439E-3</v>
      </c>
      <c r="OF62" s="27">
        <f>IF(ISNUMBER(OF61),OF61*(1+PortfolioFrontier[[#This Row],[P99 Return]]),1+PortfolioFrontier[[#This Row],[P99 Return]])</f>
        <v>1.4137620287586417</v>
      </c>
      <c r="OG62" s="27">
        <f>MAX(OG61,PortfolioFrontier[[#This Row],[P99 Growth]])</f>
        <v>1.4137620287586417</v>
      </c>
      <c r="OH62" s="27">
        <f>PortfolioFrontier[[#This Row],[P99 Growth]]/PortfolioFrontier[[#This Row],[P99 HWM]]-1</f>
        <v>0</v>
      </c>
      <c r="OI62" s="28">
        <f>SUMPRODUCT(INDEX(PortfolioRef[[SPY]:[PE]],MATCH(OI$1,PortfolioRef[Reference '#]),0),AssetMonthlyReturns[[#This Row],[SPY]:[PE]])</f>
        <v>6.8856725360160517E-3</v>
      </c>
      <c r="OJ62" s="27">
        <f>IF(ISNUMBER(OJ61),OJ61*(1+PortfolioFrontier[[#This Row],[P100 Return]]),1+PortfolioFrontier[[#This Row],[P100 Return]])</f>
        <v>1.395443128789212</v>
      </c>
      <c r="OK62" s="27">
        <f>MAX(OK61,PortfolioFrontier[[#This Row],[P100 Growth]])</f>
        <v>1.3966769811800048</v>
      </c>
      <c r="OL62" s="27">
        <f>PortfolioFrontier[[#This Row],[P100 Growth]]/PortfolioFrontier[[#This Row],[P100 HWM]]-1</f>
        <v>-8.8342000864827241E-4</v>
      </c>
      <c r="OM62" s="28">
        <f>SUMPRODUCT(INDEX(PortfolioRef[[SPY]:[PE]],MATCH(OM$1,PortfolioRef[Reference '#]),0),AssetMonthlyReturns[[#This Row],[SPY]:[PE]])</f>
        <v>7.1223851031854473E-3</v>
      </c>
      <c r="ON62" s="27">
        <f>IF(ISNUMBER(ON61),ON61*(1+PortfolioFrontier[[#This Row],[P101 Return]]),1+PortfolioFrontier[[#This Row],[P101 Return]])</f>
        <v>1.4187995440195613</v>
      </c>
      <c r="OO62" s="27">
        <f>MAX(OO61,PortfolioFrontier[[#This Row],[P101 Growth]])</f>
        <v>1.4316826255135311</v>
      </c>
      <c r="OP62" s="27">
        <f>PortfolioFrontier[[#This Row],[P101 Growth]]/PortfolioFrontier[[#This Row],[P101 HWM]]-1</f>
        <v>-8.9985596419099867E-3</v>
      </c>
      <c r="OQ62" s="28">
        <f>SUMPRODUCT(INDEX(PortfolioRef[[SPY]:[PE]],MATCH(OQ$1,PortfolioRef[Reference '#]),0),AssetMonthlyReturns[[#This Row],[SPY]:[PE]])</f>
        <v>9.9644516316713342E-3</v>
      </c>
      <c r="OR62" s="27">
        <f>IF(ISNUMBER(OR61),OR61*(1+PortfolioFrontier[[#This Row],[P102 Return]]),1+PortfolioFrontier[[#This Row],[P102 Return]])</f>
        <v>1.4231725972930001</v>
      </c>
      <c r="OS62" s="27">
        <f>MAX(OS61,PortfolioFrontier[[#This Row],[P102 Growth]])</f>
        <v>1.4231725972930001</v>
      </c>
      <c r="OT62" s="27">
        <f>PortfolioFrontier[[#This Row],[P102 Growth]]/PortfolioFrontier[[#This Row],[P102 HWM]]-1</f>
        <v>0</v>
      </c>
      <c r="OU62" s="28">
        <f>SUMPRODUCT(INDEX(PortfolioRef[[SPY]:[PE]],MATCH(OU$1,PortfolioRef[Reference '#]),0),AssetMonthlyReturns[[#This Row],[SPY]:[PE]])</f>
        <v>6.887705448856642E-3</v>
      </c>
      <c r="OV62" s="27">
        <f>IF(ISNUMBER(OV61),OV61*(1+PortfolioFrontier[[#This Row],[P103 Return]]),1+PortfolioFrontier[[#This Row],[P103 Return]])</f>
        <v>1.4047563944420378</v>
      </c>
      <c r="OW62" s="27">
        <f>MAX(OW61,PortfolioFrontier[[#This Row],[P103 Growth]])</f>
        <v>1.4111848636715865</v>
      </c>
      <c r="OX62" s="27">
        <f>PortfolioFrontier[[#This Row],[P103 Growth]]/PortfolioFrontier[[#This Row],[P103 HWM]]-1</f>
        <v>-4.5553700263076813E-3</v>
      </c>
      <c r="OY62" s="28">
        <f>SUMPRODUCT(INDEX(PortfolioRef[[SPY]:[PE]],MATCH(OY$1,PortfolioRef[Reference '#]),0),AssetMonthlyReturns[[#This Row],[SPY]:[PE]])</f>
        <v>1.280651816015722E-2</v>
      </c>
      <c r="OZ62" s="27">
        <f>IF(ISNUMBER(OZ61),OZ61*(1+PortfolioFrontier[[#This Row],[P104 Return]]),1+PortfolioFrontier[[#This Row],[P104 Return]])</f>
        <v>1.4268953302224194</v>
      </c>
      <c r="PA62" s="27">
        <f>MAX(PA61,PortfolioFrontier[[#This Row],[P104 Growth]])</f>
        <v>1.4268953302224194</v>
      </c>
      <c r="PB62" s="27">
        <f>PortfolioFrontier[[#This Row],[P104 Growth]]/PortfolioFrontier[[#This Row],[P104 HWM]]-1</f>
        <v>0</v>
      </c>
      <c r="PC62" s="28">
        <f>SUMPRODUCT(INDEX(PortfolioRef[[SPY]:[PE]],MATCH(PC$1,PortfolioRef[Reference '#]),0),AssetMonthlyReturns[[#This Row],[SPY]:[PE]])</f>
        <v>9.729771977342528E-3</v>
      </c>
      <c r="PD62" s="27">
        <f>IF(ISNUMBER(PD61),PD61*(1+PortfolioFrontier[[#This Row],[P105 Return]]),1+PortfolioFrontier[[#This Row],[P105 Return]])</f>
        <v>1.4088353390614317</v>
      </c>
      <c r="PE62" s="27">
        <f>MAX(PE61,PortfolioFrontier[[#This Row],[P105 Growth]])</f>
        <v>1.4088353390614317</v>
      </c>
      <c r="PF62" s="27">
        <f>PortfolioFrontier[[#This Row],[P105 Growth]]/PortfolioFrontier[[#This Row],[P105 HWM]]-1</f>
        <v>0</v>
      </c>
      <c r="PG62" s="28">
        <f>SUMPRODUCT(INDEX(PortfolioRef[[SPY]:[PE]],MATCH(PG$1,PortfolioRef[Reference '#]),0),AssetMonthlyReturns[[#This Row],[SPY]:[PE]])</f>
        <v>6.6530257945278341E-3</v>
      </c>
      <c r="PH62" s="27">
        <f>IF(ISNUMBER(PH61),PH61*(1+PortfolioFrontier[[#This Row],[P106 Return]]),1+PortfolioFrontier[[#This Row],[P106 Return]])</f>
        <v>1.3905021516682416</v>
      </c>
      <c r="PI62" s="27">
        <f>MAX(PI61,PortfolioFrontier[[#This Row],[P106 Growth]])</f>
        <v>1.3906481771424408</v>
      </c>
      <c r="PJ62" s="27">
        <f>PortfolioFrontier[[#This Row],[P106 Growth]]/PortfolioFrontier[[#This Row],[P106 HWM]]-1</f>
        <v>-1.0500533247681521E-4</v>
      </c>
      <c r="PK62" s="28">
        <f>SUMPRODUCT(INDEX(PortfolioRef[[SPY]:[PE]],MATCH(PK$1,PortfolioRef[Reference '#]),0),AssetMonthlyReturns[[#This Row],[SPY]:[PE]])</f>
        <v>9.9664845445119228E-3</v>
      </c>
      <c r="PL62" s="27">
        <f>IF(ISNUMBER(PL61),PL61*(1+PortfolioFrontier[[#This Row],[P107 Return]]),1+PortfolioFrontier[[#This Row],[P107 Return]])</f>
        <v>1.4324139548771415</v>
      </c>
      <c r="PM62" s="27">
        <f>MAX(PM61,PortfolioFrontier[[#This Row],[P107 Growth]])</f>
        <v>1.4361237347663294</v>
      </c>
      <c r="PN62" s="27">
        <f>PortfolioFrontier[[#This Row],[P107 Growth]]/PortfolioFrontier[[#This Row],[P107 HWM]]-1</f>
        <v>-2.5831895952833639E-3</v>
      </c>
      <c r="PO62" s="28">
        <f>SUMPRODUCT(INDEX(PortfolioRef[[SPY]:[PE]],MATCH(PO$1,PortfolioRef[Reference '#]),0),AssetMonthlyReturns[[#This Row],[SPY]:[PE]])</f>
        <v>6.8897383616972306E-3</v>
      </c>
      <c r="PP62" s="27">
        <f>IF(ISNUMBER(PP61),PP61*(1+PortfolioFrontier[[#This Row],[P108 Return]]),1+PortfolioFrontier[[#This Row],[P108 Return]])</f>
        <v>1.4139025677407644</v>
      </c>
      <c r="PQ62" s="27">
        <f>MAX(PQ61,PortfolioFrontier[[#This Row],[P108 Growth]])</f>
        <v>1.4256225819847221</v>
      </c>
      <c r="PR62" s="27">
        <f>PortfolioFrontier[[#This Row],[P108 Growth]]/PortfolioFrontier[[#This Row],[P108 HWM]]-1</f>
        <v>-8.2209796562294768E-3</v>
      </c>
      <c r="PS62" s="28">
        <f>SUMPRODUCT(INDEX(PortfolioRef[[SPY]:[PE]],MATCH(PS$1,PortfolioRef[Reference '#]),0),AssetMonthlyReturns[[#This Row],[SPY]:[PE]])</f>
        <v>1.2808551072997809E-2</v>
      </c>
      <c r="PT62" s="27">
        <f>IF(ISNUMBER(PT61),PT61*(1+PortfolioFrontier[[#This Row],[P109 Return]]),1+PortfolioFrontier[[#This Row],[P109 Return]])</f>
        <v>1.4363877273984418</v>
      </c>
      <c r="PU62" s="27">
        <f>MAX(PU61,PortfolioFrontier[[#This Row],[P109 Growth]])</f>
        <v>1.4363877273984418</v>
      </c>
      <c r="PV62" s="27">
        <f>PortfolioFrontier[[#This Row],[P109 Growth]]/PortfolioFrontier[[#This Row],[P109 HWM]]-1</f>
        <v>0</v>
      </c>
      <c r="PW62" s="28">
        <f>SUMPRODUCT(INDEX(PortfolioRef[[SPY]:[PE]],MATCH(PW$1,PortfolioRef[Reference '#]),0),AssetMonthlyReturns[[#This Row],[SPY]:[PE]])</f>
        <v>9.7318048901831166E-3</v>
      </c>
      <c r="PX62" s="27">
        <f>IF(ISNUMBER(PX61),PX61*(1+PortfolioFrontier[[#This Row],[P110 Return]]),1+PortfolioFrontier[[#This Row],[P110 Return]])</f>
        <v>1.4182323431123263</v>
      </c>
      <c r="PY62" s="27">
        <f>MAX(PY61,PortfolioFrontier[[#This Row],[P110 Growth]])</f>
        <v>1.4182323431123263</v>
      </c>
      <c r="PZ62" s="27">
        <f>PortfolioFrontier[[#This Row],[P110 Growth]]/PortfolioFrontier[[#This Row],[P110 HWM]]-1</f>
        <v>0</v>
      </c>
      <c r="QA62" s="28">
        <f>SUMPRODUCT(INDEX(PortfolioRef[[SPY]:[PE]],MATCH(QA$1,PortfolioRef[Reference '#]),0),AssetMonthlyReturns[[#This Row],[SPY]:[PE]])</f>
        <v>6.6550587073684227E-3</v>
      </c>
      <c r="QB62" s="27">
        <f>IF(ISNUMBER(QB61),QB61*(1+PortfolioFrontier[[#This Row],[P111 Return]]),1+PortfolioFrontier[[#This Row],[P111 Return]])</f>
        <v>1.399801442595898</v>
      </c>
      <c r="QC62" s="27">
        <f>MAX(QC61,PortfolioFrontier[[#This Row],[P111 Growth]])</f>
        <v>1.405109317167607</v>
      </c>
      <c r="QD62" s="27">
        <f>PortfolioFrontier[[#This Row],[P111 Growth]]/PortfolioFrontier[[#This Row],[P111 HWM]]-1</f>
        <v>-3.7775527546913823E-3</v>
      </c>
      <c r="QE62" s="28">
        <f>SUMPRODUCT(INDEX(PortfolioRef[[SPY]:[PE]],MATCH(QE$1,PortfolioRef[Reference '#]),0),AssetMonthlyReturns[[#This Row],[SPY]:[PE]])</f>
        <v>1.5650617601483698E-2</v>
      </c>
      <c r="QF62" s="27">
        <f>IF(ISNUMBER(QF61),QF61*(1+PortfolioFrontier[[#This Row],[P112 Return]]),1+PortfolioFrontier[[#This Row],[P112 Return]])</f>
        <v>1.4396998382075266</v>
      </c>
      <c r="QG62" s="27">
        <f>MAX(QG61,PortfolioFrontier[[#This Row],[P112 Growth]])</f>
        <v>1.4396998382075266</v>
      </c>
      <c r="QH62" s="27">
        <f>PortfolioFrontier[[#This Row],[P112 Growth]]/PortfolioFrontier[[#This Row],[P112 HWM]]-1</f>
        <v>0</v>
      </c>
      <c r="QI62" s="28">
        <f>SUMPRODUCT(INDEX(PortfolioRef[[SPY]:[PE]],MATCH(QI$1,PortfolioRef[Reference '#]),0),AssetMonthlyReturns[[#This Row],[SPY]:[PE]])</f>
        <v>1.2573871418669004E-2</v>
      </c>
      <c r="QJ62" s="27">
        <f>IF(ISNUMBER(QJ61),QJ61*(1+PortfolioFrontier[[#This Row],[P113 Return]]),1+PortfolioFrontier[[#This Row],[P113 Return]])</f>
        <v>1.4219139503872469</v>
      </c>
      <c r="QK62" s="27">
        <f>MAX(QK61,PortfolioFrontier[[#This Row],[P113 Growth]])</f>
        <v>1.4219139503872469</v>
      </c>
      <c r="QL62" s="27">
        <f>PortfolioFrontier[[#This Row],[P113 Growth]]/PortfolioFrontier[[#This Row],[P113 HWM]]-1</f>
        <v>0</v>
      </c>
      <c r="QM62" s="28">
        <f>SUMPRODUCT(INDEX(PortfolioRef[[SPY]:[PE]],MATCH(QM$1,PortfolioRef[Reference '#]),0),AssetMonthlyReturns[[#This Row],[SPY]:[PE]])</f>
        <v>9.4971252358543104E-3</v>
      </c>
      <c r="QN62" s="27">
        <f>IF(ISNUMBER(QN61),QN61*(1+PortfolioFrontier[[#This Row],[P114 Return]]),1+PortfolioFrontier[[#This Row],[P114 Return]])</f>
        <v>1.4038380242942194</v>
      </c>
      <c r="QO62" s="27">
        <f>MAX(QO61,PortfolioFrontier[[#This Row],[P114 Growth]])</f>
        <v>1.4038380242942194</v>
      </c>
      <c r="QP62" s="27">
        <f>PortfolioFrontier[[#This Row],[P114 Growth]]/PortfolioFrontier[[#This Row],[P114 HWM]]-1</f>
        <v>0</v>
      </c>
      <c r="QQ62" s="28">
        <f>SUMPRODUCT(INDEX(PortfolioRef[[SPY]:[PE]],MATCH(QQ$1,PortfolioRef[Reference '#]),0),AssetMonthlyReturns[[#This Row],[SPY]:[PE]])</f>
        <v>1.2810583985838397E-2</v>
      </c>
      <c r="QR62" s="27">
        <f>IF(ISNUMBER(QR61),QR61*(1+PortfolioFrontier[[#This Row],[P115 Return]]),1+PortfolioFrontier[[#This Row],[P115 Return]])</f>
        <v>1.4457096895840946</v>
      </c>
      <c r="QS62" s="27">
        <f>MAX(QS61,PortfolioFrontier[[#This Row],[P115 Growth]])</f>
        <v>1.4457096895840946</v>
      </c>
      <c r="QT62" s="27">
        <f>PortfolioFrontier[[#This Row],[P115 Growth]]/PortfolioFrontier[[#This Row],[P115 HWM]]-1</f>
        <v>0</v>
      </c>
      <c r="QU62" s="28">
        <f>SUMPRODUCT(INDEX(PortfolioRef[[SPY]:[PE]],MATCH(QU$1,PortfolioRef[Reference '#]),0),AssetMonthlyReturns[[#This Row],[SPY]:[PE]])</f>
        <v>9.7338378030237052E-3</v>
      </c>
      <c r="QV62" s="27">
        <f>IF(ISNUMBER(QV61),QV61*(1+PortfolioFrontier[[#This Row],[P116 Return]]),1+PortfolioFrontier[[#This Row],[P116 Return]])</f>
        <v>1.4274609978059021</v>
      </c>
      <c r="QW62" s="27">
        <f>MAX(QW61,PortfolioFrontier[[#This Row],[P116 Growth]])</f>
        <v>1.4300385622898419</v>
      </c>
      <c r="QX62" s="27">
        <f>PortfolioFrontier[[#This Row],[P116 Growth]]/PortfolioFrontier[[#This Row],[P116 HWM]]-1</f>
        <v>-1.802444040258977E-3</v>
      </c>
      <c r="QY62" s="28">
        <f>SUMPRODUCT(INDEX(PortfolioRef[[SPY]:[PE]],MATCH(QY$1,PortfolioRef[Reference '#]),0),AssetMonthlyReturns[[#This Row],[SPY]:[PE]])</f>
        <v>6.6570916202090113E-3</v>
      </c>
      <c r="QZ62" s="27">
        <f>IF(ISNUMBER(QZ61),QZ61*(1+PortfolioFrontier[[#This Row],[P117 Return]]),1+PortfolioFrontier[[#This Row],[P117 Return]])</f>
        <v>1.4089345011156476</v>
      </c>
      <c r="RA62" s="27">
        <f>MAX(RA61,PortfolioFrontier[[#This Row],[P117 Growth]])</f>
        <v>1.4195009271304138</v>
      </c>
      <c r="RB62" s="27">
        <f>PortfolioFrontier[[#This Row],[P117 Growth]]/PortfolioFrontier[[#This Row],[P117 HWM]]-1</f>
        <v>-7.4437612634228323E-3</v>
      </c>
      <c r="RC62" s="28">
        <f>SUMPRODUCT(INDEX(PortfolioRef[[SPY]:[PE]],MATCH(RC$1,PortfolioRef[Reference '#]),0),AssetMonthlyReturns[[#This Row],[SPY]:[PE]])</f>
        <v>1.5652650514324285E-2</v>
      </c>
      <c r="RD62" s="27">
        <f>IF(ISNUMBER(RD61),RD61*(1+PortfolioFrontier[[#This Row],[P118 Return]]),1+PortfolioFrontier[[#This Row],[P118 Return]])</f>
        <v>1.449271890696104</v>
      </c>
      <c r="RE62" s="27">
        <f>MAX(RE61,PortfolioFrontier[[#This Row],[P118 Growth]])</f>
        <v>1.449271890696104</v>
      </c>
      <c r="RF62" s="27">
        <f>PortfolioFrontier[[#This Row],[P118 Growth]]/PortfolioFrontier[[#This Row],[P118 HWM]]-1</f>
        <v>0</v>
      </c>
      <c r="RG62" s="28">
        <f>SUMPRODUCT(INDEX(PortfolioRef[[SPY]:[PE]],MATCH(RG$1,PortfolioRef[Reference '#]),0),AssetMonthlyReturns[[#This Row],[SPY]:[PE]])</f>
        <v>1.2575904331509591E-2</v>
      </c>
      <c r="RH62" s="27">
        <f>IF(ISNUMBER(RH61),RH61*(1+PortfolioFrontier[[#This Row],[P119 Return]]),1+PortfolioFrontier[[#This Row],[P119 Return]])</f>
        <v>1.4313926078989645</v>
      </c>
      <c r="RI62" s="27">
        <f>MAX(RI61,PortfolioFrontier[[#This Row],[P119 Growth]])</f>
        <v>1.4313926078989645</v>
      </c>
      <c r="RJ62" s="27">
        <f>PortfolioFrontier[[#This Row],[P119 Growth]]/PortfolioFrontier[[#This Row],[P119 HWM]]-1</f>
        <v>0</v>
      </c>
      <c r="RK62" s="28">
        <f>SUMPRODUCT(INDEX(PortfolioRef[[SPY]:[PE]],MATCH(RK$1,PortfolioRef[Reference '#]),0),AssetMonthlyReturns[[#This Row],[SPY]:[PE]])</f>
        <v>9.4991581486948973E-3</v>
      </c>
      <c r="RL62" s="27">
        <f>IF(ISNUMBER(RL61),RL61*(1+PortfolioFrontier[[#This Row],[P120 Return]]),1+PortfolioFrontier[[#This Row],[P120 Return]])</f>
        <v>1.4132208698033655</v>
      </c>
      <c r="RM62" s="27">
        <f>MAX(RM61,PortfolioFrontier[[#This Row],[P120 Growth]])</f>
        <v>1.4132208698033655</v>
      </c>
      <c r="RN62" s="27">
        <f>PortfolioFrontier[[#This Row],[P120 Growth]]/PortfolioFrontier[[#This Row],[P120 HWM]]-1</f>
        <v>0</v>
      </c>
      <c r="RO62" s="28">
        <f>SUMPRODUCT(INDEX(PortfolioRef[[SPY]:[PE]],MATCH(RO$1,PortfolioRef[Reference '#]),0),AssetMonthlyReturns[[#This Row],[SPY]:[PE]])</f>
        <v>1.8494717042810169E-2</v>
      </c>
      <c r="RP62" s="27">
        <f>IF(ISNUMBER(RP61),RP61*(1+PortfolioFrontier[[#This Row],[P121 Return]]),1+PortfolioFrontier[[#This Row],[P121 Return]])</f>
        <v>1.4521612603921601</v>
      </c>
      <c r="RQ62" s="27">
        <f>MAX(RQ61,PortfolioFrontier[[#This Row],[P121 Growth]])</f>
        <v>1.4521612603921601</v>
      </c>
      <c r="RR62" s="27">
        <f>PortfolioFrontier[[#This Row],[P121 Growth]]/PortfolioFrontier[[#This Row],[P121 HWM]]-1</f>
        <v>0</v>
      </c>
      <c r="RS62" s="28">
        <f>SUMPRODUCT(INDEX(PortfolioRef[[SPY]:[PE]],MATCH(RS$1,PortfolioRef[Reference '#]),0),AssetMonthlyReturns[[#This Row],[SPY]:[PE]])</f>
        <v>1.5417970859995477E-2</v>
      </c>
      <c r="RT62" s="27">
        <f>IF(ISNUMBER(RT61),RT61*(1+PortfolioFrontier[[#This Row],[P122 Return]]),1+PortfolioFrontier[[#This Row],[P122 Return]])</f>
        <v>1.434664772074705</v>
      </c>
      <c r="RU62" s="27">
        <f>MAX(RU61,PortfolioFrontier[[#This Row],[P122 Growth]])</f>
        <v>1.434664772074705</v>
      </c>
      <c r="RV62" s="27">
        <f>PortfolioFrontier[[#This Row],[P122 Growth]]/PortfolioFrontier[[#This Row],[P122 HWM]]-1</f>
        <v>0</v>
      </c>
      <c r="RW62" s="28">
        <f>SUMPRODUCT(INDEX(PortfolioRef[[SPY]:[PE]],MATCH(RW$1,PortfolioRef[Reference '#]),0),AssetMonthlyReturns[[#This Row],[SPY]:[PE]])</f>
        <v>1.2341224677180785E-2</v>
      </c>
      <c r="RX62" s="27">
        <f>IF(ISNUMBER(RX61),RX61*(1+PortfolioFrontier[[#This Row],[P123 Return]]),1+PortfolioFrontier[[#This Row],[P123 Return]])</f>
        <v>1.4168612518454728</v>
      </c>
      <c r="RY62" s="27">
        <f>MAX(RY61,PortfolioFrontier[[#This Row],[P123 Growth]])</f>
        <v>1.4168612518454728</v>
      </c>
      <c r="RZ62" s="27">
        <f>PortfolioFrontier[[#This Row],[P123 Growth]]/PortfolioFrontier[[#This Row],[P123 HWM]]-1</f>
        <v>0</v>
      </c>
      <c r="SA62" s="28">
        <f>SUMPRODUCT(INDEX(PortfolioRef[[SPY]:[PE]],MATCH(SA$1,PortfolioRef[Reference '#]),0),AssetMonthlyReturns[[#This Row],[SPY]:[PE]])</f>
        <v>1.5654683427164872E-2</v>
      </c>
      <c r="SB62" s="27">
        <f>IF(ISNUMBER(SB61),SB61*(1+PortfolioFrontier[[#This Row],[P124 Return]]),1+PortfolioFrontier[[#This Row],[P124 Return]])</f>
        <v>1.4586723261065835</v>
      </c>
      <c r="SC62" s="27">
        <f>MAX(SC61,PortfolioFrontier[[#This Row],[P124 Growth]])</f>
        <v>1.4586723261065835</v>
      </c>
      <c r="SD62" s="27">
        <f>PortfolioFrontier[[#This Row],[P124 Growth]]/PortfolioFrontier[[#This Row],[P124 HWM]]-1</f>
        <v>0</v>
      </c>
      <c r="SE62" s="28">
        <f>SUMPRODUCT(INDEX(PortfolioRef[[SPY]:[PE]],MATCH(SE$1,PortfolioRef[Reference '#]),0),AssetMonthlyReturns[[#This Row],[SPY]:[PE]])</f>
        <v>1.257793724435018E-2</v>
      </c>
      <c r="SF62" s="27">
        <f>IF(ISNUMBER(SF61),SF61*(1+PortfolioFrontier[[#This Row],[P125 Return]]),1+PortfolioFrontier[[#This Row],[P125 Return]])</f>
        <v>1.4407016993865653</v>
      </c>
      <c r="SG62" s="27">
        <f>MAX(SG61,PortfolioFrontier[[#This Row],[P125 Growth]])</f>
        <v>1.4407016993865653</v>
      </c>
      <c r="SH62" s="27">
        <f>PortfolioFrontier[[#This Row],[P125 Growth]]/PortfolioFrontier[[#This Row],[P125 HWM]]-1</f>
        <v>0</v>
      </c>
      <c r="SI62" s="28">
        <f>SUMPRODUCT(INDEX(PortfolioRef[[SPY]:[PE]],MATCH(SI$1,PortfolioRef[Reference '#]),0),AssetMonthlyReturns[[#This Row],[SPY]:[PE]])</f>
        <v>9.5011910615354859E-3</v>
      </c>
      <c r="SJ62" s="27">
        <f>IF(ISNUMBER(SJ61),SJ61*(1+PortfolioFrontier[[#This Row],[P126 Return]]),1+PortfolioFrontier[[#This Row],[P126 Return]])</f>
        <v>1.4224362335069587</v>
      </c>
      <c r="SK62" s="27">
        <f>MAX(SK61,PortfolioFrontier[[#This Row],[P126 Growth]])</f>
        <v>1.4238915365438569</v>
      </c>
      <c r="SL62" s="27">
        <f>PortfolioFrontier[[#This Row],[P126 Growth]]/PortfolioFrontier[[#This Row],[P126 HWM]]-1</f>
        <v>-1.0220603181830823E-3</v>
      </c>
      <c r="SM62" s="28">
        <f>SUMPRODUCT(INDEX(PortfolioRef[[SPY]:[PE]],MATCH(SM$1,PortfolioRef[Reference '#]),0),AssetMonthlyReturns[[#This Row],[SPY]:[PE]])</f>
        <v>1.8496749955650756E-2</v>
      </c>
      <c r="SN62" s="27">
        <f>IF(ISNUMBER(SN61),SN61*(1+PortfolioFrontier[[#This Row],[P127 Return]]),1+PortfolioFrontier[[#This Row],[P127 Return]])</f>
        <v>1.4618107092646111</v>
      </c>
      <c r="SO62" s="27">
        <f>MAX(SO61,PortfolioFrontier[[#This Row],[P127 Growth]])</f>
        <v>1.4618107092646111</v>
      </c>
      <c r="SP62" s="27">
        <f>PortfolioFrontier[[#This Row],[P127 Growth]]/PortfolioFrontier[[#This Row],[P127 HWM]]-1</f>
        <v>0</v>
      </c>
      <c r="SQ62" s="28">
        <f>SUMPRODUCT(INDEX(PortfolioRef[[SPY]:[PE]],MATCH(SQ$1,PortfolioRef[Reference '#]),0),AssetMonthlyReturns[[#This Row],[SPY]:[PE]])</f>
        <v>1.5420003772836064E-2</v>
      </c>
      <c r="SR62" s="27">
        <f>IF(ISNUMBER(SR61),SR61*(1+PortfolioFrontier[[#This Row],[P128 Return]]),1+PortfolioFrontier[[#This Row],[P128 Return]])</f>
        <v>1.4442229127239505</v>
      </c>
      <c r="SS62" s="27">
        <f>MAX(SS61,PortfolioFrontier[[#This Row],[P128 Growth]])</f>
        <v>1.4442229127239505</v>
      </c>
      <c r="ST62" s="27">
        <f>PortfolioFrontier[[#This Row],[P128 Growth]]/PortfolioFrontier[[#This Row],[P128 HWM]]-1</f>
        <v>0</v>
      </c>
      <c r="SU62" s="28">
        <f>SUMPRODUCT(INDEX(PortfolioRef[[SPY]:[PE]],MATCH(SU$1,PortfolioRef[Reference '#]),0),AssetMonthlyReturns[[#This Row],[SPY]:[PE]])</f>
        <v>1.2343257590021372E-2</v>
      </c>
      <c r="SV62" s="27">
        <f>IF(ISNUMBER(SV61),SV61*(1+PortfolioFrontier[[#This Row],[P129 Return]]),1+PortfolioFrontier[[#This Row],[P129 Return]])</f>
        <v>1.4263255698864259</v>
      </c>
      <c r="SW62" s="27">
        <f>MAX(SW61,PortfolioFrontier[[#This Row],[P129 Growth]])</f>
        <v>1.4263255698864259</v>
      </c>
      <c r="SX62" s="27">
        <f>PortfolioFrontier[[#This Row],[P129 Growth]]/PortfolioFrontier[[#This Row],[P129 HWM]]-1</f>
        <v>0</v>
      </c>
      <c r="SY62" s="28">
        <f>SUMPRODUCT(INDEX(PortfolioRef[[SPY]:[PE]],MATCH(SY$1,PortfolioRef[Reference '#]),0),AssetMonthlyReturns[[#This Row],[SPY]:[PE]])</f>
        <v>2.1338816484136647E-2</v>
      </c>
      <c r="SZ62" s="27">
        <f>IF(ISNUMBER(SZ61),SZ61*(1+PortfolioFrontier[[#This Row],[P130 Return]]),1+PortfolioFrontier[[#This Row],[P130 Return]])</f>
        <v>1.4642652771983817</v>
      </c>
      <c r="TA62" s="27">
        <f>MAX(TA61,PortfolioFrontier[[#This Row],[P130 Growth]])</f>
        <v>1.4642652771983817</v>
      </c>
      <c r="TB62" s="27">
        <f>PortfolioFrontier[[#This Row],[P130 Growth]]/PortfolioFrontier[[#This Row],[P130 HWM]]-1</f>
        <v>0</v>
      </c>
      <c r="TC62" s="28">
        <f>SUMPRODUCT(INDEX(PortfolioRef[[SPY]:[PE]],MATCH(TC$1,PortfolioRef[Reference '#]),0),AssetMonthlyReturns[[#This Row],[SPY]:[PE]])</f>
        <v>1.8262070301321955E-2</v>
      </c>
      <c r="TD62" s="27">
        <f>IF(ISNUMBER(TD61),TD61*(1+PortfolioFrontier[[#This Row],[P131 Return]]),1+PortfolioFrontier[[#This Row],[P131 Return]])</f>
        <v>1.4470735743322658</v>
      </c>
      <c r="TE62" s="27">
        <f>MAX(TE61,PortfolioFrontier[[#This Row],[P131 Growth]])</f>
        <v>1.4470735743322658</v>
      </c>
      <c r="TF62" s="27">
        <f>PortfolioFrontier[[#This Row],[P131 Growth]]/PortfolioFrontier[[#This Row],[P131 HWM]]-1</f>
        <v>0</v>
      </c>
      <c r="TG62" s="28">
        <f>SUMPRODUCT(INDEX(PortfolioRef[[SPY]:[PE]],MATCH(TG$1,PortfolioRef[Reference '#]),0),AssetMonthlyReturns[[#This Row],[SPY]:[PE]])</f>
        <v>1.5185324118507261E-2</v>
      </c>
      <c r="TH62" s="27">
        <f>IF(ISNUMBER(TH61),TH61*(1+PortfolioFrontier[[#This Row],[P132 Return]]),1+PortfolioFrontier[[#This Row],[P132 Return]])</f>
        <v>1.429557705722073</v>
      </c>
      <c r="TI62" s="27">
        <f>MAX(TI61,PortfolioFrontier[[#This Row],[P132 Growth]])</f>
        <v>1.429557705722073</v>
      </c>
      <c r="TJ62" s="27">
        <f>PortfolioFrontier[[#This Row],[P132 Growth]]/PortfolioFrontier[[#This Row],[P132 HWM]]-1</f>
        <v>0</v>
      </c>
      <c r="TK62" s="28">
        <f>SUMPRODUCT(INDEX(PortfolioRef[[SPY]:[PE]],MATCH(TK$1,PortfolioRef[Reference '#]),0),AssetMonthlyReturns[[#This Row],[SPY]:[PE]])</f>
        <v>1.8498782868491347E-2</v>
      </c>
      <c r="TL62" s="27">
        <f>IF(ISNUMBER(TL61),TL61*(1+PortfolioFrontier[[#This Row],[P133 Return]]),1+PortfolioFrontier[[#This Row],[P133 Return]])</f>
        <v>1.4712874023480942</v>
      </c>
      <c r="TM62" s="27">
        <f>MAX(TM61,PortfolioFrontier[[#This Row],[P133 Growth]])</f>
        <v>1.4712874023480942</v>
      </c>
      <c r="TN62" s="27">
        <f>PortfolioFrontier[[#This Row],[P133 Growth]]/PortfolioFrontier[[#This Row],[P133 HWM]]-1</f>
        <v>0</v>
      </c>
      <c r="TO62" s="28">
        <f>SUMPRODUCT(INDEX(PortfolioRef[[SPY]:[PE]],MATCH(TO$1,PortfolioRef[Reference '#]),0),AssetMonthlyReturns[[#This Row],[SPY]:[PE]])</f>
        <v>1.5422036685676654E-2</v>
      </c>
      <c r="TP62" s="27">
        <f>IF(ISNUMBER(TP61),TP61*(1+PortfolioFrontier[[#This Row],[P134 Return]]),1+PortfolioFrontier[[#This Row],[P134 Return]])</f>
        <v>1.4536103124363025</v>
      </c>
      <c r="TQ62" s="27">
        <f>MAX(TQ61,PortfolioFrontier[[#This Row],[P134 Growth]])</f>
        <v>1.4536103124363025</v>
      </c>
      <c r="TR62" s="27">
        <f>PortfolioFrontier[[#This Row],[P134 Growth]]/PortfolioFrontier[[#This Row],[P134 HWM]]-1</f>
        <v>0</v>
      </c>
      <c r="TS62" s="28">
        <f>SUMPRODUCT(INDEX(PortfolioRef[[SPY]:[PE]],MATCH(TS$1,PortfolioRef[Reference '#]),0),AssetMonthlyReturns[[#This Row],[SPY]:[PE]])</f>
        <v>1.234529050286196E-2</v>
      </c>
      <c r="TT62" s="27">
        <f>IF(ISNUMBER(TT61),TT61*(1+PortfolioFrontier[[#This Row],[P135 Return]]),1+PortfolioFrontier[[#This Row],[P135 Return]])</f>
        <v>1.4356211968698729</v>
      </c>
      <c r="TU62" s="27">
        <f>MAX(TU61,PortfolioFrontier[[#This Row],[P135 Growth]])</f>
        <v>1.4356211968698729</v>
      </c>
      <c r="TV62" s="27">
        <f>PortfolioFrontier[[#This Row],[P135 Growth]]/PortfolioFrontier[[#This Row],[P135 HWM]]-1</f>
        <v>0</v>
      </c>
      <c r="TW62" s="28">
        <f>SUMPRODUCT(INDEX(PortfolioRef[[SPY]:[PE]],MATCH(TW$1,PortfolioRef[Reference '#]),0),AssetMonthlyReturns[[#This Row],[SPY]:[PE]])</f>
        <v>2.1340849396977234E-2</v>
      </c>
      <c r="TX62" s="27">
        <f>IF(ISNUMBER(TX61),TX61*(1+PortfolioFrontier[[#This Row],[P136 Return]]),1+PortfolioFrontier[[#This Row],[P136 Return]])</f>
        <v>1.4739897780080957</v>
      </c>
      <c r="TY62" s="27">
        <f>MAX(TY61,PortfolioFrontier[[#This Row],[P136 Growth]])</f>
        <v>1.4739897780080957</v>
      </c>
      <c r="TZ62" s="27">
        <f>PortfolioFrontier[[#This Row],[P136 Growth]]/PortfolioFrontier[[#This Row],[P136 HWM]]-1</f>
        <v>0</v>
      </c>
      <c r="UA62" s="28">
        <f>SUMPRODUCT(INDEX(PortfolioRef[[SPY]:[PE]],MATCH(UA$1,PortfolioRef[Reference '#]),0),AssetMonthlyReturns[[#This Row],[SPY]:[PE]])</f>
        <v>1.8264103214162542E-2</v>
      </c>
      <c r="UB62" s="27">
        <f>IF(ISNUMBER(UB61),UB61*(1+PortfolioFrontier[[#This Row],[P137 Return]]),1+PortfolioFrontier[[#This Row],[P137 Return]])</f>
        <v>1.4567089424168129</v>
      </c>
      <c r="UC62" s="27">
        <f>MAX(UC61,PortfolioFrontier[[#This Row],[P137 Growth]])</f>
        <v>1.4567089424168129</v>
      </c>
      <c r="UD62" s="27">
        <f>PortfolioFrontier[[#This Row],[P137 Growth]]/PortfolioFrontier[[#This Row],[P137 HWM]]-1</f>
        <v>0</v>
      </c>
      <c r="UE62" s="28">
        <f>SUMPRODUCT(INDEX(PortfolioRef[[SPY]:[PE]],MATCH(UE$1,PortfolioRef[Reference '#]),0),AssetMonthlyReturns[[#This Row],[SPY]:[PE]])</f>
        <v>1.5187357031347848E-2</v>
      </c>
      <c r="UF62" s="27">
        <f>IF(ISNUMBER(UF61),UF61*(1+PortfolioFrontier[[#This Row],[P138 Return]]),1+PortfolioFrontier[[#This Row],[P138 Return]])</f>
        <v>1.4391013290804731</v>
      </c>
      <c r="UG62" s="27">
        <f>MAX(UG61,PortfolioFrontier[[#This Row],[P138 Growth]])</f>
        <v>1.4391013290804731</v>
      </c>
      <c r="UH62" s="27">
        <f>PortfolioFrontier[[#This Row],[P138 Growth]]/PortfolioFrontier[[#This Row],[P138 HWM]]-1</f>
        <v>0</v>
      </c>
      <c r="UI62" s="28">
        <f>SUMPRODUCT(INDEX(PortfolioRef[[SPY]:[PE]],MATCH(UI$1,PortfolioRef[Reference '#]),0),AssetMonthlyReturns[[#This Row],[SPY]:[PE]])</f>
        <v>2.4182915925463122E-2</v>
      </c>
      <c r="UJ62" s="27">
        <f>IF(ISNUMBER(UJ61),UJ61*(1+PortfolioFrontier[[#This Row],[P139 Return]]),1+PortfolioFrontier[[#This Row],[P139 Return]])</f>
        <v>1.4759975549506088</v>
      </c>
      <c r="UK62" s="27">
        <f>MAX(UK61,PortfolioFrontier[[#This Row],[P139 Growth]])</f>
        <v>1.4759975549506088</v>
      </c>
      <c r="UL62" s="27">
        <f>PortfolioFrontier[[#This Row],[P139 Growth]]/PortfolioFrontier[[#This Row],[P139 HWM]]-1</f>
        <v>0</v>
      </c>
      <c r="UM62" s="28">
        <f>SUMPRODUCT(INDEX(PortfolioRef[[SPY]:[PE]],MATCH(UM$1,PortfolioRef[Reference '#]),0),AssetMonthlyReturns[[#This Row],[SPY]:[PE]])</f>
        <v>2.110616974264843E-2</v>
      </c>
      <c r="UN62" s="27">
        <f>IF(ISNUMBER(UN61),UN61*(1+PortfolioFrontier[[#This Row],[P140 Return]]),1+PortfolioFrontier[[#This Row],[P140 Return]])</f>
        <v>1.4591261010533561</v>
      </c>
      <c r="UO62" s="27">
        <f>MAX(UO61,PortfolioFrontier[[#This Row],[P140 Growth]])</f>
        <v>1.4591261010533561</v>
      </c>
      <c r="UP62" s="27">
        <f>PortfolioFrontier[[#This Row],[P140 Growth]]/PortfolioFrontier[[#This Row],[P140 HWM]]-1</f>
        <v>0</v>
      </c>
      <c r="UQ62" s="28">
        <f>SUMPRODUCT(INDEX(PortfolioRef[[SPY]:[PE]],MATCH(UQ$1,PortfolioRef[Reference '#]),0),AssetMonthlyReturns[[#This Row],[SPY]:[PE]])</f>
        <v>1.8029423559833734E-2</v>
      </c>
      <c r="UR62" s="27">
        <f>IF(ISNUMBER(UR61),UR61*(1+PortfolioFrontier[[#This Row],[P141 Return]]),1+PortfolioFrontier[[#This Row],[P141 Return]])</f>
        <v>1.4419132191910344</v>
      </c>
      <c r="US62" s="27">
        <f>MAX(US61,PortfolioFrontier[[#This Row],[P141 Growth]])</f>
        <v>1.4419132191910344</v>
      </c>
      <c r="UT62" s="27">
        <f>PortfolioFrontier[[#This Row],[P141 Growth]]/PortfolioFrontier[[#This Row],[P141 HWM]]-1</f>
        <v>0</v>
      </c>
    </row>
    <row r="63" spans="2:566" x14ac:dyDescent="0.2">
      <c r="B63" s="41">
        <f>AssetMonthlyReturns[[#This Row],[Date]]</f>
        <v>44287</v>
      </c>
      <c r="C63" s="28">
        <f>SUMPRODUCT(INDEX(PortfolioRef[[SPY]:[PE]],MATCH(C$1,PortfolioRef[Reference '#]),0),AssetMonthlyReturns[[#This Row],[SPY]:[PE]])</f>
        <v>4.2377291882045351E-2</v>
      </c>
      <c r="D63" s="29">
        <f>IF(ISNUMBER(D62),D62*(1+PortfolioFrontier[[#This Row],[P1 Return]]),1+PortfolioFrontier[[#This Row],[P1 Return]])</f>
        <v>1.745928530144748</v>
      </c>
      <c r="E63" s="29">
        <f>MAX(E62,PortfolioFrontier[[#This Row],[P1 Growth]])</f>
        <v>1.745928530144748</v>
      </c>
      <c r="F63" s="29">
        <f>PortfolioFrontier[[#This Row],[P1 Growth]]/PortfolioFrontier[[#This Row],[P1 HWM]]-1</f>
        <v>0</v>
      </c>
      <c r="G63" s="28">
        <f>SUMPRODUCT(INDEX(PortfolioRef[[SPY]:[PE]],MATCH(G$1,PortfolioRef[Reference '#]),0),AssetMonthlyReturns[[#This Row],[SPY]:[PE]])</f>
        <v>3.9932222425428224E-2</v>
      </c>
      <c r="H63" s="27">
        <f>IF(ISNUMBER(H62),H62*(1+PortfolioFrontier[[#This Row],[P2 Return]]),1+PortfolioFrontier[[#This Row],[P2 Return]])</f>
        <v>1.6919517933255539</v>
      </c>
      <c r="I63" s="27">
        <f>MAX(I62,PortfolioFrontier[[#This Row],[P2 Growth]])</f>
        <v>1.6919517933255539</v>
      </c>
      <c r="J63" s="27">
        <f>PortfolioFrontier[[#This Row],[P2 Growth]]/PortfolioFrontier[[#This Row],[P2 HWM]]-1</f>
        <v>0</v>
      </c>
      <c r="K63" s="28">
        <f>SUMPRODUCT(INDEX(PortfolioRef[[SPY]:[PE]],MATCH(K$1,PortfolioRef[Reference '#]),0),AssetMonthlyReturns[[#This Row],[SPY]:[PE]])</f>
        <v>4.1341050621990144E-2</v>
      </c>
      <c r="L63" s="27">
        <f>IF(ISNUMBER(L62),L62*(1+PortfolioFrontier[[#This Row],[P3 Return]]),1+PortfolioFrontier[[#This Row],[P3 Return]])</f>
        <v>1.705491264332438</v>
      </c>
      <c r="M63" s="27">
        <f>MAX(M62,PortfolioFrontier[[#This Row],[P3 Growth]])</f>
        <v>1.705491264332438</v>
      </c>
      <c r="N63" s="27">
        <f>PortfolioFrontier[[#This Row],[P3 Growth]]/PortfolioFrontier[[#This Row],[P3 HWM]]-1</f>
        <v>0</v>
      </c>
      <c r="O63" s="28">
        <f>SUMPRODUCT(INDEX(PortfolioRef[[SPY]:[PE]],MATCH(O$1,PortfolioRef[Reference '#]),0),AssetMonthlyReturns[[#This Row],[SPY]:[PE]])</f>
        <v>4.3804568857174778E-2</v>
      </c>
      <c r="P63" s="27">
        <f>IF(ISNUMBER(P62),P62*(1+PortfolioFrontier[[#This Row],[P4 Return]]),1+PortfolioFrontier[[#This Row],[P4 Return]])</f>
        <v>1.7125643299310618</v>
      </c>
      <c r="Q63" s="27">
        <f>MAX(Q62,PortfolioFrontier[[#This Row],[P4 Growth]])</f>
        <v>1.7125643299310618</v>
      </c>
      <c r="R63" s="27">
        <f>PortfolioFrontier[[#This Row],[P4 Growth]]/PortfolioFrontier[[#This Row],[P4 HWM]]-1</f>
        <v>0</v>
      </c>
      <c r="S63" s="28">
        <f>SUMPRODUCT(INDEX(PortfolioRef[[SPY]:[PE]],MATCH(S$1,PortfolioRef[Reference '#]),0),AssetMonthlyReturns[[#This Row],[SPY]:[PE]])</f>
        <v>3.86631495774232E-2</v>
      </c>
      <c r="T63" s="27">
        <f>IF(ISNUMBER(T62),T62*(1+PortfolioFrontier[[#This Row],[P5 Return]]),1+PortfolioFrontier[[#This Row],[P5 Return]])</f>
        <v>1.6837002752187431</v>
      </c>
      <c r="U63" s="27">
        <f>MAX(U62,PortfolioFrontier[[#This Row],[P5 Growth]])</f>
        <v>1.6837002752187431</v>
      </c>
      <c r="V63" s="27">
        <f>PortfolioFrontier[[#This Row],[P5 Growth]]/PortfolioFrontier[[#This Row],[P5 HWM]]-1</f>
        <v>0</v>
      </c>
      <c r="W63" s="28">
        <f>SUMPRODUCT(INDEX(PortfolioRef[[SPY]:[PE]],MATCH(W$1,PortfolioRef[Reference '#]),0),AssetMonthlyReturns[[#This Row],[SPY]:[PE]])</f>
        <v>3.7487152968811083E-2</v>
      </c>
      <c r="X63" s="27">
        <f>IF(ISNUMBER(X62),X62*(1+PortfolioFrontier[[#This Row],[P6 Return]]),1+PortfolioFrontier[[#This Row],[P6 Return]])</f>
        <v>1.639114236111243</v>
      </c>
      <c r="Y63" s="27">
        <f>MAX(Y62,PortfolioFrontier[[#This Row],[P6 Growth]])</f>
        <v>1.639114236111243</v>
      </c>
      <c r="Z63" s="27">
        <f>PortfolioFrontier[[#This Row],[P6 Growth]]/PortfolioFrontier[[#This Row],[P6 HWM]]-1</f>
        <v>0</v>
      </c>
      <c r="AA63" s="28">
        <f>SUMPRODUCT(INDEX(PortfolioRef[[SPY]:[PE]],MATCH(AA$1,PortfolioRef[Reference '#]),0),AssetMonthlyReturns[[#This Row],[SPY]:[PE]])</f>
        <v>3.8895981165373003E-2</v>
      </c>
      <c r="AB63" s="27">
        <f>IF(ISNUMBER(AB62),AB62*(1+PortfolioFrontier[[#This Row],[P7 Return]]),1+PortfolioFrontier[[#This Row],[P7 Return]])</f>
        <v>1.6522425820312236</v>
      </c>
      <c r="AC63" s="27">
        <f>MAX(AC62,PortfolioFrontier[[#This Row],[P7 Growth]])</f>
        <v>1.6522425820312236</v>
      </c>
      <c r="AD63" s="27">
        <f>PortfolioFrontier[[#This Row],[P7 Growth]]/PortfolioFrontier[[#This Row],[P7 HWM]]-1</f>
        <v>0</v>
      </c>
      <c r="AE63" s="28">
        <f>SUMPRODUCT(INDEX(PortfolioRef[[SPY]:[PE]],MATCH(AE$1,PortfolioRef[Reference '#]),0),AssetMonthlyReturns[[#This Row],[SPY]:[PE]])</f>
        <v>4.1359499400557651E-2</v>
      </c>
      <c r="AF63" s="27">
        <f>IF(ISNUMBER(AF62),AF62*(1+PortfolioFrontier[[#This Row],[P8 Return]]),1+PortfolioFrontier[[#This Row],[P8 Return]])</f>
        <v>1.6594874535973485</v>
      </c>
      <c r="AG63" s="27">
        <f>MAX(AG62,PortfolioFrontier[[#This Row],[P8 Growth]])</f>
        <v>1.6594874535973485</v>
      </c>
      <c r="AH63" s="27">
        <f>PortfolioFrontier[[#This Row],[P8 Growth]]/PortfolioFrontier[[#This Row],[P8 HWM]]-1</f>
        <v>0</v>
      </c>
      <c r="AI63" s="28">
        <f>SUMPRODUCT(INDEX(PortfolioRef[[SPY]:[PE]],MATCH(AI$1,PortfolioRef[Reference '#]),0),AssetMonthlyReturns[[#This Row],[SPY]:[PE]])</f>
        <v>3.6218080120806066E-2</v>
      </c>
      <c r="AJ63" s="27">
        <f>IF(ISNUMBER(AJ62),AJ62*(1+PortfolioFrontier[[#This Row],[P9 Return]]),1+PortfolioFrontier[[#This Row],[P9 Return]])</f>
        <v>1.6311759527132461</v>
      </c>
      <c r="AK63" s="27">
        <f>MAX(AK62,PortfolioFrontier[[#This Row],[P9 Growth]])</f>
        <v>1.6311759527132461</v>
      </c>
      <c r="AL63" s="27">
        <f>PortfolioFrontier[[#This Row],[P9 Growth]]/PortfolioFrontier[[#This Row],[P9 HWM]]-1</f>
        <v>0</v>
      </c>
      <c r="AM63" s="28">
        <f>SUMPRODUCT(INDEX(PortfolioRef[[SPY]:[PE]],MATCH(AM$1,PortfolioRef[Reference '#]),0),AssetMonthlyReturns[[#This Row],[SPY]:[PE]])</f>
        <v>4.0304809361934923E-2</v>
      </c>
      <c r="AN63" s="27">
        <f>IF(ISNUMBER(AN62),AN62*(1+PortfolioFrontier[[#This Row],[P10 Return]]),1+PortfolioFrontier[[#This Row],[P10 Return]])</f>
        <v>1.6652058199102451</v>
      </c>
      <c r="AO63" s="27">
        <f>MAX(AO62,PortfolioFrontier[[#This Row],[P10 Growth]])</f>
        <v>1.6652058199102451</v>
      </c>
      <c r="AP63" s="27">
        <f>PortfolioFrontier[[#This Row],[P10 Growth]]/PortfolioFrontier[[#This Row],[P10 HWM]]-1</f>
        <v>0</v>
      </c>
      <c r="AQ63" s="28">
        <f>SUMPRODUCT(INDEX(PortfolioRef[[SPY]:[PE]],MATCH(AQ$1,PortfolioRef[Reference '#]),0),AssetMonthlyReturns[[#This Row],[SPY]:[PE]])</f>
        <v>4.2768327597119571E-2</v>
      </c>
      <c r="AR63" s="27">
        <f>IF(ISNUMBER(AR62),AR62*(1+PortfolioFrontier[[#This Row],[P11 Return]]),1+PortfolioFrontier[[#This Row],[P11 Return]])</f>
        <v>1.6727643103915883</v>
      </c>
      <c r="AS63" s="27">
        <f>MAX(AS62,PortfolioFrontier[[#This Row],[P11 Growth]])</f>
        <v>1.6727643103915883</v>
      </c>
      <c r="AT63" s="27">
        <f>PortfolioFrontier[[#This Row],[P11 Growth]]/PortfolioFrontier[[#This Row],[P11 HWM]]-1</f>
        <v>0</v>
      </c>
      <c r="AU63" s="28">
        <f>SUMPRODUCT(INDEX(PortfolioRef[[SPY]:[PE]],MATCH(AU$1,PortfolioRef[Reference '#]),0),AssetMonthlyReturns[[#This Row],[SPY]:[PE]])</f>
        <v>3.762690831736798E-2</v>
      </c>
      <c r="AV63" s="27">
        <f>IF(ISNUMBER(AV62),AV62*(1+PortfolioFrontier[[#This Row],[P12 Return]]),1+PortfolioFrontier[[#This Row],[P12 Return]])</f>
        <v>1.6442657500093572</v>
      </c>
      <c r="AW63" s="27">
        <f>MAX(AW62,PortfolioFrontier[[#This Row],[P12 Growth]])</f>
        <v>1.6442657500093572</v>
      </c>
      <c r="AX63" s="27">
        <f>PortfolioFrontier[[#This Row],[P12 Growth]]/PortfolioFrontier[[#This Row],[P12 HWM]]-1</f>
        <v>0</v>
      </c>
      <c r="AY63" s="28">
        <f>SUMPRODUCT(INDEX(PortfolioRef[[SPY]:[PE]],MATCH(AY$1,PortfolioRef[Reference '#]),0),AssetMonthlyReturns[[#This Row],[SPY]:[PE]])</f>
        <v>4.5231845832304218E-2</v>
      </c>
      <c r="AZ63" s="27">
        <f>IF(ISNUMBER(AZ62),AZ62*(1+PortfolioFrontier[[#This Row],[P13 Return]]),1+PortfolioFrontier[[#This Row],[P13 Return]])</f>
        <v>1.6795585929523644</v>
      </c>
      <c r="BA63" s="27">
        <f>MAX(BA62,PortfolioFrontier[[#This Row],[P13 Growth]])</f>
        <v>1.6795585929523644</v>
      </c>
      <c r="BB63" s="27">
        <f>PortfolioFrontier[[#This Row],[P13 Growth]]/PortfolioFrontier[[#This Row],[P13 HWM]]-1</f>
        <v>0</v>
      </c>
      <c r="BC63" s="28">
        <f>SUMPRODUCT(INDEX(PortfolioRef[[SPY]:[PE]],MATCH(BC$1,PortfolioRef[Reference '#]),0),AssetMonthlyReturns[[#This Row],[SPY]:[PE]])</f>
        <v>4.0090426552552627E-2</v>
      </c>
      <c r="BD63" s="27">
        <f>IF(ISNUMBER(BD62),BD62*(1+PortfolioFrontier[[#This Row],[P14 Return]]),1+PortfolioFrontier[[#This Row],[P14 Return]])</f>
        <v>1.6514470381630313</v>
      </c>
      <c r="BE63" s="27">
        <f>MAX(BE62,PortfolioFrontier[[#This Row],[P14 Growth]])</f>
        <v>1.6514470381630313</v>
      </c>
      <c r="BF63" s="27">
        <f>PortfolioFrontier[[#This Row],[P14 Growth]]/PortfolioFrontier[[#This Row],[P14 HWM]]-1</f>
        <v>0</v>
      </c>
      <c r="BG63" s="28">
        <f>SUMPRODUCT(INDEX(PortfolioRef[[SPY]:[PE]],MATCH(BG$1,PortfolioRef[Reference '#]),0),AssetMonthlyReturns[[#This Row],[SPY]:[PE]])</f>
        <v>3.4949007272801043E-2</v>
      </c>
      <c r="BH63" s="27">
        <f>IF(ISNUMBER(BH62),BH62*(1+PortfolioFrontier[[#This Row],[P15 Return]]),1+PortfolioFrontier[[#This Row],[P15 Return]])</f>
        <v>1.6231721424112775</v>
      </c>
      <c r="BI63" s="27">
        <f>MAX(BI62,PortfolioFrontier[[#This Row],[P15 Growth]])</f>
        <v>1.6231721424112775</v>
      </c>
      <c r="BJ63" s="27">
        <f>PortfolioFrontier[[#This Row],[P15 Growth]]/PortfolioFrontier[[#This Row],[P15 HWM]]-1</f>
        <v>0</v>
      </c>
      <c r="BK63" s="28">
        <f>SUMPRODUCT(INDEX(PortfolioRef[[SPY]:[PE]],MATCH(BK$1,PortfolioRef[Reference '#]),0),AssetMonthlyReturns[[#This Row],[SPY]:[PE]])</f>
        <v>3.5042083512193956E-2</v>
      </c>
      <c r="BL63" s="27">
        <f>IF(ISNUMBER(BL62),BL62*(1+PortfolioFrontier[[#This Row],[P16 Return]]),1+PortfolioFrontier[[#This Row],[P16 Return]])</f>
        <v>1.5874145552890611</v>
      </c>
      <c r="BM63" s="27">
        <f>MAX(BM62,PortfolioFrontier[[#This Row],[P16 Growth]])</f>
        <v>1.5874145552890611</v>
      </c>
      <c r="BN63" s="27">
        <f>PortfolioFrontier[[#This Row],[P16 Growth]]/PortfolioFrontier[[#This Row],[P16 HWM]]-1</f>
        <v>0</v>
      </c>
      <c r="BO63" s="28">
        <f>SUMPRODUCT(INDEX(PortfolioRef[[SPY]:[PE]],MATCH(BO$1,PortfolioRef[Reference '#]),0),AssetMonthlyReturns[[#This Row],[SPY]:[PE]])</f>
        <v>3.6450911708755876E-2</v>
      </c>
      <c r="BP63" s="27">
        <f>IF(ISNUMBER(BP62),BP62*(1+PortfolioFrontier[[#This Row],[P17 Return]]),1+PortfolioFrontier[[#This Row],[P17 Return]])</f>
        <v>1.600140528305912</v>
      </c>
      <c r="BQ63" s="27">
        <f>MAX(BQ62,PortfolioFrontier[[#This Row],[P17 Growth]])</f>
        <v>1.600140528305912</v>
      </c>
      <c r="BR63" s="27">
        <f>PortfolioFrontier[[#This Row],[P17 Growth]]/PortfolioFrontier[[#This Row],[P17 HWM]]-1</f>
        <v>0</v>
      </c>
      <c r="BS63" s="28">
        <f>SUMPRODUCT(INDEX(PortfolioRef[[SPY]:[PE]],MATCH(BS$1,PortfolioRef[Reference '#]),0),AssetMonthlyReturns[[#This Row],[SPY]:[PE]])</f>
        <v>3.8914429943940523E-2</v>
      </c>
      <c r="BT63" s="27">
        <f>IF(ISNUMBER(BT62),BT62*(1+PortfolioFrontier[[#This Row],[P18 Return]]),1+PortfolioFrontier[[#This Row],[P18 Return]])</f>
        <v>1.6075353698657844</v>
      </c>
      <c r="BU63" s="27">
        <f>MAX(BU62,PortfolioFrontier[[#This Row],[P18 Growth]])</f>
        <v>1.6075353698657844</v>
      </c>
      <c r="BV63" s="27">
        <f>PortfolioFrontier[[#This Row],[P18 Growth]]/PortfolioFrontier[[#This Row],[P18 HWM]]-1</f>
        <v>0</v>
      </c>
      <c r="BW63" s="28">
        <f>SUMPRODUCT(INDEX(PortfolioRef[[SPY]:[PE]],MATCH(BW$1,PortfolioRef[Reference '#]),0),AssetMonthlyReturns[[#This Row],[SPY]:[PE]])</f>
        <v>3.3773010664188932E-2</v>
      </c>
      <c r="BX63" s="27">
        <f>IF(ISNUMBER(BX62),BX62*(1+PortfolioFrontier[[#This Row],[P19 Return]]),1+PortfolioFrontier[[#This Row],[P19 Return]])</f>
        <v>1.5797801892835046</v>
      </c>
      <c r="BY63" s="27">
        <f>MAX(BY62,PortfolioFrontier[[#This Row],[P19 Growth]])</f>
        <v>1.5797801892835046</v>
      </c>
      <c r="BZ63" s="27">
        <f>PortfolioFrontier[[#This Row],[P19 Growth]]/PortfolioFrontier[[#This Row],[P19 HWM]]-1</f>
        <v>0</v>
      </c>
      <c r="CA63" s="28">
        <f>SUMPRODUCT(INDEX(PortfolioRef[[SPY]:[PE]],MATCH(CA$1,PortfolioRef[Reference '#]),0),AssetMonthlyReturns[[#This Row],[SPY]:[PE]])</f>
        <v>3.7859739905317796E-2</v>
      </c>
      <c r="CB63" s="27">
        <f>IF(ISNUMBER(CB62),CB62*(1+PortfolioFrontier[[#This Row],[P20 Return]]),1+PortfolioFrontier[[#This Row],[P20 Return]])</f>
        <v>1.6127061017379487</v>
      </c>
      <c r="CC63" s="27">
        <f>MAX(CC62,PortfolioFrontier[[#This Row],[P20 Growth]])</f>
        <v>1.6127061017379487</v>
      </c>
      <c r="CD63" s="27">
        <f>PortfolioFrontier[[#This Row],[P20 Growth]]/PortfolioFrontier[[#This Row],[P20 HWM]]-1</f>
        <v>0</v>
      </c>
      <c r="CE63" s="28">
        <f>SUMPRODUCT(INDEX(PortfolioRef[[SPY]:[PE]],MATCH(CE$1,PortfolioRef[Reference '#]),0),AssetMonthlyReturns[[#This Row],[SPY]:[PE]])</f>
        <v>4.0323258140502437E-2</v>
      </c>
      <c r="CF63" s="27">
        <f>IF(ISNUMBER(CF62),CF62*(1+PortfolioFrontier[[#This Row],[P21 Return]]),1+PortfolioFrontier[[#This Row],[P21 Return]])</f>
        <v>1.6204082986546076</v>
      </c>
      <c r="CG63" s="27">
        <f>MAX(CG62,PortfolioFrontier[[#This Row],[P21 Growth]])</f>
        <v>1.6204082986546076</v>
      </c>
      <c r="CH63" s="27">
        <f>PortfolioFrontier[[#This Row],[P21 Growth]]/PortfolioFrontier[[#This Row],[P21 HWM]]-1</f>
        <v>0</v>
      </c>
      <c r="CI63" s="28">
        <f>SUMPRODUCT(INDEX(PortfolioRef[[SPY]:[PE]],MATCH(CI$1,PortfolioRef[Reference '#]),0),AssetMonthlyReturns[[#This Row],[SPY]:[PE]])</f>
        <v>3.5181838860750853E-2</v>
      </c>
      <c r="CJ63" s="27">
        <f>IF(ISNUMBER(CJ62),CJ62*(1+PortfolioFrontier[[#This Row],[P22 Return]]),1+PortfolioFrontier[[#This Row],[P22 Return]])</f>
        <v>1.5924692143933254</v>
      </c>
      <c r="CK63" s="27">
        <f>MAX(CK62,PortfolioFrontier[[#This Row],[P22 Growth]])</f>
        <v>1.5924692143933254</v>
      </c>
      <c r="CL63" s="27">
        <f>PortfolioFrontier[[#This Row],[P22 Growth]]/PortfolioFrontier[[#This Row],[P22 HWM]]-1</f>
        <v>0</v>
      </c>
      <c r="CM63" s="28">
        <f>SUMPRODUCT(INDEX(PortfolioRef[[SPY]:[PE]],MATCH(CM$1,PortfolioRef[Reference '#]),0),AssetMonthlyReturns[[#This Row],[SPY]:[PE]])</f>
        <v>4.2786776375687091E-2</v>
      </c>
      <c r="CN63" s="27">
        <f>IF(ISNUMBER(CN62),CN62*(1+PortfolioFrontier[[#This Row],[P23 Return]]),1+PortfolioFrontier[[#This Row],[P23 Return]])</f>
        <v>1.6273755594086137</v>
      </c>
      <c r="CO63" s="27">
        <f>MAX(CO62,PortfolioFrontier[[#This Row],[P23 Growth]])</f>
        <v>1.6273755594086137</v>
      </c>
      <c r="CP63" s="27">
        <f>PortfolioFrontier[[#This Row],[P23 Growth]]/PortfolioFrontier[[#This Row],[P23 HWM]]-1</f>
        <v>0</v>
      </c>
      <c r="CQ63" s="28">
        <f>SUMPRODUCT(INDEX(PortfolioRef[[SPY]:[PE]],MATCH(CQ$1,PortfolioRef[Reference '#]),0),AssetMonthlyReturns[[#This Row],[SPY]:[PE]])</f>
        <v>3.76453570959355E-2</v>
      </c>
      <c r="CR63" s="27">
        <f>IF(ISNUMBER(CR62),CR62*(1+PortfolioFrontier[[#This Row],[P24 Return]]),1+PortfolioFrontier[[#This Row],[P24 Return]])</f>
        <v>1.5998010638193367</v>
      </c>
      <c r="CS63" s="27">
        <f>MAX(CS62,PortfolioFrontier[[#This Row],[P24 Growth]])</f>
        <v>1.5998010638193367</v>
      </c>
      <c r="CT63" s="27">
        <f>PortfolioFrontier[[#This Row],[P24 Growth]]/PortfolioFrontier[[#This Row],[P24 HWM]]-1</f>
        <v>0</v>
      </c>
      <c r="CU63" s="28">
        <f>SUMPRODUCT(INDEX(PortfolioRef[[SPY]:[PE]],MATCH(CU$1,PortfolioRef[Reference '#]),0),AssetMonthlyReturns[[#This Row],[SPY]:[PE]])</f>
        <v>3.2503937816183909E-2</v>
      </c>
      <c r="CV63" s="27">
        <f>IF(ISNUMBER(CV62),CV62*(1+PortfolioFrontier[[#This Row],[P25 Return]]),1+PortfolioFrontier[[#This Row],[P25 Return]])</f>
        <v>1.5720818683536248</v>
      </c>
      <c r="CW63" s="27">
        <f>MAX(CW62,PortfolioFrontier[[#This Row],[P25 Growth]])</f>
        <v>1.5720818683536248</v>
      </c>
      <c r="CX63" s="27">
        <f>PortfolioFrontier[[#This Row],[P25 Growth]]/PortfolioFrontier[[#This Row],[P25 HWM]]-1</f>
        <v>0</v>
      </c>
      <c r="CY63" s="28">
        <f>SUMPRODUCT(INDEX(PortfolioRef[[SPY]:[PE]],MATCH(CY$1,PortfolioRef[Reference '#]),0),AssetMonthlyReturns[[#This Row],[SPY]:[PE]])</f>
        <v>4.1732086337064357E-2</v>
      </c>
      <c r="CZ63" s="27">
        <f>IF(ISNUMBER(CZ62),CZ62*(1+PortfolioFrontier[[#This Row],[P26 Return]]),1+PortfolioFrontier[[#This Row],[P26 Return]])</f>
        <v>1.6331190562741531</v>
      </c>
      <c r="DA63" s="27">
        <f>MAX(DA62,PortfolioFrontier[[#This Row],[P26 Growth]])</f>
        <v>1.6331190562741531</v>
      </c>
      <c r="DB63" s="27">
        <f>PortfolioFrontier[[#This Row],[P26 Growth]]/PortfolioFrontier[[#This Row],[P26 HWM]]-1</f>
        <v>0</v>
      </c>
      <c r="DC63" s="28">
        <f>SUMPRODUCT(INDEX(PortfolioRef[[SPY]:[PE]],MATCH(DC$1,PortfolioRef[Reference '#]),0),AssetMonthlyReturns[[#This Row],[SPY]:[PE]])</f>
        <v>3.6590667057312773E-2</v>
      </c>
      <c r="DD63" s="27">
        <f>IF(ISNUMBER(DD62),DD62*(1+PortfolioFrontier[[#This Row],[P27 Return]]),1+PortfolioFrontier[[#This Row],[P27 Return]])</f>
        <v>1.6049990059153192</v>
      </c>
      <c r="DE63" s="27">
        <f>MAX(DE62,PortfolioFrontier[[#This Row],[P27 Growth]])</f>
        <v>1.6049990059153192</v>
      </c>
      <c r="DF63" s="27">
        <f>PortfolioFrontier[[#This Row],[P27 Growth]]/PortfolioFrontier[[#This Row],[P27 HWM]]-1</f>
        <v>0</v>
      </c>
      <c r="DG63" s="28">
        <f>SUMPRODUCT(INDEX(PortfolioRef[[SPY]:[PE]],MATCH(DG$1,PortfolioRef[Reference '#]),0),AssetMonthlyReturns[[#This Row],[SPY]:[PE]])</f>
        <v>4.4195604572249005E-2</v>
      </c>
      <c r="DH63" s="27">
        <f>IF(ISNUMBER(DH62),DH62*(1+PortfolioFrontier[[#This Row],[P28 Return]]),1+PortfolioFrontier[[#This Row],[P28 Return]])</f>
        <v>1.6403930378733356</v>
      </c>
      <c r="DI63" s="27">
        <f>MAX(DI62,PortfolioFrontier[[#This Row],[P28 Growth]])</f>
        <v>1.6403930378733356</v>
      </c>
      <c r="DJ63" s="27">
        <f>PortfolioFrontier[[#This Row],[P28 Growth]]/PortfolioFrontier[[#This Row],[P28 HWM]]-1</f>
        <v>0</v>
      </c>
      <c r="DK63" s="28">
        <f>SUMPRODUCT(INDEX(PortfolioRef[[SPY]:[PE]],MATCH(DK$1,PortfolioRef[Reference '#]),0),AssetMonthlyReturns[[#This Row],[SPY]:[PE]])</f>
        <v>3.905418529249742E-2</v>
      </c>
      <c r="DL63" s="27">
        <f>IF(ISNUMBER(DL62),DL62*(1+PortfolioFrontier[[#This Row],[P29 Return]]),1+PortfolioFrontier[[#This Row],[P29 Return]])</f>
        <v>1.6126365909872644</v>
      </c>
      <c r="DM63" s="27">
        <f>MAX(DM62,PortfolioFrontier[[#This Row],[P29 Growth]])</f>
        <v>1.6126365909872644</v>
      </c>
      <c r="DN63" s="27">
        <f>PortfolioFrontier[[#This Row],[P29 Growth]]/PortfolioFrontier[[#This Row],[P29 HWM]]-1</f>
        <v>0</v>
      </c>
      <c r="DO63" s="28">
        <f>SUMPRODUCT(INDEX(PortfolioRef[[SPY]:[PE]],MATCH(DO$1,PortfolioRef[Reference '#]),0),AssetMonthlyReturns[[#This Row],[SPY]:[PE]])</f>
        <v>3.3912766012745822E-2</v>
      </c>
      <c r="DP63" s="27">
        <f>IF(ISNUMBER(DP62),DP62*(1+PortfolioFrontier[[#This Row],[P30 Return]]),1+PortfolioFrontier[[#This Row],[P30 Return]])</f>
        <v>1.5847332173270638</v>
      </c>
      <c r="DQ63" s="27">
        <f>MAX(DQ62,PortfolioFrontier[[#This Row],[P30 Growth]])</f>
        <v>1.5847332173270638</v>
      </c>
      <c r="DR63" s="27">
        <f>PortfolioFrontier[[#This Row],[P30 Growth]]/PortfolioFrontier[[#This Row],[P30 HWM]]-1</f>
        <v>0</v>
      </c>
      <c r="DS63" s="28">
        <f>SUMPRODUCT(INDEX(PortfolioRef[[SPY]:[PE]],MATCH(DS$1,PortfolioRef[Reference '#]),0),AssetMonthlyReturns[[#This Row],[SPY]:[PE]])</f>
        <v>4.6659122807433652E-2</v>
      </c>
      <c r="DT63" s="27">
        <f>IF(ISNUMBER(DT62),DT62*(1+PortfolioFrontier[[#This Row],[P31 Return]]),1+PortfolioFrontier[[#This Row],[P31 Return]])</f>
        <v>1.6469147917410749</v>
      </c>
      <c r="DU63" s="27">
        <f>MAX(DU62,PortfolioFrontier[[#This Row],[P31 Growth]])</f>
        <v>1.6469147917410749</v>
      </c>
      <c r="DV63" s="27">
        <f>PortfolioFrontier[[#This Row],[P31 Growth]]/PortfolioFrontier[[#This Row],[P31 HWM]]-1</f>
        <v>0</v>
      </c>
      <c r="DW63" s="28">
        <f>SUMPRODUCT(INDEX(PortfolioRef[[SPY]:[PE]],MATCH(DW$1,PortfolioRef[Reference '#]),0),AssetMonthlyReturns[[#This Row],[SPY]:[PE]])</f>
        <v>4.1517703527682068E-2</v>
      </c>
      <c r="DX63" s="27">
        <f>IF(ISNUMBER(DX62),DX62*(1+PortfolioFrontier[[#This Row],[P32 Return]]),1+PortfolioFrontier[[#This Row],[P32 Return]])</f>
        <v>1.6195425489590094</v>
      </c>
      <c r="DY63" s="27">
        <f>MAX(DY62,PortfolioFrontier[[#This Row],[P32 Growth]])</f>
        <v>1.6195425489590094</v>
      </c>
      <c r="DZ63" s="27">
        <f>PortfolioFrontier[[#This Row],[P32 Growth]]/PortfolioFrontier[[#This Row],[P32 HWM]]-1</f>
        <v>0</v>
      </c>
      <c r="EA63" s="28">
        <f>SUMPRODUCT(INDEX(PortfolioRef[[SPY]:[PE]],MATCH(EA$1,PortfolioRef[Reference '#]),0),AssetMonthlyReturns[[#This Row],[SPY]:[PE]])</f>
        <v>3.637628424793047E-2</v>
      </c>
      <c r="EB63" s="27">
        <f>IF(ISNUMBER(EB62),EB62*(1+PortfolioFrontier[[#This Row],[P33 Return]]),1+PortfolioFrontier[[#This Row],[P33 Return]])</f>
        <v>1.5920019211627687</v>
      </c>
      <c r="EC63" s="27">
        <f>MAX(EC62,PortfolioFrontier[[#This Row],[P33 Growth]])</f>
        <v>1.5920019211627687</v>
      </c>
      <c r="ED63" s="27">
        <f>PortfolioFrontier[[#This Row],[P33 Growth]]/PortfolioFrontier[[#This Row],[P33 HWM]]-1</f>
        <v>0</v>
      </c>
      <c r="EE63" s="28">
        <f>SUMPRODUCT(INDEX(PortfolioRef[[SPY]:[PE]],MATCH(EE$1,PortfolioRef[Reference '#]),0),AssetMonthlyReturns[[#This Row],[SPY]:[PE]])</f>
        <v>3.2597014055576815E-2</v>
      </c>
      <c r="EF63" s="27">
        <f>IF(ISNUMBER(EF62),EF62*(1+PortfolioFrontier[[#This Row],[P34 Return]]),1+PortfolioFrontier[[#This Row],[P34 Return]])</f>
        <v>1.5368502790419123</v>
      </c>
      <c r="EG63" s="27">
        <f>MAX(EG62,PortfolioFrontier[[#This Row],[P34 Growth]])</f>
        <v>1.5368502790419123</v>
      </c>
      <c r="EH63" s="27">
        <f>PortfolioFrontier[[#This Row],[P34 Growth]]/PortfolioFrontier[[#This Row],[P34 HWM]]-1</f>
        <v>0</v>
      </c>
      <c r="EI63" s="28">
        <f>SUMPRODUCT(INDEX(PortfolioRef[[SPY]:[PE]],MATCH(EI$1,PortfolioRef[Reference '#]),0),AssetMonthlyReturns[[#This Row],[SPY]:[PE]])</f>
        <v>3.4005842252138735E-2</v>
      </c>
      <c r="EJ63" s="27">
        <f>IF(ISNUMBER(EJ62),EJ62*(1+PortfolioFrontier[[#This Row],[P35 Return]]),1+PortfolioFrontier[[#This Row],[P35 Return]])</f>
        <v>1.5491825988231869</v>
      </c>
      <c r="EK63" s="27">
        <f>MAX(EK62,PortfolioFrontier[[#This Row],[P35 Growth]])</f>
        <v>1.5491825988231869</v>
      </c>
      <c r="EL63" s="27">
        <f>PortfolioFrontier[[#This Row],[P35 Growth]]/PortfolioFrontier[[#This Row],[P35 HWM]]-1</f>
        <v>0</v>
      </c>
      <c r="EM63" s="28">
        <f>SUMPRODUCT(INDEX(PortfolioRef[[SPY]:[PE]],MATCH(EM$1,PortfolioRef[Reference '#]),0),AssetMonthlyReturns[[#This Row],[SPY]:[PE]])</f>
        <v>3.6469360487323382E-2</v>
      </c>
      <c r="EN63" s="27">
        <f>IF(ISNUMBER(EN62),EN62*(1+PortfolioFrontier[[#This Row],[P36 Return]]),1+PortfolioFrontier[[#This Row],[P36 Return]])</f>
        <v>1.5567066142165318</v>
      </c>
      <c r="EO63" s="27">
        <f>MAX(EO62,PortfolioFrontier[[#This Row],[P36 Growth]])</f>
        <v>1.5567066142165318</v>
      </c>
      <c r="EP63" s="27">
        <f>PortfolioFrontier[[#This Row],[P36 Growth]]/PortfolioFrontier[[#This Row],[P36 HWM]]-1</f>
        <v>0</v>
      </c>
      <c r="EQ63" s="28">
        <f>SUMPRODUCT(INDEX(PortfolioRef[[SPY]:[PE]],MATCH(EQ$1,PortfolioRef[Reference '#]),0),AssetMonthlyReturns[[#This Row],[SPY]:[PE]])</f>
        <v>3.1327941207571798E-2</v>
      </c>
      <c r="ER63" s="27">
        <f>IF(ISNUMBER(ER62),ER62*(1+PortfolioFrontier[[#This Row],[P37 Return]]),1+PortfolioFrontier[[#This Row],[P37 Return]])</f>
        <v>1.5295106694742442</v>
      </c>
      <c r="ES63" s="27">
        <f>MAX(ES62,PortfolioFrontier[[#This Row],[P37 Growth]])</f>
        <v>1.5295106694742442</v>
      </c>
      <c r="ET63" s="27">
        <f>PortfolioFrontier[[#This Row],[P37 Growth]]/PortfolioFrontier[[#This Row],[P37 HWM]]-1</f>
        <v>0</v>
      </c>
      <c r="EU63" s="28">
        <f>SUMPRODUCT(INDEX(PortfolioRef[[SPY]:[PE]],MATCH(EU$1,PortfolioRef[Reference '#]),0),AssetMonthlyReturns[[#This Row],[SPY]:[PE]])</f>
        <v>3.5414670448700655E-2</v>
      </c>
      <c r="EV63" s="27">
        <f>IF(ISNUMBER(EV62),EV62*(1+PortfolioFrontier[[#This Row],[P38 Return]]),1+PortfolioFrontier[[#This Row],[P38 Return]])</f>
        <v>1.5613591411806595</v>
      </c>
      <c r="EW63" s="27">
        <f>MAX(EW62,PortfolioFrontier[[#This Row],[P38 Growth]])</f>
        <v>1.5613591411806595</v>
      </c>
      <c r="EX63" s="27">
        <f>PortfolioFrontier[[#This Row],[P38 Growth]]/PortfolioFrontier[[#This Row],[P38 HWM]]-1</f>
        <v>0</v>
      </c>
      <c r="EY63" s="28">
        <f>SUMPRODUCT(INDEX(PortfolioRef[[SPY]:[PE]],MATCH(EY$1,PortfolioRef[Reference '#]),0),AssetMonthlyReturns[[#This Row],[SPY]:[PE]])</f>
        <v>3.7878188683885303E-2</v>
      </c>
      <c r="EZ63" s="27">
        <f>IF(ISNUMBER(EZ62),EZ62*(1+PortfolioFrontier[[#This Row],[P39 Return]]),1+PortfolioFrontier[[#This Row],[P39 Return]])</f>
        <v>1.5691842394422864</v>
      </c>
      <c r="FA63" s="27">
        <f>MAX(FA62,PortfolioFrontier[[#This Row],[P39 Growth]])</f>
        <v>1.5691842394422864</v>
      </c>
      <c r="FB63" s="27">
        <f>PortfolioFrontier[[#This Row],[P39 Growth]]/PortfolioFrontier[[#This Row],[P39 HWM]]-1</f>
        <v>0</v>
      </c>
      <c r="FC63" s="28">
        <f>SUMPRODUCT(INDEX(PortfolioRef[[SPY]:[PE]],MATCH(FC$1,PortfolioRef[Reference '#]),0),AssetMonthlyReturns[[#This Row],[SPY]:[PE]])</f>
        <v>3.2736769404133712E-2</v>
      </c>
      <c r="FD63" s="27">
        <f>IF(ISNUMBER(FD62),FD62*(1+PortfolioFrontier[[#This Row],[P40 Return]]),1+PortfolioFrontier[[#This Row],[P40 Return]])</f>
        <v>1.5418075892820169</v>
      </c>
      <c r="FE63" s="27">
        <f>MAX(FE62,PortfolioFrontier[[#This Row],[P40 Growth]])</f>
        <v>1.5418075892820169</v>
      </c>
      <c r="FF63" s="27">
        <f>PortfolioFrontier[[#This Row],[P40 Growth]]/PortfolioFrontier[[#This Row],[P40 HWM]]-1</f>
        <v>0</v>
      </c>
      <c r="FG63" s="28">
        <f>SUMPRODUCT(INDEX(PortfolioRef[[SPY]:[PE]],MATCH(FG$1,PortfolioRef[Reference '#]),0),AssetMonthlyReturns[[#This Row],[SPY]:[PE]])</f>
        <v>4.034170691906995E-2</v>
      </c>
      <c r="FH63" s="27">
        <f>IF(ISNUMBER(FH62),FH62*(1+PortfolioFrontier[[#This Row],[P41 Return]]),1+PortfolioFrontier[[#This Row],[P41 Return]])</f>
        <v>1.5763028847814233</v>
      </c>
      <c r="FI63" s="27">
        <f>MAX(FI62,PortfolioFrontier[[#This Row],[P41 Growth]])</f>
        <v>1.5763028847814233</v>
      </c>
      <c r="FJ63" s="27">
        <f>PortfolioFrontier[[#This Row],[P41 Growth]]/PortfolioFrontier[[#This Row],[P41 HWM]]-1</f>
        <v>0</v>
      </c>
      <c r="FK63" s="28">
        <f>SUMPRODUCT(INDEX(PortfolioRef[[SPY]:[PE]],MATCH(FK$1,PortfolioRef[Reference '#]),0),AssetMonthlyReturns[[#This Row],[SPY]:[PE]])</f>
        <v>3.5200287639318359E-2</v>
      </c>
      <c r="FL63" s="27">
        <f>IF(ISNUMBER(FL62),FL62*(1+PortfolioFrontier[[#This Row],[P42 Return]]),1+PortfolioFrontier[[#This Row],[P42 Return]])</f>
        <v>1.5492692794620342</v>
      </c>
      <c r="FM63" s="27">
        <f>MAX(FM62,PortfolioFrontier[[#This Row],[P42 Growth]])</f>
        <v>1.5492692794620342</v>
      </c>
      <c r="FN63" s="27">
        <f>PortfolioFrontier[[#This Row],[P42 Growth]]/PortfolioFrontier[[#This Row],[P42 HWM]]-1</f>
        <v>0</v>
      </c>
      <c r="FO63" s="28">
        <f>SUMPRODUCT(INDEX(PortfolioRef[[SPY]:[PE]],MATCH(FO$1,PortfolioRef[Reference '#]),0),AssetMonthlyReturns[[#This Row],[SPY]:[PE]])</f>
        <v>3.0058868359566775E-2</v>
      </c>
      <c r="FP63" s="27">
        <f>IF(ISNUMBER(FP62),FP62*(1+PortfolioFrontier[[#This Row],[P43 Return]]),1+PortfolioFrontier[[#This Row],[P43 Return]])</f>
        <v>1.5221086648329858</v>
      </c>
      <c r="FQ63" s="27">
        <f>MAX(FQ62,PortfolioFrontier[[#This Row],[P43 Growth]])</f>
        <v>1.5221086648329858</v>
      </c>
      <c r="FR63" s="27">
        <f>PortfolioFrontier[[#This Row],[P43 Growth]]/PortfolioFrontier[[#This Row],[P43 HWM]]-1</f>
        <v>0</v>
      </c>
      <c r="FS63" s="28">
        <f>SUMPRODUCT(INDEX(PortfolioRef[[SPY]:[PE]],MATCH(FS$1,PortfolioRef[Reference '#]),0),AssetMonthlyReturns[[#This Row],[SPY]:[PE]])</f>
        <v>3.9287016880447223E-2</v>
      </c>
      <c r="FT63" s="27">
        <f>IF(ISNUMBER(FT62),FT62*(1+PortfolioFrontier[[#This Row],[P44 Return]]),1+PortfolioFrontier[[#This Row],[P44 Return]])</f>
        <v>1.5815043309328907</v>
      </c>
      <c r="FU63" s="27">
        <f>MAX(FU62,PortfolioFrontier[[#This Row],[P44 Growth]])</f>
        <v>1.5815043309328907</v>
      </c>
      <c r="FV63" s="27">
        <f>PortfolioFrontier[[#This Row],[P44 Growth]]/PortfolioFrontier[[#This Row],[P44 HWM]]-1</f>
        <v>0</v>
      </c>
      <c r="FW63" s="28">
        <f>SUMPRODUCT(INDEX(PortfolioRef[[SPY]:[PE]],MATCH(FW$1,PortfolioRef[Reference '#]),0),AssetMonthlyReturns[[#This Row],[SPY]:[PE]])</f>
        <v>3.4145597600695632E-2</v>
      </c>
      <c r="FX63" s="27">
        <f>IF(ISNUMBER(FX62),FX62*(1+PortfolioFrontier[[#This Row],[P45 Return]]),1+PortfolioFrontier[[#This Row],[P45 Return]])</f>
        <v>1.5539498595478423</v>
      </c>
      <c r="FY63" s="27">
        <f>MAX(FY62,PortfolioFrontier[[#This Row],[P45 Growth]])</f>
        <v>1.5539498595478423</v>
      </c>
      <c r="FZ63" s="27">
        <f>PortfolioFrontier[[#This Row],[P45 Growth]]/PortfolioFrontier[[#This Row],[P45 HWM]]-1</f>
        <v>0</v>
      </c>
      <c r="GA63" s="28">
        <f>SUMPRODUCT(INDEX(PortfolioRef[[SPY]:[PE]],MATCH(GA$1,PortfolioRef[Reference '#]),0),AssetMonthlyReturns[[#This Row],[SPY]:[PE]])</f>
        <v>4.175053511563187E-2</v>
      </c>
      <c r="GB63" s="27">
        <f>IF(ISNUMBER(GB62),GB62*(1+PortfolioFrontier[[#This Row],[P46 Return]]),1+PortfolioFrontier[[#This Row],[P46 Return]])</f>
        <v>1.5889235647620887</v>
      </c>
      <c r="GC63" s="27">
        <f>MAX(GC62,PortfolioFrontier[[#This Row],[P46 Growth]])</f>
        <v>1.5889235647620887</v>
      </c>
      <c r="GD63" s="27">
        <f>PortfolioFrontier[[#This Row],[P46 Growth]]/PortfolioFrontier[[#This Row],[P46 HWM]]-1</f>
        <v>0</v>
      </c>
      <c r="GE63" s="28">
        <f>SUMPRODUCT(INDEX(PortfolioRef[[SPY]:[PE]],MATCH(GE$1,PortfolioRef[Reference '#]),0),AssetMonthlyReturns[[#This Row],[SPY]:[PE]])</f>
        <v>3.6609115835880279E-2</v>
      </c>
      <c r="GF63" s="27">
        <f>IF(ISNUMBER(GF62),GF62*(1+PortfolioFrontier[[#This Row],[P47 Return]]),1+PortfolioFrontier[[#This Row],[P47 Return]])</f>
        <v>1.561711062077433</v>
      </c>
      <c r="GG63" s="27">
        <f>MAX(GG62,PortfolioFrontier[[#This Row],[P47 Growth]])</f>
        <v>1.561711062077433</v>
      </c>
      <c r="GH63" s="27">
        <f>PortfolioFrontier[[#This Row],[P47 Growth]]/PortfolioFrontier[[#This Row],[P47 HWM]]-1</f>
        <v>0</v>
      </c>
      <c r="GI63" s="28">
        <f>SUMPRODUCT(INDEX(PortfolioRef[[SPY]:[PE]],MATCH(GI$1,PortfolioRef[Reference '#]),0),AssetMonthlyReturns[[#This Row],[SPY]:[PE]])</f>
        <v>3.1467696556128688E-2</v>
      </c>
      <c r="GJ63" s="27">
        <f>IF(ISNUMBER(GJ62),GJ62*(1+PortfolioFrontier[[#This Row],[P48 Return]]),1+PortfolioFrontier[[#This Row],[P48 Return]])</f>
        <v>1.5343694767454186</v>
      </c>
      <c r="GK63" s="27">
        <f>MAX(GK62,PortfolioFrontier[[#This Row],[P48 Growth]])</f>
        <v>1.5343694767454186</v>
      </c>
      <c r="GL63" s="27">
        <f>PortfolioFrontier[[#This Row],[P48 Growth]]/PortfolioFrontier[[#This Row],[P48 HWM]]-1</f>
        <v>0</v>
      </c>
      <c r="GM63" s="28">
        <f>SUMPRODUCT(INDEX(PortfolioRef[[SPY]:[PE]],MATCH(GM$1,PortfolioRef[Reference '#]),0),AssetMonthlyReturns[[#This Row],[SPY]:[PE]])</f>
        <v>4.4214053350816518E-2</v>
      </c>
      <c r="GN63" s="27">
        <f>IF(ISNUMBER(GN62),GN62*(1+PortfolioFrontier[[#This Row],[P49 Return]]),1+PortfolioFrontier[[#This Row],[P49 Return]])</f>
        <v>1.5956193882108225</v>
      </c>
      <c r="GO63" s="27">
        <f>MAX(GO62,PortfolioFrontier[[#This Row],[P49 Growth]])</f>
        <v>1.5956193882108225</v>
      </c>
      <c r="GP63" s="27">
        <f>PortfolioFrontier[[#This Row],[P49 Growth]]/PortfolioFrontier[[#This Row],[P49 HWM]]-1</f>
        <v>0</v>
      </c>
      <c r="GQ63" s="28">
        <f>SUMPRODUCT(INDEX(PortfolioRef[[SPY]:[PE]],MATCH(GQ$1,PortfolioRef[Reference '#]),0),AssetMonthlyReturns[[#This Row],[SPY]:[PE]])</f>
        <v>3.9072634071064927E-2</v>
      </c>
      <c r="GR63" s="27">
        <f>IF(ISNUMBER(GR62),GR62*(1+PortfolioFrontier[[#This Row],[P50 Return]]),1+PortfolioFrontier[[#This Row],[P50 Return]])</f>
        <v>1.5687689573176125</v>
      </c>
      <c r="GS63" s="27">
        <f>MAX(GS62,PortfolioFrontier[[#This Row],[P50 Growth]])</f>
        <v>1.5687689573176125</v>
      </c>
      <c r="GT63" s="27">
        <f>PortfolioFrontier[[#This Row],[P50 Growth]]/PortfolioFrontier[[#This Row],[P50 HWM]]-1</f>
        <v>0</v>
      </c>
      <c r="GU63" s="28">
        <f>SUMPRODUCT(INDEX(PortfolioRef[[SPY]:[PE]],MATCH(GU$1,PortfolioRef[Reference '#]),0),AssetMonthlyReturns[[#This Row],[SPY]:[PE]])</f>
        <v>3.3931214791313336E-2</v>
      </c>
      <c r="GV63" s="27">
        <f>IF(ISNUMBER(GV62),GV62*(1+PortfolioFrontier[[#This Row],[P51 Return]]),1+PortfolioFrontier[[#This Row],[P51 Return]])</f>
        <v>1.5417686763011571</v>
      </c>
      <c r="GW63" s="27">
        <f>MAX(GW62,PortfolioFrontier[[#This Row],[P51 Growth]])</f>
        <v>1.5417686763011571</v>
      </c>
      <c r="GX63" s="27">
        <f>PortfolioFrontier[[#This Row],[P51 Growth]]/PortfolioFrontier[[#This Row],[P51 HWM]]-1</f>
        <v>0</v>
      </c>
      <c r="GY63" s="28">
        <f>SUMPRODUCT(INDEX(PortfolioRef[[SPY]:[PE]],MATCH(GY$1,PortfolioRef[Reference '#]),0),AssetMonthlyReturns[[#This Row],[SPY]:[PE]])</f>
        <v>4.3159363312193791E-2</v>
      </c>
      <c r="GZ63" s="27">
        <f>IF(ISNUMBER(GZ62),GZ62*(1+PortfolioFrontier[[#This Row],[P52 Return]]),1+PortfolioFrontier[[#This Row],[P52 Return]])</f>
        <v>1.6013849848282165</v>
      </c>
      <c r="HA63" s="27">
        <f>MAX(HA62,PortfolioFrontier[[#This Row],[P52 Growth]])</f>
        <v>1.6013849848282165</v>
      </c>
      <c r="HB63" s="27">
        <f>PortfolioFrontier[[#This Row],[P52 Growth]]/PortfolioFrontier[[#This Row],[P52 HWM]]-1</f>
        <v>0</v>
      </c>
      <c r="HC63" s="28">
        <f>SUMPRODUCT(INDEX(PortfolioRef[[SPY]:[PE]],MATCH(HC$1,PortfolioRef[Reference '#]),0),AssetMonthlyReturns[[#This Row],[SPY]:[PE]])</f>
        <v>3.80179440324422E-2</v>
      </c>
      <c r="HD63" s="27">
        <f>IF(ISNUMBER(HD62),HD62*(1+PortfolioFrontier[[#This Row],[P53 Return]]),1+PortfolioFrontier[[#This Row],[P53 Return]])</f>
        <v>1.5739964514404718</v>
      </c>
      <c r="HE63" s="27">
        <f>MAX(HE62,PortfolioFrontier[[#This Row],[P53 Growth]])</f>
        <v>1.5739964514404718</v>
      </c>
      <c r="HF63" s="27">
        <f>PortfolioFrontier[[#This Row],[P53 Growth]]/PortfolioFrontier[[#This Row],[P53 HWM]]-1</f>
        <v>0</v>
      </c>
      <c r="HG63" s="28">
        <f>SUMPRODUCT(INDEX(PortfolioRef[[SPY]:[PE]],MATCH(HG$1,PortfolioRef[Reference '#]),0),AssetMonthlyReturns[[#This Row],[SPY]:[PE]])</f>
        <v>3.2876524752690608E-2</v>
      </c>
      <c r="HH63" s="27">
        <f>IF(ISNUMBER(HH62),HH62*(1+PortfolioFrontier[[#This Row],[P54 Return]]),1+PortfolioFrontier[[#This Row],[P54 Return]])</f>
        <v>1.5464767692592398</v>
      </c>
      <c r="HI63" s="27">
        <f>MAX(HI62,PortfolioFrontier[[#This Row],[P54 Growth]])</f>
        <v>1.5464767692592398</v>
      </c>
      <c r="HJ63" s="27">
        <f>PortfolioFrontier[[#This Row],[P54 Growth]]/PortfolioFrontier[[#This Row],[P54 HWM]]-1</f>
        <v>0</v>
      </c>
      <c r="HK63" s="28">
        <f>SUMPRODUCT(INDEX(PortfolioRef[[SPY]:[PE]],MATCH(HK$1,PortfolioRef[Reference '#]),0),AssetMonthlyReturns[[#This Row],[SPY]:[PE]])</f>
        <v>4.5622881547378431E-2</v>
      </c>
      <c r="HL63" s="27">
        <f>IF(ISNUMBER(HL62),HL62*(1+PortfolioFrontier[[#This Row],[P55 Return]]),1+PortfolioFrontier[[#This Row],[P55 Return]])</f>
        <v>1.6083807308244011</v>
      </c>
      <c r="HM63" s="27">
        <f>MAX(HM62,PortfolioFrontier[[#This Row],[P55 Growth]])</f>
        <v>1.6083807308244011</v>
      </c>
      <c r="HN63" s="27">
        <f>PortfolioFrontier[[#This Row],[P55 Growth]]/PortfolioFrontier[[#This Row],[P55 HWM]]-1</f>
        <v>0</v>
      </c>
      <c r="HO63" s="28">
        <f>SUMPRODUCT(INDEX(PortfolioRef[[SPY]:[PE]],MATCH(HO$1,PortfolioRef[Reference '#]),0),AssetMonthlyReturns[[#This Row],[SPY]:[PE]])</f>
        <v>4.0481462267626847E-2</v>
      </c>
      <c r="HP63" s="27">
        <f>IF(ISNUMBER(HP62),HP62*(1+PortfolioFrontier[[#This Row],[P56 Return]]),1+PortfolioFrontier[[#This Row],[P56 Return]])</f>
        <v>1.5813533585274111</v>
      </c>
      <c r="HQ63" s="27">
        <f>MAX(HQ62,PortfolioFrontier[[#This Row],[P56 Growth]])</f>
        <v>1.5813533585274111</v>
      </c>
      <c r="HR63" s="27">
        <f>PortfolioFrontier[[#This Row],[P56 Growth]]/PortfolioFrontier[[#This Row],[P56 HWM]]-1</f>
        <v>0</v>
      </c>
      <c r="HS63" s="28">
        <f>SUMPRODUCT(INDEX(PortfolioRef[[SPY]:[PE]],MATCH(HS$1,PortfolioRef[Reference '#]),0),AssetMonthlyReturns[[#This Row],[SPY]:[PE]])</f>
        <v>3.5340042987875249E-2</v>
      </c>
      <c r="HT63" s="27">
        <f>IF(ISNUMBER(HT62),HT62*(1+PortfolioFrontier[[#This Row],[P57 Return]]),1+PortfolioFrontier[[#This Row],[P57 Return]])</f>
        <v>1.5541738993053553</v>
      </c>
      <c r="HU63" s="27">
        <f>MAX(HU62,PortfolioFrontier[[#This Row],[P57 Growth]])</f>
        <v>1.5541738993053553</v>
      </c>
      <c r="HV63" s="27">
        <f>PortfolioFrontier[[#This Row],[P57 Growth]]/PortfolioFrontier[[#This Row],[P57 HWM]]-1</f>
        <v>0</v>
      </c>
      <c r="HW63" s="28">
        <f>SUMPRODUCT(INDEX(PortfolioRef[[SPY]:[PE]],MATCH(HW$1,PortfolioRef[Reference '#]),0),AssetMonthlyReturns[[#This Row],[SPY]:[PE]])</f>
        <v>4.8086399782563079E-2</v>
      </c>
      <c r="HX63" s="27">
        <f>IF(ISNUMBER(HX62),HX62*(1+PortfolioFrontier[[#This Row],[P58 Return]]),1+PortfolioFrontier[[#This Row],[P58 Return]])</f>
        <v>1.6146361677512497</v>
      </c>
      <c r="HY63" s="27">
        <f>MAX(HY62,PortfolioFrontier[[#This Row],[P58 Growth]])</f>
        <v>1.6146361677512497</v>
      </c>
      <c r="HZ63" s="27">
        <f>PortfolioFrontier[[#This Row],[P58 Growth]]/PortfolioFrontier[[#This Row],[P58 HWM]]-1</f>
        <v>0</v>
      </c>
      <c r="IA63" s="28">
        <f>SUMPRODUCT(INDEX(PortfolioRef[[SPY]:[PE]],MATCH(IA$1,PortfolioRef[Reference '#]),0),AssetMonthlyReturns[[#This Row],[SPY]:[PE]])</f>
        <v>4.2944980502811494E-2</v>
      </c>
      <c r="IB63" s="27">
        <f>IF(ISNUMBER(IB62),IB62*(1+PortfolioFrontier[[#This Row],[P59 Return]]),1+PortfolioFrontier[[#This Row],[P59 Return]])</f>
        <v>1.5879901018013238</v>
      </c>
      <c r="IC63" s="27">
        <f>MAX(IC62,PortfolioFrontier[[#This Row],[P59 Growth]])</f>
        <v>1.5879901018013238</v>
      </c>
      <c r="ID63" s="27">
        <f>PortfolioFrontier[[#This Row],[P59 Growth]]/PortfolioFrontier[[#This Row],[P59 HWM]]-1</f>
        <v>0</v>
      </c>
      <c r="IE63" s="28">
        <f>SUMPRODUCT(INDEX(PortfolioRef[[SPY]:[PE]],MATCH(IE$1,PortfolioRef[Reference '#]),0),AssetMonthlyReturns[[#This Row],[SPY]:[PE]])</f>
        <v>3.7803561223059903E-2</v>
      </c>
      <c r="IF63" s="27">
        <f>IF(ISNUMBER(IF62),IF62*(1+PortfolioFrontier[[#This Row],[P60 Return]]),1+PortfolioFrontier[[#This Row],[P60 Return]])</f>
        <v>1.5611708931511434</v>
      </c>
      <c r="IG63" s="27">
        <f>MAX(IG62,PortfolioFrontier[[#This Row],[P60 Growth]])</f>
        <v>1.5611708931511434</v>
      </c>
      <c r="IH63" s="27">
        <f>PortfolioFrontier[[#This Row],[P60 Growth]]/PortfolioFrontier[[#This Row],[P60 HWM]]-1</f>
        <v>0</v>
      </c>
      <c r="II63" s="28">
        <f>SUMPRODUCT(INDEX(PortfolioRef[[SPY]:[PE]],MATCH(II$1,PortfolioRef[Reference '#]),0),AssetMonthlyReturns[[#This Row],[SPY]:[PE]])</f>
        <v>3.0151944598959691E-2</v>
      </c>
      <c r="IJ63" s="27">
        <f>IF(ISNUMBER(IJ62),IJ62*(1+PortfolioFrontier[[#This Row],[P61 Return]]),1+PortfolioFrontier[[#This Row],[P61 Return]])</f>
        <v>1.4874178180863562</v>
      </c>
      <c r="IK63" s="27">
        <f>MAX(IK62,PortfolioFrontier[[#This Row],[P61 Growth]])</f>
        <v>1.4874178180863562</v>
      </c>
      <c r="IL63" s="27">
        <f>PortfolioFrontier[[#This Row],[P61 Growth]]/PortfolioFrontier[[#This Row],[P61 HWM]]-1</f>
        <v>0</v>
      </c>
      <c r="IM63" s="28">
        <f>SUMPRODUCT(INDEX(PortfolioRef[[SPY]:[PE]],MATCH(IM$1,PortfolioRef[Reference '#]),0),AssetMonthlyReturns[[#This Row],[SPY]:[PE]])</f>
        <v>3.1560772795521608E-2</v>
      </c>
      <c r="IN63" s="27">
        <f>IF(ISNUMBER(IN62),IN62*(1+PortfolioFrontier[[#This Row],[P62 Return]]),1+PortfolioFrontier[[#This Row],[P62 Return]])</f>
        <v>1.4993651645292023</v>
      </c>
      <c r="IO63" s="27">
        <f>MAX(IO62,PortfolioFrontier[[#This Row],[P62 Growth]])</f>
        <v>1.4993651645292023</v>
      </c>
      <c r="IP63" s="27">
        <f>PortfolioFrontier[[#This Row],[P62 Growth]]/PortfolioFrontier[[#This Row],[P62 HWM]]-1</f>
        <v>0</v>
      </c>
      <c r="IQ63" s="28">
        <f>SUMPRODUCT(INDEX(PortfolioRef[[SPY]:[PE]],MATCH(IQ$1,PortfolioRef[Reference '#]),0),AssetMonthlyReturns[[#This Row],[SPY]:[PE]])</f>
        <v>3.4024291030706255E-2</v>
      </c>
      <c r="IR63" s="27">
        <f>IF(ISNUMBER(IR62),IR62*(1+PortfolioFrontier[[#This Row],[P63 Return]]),1+PortfolioFrontier[[#This Row],[P63 Return]])</f>
        <v>1.5069985728013753</v>
      </c>
      <c r="IS63" s="27">
        <f>MAX(IS62,PortfolioFrontier[[#This Row],[P63 Growth]])</f>
        <v>1.5069985728013753</v>
      </c>
      <c r="IT63" s="27">
        <f>PortfolioFrontier[[#This Row],[P63 Growth]]/PortfolioFrontier[[#This Row],[P63 HWM]]-1</f>
        <v>0</v>
      </c>
      <c r="IU63" s="28">
        <f>SUMPRODUCT(INDEX(PortfolioRef[[SPY]:[PE]],MATCH(IU$1,PortfolioRef[Reference '#]),0),AssetMonthlyReturns[[#This Row],[SPY]:[PE]])</f>
        <v>2.8882871750954661E-2</v>
      </c>
      <c r="IV63" s="27">
        <f>IF(ISNUMBER(IV62),IV62*(1+PortfolioFrontier[[#This Row],[P64 Return]]),1+PortfolioFrontier[[#This Row],[P64 Return]])</f>
        <v>1.4803639636529595</v>
      </c>
      <c r="IW63" s="27">
        <f>MAX(IW62,PortfolioFrontier[[#This Row],[P64 Growth]])</f>
        <v>1.4803639636529595</v>
      </c>
      <c r="IX63" s="27">
        <f>PortfolioFrontier[[#This Row],[P64 Growth]]/PortfolioFrontier[[#This Row],[P64 HWM]]-1</f>
        <v>0</v>
      </c>
      <c r="IY63" s="28">
        <f>SUMPRODUCT(INDEX(PortfolioRef[[SPY]:[PE]],MATCH(IY$1,PortfolioRef[Reference '#]),0),AssetMonthlyReturns[[#This Row],[SPY]:[PE]])</f>
        <v>3.2969600992083528E-2</v>
      </c>
      <c r="IZ63" s="27">
        <f>IF(ISNUMBER(IZ62),IZ62*(1+PortfolioFrontier[[#This Row],[P65 Return]]),1+PortfolioFrontier[[#This Row],[P65 Return]])</f>
        <v>1.5111612689926004</v>
      </c>
      <c r="JA63" s="27">
        <f>MAX(JA62,PortfolioFrontier[[#This Row],[P65 Growth]])</f>
        <v>1.5111612689926004</v>
      </c>
      <c r="JB63" s="27">
        <f>PortfolioFrontier[[#This Row],[P65 Growth]]/PortfolioFrontier[[#This Row],[P65 HWM]]-1</f>
        <v>0</v>
      </c>
      <c r="JC63" s="28">
        <f>SUMPRODUCT(INDEX(PortfolioRef[[SPY]:[PE]],MATCH(JC$1,PortfolioRef[Reference '#]),0),AssetMonthlyReturns[[#This Row],[SPY]:[PE]])</f>
        <v>3.5433119227268169E-2</v>
      </c>
      <c r="JD63" s="27">
        <f>IF(ISNUMBER(JD62),JD62*(1+PortfolioFrontier[[#This Row],[P66 Return]]),1+PortfolioFrontier[[#This Row],[P66 Return]])</f>
        <v>1.5190894859936979</v>
      </c>
      <c r="JE63" s="27">
        <f>MAX(JE62,PortfolioFrontier[[#This Row],[P66 Growth]])</f>
        <v>1.5190894859936979</v>
      </c>
      <c r="JF63" s="27">
        <f>PortfolioFrontier[[#This Row],[P66 Growth]]/PortfolioFrontier[[#This Row],[P66 HWM]]-1</f>
        <v>0</v>
      </c>
      <c r="JG63" s="28">
        <f>SUMPRODUCT(INDEX(PortfolioRef[[SPY]:[PE]],MATCH(JG$1,PortfolioRef[Reference '#]),0),AssetMonthlyReturns[[#This Row],[SPY]:[PE]])</f>
        <v>3.0291699947516581E-2</v>
      </c>
      <c r="JH63" s="27">
        <f>IF(ISNUMBER(JH62),JH62*(1+PortfolioFrontier[[#This Row],[P67 Return]]),1+PortfolioFrontier[[#This Row],[P67 Return]])</f>
        <v>1.4922774063937057</v>
      </c>
      <c r="JI63" s="27">
        <f>MAX(JI62,PortfolioFrontier[[#This Row],[P67 Growth]])</f>
        <v>1.4922774063937057</v>
      </c>
      <c r="JJ63" s="27">
        <f>PortfolioFrontier[[#This Row],[P67 Growth]]/PortfolioFrontier[[#This Row],[P67 HWM]]-1</f>
        <v>0</v>
      </c>
      <c r="JK63" s="28">
        <f>SUMPRODUCT(INDEX(PortfolioRef[[SPY]:[PE]],MATCH(JK$1,PortfolioRef[Reference '#]),0),AssetMonthlyReturns[[#This Row],[SPY]:[PE]])</f>
        <v>3.7896637462452823E-2</v>
      </c>
      <c r="JL63" s="27">
        <f>IF(ISNUMBER(JL62),JL62*(1+PortfolioFrontier[[#This Row],[P68 Return]]),1+PortfolioFrontier[[#This Row],[P68 Return]])</f>
        <v>1.5263389503240992</v>
      </c>
      <c r="JM63" s="27">
        <f>MAX(JM62,PortfolioFrontier[[#This Row],[P68 Growth]])</f>
        <v>1.5263389503240992</v>
      </c>
      <c r="JN63" s="27">
        <f>PortfolioFrontier[[#This Row],[P68 Growth]]/PortfolioFrontier[[#This Row],[P68 HWM]]-1</f>
        <v>0</v>
      </c>
      <c r="JO63" s="28">
        <f>SUMPRODUCT(INDEX(PortfolioRef[[SPY]:[PE]],MATCH(JO$1,PortfolioRef[Reference '#]),0),AssetMonthlyReturns[[#This Row],[SPY]:[PE]])</f>
        <v>3.2755218182701232E-2</v>
      </c>
      <c r="JP63" s="27">
        <f>IF(ISNUMBER(JP62),JP62*(1+PortfolioFrontier[[#This Row],[P69 Return]]),1+PortfolioFrontier[[#This Row],[P69 Return]])</f>
        <v>1.4998492257100413</v>
      </c>
      <c r="JQ63" s="27">
        <f>MAX(JQ62,PortfolioFrontier[[#This Row],[P69 Growth]])</f>
        <v>1.4998492257100413</v>
      </c>
      <c r="JR63" s="27">
        <f>PortfolioFrontier[[#This Row],[P69 Growth]]/PortfolioFrontier[[#This Row],[P69 HWM]]-1</f>
        <v>0</v>
      </c>
      <c r="JS63" s="28">
        <f>SUMPRODUCT(INDEX(PortfolioRef[[SPY]:[PE]],MATCH(JS$1,PortfolioRef[Reference '#]),0),AssetMonthlyReturns[[#This Row],[SPY]:[PE]])</f>
        <v>2.7613798902949641E-2</v>
      </c>
      <c r="JT63" s="27">
        <f>IF(ISNUMBER(JT62),JT62*(1+PortfolioFrontier[[#This Row],[P70 Return]]),1+PortfolioFrontier[[#This Row],[P70 Return]])</f>
        <v>1.4732492607473344</v>
      </c>
      <c r="JU63" s="27">
        <f>MAX(JU62,PortfolioFrontier[[#This Row],[P70 Growth]])</f>
        <v>1.4732492607473344</v>
      </c>
      <c r="JV63" s="27">
        <f>PortfolioFrontier[[#This Row],[P70 Growth]]/PortfolioFrontier[[#This Row],[P70 HWM]]-1</f>
        <v>0</v>
      </c>
      <c r="JW63" s="28">
        <f>SUMPRODUCT(INDEX(PortfolioRef[[SPY]:[PE]],MATCH(JW$1,PortfolioRef[Reference '#]),0),AssetMonthlyReturns[[#This Row],[SPY]:[PE]])</f>
        <v>3.6841947423830089E-2</v>
      </c>
      <c r="JX63" s="27">
        <f>IF(ISNUMBER(JX62),JX62*(1+PortfolioFrontier[[#This Row],[P71 Return]]),1+PortfolioFrontier[[#This Row],[P71 Return]])</f>
        <v>1.5310274174638185</v>
      </c>
      <c r="JY63" s="27">
        <f>MAX(JY62,PortfolioFrontier[[#This Row],[P71 Growth]])</f>
        <v>1.5310274174638185</v>
      </c>
      <c r="JZ63" s="27">
        <f>PortfolioFrontier[[#This Row],[P71 Growth]]/PortfolioFrontier[[#This Row],[P71 HWM]]-1</f>
        <v>0</v>
      </c>
      <c r="KA63" s="28">
        <f>SUMPRODUCT(INDEX(PortfolioRef[[SPY]:[PE]],MATCH(KA$1,PortfolioRef[Reference '#]),0),AssetMonthlyReturns[[#This Row],[SPY]:[PE]])</f>
        <v>3.1700528144078505E-2</v>
      </c>
      <c r="KB63" s="27">
        <f>IF(ISNUMBER(KB62),KB62*(1+PortfolioFrontier[[#This Row],[P72 Return]]),1+PortfolioFrontier[[#This Row],[P72 Return]])</f>
        <v>1.5040406978516501</v>
      </c>
      <c r="KC63" s="27">
        <f>MAX(KC62,PortfolioFrontier[[#This Row],[P72 Growth]])</f>
        <v>1.5040406978516501</v>
      </c>
      <c r="KD63" s="27">
        <f>PortfolioFrontier[[#This Row],[P72 Growth]]/PortfolioFrontier[[#This Row],[P72 HWM]]-1</f>
        <v>0</v>
      </c>
      <c r="KE63" s="28">
        <f>SUMPRODUCT(INDEX(PortfolioRef[[SPY]:[PE]],MATCH(KE$1,PortfolioRef[Reference '#]),0),AssetMonthlyReturns[[#This Row],[SPY]:[PE]])</f>
        <v>3.9305465659014736E-2</v>
      </c>
      <c r="KF63" s="27">
        <f>IF(ISNUMBER(KF62),KF62*(1+PortfolioFrontier[[#This Row],[P73 Return]]),1+PortfolioFrontier[[#This Row],[P73 Return]])</f>
        <v>1.5385713289308323</v>
      </c>
      <c r="KG63" s="27">
        <f>MAX(KG62,PortfolioFrontier[[#This Row],[P73 Growth]])</f>
        <v>1.5385713289308323</v>
      </c>
      <c r="KH63" s="27">
        <f>PortfolioFrontier[[#This Row],[P73 Growth]]/PortfolioFrontier[[#This Row],[P73 HWM]]-1</f>
        <v>0</v>
      </c>
      <c r="KI63" s="28">
        <f>SUMPRODUCT(INDEX(PortfolioRef[[SPY]:[PE]],MATCH(KI$1,PortfolioRef[Reference '#]),0),AssetMonthlyReturns[[#This Row],[SPY]:[PE]])</f>
        <v>3.4164046379263152E-2</v>
      </c>
      <c r="KJ63" s="27">
        <f>IF(ISNUMBER(KJ62),KJ62*(1+PortfolioFrontier[[#This Row],[P74 Return]]),1+PortfolioFrontier[[#This Row],[P74 Return]])</f>
        <v>1.5119058037012569</v>
      </c>
      <c r="KK63" s="27">
        <f>MAX(KK62,PortfolioFrontier[[#This Row],[P74 Growth]])</f>
        <v>1.5119058037012569</v>
      </c>
      <c r="KL63" s="27">
        <f>PortfolioFrontier[[#This Row],[P74 Growth]]/PortfolioFrontier[[#This Row],[P74 HWM]]-1</f>
        <v>0</v>
      </c>
      <c r="KM63" s="28">
        <f>SUMPRODUCT(INDEX(PortfolioRef[[SPY]:[PE]],MATCH(KM$1,PortfolioRef[Reference '#]),0),AssetMonthlyReturns[[#This Row],[SPY]:[PE]])</f>
        <v>2.9022627099511554E-2</v>
      </c>
      <c r="KN63" s="27">
        <f>IF(ISNUMBER(KN62),KN62*(1+PortfolioFrontier[[#This Row],[P75 Return]]),1+PortfolioFrontier[[#This Row],[P75 Return]])</f>
        <v>1.4851281118170696</v>
      </c>
      <c r="KO63" s="27">
        <f>MAX(KO62,PortfolioFrontier[[#This Row],[P75 Growth]])</f>
        <v>1.4851281118170696</v>
      </c>
      <c r="KP63" s="27">
        <f>PortfolioFrontier[[#This Row],[P75 Growth]]/PortfolioFrontier[[#This Row],[P75 HWM]]-1</f>
        <v>0</v>
      </c>
      <c r="KQ63" s="28">
        <f>SUMPRODUCT(INDEX(PortfolioRef[[SPY]:[PE]],MATCH(KQ$1,PortfolioRef[Reference '#]),0),AssetMonthlyReturns[[#This Row],[SPY]:[PE]])</f>
        <v>4.1768983894199384E-2</v>
      </c>
      <c r="KR63" s="27">
        <f>IF(ISNUMBER(KR62),KR62*(1+PortfolioFrontier[[#This Row],[P76 Return]]),1+PortfolioFrontier[[#This Row],[P76 Return]])</f>
        <v>1.5454198701221269</v>
      </c>
      <c r="KS63" s="27">
        <f>MAX(KS62,PortfolioFrontier[[#This Row],[P76 Growth]])</f>
        <v>1.5454198701221269</v>
      </c>
      <c r="KT63" s="27">
        <f>PortfolioFrontier[[#This Row],[P76 Growth]]/PortfolioFrontier[[#This Row],[P76 HWM]]-1</f>
        <v>0</v>
      </c>
      <c r="KU63" s="28">
        <f>SUMPRODUCT(INDEX(PortfolioRef[[SPY]:[PE]],MATCH(KU$1,PortfolioRef[Reference '#]),0),AssetMonthlyReturns[[#This Row],[SPY]:[PE]])</f>
        <v>3.66275646144478E-2</v>
      </c>
      <c r="KV63" s="27">
        <f>IF(ISNUMBER(KV62),KV62*(1+PortfolioFrontier[[#This Row],[P77 Return]]),1+PortfolioFrontier[[#This Row],[P77 Return]])</f>
        <v>1.5190951455127673</v>
      </c>
      <c r="KW63" s="27">
        <f>MAX(KW62,PortfolioFrontier[[#This Row],[P77 Growth]])</f>
        <v>1.5190951455127673</v>
      </c>
      <c r="KX63" s="27">
        <f>PortfolioFrontier[[#This Row],[P77 Growth]]/PortfolioFrontier[[#This Row],[P77 HWM]]-1</f>
        <v>0</v>
      </c>
      <c r="KY63" s="28">
        <f>SUMPRODUCT(INDEX(PortfolioRef[[SPY]:[PE]],MATCH(KY$1,PortfolioRef[Reference '#]),0),AssetMonthlyReturns[[#This Row],[SPY]:[PE]])</f>
        <v>3.1486145334696201E-2</v>
      </c>
      <c r="KZ63" s="27">
        <f>IF(ISNUMBER(KZ62),KZ62*(1+PortfolioFrontier[[#This Row],[P78 Return]]),1+PortfolioFrontier[[#This Row],[P78 Return]])</f>
        <v>1.4926381656291785</v>
      </c>
      <c r="LA63" s="27">
        <f>MAX(LA62,PortfolioFrontier[[#This Row],[P78 Growth]])</f>
        <v>1.4926381656291785</v>
      </c>
      <c r="LB63" s="27">
        <f>PortfolioFrontier[[#This Row],[P78 Growth]]/PortfolioFrontier[[#This Row],[P78 HWM]]-1</f>
        <v>0</v>
      </c>
      <c r="LC63" s="28">
        <f>SUMPRODUCT(INDEX(PortfolioRef[[SPY]:[PE]],MATCH(LC$1,PortfolioRef[Reference '#]),0),AssetMonthlyReturns[[#This Row],[SPY]:[PE]])</f>
        <v>4.0714293855576657E-2</v>
      </c>
      <c r="LD63" s="27">
        <f>IF(ISNUMBER(LD62),LD62*(1+PortfolioFrontier[[#This Row],[P79 Return]]),1+PortfolioFrontier[[#This Row],[P79 Return]])</f>
        <v>1.5506490143027924</v>
      </c>
      <c r="LE63" s="27">
        <f>MAX(LE62,PortfolioFrontier[[#This Row],[P79 Growth]])</f>
        <v>1.5506490143027924</v>
      </c>
      <c r="LF63" s="27">
        <f>PortfolioFrontier[[#This Row],[P79 Growth]]/PortfolioFrontier[[#This Row],[P79 HWM]]-1</f>
        <v>0</v>
      </c>
      <c r="LG63" s="28">
        <f>SUMPRODUCT(INDEX(PortfolioRef[[SPY]:[PE]],MATCH(LG$1,PortfolioRef[Reference '#]),0),AssetMonthlyReturns[[#This Row],[SPY]:[PE]])</f>
        <v>3.5572874575825073E-2</v>
      </c>
      <c r="LH63" s="27">
        <f>IF(ISNUMBER(LH62),LH62*(1+PortfolioFrontier[[#This Row],[P80 Return]]),1+PortfolioFrontier[[#This Row],[P80 Return]])</f>
        <v>1.5238105030825166</v>
      </c>
      <c r="LI63" s="27">
        <f>MAX(LI62,PortfolioFrontier[[#This Row],[P80 Growth]])</f>
        <v>1.5238105030825166</v>
      </c>
      <c r="LJ63" s="27">
        <f>PortfolioFrontier[[#This Row],[P80 Growth]]/PortfolioFrontier[[#This Row],[P80 HWM]]-1</f>
        <v>0</v>
      </c>
      <c r="LK63" s="28">
        <f>SUMPRODUCT(INDEX(PortfolioRef[[SPY]:[PE]],MATCH(LK$1,PortfolioRef[Reference '#]),0),AssetMonthlyReturns[[#This Row],[SPY]:[PE]])</f>
        <v>3.0431455296073474E-2</v>
      </c>
      <c r="LL63" s="27">
        <f>IF(ISNUMBER(LL62),LL62*(1+PortfolioFrontier[[#This Row],[P81 Return]]),1+PortfolioFrontier[[#This Row],[P81 Return]])</f>
        <v>1.4968579045612469</v>
      </c>
      <c r="LM63" s="27">
        <f>MAX(LM62,PortfolioFrontier[[#This Row],[P81 Growth]])</f>
        <v>1.4968579045612469</v>
      </c>
      <c r="LN63" s="27">
        <f>PortfolioFrontier[[#This Row],[P81 Growth]]/PortfolioFrontier[[#This Row],[P81 HWM]]-1</f>
        <v>0</v>
      </c>
      <c r="LO63" s="28">
        <f>SUMPRODUCT(INDEX(PortfolioRef[[SPY]:[PE]],MATCH(LO$1,PortfolioRef[Reference '#]),0),AssetMonthlyReturns[[#This Row],[SPY]:[PE]])</f>
        <v>4.3177812090761297E-2</v>
      </c>
      <c r="LP63" s="27">
        <f>IF(ISNUMBER(LP62),LP62*(1+PortfolioFrontier[[#This Row],[P82 Return]]),1+PortfolioFrontier[[#This Row],[P82 Return]])</f>
        <v>1.5577914753991917</v>
      </c>
      <c r="LQ63" s="27">
        <f>MAX(LQ62,PortfolioFrontier[[#This Row],[P82 Growth]])</f>
        <v>1.5577914753991917</v>
      </c>
      <c r="LR63" s="27">
        <f>PortfolioFrontier[[#This Row],[P82 Growth]]/PortfolioFrontier[[#This Row],[P82 HWM]]-1</f>
        <v>0</v>
      </c>
      <c r="LS63" s="28">
        <f>SUMPRODUCT(INDEX(PortfolioRef[[SPY]:[PE]],MATCH(LS$1,PortfolioRef[Reference '#]),0),AssetMonthlyReturns[[#This Row],[SPY]:[PE]])</f>
        <v>3.803639281100972E-2</v>
      </c>
      <c r="LT63" s="27">
        <f>IF(ISNUMBER(LT62),LT62*(1+PortfolioFrontier[[#This Row],[P83 Return]]),1+PortfolioFrontier[[#This Row],[P83 Return]])</f>
        <v>1.5312927633869546</v>
      </c>
      <c r="LU63" s="27">
        <f>MAX(LU62,PortfolioFrontier[[#This Row],[P83 Growth]])</f>
        <v>1.5312927633869546</v>
      </c>
      <c r="LV63" s="27">
        <f>PortfolioFrontier[[#This Row],[P83 Growth]]/PortfolioFrontier[[#This Row],[P83 HWM]]-1</f>
        <v>0</v>
      </c>
      <c r="LW63" s="28">
        <f>SUMPRODUCT(INDEX(PortfolioRef[[SPY]:[PE]],MATCH(LW$1,PortfolioRef[Reference '#]),0),AssetMonthlyReturns[[#This Row],[SPY]:[PE]])</f>
        <v>3.2894973531258122E-2</v>
      </c>
      <c r="LX63" s="27">
        <f>IF(ISNUMBER(LX62),LX62*(1+PortfolioFrontier[[#This Row],[P84 Return]]),1+PortfolioFrontier[[#This Row],[P84 Return]])</f>
        <v>1.5046597114870024</v>
      </c>
      <c r="LY63" s="27">
        <f>MAX(LY62,PortfolioFrontier[[#This Row],[P84 Growth]])</f>
        <v>1.5046597114870024</v>
      </c>
      <c r="LZ63" s="27">
        <f>PortfolioFrontier[[#This Row],[P84 Growth]]/PortfolioFrontier[[#This Row],[P84 HWM]]-1</f>
        <v>0</v>
      </c>
      <c r="MA63" s="28">
        <f>SUMPRODUCT(INDEX(PortfolioRef[[SPY]:[PE]],MATCH(MA$1,PortfolioRef[Reference '#]),0),AssetMonthlyReturns[[#This Row],[SPY]:[PE]])</f>
        <v>4.5641330325945945E-2</v>
      </c>
      <c r="MB63" s="27">
        <f>IF(ISNUMBER(MB62),MB62*(1+PortfolioFrontier[[#This Row],[P85 Return]]),1+PortfolioFrontier[[#This Row],[P85 Return]])</f>
        <v>1.5642219929033079</v>
      </c>
      <c r="MC63" s="27">
        <f>MAX(MC62,PortfolioFrontier[[#This Row],[P85 Growth]])</f>
        <v>1.5642219929033079</v>
      </c>
      <c r="MD63" s="27">
        <f>PortfolioFrontier[[#This Row],[P85 Growth]]/PortfolioFrontier[[#This Row],[P85 HWM]]-1</f>
        <v>0</v>
      </c>
      <c r="ME63" s="28">
        <f>SUMPRODUCT(INDEX(PortfolioRef[[SPY]:[PE]],MATCH(ME$1,PortfolioRef[Reference '#]),0),AssetMonthlyReturns[[#This Row],[SPY]:[PE]])</f>
        <v>4.0499911046194367E-2</v>
      </c>
      <c r="MF63" s="27">
        <f>IF(ISNUMBER(MF62),MF62*(1+PortfolioFrontier[[#This Row],[P86 Return]]),1+PortfolioFrontier[[#This Row],[P86 Return]])</f>
        <v>1.5380827395783141</v>
      </c>
      <c r="MG63" s="27">
        <f>MAX(MG62,PortfolioFrontier[[#This Row],[P86 Growth]])</f>
        <v>1.5380827395783141</v>
      </c>
      <c r="MH63" s="27">
        <f>PortfolioFrontier[[#This Row],[P86 Growth]]/PortfolioFrontier[[#This Row],[P86 HWM]]-1</f>
        <v>0</v>
      </c>
      <c r="MI63" s="28">
        <f>SUMPRODUCT(INDEX(PortfolioRef[[SPY]:[PE]],MATCH(MI$1,PortfolioRef[Reference '#]),0),AssetMonthlyReturns[[#This Row],[SPY]:[PE]])</f>
        <v>3.5358491766442769E-2</v>
      </c>
      <c r="MJ63" s="27">
        <f>IF(ISNUMBER(MJ62),MJ62*(1+PortfolioFrontier[[#This Row],[P87 Return]]),1+PortfolioFrontier[[#This Row],[P87 Return]])</f>
        <v>1.5117887677681598</v>
      </c>
      <c r="MK63" s="27">
        <f>MAX(MK62,PortfolioFrontier[[#This Row],[P87 Growth]])</f>
        <v>1.5117887677681598</v>
      </c>
      <c r="ML63" s="27">
        <f>PortfolioFrontier[[#This Row],[P87 Growth]]/PortfolioFrontier[[#This Row],[P87 HWM]]-1</f>
        <v>0</v>
      </c>
      <c r="MM63" s="28">
        <f>SUMPRODUCT(INDEX(PortfolioRef[[SPY]:[PE]],MATCH(MM$1,PortfolioRef[Reference '#]),0),AssetMonthlyReturns[[#This Row],[SPY]:[PE]])</f>
        <v>4.4586640287323218E-2</v>
      </c>
      <c r="MN63" s="27">
        <f>IF(ISNUMBER(MN62),MN62*(1+PortfolioFrontier[[#This Row],[P88 Return]]),1+PortfolioFrontier[[#This Row],[P88 Return]])</f>
        <v>1.5700067059260738</v>
      </c>
      <c r="MO63" s="27">
        <f>MAX(MO62,PortfolioFrontier[[#This Row],[P88 Growth]])</f>
        <v>1.5700067059260738</v>
      </c>
      <c r="MP63" s="27">
        <f>PortfolioFrontier[[#This Row],[P88 Growth]]/PortfolioFrontier[[#This Row],[P88 HWM]]-1</f>
        <v>0</v>
      </c>
      <c r="MQ63" s="28">
        <f>SUMPRODUCT(INDEX(PortfolioRef[[SPY]:[PE]],MATCH(MQ$1,PortfolioRef[Reference '#]),0),AssetMonthlyReturns[[#This Row],[SPY]:[PE]])</f>
        <v>3.944522100757164E-2</v>
      </c>
      <c r="MR63" s="27">
        <f>IF(ISNUMBER(MR62),MR62*(1+PortfolioFrontier[[#This Row],[P89 Return]]),1+PortfolioFrontier[[#This Row],[P89 Return]])</f>
        <v>1.5433368033591608</v>
      </c>
      <c r="MS63" s="27">
        <f>MAX(MS62,PortfolioFrontier[[#This Row],[P89 Growth]])</f>
        <v>1.5433368033591608</v>
      </c>
      <c r="MT63" s="27">
        <f>PortfolioFrontier[[#This Row],[P89 Growth]]/PortfolioFrontier[[#This Row],[P89 HWM]]-1</f>
        <v>0</v>
      </c>
      <c r="MU63" s="28">
        <f>SUMPRODUCT(INDEX(PortfolioRef[[SPY]:[PE]],MATCH(MU$1,PortfolioRef[Reference '#]),0),AssetMonthlyReturns[[#This Row],[SPY]:[PE]])</f>
        <v>3.4303801727820042E-2</v>
      </c>
      <c r="MV63" s="27">
        <f>IF(ISNUMBER(MV62),MV62*(1+PortfolioFrontier[[#This Row],[P90 Return]]),1+PortfolioFrontier[[#This Row],[P90 Return]])</f>
        <v>1.5165304841386271</v>
      </c>
      <c r="MW63" s="27">
        <f>MAX(MW62,PortfolioFrontier[[#This Row],[P90 Growth]])</f>
        <v>1.5165304841386271</v>
      </c>
      <c r="MX63" s="27">
        <f>PortfolioFrontier[[#This Row],[P90 Growth]]/PortfolioFrontier[[#This Row],[P90 HWM]]-1</f>
        <v>0</v>
      </c>
      <c r="MY63" s="28">
        <f>SUMPRODUCT(INDEX(PortfolioRef[[SPY]:[PE]],MATCH(MY$1,PortfolioRef[Reference '#]),0),AssetMonthlyReturns[[#This Row],[SPY]:[PE]])</f>
        <v>4.7050158522507865E-2</v>
      </c>
      <c r="MZ63" s="27">
        <f>IF(ISNUMBER(MZ62),MZ62*(1+PortfolioFrontier[[#This Row],[P91 Return]]),1+PortfolioFrontier[[#This Row],[P91 Return]])</f>
        <v>1.5767304473649948</v>
      </c>
      <c r="NA63" s="27">
        <f>MAX(NA62,PortfolioFrontier[[#This Row],[P91 Growth]])</f>
        <v>1.5767304473649948</v>
      </c>
      <c r="NB63" s="27">
        <f>PortfolioFrontier[[#This Row],[P91 Growth]]/PortfolioFrontier[[#This Row],[P91 HWM]]-1</f>
        <v>0</v>
      </c>
      <c r="NC63" s="28">
        <f>SUMPRODUCT(INDEX(PortfolioRef[[SPY]:[PE]],MATCH(NC$1,PortfolioRef[Reference '#]),0),AssetMonthlyReturns[[#This Row],[SPY]:[PE]])</f>
        <v>4.1908739242756281E-2</v>
      </c>
      <c r="ND63" s="27">
        <f>IF(ISNUMBER(ND62),ND62*(1+PortfolioFrontier[[#This Row],[P92 Return]]),1+PortfolioFrontier[[#This Row],[P92 Return]])</f>
        <v>1.5504191650323558</v>
      </c>
      <c r="NE63" s="27">
        <f>MAX(NE62,PortfolioFrontier[[#This Row],[P92 Growth]])</f>
        <v>1.5504191650323558</v>
      </c>
      <c r="NF63" s="27">
        <f>PortfolioFrontier[[#This Row],[P92 Growth]]/PortfolioFrontier[[#This Row],[P92 HWM]]-1</f>
        <v>0</v>
      </c>
      <c r="NG63" s="28">
        <f>SUMPRODUCT(INDEX(PortfolioRef[[SPY]:[PE]],MATCH(NG$1,PortfolioRef[Reference '#]),0),AssetMonthlyReturns[[#This Row],[SPY]:[PE]])</f>
        <v>3.676731996300469E-2</v>
      </c>
      <c r="NH63" s="27">
        <f>IF(ISNUMBER(NH62),NH62*(1+PortfolioFrontier[[#This Row],[P93 Return]]),1+PortfolioFrontier[[#This Row],[P93 Return]])</f>
        <v>1.5239509190857017</v>
      </c>
      <c r="NI63" s="27">
        <f>MAX(NI62,PortfolioFrontier[[#This Row],[P93 Growth]])</f>
        <v>1.5239509190857017</v>
      </c>
      <c r="NJ63" s="27">
        <f>PortfolioFrontier[[#This Row],[P93 Growth]]/PortfolioFrontier[[#This Row],[P93 HWM]]-1</f>
        <v>0</v>
      </c>
      <c r="NK63" s="28">
        <f>SUMPRODUCT(INDEX(PortfolioRef[[SPY]:[PE]],MATCH(NK$1,PortfolioRef[Reference '#]),0),AssetMonthlyReturns[[#This Row],[SPY]:[PE]])</f>
        <v>4.9513676757692512E-2</v>
      </c>
      <c r="NL63" s="27">
        <f>IF(ISNUMBER(NL62),NL62*(1+PortfolioFrontier[[#This Row],[P94 Return]]),1+PortfolioFrontier[[#This Row],[P94 Return]])</f>
        <v>1.5827257340493732</v>
      </c>
      <c r="NM63" s="27">
        <f>MAX(NM62,PortfolioFrontier[[#This Row],[P94 Growth]])</f>
        <v>1.5827257340493732</v>
      </c>
      <c r="NN63" s="27">
        <f>PortfolioFrontier[[#This Row],[P94 Growth]]/PortfolioFrontier[[#This Row],[P94 HWM]]-1</f>
        <v>0</v>
      </c>
      <c r="NO63" s="28">
        <f>SUMPRODUCT(INDEX(PortfolioRef[[SPY]:[PE]],MATCH(NO$1,PortfolioRef[Reference '#]),0),AssetMonthlyReturns[[#This Row],[SPY]:[PE]])</f>
        <v>4.4372257477940928E-2</v>
      </c>
      <c r="NP63" s="27">
        <f>IF(ISNUMBER(NP62),NP62*(1+PortfolioFrontier[[#This Row],[P95 Return]]),1+PortfolioFrontier[[#This Row],[P95 Return]])</f>
        <v>1.5567927677139026</v>
      </c>
      <c r="NQ63" s="27">
        <f>MAX(NQ62,PortfolioFrontier[[#This Row],[P95 Growth]])</f>
        <v>1.5567927677139026</v>
      </c>
      <c r="NR63" s="27">
        <f>PortfolioFrontier[[#This Row],[P95 Growth]]/PortfolioFrontier[[#This Row],[P95 HWM]]-1</f>
        <v>0</v>
      </c>
      <c r="NS63" s="28">
        <f>SUMPRODUCT(INDEX(PortfolioRef[[SPY]:[PE]],MATCH(NS$1,PortfolioRef[Reference '#]),0),AssetMonthlyReturns[[#This Row],[SPY]:[PE]])</f>
        <v>3.9230838198189337E-2</v>
      </c>
      <c r="NT63" s="27">
        <f>IF(ISNUMBER(NT62),NT62*(1+PortfolioFrontier[[#This Row],[P96 Return]]),1+PortfolioFrontier[[#This Row],[P96 Return]])</f>
        <v>1.5306821812674827</v>
      </c>
      <c r="NU63" s="27">
        <f>MAX(NU62,PortfolioFrontier[[#This Row],[P96 Growth]])</f>
        <v>1.5306821812674827</v>
      </c>
      <c r="NV63" s="27">
        <f>PortfolioFrontier[[#This Row],[P96 Growth]]/PortfolioFrontier[[#This Row],[P96 HWM]]-1</f>
        <v>0</v>
      </c>
      <c r="NW63" s="28">
        <f>SUMPRODUCT(INDEX(PortfolioRef[[SPY]:[PE]],MATCH(NW$1,PortfolioRef[Reference '#]),0),AssetMonthlyReturns[[#This Row],[SPY]:[PE]])</f>
        <v>2.770687514234256E-2</v>
      </c>
      <c r="NX63" s="27">
        <f>IF(ISNUMBER(NX62),NX62*(1+PortfolioFrontier[[#This Row],[P97 Return]]),1+PortfolioFrontier[[#This Row],[P97 Return]])</f>
        <v>1.4391125163844083</v>
      </c>
      <c r="NY63" s="27">
        <f>MAX(NY62,PortfolioFrontier[[#This Row],[P97 Growth]])</f>
        <v>1.4391125163844083</v>
      </c>
      <c r="NZ63" s="27">
        <f>PortfolioFrontier[[#This Row],[P97 Growth]]/PortfolioFrontier[[#This Row],[P97 HWM]]-1</f>
        <v>0</v>
      </c>
      <c r="OA63" s="28">
        <f>SUMPRODUCT(INDEX(PortfolioRef[[SPY]:[PE]],MATCH(OA$1,PortfolioRef[Reference '#]),0),AssetMonthlyReturns[[#This Row],[SPY]:[PE]])</f>
        <v>2.9115703338904477E-2</v>
      </c>
      <c r="OB63" s="27">
        <f>IF(ISNUMBER(OB62),OB62*(1+PortfolioFrontier[[#This Row],[P98 Return]]),1+PortfolioFrontier[[#This Row],[P98 Return]])</f>
        <v>1.4506835226977148</v>
      </c>
      <c r="OC63" s="27">
        <f>MAX(OC62,PortfolioFrontier[[#This Row],[P98 Growth]])</f>
        <v>1.4506835226977148</v>
      </c>
      <c r="OD63" s="27">
        <f>PortfolioFrontier[[#This Row],[P98 Growth]]/PortfolioFrontier[[#This Row],[P98 HWM]]-1</f>
        <v>0</v>
      </c>
      <c r="OE63" s="28">
        <f>SUMPRODUCT(INDEX(PortfolioRef[[SPY]:[PE]],MATCH(OE$1,PortfolioRef[Reference '#]),0),AssetMonthlyReturns[[#This Row],[SPY]:[PE]])</f>
        <v>3.1579221574089121E-2</v>
      </c>
      <c r="OF63" s="27">
        <f>IF(ISNUMBER(OF62),OF62*(1+PortfolioFrontier[[#This Row],[P99 Return]]),1+PortfolioFrontier[[#This Row],[P99 Return]])</f>
        <v>1.4584075331178445</v>
      </c>
      <c r="OG63" s="27">
        <f>MAX(OG62,PortfolioFrontier[[#This Row],[P99 Growth]])</f>
        <v>1.4584075331178445</v>
      </c>
      <c r="OH63" s="27">
        <f>PortfolioFrontier[[#This Row],[P99 Growth]]/PortfolioFrontier[[#This Row],[P99 HWM]]-1</f>
        <v>0</v>
      </c>
      <c r="OI63" s="28">
        <f>SUMPRODUCT(INDEX(PortfolioRef[[SPY]:[PE]],MATCH(OI$1,PortfolioRef[Reference '#]),0),AssetMonthlyReturns[[#This Row],[SPY]:[PE]])</f>
        <v>2.6437802294337533E-2</v>
      </c>
      <c r="OJ63" s="27">
        <f>IF(ISNUMBER(OJ62),OJ62*(1+PortfolioFrontier[[#This Row],[P100 Return]]),1+PortfolioFrontier[[#This Row],[P100 Return]])</f>
        <v>1.4323355783411329</v>
      </c>
      <c r="OK63" s="27">
        <f>MAX(OK62,PortfolioFrontier[[#This Row],[P100 Growth]])</f>
        <v>1.4323355783411329</v>
      </c>
      <c r="OL63" s="27">
        <f>PortfolioFrontier[[#This Row],[P100 Growth]]/PortfolioFrontier[[#This Row],[P100 HWM]]-1</f>
        <v>0</v>
      </c>
      <c r="OM63" s="28">
        <f>SUMPRODUCT(INDEX(PortfolioRef[[SPY]:[PE]],MATCH(OM$1,PortfolioRef[Reference '#]),0),AssetMonthlyReturns[[#This Row],[SPY]:[PE]])</f>
        <v>3.0524531535466391E-2</v>
      </c>
      <c r="ON63" s="27">
        <f>IF(ISNUMBER(ON62),ON62*(1+PortfolioFrontier[[#This Row],[P101 Return]]),1+PortfolioFrontier[[#This Row],[P101 Return]])</f>
        <v>1.4621077354434917</v>
      </c>
      <c r="OO63" s="27">
        <f>MAX(OO62,PortfolioFrontier[[#This Row],[P101 Growth]])</f>
        <v>1.4621077354434917</v>
      </c>
      <c r="OP63" s="27">
        <f>PortfolioFrontier[[#This Row],[P101 Growth]]/PortfolioFrontier[[#This Row],[P101 HWM]]-1</f>
        <v>0</v>
      </c>
      <c r="OQ63" s="28">
        <f>SUMPRODUCT(INDEX(PortfolioRef[[SPY]:[PE]],MATCH(OQ$1,PortfolioRef[Reference '#]),0),AssetMonthlyReturns[[#This Row],[SPY]:[PE]])</f>
        <v>3.2988049770651034E-2</v>
      </c>
      <c r="OR63" s="27">
        <f>IF(ISNUMBER(OR62),OR62*(1+PortfolioFrontier[[#This Row],[P102 Return]]),1+PortfolioFrontier[[#This Row],[P102 Return]])</f>
        <v>1.4701202857647282</v>
      </c>
      <c r="OS63" s="27">
        <f>MAX(OS62,PortfolioFrontier[[#This Row],[P102 Growth]])</f>
        <v>1.4701202857647282</v>
      </c>
      <c r="OT63" s="27">
        <f>PortfolioFrontier[[#This Row],[P102 Growth]]/PortfolioFrontier[[#This Row],[P102 HWM]]-1</f>
        <v>0</v>
      </c>
      <c r="OU63" s="28">
        <f>SUMPRODUCT(INDEX(PortfolioRef[[SPY]:[PE]],MATCH(OU$1,PortfolioRef[Reference '#]),0),AssetMonthlyReturns[[#This Row],[SPY]:[PE]])</f>
        <v>2.7846630490899447E-2</v>
      </c>
      <c r="OV63" s="27">
        <f>IF(ISNUMBER(OV62),OV62*(1+PortfolioFrontier[[#This Row],[P103 Return]]),1+PortfolioFrontier[[#This Row],[P103 Return]])</f>
        <v>1.4438741266877935</v>
      </c>
      <c r="OW63" s="27">
        <f>MAX(OW62,PortfolioFrontier[[#This Row],[P103 Growth]])</f>
        <v>1.4438741266877935</v>
      </c>
      <c r="OX63" s="27">
        <f>PortfolioFrontier[[#This Row],[P103 Growth]]/PortfolioFrontier[[#This Row],[P103 HWM]]-1</f>
        <v>0</v>
      </c>
      <c r="OY63" s="28">
        <f>SUMPRODUCT(INDEX(PortfolioRef[[SPY]:[PE]],MATCH(OY$1,PortfolioRef[Reference '#]),0),AssetMonthlyReturns[[#This Row],[SPY]:[PE]])</f>
        <v>3.5451568005835682E-2</v>
      </c>
      <c r="OZ63" s="27">
        <f>IF(ISNUMBER(OZ62),OZ62*(1+PortfolioFrontier[[#This Row],[P104 Return]]),1+PortfolioFrontier[[#This Row],[P104 Return]])</f>
        <v>1.4774810070590088</v>
      </c>
      <c r="PA63" s="27">
        <f>MAX(PA62,PortfolioFrontier[[#This Row],[P104 Growth]])</f>
        <v>1.4774810070590088</v>
      </c>
      <c r="PB63" s="27">
        <f>PortfolioFrontier[[#This Row],[P104 Growth]]/PortfolioFrontier[[#This Row],[P104 HWM]]-1</f>
        <v>0</v>
      </c>
      <c r="PC63" s="28">
        <f>SUMPRODUCT(INDEX(PortfolioRef[[SPY]:[PE]],MATCH(PC$1,PortfolioRef[Reference '#]),0),AssetMonthlyReturns[[#This Row],[SPY]:[PE]])</f>
        <v>3.0310148726084094E-2</v>
      </c>
      <c r="PD63" s="27">
        <f>IF(ISNUMBER(PD62),PD62*(1+PortfolioFrontier[[#This Row],[P105 Return]]),1+PortfolioFrontier[[#This Row],[P105 Return]])</f>
        <v>1.4515373477189468</v>
      </c>
      <c r="PE63" s="27">
        <f>MAX(PE62,PortfolioFrontier[[#This Row],[P105 Growth]])</f>
        <v>1.4515373477189468</v>
      </c>
      <c r="PF63" s="27">
        <f>PortfolioFrontier[[#This Row],[P105 Growth]]/PortfolioFrontier[[#This Row],[P105 HWM]]-1</f>
        <v>0</v>
      </c>
      <c r="PG63" s="28">
        <f>SUMPRODUCT(INDEX(PortfolioRef[[SPY]:[PE]],MATCH(PG$1,PortfolioRef[Reference '#]),0),AssetMonthlyReturns[[#This Row],[SPY]:[PE]])</f>
        <v>2.5168729446332506E-2</v>
      </c>
      <c r="PH63" s="27">
        <f>IF(ISNUMBER(PH62),PH62*(1+PortfolioFrontier[[#This Row],[P106 Return]]),1+PortfolioFrontier[[#This Row],[P106 Return]])</f>
        <v>1.4254993241181229</v>
      </c>
      <c r="PI63" s="27">
        <f>MAX(PI62,PortfolioFrontier[[#This Row],[P106 Growth]])</f>
        <v>1.4254993241181229</v>
      </c>
      <c r="PJ63" s="27">
        <f>PortfolioFrontier[[#This Row],[P106 Growth]]/PortfolioFrontier[[#This Row],[P106 HWM]]-1</f>
        <v>0</v>
      </c>
      <c r="PK63" s="28">
        <f>SUMPRODUCT(INDEX(PortfolioRef[[SPY]:[PE]],MATCH(PK$1,PortfolioRef[Reference '#]),0),AssetMonthlyReturns[[#This Row],[SPY]:[PE]])</f>
        <v>3.4396877967212955E-2</v>
      </c>
      <c r="PL63" s="27">
        <f>IF(ISNUMBER(PL62),PL62*(1+PortfolioFrontier[[#This Row],[P107 Return]]),1+PortfolioFrontier[[#This Row],[P107 Return]])</f>
        <v>1.4816845228815836</v>
      </c>
      <c r="PM63" s="27">
        <f>MAX(PM62,PortfolioFrontier[[#This Row],[P107 Growth]])</f>
        <v>1.4816845228815836</v>
      </c>
      <c r="PN63" s="27">
        <f>PortfolioFrontier[[#This Row],[P107 Growth]]/PortfolioFrontier[[#This Row],[P107 HWM]]-1</f>
        <v>0</v>
      </c>
      <c r="PO63" s="28">
        <f>SUMPRODUCT(INDEX(PortfolioRef[[SPY]:[PE]],MATCH(PO$1,PortfolioRef[Reference '#]),0),AssetMonthlyReturns[[#This Row],[SPY]:[PE]])</f>
        <v>2.9255458687461367E-2</v>
      </c>
      <c r="PP63" s="27">
        <f>IF(ISNUMBER(PP62),PP62*(1+PortfolioFrontier[[#This Row],[P108 Return]]),1+PortfolioFrontier[[#This Row],[P108 Return]])</f>
        <v>1.4552669358993999</v>
      </c>
      <c r="PQ63" s="27">
        <f>MAX(PQ62,PortfolioFrontier[[#This Row],[P108 Growth]])</f>
        <v>1.4552669358993999</v>
      </c>
      <c r="PR63" s="27">
        <f>PortfolioFrontier[[#This Row],[P108 Growth]]/PortfolioFrontier[[#This Row],[P108 HWM]]-1</f>
        <v>0</v>
      </c>
      <c r="PS63" s="28">
        <f>SUMPRODUCT(INDEX(PortfolioRef[[SPY]:[PE]],MATCH(PS$1,PortfolioRef[Reference '#]),0),AssetMonthlyReturns[[#This Row],[SPY]:[PE]])</f>
        <v>3.6860396202397602E-2</v>
      </c>
      <c r="PT63" s="27">
        <f>IF(ISNUMBER(PT62),PT62*(1+PortfolioFrontier[[#This Row],[P109 Return]]),1+PortfolioFrontier[[#This Row],[P109 Return]])</f>
        <v>1.48933354813061</v>
      </c>
      <c r="PU63" s="27">
        <f>MAX(PU62,PortfolioFrontier[[#This Row],[P109 Growth]])</f>
        <v>1.48933354813061</v>
      </c>
      <c r="PV63" s="27">
        <f>PortfolioFrontier[[#This Row],[P109 Growth]]/PortfolioFrontier[[#This Row],[P109 HWM]]-1</f>
        <v>0</v>
      </c>
      <c r="PW63" s="28">
        <f>SUMPRODUCT(INDEX(PortfolioRef[[SPY]:[PE]],MATCH(PW$1,PortfolioRef[Reference '#]),0),AssetMonthlyReturns[[#This Row],[SPY]:[PE]])</f>
        <v>3.1718976922646011E-2</v>
      </c>
      <c r="PX63" s="27">
        <f>IF(ISNUMBER(PX62),PX62*(1+PortfolioFrontier[[#This Row],[P110 Return]]),1+PortfolioFrontier[[#This Row],[P110 Return]])</f>
        <v>1.4632172220744564</v>
      </c>
      <c r="PY63" s="27">
        <f>MAX(PY62,PortfolioFrontier[[#This Row],[P110 Growth]])</f>
        <v>1.4632172220744564</v>
      </c>
      <c r="PZ63" s="27">
        <f>PortfolioFrontier[[#This Row],[P110 Growth]]/PortfolioFrontier[[#This Row],[P110 HWM]]-1</f>
        <v>0</v>
      </c>
      <c r="QA63" s="28">
        <f>SUMPRODUCT(INDEX(PortfolioRef[[SPY]:[PE]],MATCH(QA$1,PortfolioRef[Reference '#]),0),AssetMonthlyReturns[[#This Row],[SPY]:[PE]])</f>
        <v>2.657755764289442E-2</v>
      </c>
      <c r="QB63" s="27">
        <f>IF(ISNUMBER(QB62),QB62*(1+PortfolioFrontier[[#This Row],[P111 Return]]),1+PortfolioFrontier[[#This Row],[P111 Return]])</f>
        <v>1.4370047461250972</v>
      </c>
      <c r="QC63" s="27">
        <f>MAX(QC62,PortfolioFrontier[[#This Row],[P111 Growth]])</f>
        <v>1.4370047461250972</v>
      </c>
      <c r="QD63" s="27">
        <f>PortfolioFrontier[[#This Row],[P111 Growth]]/PortfolioFrontier[[#This Row],[P111 HWM]]-1</f>
        <v>0</v>
      </c>
      <c r="QE63" s="28">
        <f>SUMPRODUCT(INDEX(PortfolioRef[[SPY]:[PE]],MATCH(QE$1,PortfolioRef[Reference '#]),0),AssetMonthlyReturns[[#This Row],[SPY]:[PE]])</f>
        <v>3.932391443758225E-2</v>
      </c>
      <c r="QF63" s="27">
        <f>IF(ISNUMBER(QF62),QF62*(1+PortfolioFrontier[[#This Row],[P112 Return]]),1+PortfolioFrontier[[#This Row],[P112 Return]])</f>
        <v>1.4963144714610004</v>
      </c>
      <c r="QG63" s="27">
        <f>MAX(QG62,PortfolioFrontier[[#This Row],[P112 Growth]])</f>
        <v>1.4963144714610004</v>
      </c>
      <c r="QH63" s="27">
        <f>PortfolioFrontier[[#This Row],[P112 Growth]]/PortfolioFrontier[[#This Row],[P112 HWM]]-1</f>
        <v>0</v>
      </c>
      <c r="QI63" s="28">
        <f>SUMPRODUCT(INDEX(PortfolioRef[[SPY]:[PE]],MATCH(QI$1,PortfolioRef[Reference '#]),0),AssetMonthlyReturns[[#This Row],[SPY]:[PE]])</f>
        <v>3.4182495157830665E-2</v>
      </c>
      <c r="QJ63" s="27">
        <f>IF(ISNUMBER(QJ62),QJ62*(1+PortfolioFrontier[[#This Row],[P113 Return]]),1+PortfolioFrontier[[#This Row],[P113 Return]])</f>
        <v>1.4705185171112107</v>
      </c>
      <c r="QK63" s="27">
        <f>MAX(QK62,PortfolioFrontier[[#This Row],[P113 Growth]])</f>
        <v>1.4705185171112107</v>
      </c>
      <c r="QL63" s="27">
        <f>PortfolioFrontier[[#This Row],[P113 Growth]]/PortfolioFrontier[[#This Row],[P113 HWM]]-1</f>
        <v>0</v>
      </c>
      <c r="QM63" s="28">
        <f>SUMPRODUCT(INDEX(PortfolioRef[[SPY]:[PE]],MATCH(QM$1,PortfolioRef[Reference '#]),0),AssetMonthlyReturns[[#This Row],[SPY]:[PE]])</f>
        <v>2.9041075878079074E-2</v>
      </c>
      <c r="QN63" s="27">
        <f>IF(ISNUMBER(QN62),QN62*(1+PortfolioFrontier[[#This Row],[P114 Return]]),1+PortfolioFrontier[[#This Row],[P114 Return]])</f>
        <v>1.4446069908782804</v>
      </c>
      <c r="QO63" s="27">
        <f>MAX(QO62,PortfolioFrontier[[#This Row],[P114 Growth]])</f>
        <v>1.4446069908782804</v>
      </c>
      <c r="QP63" s="27">
        <f>PortfolioFrontier[[#This Row],[P114 Growth]]/PortfolioFrontier[[#This Row],[P114 HWM]]-1</f>
        <v>0</v>
      </c>
      <c r="QQ63" s="28">
        <f>SUMPRODUCT(INDEX(PortfolioRef[[SPY]:[PE]],MATCH(QQ$1,PortfolioRef[Reference '#]),0),AssetMonthlyReturns[[#This Row],[SPY]:[PE]])</f>
        <v>3.8269224398959523E-2</v>
      </c>
      <c r="QR63" s="27">
        <f>IF(ISNUMBER(QR62),QR62*(1+PortfolioFrontier[[#This Row],[P115 Return]]),1+PortfolioFrontier[[#This Row],[P115 Return]])</f>
        <v>1.5010358781105384</v>
      </c>
      <c r="QS63" s="27">
        <f>MAX(QS62,PortfolioFrontier[[#This Row],[P115 Growth]])</f>
        <v>1.5010358781105384</v>
      </c>
      <c r="QT63" s="27">
        <f>PortfolioFrontier[[#This Row],[P115 Growth]]/PortfolioFrontier[[#This Row],[P115 HWM]]-1</f>
        <v>0</v>
      </c>
      <c r="QU63" s="28">
        <f>SUMPRODUCT(INDEX(PortfolioRef[[SPY]:[PE]],MATCH(QU$1,PortfolioRef[Reference '#]),0),AssetMonthlyReturns[[#This Row],[SPY]:[PE]])</f>
        <v>3.3127805119207931E-2</v>
      </c>
      <c r="QV63" s="27">
        <f>IF(ISNUMBER(QV62),QV62*(1+PortfolioFrontier[[#This Row],[P116 Return]]),1+PortfolioFrontier[[#This Row],[P116 Return]])</f>
        <v>1.4747496475564861</v>
      </c>
      <c r="QW63" s="27">
        <f>MAX(QW62,PortfolioFrontier[[#This Row],[P116 Growth]])</f>
        <v>1.4747496475564861</v>
      </c>
      <c r="QX63" s="27">
        <f>PortfolioFrontier[[#This Row],[P116 Growth]]/PortfolioFrontier[[#This Row],[P116 HWM]]-1</f>
        <v>0</v>
      </c>
      <c r="QY63" s="28">
        <f>SUMPRODUCT(INDEX(PortfolioRef[[SPY]:[PE]],MATCH(QY$1,PortfolioRef[Reference '#]),0),AssetMonthlyReturns[[#This Row],[SPY]:[PE]])</f>
        <v>2.7986385839456347E-2</v>
      </c>
      <c r="QZ63" s="27">
        <f>IF(ISNUMBER(QZ62),QZ62*(1+PortfolioFrontier[[#This Row],[P117 Return]]),1+PortfolioFrontier[[#This Row],[P117 Return]])</f>
        <v>1.4483654856863921</v>
      </c>
      <c r="RA63" s="27">
        <f>MAX(RA62,PortfolioFrontier[[#This Row],[P117 Growth]])</f>
        <v>1.4483654856863921</v>
      </c>
      <c r="RB63" s="27">
        <f>PortfolioFrontier[[#This Row],[P117 Growth]]/PortfolioFrontier[[#This Row],[P117 HWM]]-1</f>
        <v>0</v>
      </c>
      <c r="RC63" s="28">
        <f>SUMPRODUCT(INDEX(PortfolioRef[[SPY]:[PE]],MATCH(RC$1,PortfolioRef[Reference '#]),0),AssetMonthlyReturns[[#This Row],[SPY]:[PE]])</f>
        <v>4.073274263414417E-2</v>
      </c>
      <c r="RD63" s="27">
        <f>IF(ISNUMBER(RD62),RD62*(1+PortfolioFrontier[[#This Row],[P118 Return]]),1+PortfolioFrontier[[#This Row],[P118 Return]])</f>
        <v>1.5083047096267279</v>
      </c>
      <c r="RE63" s="27">
        <f>MAX(RE62,PortfolioFrontier[[#This Row],[P118 Growth]])</f>
        <v>1.5083047096267279</v>
      </c>
      <c r="RF63" s="27">
        <f>PortfolioFrontier[[#This Row],[P118 Growth]]/PortfolioFrontier[[#This Row],[P118 HWM]]-1</f>
        <v>0</v>
      </c>
      <c r="RG63" s="28">
        <f>SUMPRODUCT(INDEX(PortfolioRef[[SPY]:[PE]],MATCH(RG$1,PortfolioRef[Reference '#]),0),AssetMonthlyReturns[[#This Row],[SPY]:[PE]])</f>
        <v>3.5591323354392579E-2</v>
      </c>
      <c r="RH63" s="27">
        <f>IF(ISNUMBER(RH62),RH62*(1+PortfolioFrontier[[#This Row],[P119 Return]]),1+PortfolioFrontier[[#This Row],[P119 Return]])</f>
        <v>1.4823377650537837</v>
      </c>
      <c r="RI63" s="27">
        <f>MAX(RI62,PortfolioFrontier[[#This Row],[P119 Growth]])</f>
        <v>1.4823377650537837</v>
      </c>
      <c r="RJ63" s="27">
        <f>PortfolioFrontier[[#This Row],[P119 Growth]]/PortfolioFrontier[[#This Row],[P119 HWM]]-1</f>
        <v>0</v>
      </c>
      <c r="RK63" s="28">
        <f>SUMPRODUCT(INDEX(PortfolioRef[[SPY]:[PE]],MATCH(RK$1,PortfolioRef[Reference '#]),0),AssetMonthlyReturns[[#This Row],[SPY]:[PE]])</f>
        <v>3.0449904074640988E-2</v>
      </c>
      <c r="RL63" s="27">
        <f>IF(ISNUMBER(RL62),RL62*(1+PortfolioFrontier[[#This Row],[P120 Return]]),1+PortfolioFrontier[[#This Row],[P120 Return]])</f>
        <v>1.4562533097251584</v>
      </c>
      <c r="RM63" s="27">
        <f>MAX(RM62,PortfolioFrontier[[#This Row],[P120 Growth]])</f>
        <v>1.4562533097251584</v>
      </c>
      <c r="RN63" s="27">
        <f>PortfolioFrontier[[#This Row],[P120 Growth]]/PortfolioFrontier[[#This Row],[P120 HWM]]-1</f>
        <v>0</v>
      </c>
      <c r="RO63" s="28">
        <f>SUMPRODUCT(INDEX(PortfolioRef[[SPY]:[PE]],MATCH(RO$1,PortfolioRef[Reference '#]),0),AssetMonthlyReturns[[#This Row],[SPY]:[PE]])</f>
        <v>4.3196260869328817E-2</v>
      </c>
      <c r="RP63" s="27">
        <f>IF(ISNUMBER(RP62),RP62*(1+PortfolioFrontier[[#This Row],[P121 Return]]),1+PortfolioFrontier[[#This Row],[P121 Return]])</f>
        <v>1.5148891970203933</v>
      </c>
      <c r="RQ63" s="27">
        <f>MAX(RQ62,PortfolioFrontier[[#This Row],[P121 Growth]])</f>
        <v>1.5148891970203933</v>
      </c>
      <c r="RR63" s="27">
        <f>PortfolioFrontier[[#This Row],[P121 Growth]]/PortfolioFrontier[[#This Row],[P121 HWM]]-1</f>
        <v>0</v>
      </c>
      <c r="RS63" s="28">
        <f>SUMPRODUCT(INDEX(PortfolioRef[[SPY]:[PE]],MATCH(RS$1,PortfolioRef[Reference '#]),0),AssetMonthlyReturns[[#This Row],[SPY]:[PE]])</f>
        <v>3.8054841589577226E-2</v>
      </c>
      <c r="RT63" s="27">
        <f>IF(ISNUMBER(RT62),RT62*(1+PortfolioFrontier[[#This Row],[P122 Return]]),1+PortfolioFrontier[[#This Row],[P122 Return]])</f>
        <v>1.4892607127101547</v>
      </c>
      <c r="RU63" s="27">
        <f>MAX(RU62,PortfolioFrontier[[#This Row],[P122 Growth]])</f>
        <v>1.4892607127101547</v>
      </c>
      <c r="RV63" s="27">
        <f>PortfolioFrontier[[#This Row],[P122 Growth]]/PortfolioFrontier[[#This Row],[P122 HWM]]-1</f>
        <v>0</v>
      </c>
      <c r="RW63" s="28">
        <f>SUMPRODUCT(INDEX(PortfolioRef[[SPY]:[PE]],MATCH(RW$1,PortfolioRef[Reference '#]),0),AssetMonthlyReturns[[#This Row],[SPY]:[PE]])</f>
        <v>3.2913422309825642E-2</v>
      </c>
      <c r="RX63" s="27">
        <f>IF(ISNUMBER(RX62),RX62*(1+PortfolioFrontier[[#This Row],[P123 Return]]),1+PortfolioFrontier[[#This Row],[P123 Return]])</f>
        <v>1.4634950045818913</v>
      </c>
      <c r="RY63" s="27">
        <f>MAX(RY62,PortfolioFrontier[[#This Row],[P123 Growth]])</f>
        <v>1.4634950045818913</v>
      </c>
      <c r="RZ63" s="27">
        <f>PortfolioFrontier[[#This Row],[P123 Growth]]/PortfolioFrontier[[#This Row],[P123 HWM]]-1</f>
        <v>0</v>
      </c>
      <c r="SA63" s="28">
        <f>SUMPRODUCT(INDEX(PortfolioRef[[SPY]:[PE]],MATCH(SA$1,PortfolioRef[Reference '#]),0),AssetMonthlyReturns[[#This Row],[SPY]:[PE]])</f>
        <v>4.214157083070609E-2</v>
      </c>
      <c r="SB63" s="27">
        <f>IF(ISNUMBER(SB62),SB62*(1+PortfolioFrontier[[#This Row],[P124 Return]]),1+PortfolioFrontier[[#This Row],[P124 Return]])</f>
        <v>1.5201430692559947</v>
      </c>
      <c r="SC63" s="27">
        <f>MAX(SC62,PortfolioFrontier[[#This Row],[P124 Growth]])</f>
        <v>1.5201430692559947</v>
      </c>
      <c r="SD63" s="27">
        <f>PortfolioFrontier[[#This Row],[P124 Growth]]/PortfolioFrontier[[#This Row],[P124 HWM]]-1</f>
        <v>0</v>
      </c>
      <c r="SE63" s="28">
        <f>SUMPRODUCT(INDEX(PortfolioRef[[SPY]:[PE]],MATCH(SE$1,PortfolioRef[Reference '#]),0),AssetMonthlyReturns[[#This Row],[SPY]:[PE]])</f>
        <v>3.7000151550954499E-2</v>
      </c>
      <c r="SF63" s="27">
        <f>IF(ISNUMBER(SF62),SF62*(1+PortfolioFrontier[[#This Row],[P125 Return]]),1+PortfolioFrontier[[#This Row],[P125 Return]])</f>
        <v>1.4940078806035861</v>
      </c>
      <c r="SG63" s="27">
        <f>MAX(SG62,PortfolioFrontier[[#This Row],[P125 Growth]])</f>
        <v>1.4940078806035861</v>
      </c>
      <c r="SH63" s="27">
        <f>PortfolioFrontier[[#This Row],[P125 Growth]]/PortfolioFrontier[[#This Row],[P125 HWM]]-1</f>
        <v>0</v>
      </c>
      <c r="SI63" s="28">
        <f>SUMPRODUCT(INDEX(PortfolioRef[[SPY]:[PE]],MATCH(SI$1,PortfolioRef[Reference '#]),0),AssetMonthlyReturns[[#This Row],[SPY]:[PE]])</f>
        <v>3.1858732271202908E-2</v>
      </c>
      <c r="SJ63" s="27">
        <f>IF(ISNUMBER(SJ62),SJ62*(1+PortfolioFrontier[[#This Row],[P126 Return]]),1+PortfolioFrontier[[#This Row],[P126 Return]])</f>
        <v>1.4677532486431153</v>
      </c>
      <c r="SK63" s="27">
        <f>MAX(SK62,PortfolioFrontier[[#This Row],[P126 Growth]])</f>
        <v>1.4677532486431153</v>
      </c>
      <c r="SL63" s="27">
        <f>PortfolioFrontier[[#This Row],[P126 Growth]]/PortfolioFrontier[[#This Row],[P126 HWM]]-1</f>
        <v>0</v>
      </c>
      <c r="SM63" s="28">
        <f>SUMPRODUCT(INDEX(PortfolioRef[[SPY]:[PE]],MATCH(SM$1,PortfolioRef[Reference '#]),0),AssetMonthlyReturns[[#This Row],[SPY]:[PE]])</f>
        <v>4.4605089065890731E-2</v>
      </c>
      <c r="SN63" s="27">
        <f>IF(ISNUMBER(SN62),SN62*(1+PortfolioFrontier[[#This Row],[P127 Return]]),1+PortfolioFrontier[[#This Row],[P127 Return]])</f>
        <v>1.5270149061488318</v>
      </c>
      <c r="SO63" s="27">
        <f>MAX(SO62,PortfolioFrontier[[#This Row],[P127 Growth]])</f>
        <v>1.5270149061488318</v>
      </c>
      <c r="SP63" s="27">
        <f>PortfolioFrontier[[#This Row],[P127 Growth]]/PortfolioFrontier[[#This Row],[P127 HWM]]-1</f>
        <v>0</v>
      </c>
      <c r="SQ63" s="28">
        <f>SUMPRODUCT(INDEX(PortfolioRef[[SPY]:[PE]],MATCH(SQ$1,PortfolioRef[Reference '#]),0),AssetMonthlyReturns[[#This Row],[SPY]:[PE]])</f>
        <v>3.9463669786139147E-2</v>
      </c>
      <c r="SR63" s="27">
        <f>IF(ISNUMBER(SR62),SR62*(1+PortfolioFrontier[[#This Row],[P128 Return]]),1+PortfolioFrontier[[#This Row],[P128 Return]])</f>
        <v>1.5012172488492648</v>
      </c>
      <c r="SS63" s="27">
        <f>MAX(SS62,PortfolioFrontier[[#This Row],[P128 Growth]])</f>
        <v>1.5012172488492648</v>
      </c>
      <c r="ST63" s="27">
        <f>PortfolioFrontier[[#This Row],[P128 Growth]]/PortfolioFrontier[[#This Row],[P128 HWM]]-1</f>
        <v>0</v>
      </c>
      <c r="SU63" s="28">
        <f>SUMPRODUCT(INDEX(PortfolioRef[[SPY]:[PE]],MATCH(SU$1,PortfolioRef[Reference '#]),0),AssetMonthlyReturns[[#This Row],[SPY]:[PE]])</f>
        <v>3.4322250506387555E-2</v>
      </c>
      <c r="SV63" s="27">
        <f>IF(ISNUMBER(SV62),SV62*(1+PortfolioFrontier[[#This Row],[P129 Return]]),1+PortfolioFrontier[[#This Row],[P129 Return]])</f>
        <v>1.4752802733997339</v>
      </c>
      <c r="SW63" s="27">
        <f>MAX(SW62,PortfolioFrontier[[#This Row],[P129 Growth]])</f>
        <v>1.4752802733997339</v>
      </c>
      <c r="SX63" s="27">
        <f>PortfolioFrontier[[#This Row],[P129 Growth]]/PortfolioFrontier[[#This Row],[P129 HWM]]-1</f>
        <v>0</v>
      </c>
      <c r="SY63" s="28">
        <f>SUMPRODUCT(INDEX(PortfolioRef[[SPY]:[PE]],MATCH(SY$1,PortfolioRef[Reference '#]),0),AssetMonthlyReturns[[#This Row],[SPY]:[PE]])</f>
        <v>4.7068607301075378E-2</v>
      </c>
      <c r="SZ63" s="27">
        <f>IF(ISNUMBER(SZ62),SZ62*(1+PortfolioFrontier[[#This Row],[P130 Return]]),1+PortfolioFrontier[[#This Row],[P130 Return]])</f>
        <v>1.5331862045154325</v>
      </c>
      <c r="TA63" s="27">
        <f>MAX(TA62,PortfolioFrontier[[#This Row],[P130 Growth]])</f>
        <v>1.5331862045154325</v>
      </c>
      <c r="TB63" s="27">
        <f>PortfolioFrontier[[#This Row],[P130 Growth]]/PortfolioFrontier[[#This Row],[P130 HWM]]-1</f>
        <v>0</v>
      </c>
      <c r="TC63" s="28">
        <f>SUMPRODUCT(INDEX(PortfolioRef[[SPY]:[PE]],MATCH(TC$1,PortfolioRef[Reference '#]),0),AssetMonthlyReturns[[#This Row],[SPY]:[PE]])</f>
        <v>4.1927188021323794E-2</v>
      </c>
      <c r="TD63" s="27">
        <f>IF(ISNUMBER(TD62),TD62*(1+PortfolioFrontier[[#This Row],[P131 Return]]),1+PortfolioFrontier[[#This Row],[P131 Return]])</f>
        <v>1.507745300163984</v>
      </c>
      <c r="TE63" s="27">
        <f>MAX(TE62,PortfolioFrontier[[#This Row],[P131 Growth]])</f>
        <v>1.507745300163984</v>
      </c>
      <c r="TF63" s="27">
        <f>PortfolioFrontier[[#This Row],[P131 Growth]]/PortfolioFrontier[[#This Row],[P131 HWM]]-1</f>
        <v>0</v>
      </c>
      <c r="TG63" s="28">
        <f>SUMPRODUCT(INDEX(PortfolioRef[[SPY]:[PE]],MATCH(TG$1,PortfolioRef[Reference '#]),0),AssetMonthlyReturns[[#This Row],[SPY]:[PE]])</f>
        <v>3.6785768741572203E-2</v>
      </c>
      <c r="TH63" s="27">
        <f>IF(ISNUMBER(TH62),TH62*(1+PortfolioFrontier[[#This Row],[P132 Return]]),1+PortfolioFrontier[[#This Row],[P132 Return]])</f>
        <v>1.4821450848874977</v>
      </c>
      <c r="TI63" s="27">
        <f>MAX(TI62,PortfolioFrontier[[#This Row],[P132 Growth]])</f>
        <v>1.4821450848874977</v>
      </c>
      <c r="TJ63" s="27">
        <f>PortfolioFrontier[[#This Row],[P132 Growth]]/PortfolioFrontier[[#This Row],[P132 HWM]]-1</f>
        <v>0</v>
      </c>
      <c r="TK63" s="28">
        <f>SUMPRODUCT(INDEX(PortfolioRef[[SPY]:[PE]],MATCH(TK$1,PortfolioRef[Reference '#]),0),AssetMonthlyReturns[[#This Row],[SPY]:[PE]])</f>
        <v>4.6013917262452644E-2</v>
      </c>
      <c r="TL63" s="27">
        <f>IF(ISNUMBER(TL62),TL62*(1+PortfolioFrontier[[#This Row],[P133 Return]]),1+PortfolioFrontier[[#This Row],[P133 Return]])</f>
        <v>1.5389870991490284</v>
      </c>
      <c r="TM63" s="27">
        <f>MAX(TM62,PortfolioFrontier[[#This Row],[P133 Growth]])</f>
        <v>1.5389870991490284</v>
      </c>
      <c r="TN63" s="27">
        <f>PortfolioFrontier[[#This Row],[P133 Growth]]/PortfolioFrontier[[#This Row],[P133 HWM]]-1</f>
        <v>0</v>
      </c>
      <c r="TO63" s="28">
        <f>SUMPRODUCT(INDEX(PortfolioRef[[SPY]:[PE]],MATCH(TO$1,PortfolioRef[Reference '#]),0),AssetMonthlyReturns[[#This Row],[SPY]:[PE]])</f>
        <v>4.0872497982701067E-2</v>
      </c>
      <c r="TP63" s="27">
        <f>IF(ISNUMBER(TP62),TP62*(1+PortfolioFrontier[[#This Row],[P134 Return]]),1+PortfolioFrontier[[#This Row],[P134 Return]])</f>
        <v>1.5130229969989888</v>
      </c>
      <c r="TQ63" s="27">
        <f>MAX(TQ62,PortfolioFrontier[[#This Row],[P134 Growth]])</f>
        <v>1.5130229969989888</v>
      </c>
      <c r="TR63" s="27">
        <f>PortfolioFrontier[[#This Row],[P134 Growth]]/PortfolioFrontier[[#This Row],[P134 HWM]]-1</f>
        <v>0</v>
      </c>
      <c r="TS63" s="28">
        <f>SUMPRODUCT(INDEX(PortfolioRef[[SPY]:[PE]],MATCH(TS$1,PortfolioRef[Reference '#]),0),AssetMonthlyReturns[[#This Row],[SPY]:[PE]])</f>
        <v>3.5731078702949469E-2</v>
      </c>
      <c r="TT63" s="27">
        <f>IF(ISNUMBER(TT62),TT62*(1+PortfolioFrontier[[#This Row],[P135 Return]]),1+PortfolioFrontier[[#This Row],[P135 Return]])</f>
        <v>1.4869174908428529</v>
      </c>
      <c r="TU63" s="27">
        <f>MAX(TU62,PortfolioFrontier[[#This Row],[P135 Growth]])</f>
        <v>1.4869174908428529</v>
      </c>
      <c r="TV63" s="27">
        <f>PortfolioFrontier[[#This Row],[P135 Growth]]/PortfolioFrontier[[#This Row],[P135 HWM]]-1</f>
        <v>0</v>
      </c>
      <c r="TW63" s="28">
        <f>SUMPRODUCT(INDEX(PortfolioRef[[SPY]:[PE]],MATCH(TW$1,PortfolioRef[Reference '#]),0),AssetMonthlyReturns[[#This Row],[SPY]:[PE]])</f>
        <v>4.8477435497637292E-2</v>
      </c>
      <c r="TX63" s="27">
        <f>IF(ISNUMBER(TX62),TX62*(1+PortfolioFrontier[[#This Row],[P136 Return]]),1+PortfolioFrontier[[#This Row],[P136 Return]])</f>
        <v>1.54544502239566</v>
      </c>
      <c r="TY63" s="27">
        <f>MAX(TY62,PortfolioFrontier[[#This Row],[P136 Growth]])</f>
        <v>1.54544502239566</v>
      </c>
      <c r="TZ63" s="27">
        <f>PortfolioFrontier[[#This Row],[P136 Growth]]/PortfolioFrontier[[#This Row],[P136 HWM]]-1</f>
        <v>0</v>
      </c>
      <c r="UA63" s="28">
        <f>SUMPRODUCT(INDEX(PortfolioRef[[SPY]:[PE]],MATCH(UA$1,PortfolioRef[Reference '#]),0),AssetMonthlyReturns[[#This Row],[SPY]:[PE]])</f>
        <v>4.3336016217885714E-2</v>
      </c>
      <c r="UB63" s="27">
        <f>IF(ISNUMBER(UB62),UB62*(1+PortfolioFrontier[[#This Row],[P137 Return]]),1+PortfolioFrontier[[#This Row],[P137 Return]])</f>
        <v>1.519836904770127</v>
      </c>
      <c r="UC63" s="27">
        <f>MAX(UC62,PortfolioFrontier[[#This Row],[P137 Growth]])</f>
        <v>1.519836904770127</v>
      </c>
      <c r="UD63" s="27">
        <f>PortfolioFrontier[[#This Row],[P137 Growth]]/PortfolioFrontier[[#This Row],[P137 HWM]]-1</f>
        <v>0</v>
      </c>
      <c r="UE63" s="28">
        <f>SUMPRODUCT(INDEX(PortfolioRef[[SPY]:[PE]],MATCH(UE$1,PortfolioRef[Reference '#]),0),AssetMonthlyReturns[[#This Row],[SPY]:[PE]])</f>
        <v>3.8194596938134116E-2</v>
      </c>
      <c r="UF63" s="27">
        <f>IF(ISNUMBER(UF62),UF62*(1+PortfolioFrontier[[#This Row],[P138 Return]]),1+PortfolioFrontier[[#This Row],[P138 Return]])</f>
        <v>1.4940672242978348</v>
      </c>
      <c r="UG63" s="27">
        <f>MAX(UG62,PortfolioFrontier[[#This Row],[P138 Growth]])</f>
        <v>1.4940672242978348</v>
      </c>
      <c r="UH63" s="27">
        <f>PortfolioFrontier[[#This Row],[P138 Growth]]/PortfolioFrontier[[#This Row],[P138 HWM]]-1</f>
        <v>0</v>
      </c>
      <c r="UI63" s="28">
        <f>SUMPRODUCT(INDEX(PortfolioRef[[SPY]:[PE]],MATCH(UI$1,PortfolioRef[Reference '#]),0),AssetMonthlyReturns[[#This Row],[SPY]:[PE]])</f>
        <v>5.0940953732821946E-2</v>
      </c>
      <c r="UJ63" s="27">
        <f>IF(ISNUMBER(UJ62),UJ62*(1+PortfolioFrontier[[#This Row],[P139 Return]]),1+PortfolioFrontier[[#This Row],[P139 Return]])</f>
        <v>1.5511862781071062</v>
      </c>
      <c r="UK63" s="27">
        <f>MAX(UK62,PortfolioFrontier[[#This Row],[P139 Growth]])</f>
        <v>1.5511862781071062</v>
      </c>
      <c r="UL63" s="27">
        <f>PortfolioFrontier[[#This Row],[P139 Growth]]/PortfolioFrontier[[#This Row],[P139 HWM]]-1</f>
        <v>0</v>
      </c>
      <c r="UM63" s="28">
        <f>SUMPRODUCT(INDEX(PortfolioRef[[SPY]:[PE]],MATCH(UM$1,PortfolioRef[Reference '#]),0),AssetMonthlyReturns[[#This Row],[SPY]:[PE]])</f>
        <v>4.5799534453070355E-2</v>
      </c>
      <c r="UN63" s="27">
        <f>IF(ISNUMBER(UN62),UN62*(1+PortfolioFrontier[[#This Row],[P140 Return]]),1+PortfolioFrontier[[#This Row],[P140 Return]])</f>
        <v>1.5259533971899235</v>
      </c>
      <c r="UO63" s="27">
        <f>MAX(UO62,PortfolioFrontier[[#This Row],[P140 Growth]])</f>
        <v>1.5259533971899235</v>
      </c>
      <c r="UP63" s="27">
        <f>PortfolioFrontier[[#This Row],[P140 Growth]]/PortfolioFrontier[[#This Row],[P140 HWM]]-1</f>
        <v>0</v>
      </c>
      <c r="UQ63" s="28">
        <f>SUMPRODUCT(INDEX(PortfolioRef[[SPY]:[PE]],MATCH(UQ$1,PortfolioRef[Reference '#]),0),AssetMonthlyReturns[[#This Row],[SPY]:[PE]])</f>
        <v>4.0658115173318764E-2</v>
      </c>
      <c r="UR63" s="27">
        <f>IF(ISNUMBER(UR62),UR62*(1+PortfolioFrontier[[#This Row],[P141 Return]]),1+PortfolioFrontier[[#This Row],[P141 Return]])</f>
        <v>1.5005386929268343</v>
      </c>
      <c r="US63" s="27">
        <f>MAX(US62,PortfolioFrontier[[#This Row],[P141 Growth]])</f>
        <v>1.5005386929268343</v>
      </c>
      <c r="UT63" s="27">
        <f>PortfolioFrontier[[#This Row],[P141 Growth]]/PortfolioFrontier[[#This Row],[P141 HWM]]-1</f>
        <v>0</v>
      </c>
    </row>
    <row r="64" spans="2:566" x14ac:dyDescent="0.2">
      <c r="B64" s="41">
        <f>AssetMonthlyReturns[[#This Row],[Date]]</f>
        <v>44317</v>
      </c>
      <c r="C64" s="28">
        <f>SUMPRODUCT(INDEX(PortfolioRef[[SPY]:[PE]],MATCH(C$1,PortfolioRef[Reference '#]),0),AssetMonthlyReturns[[#This Row],[SPY]:[PE]])</f>
        <v>1.4628052935698911E-2</v>
      </c>
      <c r="D64" s="29">
        <f>IF(ISNUMBER(D63),D63*(1+PortfolioFrontier[[#This Row],[P1 Return]]),1+PortfolioFrontier[[#This Row],[P1 Return]])</f>
        <v>1.7714680651056527</v>
      </c>
      <c r="E64" s="29">
        <f>MAX(E63,PortfolioFrontier[[#This Row],[P1 Growth]])</f>
        <v>1.7714680651056527</v>
      </c>
      <c r="F64" s="29">
        <f>PortfolioFrontier[[#This Row],[P1 Growth]]/PortfolioFrontier[[#This Row],[P1 HWM]]-1</f>
        <v>0</v>
      </c>
      <c r="G64" s="28">
        <f>SUMPRODUCT(INDEX(PortfolioRef[[SPY]:[PE]],MATCH(G$1,PortfolioRef[Reference '#]),0),AssetMonthlyReturns[[#This Row],[SPY]:[PE]])</f>
        <v>1.4401662023608265E-2</v>
      </c>
      <c r="H64" s="27">
        <f>IF(ISNUMBER(H63),H63*(1+PortfolioFrontier[[#This Row],[P2 Return]]),1+PortfolioFrontier[[#This Row],[P2 Return]])</f>
        <v>1.7163187112132665</v>
      </c>
      <c r="I64" s="27">
        <f>MAX(I63,PortfolioFrontier[[#This Row],[P2 Growth]])</f>
        <v>1.7163187112132665</v>
      </c>
      <c r="J64" s="27">
        <f>PortfolioFrontier[[#This Row],[P2 Growth]]/PortfolioFrontier[[#This Row],[P2 HWM]]-1</f>
        <v>0</v>
      </c>
      <c r="K64" s="28">
        <f>SUMPRODUCT(INDEX(PortfolioRef[[SPY]:[PE]],MATCH(K$1,PortfolioRef[Reference '#]),0),AssetMonthlyReturns[[#This Row],[SPY]:[PE]])</f>
        <v>1.8138929212870469E-2</v>
      </c>
      <c r="L64" s="27">
        <f>IF(ISNUMBER(L63),L63*(1+PortfolioFrontier[[#This Row],[P3 Return]]),1+PortfolioFrontier[[#This Row],[P3 Return]])</f>
        <v>1.736427049649333</v>
      </c>
      <c r="M64" s="27">
        <f>MAX(M63,PortfolioFrontier[[#This Row],[P3 Growth]])</f>
        <v>1.736427049649333</v>
      </c>
      <c r="N64" s="27">
        <f>PortfolioFrontier[[#This Row],[P3 Growth]]/PortfolioFrontier[[#This Row],[P3 HWM]]-1</f>
        <v>0</v>
      </c>
      <c r="O64" s="28">
        <f>SUMPRODUCT(INDEX(PortfolioRef[[SPY]:[PE]],MATCH(O$1,PortfolioRef[Reference '#]),0),AssetMonthlyReturns[[#This Row],[SPY]:[PE]])</f>
        <v>1.4703449398488033E-2</v>
      </c>
      <c r="P64" s="27">
        <f>IF(ISNUMBER(P63),P63*(1+PortfolioFrontier[[#This Row],[P4 Return]]),1+PortfolioFrontier[[#This Row],[P4 Return]])</f>
        <v>1.7377449328978589</v>
      </c>
      <c r="Q64" s="27">
        <f>MAX(Q63,PortfolioFrontier[[#This Row],[P4 Growth]])</f>
        <v>1.7377449328978589</v>
      </c>
      <c r="R64" s="27">
        <f>PortfolioFrontier[[#This Row],[P4 Growth]]/PortfolioFrontier[[#This Row],[P4 HWM]]-1</f>
        <v>0</v>
      </c>
      <c r="S64" s="28">
        <f>SUMPRODUCT(INDEX(PortfolioRef[[SPY]:[PE]],MATCH(S$1,PortfolioRef[Reference '#]),0),AssetMonthlyReturns[[#This Row],[SPY]:[PE]])</f>
        <v>1.541226604157755E-2</v>
      </c>
      <c r="T64" s="27">
        <f>IF(ISNUMBER(T63),T63*(1+PortfolioFrontier[[#This Row],[P5 Return]]),1+PortfolioFrontier[[#This Row],[P5 Return]])</f>
        <v>1.7096499117946919</v>
      </c>
      <c r="U64" s="27">
        <f>MAX(U63,PortfolioFrontier[[#This Row],[P5 Growth]])</f>
        <v>1.7096499117946919</v>
      </c>
      <c r="V64" s="27">
        <f>PortfolioFrontier[[#This Row],[P5 Growth]]/PortfolioFrontier[[#This Row],[P5 HWM]]-1</f>
        <v>0</v>
      </c>
      <c r="W64" s="28">
        <f>SUMPRODUCT(INDEX(PortfolioRef[[SPY]:[PE]],MATCH(W$1,PortfolioRef[Reference '#]),0),AssetMonthlyReturns[[#This Row],[SPY]:[PE]])</f>
        <v>1.4175271111517619E-2</v>
      </c>
      <c r="X64" s="27">
        <f>IF(ISNUMBER(X63),X63*(1+PortfolioFrontier[[#This Row],[P6 Return]]),1+PortfolioFrontier[[#This Row],[P6 Return]])</f>
        <v>1.6623491247908682</v>
      </c>
      <c r="Y64" s="27">
        <f>MAX(Y63,PortfolioFrontier[[#This Row],[P6 Growth]])</f>
        <v>1.6623491247908682</v>
      </c>
      <c r="Z64" s="27">
        <f>PortfolioFrontier[[#This Row],[P6 Growth]]/PortfolioFrontier[[#This Row],[P6 HWM]]-1</f>
        <v>0</v>
      </c>
      <c r="AA64" s="28">
        <f>SUMPRODUCT(INDEX(PortfolioRef[[SPY]:[PE]],MATCH(AA$1,PortfolioRef[Reference '#]),0),AssetMonthlyReturns[[#This Row],[SPY]:[PE]])</f>
        <v>1.7912538300779823E-2</v>
      </c>
      <c r="AB64" s="27">
        <f>IF(ISNUMBER(AB63),AB63*(1+PortfolioFrontier[[#This Row],[P7 Return]]),1+PortfolioFrontier[[#This Row],[P7 Return]])</f>
        <v>1.6818384405640374</v>
      </c>
      <c r="AC64" s="27">
        <f>MAX(AC63,PortfolioFrontier[[#This Row],[P7 Growth]])</f>
        <v>1.6818384405640374</v>
      </c>
      <c r="AD64" s="27">
        <f>PortfolioFrontier[[#This Row],[P7 Growth]]/PortfolioFrontier[[#This Row],[P7 HWM]]-1</f>
        <v>0</v>
      </c>
      <c r="AE64" s="28">
        <f>SUMPRODUCT(INDEX(PortfolioRef[[SPY]:[PE]],MATCH(AE$1,PortfolioRef[Reference '#]),0),AssetMonthlyReturns[[#This Row],[SPY]:[PE]])</f>
        <v>1.4477058486397387E-2</v>
      </c>
      <c r="AF64" s="27">
        <f>IF(ISNUMBER(AF63),AF63*(1+PortfolioFrontier[[#This Row],[P8 Return]]),1+PortfolioFrontier[[#This Row],[P8 Return]])</f>
        <v>1.6835119505205198</v>
      </c>
      <c r="AG64" s="27">
        <f>MAX(AG63,PortfolioFrontier[[#This Row],[P8 Growth]])</f>
        <v>1.6835119505205198</v>
      </c>
      <c r="AH64" s="27">
        <f>PortfolioFrontier[[#This Row],[P8 Growth]]/PortfolioFrontier[[#This Row],[P8 HWM]]-1</f>
        <v>0</v>
      </c>
      <c r="AI64" s="28">
        <f>SUMPRODUCT(INDEX(PortfolioRef[[SPY]:[PE]],MATCH(AI$1,PortfolioRef[Reference '#]),0),AssetMonthlyReturns[[#This Row],[SPY]:[PE]])</f>
        <v>1.5185875129486904E-2</v>
      </c>
      <c r="AJ64" s="27">
        <f>IF(ISNUMBER(AJ63),AJ63*(1+PortfolioFrontier[[#This Row],[P9 Return]]),1+PortfolioFrontier[[#This Row],[P9 Return]])</f>
        <v>1.6559467870453712</v>
      </c>
      <c r="AK64" s="27">
        <f>MAX(AK63,PortfolioFrontier[[#This Row],[P9 Growth]])</f>
        <v>1.6559467870453712</v>
      </c>
      <c r="AL64" s="27">
        <f>PortfolioFrontier[[#This Row],[P9 Growth]]/PortfolioFrontier[[#This Row],[P9 HWM]]-1</f>
        <v>0</v>
      </c>
      <c r="AM64" s="28">
        <f>SUMPRODUCT(INDEX(PortfolioRef[[SPY]:[PE]],MATCH(AM$1,PortfolioRef[Reference '#]),0),AssetMonthlyReturns[[#This Row],[SPY]:[PE]])</f>
        <v>2.1649805490042029E-2</v>
      </c>
      <c r="AN64" s="27">
        <f>IF(ISNUMBER(AN63),AN63*(1+PortfolioFrontier[[#This Row],[P10 Return]]),1+PortfolioFrontier[[#This Row],[P10 Return]])</f>
        <v>1.7012572020121879</v>
      </c>
      <c r="AO64" s="27">
        <f>MAX(AO63,PortfolioFrontier[[#This Row],[P10 Growth]])</f>
        <v>1.7012572020121879</v>
      </c>
      <c r="AP64" s="27">
        <f>PortfolioFrontier[[#This Row],[P10 Growth]]/PortfolioFrontier[[#This Row],[P10 HWM]]-1</f>
        <v>0</v>
      </c>
      <c r="AQ64" s="28">
        <f>SUMPRODUCT(INDEX(PortfolioRef[[SPY]:[PE]],MATCH(AQ$1,PortfolioRef[Reference '#]),0),AssetMonthlyReturns[[#This Row],[SPY]:[PE]])</f>
        <v>1.8214325675659591E-2</v>
      </c>
      <c r="AR64" s="27">
        <f>IF(ISNUMBER(AR63),AR63*(1+PortfolioFrontier[[#This Row],[P11 Return]]),1+PortfolioFrontier[[#This Row],[P11 Return]])</f>
        <v>1.7032325843196807</v>
      </c>
      <c r="AS64" s="27">
        <f>MAX(AS63,PortfolioFrontier[[#This Row],[P11 Growth]])</f>
        <v>1.7032325843196807</v>
      </c>
      <c r="AT64" s="27">
        <f>PortfolioFrontier[[#This Row],[P11 Growth]]/PortfolioFrontier[[#This Row],[P11 HWM]]-1</f>
        <v>0</v>
      </c>
      <c r="AU64" s="28">
        <f>SUMPRODUCT(INDEX(PortfolioRef[[SPY]:[PE]],MATCH(AU$1,PortfolioRef[Reference '#]),0),AssetMonthlyReturns[[#This Row],[SPY]:[PE]])</f>
        <v>1.8923142318749111E-2</v>
      </c>
      <c r="AV64" s="27">
        <f>IF(ISNUMBER(AV63),AV63*(1+PortfolioFrontier[[#This Row],[P12 Return]]),1+PortfolioFrontier[[#This Row],[P12 Return]])</f>
        <v>1.6753804248066289</v>
      </c>
      <c r="AW64" s="27">
        <f>MAX(AW63,PortfolioFrontier[[#This Row],[P12 Growth]])</f>
        <v>1.6753804248066289</v>
      </c>
      <c r="AX64" s="27">
        <f>PortfolioFrontier[[#This Row],[P12 Growth]]/PortfolioFrontier[[#This Row],[P12 HWM]]-1</f>
        <v>0</v>
      </c>
      <c r="AY64" s="28">
        <f>SUMPRODUCT(INDEX(PortfolioRef[[SPY]:[PE]],MATCH(AY$1,PortfolioRef[Reference '#]),0),AssetMonthlyReturns[[#This Row],[SPY]:[PE]])</f>
        <v>1.4778845861277158E-2</v>
      </c>
      <c r="AZ64" s="27">
        <f>IF(ISNUMBER(AZ63),AZ63*(1+PortfolioFrontier[[#This Row],[P13 Return]]),1+PortfolioFrontier[[#This Row],[P13 Return]])</f>
        <v>1.704380530512591</v>
      </c>
      <c r="BA64" s="27">
        <f>MAX(BA63,PortfolioFrontier[[#This Row],[P13 Growth]])</f>
        <v>1.704380530512591</v>
      </c>
      <c r="BB64" s="27">
        <f>PortfolioFrontier[[#This Row],[P13 Growth]]/PortfolioFrontier[[#This Row],[P13 HWM]]-1</f>
        <v>0</v>
      </c>
      <c r="BC64" s="28">
        <f>SUMPRODUCT(INDEX(PortfolioRef[[SPY]:[PE]],MATCH(BC$1,PortfolioRef[Reference '#]),0),AssetMonthlyReturns[[#This Row],[SPY]:[PE]])</f>
        <v>1.5487662504366673E-2</v>
      </c>
      <c r="BD64" s="27">
        <f>IF(ISNUMBER(BD63),BD63*(1+PortfolioFrontier[[#This Row],[P14 Return]]),1+PortfolioFrontier[[#This Row],[P14 Return]])</f>
        <v>1.6770240925339364</v>
      </c>
      <c r="BE64" s="27">
        <f>MAX(BE63,PortfolioFrontier[[#This Row],[P14 Growth]])</f>
        <v>1.6770240925339364</v>
      </c>
      <c r="BF64" s="27">
        <f>PortfolioFrontier[[#This Row],[P14 Growth]]/PortfolioFrontier[[#This Row],[P14 HWM]]-1</f>
        <v>0</v>
      </c>
      <c r="BG64" s="28">
        <f>SUMPRODUCT(INDEX(PortfolioRef[[SPY]:[PE]],MATCH(BG$1,PortfolioRef[Reference '#]),0),AssetMonthlyReturns[[#This Row],[SPY]:[PE]])</f>
        <v>1.6196479147456189E-2</v>
      </c>
      <c r="BH64" s="27">
        <f>IF(ISNUMBER(BH63),BH63*(1+PortfolioFrontier[[#This Row],[P15 Return]]),1+PortfolioFrontier[[#This Row],[P15 Return]])</f>
        <v>1.6494618161685737</v>
      </c>
      <c r="BI64" s="27">
        <f>MAX(BI63,PortfolioFrontier[[#This Row],[P15 Growth]])</f>
        <v>1.6494618161685737</v>
      </c>
      <c r="BJ64" s="27">
        <f>PortfolioFrontier[[#This Row],[P15 Growth]]/PortfolioFrontier[[#This Row],[P15 HWM]]-1</f>
        <v>0</v>
      </c>
      <c r="BK64" s="28">
        <f>SUMPRODUCT(INDEX(PortfolioRef[[SPY]:[PE]],MATCH(BK$1,PortfolioRef[Reference '#]),0),AssetMonthlyReturns[[#This Row],[SPY]:[PE]])</f>
        <v>1.3948880199426974E-2</v>
      </c>
      <c r="BL64" s="27">
        <f>IF(ISNUMBER(BL63),BL63*(1+PortfolioFrontier[[#This Row],[P16 Return]]),1+PortfolioFrontier[[#This Row],[P16 Return]])</f>
        <v>1.6095572107476148</v>
      </c>
      <c r="BM64" s="27">
        <f>MAX(BM63,PortfolioFrontier[[#This Row],[P16 Growth]])</f>
        <v>1.6095572107476148</v>
      </c>
      <c r="BN64" s="27">
        <f>PortfolioFrontier[[#This Row],[P16 Growth]]/PortfolioFrontier[[#This Row],[P16 HWM]]-1</f>
        <v>0</v>
      </c>
      <c r="BO64" s="28">
        <f>SUMPRODUCT(INDEX(PortfolioRef[[SPY]:[PE]],MATCH(BO$1,PortfolioRef[Reference '#]),0),AssetMonthlyReturns[[#This Row],[SPY]:[PE]])</f>
        <v>1.7686147388689177E-2</v>
      </c>
      <c r="BP64" s="27">
        <f>IF(ISNUMBER(BP63),BP63*(1+PortfolioFrontier[[#This Row],[P17 Return]]),1+PortfolioFrontier[[#This Row],[P17 Return]])</f>
        <v>1.6284408495321452</v>
      </c>
      <c r="BQ64" s="27">
        <f>MAX(BQ63,PortfolioFrontier[[#This Row],[P17 Growth]])</f>
        <v>1.6284408495321452</v>
      </c>
      <c r="BR64" s="27">
        <f>PortfolioFrontier[[#This Row],[P17 Growth]]/PortfolioFrontier[[#This Row],[P17 HWM]]-1</f>
        <v>0</v>
      </c>
      <c r="BS64" s="28">
        <f>SUMPRODUCT(INDEX(PortfolioRef[[SPY]:[PE]],MATCH(BS$1,PortfolioRef[Reference '#]),0),AssetMonthlyReturns[[#This Row],[SPY]:[PE]])</f>
        <v>1.4250667574306741E-2</v>
      </c>
      <c r="BT64" s="27">
        <f>IF(ISNUMBER(BT63),BT63*(1+PortfolioFrontier[[#This Row],[P18 Return]]),1+PortfolioFrontier[[#This Row],[P18 Return]])</f>
        <v>1.6304438220356821</v>
      </c>
      <c r="BU64" s="27">
        <f>MAX(BU63,PortfolioFrontier[[#This Row],[P18 Growth]])</f>
        <v>1.6304438220356821</v>
      </c>
      <c r="BV64" s="27">
        <f>PortfolioFrontier[[#This Row],[P18 Growth]]/PortfolioFrontier[[#This Row],[P18 HWM]]-1</f>
        <v>0</v>
      </c>
      <c r="BW64" s="28">
        <f>SUMPRODUCT(INDEX(PortfolioRef[[SPY]:[PE]],MATCH(BW$1,PortfolioRef[Reference '#]),0),AssetMonthlyReturns[[#This Row],[SPY]:[PE]])</f>
        <v>1.4959484217396258E-2</v>
      </c>
      <c r="BX64" s="27">
        <f>IF(ISNUMBER(BX63),BX63*(1+PortfolioFrontier[[#This Row],[P19 Return]]),1+PortfolioFrontier[[#This Row],[P19 Return]])</f>
        <v>1.6034128860920467</v>
      </c>
      <c r="BY64" s="27">
        <f>MAX(BY63,PortfolioFrontier[[#This Row],[P19 Growth]])</f>
        <v>1.6034128860920467</v>
      </c>
      <c r="BZ64" s="27">
        <f>PortfolioFrontier[[#This Row],[P19 Growth]]/PortfolioFrontier[[#This Row],[P19 HWM]]-1</f>
        <v>0</v>
      </c>
      <c r="CA64" s="28">
        <f>SUMPRODUCT(INDEX(PortfolioRef[[SPY]:[PE]],MATCH(CA$1,PortfolioRef[Reference '#]),0),AssetMonthlyReturns[[#This Row],[SPY]:[PE]])</f>
        <v>2.1423414577951383E-2</v>
      </c>
      <c r="CB64" s="27">
        <f>IF(ISNUMBER(CB63),CB63*(1+PortfolioFrontier[[#This Row],[P20 Return]]),1+PortfolioFrontier[[#This Row],[P20 Return]])</f>
        <v>1.6472557731478727</v>
      </c>
      <c r="CC64" s="27">
        <f>MAX(CC63,PortfolioFrontier[[#This Row],[P20 Growth]])</f>
        <v>1.6472557731478727</v>
      </c>
      <c r="CD64" s="27">
        <f>PortfolioFrontier[[#This Row],[P20 Growth]]/PortfolioFrontier[[#This Row],[P20 HWM]]-1</f>
        <v>0</v>
      </c>
      <c r="CE64" s="28">
        <f>SUMPRODUCT(INDEX(PortfolioRef[[SPY]:[PE]],MATCH(CE$1,PortfolioRef[Reference '#]),0),AssetMonthlyReturns[[#This Row],[SPY]:[PE]])</f>
        <v>1.7987934763568945E-2</v>
      </c>
      <c r="CF64" s="27">
        <f>IF(ISNUMBER(CF63),CF63*(1+PortfolioFrontier[[#This Row],[P21 Return]]),1+PortfolioFrontier[[#This Row],[P21 Return]])</f>
        <v>1.6495560974211525</v>
      </c>
      <c r="CG64" s="27">
        <f>MAX(CG63,PortfolioFrontier[[#This Row],[P21 Growth]])</f>
        <v>1.6495560974211525</v>
      </c>
      <c r="CH64" s="27">
        <f>PortfolioFrontier[[#This Row],[P21 Growth]]/PortfolioFrontier[[#This Row],[P21 HWM]]-1</f>
        <v>0</v>
      </c>
      <c r="CI64" s="28">
        <f>SUMPRODUCT(INDEX(PortfolioRef[[SPY]:[PE]],MATCH(CI$1,PortfolioRef[Reference '#]),0),AssetMonthlyReturns[[#This Row],[SPY]:[PE]])</f>
        <v>1.8696751406658465E-2</v>
      </c>
      <c r="CJ64" s="27">
        <f>IF(ISNUMBER(CJ63),CJ63*(1+PortfolioFrontier[[#This Row],[P22 Return]]),1+PortfolioFrontier[[#This Row],[P22 Return]])</f>
        <v>1.6222432154175943</v>
      </c>
      <c r="CK64" s="27">
        <f>MAX(CK63,PortfolioFrontier[[#This Row],[P22 Growth]])</f>
        <v>1.6222432154175943</v>
      </c>
      <c r="CL64" s="27">
        <f>PortfolioFrontier[[#This Row],[P22 Growth]]/PortfolioFrontier[[#This Row],[P22 HWM]]-1</f>
        <v>0</v>
      </c>
      <c r="CM64" s="28">
        <f>SUMPRODUCT(INDEX(PortfolioRef[[SPY]:[PE]],MATCH(CM$1,PortfolioRef[Reference '#]),0),AssetMonthlyReturns[[#This Row],[SPY]:[PE]])</f>
        <v>1.4552454949186512E-2</v>
      </c>
      <c r="CN64" s="27">
        <f>IF(ISNUMBER(CN63),CN63*(1+PortfolioFrontier[[#This Row],[P23 Return]]),1+PortfolioFrontier[[#This Row],[P23 Return]])</f>
        <v>1.6510578689223145</v>
      </c>
      <c r="CO64" s="27">
        <f>MAX(CO63,PortfolioFrontier[[#This Row],[P23 Growth]])</f>
        <v>1.6510578689223145</v>
      </c>
      <c r="CP64" s="27">
        <f>PortfolioFrontier[[#This Row],[P23 Growth]]/PortfolioFrontier[[#This Row],[P23 HWM]]-1</f>
        <v>0</v>
      </c>
      <c r="CQ64" s="28">
        <f>SUMPRODUCT(INDEX(PortfolioRef[[SPY]:[PE]],MATCH(CQ$1,PortfolioRef[Reference '#]),0),AssetMonthlyReturns[[#This Row],[SPY]:[PE]])</f>
        <v>1.5261271592276027E-2</v>
      </c>
      <c r="CR64" s="27">
        <f>IF(ISNUMBER(CR63),CR63*(1+PortfolioFrontier[[#This Row],[P24 Return]]),1+PortfolioFrontier[[#This Row],[P24 Return]])</f>
        <v>1.6242160623478956</v>
      </c>
      <c r="CS64" s="27">
        <f>MAX(CS63,PortfolioFrontier[[#This Row],[P24 Growth]])</f>
        <v>1.6242160623478956</v>
      </c>
      <c r="CT64" s="27">
        <f>PortfolioFrontier[[#This Row],[P24 Growth]]/PortfolioFrontier[[#This Row],[P24 HWM]]-1</f>
        <v>0</v>
      </c>
      <c r="CU64" s="28">
        <f>SUMPRODUCT(INDEX(PortfolioRef[[SPY]:[PE]],MATCH(CU$1,PortfolioRef[Reference '#]),0),AssetMonthlyReturns[[#This Row],[SPY]:[PE]])</f>
        <v>1.5970088235365543E-2</v>
      </c>
      <c r="CV64" s="27">
        <f>IF(ISNUMBER(CV63),CV63*(1+PortfolioFrontier[[#This Row],[P25 Return]]),1+PortfolioFrontier[[#This Row],[P25 Return]])</f>
        <v>1.5971881545044504</v>
      </c>
      <c r="CW64" s="27">
        <f>MAX(CW63,PortfolioFrontier[[#This Row],[P25 Growth]])</f>
        <v>1.5971881545044504</v>
      </c>
      <c r="CX64" s="27">
        <f>PortfolioFrontier[[#This Row],[P25 Growth]]/PortfolioFrontier[[#This Row],[P25 HWM]]-1</f>
        <v>0</v>
      </c>
      <c r="CY64" s="28">
        <f>SUMPRODUCT(INDEX(PortfolioRef[[SPY]:[PE]],MATCH(CY$1,PortfolioRef[Reference '#]),0),AssetMonthlyReturns[[#This Row],[SPY]:[PE]])</f>
        <v>2.172520195283115E-2</v>
      </c>
      <c r="CZ64" s="27">
        <f>IF(ISNUMBER(CZ63),CZ63*(1+PortfolioFrontier[[#This Row],[P26 Return]]),1+PortfolioFrontier[[#This Row],[P26 Return]])</f>
        <v>1.6685988975847261</v>
      </c>
      <c r="DA64" s="27">
        <f>MAX(DA63,PortfolioFrontier[[#This Row],[P26 Growth]])</f>
        <v>1.6685988975847261</v>
      </c>
      <c r="DB64" s="27">
        <f>PortfolioFrontier[[#This Row],[P26 Growth]]/PortfolioFrontier[[#This Row],[P26 HWM]]-1</f>
        <v>0</v>
      </c>
      <c r="DC64" s="28">
        <f>SUMPRODUCT(INDEX(PortfolioRef[[SPY]:[PE]],MATCH(DC$1,PortfolioRef[Reference '#]),0),AssetMonthlyReturns[[#This Row],[SPY]:[PE]])</f>
        <v>2.243401859592067E-2</v>
      </c>
      <c r="DD64" s="27">
        <f>IF(ISNUMBER(DD63),DD63*(1+PortfolioFrontier[[#This Row],[P27 Return]]),1+PortfolioFrontier[[#This Row],[P27 Return]])</f>
        <v>1.6410055834604576</v>
      </c>
      <c r="DE64" s="27">
        <f>MAX(DE63,PortfolioFrontier[[#This Row],[P27 Growth]])</f>
        <v>1.6410055834604576</v>
      </c>
      <c r="DF64" s="27">
        <f>PortfolioFrontier[[#This Row],[P27 Growth]]/PortfolioFrontier[[#This Row],[P27 HWM]]-1</f>
        <v>0</v>
      </c>
      <c r="DG64" s="28">
        <f>SUMPRODUCT(INDEX(PortfolioRef[[SPY]:[PE]],MATCH(DG$1,PortfolioRef[Reference '#]),0),AssetMonthlyReturns[[#This Row],[SPY]:[PE]])</f>
        <v>1.8289722138448716E-2</v>
      </c>
      <c r="DH64" s="27">
        <f>IF(ISNUMBER(DH63),DH63*(1+PortfolioFrontier[[#This Row],[P28 Return]]),1+PortfolioFrontier[[#This Row],[P28 Return]])</f>
        <v>1.6703953707338848</v>
      </c>
      <c r="DI64" s="27">
        <f>MAX(DI63,PortfolioFrontier[[#This Row],[P28 Growth]])</f>
        <v>1.6703953707338848</v>
      </c>
      <c r="DJ64" s="27">
        <f>PortfolioFrontier[[#This Row],[P28 Growth]]/PortfolioFrontier[[#This Row],[P28 HWM]]-1</f>
        <v>0</v>
      </c>
      <c r="DK64" s="28">
        <f>SUMPRODUCT(INDEX(PortfolioRef[[SPY]:[PE]],MATCH(DK$1,PortfolioRef[Reference '#]),0),AssetMonthlyReturns[[#This Row],[SPY]:[PE]])</f>
        <v>1.8998538781538236E-2</v>
      </c>
      <c r="DL64" s="27">
        <f>IF(ISNUMBER(DL63),DL63*(1+PortfolioFrontier[[#This Row],[P29 Return]]),1+PortfolioFrontier[[#This Row],[P29 Return]])</f>
        <v>1.6432743298016637</v>
      </c>
      <c r="DM64" s="27">
        <f>MAX(DM63,PortfolioFrontier[[#This Row],[P29 Growth]])</f>
        <v>1.6432743298016637</v>
      </c>
      <c r="DN64" s="27">
        <f>PortfolioFrontier[[#This Row],[P29 Growth]]/PortfolioFrontier[[#This Row],[P29 HWM]]-1</f>
        <v>0</v>
      </c>
      <c r="DO64" s="28">
        <f>SUMPRODUCT(INDEX(PortfolioRef[[SPY]:[PE]],MATCH(DO$1,PortfolioRef[Reference '#]),0),AssetMonthlyReturns[[#This Row],[SPY]:[PE]])</f>
        <v>1.9707355424627749E-2</v>
      </c>
      <c r="DP64" s="27">
        <f>IF(ISNUMBER(DP63),DP63*(1+PortfolioFrontier[[#This Row],[P30 Return]]),1+PortfolioFrontier[[#This Row],[P30 Return]])</f>
        <v>1.615964118094142</v>
      </c>
      <c r="DQ64" s="27">
        <f>MAX(DQ63,PortfolioFrontier[[#This Row],[P30 Growth]])</f>
        <v>1.615964118094142</v>
      </c>
      <c r="DR64" s="27">
        <f>PortfolioFrontier[[#This Row],[P30 Growth]]/PortfolioFrontier[[#This Row],[P30 HWM]]-1</f>
        <v>0</v>
      </c>
      <c r="DS64" s="28">
        <f>SUMPRODUCT(INDEX(PortfolioRef[[SPY]:[PE]],MATCH(DS$1,PortfolioRef[Reference '#]),0),AssetMonthlyReturns[[#This Row],[SPY]:[PE]])</f>
        <v>1.4854242324066281E-2</v>
      </c>
      <c r="DT64" s="27">
        <f>IF(ISNUMBER(DT63),DT63*(1+PortfolioFrontier[[#This Row],[P31 Return]]),1+PortfolioFrontier[[#This Row],[P31 Return]])</f>
        <v>1.671378463144686</v>
      </c>
      <c r="DU64" s="27">
        <f>MAX(DU63,PortfolioFrontier[[#This Row],[P31 Growth]])</f>
        <v>1.671378463144686</v>
      </c>
      <c r="DV64" s="27">
        <f>PortfolioFrontier[[#This Row],[P31 Growth]]/PortfolioFrontier[[#This Row],[P31 HWM]]-1</f>
        <v>0</v>
      </c>
      <c r="DW64" s="28">
        <f>SUMPRODUCT(INDEX(PortfolioRef[[SPY]:[PE]],MATCH(DW$1,PortfolioRef[Reference '#]),0),AssetMonthlyReturns[[#This Row],[SPY]:[PE]])</f>
        <v>1.5563058967155796E-2</v>
      </c>
      <c r="DX64" s="27">
        <f>IF(ISNUMBER(DX63),DX63*(1+PortfolioFrontier[[#This Row],[P32 Return]]),1+PortfolioFrontier[[#This Row],[P32 Return]])</f>
        <v>1.6447475851482762</v>
      </c>
      <c r="DY64" s="27">
        <f>MAX(DY63,PortfolioFrontier[[#This Row],[P32 Growth]])</f>
        <v>1.6447475851482762</v>
      </c>
      <c r="DZ64" s="27">
        <f>PortfolioFrontier[[#This Row],[P32 Growth]]/PortfolioFrontier[[#This Row],[P32 HWM]]-1</f>
        <v>0</v>
      </c>
      <c r="EA64" s="28">
        <f>SUMPRODUCT(INDEX(PortfolioRef[[SPY]:[PE]],MATCH(EA$1,PortfolioRef[Reference '#]),0),AssetMonthlyReturns[[#This Row],[SPY]:[PE]])</f>
        <v>1.6271875610245311E-2</v>
      </c>
      <c r="EB64" s="27">
        <f>IF(ISNUMBER(EB63),EB63*(1+PortfolioFrontier[[#This Row],[P33 Return]]),1+PortfolioFrontier[[#This Row],[P33 Return]])</f>
        <v>1.617906778395201</v>
      </c>
      <c r="EC64" s="27">
        <f>MAX(EC63,PortfolioFrontier[[#This Row],[P33 Growth]])</f>
        <v>1.617906778395201</v>
      </c>
      <c r="ED64" s="27">
        <f>PortfolioFrontier[[#This Row],[P33 Growth]]/PortfolioFrontier[[#This Row],[P33 HWM]]-1</f>
        <v>0</v>
      </c>
      <c r="EE64" s="28">
        <f>SUMPRODUCT(INDEX(PortfolioRef[[SPY]:[PE]],MATCH(EE$1,PortfolioRef[Reference '#]),0),AssetMonthlyReturns[[#This Row],[SPY]:[PE]])</f>
        <v>1.3722489287336328E-2</v>
      </c>
      <c r="EF64" s="27">
        <f>IF(ISNUMBER(EF63),EF63*(1+PortfolioFrontier[[#This Row],[P34 Return]]),1+PortfolioFrontier[[#This Row],[P34 Return]])</f>
        <v>1.5579396905323049</v>
      </c>
      <c r="EG64" s="27">
        <f>MAX(EG63,PortfolioFrontier[[#This Row],[P34 Growth]])</f>
        <v>1.5579396905323049</v>
      </c>
      <c r="EH64" s="27">
        <f>PortfolioFrontier[[#This Row],[P34 Growth]]/PortfolioFrontier[[#This Row],[P34 HWM]]-1</f>
        <v>0</v>
      </c>
      <c r="EI64" s="28">
        <f>SUMPRODUCT(INDEX(PortfolioRef[[SPY]:[PE]],MATCH(EI$1,PortfolioRef[Reference '#]),0),AssetMonthlyReturns[[#This Row],[SPY]:[PE]])</f>
        <v>1.7459756476598531E-2</v>
      </c>
      <c r="EJ64" s="27">
        <f>IF(ISNUMBER(EJ63),EJ63*(1+PortfolioFrontier[[#This Row],[P35 Return]]),1+PortfolioFrontier[[#This Row],[P35 Return]])</f>
        <v>1.5762309497364237</v>
      </c>
      <c r="EK64" s="27">
        <f>MAX(EK63,PortfolioFrontier[[#This Row],[P35 Growth]])</f>
        <v>1.5762309497364237</v>
      </c>
      <c r="EL64" s="27">
        <f>PortfolioFrontier[[#This Row],[P35 Growth]]/PortfolioFrontier[[#This Row],[P35 HWM]]-1</f>
        <v>0</v>
      </c>
      <c r="EM64" s="28">
        <f>SUMPRODUCT(INDEX(PortfolioRef[[SPY]:[PE]],MATCH(EM$1,PortfolioRef[Reference '#]),0),AssetMonthlyReturns[[#This Row],[SPY]:[PE]])</f>
        <v>1.4024276662216095E-2</v>
      </c>
      <c r="EN64" s="27">
        <f>IF(ISNUMBER(EN63),EN63*(1+PortfolioFrontier[[#This Row],[P36 Return]]),1+PortfolioFrontier[[#This Row],[P36 Return]])</f>
        <v>1.578538298456206</v>
      </c>
      <c r="EO64" s="27">
        <f>MAX(EO63,PortfolioFrontier[[#This Row],[P36 Growth]])</f>
        <v>1.578538298456206</v>
      </c>
      <c r="EP64" s="27">
        <f>PortfolioFrontier[[#This Row],[P36 Growth]]/PortfolioFrontier[[#This Row],[P36 HWM]]-1</f>
        <v>0</v>
      </c>
      <c r="EQ64" s="28">
        <f>SUMPRODUCT(INDEX(PortfolioRef[[SPY]:[PE]],MATCH(EQ$1,PortfolioRef[Reference '#]),0),AssetMonthlyReturns[[#This Row],[SPY]:[PE]])</f>
        <v>1.4733093305305612E-2</v>
      </c>
      <c r="ER64" s="27">
        <f>IF(ISNUMBER(ER63),ER63*(1+PortfolioFrontier[[#This Row],[P37 Return]]),1+PortfolioFrontier[[#This Row],[P37 Return]])</f>
        <v>1.5520450928790686</v>
      </c>
      <c r="ES64" s="27">
        <f>MAX(ES63,PortfolioFrontier[[#This Row],[P37 Growth]])</f>
        <v>1.5520450928790686</v>
      </c>
      <c r="ET64" s="27">
        <f>PortfolioFrontier[[#This Row],[P37 Growth]]/PortfolioFrontier[[#This Row],[P37 HWM]]-1</f>
        <v>0</v>
      </c>
      <c r="EU64" s="28">
        <f>SUMPRODUCT(INDEX(PortfolioRef[[SPY]:[PE]],MATCH(EU$1,PortfolioRef[Reference '#]),0),AssetMonthlyReturns[[#This Row],[SPY]:[PE]])</f>
        <v>2.1197023665860737E-2</v>
      </c>
      <c r="EV64" s="27">
        <f>IF(ISNUMBER(EV63),EV63*(1+PortfolioFrontier[[#This Row],[P38 Return]]),1+PortfolioFrontier[[#This Row],[P38 Return]])</f>
        <v>1.5944553078471739</v>
      </c>
      <c r="EW64" s="27">
        <f>MAX(EW63,PortfolioFrontier[[#This Row],[P38 Growth]])</f>
        <v>1.5944553078471739</v>
      </c>
      <c r="EX64" s="27">
        <f>PortfolioFrontier[[#This Row],[P38 Growth]]/PortfolioFrontier[[#This Row],[P38 HWM]]-1</f>
        <v>0</v>
      </c>
      <c r="EY64" s="28">
        <f>SUMPRODUCT(INDEX(PortfolioRef[[SPY]:[PE]],MATCH(EY$1,PortfolioRef[Reference '#]),0),AssetMonthlyReturns[[#This Row],[SPY]:[PE]])</f>
        <v>1.7761543851478299E-2</v>
      </c>
      <c r="EZ64" s="27">
        <f>IF(ISNUMBER(EZ63),EZ63*(1+PortfolioFrontier[[#This Row],[P39 Return]]),1+PortfolioFrontier[[#This Row],[P39 Return]])</f>
        <v>1.5970553741221891</v>
      </c>
      <c r="FA64" s="27">
        <f>MAX(FA63,PortfolioFrontier[[#This Row],[P39 Growth]])</f>
        <v>1.5970553741221891</v>
      </c>
      <c r="FB64" s="27">
        <f>PortfolioFrontier[[#This Row],[P39 Growth]]/PortfolioFrontier[[#This Row],[P39 HWM]]-1</f>
        <v>0</v>
      </c>
      <c r="FC64" s="28">
        <f>SUMPRODUCT(INDEX(PortfolioRef[[SPY]:[PE]],MATCH(FC$1,PortfolioRef[Reference '#]),0),AssetMonthlyReturns[[#This Row],[SPY]:[PE]])</f>
        <v>1.8470360494567819E-2</v>
      </c>
      <c r="FD64" s="27">
        <f>IF(ISNUMBER(FD63),FD63*(1+PortfolioFrontier[[#This Row],[P40 Return]]),1+PortfolioFrontier[[#This Row],[P40 Return]])</f>
        <v>1.5702853312693161</v>
      </c>
      <c r="FE64" s="27">
        <f>MAX(FE63,PortfolioFrontier[[#This Row],[P40 Growth]])</f>
        <v>1.5702853312693161</v>
      </c>
      <c r="FF64" s="27">
        <f>PortfolioFrontier[[#This Row],[P40 Growth]]/PortfolioFrontier[[#This Row],[P40 HWM]]-1</f>
        <v>0</v>
      </c>
      <c r="FG64" s="28">
        <f>SUMPRODUCT(INDEX(PortfolioRef[[SPY]:[PE]],MATCH(FG$1,PortfolioRef[Reference '#]),0),AssetMonthlyReturns[[#This Row],[SPY]:[PE]])</f>
        <v>1.4326064037095864E-2</v>
      </c>
      <c r="FH64" s="27">
        <f>IF(ISNUMBER(FH63),FH63*(1+PortfolioFrontier[[#This Row],[P41 Return]]),1+PortfolioFrontier[[#This Row],[P41 Return]])</f>
        <v>1.598885100850661</v>
      </c>
      <c r="FI64" s="27">
        <f>MAX(FI63,PortfolioFrontier[[#This Row],[P41 Growth]])</f>
        <v>1.598885100850661</v>
      </c>
      <c r="FJ64" s="27">
        <f>PortfolioFrontier[[#This Row],[P41 Growth]]/PortfolioFrontier[[#This Row],[P41 HWM]]-1</f>
        <v>0</v>
      </c>
      <c r="FK64" s="28">
        <f>SUMPRODUCT(INDEX(PortfolioRef[[SPY]:[PE]],MATCH(FK$1,PortfolioRef[Reference '#]),0),AssetMonthlyReturns[[#This Row],[SPY]:[PE]])</f>
        <v>1.5034880680185379E-2</v>
      </c>
      <c r="FL64" s="27">
        <f>IF(ISNUMBER(FL63),FL63*(1+PortfolioFrontier[[#This Row],[P42 Return]]),1+PortfolioFrontier[[#This Row],[P42 Return]])</f>
        <v>1.5725623582202228</v>
      </c>
      <c r="FM64" s="27">
        <f>MAX(FM63,PortfolioFrontier[[#This Row],[P42 Growth]])</f>
        <v>1.5725623582202228</v>
      </c>
      <c r="FN64" s="27">
        <f>PortfolioFrontier[[#This Row],[P42 Growth]]/PortfolioFrontier[[#This Row],[P42 HWM]]-1</f>
        <v>0</v>
      </c>
      <c r="FO64" s="28">
        <f>SUMPRODUCT(INDEX(PortfolioRef[[SPY]:[PE]],MATCH(FO$1,PortfolioRef[Reference '#]),0),AssetMonthlyReturns[[#This Row],[SPY]:[PE]])</f>
        <v>1.5743697323274897E-2</v>
      </c>
      <c r="FP64" s="27">
        <f>IF(ISNUMBER(FP63),FP63*(1+PortfolioFrontier[[#This Row],[P43 Return]]),1+PortfolioFrontier[[#This Row],[P43 Return]])</f>
        <v>1.5460722829452505</v>
      </c>
      <c r="FQ64" s="27">
        <f>MAX(FQ63,PortfolioFrontier[[#This Row],[P43 Growth]])</f>
        <v>1.5460722829452505</v>
      </c>
      <c r="FR64" s="27">
        <f>PortfolioFrontier[[#This Row],[P43 Growth]]/PortfolioFrontier[[#This Row],[P43 HWM]]-1</f>
        <v>0</v>
      </c>
      <c r="FS64" s="28">
        <f>SUMPRODUCT(INDEX(PortfolioRef[[SPY]:[PE]],MATCH(FS$1,PortfolioRef[Reference '#]),0),AssetMonthlyReturns[[#This Row],[SPY]:[PE]])</f>
        <v>2.1498811040740504E-2</v>
      </c>
      <c r="FT64" s="27">
        <f>IF(ISNUMBER(FT63),FT63*(1+PortfolioFrontier[[#This Row],[P44 Return]]),1+PortfolioFrontier[[#This Row],[P44 Return]])</f>
        <v>1.6155047937037297</v>
      </c>
      <c r="FU64" s="27">
        <f>MAX(FU63,PortfolioFrontier[[#This Row],[P44 Growth]])</f>
        <v>1.6155047937037297</v>
      </c>
      <c r="FV64" s="27">
        <f>PortfolioFrontier[[#This Row],[P44 Growth]]/PortfolioFrontier[[#This Row],[P44 HWM]]-1</f>
        <v>0</v>
      </c>
      <c r="FW64" s="28">
        <f>SUMPRODUCT(INDEX(PortfolioRef[[SPY]:[PE]],MATCH(FW$1,PortfolioRef[Reference '#]),0),AssetMonthlyReturns[[#This Row],[SPY]:[PE]])</f>
        <v>2.2207627683830024E-2</v>
      </c>
      <c r="FX64" s="27">
        <f>IF(ISNUMBER(FX63),FX63*(1+PortfolioFrontier[[#This Row],[P45 Return]]),1+PortfolioFrontier[[#This Row],[P45 Return]])</f>
        <v>1.5884593994680207</v>
      </c>
      <c r="FY64" s="27">
        <f>MAX(FY63,PortfolioFrontier[[#This Row],[P45 Growth]])</f>
        <v>1.5884593994680207</v>
      </c>
      <c r="FZ64" s="27">
        <f>PortfolioFrontier[[#This Row],[P45 Growth]]/PortfolioFrontier[[#This Row],[P45 HWM]]-1</f>
        <v>0</v>
      </c>
      <c r="GA64" s="28">
        <f>SUMPRODUCT(INDEX(PortfolioRef[[SPY]:[PE]],MATCH(GA$1,PortfolioRef[Reference '#]),0),AssetMonthlyReturns[[#This Row],[SPY]:[PE]])</f>
        <v>1.806333122635807E-2</v>
      </c>
      <c r="GB64" s="27">
        <f>IF(ISNUMBER(GB63),GB63*(1+PortfolioFrontier[[#This Row],[P46 Return]]),1+PortfolioFrontier[[#This Row],[P46 Return]])</f>
        <v>1.6176248174057519</v>
      </c>
      <c r="GC64" s="27">
        <f>MAX(GC63,PortfolioFrontier[[#This Row],[P46 Growth]])</f>
        <v>1.6176248174057519</v>
      </c>
      <c r="GD64" s="27">
        <f>PortfolioFrontier[[#This Row],[P46 Growth]]/PortfolioFrontier[[#This Row],[P46 HWM]]-1</f>
        <v>0</v>
      </c>
      <c r="GE64" s="28">
        <f>SUMPRODUCT(INDEX(PortfolioRef[[SPY]:[PE]],MATCH(GE$1,PortfolioRef[Reference '#]),0),AssetMonthlyReturns[[#This Row],[SPY]:[PE]])</f>
        <v>1.8772147869447586E-2</v>
      </c>
      <c r="GF64" s="27">
        <f>IF(ISNUMBER(GF63),GF63*(1+PortfolioFrontier[[#This Row],[P47 Return]]),1+PortfolioFrontier[[#This Row],[P47 Return]])</f>
        <v>1.5910277330641027</v>
      </c>
      <c r="GG64" s="27">
        <f>MAX(GG63,PortfolioFrontier[[#This Row],[P47 Growth]])</f>
        <v>1.5910277330641027</v>
      </c>
      <c r="GH64" s="27">
        <f>PortfolioFrontier[[#This Row],[P47 Growth]]/PortfolioFrontier[[#This Row],[P47 HWM]]-1</f>
        <v>0</v>
      </c>
      <c r="GI64" s="28">
        <f>SUMPRODUCT(INDEX(PortfolioRef[[SPY]:[PE]],MATCH(GI$1,PortfolioRef[Reference '#]),0),AssetMonthlyReturns[[#This Row],[SPY]:[PE]])</f>
        <v>1.9480964512537103E-2</v>
      </c>
      <c r="GJ64" s="27">
        <f>IF(ISNUMBER(GJ63),GJ63*(1+PortfolioFrontier[[#This Row],[P48 Return]]),1+PortfolioFrontier[[#This Row],[P48 Return]])</f>
        <v>1.5642604740710162</v>
      </c>
      <c r="GK64" s="27">
        <f>MAX(GK63,PortfolioFrontier[[#This Row],[P48 Growth]])</f>
        <v>1.5642604740710162</v>
      </c>
      <c r="GL64" s="27">
        <f>PortfolioFrontier[[#This Row],[P48 Growth]]/PortfolioFrontier[[#This Row],[P48 HWM]]-1</f>
        <v>0</v>
      </c>
      <c r="GM64" s="28">
        <f>SUMPRODUCT(INDEX(PortfolioRef[[SPY]:[PE]],MATCH(GM$1,PortfolioRef[Reference '#]),0),AssetMonthlyReturns[[#This Row],[SPY]:[PE]])</f>
        <v>1.4627851411975635E-2</v>
      </c>
      <c r="GN64" s="27">
        <f>IF(ISNUMBER(GN63),GN63*(1+PortfolioFrontier[[#This Row],[P49 Return]]),1+PortfolioFrontier[[#This Row],[P49 Return]])</f>
        <v>1.6189598715316378</v>
      </c>
      <c r="GO64" s="27">
        <f>MAX(GO63,PortfolioFrontier[[#This Row],[P49 Growth]])</f>
        <v>1.6189598715316378</v>
      </c>
      <c r="GP64" s="27">
        <f>PortfolioFrontier[[#This Row],[P49 Growth]]/PortfolioFrontier[[#This Row],[P49 HWM]]-1</f>
        <v>0</v>
      </c>
      <c r="GQ64" s="28">
        <f>SUMPRODUCT(INDEX(PortfolioRef[[SPY]:[PE]],MATCH(GQ$1,PortfolioRef[Reference '#]),0),AssetMonthlyReturns[[#This Row],[SPY]:[PE]])</f>
        <v>1.533666805506515E-2</v>
      </c>
      <c r="GR64" s="27">
        <f>IF(ISNUMBER(GR63),GR63*(1+PortfolioFrontier[[#This Row],[P50 Return]]),1+PortfolioFrontier[[#This Row],[P50 Return]])</f>
        <v>1.5928286460710832</v>
      </c>
      <c r="GS64" s="27">
        <f>MAX(GS63,PortfolioFrontier[[#This Row],[P50 Growth]])</f>
        <v>1.5928286460710832</v>
      </c>
      <c r="GT64" s="27">
        <f>PortfolioFrontier[[#This Row],[P50 Growth]]/PortfolioFrontier[[#This Row],[P50 HWM]]-1</f>
        <v>0</v>
      </c>
      <c r="GU64" s="28">
        <f>SUMPRODUCT(INDEX(PortfolioRef[[SPY]:[PE]],MATCH(GU$1,PortfolioRef[Reference '#]),0),AssetMonthlyReturns[[#This Row],[SPY]:[PE]])</f>
        <v>1.6045484698154665E-2</v>
      </c>
      <c r="GV64" s="27">
        <f>IF(ISNUMBER(GV63),GV63*(1+PortfolioFrontier[[#This Row],[P51 Return]]),1+PortfolioFrontier[[#This Row],[P51 Return]])</f>
        <v>1.5665071020048413</v>
      </c>
      <c r="GW64" s="27">
        <f>MAX(GW63,PortfolioFrontier[[#This Row],[P51 Growth]])</f>
        <v>1.5665071020048413</v>
      </c>
      <c r="GX64" s="27">
        <f>PortfolioFrontier[[#This Row],[P51 Growth]]/PortfolioFrontier[[#This Row],[P51 HWM]]-1</f>
        <v>0</v>
      </c>
      <c r="GY64" s="28">
        <f>SUMPRODUCT(INDEX(PortfolioRef[[SPY]:[PE]],MATCH(GY$1,PortfolioRef[Reference '#]),0),AssetMonthlyReturns[[#This Row],[SPY]:[PE]])</f>
        <v>2.1800598415620275E-2</v>
      </c>
      <c r="GZ64" s="27">
        <f>IF(ISNUMBER(GZ63),GZ63*(1+PortfolioFrontier[[#This Row],[P52 Return]]),1+PortfolioFrontier[[#This Row],[P52 Return]])</f>
        <v>1.6362961357912604</v>
      </c>
      <c r="HA64" s="27">
        <f>MAX(HA63,PortfolioFrontier[[#This Row],[P52 Growth]])</f>
        <v>1.6362961357912604</v>
      </c>
      <c r="HB64" s="27">
        <f>PortfolioFrontier[[#This Row],[P52 Growth]]/PortfolioFrontier[[#This Row],[P52 HWM]]-1</f>
        <v>0</v>
      </c>
      <c r="HC64" s="28">
        <f>SUMPRODUCT(INDEX(PortfolioRef[[SPY]:[PE]],MATCH(HC$1,PortfolioRef[Reference '#]),0),AssetMonthlyReturns[[#This Row],[SPY]:[PE]])</f>
        <v>2.2509415058709792E-2</v>
      </c>
      <c r="HD64" s="27">
        <f>IF(ISNUMBER(HD63),HD63*(1+PortfolioFrontier[[#This Row],[P53 Return]]),1+PortfolioFrontier[[#This Row],[P53 Return]])</f>
        <v>1.6094261908668817</v>
      </c>
      <c r="HE64" s="27">
        <f>MAX(HE63,PortfolioFrontier[[#This Row],[P53 Growth]])</f>
        <v>1.6094261908668817</v>
      </c>
      <c r="HF64" s="27">
        <f>PortfolioFrontier[[#This Row],[P53 Growth]]/PortfolioFrontier[[#This Row],[P53 HWM]]-1</f>
        <v>0</v>
      </c>
      <c r="HG64" s="28">
        <f>SUMPRODUCT(INDEX(PortfolioRef[[SPY]:[PE]],MATCH(HG$1,PortfolioRef[Reference '#]),0),AssetMonthlyReturns[[#This Row],[SPY]:[PE]])</f>
        <v>2.3218231701799309E-2</v>
      </c>
      <c r="HH64" s="27">
        <f>IF(ISNUMBER(HH63),HH63*(1+PortfolioFrontier[[#This Row],[P54 Return]]),1+PortfolioFrontier[[#This Row],[P54 Return]])</f>
        <v>1.5823832252093508</v>
      </c>
      <c r="HI64" s="27">
        <f>MAX(HI63,PortfolioFrontier[[#This Row],[P54 Growth]])</f>
        <v>1.5823832252093508</v>
      </c>
      <c r="HJ64" s="27">
        <f>PortfolioFrontier[[#This Row],[P54 Growth]]/PortfolioFrontier[[#This Row],[P54 HWM]]-1</f>
        <v>0</v>
      </c>
      <c r="HK64" s="28">
        <f>SUMPRODUCT(INDEX(PortfolioRef[[SPY]:[PE]],MATCH(HK$1,PortfolioRef[Reference '#]),0),AssetMonthlyReturns[[#This Row],[SPY]:[PE]])</f>
        <v>1.8365118601237837E-2</v>
      </c>
      <c r="HL64" s="27">
        <f>IF(ISNUMBER(HL63),HL63*(1+PortfolioFrontier[[#This Row],[P55 Return]]),1+PortfolioFrontier[[#This Row],[P55 Return]])</f>
        <v>1.637918833701937</v>
      </c>
      <c r="HM64" s="27">
        <f>MAX(HM63,PortfolioFrontier[[#This Row],[P55 Growth]])</f>
        <v>1.637918833701937</v>
      </c>
      <c r="HN64" s="27">
        <f>PortfolioFrontier[[#This Row],[P55 Growth]]/PortfolioFrontier[[#This Row],[P55 HWM]]-1</f>
        <v>0</v>
      </c>
      <c r="HO64" s="28">
        <f>SUMPRODUCT(INDEX(PortfolioRef[[SPY]:[PE]],MATCH(HO$1,PortfolioRef[Reference '#]),0),AssetMonthlyReturns[[#This Row],[SPY]:[PE]])</f>
        <v>1.9073935244327357E-2</v>
      </c>
      <c r="HP64" s="27">
        <f>IF(ISNUMBER(HP63),HP63*(1+PortfolioFrontier[[#This Row],[P56 Return]]),1+PortfolioFrontier[[#This Row],[P56 Return]])</f>
        <v>1.6115159900863627</v>
      </c>
      <c r="HQ64" s="27">
        <f>MAX(HQ63,PortfolioFrontier[[#This Row],[P56 Growth]])</f>
        <v>1.6115159900863627</v>
      </c>
      <c r="HR64" s="27">
        <f>PortfolioFrontier[[#This Row],[P56 Growth]]/PortfolioFrontier[[#This Row],[P56 HWM]]-1</f>
        <v>0</v>
      </c>
      <c r="HS64" s="28">
        <f>SUMPRODUCT(INDEX(PortfolioRef[[SPY]:[PE]],MATCH(HS$1,PortfolioRef[Reference '#]),0),AssetMonthlyReturns[[#This Row],[SPY]:[PE]])</f>
        <v>1.978275188741687E-2</v>
      </c>
      <c r="HT64" s="27">
        <f>IF(ISNUMBER(HT63),HT63*(1+PortfolioFrontier[[#This Row],[P57 Return]]),1+PortfolioFrontier[[#This Row],[P57 Return]])</f>
        <v>1.5849197359452125</v>
      </c>
      <c r="HU64" s="27">
        <f>MAX(HU63,PortfolioFrontier[[#This Row],[P57 Growth]])</f>
        <v>1.5849197359452125</v>
      </c>
      <c r="HV64" s="27">
        <f>PortfolioFrontier[[#This Row],[P57 Growth]]/PortfolioFrontier[[#This Row],[P57 HWM]]-1</f>
        <v>0</v>
      </c>
      <c r="HW64" s="28">
        <f>SUMPRODUCT(INDEX(PortfolioRef[[SPY]:[PE]],MATCH(HW$1,PortfolioRef[Reference '#]),0),AssetMonthlyReturns[[#This Row],[SPY]:[PE]])</f>
        <v>1.4929638786855404E-2</v>
      </c>
      <c r="HX64" s="27">
        <f>IF(ISNUMBER(HX63),HX63*(1+PortfolioFrontier[[#This Row],[P58 Return]]),1+PortfolioFrontier[[#This Row],[P58 Return]])</f>
        <v>1.6387421025079683</v>
      </c>
      <c r="HY64" s="27">
        <f>MAX(HY63,PortfolioFrontier[[#This Row],[P58 Growth]])</f>
        <v>1.6387421025079683</v>
      </c>
      <c r="HZ64" s="27">
        <f>PortfolioFrontier[[#This Row],[P58 Growth]]/PortfolioFrontier[[#This Row],[P58 HWM]]-1</f>
        <v>0</v>
      </c>
      <c r="IA64" s="28">
        <f>SUMPRODUCT(INDEX(PortfolioRef[[SPY]:[PE]],MATCH(IA$1,PortfolioRef[Reference '#]),0),AssetMonthlyReturns[[#This Row],[SPY]:[PE]])</f>
        <v>1.5638455429944919E-2</v>
      </c>
      <c r="IB64" s="27">
        <f>IF(ISNUMBER(IB63),IB63*(1+PortfolioFrontier[[#This Row],[P59 Return]]),1+PortfolioFrontier[[#This Row],[P59 Return]])</f>
        <v>1.6128238142315374</v>
      </c>
      <c r="IC64" s="27">
        <f>MAX(IC63,PortfolioFrontier[[#This Row],[P59 Growth]])</f>
        <v>1.6128238142315374</v>
      </c>
      <c r="ID64" s="27">
        <f>PortfolioFrontier[[#This Row],[P59 Growth]]/PortfolioFrontier[[#This Row],[P59 HWM]]-1</f>
        <v>0</v>
      </c>
      <c r="IE64" s="28">
        <f>SUMPRODUCT(INDEX(PortfolioRef[[SPY]:[PE]],MATCH(IE$1,PortfolioRef[Reference '#]),0),AssetMonthlyReturns[[#This Row],[SPY]:[PE]])</f>
        <v>1.6347272073034436E-2</v>
      </c>
      <c r="IF64" s="27">
        <f>IF(ISNUMBER(IF63),IF63*(1+PortfolioFrontier[[#This Row],[P60 Return]]),1+PortfolioFrontier[[#This Row],[P60 Return]])</f>
        <v>1.5866917784939873</v>
      </c>
      <c r="IG64" s="27">
        <f>MAX(IG63,PortfolioFrontier[[#This Row],[P60 Growth]])</f>
        <v>1.5866917784939873</v>
      </c>
      <c r="IH64" s="27">
        <f>PortfolioFrontier[[#This Row],[P60 Growth]]/PortfolioFrontier[[#This Row],[P60 HWM]]-1</f>
        <v>0</v>
      </c>
      <c r="II64" s="28">
        <f>SUMPRODUCT(INDEX(PortfolioRef[[SPY]:[PE]],MATCH(II$1,PortfolioRef[Reference '#]),0),AssetMonthlyReturns[[#This Row],[SPY]:[PE]])</f>
        <v>1.3496098375245682E-2</v>
      </c>
      <c r="IJ64" s="27">
        <f>IF(ISNUMBER(IJ63),IJ63*(1+PortfolioFrontier[[#This Row],[P61 Return]]),1+PortfolioFrontier[[#This Row],[P61 Return]])</f>
        <v>1.507492155284343</v>
      </c>
      <c r="IK64" s="27">
        <f>MAX(IK63,PortfolioFrontier[[#This Row],[P61 Growth]])</f>
        <v>1.507492155284343</v>
      </c>
      <c r="IL64" s="27">
        <f>PortfolioFrontier[[#This Row],[P61 Growth]]/PortfolioFrontier[[#This Row],[P61 HWM]]-1</f>
        <v>0</v>
      </c>
      <c r="IM64" s="28">
        <f>SUMPRODUCT(INDEX(PortfolioRef[[SPY]:[PE]],MATCH(IM$1,PortfolioRef[Reference '#]),0),AssetMonthlyReturns[[#This Row],[SPY]:[PE]])</f>
        <v>1.7233365564507885E-2</v>
      </c>
      <c r="IN64" s="27">
        <f>IF(ISNUMBER(IN63),IN63*(1+PortfolioFrontier[[#This Row],[P62 Return]]),1+PortfolioFrontier[[#This Row],[P62 Return]])</f>
        <v>1.5252042725242225</v>
      </c>
      <c r="IO64" s="27">
        <f>MAX(IO63,PortfolioFrontier[[#This Row],[P62 Growth]])</f>
        <v>1.5252042725242225</v>
      </c>
      <c r="IP64" s="27">
        <f>PortfolioFrontier[[#This Row],[P62 Growth]]/PortfolioFrontier[[#This Row],[P62 HWM]]-1</f>
        <v>0</v>
      </c>
      <c r="IQ64" s="28">
        <f>SUMPRODUCT(INDEX(PortfolioRef[[SPY]:[PE]],MATCH(IQ$1,PortfolioRef[Reference '#]),0),AssetMonthlyReturns[[#This Row],[SPY]:[PE]])</f>
        <v>1.3797885750125449E-2</v>
      </c>
      <c r="IR64" s="27">
        <f>IF(ISNUMBER(IR63),IR63*(1+PortfolioFrontier[[#This Row],[P63 Return]]),1+PortfolioFrontier[[#This Row],[P63 Return]])</f>
        <v>1.5277919669344908</v>
      </c>
      <c r="IS64" s="27">
        <f>MAX(IS63,PortfolioFrontier[[#This Row],[P63 Growth]])</f>
        <v>1.5277919669344908</v>
      </c>
      <c r="IT64" s="27">
        <f>PortfolioFrontier[[#This Row],[P63 Growth]]/PortfolioFrontier[[#This Row],[P63 HWM]]-1</f>
        <v>0</v>
      </c>
      <c r="IU64" s="28">
        <f>SUMPRODUCT(INDEX(PortfolioRef[[SPY]:[PE]],MATCH(IU$1,PortfolioRef[Reference '#]),0),AssetMonthlyReturns[[#This Row],[SPY]:[PE]])</f>
        <v>1.4506702393214966E-2</v>
      </c>
      <c r="IV64" s="27">
        <f>IF(ISNUMBER(IV63),IV63*(1+PortfolioFrontier[[#This Row],[P64 Return]]),1+PortfolioFrontier[[#This Row],[P64 Return]])</f>
        <v>1.5018391631073131</v>
      </c>
      <c r="IW64" s="27">
        <f>MAX(IW63,PortfolioFrontier[[#This Row],[P64 Growth]])</f>
        <v>1.5018391631073131</v>
      </c>
      <c r="IX64" s="27">
        <f>PortfolioFrontier[[#This Row],[P64 Growth]]/PortfolioFrontier[[#This Row],[P64 HWM]]-1</f>
        <v>0</v>
      </c>
      <c r="IY64" s="28">
        <f>SUMPRODUCT(INDEX(PortfolioRef[[SPY]:[PE]],MATCH(IY$1,PortfolioRef[Reference '#]),0),AssetMonthlyReturns[[#This Row],[SPY]:[PE]])</f>
        <v>2.0970632753770091E-2</v>
      </c>
      <c r="IZ64" s="27">
        <f>IF(ISNUMBER(IZ63),IZ63*(1+PortfolioFrontier[[#This Row],[P65 Return]]),1+PortfolioFrontier[[#This Row],[P65 Return]])</f>
        <v>1.5428512769963652</v>
      </c>
      <c r="JA64" s="27">
        <f>MAX(JA63,PortfolioFrontier[[#This Row],[P65 Growth]])</f>
        <v>1.5428512769963652</v>
      </c>
      <c r="JB64" s="27">
        <f>PortfolioFrontier[[#This Row],[P65 Growth]]/PortfolioFrontier[[#This Row],[P65 HWM]]-1</f>
        <v>0</v>
      </c>
      <c r="JC64" s="28">
        <f>SUMPRODUCT(INDEX(PortfolioRef[[SPY]:[PE]],MATCH(JC$1,PortfolioRef[Reference '#]),0),AssetMonthlyReturns[[#This Row],[SPY]:[PE]])</f>
        <v>1.7535152939387653E-2</v>
      </c>
      <c r="JD64" s="27">
        <f>IF(ISNUMBER(JD63),JD63*(1+PortfolioFrontier[[#This Row],[P66 Return]]),1+PortfolioFrontier[[#This Row],[P66 Return]])</f>
        <v>1.5457269524592132</v>
      </c>
      <c r="JE64" s="27">
        <f>MAX(JE63,PortfolioFrontier[[#This Row],[P66 Growth]])</f>
        <v>1.5457269524592132</v>
      </c>
      <c r="JF64" s="27">
        <f>PortfolioFrontier[[#This Row],[P66 Growth]]/PortfolioFrontier[[#This Row],[P66 HWM]]-1</f>
        <v>0</v>
      </c>
      <c r="JG64" s="28">
        <f>SUMPRODUCT(INDEX(PortfolioRef[[SPY]:[PE]],MATCH(JG$1,PortfolioRef[Reference '#]),0),AssetMonthlyReturns[[#This Row],[SPY]:[PE]])</f>
        <v>1.8243969582477173E-2</v>
      </c>
      <c r="JH64" s="27">
        <f>IF(ISNUMBER(JH63),JH63*(1+PortfolioFrontier[[#This Row],[P67 Return]]),1+PortfolioFrontier[[#This Row],[P67 Return]])</f>
        <v>1.5195024700045703</v>
      </c>
      <c r="JI64" s="27">
        <f>MAX(JI63,PortfolioFrontier[[#This Row],[P67 Growth]])</f>
        <v>1.5195024700045703</v>
      </c>
      <c r="JJ64" s="27">
        <f>PortfolioFrontier[[#This Row],[P67 Growth]]/PortfolioFrontier[[#This Row],[P67 HWM]]-1</f>
        <v>0</v>
      </c>
      <c r="JK64" s="28">
        <f>SUMPRODUCT(INDEX(PortfolioRef[[SPY]:[PE]],MATCH(JK$1,PortfolioRef[Reference '#]),0),AssetMonthlyReturns[[#This Row],[SPY]:[PE]])</f>
        <v>1.4099673125005218E-2</v>
      </c>
      <c r="JL64" s="27">
        <f>IF(ISNUMBER(JL63),JL63*(1+PortfolioFrontier[[#This Row],[P68 Return]]),1+PortfolioFrontier[[#This Row],[P68 Return]])</f>
        <v>1.5478598306016325</v>
      </c>
      <c r="JM64" s="27">
        <f>MAX(JM63,PortfolioFrontier[[#This Row],[P68 Growth]])</f>
        <v>1.5478598306016325</v>
      </c>
      <c r="JN64" s="27">
        <f>PortfolioFrontier[[#This Row],[P68 Growth]]/PortfolioFrontier[[#This Row],[P68 HWM]]-1</f>
        <v>0</v>
      </c>
      <c r="JO64" s="28">
        <f>SUMPRODUCT(INDEX(PortfolioRef[[SPY]:[PE]],MATCH(JO$1,PortfolioRef[Reference '#]),0),AssetMonthlyReturns[[#This Row],[SPY]:[PE]])</f>
        <v>1.4808489768094733E-2</v>
      </c>
      <c r="JP64" s="27">
        <f>IF(ISNUMBER(JP63),JP63*(1+PortfolioFrontier[[#This Row],[P69 Return]]),1+PortfolioFrontier[[#This Row],[P69 Return]])</f>
        <v>1.5220597276226533</v>
      </c>
      <c r="JQ64" s="27">
        <f>MAX(JQ63,PortfolioFrontier[[#This Row],[P69 Growth]])</f>
        <v>1.5220597276226533</v>
      </c>
      <c r="JR64" s="27">
        <f>PortfolioFrontier[[#This Row],[P69 Growth]]/PortfolioFrontier[[#This Row],[P69 HWM]]-1</f>
        <v>0</v>
      </c>
      <c r="JS64" s="28">
        <f>SUMPRODUCT(INDEX(PortfolioRef[[SPY]:[PE]],MATCH(JS$1,PortfolioRef[Reference '#]),0),AssetMonthlyReturns[[#This Row],[SPY]:[PE]])</f>
        <v>1.5517306411184251E-2</v>
      </c>
      <c r="JT64" s="27">
        <f>IF(ISNUMBER(JT63),JT63*(1+PortfolioFrontier[[#This Row],[P70 Return]]),1+PortfolioFrontier[[#This Row],[P70 Return]])</f>
        <v>1.4961101209464014</v>
      </c>
      <c r="JU64" s="27">
        <f>MAX(JU63,PortfolioFrontier[[#This Row],[P70 Growth]])</f>
        <v>1.4961101209464014</v>
      </c>
      <c r="JV64" s="27">
        <f>PortfolioFrontier[[#This Row],[P70 Growth]]/PortfolioFrontier[[#This Row],[P70 HWM]]-1</f>
        <v>0</v>
      </c>
      <c r="JW64" s="28">
        <f>SUMPRODUCT(INDEX(PortfolioRef[[SPY]:[PE]],MATCH(JW$1,PortfolioRef[Reference '#]),0),AssetMonthlyReturns[[#This Row],[SPY]:[PE]])</f>
        <v>2.1272420128649858E-2</v>
      </c>
      <c r="JX64" s="27">
        <f>IF(ISNUMBER(JX63),JX63*(1+PortfolioFrontier[[#This Row],[P71 Return]]),1+PortfolioFrontier[[#This Row],[P71 Return]])</f>
        <v>1.5635960759165906</v>
      </c>
      <c r="JY64" s="27">
        <f>MAX(JY63,PortfolioFrontier[[#This Row],[P71 Growth]])</f>
        <v>1.5635960759165906</v>
      </c>
      <c r="JZ64" s="27">
        <f>PortfolioFrontier[[#This Row],[P71 Growth]]/PortfolioFrontier[[#This Row],[P71 HWM]]-1</f>
        <v>0</v>
      </c>
      <c r="KA64" s="28">
        <f>SUMPRODUCT(INDEX(PortfolioRef[[SPY]:[PE]],MATCH(KA$1,PortfolioRef[Reference '#]),0),AssetMonthlyReturns[[#This Row],[SPY]:[PE]])</f>
        <v>2.1981236771739378E-2</v>
      </c>
      <c r="KB64" s="27">
        <f>IF(ISNUMBER(KB63),KB63*(1+PortfolioFrontier[[#This Row],[P72 Return]]),1+PortfolioFrontier[[#This Row],[P72 Return]])</f>
        <v>1.5371013725454592</v>
      </c>
      <c r="KC64" s="27">
        <f>MAX(KC63,PortfolioFrontier[[#This Row],[P72 Growth]])</f>
        <v>1.5371013725454592</v>
      </c>
      <c r="KD64" s="27">
        <f>PortfolioFrontier[[#This Row],[P72 Growth]]/PortfolioFrontier[[#This Row],[P72 HWM]]-1</f>
        <v>0</v>
      </c>
      <c r="KE64" s="28">
        <f>SUMPRODUCT(INDEX(PortfolioRef[[SPY]:[PE]],MATCH(KE$1,PortfolioRef[Reference '#]),0),AssetMonthlyReturns[[#This Row],[SPY]:[PE]])</f>
        <v>1.7836940314267424E-2</v>
      </c>
      <c r="KF64" s="27">
        <f>IF(ISNUMBER(KF63),KF63*(1+PortfolioFrontier[[#This Row],[P73 Return]]),1+PortfolioFrontier[[#This Row],[P73 Return]])</f>
        <v>1.5660147338942147</v>
      </c>
      <c r="KG64" s="27">
        <f>MAX(KG63,PortfolioFrontier[[#This Row],[P73 Growth]])</f>
        <v>1.5660147338942147</v>
      </c>
      <c r="KH64" s="27">
        <f>PortfolioFrontier[[#This Row],[P73 Growth]]/PortfolioFrontier[[#This Row],[P73 HWM]]-1</f>
        <v>0</v>
      </c>
      <c r="KI64" s="28">
        <f>SUMPRODUCT(INDEX(PortfolioRef[[SPY]:[PE]],MATCH(KI$1,PortfolioRef[Reference '#]),0),AssetMonthlyReturns[[#This Row],[SPY]:[PE]])</f>
        <v>1.854575695735694E-2</v>
      </c>
      <c r="KJ64" s="27">
        <f>IF(ISNUMBER(KJ63),KJ63*(1+PortfolioFrontier[[#This Row],[P74 Return]]),1+PortfolioFrontier[[#This Row],[P74 Return]])</f>
        <v>1.5399452412791177</v>
      </c>
      <c r="KK64" s="27">
        <f>MAX(KK63,PortfolioFrontier[[#This Row],[P74 Growth]])</f>
        <v>1.5399452412791177</v>
      </c>
      <c r="KL64" s="27">
        <f>PortfolioFrontier[[#This Row],[P74 Growth]]/PortfolioFrontier[[#This Row],[P74 HWM]]-1</f>
        <v>0</v>
      </c>
      <c r="KM64" s="28">
        <f>SUMPRODUCT(INDEX(PortfolioRef[[SPY]:[PE]],MATCH(KM$1,PortfolioRef[Reference '#]),0),AssetMonthlyReturns[[#This Row],[SPY]:[PE]])</f>
        <v>1.9254573600446457E-2</v>
      </c>
      <c r="KN64" s="27">
        <f>IF(ISNUMBER(KN63),KN63*(1+PortfolioFrontier[[#This Row],[P75 Return]]),1+PortfolioFrontier[[#This Row],[P75 Return]])</f>
        <v>1.5137236203521434</v>
      </c>
      <c r="KO64" s="27">
        <f>MAX(KO63,PortfolioFrontier[[#This Row],[P75 Growth]])</f>
        <v>1.5137236203521434</v>
      </c>
      <c r="KP64" s="27">
        <f>PortfolioFrontier[[#This Row],[P75 Growth]]/PortfolioFrontier[[#This Row],[P75 HWM]]-1</f>
        <v>0</v>
      </c>
      <c r="KQ64" s="28">
        <f>SUMPRODUCT(INDEX(PortfolioRef[[SPY]:[PE]],MATCH(KQ$1,PortfolioRef[Reference '#]),0),AssetMonthlyReturns[[#This Row],[SPY]:[PE]])</f>
        <v>1.4401460499884989E-2</v>
      </c>
      <c r="KR64" s="27">
        <f>IF(ISNUMBER(KR63),KR63*(1+PortfolioFrontier[[#This Row],[P76 Return]]),1+PortfolioFrontier[[#This Row],[P76 Return]])</f>
        <v>1.567676173337428</v>
      </c>
      <c r="KS64" s="27">
        <f>MAX(KS63,PortfolioFrontier[[#This Row],[P76 Growth]])</f>
        <v>1.567676173337428</v>
      </c>
      <c r="KT64" s="27">
        <f>PortfolioFrontier[[#This Row],[P76 Growth]]/PortfolioFrontier[[#This Row],[P76 HWM]]-1</f>
        <v>0</v>
      </c>
      <c r="KU64" s="28">
        <f>SUMPRODUCT(INDEX(PortfolioRef[[SPY]:[PE]],MATCH(KU$1,PortfolioRef[Reference '#]),0),AssetMonthlyReturns[[#This Row],[SPY]:[PE]])</f>
        <v>1.5110277142974504E-2</v>
      </c>
      <c r="KV64" s="27">
        <f>IF(ISNUMBER(KV63),KV63*(1+PortfolioFrontier[[#This Row],[P77 Return]]),1+PortfolioFrontier[[#This Row],[P77 Return]])</f>
        <v>1.5420490941680123</v>
      </c>
      <c r="KW64" s="27">
        <f>MAX(KW63,PortfolioFrontier[[#This Row],[P77 Growth]])</f>
        <v>1.5420490941680123</v>
      </c>
      <c r="KX64" s="27">
        <f>PortfolioFrontier[[#This Row],[P77 Growth]]/PortfolioFrontier[[#This Row],[P77 HWM]]-1</f>
        <v>0</v>
      </c>
      <c r="KY64" s="28">
        <f>SUMPRODUCT(INDEX(PortfolioRef[[SPY]:[PE]],MATCH(KY$1,PortfolioRef[Reference '#]),0),AssetMonthlyReturns[[#This Row],[SPY]:[PE]])</f>
        <v>1.5819093786064019E-2</v>
      </c>
      <c r="KZ64" s="27">
        <f>IF(ISNUMBER(KZ63),KZ63*(1+PortfolioFrontier[[#This Row],[P78 Return]]),1+PortfolioFrontier[[#This Row],[P78 Return]])</f>
        <v>1.516250348759925</v>
      </c>
      <c r="LA64" s="27">
        <f>MAX(LA63,PortfolioFrontier[[#This Row],[P78 Growth]])</f>
        <v>1.516250348759925</v>
      </c>
      <c r="LB64" s="27">
        <f>PortfolioFrontier[[#This Row],[P78 Growth]]/PortfolioFrontier[[#This Row],[P78 HWM]]-1</f>
        <v>0</v>
      </c>
      <c r="LC64" s="28">
        <f>SUMPRODUCT(INDEX(PortfolioRef[[SPY]:[PE]],MATCH(LC$1,PortfolioRef[Reference '#]),0),AssetMonthlyReturns[[#This Row],[SPY]:[PE]])</f>
        <v>2.1574207503529633E-2</v>
      </c>
      <c r="LD64" s="27">
        <f>IF(ISNUMBER(LD63),LD63*(1+PortfolioFrontier[[#This Row],[P79 Return]]),1+PortfolioFrontier[[#This Row],[P79 Return]])</f>
        <v>1.5841030379025047</v>
      </c>
      <c r="LE64" s="27">
        <f>MAX(LE63,PortfolioFrontier[[#This Row],[P79 Growth]])</f>
        <v>1.5841030379025047</v>
      </c>
      <c r="LF64" s="27">
        <f>PortfolioFrontier[[#This Row],[P79 Growth]]/PortfolioFrontier[[#This Row],[P79 HWM]]-1</f>
        <v>0</v>
      </c>
      <c r="LG64" s="28">
        <f>SUMPRODUCT(INDEX(PortfolioRef[[SPY]:[PE]],MATCH(LG$1,PortfolioRef[Reference '#]),0),AssetMonthlyReturns[[#This Row],[SPY]:[PE]])</f>
        <v>2.2283024146619149E-2</v>
      </c>
      <c r="LH64" s="27">
        <f>IF(ISNUMBER(LH63),LH63*(1+PortfolioFrontier[[#This Row],[P80 Return]]),1+PortfolioFrontier[[#This Row],[P80 Return]])</f>
        <v>1.5577656093175762</v>
      </c>
      <c r="LI64" s="27">
        <f>MAX(LI63,PortfolioFrontier[[#This Row],[P80 Growth]])</f>
        <v>1.5577656093175762</v>
      </c>
      <c r="LJ64" s="27">
        <f>PortfolioFrontier[[#This Row],[P80 Growth]]/PortfolioFrontier[[#This Row],[P80 HWM]]-1</f>
        <v>0</v>
      </c>
      <c r="LK64" s="28">
        <f>SUMPRODUCT(INDEX(PortfolioRef[[SPY]:[PE]],MATCH(LK$1,PortfolioRef[Reference '#]),0),AssetMonthlyReturns[[#This Row],[SPY]:[PE]])</f>
        <v>2.2991840789708666E-2</v>
      </c>
      <c r="LL64" s="27">
        <f>IF(ISNUMBER(LL63),LL63*(1+PortfolioFrontier[[#This Row],[P81 Return]]),1+PortfolioFrontier[[#This Row],[P81 Return]])</f>
        <v>1.5312734231877361</v>
      </c>
      <c r="LM64" s="27">
        <f>MAX(LM63,PortfolioFrontier[[#This Row],[P81 Growth]])</f>
        <v>1.5312734231877361</v>
      </c>
      <c r="LN64" s="27">
        <f>PortfolioFrontier[[#This Row],[P81 Growth]]/PortfolioFrontier[[#This Row],[P81 HWM]]-1</f>
        <v>0</v>
      </c>
      <c r="LO64" s="28">
        <f>SUMPRODUCT(INDEX(PortfolioRef[[SPY]:[PE]],MATCH(LO$1,PortfolioRef[Reference '#]),0),AssetMonthlyReturns[[#This Row],[SPY]:[PE]])</f>
        <v>1.8138727689147191E-2</v>
      </c>
      <c r="LP64" s="27">
        <f>IF(ISNUMBER(LP63),LP63*(1+PortfolioFrontier[[#This Row],[P82 Return]]),1+PortfolioFrontier[[#This Row],[P82 Return]])</f>
        <v>1.5860478307679324</v>
      </c>
      <c r="LQ64" s="27">
        <f>MAX(LQ63,PortfolioFrontier[[#This Row],[P82 Growth]])</f>
        <v>1.5860478307679324</v>
      </c>
      <c r="LR64" s="27">
        <f>PortfolioFrontier[[#This Row],[P82 Growth]]/PortfolioFrontier[[#This Row],[P82 HWM]]-1</f>
        <v>0</v>
      </c>
      <c r="LS64" s="28">
        <f>SUMPRODUCT(INDEX(PortfolioRef[[SPY]:[PE]],MATCH(LS$1,PortfolioRef[Reference '#]),0),AssetMonthlyReturns[[#This Row],[SPY]:[PE]])</f>
        <v>1.8847544332236711E-2</v>
      </c>
      <c r="LT64" s="27">
        <f>IF(ISNUMBER(LT63),LT63*(1+PortfolioFrontier[[#This Row],[P83 Return]]),1+PortfolioFrontier[[#This Row],[P83 Return]])</f>
        <v>1.5601538716305234</v>
      </c>
      <c r="LU64" s="27">
        <f>MAX(LU63,PortfolioFrontier[[#This Row],[P83 Growth]])</f>
        <v>1.5601538716305234</v>
      </c>
      <c r="LV64" s="27">
        <f>PortfolioFrontier[[#This Row],[P83 Growth]]/PortfolioFrontier[[#This Row],[P83 HWM]]-1</f>
        <v>0</v>
      </c>
      <c r="LW64" s="28">
        <f>SUMPRODUCT(INDEX(PortfolioRef[[SPY]:[PE]],MATCH(LW$1,PortfolioRef[Reference '#]),0),AssetMonthlyReturns[[#This Row],[SPY]:[PE]])</f>
        <v>1.9556360975326224E-2</v>
      </c>
      <c r="LX64" s="27">
        <f>IF(ISNUMBER(LX63),LX63*(1+PortfolioFrontier[[#This Row],[P84 Return]]),1+PortfolioFrontier[[#This Row],[P84 Return]])</f>
        <v>1.5340853799498724</v>
      </c>
      <c r="LY64" s="27">
        <f>MAX(LY63,PortfolioFrontier[[#This Row],[P84 Growth]])</f>
        <v>1.5340853799498724</v>
      </c>
      <c r="LZ64" s="27">
        <f>PortfolioFrontier[[#This Row],[P84 Growth]]/PortfolioFrontier[[#This Row],[P84 HWM]]-1</f>
        <v>0</v>
      </c>
      <c r="MA64" s="28">
        <f>SUMPRODUCT(INDEX(PortfolioRef[[SPY]:[PE]],MATCH(MA$1,PortfolioRef[Reference '#]),0),AssetMonthlyReturns[[#This Row],[SPY]:[PE]])</f>
        <v>1.470324787476476E-2</v>
      </c>
      <c r="MB64" s="27">
        <f>IF(ISNUMBER(MB63),MB63*(1+PortfolioFrontier[[#This Row],[P85 Return]]),1+PortfolioFrontier[[#This Row],[P85 Return]])</f>
        <v>1.587221136596124</v>
      </c>
      <c r="MC64" s="27">
        <f>MAX(MC63,PortfolioFrontier[[#This Row],[P85 Growth]])</f>
        <v>1.587221136596124</v>
      </c>
      <c r="MD64" s="27">
        <f>PortfolioFrontier[[#This Row],[P85 Growth]]/PortfolioFrontier[[#This Row],[P85 HWM]]-1</f>
        <v>0</v>
      </c>
      <c r="ME64" s="28">
        <f>SUMPRODUCT(INDEX(PortfolioRef[[SPY]:[PE]],MATCH(ME$1,PortfolioRef[Reference '#]),0),AssetMonthlyReturns[[#This Row],[SPY]:[PE]])</f>
        <v>1.5412064517854275E-2</v>
      </c>
      <c r="MF64" s="27">
        <f>IF(ISNUMBER(MF63),MF63*(1+PortfolioFrontier[[#This Row],[P86 Return]]),1+PortfolioFrontier[[#This Row],[P86 Return]])</f>
        <v>1.5617877699944933</v>
      </c>
      <c r="MG64" s="27">
        <f>MAX(MG63,PortfolioFrontier[[#This Row],[P86 Growth]])</f>
        <v>1.5617877699944933</v>
      </c>
      <c r="MH64" s="27">
        <f>PortfolioFrontier[[#This Row],[P86 Growth]]/PortfolioFrontier[[#This Row],[P86 HWM]]-1</f>
        <v>0</v>
      </c>
      <c r="MI64" s="28">
        <f>SUMPRODUCT(INDEX(PortfolioRef[[SPY]:[PE]],MATCH(MI$1,PortfolioRef[Reference '#]),0),AssetMonthlyReturns[[#This Row],[SPY]:[PE]])</f>
        <v>1.612088116094379E-2</v>
      </c>
      <c r="MJ64" s="27">
        <f>IF(ISNUMBER(MJ63),MJ63*(1+PortfolioFrontier[[#This Row],[P87 Return]]),1+PortfolioFrontier[[#This Row],[P87 Return]])</f>
        <v>1.5361601348337999</v>
      </c>
      <c r="MK64" s="27">
        <f>MAX(MK63,PortfolioFrontier[[#This Row],[P87 Growth]])</f>
        <v>1.5361601348337999</v>
      </c>
      <c r="ML64" s="27">
        <f>PortfolioFrontier[[#This Row],[P87 Growth]]/PortfolioFrontier[[#This Row],[P87 HWM]]-1</f>
        <v>0</v>
      </c>
      <c r="MM64" s="28">
        <f>SUMPRODUCT(INDEX(PortfolioRef[[SPY]:[PE]],MATCH(MM$1,PortfolioRef[Reference '#]),0),AssetMonthlyReturns[[#This Row],[SPY]:[PE]])</f>
        <v>2.18759948784094E-2</v>
      </c>
      <c r="MN64" s="27">
        <f>IF(ISNUMBER(MN63),MN63*(1+PortfolioFrontier[[#This Row],[P88 Return]]),1+PortfolioFrontier[[#This Row],[P88 Return]])</f>
        <v>1.6043521645839809</v>
      </c>
      <c r="MO64" s="27">
        <f>MAX(MO63,PortfolioFrontier[[#This Row],[P88 Growth]])</f>
        <v>1.6043521645839809</v>
      </c>
      <c r="MP64" s="27">
        <f>PortfolioFrontier[[#This Row],[P88 Growth]]/PortfolioFrontier[[#This Row],[P88 HWM]]-1</f>
        <v>0</v>
      </c>
      <c r="MQ64" s="28">
        <f>SUMPRODUCT(INDEX(PortfolioRef[[SPY]:[PE]],MATCH(MQ$1,PortfolioRef[Reference '#]),0),AssetMonthlyReturns[[#This Row],[SPY]:[PE]])</f>
        <v>2.258481152149892E-2</v>
      </c>
      <c r="MR64" s="27">
        <f>IF(ISNUMBER(MR63),MR63*(1+PortfolioFrontier[[#This Row],[P89 Return]]),1+PortfolioFrontier[[#This Row],[P89 Return]])</f>
        <v>1.5781927741772199</v>
      </c>
      <c r="MS64" s="27">
        <f>MAX(MS63,PortfolioFrontier[[#This Row],[P89 Growth]])</f>
        <v>1.5781927741772199</v>
      </c>
      <c r="MT64" s="27">
        <f>PortfolioFrontier[[#This Row],[P89 Growth]]/PortfolioFrontier[[#This Row],[P89 HWM]]-1</f>
        <v>0</v>
      </c>
      <c r="MU64" s="28">
        <f>SUMPRODUCT(INDEX(PortfolioRef[[SPY]:[PE]],MATCH(MU$1,PortfolioRef[Reference '#]),0),AssetMonthlyReturns[[#This Row],[SPY]:[PE]])</f>
        <v>2.3293628164588433E-2</v>
      </c>
      <c r="MV64" s="27">
        <f>IF(ISNUMBER(MV63),MV63*(1+PortfolioFrontier[[#This Row],[P90 Return]]),1+PortfolioFrontier[[#This Row],[P90 Return]])</f>
        <v>1.5518559813364154</v>
      </c>
      <c r="MW64" s="27">
        <f>MAX(MW63,PortfolioFrontier[[#This Row],[P90 Growth]])</f>
        <v>1.5518559813364154</v>
      </c>
      <c r="MX64" s="27">
        <f>PortfolioFrontier[[#This Row],[P90 Growth]]/PortfolioFrontier[[#This Row],[P90 HWM]]-1</f>
        <v>0</v>
      </c>
      <c r="MY64" s="28">
        <f>SUMPRODUCT(INDEX(PortfolioRef[[SPY]:[PE]],MATCH(MY$1,PortfolioRef[Reference '#]),0),AssetMonthlyReturns[[#This Row],[SPY]:[PE]])</f>
        <v>1.8440515064026962E-2</v>
      </c>
      <c r="MZ64" s="27">
        <f>IF(ISNUMBER(MZ63),MZ63*(1+PortfolioFrontier[[#This Row],[P91 Return]]),1+PortfolioFrontier[[#This Row],[P91 Return]])</f>
        <v>1.605806168931539</v>
      </c>
      <c r="NA64" s="27">
        <f>MAX(NA63,PortfolioFrontier[[#This Row],[P91 Growth]])</f>
        <v>1.605806168931539</v>
      </c>
      <c r="NB64" s="27">
        <f>PortfolioFrontier[[#This Row],[P91 Growth]]/PortfolioFrontier[[#This Row],[P91 HWM]]-1</f>
        <v>0</v>
      </c>
      <c r="NC64" s="28">
        <f>SUMPRODUCT(INDEX(PortfolioRef[[SPY]:[PE]],MATCH(NC$1,PortfolioRef[Reference '#]),0),AssetMonthlyReturns[[#This Row],[SPY]:[PE]])</f>
        <v>1.9149331707116482E-2</v>
      </c>
      <c r="ND64" s="27">
        <f>IF(ISNUMBER(ND63),ND63*(1+PortfolioFrontier[[#This Row],[P92 Return]]),1+PortfolioFrontier[[#This Row],[P92 Return]])</f>
        <v>1.580108655908631</v>
      </c>
      <c r="NE64" s="27">
        <f>MAX(NE63,PortfolioFrontier[[#This Row],[P92 Growth]])</f>
        <v>1.580108655908631</v>
      </c>
      <c r="NF64" s="27">
        <f>PortfolioFrontier[[#This Row],[P92 Growth]]/PortfolioFrontier[[#This Row],[P92 HWM]]-1</f>
        <v>0</v>
      </c>
      <c r="NG64" s="28">
        <f>SUMPRODUCT(INDEX(PortfolioRef[[SPY]:[PE]],MATCH(NG$1,PortfolioRef[Reference '#]),0),AssetMonthlyReturns[[#This Row],[SPY]:[PE]])</f>
        <v>1.9858148350205995E-2</v>
      </c>
      <c r="NH64" s="27">
        <f>IF(ISNUMBER(NH63),NH63*(1+PortfolioFrontier[[#This Row],[P93 Return]]),1+PortfolioFrontier[[#This Row],[P93 Return]])</f>
        <v>1.5542137625153385</v>
      </c>
      <c r="NI64" s="27">
        <f>MAX(NI63,PortfolioFrontier[[#This Row],[P93 Growth]])</f>
        <v>1.5542137625153385</v>
      </c>
      <c r="NJ64" s="27">
        <f>PortfolioFrontier[[#This Row],[P93 Growth]]/PortfolioFrontier[[#This Row],[P93 HWM]]-1</f>
        <v>0</v>
      </c>
      <c r="NK64" s="28">
        <f>SUMPRODUCT(INDEX(PortfolioRef[[SPY]:[PE]],MATCH(NK$1,PortfolioRef[Reference '#]),0),AssetMonthlyReturns[[#This Row],[SPY]:[PE]])</f>
        <v>1.5005035249644529E-2</v>
      </c>
      <c r="NL64" s="27">
        <f>IF(ISNUMBER(NL63),NL63*(1+PortfolioFrontier[[#This Row],[P94 Return]]),1+PortfolioFrontier[[#This Row],[P94 Return]])</f>
        <v>1.6064745894793035</v>
      </c>
      <c r="NM64" s="27">
        <f>MAX(NM63,PortfolioFrontier[[#This Row],[P94 Growth]])</f>
        <v>1.6064745894793035</v>
      </c>
      <c r="NN64" s="27">
        <f>PortfolioFrontier[[#This Row],[P94 Growth]]/PortfolioFrontier[[#This Row],[P94 HWM]]-1</f>
        <v>0</v>
      </c>
      <c r="NO64" s="28">
        <f>SUMPRODUCT(INDEX(PortfolioRef[[SPY]:[PE]],MATCH(NO$1,PortfolioRef[Reference '#]),0),AssetMonthlyReturns[[#This Row],[SPY]:[PE]])</f>
        <v>1.5713851892734044E-2</v>
      </c>
      <c r="NP64" s="27">
        <f>IF(ISNUMBER(NP63),NP63*(1+PortfolioFrontier[[#This Row],[P95 Return]]),1+PortfolioFrontier[[#This Row],[P95 Return]])</f>
        <v>1.5812559786934384</v>
      </c>
      <c r="NQ64" s="27">
        <f>MAX(NQ63,PortfolioFrontier[[#This Row],[P95 Growth]])</f>
        <v>1.5812559786934384</v>
      </c>
      <c r="NR64" s="27">
        <f>PortfolioFrontier[[#This Row],[P95 Growth]]/PortfolioFrontier[[#This Row],[P95 HWM]]-1</f>
        <v>0</v>
      </c>
      <c r="NS64" s="28">
        <f>SUMPRODUCT(INDEX(PortfolioRef[[SPY]:[PE]],MATCH(NS$1,PortfolioRef[Reference '#]),0),AssetMonthlyReturns[[#This Row],[SPY]:[PE]])</f>
        <v>1.6422668535823561E-2</v>
      </c>
      <c r="NT64" s="27">
        <f>IF(ISNUMBER(NT63),NT63*(1+PortfolioFrontier[[#This Row],[P96 Return]]),1+PortfolioFrontier[[#This Row],[P96 Return]])</f>
        <v>1.5558200673641298</v>
      </c>
      <c r="NU64" s="27">
        <f>MAX(NU63,PortfolioFrontier[[#This Row],[P96 Growth]])</f>
        <v>1.5558200673641298</v>
      </c>
      <c r="NV64" s="27">
        <f>PortfolioFrontier[[#This Row],[P96 Growth]]/PortfolioFrontier[[#This Row],[P96 HWM]]-1</f>
        <v>0</v>
      </c>
      <c r="NW64" s="28">
        <f>SUMPRODUCT(INDEX(PortfolioRef[[SPY]:[PE]],MATCH(NW$1,PortfolioRef[Reference '#]),0),AssetMonthlyReturns[[#This Row],[SPY]:[PE]])</f>
        <v>1.3269707463155036E-2</v>
      </c>
      <c r="NX64" s="27">
        <f>IF(ISNUMBER(NX63),NX63*(1+PortfolioFrontier[[#This Row],[P97 Return]]),1+PortfolioFrontier[[#This Row],[P97 Return]])</f>
        <v>1.4582091184833945</v>
      </c>
      <c r="NY64" s="27">
        <f>MAX(NY63,PortfolioFrontier[[#This Row],[P97 Growth]])</f>
        <v>1.4582091184833945</v>
      </c>
      <c r="NZ64" s="27">
        <f>PortfolioFrontier[[#This Row],[P97 Growth]]/PortfolioFrontier[[#This Row],[P97 HWM]]-1</f>
        <v>0</v>
      </c>
      <c r="OA64" s="28">
        <f>SUMPRODUCT(INDEX(PortfolioRef[[SPY]:[PE]],MATCH(OA$1,PortfolioRef[Reference '#]),0),AssetMonthlyReturns[[#This Row],[SPY]:[PE]])</f>
        <v>1.7006974652417239E-2</v>
      </c>
      <c r="OB64" s="27">
        <f>IF(ISNUMBER(OB63),OB63*(1+PortfolioFrontier[[#This Row],[P98 Return]]),1+PortfolioFrontier[[#This Row],[P98 Return]])</f>
        <v>1.4753552605969142</v>
      </c>
      <c r="OC64" s="27">
        <f>MAX(OC63,PortfolioFrontier[[#This Row],[P98 Growth]])</f>
        <v>1.4753552605969142</v>
      </c>
      <c r="OD64" s="27">
        <f>PortfolioFrontier[[#This Row],[P98 Growth]]/PortfolioFrontier[[#This Row],[P98 HWM]]-1</f>
        <v>0</v>
      </c>
      <c r="OE64" s="28">
        <f>SUMPRODUCT(INDEX(PortfolioRef[[SPY]:[PE]],MATCH(OE$1,PortfolioRef[Reference '#]),0),AssetMonthlyReturns[[#This Row],[SPY]:[PE]])</f>
        <v>1.3571494838034803E-2</v>
      </c>
      <c r="OF64" s="27">
        <f>IF(ISNUMBER(OF63),OF63*(1+PortfolioFrontier[[#This Row],[P99 Return]]),1+PortfolioFrontier[[#This Row],[P99 Return]])</f>
        <v>1.4782003034253044</v>
      </c>
      <c r="OG64" s="27">
        <f>MAX(OG63,PortfolioFrontier[[#This Row],[P99 Growth]])</f>
        <v>1.4782003034253044</v>
      </c>
      <c r="OH64" s="27">
        <f>PortfolioFrontier[[#This Row],[P99 Growth]]/PortfolioFrontier[[#This Row],[P99 HWM]]-1</f>
        <v>0</v>
      </c>
      <c r="OI64" s="28">
        <f>SUMPRODUCT(INDEX(PortfolioRef[[SPY]:[PE]],MATCH(OI$1,PortfolioRef[Reference '#]),0),AssetMonthlyReturns[[#This Row],[SPY]:[PE]])</f>
        <v>1.428031148112432E-2</v>
      </c>
      <c r="OJ64" s="27">
        <f>IF(ISNUMBER(OJ63),OJ63*(1+PortfolioFrontier[[#This Row],[P100 Return]]),1+PortfolioFrontier[[#This Row],[P100 Return]])</f>
        <v>1.4527897765453406</v>
      </c>
      <c r="OK64" s="27">
        <f>MAX(OK63,PortfolioFrontier[[#This Row],[P100 Growth]])</f>
        <v>1.4527897765453406</v>
      </c>
      <c r="OL64" s="27">
        <f>PortfolioFrontier[[#This Row],[P100 Growth]]/PortfolioFrontier[[#This Row],[P100 HWM]]-1</f>
        <v>0</v>
      </c>
      <c r="OM64" s="28">
        <f>SUMPRODUCT(INDEX(PortfolioRef[[SPY]:[PE]],MATCH(OM$1,PortfolioRef[Reference '#]),0),AssetMonthlyReturns[[#This Row],[SPY]:[PE]])</f>
        <v>2.0744241841679445E-2</v>
      </c>
      <c r="ON64" s="27">
        <f>IF(ISNUMBER(ON63),ON63*(1+PortfolioFrontier[[#This Row],[P101 Return]]),1+PortfolioFrontier[[#This Row],[P101 Return]])</f>
        <v>1.4924380519061218</v>
      </c>
      <c r="OO64" s="27">
        <f>MAX(OO63,PortfolioFrontier[[#This Row],[P101 Growth]])</f>
        <v>1.4924380519061218</v>
      </c>
      <c r="OP64" s="27">
        <f>PortfolioFrontier[[#This Row],[P101 Growth]]/PortfolioFrontier[[#This Row],[P101 HWM]]-1</f>
        <v>0</v>
      </c>
      <c r="OQ64" s="28">
        <f>SUMPRODUCT(INDEX(PortfolioRef[[SPY]:[PE]],MATCH(OQ$1,PortfolioRef[Reference '#]),0),AssetMonthlyReturns[[#This Row],[SPY]:[PE]])</f>
        <v>1.7308762027297007E-2</v>
      </c>
      <c r="OR64" s="27">
        <f>IF(ISNUMBER(OR63),OR63*(1+PortfolioFrontier[[#This Row],[P102 Return]]),1+PortfolioFrontier[[#This Row],[P102 Return]])</f>
        <v>1.4955662479425316</v>
      </c>
      <c r="OS64" s="27">
        <f>MAX(OS63,PortfolioFrontier[[#This Row],[P102 Growth]])</f>
        <v>1.4955662479425316</v>
      </c>
      <c r="OT64" s="27">
        <f>PortfolioFrontier[[#This Row],[P102 Growth]]/PortfolioFrontier[[#This Row],[P102 HWM]]-1</f>
        <v>0</v>
      </c>
      <c r="OU64" s="28">
        <f>SUMPRODUCT(INDEX(PortfolioRef[[SPY]:[PE]],MATCH(OU$1,PortfolioRef[Reference '#]),0),AssetMonthlyReturns[[#This Row],[SPY]:[PE]])</f>
        <v>1.8017578670386527E-2</v>
      </c>
      <c r="OV64" s="27">
        <f>IF(ISNUMBER(OV63),OV63*(1+PortfolioFrontier[[#This Row],[P103 Return]]),1+PortfolioFrontier[[#This Row],[P103 Return]])</f>
        <v>1.4698892423555263</v>
      </c>
      <c r="OW64" s="27">
        <f>MAX(OW63,PortfolioFrontier[[#This Row],[P103 Growth]])</f>
        <v>1.4698892423555263</v>
      </c>
      <c r="OX64" s="27">
        <f>PortfolioFrontier[[#This Row],[P103 Growth]]/PortfolioFrontier[[#This Row],[P103 HWM]]-1</f>
        <v>0</v>
      </c>
      <c r="OY64" s="28">
        <f>SUMPRODUCT(INDEX(PortfolioRef[[SPY]:[PE]],MATCH(OY$1,PortfolioRef[Reference '#]),0),AssetMonthlyReturns[[#This Row],[SPY]:[PE]])</f>
        <v>1.3873282212914574E-2</v>
      </c>
      <c r="OZ64" s="27">
        <f>IF(ISNUMBER(OZ63),OZ63*(1+PortfolioFrontier[[#This Row],[P104 Return]]),1+PortfolioFrontier[[#This Row],[P104 Return]])</f>
        <v>1.4979785180341596</v>
      </c>
      <c r="PA64" s="27">
        <f>MAX(PA63,PortfolioFrontier[[#This Row],[P104 Growth]])</f>
        <v>1.4979785180341596</v>
      </c>
      <c r="PB64" s="27">
        <f>PortfolioFrontier[[#This Row],[P104 Growth]]/PortfolioFrontier[[#This Row],[P104 HWM]]-1</f>
        <v>0</v>
      </c>
      <c r="PC64" s="28">
        <f>SUMPRODUCT(INDEX(PortfolioRef[[SPY]:[PE]],MATCH(PC$1,PortfolioRef[Reference '#]),0),AssetMonthlyReturns[[#This Row],[SPY]:[PE]])</f>
        <v>1.4582098856004089E-2</v>
      </c>
      <c r="PD64" s="27">
        <f>IF(ISNUMBER(PD63),PD63*(1+PortfolioFrontier[[#This Row],[P105 Return]]),1+PortfolioFrontier[[#This Row],[P105 Return]])</f>
        <v>1.4727038088165665</v>
      </c>
      <c r="PE64" s="27">
        <f>MAX(PE63,PortfolioFrontier[[#This Row],[P105 Growth]])</f>
        <v>1.4727038088165665</v>
      </c>
      <c r="PF64" s="27">
        <f>PortfolioFrontier[[#This Row],[P105 Growth]]/PortfolioFrontier[[#This Row],[P105 HWM]]-1</f>
        <v>0</v>
      </c>
      <c r="PG64" s="28">
        <f>SUMPRODUCT(INDEX(PortfolioRef[[SPY]:[PE]],MATCH(PG$1,PortfolioRef[Reference '#]),0),AssetMonthlyReturns[[#This Row],[SPY]:[PE]])</f>
        <v>1.5290915499093605E-2</v>
      </c>
      <c r="PH64" s="27">
        <f>IF(ISNUMBER(PH63),PH63*(1+PortfolioFrontier[[#This Row],[P106 Return]]),1+PortfolioFrontier[[#This Row],[P106 Return]])</f>
        <v>1.4472965138272282</v>
      </c>
      <c r="PI64" s="27">
        <f>MAX(PI63,PortfolioFrontier[[#This Row],[P106 Growth]])</f>
        <v>1.4472965138272282</v>
      </c>
      <c r="PJ64" s="27">
        <f>PortfolioFrontier[[#This Row],[P106 Growth]]/PortfolioFrontier[[#This Row],[P106 HWM]]-1</f>
        <v>0</v>
      </c>
      <c r="PK64" s="28">
        <f>SUMPRODUCT(INDEX(PortfolioRef[[SPY]:[PE]],MATCH(PK$1,PortfolioRef[Reference '#]),0),AssetMonthlyReturns[[#This Row],[SPY]:[PE]])</f>
        <v>2.1046029216559212E-2</v>
      </c>
      <c r="PL64" s="27">
        <f>IF(ISNUMBER(PL63),PL63*(1+PortfolioFrontier[[#This Row],[P107 Return]]),1+PortfolioFrontier[[#This Row],[P107 Return]])</f>
        <v>1.512868098639873</v>
      </c>
      <c r="PM64" s="27">
        <f>MAX(PM63,PortfolioFrontier[[#This Row],[P107 Growth]])</f>
        <v>1.512868098639873</v>
      </c>
      <c r="PN64" s="27">
        <f>PortfolioFrontier[[#This Row],[P107 Growth]]/PortfolioFrontier[[#This Row],[P107 HWM]]-1</f>
        <v>0</v>
      </c>
      <c r="PO64" s="28">
        <f>SUMPRODUCT(INDEX(PortfolioRef[[SPY]:[PE]],MATCH(PO$1,PortfolioRef[Reference '#]),0),AssetMonthlyReturns[[#This Row],[SPY]:[PE]])</f>
        <v>2.1754845859648732E-2</v>
      </c>
      <c r="PP64" s="27">
        <f>IF(ISNUMBER(PP63),PP63*(1+PortfolioFrontier[[#This Row],[P108 Return]]),1+PortfolioFrontier[[#This Row],[P108 Return]])</f>
        <v>1.4869260437745349</v>
      </c>
      <c r="PQ64" s="27">
        <f>MAX(PQ63,PortfolioFrontier[[#This Row],[P108 Growth]])</f>
        <v>1.4869260437745349</v>
      </c>
      <c r="PR64" s="27">
        <f>PortfolioFrontier[[#This Row],[P108 Growth]]/PortfolioFrontier[[#This Row],[P108 HWM]]-1</f>
        <v>0</v>
      </c>
      <c r="PS64" s="28">
        <f>SUMPRODUCT(INDEX(PortfolioRef[[SPY]:[PE]],MATCH(PS$1,PortfolioRef[Reference '#]),0),AssetMonthlyReturns[[#This Row],[SPY]:[PE]])</f>
        <v>1.7610549402176778E-2</v>
      </c>
      <c r="PT64" s="27">
        <f>IF(ISNUMBER(PT63),PT63*(1+PortfolioFrontier[[#This Row],[P109 Return]]),1+PortfolioFrontier[[#This Row],[P109 Return]])</f>
        <v>1.5155615301562833</v>
      </c>
      <c r="PU64" s="27">
        <f>MAX(PU63,PortfolioFrontier[[#This Row],[P109 Growth]])</f>
        <v>1.5155615301562833</v>
      </c>
      <c r="PV64" s="27">
        <f>PortfolioFrontier[[#This Row],[P109 Growth]]/PortfolioFrontier[[#This Row],[P109 HWM]]-1</f>
        <v>0</v>
      </c>
      <c r="PW64" s="28">
        <f>SUMPRODUCT(INDEX(PortfolioRef[[SPY]:[PE]],MATCH(PW$1,PortfolioRef[Reference '#]),0),AssetMonthlyReturns[[#This Row],[SPY]:[PE]])</f>
        <v>1.8319366045266294E-2</v>
      </c>
      <c r="PX64" s="27">
        <f>IF(ISNUMBER(PX63),PX63*(1+PortfolioFrontier[[#This Row],[P110 Return]]),1+PortfolioFrontier[[#This Row],[P110 Return]])</f>
        <v>1.4900224339693759</v>
      </c>
      <c r="PY64" s="27">
        <f>MAX(PY63,PortfolioFrontier[[#This Row],[P110 Growth]])</f>
        <v>1.4900224339693759</v>
      </c>
      <c r="PZ64" s="27">
        <f>PortfolioFrontier[[#This Row],[P110 Growth]]/PortfolioFrontier[[#This Row],[P110 HWM]]-1</f>
        <v>0</v>
      </c>
      <c r="QA64" s="28">
        <f>SUMPRODUCT(INDEX(PortfolioRef[[SPY]:[PE]],MATCH(QA$1,PortfolioRef[Reference '#]),0),AssetMonthlyReturns[[#This Row],[SPY]:[PE]])</f>
        <v>1.9028182688355811E-2</v>
      </c>
      <c r="QB64" s="27">
        <f>IF(ISNUMBER(QB63),QB63*(1+PortfolioFrontier[[#This Row],[P111 Return]]),1+PortfolioFrontier[[#This Row],[P111 Return]])</f>
        <v>1.4643483349583999</v>
      </c>
      <c r="QC64" s="27">
        <f>MAX(QC63,PortfolioFrontier[[#This Row],[P111 Growth]])</f>
        <v>1.4643483349583999</v>
      </c>
      <c r="QD64" s="27">
        <f>PortfolioFrontier[[#This Row],[P111 Growth]]/PortfolioFrontier[[#This Row],[P111 HWM]]-1</f>
        <v>0</v>
      </c>
      <c r="QE64" s="28">
        <f>SUMPRODUCT(INDEX(PortfolioRef[[SPY]:[PE]],MATCH(QE$1,PortfolioRef[Reference '#]),0),AssetMonthlyReturns[[#This Row],[SPY]:[PE]])</f>
        <v>1.4175069587794343E-2</v>
      </c>
      <c r="QF64" s="27">
        <f>IF(ISNUMBER(QF63),QF63*(1+PortfolioFrontier[[#This Row],[P112 Return]]),1+PortfolioFrontier[[#This Row],[P112 Return]])</f>
        <v>1.5175248332191835</v>
      </c>
      <c r="QG64" s="27">
        <f>MAX(QG63,PortfolioFrontier[[#This Row],[P112 Growth]])</f>
        <v>1.5175248332191835</v>
      </c>
      <c r="QH64" s="27">
        <f>PortfolioFrontier[[#This Row],[P112 Growth]]/PortfolioFrontier[[#This Row],[P112 HWM]]-1</f>
        <v>0</v>
      </c>
      <c r="QI64" s="28">
        <f>SUMPRODUCT(INDEX(PortfolioRef[[SPY]:[PE]],MATCH(QI$1,PortfolioRef[Reference '#]),0),AssetMonthlyReturns[[#This Row],[SPY]:[PE]])</f>
        <v>1.4883886230883858E-2</v>
      </c>
      <c r="QJ64" s="27">
        <f>IF(ISNUMBER(QJ63),QJ63*(1+PortfolioFrontier[[#This Row],[P113 Return]]),1+PortfolioFrontier[[#This Row],[P113 Return]])</f>
        <v>1.492405547420302</v>
      </c>
      <c r="QK64" s="27">
        <f>MAX(QK63,PortfolioFrontier[[#This Row],[P113 Growth]])</f>
        <v>1.492405547420302</v>
      </c>
      <c r="QL64" s="27">
        <f>PortfolioFrontier[[#This Row],[P113 Growth]]/PortfolioFrontier[[#This Row],[P113 HWM]]-1</f>
        <v>0</v>
      </c>
      <c r="QM64" s="28">
        <f>SUMPRODUCT(INDEX(PortfolioRef[[SPY]:[PE]],MATCH(QM$1,PortfolioRef[Reference '#]),0),AssetMonthlyReturns[[#This Row],[SPY]:[PE]])</f>
        <v>1.5592702873973373E-2</v>
      </c>
      <c r="QN64" s="27">
        <f>IF(ISNUMBER(QN63),QN63*(1+PortfolioFrontier[[#This Row],[P114 Return]]),1+PortfolioFrontier[[#This Row],[P114 Return]])</f>
        <v>1.46713231845671</v>
      </c>
      <c r="QO64" s="27">
        <f>MAX(QO63,PortfolioFrontier[[#This Row],[P114 Growth]])</f>
        <v>1.46713231845671</v>
      </c>
      <c r="QP64" s="27">
        <f>PortfolioFrontier[[#This Row],[P114 Growth]]/PortfolioFrontier[[#This Row],[P114 HWM]]-1</f>
        <v>0</v>
      </c>
      <c r="QQ64" s="28">
        <f>SUMPRODUCT(INDEX(PortfolioRef[[SPY]:[PE]],MATCH(QQ$1,PortfolioRef[Reference '#]),0),AssetMonthlyReturns[[#This Row],[SPY]:[PE]])</f>
        <v>2.1347816591438987E-2</v>
      </c>
      <c r="QR64" s="27">
        <f>IF(ISNUMBER(QR63),QR63*(1+PortfolioFrontier[[#This Row],[P115 Return]]),1+PortfolioFrontier[[#This Row],[P115 Return]])</f>
        <v>1.5330797167336117</v>
      </c>
      <c r="QS64" s="27">
        <f>MAX(QS63,PortfolioFrontier[[#This Row],[P115 Growth]])</f>
        <v>1.5330797167336117</v>
      </c>
      <c r="QT64" s="27">
        <f>PortfolioFrontier[[#This Row],[P115 Growth]]/PortfolioFrontier[[#This Row],[P115 HWM]]-1</f>
        <v>0</v>
      </c>
      <c r="QU64" s="28">
        <f>SUMPRODUCT(INDEX(PortfolioRef[[SPY]:[PE]],MATCH(QU$1,PortfolioRef[Reference '#]),0),AssetMonthlyReturns[[#This Row],[SPY]:[PE]])</f>
        <v>2.2056633234528503E-2</v>
      </c>
      <c r="QV64" s="27">
        <f>IF(ISNUMBER(QV63),QV63*(1+PortfolioFrontier[[#This Row],[P116 Return]]),1+PortfolioFrontier[[#This Row],[P116 Return]])</f>
        <v>1.5072776596453896</v>
      </c>
      <c r="QW64" s="27">
        <f>MAX(QW63,PortfolioFrontier[[#This Row],[P116 Growth]])</f>
        <v>1.5072776596453896</v>
      </c>
      <c r="QX64" s="27">
        <f>PortfolioFrontier[[#This Row],[P116 Growth]]/PortfolioFrontier[[#This Row],[P116 HWM]]-1</f>
        <v>0</v>
      </c>
      <c r="QY64" s="28">
        <f>SUMPRODUCT(INDEX(PortfolioRef[[SPY]:[PE]],MATCH(QY$1,PortfolioRef[Reference '#]),0),AssetMonthlyReturns[[#This Row],[SPY]:[PE]])</f>
        <v>2.276544987761802E-2</v>
      </c>
      <c r="QZ64" s="27">
        <f>IF(ISNUMBER(QZ63),QZ63*(1+PortfolioFrontier[[#This Row],[P117 Return]]),1+PortfolioFrontier[[#This Row],[P117 Return]])</f>
        <v>1.4813381775552574</v>
      </c>
      <c r="RA64" s="27">
        <f>MAX(RA63,PortfolioFrontier[[#This Row],[P117 Growth]])</f>
        <v>1.4813381775552574</v>
      </c>
      <c r="RB64" s="27">
        <f>PortfolioFrontier[[#This Row],[P117 Growth]]/PortfolioFrontier[[#This Row],[P117 HWM]]-1</f>
        <v>0</v>
      </c>
      <c r="RC64" s="28">
        <f>SUMPRODUCT(INDEX(PortfolioRef[[SPY]:[PE]],MATCH(RC$1,PortfolioRef[Reference '#]),0),AssetMonthlyReturns[[#This Row],[SPY]:[PE]])</f>
        <v>1.7912336777056545E-2</v>
      </c>
      <c r="RD64" s="27">
        <f>IF(ISNUMBER(RD63),RD63*(1+PortfolioFrontier[[#This Row],[P118 Return]]),1+PortfolioFrontier[[#This Row],[P118 Return]])</f>
        <v>1.5353219715479824</v>
      </c>
      <c r="RE64" s="27">
        <f>MAX(RE63,PortfolioFrontier[[#This Row],[P118 Growth]])</f>
        <v>1.5353219715479824</v>
      </c>
      <c r="RF64" s="27">
        <f>PortfolioFrontier[[#This Row],[P118 Growth]]/PortfolioFrontier[[#This Row],[P118 HWM]]-1</f>
        <v>0</v>
      </c>
      <c r="RG64" s="28">
        <f>SUMPRODUCT(INDEX(PortfolioRef[[SPY]:[PE]],MATCH(RG$1,PortfolioRef[Reference '#]),0),AssetMonthlyReturns[[#This Row],[SPY]:[PE]])</f>
        <v>1.8621153420146065E-2</v>
      </c>
      <c r="RH64" s="27">
        <f>IF(ISNUMBER(RH63),RH63*(1+PortfolioFrontier[[#This Row],[P119 Return]]),1+PortfolioFrontier[[#This Row],[P119 Return]])</f>
        <v>1.5099406039973267</v>
      </c>
      <c r="RI64" s="27">
        <f>MAX(RI63,PortfolioFrontier[[#This Row],[P119 Growth]])</f>
        <v>1.5099406039973267</v>
      </c>
      <c r="RJ64" s="27">
        <f>PortfolioFrontier[[#This Row],[P119 Growth]]/PortfolioFrontier[[#This Row],[P119 HWM]]-1</f>
        <v>0</v>
      </c>
      <c r="RK64" s="28">
        <f>SUMPRODUCT(INDEX(PortfolioRef[[SPY]:[PE]],MATCH(RK$1,PortfolioRef[Reference '#]),0),AssetMonthlyReturns[[#This Row],[SPY]:[PE]])</f>
        <v>1.9329970063235578E-2</v>
      </c>
      <c r="RL64" s="27">
        <f>IF(ISNUMBER(RL63),RL63*(1+PortfolioFrontier[[#This Row],[P120 Return]]),1+PortfolioFrontier[[#This Row],[P120 Return]])</f>
        <v>1.4844026426066337</v>
      </c>
      <c r="RM64" s="27">
        <f>MAX(RM63,PortfolioFrontier[[#This Row],[P120 Growth]])</f>
        <v>1.4844026426066337</v>
      </c>
      <c r="RN64" s="27">
        <f>PortfolioFrontier[[#This Row],[P120 Growth]]/PortfolioFrontier[[#This Row],[P120 HWM]]-1</f>
        <v>0</v>
      </c>
      <c r="RO64" s="28">
        <f>SUMPRODUCT(INDEX(PortfolioRef[[SPY]:[PE]],MATCH(RO$1,PortfolioRef[Reference '#]),0),AssetMonthlyReturns[[#This Row],[SPY]:[PE]])</f>
        <v>1.4476856962674114E-2</v>
      </c>
      <c r="RP64" s="27">
        <f>IF(ISNUMBER(RP63),RP63*(1+PortfolioFrontier[[#This Row],[P121 Return]]),1+PortfolioFrontier[[#This Row],[P121 Return]])</f>
        <v>1.5368200312399578</v>
      </c>
      <c r="RQ64" s="27">
        <f>MAX(RQ63,PortfolioFrontier[[#This Row],[P121 Growth]])</f>
        <v>1.5368200312399578</v>
      </c>
      <c r="RR64" s="27">
        <f>PortfolioFrontier[[#This Row],[P121 Growth]]/PortfolioFrontier[[#This Row],[P121 HWM]]-1</f>
        <v>0</v>
      </c>
      <c r="RS64" s="28">
        <f>SUMPRODUCT(INDEX(PortfolioRef[[SPY]:[PE]],MATCH(RS$1,PortfolioRef[Reference '#]),0),AssetMonthlyReturns[[#This Row],[SPY]:[PE]])</f>
        <v>1.5185673605763629E-2</v>
      </c>
      <c r="RT64" s="27">
        <f>IF(ISNUMBER(RT63),RT63*(1+PortfolioFrontier[[#This Row],[P122 Return]]),1+PortfolioFrontier[[#This Row],[P122 Return]])</f>
        <v>1.511876139807258</v>
      </c>
      <c r="RU64" s="27">
        <f>MAX(RU63,PortfolioFrontier[[#This Row],[P122 Growth]])</f>
        <v>1.511876139807258</v>
      </c>
      <c r="RV64" s="27">
        <f>PortfolioFrontier[[#This Row],[P122 Growth]]/PortfolioFrontier[[#This Row],[P122 HWM]]-1</f>
        <v>0</v>
      </c>
      <c r="RW64" s="28">
        <f>SUMPRODUCT(INDEX(PortfolioRef[[SPY]:[PE]],MATCH(RW$1,PortfolioRef[Reference '#]),0),AssetMonthlyReturns[[#This Row],[SPY]:[PE]])</f>
        <v>1.5894490248853144E-2</v>
      </c>
      <c r="RX64" s="27">
        <f>IF(ISNUMBER(RX63),RX63*(1+PortfolioFrontier[[#This Row],[P123 Return]]),1+PortfolioFrontier[[#This Row],[P123 Return]])</f>
        <v>1.4867565116614634</v>
      </c>
      <c r="RY64" s="27">
        <f>MAX(RY63,PortfolioFrontier[[#This Row],[P123 Growth]])</f>
        <v>1.4867565116614634</v>
      </c>
      <c r="RZ64" s="27">
        <f>PortfolioFrontier[[#This Row],[P123 Growth]]/PortfolioFrontier[[#This Row],[P123 HWM]]-1</f>
        <v>0</v>
      </c>
      <c r="SA64" s="28">
        <f>SUMPRODUCT(INDEX(PortfolioRef[[SPY]:[PE]],MATCH(SA$1,PortfolioRef[Reference '#]),0),AssetMonthlyReturns[[#This Row],[SPY]:[PE]])</f>
        <v>2.1649603966318754E-2</v>
      </c>
      <c r="SB64" s="27">
        <f>IF(ISNUMBER(SB63),SB63*(1+PortfolioFrontier[[#This Row],[P124 Return]]),1+PortfolioFrontier[[#This Row],[P124 Return]])</f>
        <v>1.5530535646775312</v>
      </c>
      <c r="SC64" s="27">
        <f>MAX(SC63,PortfolioFrontier[[#This Row],[P124 Growth]])</f>
        <v>1.5530535646775312</v>
      </c>
      <c r="SD64" s="27">
        <f>PortfolioFrontier[[#This Row],[P124 Growth]]/PortfolioFrontier[[#This Row],[P124 HWM]]-1</f>
        <v>0</v>
      </c>
      <c r="SE64" s="28">
        <f>SUMPRODUCT(INDEX(PortfolioRef[[SPY]:[PE]],MATCH(SE$1,PortfolioRef[Reference '#]),0),AssetMonthlyReturns[[#This Row],[SPY]:[PE]])</f>
        <v>2.2358420609408274E-2</v>
      </c>
      <c r="SF64" s="27">
        <f>IF(ISNUMBER(SF63),SF63*(1+PortfolioFrontier[[#This Row],[P125 Return]]),1+PortfolioFrontier[[#This Row],[P125 Return]])</f>
        <v>1.5274115371918917</v>
      </c>
      <c r="SG64" s="27">
        <f>MAX(SG63,PortfolioFrontier[[#This Row],[P125 Growth]])</f>
        <v>1.5274115371918917</v>
      </c>
      <c r="SH64" s="27">
        <f>PortfolioFrontier[[#This Row],[P125 Growth]]/PortfolioFrontier[[#This Row],[P125 HWM]]-1</f>
        <v>0</v>
      </c>
      <c r="SI64" s="28">
        <f>SUMPRODUCT(INDEX(PortfolioRef[[SPY]:[PE]],MATCH(SI$1,PortfolioRef[Reference '#]),0),AssetMonthlyReturns[[#This Row],[SPY]:[PE]])</f>
        <v>2.3067237252497787E-2</v>
      </c>
      <c r="SJ64" s="27">
        <f>IF(ISNUMBER(SJ63),SJ63*(1+PortfolioFrontier[[#This Row],[P126 Return]]),1+PortfolioFrontier[[#This Row],[P126 Return]])</f>
        <v>1.5016102610576905</v>
      </c>
      <c r="SK64" s="27">
        <f>MAX(SK63,PortfolioFrontier[[#This Row],[P126 Growth]])</f>
        <v>1.5016102610576905</v>
      </c>
      <c r="SL64" s="27">
        <f>PortfolioFrontier[[#This Row],[P126 Growth]]/PortfolioFrontier[[#This Row],[P126 HWM]]-1</f>
        <v>0</v>
      </c>
      <c r="SM64" s="28">
        <f>SUMPRODUCT(INDEX(PortfolioRef[[SPY]:[PE]],MATCH(SM$1,PortfolioRef[Reference '#]),0),AssetMonthlyReturns[[#This Row],[SPY]:[PE]])</f>
        <v>1.8214124151936316E-2</v>
      </c>
      <c r="SN64" s="27">
        <f>IF(ISNUMBER(SN63),SN63*(1+PortfolioFrontier[[#This Row],[P127 Return]]),1+PortfolioFrontier[[#This Row],[P127 Return]])</f>
        <v>1.554828145231284</v>
      </c>
      <c r="SO64" s="27">
        <f>MAX(SO63,PortfolioFrontier[[#This Row],[P127 Growth]])</f>
        <v>1.554828145231284</v>
      </c>
      <c r="SP64" s="27">
        <f>PortfolioFrontier[[#This Row],[P127 Growth]]/PortfolioFrontier[[#This Row],[P127 HWM]]-1</f>
        <v>0</v>
      </c>
      <c r="SQ64" s="28">
        <f>SUMPRODUCT(INDEX(PortfolioRef[[SPY]:[PE]],MATCH(SQ$1,PortfolioRef[Reference '#]),0),AssetMonthlyReturns[[#This Row],[SPY]:[PE]])</f>
        <v>1.8922940795025836E-2</v>
      </c>
      <c r="SR64" s="27">
        <f>IF(ISNUMBER(SR63),SR63*(1+PortfolioFrontier[[#This Row],[P128 Return]]),1+PortfolioFrontier[[#This Row],[P128 Return]])</f>
        <v>1.5296246939697109</v>
      </c>
      <c r="SS64" s="27">
        <f>MAX(SS63,PortfolioFrontier[[#This Row],[P128 Growth]])</f>
        <v>1.5296246939697109</v>
      </c>
      <c r="ST64" s="27">
        <f>PortfolioFrontier[[#This Row],[P128 Growth]]/PortfolioFrontier[[#This Row],[P128 HWM]]-1</f>
        <v>0</v>
      </c>
      <c r="SU64" s="28">
        <f>SUMPRODUCT(INDEX(PortfolioRef[[SPY]:[PE]],MATCH(SU$1,PortfolioRef[Reference '#]),0),AssetMonthlyReturns[[#This Row],[SPY]:[PE]])</f>
        <v>1.9631757438115349E-2</v>
      </c>
      <c r="SV64" s="27">
        <f>IF(ISNUMBER(SV63),SV63*(1+PortfolioFrontier[[#This Row],[P129 Return]]),1+PortfolioFrontier[[#This Row],[P129 Return]])</f>
        <v>1.5042426178803538</v>
      </c>
      <c r="SW64" s="27">
        <f>MAX(SW63,PortfolioFrontier[[#This Row],[P129 Growth]])</f>
        <v>1.5042426178803538</v>
      </c>
      <c r="SX64" s="27">
        <f>PortfolioFrontier[[#This Row],[P129 Growth]]/PortfolioFrontier[[#This Row],[P129 HWM]]-1</f>
        <v>0</v>
      </c>
      <c r="SY64" s="28">
        <f>SUMPRODUCT(INDEX(PortfolioRef[[SPY]:[PE]],MATCH(SY$1,PortfolioRef[Reference '#]),0),AssetMonthlyReturns[[#This Row],[SPY]:[PE]])</f>
        <v>1.4778644337553883E-2</v>
      </c>
      <c r="SZ64" s="27">
        <f>IF(ISNUMBER(SZ63),SZ63*(1+PortfolioFrontier[[#This Row],[P130 Return]]),1+PortfolioFrontier[[#This Row],[P130 Return]])</f>
        <v>1.5558446181352104</v>
      </c>
      <c r="TA64" s="27">
        <f>MAX(TA63,PortfolioFrontier[[#This Row],[P130 Growth]])</f>
        <v>1.5558446181352104</v>
      </c>
      <c r="TB64" s="27">
        <f>PortfolioFrontier[[#This Row],[P130 Growth]]/PortfolioFrontier[[#This Row],[P130 HWM]]-1</f>
        <v>0</v>
      </c>
      <c r="TC64" s="28">
        <f>SUMPRODUCT(INDEX(PortfolioRef[[SPY]:[PE]],MATCH(TC$1,PortfolioRef[Reference '#]),0),AssetMonthlyReturns[[#This Row],[SPY]:[PE]])</f>
        <v>1.5487460980643398E-2</v>
      </c>
      <c r="TD64" s="27">
        <f>IF(ISNUMBER(TD63),TD63*(1+PortfolioFrontier[[#This Row],[P131 Return]]),1+PortfolioFrontier[[#This Row],[P131 Return]])</f>
        <v>1.5310964466690222</v>
      </c>
      <c r="TE64" s="27">
        <f>MAX(TE63,PortfolioFrontier[[#This Row],[P131 Growth]])</f>
        <v>1.5310964466690222</v>
      </c>
      <c r="TF64" s="27">
        <f>PortfolioFrontier[[#This Row],[P131 Growth]]/PortfolioFrontier[[#This Row],[P131 HWM]]-1</f>
        <v>0</v>
      </c>
      <c r="TG64" s="28">
        <f>SUMPRODUCT(INDEX(PortfolioRef[[SPY]:[PE]],MATCH(TG$1,PortfolioRef[Reference '#]),0),AssetMonthlyReturns[[#This Row],[SPY]:[PE]])</f>
        <v>1.6196277623732915E-2</v>
      </c>
      <c r="TH64" s="27">
        <f>IF(ISNUMBER(TH63),TH63*(1+PortfolioFrontier[[#This Row],[P132 Return]]),1+PortfolioFrontier[[#This Row],[P132 Return]])</f>
        <v>1.506150318160987</v>
      </c>
      <c r="TI64" s="27">
        <f>MAX(TI63,PortfolioFrontier[[#This Row],[P132 Growth]])</f>
        <v>1.506150318160987</v>
      </c>
      <c r="TJ64" s="27">
        <f>PortfolioFrontier[[#This Row],[P132 Growth]]/PortfolioFrontier[[#This Row],[P132 HWM]]-1</f>
        <v>0</v>
      </c>
      <c r="TK64" s="28">
        <f>SUMPRODUCT(INDEX(PortfolioRef[[SPY]:[PE]],MATCH(TK$1,PortfolioRef[Reference '#]),0),AssetMonthlyReturns[[#This Row],[SPY]:[PE]])</f>
        <v>2.1951391341198521E-2</v>
      </c>
      <c r="TL64" s="27">
        <f>IF(ISNUMBER(TL63),TL63*(1+PortfolioFrontier[[#This Row],[P133 Return]]),1+PortfolioFrontier[[#This Row],[P133 Return]])</f>
        <v>1.5727700072315047</v>
      </c>
      <c r="TM64" s="27">
        <f>MAX(TM63,PortfolioFrontier[[#This Row],[P133 Growth]])</f>
        <v>1.5727700072315047</v>
      </c>
      <c r="TN64" s="27">
        <f>PortfolioFrontier[[#This Row],[P133 Growth]]/PortfolioFrontier[[#This Row],[P133 HWM]]-1</f>
        <v>0</v>
      </c>
      <c r="TO64" s="28">
        <f>SUMPRODUCT(INDEX(PortfolioRef[[SPY]:[PE]],MATCH(TO$1,PortfolioRef[Reference '#]),0),AssetMonthlyReturns[[#This Row],[SPY]:[PE]])</f>
        <v>2.2660207984288042E-2</v>
      </c>
      <c r="TP64" s="27">
        <f>IF(ISNUMBER(TP63),TP63*(1+PortfolioFrontier[[#This Row],[P134 Return]]),1+PortfolioFrontier[[#This Row],[P134 Return]])</f>
        <v>1.5473084127959968</v>
      </c>
      <c r="TQ64" s="27">
        <f>MAX(TQ63,PortfolioFrontier[[#This Row],[P134 Growth]])</f>
        <v>1.5473084127959968</v>
      </c>
      <c r="TR64" s="27">
        <f>PortfolioFrontier[[#This Row],[P134 Growth]]/PortfolioFrontier[[#This Row],[P134 HWM]]-1</f>
        <v>0</v>
      </c>
      <c r="TS64" s="28">
        <f>SUMPRODUCT(INDEX(PortfolioRef[[SPY]:[PE]],MATCH(TS$1,PortfolioRef[Reference '#]),0),AssetMonthlyReturns[[#This Row],[SPY]:[PE]])</f>
        <v>2.3369024627377558E-2</v>
      </c>
      <c r="TT64" s="27">
        <f>IF(ISNUMBER(TT63),TT63*(1+PortfolioFrontier[[#This Row],[P135 Return]]),1+PortfolioFrontier[[#This Row],[P135 Return]])</f>
        <v>1.521665302305238</v>
      </c>
      <c r="TU64" s="27">
        <f>MAX(TU63,PortfolioFrontier[[#This Row],[P135 Growth]])</f>
        <v>1.521665302305238</v>
      </c>
      <c r="TV64" s="27">
        <f>PortfolioFrontier[[#This Row],[P135 Growth]]/PortfolioFrontier[[#This Row],[P135 HWM]]-1</f>
        <v>0</v>
      </c>
      <c r="TW64" s="28">
        <f>SUMPRODUCT(INDEX(PortfolioRef[[SPY]:[PE]],MATCH(TW$1,PortfolioRef[Reference '#]),0),AssetMonthlyReturns[[#This Row],[SPY]:[PE]])</f>
        <v>1.8515911526816087E-2</v>
      </c>
      <c r="TX64" s="27">
        <f>IF(ISNUMBER(TX63),TX63*(1+PortfolioFrontier[[#This Row],[P136 Return]]),1+PortfolioFrontier[[#This Row],[P136 Return]])</f>
        <v>1.5740603456998963</v>
      </c>
      <c r="TY64" s="27">
        <f>MAX(TY63,PortfolioFrontier[[#This Row],[P136 Growth]])</f>
        <v>1.5740603456998963</v>
      </c>
      <c r="TZ64" s="27">
        <f>PortfolioFrontier[[#This Row],[P136 Growth]]/PortfolioFrontier[[#This Row],[P136 HWM]]-1</f>
        <v>0</v>
      </c>
      <c r="UA64" s="28">
        <f>SUMPRODUCT(INDEX(PortfolioRef[[SPY]:[PE]],MATCH(UA$1,PortfolioRef[Reference '#]),0),AssetMonthlyReturns[[#This Row],[SPY]:[PE]])</f>
        <v>1.9224728169905603E-2</v>
      </c>
      <c r="UB64" s="27">
        <f>IF(ISNUMBER(UB63),UB63*(1+PortfolioFrontier[[#This Row],[P137 Return]]),1+PortfolioFrontier[[#This Row],[P137 Return]])</f>
        <v>1.5490553561269234</v>
      </c>
      <c r="UC64" s="27">
        <f>MAX(UC63,PortfolioFrontier[[#This Row],[P137 Growth]])</f>
        <v>1.5490553561269234</v>
      </c>
      <c r="UD64" s="27">
        <f>PortfolioFrontier[[#This Row],[P137 Growth]]/PortfolioFrontier[[#This Row],[P137 HWM]]-1</f>
        <v>0</v>
      </c>
      <c r="UE64" s="28">
        <f>SUMPRODUCT(INDEX(PortfolioRef[[SPY]:[PE]],MATCH(UE$1,PortfolioRef[Reference '#]),0),AssetMonthlyReturns[[#This Row],[SPY]:[PE]])</f>
        <v>1.993354481299512E-2</v>
      </c>
      <c r="UF64" s="27">
        <f>IF(ISNUMBER(UF63),UF63*(1+PortfolioFrontier[[#This Row],[P138 Return]]),1+PortfolioFrontier[[#This Row],[P138 Return]])</f>
        <v>1.5238492802670029</v>
      </c>
      <c r="UG64" s="27">
        <f>MAX(UG63,PortfolioFrontier[[#This Row],[P138 Growth]])</f>
        <v>1.5238492802670029</v>
      </c>
      <c r="UH64" s="27">
        <f>PortfolioFrontier[[#This Row],[P138 Growth]]/PortfolioFrontier[[#This Row],[P138 HWM]]-1</f>
        <v>0</v>
      </c>
      <c r="UI64" s="28">
        <f>SUMPRODUCT(INDEX(PortfolioRef[[SPY]:[PE]],MATCH(UI$1,PortfolioRef[Reference '#]),0),AssetMonthlyReturns[[#This Row],[SPY]:[PE]])</f>
        <v>1.508043171243365E-2</v>
      </c>
      <c r="UJ64" s="27">
        <f>IF(ISNUMBER(UJ63),UJ63*(1+PortfolioFrontier[[#This Row],[P139 Return]]),1+PortfolioFrontier[[#This Row],[P139 Return]])</f>
        <v>1.5745788368473643</v>
      </c>
      <c r="UK64" s="27">
        <f>MAX(UK63,PortfolioFrontier[[#This Row],[P139 Growth]])</f>
        <v>1.5745788368473643</v>
      </c>
      <c r="UL64" s="27">
        <f>PortfolioFrontier[[#This Row],[P139 Growth]]/PortfolioFrontier[[#This Row],[P139 HWM]]-1</f>
        <v>0</v>
      </c>
      <c r="UM64" s="28">
        <f>SUMPRODUCT(INDEX(PortfolioRef[[SPY]:[PE]],MATCH(UM$1,PortfolioRef[Reference '#]),0),AssetMonthlyReturns[[#This Row],[SPY]:[PE]])</f>
        <v>1.5789248355523169E-2</v>
      </c>
      <c r="UN64" s="27">
        <f>IF(ISNUMBER(UN63),UN63*(1+PortfolioFrontier[[#This Row],[P140 Return]]),1+PortfolioFrontier[[#This Row],[P140 Return]])</f>
        <v>1.5500470543571094</v>
      </c>
      <c r="UO64" s="27">
        <f>MAX(UO63,PortfolioFrontier[[#This Row],[P140 Growth]])</f>
        <v>1.5500470543571094</v>
      </c>
      <c r="UP64" s="27">
        <f>PortfolioFrontier[[#This Row],[P140 Growth]]/PortfolioFrontier[[#This Row],[P140 HWM]]-1</f>
        <v>0</v>
      </c>
      <c r="UQ64" s="28">
        <f>SUMPRODUCT(INDEX(PortfolioRef[[SPY]:[PE]],MATCH(UQ$1,PortfolioRef[Reference '#]),0),AssetMonthlyReturns[[#This Row],[SPY]:[PE]])</f>
        <v>1.6498064998612682E-2</v>
      </c>
      <c r="UR64" s="27">
        <f>IF(ISNUMBER(UR63),UR63*(1+PortfolioFrontier[[#This Row],[P141 Return]]),1+PortfolioFrontier[[#This Row],[P141 Return]])</f>
        <v>1.5252946778156744</v>
      </c>
      <c r="US64" s="27">
        <f>MAX(US63,PortfolioFrontier[[#This Row],[P141 Growth]])</f>
        <v>1.5252946778156744</v>
      </c>
      <c r="UT64" s="27">
        <f>PortfolioFrontier[[#This Row],[P141 Growth]]/PortfolioFrontier[[#This Row],[P141 HWM]]-1</f>
        <v>0</v>
      </c>
    </row>
    <row r="65" spans="2:566" x14ac:dyDescent="0.2">
      <c r="B65" s="41">
        <f>AssetMonthlyReturns[[#This Row],[Date]]</f>
        <v>44348</v>
      </c>
      <c r="C65" s="28">
        <f>SUMPRODUCT(INDEX(PortfolioRef[[SPY]:[PE]],MATCH(C$1,PortfolioRef[Reference '#]),0),AssetMonthlyReturns[[#This Row],[SPY]:[PE]])</f>
        <v>9.8273403083458111E-3</v>
      </c>
      <c r="D65" s="29">
        <f>IF(ISNUMBER(D64),D64*(1+PortfolioFrontier[[#This Row],[P1 Return]]),1+PortfolioFrontier[[#This Row],[P1 Return]])</f>
        <v>1.7888768846268128</v>
      </c>
      <c r="E65" s="29">
        <f>MAX(E64,PortfolioFrontier[[#This Row],[P1 Growth]])</f>
        <v>1.7888768846268128</v>
      </c>
      <c r="F65" s="29">
        <f>PortfolioFrontier[[#This Row],[P1 Growth]]/PortfolioFrontier[[#This Row],[P1 HWM]]-1</f>
        <v>0</v>
      </c>
      <c r="G65" s="28">
        <f>SUMPRODUCT(INDEX(PortfolioRef[[SPY]:[PE]],MATCH(G$1,PortfolioRef[Reference '#]),0),AssetMonthlyReturns[[#This Row],[SPY]:[PE]])</f>
        <v>9.2894047352707551E-3</v>
      </c>
      <c r="H65" s="27">
        <f>IF(ISNUMBER(H64),H64*(1+PortfolioFrontier[[#This Row],[P2 Return]]),1+PortfolioFrontier[[#This Row],[P2 Return]])</f>
        <v>1.7322622903764449</v>
      </c>
      <c r="I65" s="27">
        <f>MAX(I64,PortfolioFrontier[[#This Row],[P2 Growth]])</f>
        <v>1.7322622903764449</v>
      </c>
      <c r="J65" s="27">
        <f>PortfolioFrontier[[#This Row],[P2 Growth]]/PortfolioFrontier[[#This Row],[P2 HWM]]-1</f>
        <v>0</v>
      </c>
      <c r="K65" s="28">
        <f>SUMPRODUCT(INDEX(PortfolioRef[[SPY]:[PE]],MATCH(K$1,PortfolioRef[Reference '#]),0),AssetMonthlyReturns[[#This Row],[SPY]:[PE]])</f>
        <v>5.2989344606966353E-3</v>
      </c>
      <c r="L65" s="27">
        <f>IF(ISNUMBER(L64),L64*(1+PortfolioFrontier[[#This Row],[P3 Return]]),1+PortfolioFrontier[[#This Row],[P3 Return]])</f>
        <v>1.7456282627812056</v>
      </c>
      <c r="M65" s="27">
        <f>MAX(M64,PortfolioFrontier[[#This Row],[P3 Growth]])</f>
        <v>1.7456282627812056</v>
      </c>
      <c r="N65" s="27">
        <f>PortfolioFrontier[[#This Row],[P3 Growth]]/PortfolioFrontier[[#This Row],[P3 HWM]]-1</f>
        <v>0</v>
      </c>
      <c r="O65" s="28">
        <f>SUMPRODUCT(INDEX(PortfolioRef[[SPY]:[PE]],MATCH(O$1,PortfolioRef[Reference '#]),0),AssetMonthlyReturns[[#This Row],[SPY]:[PE]])</f>
        <v>9.8289064361430471E-3</v>
      </c>
      <c r="P65" s="27">
        <f>IF(ISNUMBER(P64),P64*(1+PortfolioFrontier[[#This Row],[P4 Return]]),1+PortfolioFrontier[[#This Row],[P4 Return]])</f>
        <v>1.7548250652531936</v>
      </c>
      <c r="Q65" s="27">
        <f>MAX(Q64,PortfolioFrontier[[#This Row],[P4 Growth]])</f>
        <v>1.7548250652531936</v>
      </c>
      <c r="R65" s="27">
        <f>PortfolioFrontier[[#This Row],[P4 Growth]]/PortfolioFrontier[[#This Row],[P4 HWM]]-1</f>
        <v>0</v>
      </c>
      <c r="S65" s="28">
        <f>SUMPRODUCT(INDEX(PortfolioRef[[SPY]:[PE]],MATCH(S$1,PortfolioRef[Reference '#]),0),AssetMonthlyReturns[[#This Row],[SPY]:[PE]])</f>
        <v>1.0529005553675586E-2</v>
      </c>
      <c r="T65" s="27">
        <f>IF(ISNUMBER(T64),T64*(1+PortfolioFrontier[[#This Row],[P5 Return]]),1+PortfolioFrontier[[#This Row],[P5 Return]])</f>
        <v>1.7276508252108191</v>
      </c>
      <c r="U65" s="27">
        <f>MAX(U64,PortfolioFrontier[[#This Row],[P5 Growth]])</f>
        <v>1.7276508252108191</v>
      </c>
      <c r="V65" s="27">
        <f>PortfolioFrontier[[#This Row],[P5 Growth]]/PortfolioFrontier[[#This Row],[P5 HWM]]-1</f>
        <v>0</v>
      </c>
      <c r="W65" s="28">
        <f>SUMPRODUCT(INDEX(PortfolioRef[[SPY]:[PE]],MATCH(W$1,PortfolioRef[Reference '#]),0),AssetMonthlyReturns[[#This Row],[SPY]:[PE]])</f>
        <v>8.7514691621957026E-3</v>
      </c>
      <c r="X65" s="27">
        <f>IF(ISNUMBER(X64),X64*(1+PortfolioFrontier[[#This Row],[P6 Return]]),1+PortfolioFrontier[[#This Row],[P6 Return]])</f>
        <v>1.6768971218932784</v>
      </c>
      <c r="Y65" s="27">
        <f>MAX(Y64,PortfolioFrontier[[#This Row],[P6 Growth]])</f>
        <v>1.6768971218932784</v>
      </c>
      <c r="Z65" s="27">
        <f>PortfolioFrontier[[#This Row],[P6 Growth]]/PortfolioFrontier[[#This Row],[P6 HWM]]-1</f>
        <v>0</v>
      </c>
      <c r="AA65" s="28">
        <f>SUMPRODUCT(INDEX(PortfolioRef[[SPY]:[PE]],MATCH(AA$1,PortfolioRef[Reference '#]),0),AssetMonthlyReturns[[#This Row],[SPY]:[PE]])</f>
        <v>4.7609988876215811E-3</v>
      </c>
      <c r="AB65" s="27">
        <f>IF(ISNUMBER(AB64),AB64*(1+PortfolioFrontier[[#This Row],[P7 Return]]),1+PortfolioFrontier[[#This Row],[P7 Return]])</f>
        <v>1.689845671508722</v>
      </c>
      <c r="AC65" s="27">
        <f>MAX(AC64,PortfolioFrontier[[#This Row],[P7 Growth]])</f>
        <v>1.689845671508722</v>
      </c>
      <c r="AD65" s="27">
        <f>PortfolioFrontier[[#This Row],[P7 Growth]]/PortfolioFrontier[[#This Row],[P7 HWM]]-1</f>
        <v>0</v>
      </c>
      <c r="AE65" s="28">
        <f>SUMPRODUCT(INDEX(PortfolioRef[[SPY]:[PE]],MATCH(AE$1,PortfolioRef[Reference '#]),0),AssetMonthlyReturns[[#This Row],[SPY]:[PE]])</f>
        <v>9.2909708630679929E-3</v>
      </c>
      <c r="AF65" s="27">
        <f>IF(ISNUMBER(AF64),AF64*(1+PortfolioFrontier[[#This Row],[P8 Return]]),1+PortfolioFrontier[[#This Row],[P8 Return]])</f>
        <v>1.6991534110004327</v>
      </c>
      <c r="AG65" s="27">
        <f>MAX(AG64,PortfolioFrontier[[#This Row],[P8 Growth]])</f>
        <v>1.6991534110004327</v>
      </c>
      <c r="AH65" s="27">
        <f>PortfolioFrontier[[#This Row],[P8 Growth]]/PortfolioFrontier[[#This Row],[P8 HWM]]-1</f>
        <v>0</v>
      </c>
      <c r="AI65" s="28">
        <f>SUMPRODUCT(INDEX(PortfolioRef[[SPY]:[PE]],MATCH(AI$1,PortfolioRef[Reference '#]),0),AssetMonthlyReturns[[#This Row],[SPY]:[PE]])</f>
        <v>9.9910699806005296E-3</v>
      </c>
      <c r="AJ65" s="27">
        <f>IF(ISNUMBER(AJ64),AJ64*(1+PortfolioFrontier[[#This Row],[P9 Return]]),1+PortfolioFrontier[[#This Row],[P9 Return]])</f>
        <v>1.6724914672788922</v>
      </c>
      <c r="AK65" s="27">
        <f>MAX(AK64,PortfolioFrontier[[#This Row],[P9 Growth]])</f>
        <v>1.6724914672788922</v>
      </c>
      <c r="AL65" s="27">
        <f>PortfolioFrontier[[#This Row],[P9 Growth]]/PortfolioFrontier[[#This Row],[P9 HWM]]-1</f>
        <v>0</v>
      </c>
      <c r="AM65" s="28">
        <f>SUMPRODUCT(INDEX(PortfolioRef[[SPY]:[PE]],MATCH(AM$1,PortfolioRef[Reference '#]),0),AssetMonthlyReturns[[#This Row],[SPY]:[PE]])</f>
        <v>7.7052861304745951E-4</v>
      </c>
      <c r="AN65" s="27">
        <f>IF(ISNUMBER(AN64),AN64*(1+PortfolioFrontier[[#This Row],[P10 Return]]),1+PortfolioFrontier[[#This Row],[P10 Return]])</f>
        <v>1.7025680693644913</v>
      </c>
      <c r="AO65" s="27">
        <f>MAX(AO64,PortfolioFrontier[[#This Row],[P10 Growth]])</f>
        <v>1.7025680693644913</v>
      </c>
      <c r="AP65" s="27">
        <f>PortfolioFrontier[[#This Row],[P10 Growth]]/PortfolioFrontier[[#This Row],[P10 HWM]]-1</f>
        <v>0</v>
      </c>
      <c r="AQ65" s="28">
        <f>SUMPRODUCT(INDEX(PortfolioRef[[SPY]:[PE]],MATCH(AQ$1,PortfolioRef[Reference '#]),0),AssetMonthlyReturns[[#This Row],[SPY]:[PE]])</f>
        <v>5.3005005884938713E-3</v>
      </c>
      <c r="AR65" s="27">
        <f>IF(ISNUMBER(AR64),AR64*(1+PortfolioFrontier[[#This Row],[P11 Return]]),1+PortfolioFrontier[[#This Row],[P11 Return]])</f>
        <v>1.7122605696352091</v>
      </c>
      <c r="AS65" s="27">
        <f>MAX(AS64,PortfolioFrontier[[#This Row],[P11 Growth]])</f>
        <v>1.7122605696352091</v>
      </c>
      <c r="AT65" s="27">
        <f>PortfolioFrontier[[#This Row],[P11 Growth]]/PortfolioFrontier[[#This Row],[P11 HWM]]-1</f>
        <v>0</v>
      </c>
      <c r="AU65" s="28">
        <f>SUMPRODUCT(INDEX(PortfolioRef[[SPY]:[PE]],MATCH(AU$1,PortfolioRef[Reference '#]),0),AssetMonthlyReturns[[#This Row],[SPY]:[PE]])</f>
        <v>6.0005997060264098E-3</v>
      </c>
      <c r="AV65" s="27">
        <f>IF(ISNUMBER(AV64),AV64*(1+PortfolioFrontier[[#This Row],[P12 Return]]),1+PortfolioFrontier[[#This Row],[P12 Return]])</f>
        <v>1.685433712091206</v>
      </c>
      <c r="AW65" s="27">
        <f>MAX(AW64,PortfolioFrontier[[#This Row],[P12 Growth]])</f>
        <v>1.685433712091206</v>
      </c>
      <c r="AX65" s="27">
        <f>PortfolioFrontier[[#This Row],[P12 Growth]]/PortfolioFrontier[[#This Row],[P12 HWM]]-1</f>
        <v>0</v>
      </c>
      <c r="AY65" s="28">
        <f>SUMPRODUCT(INDEX(PortfolioRef[[SPY]:[PE]],MATCH(AY$1,PortfolioRef[Reference '#]),0),AssetMonthlyReturns[[#This Row],[SPY]:[PE]])</f>
        <v>9.8304725639402832E-3</v>
      </c>
      <c r="AZ65" s="27">
        <f>IF(ISNUMBER(AZ64),AZ64*(1+PortfolioFrontier[[#This Row],[P13 Return]]),1+PortfolioFrontier[[#This Row],[P13 Return]])</f>
        <v>1.7211353965563088</v>
      </c>
      <c r="BA65" s="27">
        <f>MAX(BA64,PortfolioFrontier[[#This Row],[P13 Growth]])</f>
        <v>1.7211353965563088</v>
      </c>
      <c r="BB65" s="27">
        <f>PortfolioFrontier[[#This Row],[P13 Growth]]/PortfolioFrontier[[#This Row],[P13 HWM]]-1</f>
        <v>0</v>
      </c>
      <c r="BC65" s="28">
        <f>SUMPRODUCT(INDEX(PortfolioRef[[SPY]:[PE]],MATCH(BC$1,PortfolioRef[Reference '#]),0),AssetMonthlyReturns[[#This Row],[SPY]:[PE]])</f>
        <v>1.0530571681472822E-2</v>
      </c>
      <c r="BD65" s="27">
        <f>IF(ISNUMBER(BD64),BD64*(1+PortfolioFrontier[[#This Row],[P14 Return]]),1+PortfolioFrontier[[#This Row],[P14 Return]])</f>
        <v>1.6946841149519218</v>
      </c>
      <c r="BE65" s="27">
        <f>MAX(BE64,PortfolioFrontier[[#This Row],[P14 Growth]])</f>
        <v>1.6946841149519218</v>
      </c>
      <c r="BF65" s="27">
        <f>PortfolioFrontier[[#This Row],[P14 Growth]]/PortfolioFrontier[[#This Row],[P14 HWM]]-1</f>
        <v>0</v>
      </c>
      <c r="BG65" s="28">
        <f>SUMPRODUCT(INDEX(PortfolioRef[[SPY]:[PE]],MATCH(BG$1,PortfolioRef[Reference '#]),0),AssetMonthlyReturns[[#This Row],[SPY]:[PE]])</f>
        <v>1.123067079900536E-2</v>
      </c>
      <c r="BH65" s="27">
        <f>IF(ISNUMBER(BH64),BH64*(1+PortfolioFrontier[[#This Row],[P15 Return]]),1+PortfolioFrontier[[#This Row],[P15 Return]])</f>
        <v>1.6679863788214924</v>
      </c>
      <c r="BI65" s="27">
        <f>MAX(BI64,PortfolioFrontier[[#This Row],[P15 Growth]])</f>
        <v>1.6679863788214924</v>
      </c>
      <c r="BJ65" s="27">
        <f>PortfolioFrontier[[#This Row],[P15 Growth]]/PortfolioFrontier[[#This Row],[P15 HWM]]-1</f>
        <v>0</v>
      </c>
      <c r="BK65" s="28">
        <f>SUMPRODUCT(INDEX(PortfolioRef[[SPY]:[PE]],MATCH(BK$1,PortfolioRef[Reference '#]),0),AssetMonthlyReturns[[#This Row],[SPY]:[PE]])</f>
        <v>8.2135335891206467E-3</v>
      </c>
      <c r="BL65" s="27">
        <f>IF(ISNUMBER(BL64),BL64*(1+PortfolioFrontier[[#This Row],[P16 Return]]),1+PortfolioFrontier[[#This Row],[P16 Return]])</f>
        <v>1.6227773629617017</v>
      </c>
      <c r="BM65" s="27">
        <f>MAX(BM64,PortfolioFrontier[[#This Row],[P16 Growth]])</f>
        <v>1.6227773629617017</v>
      </c>
      <c r="BN65" s="27">
        <f>PortfolioFrontier[[#This Row],[P16 Growth]]/PortfolioFrontier[[#This Row],[P16 HWM]]-1</f>
        <v>0</v>
      </c>
      <c r="BO65" s="28">
        <f>SUMPRODUCT(INDEX(PortfolioRef[[SPY]:[PE]],MATCH(BO$1,PortfolioRef[Reference '#]),0),AssetMonthlyReturns[[#This Row],[SPY]:[PE]])</f>
        <v>4.2230633145465268E-3</v>
      </c>
      <c r="BP65" s="27">
        <f>IF(ISNUMBER(BP64),BP64*(1+PortfolioFrontier[[#This Row],[P17 Return]]),1+PortfolioFrontier[[#This Row],[P17 Return]])</f>
        <v>1.6353178583437133</v>
      </c>
      <c r="BQ65" s="27">
        <f>MAX(BQ64,PortfolioFrontier[[#This Row],[P17 Growth]])</f>
        <v>1.6353178583437133</v>
      </c>
      <c r="BR65" s="27">
        <f>PortfolioFrontier[[#This Row],[P17 Growth]]/PortfolioFrontier[[#This Row],[P17 HWM]]-1</f>
        <v>0</v>
      </c>
      <c r="BS65" s="28">
        <f>SUMPRODUCT(INDEX(PortfolioRef[[SPY]:[PE]],MATCH(BS$1,PortfolioRef[Reference '#]),0),AssetMonthlyReturns[[#This Row],[SPY]:[PE]])</f>
        <v>8.7530352899929387E-3</v>
      </c>
      <c r="BT65" s="27">
        <f>IF(ISNUMBER(BT64),BT64*(1+PortfolioFrontier[[#This Row],[P18 Return]]),1+PortfolioFrontier[[#This Row],[P18 Return]])</f>
        <v>1.6447151543483114</v>
      </c>
      <c r="BU65" s="27">
        <f>MAX(BU64,PortfolioFrontier[[#This Row],[P18 Growth]])</f>
        <v>1.6447151543483114</v>
      </c>
      <c r="BV65" s="27">
        <f>PortfolioFrontier[[#This Row],[P18 Growth]]/PortfolioFrontier[[#This Row],[P18 HWM]]-1</f>
        <v>0</v>
      </c>
      <c r="BW65" s="28">
        <f>SUMPRODUCT(INDEX(PortfolioRef[[SPY]:[PE]],MATCH(BW$1,PortfolioRef[Reference '#]),0),AssetMonthlyReturns[[#This Row],[SPY]:[PE]])</f>
        <v>9.4531344075254771E-3</v>
      </c>
      <c r="BX65" s="27">
        <f>IF(ISNUMBER(BX64),BX64*(1+PortfolioFrontier[[#This Row],[P19 Return]]),1+PortfolioFrontier[[#This Row],[P19 Return]])</f>
        <v>1.6185701636150331</v>
      </c>
      <c r="BY65" s="27">
        <f>MAX(BY64,PortfolioFrontier[[#This Row],[P19 Growth]])</f>
        <v>1.6185701636150331</v>
      </c>
      <c r="BZ65" s="27">
        <f>PortfolioFrontier[[#This Row],[P19 Growth]]/PortfolioFrontier[[#This Row],[P19 HWM]]-1</f>
        <v>0</v>
      </c>
      <c r="CA65" s="28">
        <f>SUMPRODUCT(INDEX(PortfolioRef[[SPY]:[PE]],MATCH(CA$1,PortfolioRef[Reference '#]),0),AssetMonthlyReturns[[#This Row],[SPY]:[PE]])</f>
        <v>2.3259303997240528E-4</v>
      </c>
      <c r="CB65" s="27">
        <f>IF(ISNUMBER(CB64),CB64*(1+PortfolioFrontier[[#This Row],[P20 Return]]),1+PortfolioFrontier[[#This Row],[P20 Return]])</f>
        <v>1.6476389133757614</v>
      </c>
      <c r="CC65" s="27">
        <f>MAX(CC64,PortfolioFrontier[[#This Row],[P20 Growth]])</f>
        <v>1.6476389133757614</v>
      </c>
      <c r="CD65" s="27">
        <f>PortfolioFrontier[[#This Row],[P20 Growth]]/PortfolioFrontier[[#This Row],[P20 HWM]]-1</f>
        <v>0</v>
      </c>
      <c r="CE65" s="28">
        <f>SUMPRODUCT(INDEX(PortfolioRef[[SPY]:[PE]],MATCH(CE$1,PortfolioRef[Reference '#]),0),AssetMonthlyReturns[[#This Row],[SPY]:[PE]])</f>
        <v>4.7625650154188171E-3</v>
      </c>
      <c r="CF65" s="27">
        <f>IF(ISNUMBER(CF64),CF64*(1+PortfolioFrontier[[#This Row],[P21 Return]]),1+PortfolioFrontier[[#This Row],[P21 Return]])</f>
        <v>1.6574122155817013</v>
      </c>
      <c r="CG65" s="27">
        <f>MAX(CG64,PortfolioFrontier[[#This Row],[P21 Growth]])</f>
        <v>1.6574122155817013</v>
      </c>
      <c r="CH65" s="27">
        <f>PortfolioFrontier[[#This Row],[P21 Growth]]/PortfolioFrontier[[#This Row],[P21 HWM]]-1</f>
        <v>0</v>
      </c>
      <c r="CI65" s="28">
        <f>SUMPRODUCT(INDEX(PortfolioRef[[SPY]:[PE]],MATCH(CI$1,PortfolioRef[Reference '#]),0),AssetMonthlyReturns[[#This Row],[SPY]:[PE]])</f>
        <v>5.4626641329513555E-3</v>
      </c>
      <c r="CJ65" s="27">
        <f>IF(ISNUMBER(CJ64),CJ64*(1+PortfolioFrontier[[#This Row],[P22 Return]]),1+PortfolioFrontier[[#This Row],[P22 Return]])</f>
        <v>1.6311049852453796</v>
      </c>
      <c r="CK65" s="27">
        <f>MAX(CK64,PortfolioFrontier[[#This Row],[P22 Growth]])</f>
        <v>1.6311049852453796</v>
      </c>
      <c r="CL65" s="27">
        <f>PortfolioFrontier[[#This Row],[P22 Growth]]/PortfolioFrontier[[#This Row],[P22 HWM]]-1</f>
        <v>0</v>
      </c>
      <c r="CM65" s="28">
        <f>SUMPRODUCT(INDEX(PortfolioRef[[SPY]:[PE]],MATCH(CM$1,PortfolioRef[Reference '#]),0),AssetMonthlyReturns[[#This Row],[SPY]:[PE]])</f>
        <v>9.292536990865229E-3</v>
      </c>
      <c r="CN65" s="27">
        <f>IF(ISNUMBER(CN64),CN64*(1+PortfolioFrontier[[#This Row],[P23 Return]]),1+PortfolioFrontier[[#This Row],[P23 Return]])</f>
        <v>1.6664003852433342</v>
      </c>
      <c r="CO65" s="27">
        <f>MAX(CO64,PortfolioFrontier[[#This Row],[P23 Growth]])</f>
        <v>1.6664003852433342</v>
      </c>
      <c r="CP65" s="27">
        <f>PortfolioFrontier[[#This Row],[P23 Growth]]/PortfolioFrontier[[#This Row],[P23 HWM]]-1</f>
        <v>0</v>
      </c>
      <c r="CQ65" s="28">
        <f>SUMPRODUCT(INDEX(PortfolioRef[[SPY]:[PE]],MATCH(CQ$1,PortfolioRef[Reference '#]),0),AssetMonthlyReturns[[#This Row],[SPY]:[PE]])</f>
        <v>9.9926361083977674E-3</v>
      </c>
      <c r="CR65" s="27">
        <f>IF(ISNUMBER(CR64),CR64*(1+PortfolioFrontier[[#This Row],[P24 Return]]),1+PortfolioFrontier[[#This Row],[P24 Return]])</f>
        <v>1.6404462624203529</v>
      </c>
      <c r="CS65" s="27">
        <f>MAX(CS64,PortfolioFrontier[[#This Row],[P24 Growth]])</f>
        <v>1.6404462624203529</v>
      </c>
      <c r="CT65" s="27">
        <f>PortfolioFrontier[[#This Row],[P24 Growth]]/PortfolioFrontier[[#This Row],[P24 HWM]]-1</f>
        <v>0</v>
      </c>
      <c r="CU65" s="28">
        <f>SUMPRODUCT(INDEX(PortfolioRef[[SPY]:[PE]],MATCH(CU$1,PortfolioRef[Reference '#]),0),AssetMonthlyReturns[[#This Row],[SPY]:[PE]])</f>
        <v>1.0692735225930304E-2</v>
      </c>
      <c r="CV65" s="27">
        <f>IF(ISNUMBER(CV64),CV64*(1+PortfolioFrontier[[#This Row],[P25 Return]]),1+PortfolioFrontier[[#This Row],[P25 Return]])</f>
        <v>1.6142664645465588</v>
      </c>
      <c r="CW65" s="27">
        <f>MAX(CW64,PortfolioFrontier[[#This Row],[P25 Growth]])</f>
        <v>1.6142664645465588</v>
      </c>
      <c r="CX65" s="27">
        <f>PortfolioFrontier[[#This Row],[P25 Growth]]/PortfolioFrontier[[#This Row],[P25 HWM]]-1</f>
        <v>0</v>
      </c>
      <c r="CY65" s="28">
        <f>SUMPRODUCT(INDEX(PortfolioRef[[SPY]:[PE]],MATCH(CY$1,PortfolioRef[Reference '#]),0),AssetMonthlyReturns[[#This Row],[SPY]:[PE]])</f>
        <v>7.72094740844696E-4</v>
      </c>
      <c r="CZ65" s="27">
        <f>IF(ISNUMBER(CZ64),CZ64*(1+PortfolioFrontier[[#This Row],[P26 Return]]),1+PortfolioFrontier[[#This Row],[P26 Return]])</f>
        <v>1.6698872140181307</v>
      </c>
      <c r="DA65" s="27">
        <f>MAX(DA64,PortfolioFrontier[[#This Row],[P26 Growth]])</f>
        <v>1.6698872140181307</v>
      </c>
      <c r="DB65" s="27">
        <f>PortfolioFrontier[[#This Row],[P26 Growth]]/PortfolioFrontier[[#This Row],[P26 HWM]]-1</f>
        <v>0</v>
      </c>
      <c r="DC65" s="28">
        <f>SUMPRODUCT(INDEX(PortfolioRef[[SPY]:[PE]],MATCH(DC$1,PortfolioRef[Reference '#]),0),AssetMonthlyReturns[[#This Row],[SPY]:[PE]])</f>
        <v>1.472193858377234E-3</v>
      </c>
      <c r="DD65" s="27">
        <f>IF(ISNUMBER(DD64),DD64*(1+PortfolioFrontier[[#This Row],[P27 Return]]),1+PortfolioFrontier[[#This Row],[P27 Return]])</f>
        <v>1.6434214618019909</v>
      </c>
      <c r="DE65" s="27">
        <f>MAX(DE64,PortfolioFrontier[[#This Row],[P27 Growth]])</f>
        <v>1.6434214618019909</v>
      </c>
      <c r="DF65" s="27">
        <f>PortfolioFrontier[[#This Row],[P27 Growth]]/PortfolioFrontier[[#This Row],[P27 HWM]]-1</f>
        <v>0</v>
      </c>
      <c r="DG65" s="28">
        <f>SUMPRODUCT(INDEX(PortfolioRef[[SPY]:[PE]],MATCH(DG$1,PortfolioRef[Reference '#]),0),AssetMonthlyReturns[[#This Row],[SPY]:[PE]])</f>
        <v>5.3020667162911091E-3</v>
      </c>
      <c r="DH65" s="27">
        <f>IF(ISNUMBER(DH64),DH64*(1+PortfolioFrontier[[#This Row],[P28 Return]]),1+PortfolioFrontier[[#This Row],[P28 Return]])</f>
        <v>1.6792519184320995</v>
      </c>
      <c r="DI65" s="27">
        <f>MAX(DI64,PortfolioFrontier[[#This Row],[P28 Growth]])</f>
        <v>1.6792519184320995</v>
      </c>
      <c r="DJ65" s="27">
        <f>PortfolioFrontier[[#This Row],[P28 Growth]]/PortfolioFrontier[[#This Row],[P28 HWM]]-1</f>
        <v>0</v>
      </c>
      <c r="DK65" s="28">
        <f>SUMPRODUCT(INDEX(PortfolioRef[[SPY]:[PE]],MATCH(DK$1,PortfolioRef[Reference '#]),0),AssetMonthlyReturns[[#This Row],[SPY]:[PE]])</f>
        <v>6.0021658338236458E-3</v>
      </c>
      <c r="DL65" s="27">
        <f>IF(ISNUMBER(DL64),DL64*(1+PortfolioFrontier[[#This Row],[P29 Return]]),1+PortfolioFrontier[[#This Row],[P29 Return]])</f>
        <v>1.6531375348395987</v>
      </c>
      <c r="DM65" s="27">
        <f>MAX(DM64,PortfolioFrontier[[#This Row],[P29 Growth]])</f>
        <v>1.6531375348395987</v>
      </c>
      <c r="DN65" s="27">
        <f>PortfolioFrontier[[#This Row],[P29 Growth]]/PortfolioFrontier[[#This Row],[P29 HWM]]-1</f>
        <v>0</v>
      </c>
      <c r="DO65" s="28">
        <f>SUMPRODUCT(INDEX(PortfolioRef[[SPY]:[PE]],MATCH(DO$1,PortfolioRef[Reference '#]),0),AssetMonthlyReturns[[#This Row],[SPY]:[PE]])</f>
        <v>6.7022649513561842E-3</v>
      </c>
      <c r="DP65" s="27">
        <f>IF(ISNUMBER(DP64),DP64*(1+PortfolioFrontier[[#This Row],[P30 Return]]),1+PortfolioFrontier[[#This Row],[P30 Return]])</f>
        <v>1.6267947377654934</v>
      </c>
      <c r="DQ65" s="27">
        <f>MAX(DQ64,PortfolioFrontier[[#This Row],[P30 Growth]])</f>
        <v>1.6267947377654934</v>
      </c>
      <c r="DR65" s="27">
        <f>PortfolioFrontier[[#This Row],[P30 Growth]]/PortfolioFrontier[[#This Row],[P30 HWM]]-1</f>
        <v>0</v>
      </c>
      <c r="DS65" s="28">
        <f>SUMPRODUCT(INDEX(PortfolioRef[[SPY]:[PE]],MATCH(DS$1,PortfolioRef[Reference '#]),0),AssetMonthlyReturns[[#This Row],[SPY]:[PE]])</f>
        <v>9.8320386917375192E-3</v>
      </c>
      <c r="DT65" s="27">
        <f>IF(ISNUMBER(DT64),DT64*(1+PortfolioFrontier[[#This Row],[P31 Return]]),1+PortfolioFrontier[[#This Row],[P31 Return]])</f>
        <v>1.6878115208628612</v>
      </c>
      <c r="DU65" s="27">
        <f>MAX(DU64,PortfolioFrontier[[#This Row],[P31 Growth]])</f>
        <v>1.6878115208628612</v>
      </c>
      <c r="DV65" s="27">
        <f>PortfolioFrontier[[#This Row],[P31 Growth]]/PortfolioFrontier[[#This Row],[P31 HWM]]-1</f>
        <v>0</v>
      </c>
      <c r="DW65" s="28">
        <f>SUMPRODUCT(INDEX(PortfolioRef[[SPY]:[PE]],MATCH(DW$1,PortfolioRef[Reference '#]),0),AssetMonthlyReturns[[#This Row],[SPY]:[PE]])</f>
        <v>1.0532137809270058E-2</v>
      </c>
      <c r="DX65" s="27">
        <f>IF(ISNUMBER(DX64),DX64*(1+PortfolioFrontier[[#This Row],[P32 Return]]),1+PortfolioFrontier[[#This Row],[P32 Return]])</f>
        <v>1.6620702933765219</v>
      </c>
      <c r="DY65" s="27">
        <f>MAX(DY64,PortfolioFrontier[[#This Row],[P32 Growth]])</f>
        <v>1.6620702933765219</v>
      </c>
      <c r="DZ65" s="27">
        <f>PortfolioFrontier[[#This Row],[P32 Growth]]/PortfolioFrontier[[#This Row],[P32 HWM]]-1</f>
        <v>0</v>
      </c>
      <c r="EA65" s="28">
        <f>SUMPRODUCT(INDEX(PortfolioRef[[SPY]:[PE]],MATCH(EA$1,PortfolioRef[Reference '#]),0),AssetMonthlyReturns[[#This Row],[SPY]:[PE]])</f>
        <v>1.1232236926802596E-2</v>
      </c>
      <c r="EB65" s="27">
        <f>IF(ISNUMBER(EB64),EB64*(1+PortfolioFrontier[[#This Row],[P33 Return]]),1+PortfolioFrontier[[#This Row],[P33 Return]])</f>
        <v>1.6360794906556158</v>
      </c>
      <c r="EC65" s="27">
        <f>MAX(EC64,PortfolioFrontier[[#This Row],[P33 Growth]])</f>
        <v>1.6360794906556158</v>
      </c>
      <c r="ED65" s="27">
        <f>PortfolioFrontier[[#This Row],[P33 Growth]]/PortfolioFrontier[[#This Row],[P33 HWM]]-1</f>
        <v>0</v>
      </c>
      <c r="EE65" s="28">
        <f>SUMPRODUCT(INDEX(PortfolioRef[[SPY]:[PE]],MATCH(EE$1,PortfolioRef[Reference '#]),0),AssetMonthlyReturns[[#This Row],[SPY]:[PE]])</f>
        <v>7.6755980160455933E-3</v>
      </c>
      <c r="EF65" s="27">
        <f>IF(ISNUMBER(EF64),EF64*(1+PortfolioFrontier[[#This Row],[P34 Return]]),1+PortfolioFrontier[[#This Row],[P34 Return]])</f>
        <v>1.5698978093300735</v>
      </c>
      <c r="EG65" s="27">
        <f>MAX(EG64,PortfolioFrontier[[#This Row],[P34 Growth]])</f>
        <v>1.5698978093300735</v>
      </c>
      <c r="EH65" s="27">
        <f>PortfolioFrontier[[#This Row],[P34 Growth]]/PortfolioFrontier[[#This Row],[P34 HWM]]-1</f>
        <v>0</v>
      </c>
      <c r="EI65" s="28">
        <f>SUMPRODUCT(INDEX(PortfolioRef[[SPY]:[PE]],MATCH(EI$1,PortfolioRef[Reference '#]),0),AssetMonthlyReturns[[#This Row],[SPY]:[PE]])</f>
        <v>3.6851277414714726E-3</v>
      </c>
      <c r="EJ65" s="27">
        <f>IF(ISNUMBER(EJ64),EJ64*(1+PortfolioFrontier[[#This Row],[P35 Return]]),1+PortfolioFrontier[[#This Row],[P35 Return]])</f>
        <v>1.5820395621362635</v>
      </c>
      <c r="EK65" s="27">
        <f>MAX(EK64,PortfolioFrontier[[#This Row],[P35 Growth]])</f>
        <v>1.5820395621362635</v>
      </c>
      <c r="EL65" s="27">
        <f>PortfolioFrontier[[#This Row],[P35 Growth]]/PortfolioFrontier[[#This Row],[P35 HWM]]-1</f>
        <v>0</v>
      </c>
      <c r="EM65" s="28">
        <f>SUMPRODUCT(INDEX(PortfolioRef[[SPY]:[PE]],MATCH(EM$1,PortfolioRef[Reference '#]),0),AssetMonthlyReturns[[#This Row],[SPY]:[PE]])</f>
        <v>8.2150997169178844E-3</v>
      </c>
      <c r="EN65" s="27">
        <f>IF(ISNUMBER(EN64),EN64*(1+PortfolioFrontier[[#This Row],[P36 Return]]),1+PortfolioFrontier[[#This Row],[P36 Return]])</f>
        <v>1.5915061479849977</v>
      </c>
      <c r="EO65" s="27">
        <f>MAX(EO64,PortfolioFrontier[[#This Row],[P36 Growth]])</f>
        <v>1.5915061479849977</v>
      </c>
      <c r="EP65" s="27">
        <f>PortfolioFrontier[[#This Row],[P36 Growth]]/PortfolioFrontier[[#This Row],[P36 HWM]]-1</f>
        <v>0</v>
      </c>
      <c r="EQ65" s="28">
        <f>SUMPRODUCT(INDEX(PortfolioRef[[SPY]:[PE]],MATCH(EQ$1,PortfolioRef[Reference '#]),0),AssetMonthlyReturns[[#This Row],[SPY]:[PE]])</f>
        <v>8.9151988344504211E-3</v>
      </c>
      <c r="ER65" s="27">
        <f>IF(ISNUMBER(ER64),ER64*(1+PortfolioFrontier[[#This Row],[P37 Return]]),1+PortfolioFrontier[[#This Row],[P37 Return]])</f>
        <v>1.5658818834821187</v>
      </c>
      <c r="ES65" s="27">
        <f>MAX(ES64,PortfolioFrontier[[#This Row],[P37 Growth]])</f>
        <v>1.5658818834821187</v>
      </c>
      <c r="ET65" s="27">
        <f>PortfolioFrontier[[#This Row],[P37 Growth]]/PortfolioFrontier[[#This Row],[P37 HWM]]-1</f>
        <v>0</v>
      </c>
      <c r="EU65" s="28">
        <f>SUMPRODUCT(INDEX(PortfolioRef[[SPY]:[PE]],MATCH(EU$1,PortfolioRef[Reference '#]),0),AssetMonthlyReturns[[#This Row],[SPY]:[PE]])</f>
        <v>-3.0534253310264894E-4</v>
      </c>
      <c r="EV65" s="27">
        <f>IF(ISNUMBER(EV64),EV64*(1+PortfolioFrontier[[#This Row],[P38 Return]]),1+PortfolioFrontier[[#This Row],[P38 Return]])</f>
        <v>1.5939684528245568</v>
      </c>
      <c r="EW65" s="27">
        <f>MAX(EW64,PortfolioFrontier[[#This Row],[P38 Growth]])</f>
        <v>1.5944553078471739</v>
      </c>
      <c r="EX65" s="27">
        <f>PortfolioFrontier[[#This Row],[P38 Growth]]/PortfolioFrontier[[#This Row],[P38 HWM]]-1</f>
        <v>-3.0534253310277037E-4</v>
      </c>
      <c r="EY65" s="28">
        <f>SUMPRODUCT(INDEX(PortfolioRef[[SPY]:[PE]],MATCH(EY$1,PortfolioRef[Reference '#]),0),AssetMonthlyReturns[[#This Row],[SPY]:[PE]])</f>
        <v>4.2246294423437629E-3</v>
      </c>
      <c r="EZ65" s="27">
        <f>IF(ISNUMBER(EZ64),EZ64*(1+PortfolioFrontier[[#This Row],[P39 Return]]),1+PortfolioFrontier[[#This Row],[P39 Return]])</f>
        <v>1.603802341276759</v>
      </c>
      <c r="FA65" s="27">
        <f>MAX(FA64,PortfolioFrontier[[#This Row],[P39 Growth]])</f>
        <v>1.603802341276759</v>
      </c>
      <c r="FB65" s="27">
        <f>PortfolioFrontier[[#This Row],[P39 Growth]]/PortfolioFrontier[[#This Row],[P39 HWM]]-1</f>
        <v>0</v>
      </c>
      <c r="FC65" s="28">
        <f>SUMPRODUCT(INDEX(PortfolioRef[[SPY]:[PE]],MATCH(FC$1,PortfolioRef[Reference '#]),0),AssetMonthlyReturns[[#This Row],[SPY]:[PE]])</f>
        <v>4.9247285598763013E-3</v>
      </c>
      <c r="FD65" s="27">
        <f>IF(ISNUMBER(FD64),FD64*(1+PortfolioFrontier[[#This Row],[P40 Return]]),1+PortfolioFrontier[[#This Row],[P40 Return]])</f>
        <v>1.5780185602873731</v>
      </c>
      <c r="FE65" s="27">
        <f>MAX(FE64,PortfolioFrontier[[#This Row],[P40 Growth]])</f>
        <v>1.5780185602873731</v>
      </c>
      <c r="FF65" s="27">
        <f>PortfolioFrontier[[#This Row],[P40 Growth]]/PortfolioFrontier[[#This Row],[P40 HWM]]-1</f>
        <v>0</v>
      </c>
      <c r="FG65" s="28">
        <f>SUMPRODUCT(INDEX(PortfolioRef[[SPY]:[PE]],MATCH(FG$1,PortfolioRef[Reference '#]),0),AssetMonthlyReturns[[#This Row],[SPY]:[PE]])</f>
        <v>8.7546014177901747E-3</v>
      </c>
      <c r="FH65" s="27">
        <f>IF(ISNUMBER(FH64),FH64*(1+PortfolioFrontier[[#This Row],[P41 Return]]),1+PortfolioFrontier[[#This Row],[P41 Return]])</f>
        <v>1.6128827026214518</v>
      </c>
      <c r="FI65" s="27">
        <f>MAX(FI64,PortfolioFrontier[[#This Row],[P41 Growth]])</f>
        <v>1.6128827026214518</v>
      </c>
      <c r="FJ65" s="27">
        <f>PortfolioFrontier[[#This Row],[P41 Growth]]/PortfolioFrontier[[#This Row],[P41 HWM]]-1</f>
        <v>0</v>
      </c>
      <c r="FK65" s="28">
        <f>SUMPRODUCT(INDEX(PortfolioRef[[SPY]:[PE]],MATCH(FK$1,PortfolioRef[Reference '#]),0),AssetMonthlyReturns[[#This Row],[SPY]:[PE]])</f>
        <v>9.4547005353227132E-3</v>
      </c>
      <c r="FL65" s="27">
        <f>IF(ISNUMBER(FL64),FL64*(1+PortfolioFrontier[[#This Row],[P42 Return]]),1+PortfolioFrontier[[#This Row],[P42 Return]])</f>
        <v>1.5874304643903159</v>
      </c>
      <c r="FM65" s="27">
        <f>MAX(FM64,PortfolioFrontier[[#This Row],[P42 Growth]])</f>
        <v>1.5874304643903159</v>
      </c>
      <c r="FN65" s="27">
        <f>PortfolioFrontier[[#This Row],[P42 Growth]]/PortfolioFrontier[[#This Row],[P42 HWM]]-1</f>
        <v>0</v>
      </c>
      <c r="FO65" s="28">
        <f>SUMPRODUCT(INDEX(PortfolioRef[[SPY]:[PE]],MATCH(FO$1,PortfolioRef[Reference '#]),0),AssetMonthlyReturns[[#This Row],[SPY]:[PE]])</f>
        <v>1.0154799652855252E-2</v>
      </c>
      <c r="FP65" s="27">
        <f>IF(ISNUMBER(FP64),FP64*(1+PortfolioFrontier[[#This Row],[P43 Return]]),1+PortfolioFrontier[[#This Row],[P43 Return]])</f>
        <v>1.5617723372273919</v>
      </c>
      <c r="FQ65" s="27">
        <f>MAX(FQ64,PortfolioFrontier[[#This Row],[P43 Growth]])</f>
        <v>1.5617723372273919</v>
      </c>
      <c r="FR65" s="27">
        <f>PortfolioFrontier[[#This Row],[P43 Growth]]/PortfolioFrontier[[#This Row],[P43 HWM]]-1</f>
        <v>0</v>
      </c>
      <c r="FS65" s="28">
        <f>SUMPRODUCT(INDEX(PortfolioRef[[SPY]:[PE]],MATCH(FS$1,PortfolioRef[Reference '#]),0),AssetMonthlyReturns[[#This Row],[SPY]:[PE]])</f>
        <v>2.3415916776964177E-4</v>
      </c>
      <c r="FT65" s="27">
        <f>IF(ISNUMBER(FT64),FT64*(1+PortfolioFrontier[[#This Row],[P44 Return]]),1+PortfolioFrontier[[#This Row],[P44 Return]])</f>
        <v>1.6158830789617513</v>
      </c>
      <c r="FU65" s="27">
        <f>MAX(FU64,PortfolioFrontier[[#This Row],[P44 Growth]])</f>
        <v>1.6158830789617513</v>
      </c>
      <c r="FV65" s="27">
        <f>PortfolioFrontier[[#This Row],[P44 Growth]]/PortfolioFrontier[[#This Row],[P44 HWM]]-1</f>
        <v>0</v>
      </c>
      <c r="FW65" s="28">
        <f>SUMPRODUCT(INDEX(PortfolioRef[[SPY]:[PE]],MATCH(FW$1,PortfolioRef[Reference '#]),0),AssetMonthlyReturns[[#This Row],[SPY]:[PE]])</f>
        <v>9.3425828530217976E-4</v>
      </c>
      <c r="FX65" s="27">
        <f>IF(ISNUMBER(FX64),FX64*(1+PortfolioFrontier[[#This Row],[P45 Return]]),1+PortfolioFrontier[[#This Row],[P45 Return]])</f>
        <v>1.58994343082284</v>
      </c>
      <c r="FY65" s="27">
        <f>MAX(FY64,PortfolioFrontier[[#This Row],[P45 Growth]])</f>
        <v>1.58994343082284</v>
      </c>
      <c r="FZ65" s="27">
        <f>PortfolioFrontier[[#This Row],[P45 Growth]]/PortfolioFrontier[[#This Row],[P45 HWM]]-1</f>
        <v>0</v>
      </c>
      <c r="GA65" s="28">
        <f>SUMPRODUCT(INDEX(PortfolioRef[[SPY]:[PE]],MATCH(GA$1,PortfolioRef[Reference '#]),0),AssetMonthlyReturns[[#This Row],[SPY]:[PE]])</f>
        <v>4.7641311432160549E-3</v>
      </c>
      <c r="GB65" s="27">
        <f>IF(ISNUMBER(GB64),GB64*(1+PortfolioFrontier[[#This Row],[P46 Return]]),1+PortfolioFrontier[[#This Row],[P46 Return]])</f>
        <v>1.6253313941763938</v>
      </c>
      <c r="GC65" s="27">
        <f>MAX(GC64,PortfolioFrontier[[#This Row],[P46 Growth]])</f>
        <v>1.6253313941763938</v>
      </c>
      <c r="GD65" s="27">
        <f>PortfolioFrontier[[#This Row],[P46 Growth]]/PortfolioFrontier[[#This Row],[P46 HWM]]-1</f>
        <v>0</v>
      </c>
      <c r="GE65" s="28">
        <f>SUMPRODUCT(INDEX(PortfolioRef[[SPY]:[PE]],MATCH(GE$1,PortfolioRef[Reference '#]),0),AssetMonthlyReturns[[#This Row],[SPY]:[PE]])</f>
        <v>5.4642302607485916E-3</v>
      </c>
      <c r="GF65" s="27">
        <f>IF(ISNUMBER(GF64),GF64*(1+PortfolioFrontier[[#This Row],[P47 Return]]),1+PortfolioFrontier[[#This Row],[P47 Return]])</f>
        <v>1.5997214749488018</v>
      </c>
      <c r="GG65" s="27">
        <f>MAX(GG64,PortfolioFrontier[[#This Row],[P47 Growth]])</f>
        <v>1.5997214749488018</v>
      </c>
      <c r="GH65" s="27">
        <f>PortfolioFrontier[[#This Row],[P47 Growth]]/PortfolioFrontier[[#This Row],[P47 HWM]]-1</f>
        <v>0</v>
      </c>
      <c r="GI65" s="28">
        <f>SUMPRODUCT(INDEX(PortfolioRef[[SPY]:[PE]],MATCH(GI$1,PortfolioRef[Reference '#]),0),AssetMonthlyReturns[[#This Row],[SPY]:[PE]])</f>
        <v>6.16432937828113E-3</v>
      </c>
      <c r="GJ65" s="27">
        <f>IF(ISNUMBER(GJ64),GJ64*(1+PortfolioFrontier[[#This Row],[P48 Return]]),1+PortfolioFrontier[[#This Row],[P48 Return]])</f>
        <v>1.5739030908666163</v>
      </c>
      <c r="GK65" s="27">
        <f>MAX(GK64,PortfolioFrontier[[#This Row],[P48 Growth]])</f>
        <v>1.5739030908666163</v>
      </c>
      <c r="GL65" s="27">
        <f>PortfolioFrontier[[#This Row],[P48 Growth]]/PortfolioFrontier[[#This Row],[P48 HWM]]-1</f>
        <v>0</v>
      </c>
      <c r="GM65" s="28">
        <f>SUMPRODUCT(INDEX(PortfolioRef[[SPY]:[PE]],MATCH(GM$1,PortfolioRef[Reference '#]),0),AssetMonthlyReturns[[#This Row],[SPY]:[PE]])</f>
        <v>9.2941031186624667E-3</v>
      </c>
      <c r="GN65" s="27">
        <f>IF(ISNUMBER(GN64),GN64*(1+PortfolioFrontier[[#This Row],[P49 Return]]),1+PortfolioFrontier[[#This Row],[P49 Return]])</f>
        <v>1.6340066515226292</v>
      </c>
      <c r="GO65" s="27">
        <f>MAX(GO64,PortfolioFrontier[[#This Row],[P49 Growth]])</f>
        <v>1.6340066515226292</v>
      </c>
      <c r="GP65" s="27">
        <f>PortfolioFrontier[[#This Row],[P49 Growth]]/PortfolioFrontier[[#This Row],[P49 HWM]]-1</f>
        <v>0</v>
      </c>
      <c r="GQ65" s="28">
        <f>SUMPRODUCT(INDEX(PortfolioRef[[SPY]:[PE]],MATCH(GQ$1,PortfolioRef[Reference '#]),0),AssetMonthlyReturns[[#This Row],[SPY]:[PE]])</f>
        <v>9.9942022361950034E-3</v>
      </c>
      <c r="GR65" s="27">
        <f>IF(ISNUMBER(GR64),GR64*(1+PortfolioFrontier[[#This Row],[P50 Return]]),1+PortfolioFrontier[[#This Row],[P50 Return]])</f>
        <v>1.6087476976875221</v>
      </c>
      <c r="GS65" s="27">
        <f>MAX(GS64,PortfolioFrontier[[#This Row],[P50 Growth]])</f>
        <v>1.6087476976875221</v>
      </c>
      <c r="GT65" s="27">
        <f>PortfolioFrontier[[#This Row],[P50 Growth]]/PortfolioFrontier[[#This Row],[P50 HWM]]-1</f>
        <v>0</v>
      </c>
      <c r="GU65" s="28">
        <f>SUMPRODUCT(INDEX(PortfolioRef[[SPY]:[PE]],MATCH(GU$1,PortfolioRef[Reference '#]),0),AssetMonthlyReturns[[#This Row],[SPY]:[PE]])</f>
        <v>1.0694301353727542E-2</v>
      </c>
      <c r="GV65" s="27">
        <f>IF(ISNUMBER(GV64),GV64*(1+PortfolioFrontier[[#This Row],[P51 Return]]),1+PortfolioFrontier[[#This Row],[P51 Return]])</f>
        <v>1.5832598010264354</v>
      </c>
      <c r="GW65" s="27">
        <f>MAX(GW64,PortfolioFrontier[[#This Row],[P51 Growth]])</f>
        <v>1.5832598010264354</v>
      </c>
      <c r="GX65" s="27">
        <f>PortfolioFrontier[[#This Row],[P51 Growth]]/PortfolioFrontier[[#This Row],[P51 HWM]]-1</f>
        <v>0</v>
      </c>
      <c r="GY65" s="28">
        <f>SUMPRODUCT(INDEX(PortfolioRef[[SPY]:[PE]],MATCH(GY$1,PortfolioRef[Reference '#]),0),AssetMonthlyReturns[[#This Row],[SPY]:[PE]])</f>
        <v>7.7366086864193292E-4</v>
      </c>
      <c r="GZ65" s="27">
        <f>IF(ISNUMBER(GZ64),GZ64*(1+PortfolioFrontier[[#This Row],[P52 Return]]),1+PortfolioFrontier[[#This Row],[P52 Return]])</f>
        <v>1.6375620740810322</v>
      </c>
      <c r="HA65" s="27">
        <f>MAX(HA64,PortfolioFrontier[[#This Row],[P52 Growth]])</f>
        <v>1.6375620740810322</v>
      </c>
      <c r="HB65" s="27">
        <f>PortfolioFrontier[[#This Row],[P52 Growth]]/PortfolioFrontier[[#This Row],[P52 HWM]]-1</f>
        <v>0</v>
      </c>
      <c r="HC65" s="28">
        <f>SUMPRODUCT(INDEX(PortfolioRef[[SPY]:[PE]],MATCH(HC$1,PortfolioRef[Reference '#]),0),AssetMonthlyReturns[[#This Row],[SPY]:[PE]])</f>
        <v>1.4737599861744705E-3</v>
      </c>
      <c r="HD65" s="27">
        <f>IF(ISNUMBER(HD64),HD64*(1+PortfolioFrontier[[#This Row],[P53 Return]]),1+PortfolioFrontier[[#This Row],[P53 Return]])</f>
        <v>1.6117980987876825</v>
      </c>
      <c r="HE65" s="27">
        <f>MAX(HE64,PortfolioFrontier[[#This Row],[P53 Growth]])</f>
        <v>1.6117980987876825</v>
      </c>
      <c r="HF65" s="27">
        <f>PortfolioFrontier[[#This Row],[P53 Growth]]/PortfolioFrontier[[#This Row],[P53 HWM]]-1</f>
        <v>0</v>
      </c>
      <c r="HG65" s="28">
        <f>SUMPRODUCT(INDEX(PortfolioRef[[SPY]:[PE]],MATCH(HG$1,PortfolioRef[Reference '#]),0),AssetMonthlyReturns[[#This Row],[SPY]:[PE]])</f>
        <v>2.1738591037070085E-3</v>
      </c>
      <c r="HH65" s="27">
        <f>IF(ISNUMBER(HH64),HH64*(1+PortfolioFrontier[[#This Row],[P54 Return]]),1+PortfolioFrontier[[#This Row],[P54 Return]])</f>
        <v>1.5858231033890255</v>
      </c>
      <c r="HI65" s="27">
        <f>MAX(HI64,PortfolioFrontier[[#This Row],[P54 Growth]])</f>
        <v>1.5858231033890255</v>
      </c>
      <c r="HJ65" s="27">
        <f>PortfolioFrontier[[#This Row],[P54 Growth]]/PortfolioFrontier[[#This Row],[P54 HWM]]-1</f>
        <v>0</v>
      </c>
      <c r="HK65" s="28">
        <f>SUMPRODUCT(INDEX(PortfolioRef[[SPY]:[PE]],MATCH(HK$1,PortfolioRef[Reference '#]),0),AssetMonthlyReturns[[#This Row],[SPY]:[PE]])</f>
        <v>5.3036328440883452E-3</v>
      </c>
      <c r="HL65" s="27">
        <f>IF(ISNUMBER(HL64),HL64*(1+PortfolioFrontier[[#This Row],[P55 Return]]),1+PortfolioFrontier[[#This Row],[P55 Return]])</f>
        <v>1.6466057538243095</v>
      </c>
      <c r="HM65" s="27">
        <f>MAX(HM64,PortfolioFrontier[[#This Row],[P55 Growth]])</f>
        <v>1.6466057538243095</v>
      </c>
      <c r="HN65" s="27">
        <f>PortfolioFrontier[[#This Row],[P55 Growth]]/PortfolioFrontier[[#This Row],[P55 HWM]]-1</f>
        <v>0</v>
      </c>
      <c r="HO65" s="28">
        <f>SUMPRODUCT(INDEX(PortfolioRef[[SPY]:[PE]],MATCH(HO$1,PortfolioRef[Reference '#]),0),AssetMonthlyReturns[[#This Row],[SPY]:[PE]])</f>
        <v>6.0037319616208836E-3</v>
      </c>
      <c r="HP65" s="27">
        <f>IF(ISNUMBER(HP64),HP64*(1+PortfolioFrontier[[#This Row],[P56 Return]]),1+PortfolioFrontier[[#This Row],[P56 Return]])</f>
        <v>1.6211911001427073</v>
      </c>
      <c r="HQ65" s="27">
        <f>MAX(HQ64,PortfolioFrontier[[#This Row],[P56 Growth]])</f>
        <v>1.6211911001427073</v>
      </c>
      <c r="HR65" s="27">
        <f>PortfolioFrontier[[#This Row],[P56 Growth]]/PortfolioFrontier[[#This Row],[P56 HWM]]-1</f>
        <v>0</v>
      </c>
      <c r="HS65" s="28">
        <f>SUMPRODUCT(INDEX(PortfolioRef[[SPY]:[PE]],MATCH(HS$1,PortfolioRef[Reference '#]),0),AssetMonthlyReturns[[#This Row],[SPY]:[PE]])</f>
        <v>6.7038310791534203E-3</v>
      </c>
      <c r="HT65" s="27">
        <f>IF(ISNUMBER(HT64),HT64*(1+PortfolioFrontier[[#This Row],[P57 Return]]),1+PortfolioFrontier[[#This Row],[P57 Return]])</f>
        <v>1.5955447701290055</v>
      </c>
      <c r="HU65" s="27">
        <f>MAX(HU64,PortfolioFrontier[[#This Row],[P57 Growth]])</f>
        <v>1.5955447701290055</v>
      </c>
      <c r="HV65" s="27">
        <f>PortfolioFrontier[[#This Row],[P57 Growth]]/PortfolioFrontier[[#This Row],[P57 HWM]]-1</f>
        <v>0</v>
      </c>
      <c r="HW65" s="28">
        <f>SUMPRODUCT(INDEX(PortfolioRef[[SPY]:[PE]],MATCH(HW$1,PortfolioRef[Reference '#]),0),AssetMonthlyReturns[[#This Row],[SPY]:[PE]])</f>
        <v>9.833604819534757E-3</v>
      </c>
      <c r="HX65" s="27">
        <f>IF(ISNUMBER(HX64),HX64*(1+PortfolioFrontier[[#This Row],[P58 Return]]),1+PortfolioFrontier[[#This Row],[P58 Return]])</f>
        <v>1.654856844745165</v>
      </c>
      <c r="HY65" s="27">
        <f>MAX(HY64,PortfolioFrontier[[#This Row],[P58 Growth]])</f>
        <v>1.654856844745165</v>
      </c>
      <c r="HZ65" s="27">
        <f>PortfolioFrontier[[#This Row],[P58 Growth]]/PortfolioFrontier[[#This Row],[P58 HWM]]-1</f>
        <v>0</v>
      </c>
      <c r="IA65" s="28">
        <f>SUMPRODUCT(INDEX(PortfolioRef[[SPY]:[PE]],MATCH(IA$1,PortfolioRef[Reference '#]),0),AssetMonthlyReturns[[#This Row],[SPY]:[PE]])</f>
        <v>1.0533703937067294E-2</v>
      </c>
      <c r="IB65" s="27">
        <f>IF(ISNUMBER(IB64),IB64*(1+PortfolioFrontier[[#This Row],[P59 Return]]),1+PortfolioFrontier[[#This Row],[P59 Return]])</f>
        <v>1.629812822793304</v>
      </c>
      <c r="IC65" s="27">
        <f>MAX(IC64,PortfolioFrontier[[#This Row],[P59 Growth]])</f>
        <v>1.629812822793304</v>
      </c>
      <c r="ID65" s="27">
        <f>PortfolioFrontier[[#This Row],[P59 Growth]]/PortfolioFrontier[[#This Row],[P59 HWM]]-1</f>
        <v>0</v>
      </c>
      <c r="IE65" s="28">
        <f>SUMPRODUCT(INDEX(PortfolioRef[[SPY]:[PE]],MATCH(IE$1,PortfolioRef[Reference '#]),0),AssetMonthlyReturns[[#This Row],[SPY]:[PE]])</f>
        <v>1.1233803054599832E-2</v>
      </c>
      <c r="IF65" s="27">
        <f>IF(ISNUMBER(IF64),IF64*(1+PortfolioFrontier[[#This Row],[P60 Return]]),1+PortfolioFrontier[[#This Row],[P60 Return]])</f>
        <v>1.6045163614419413</v>
      </c>
      <c r="IG65" s="27">
        <f>MAX(IG64,PortfolioFrontier[[#This Row],[P60 Growth]])</f>
        <v>1.6045163614419413</v>
      </c>
      <c r="IH65" s="27">
        <f>PortfolioFrontier[[#This Row],[P60 Growth]]/PortfolioFrontier[[#This Row],[P60 HWM]]-1</f>
        <v>0</v>
      </c>
      <c r="II65" s="28">
        <f>SUMPRODUCT(INDEX(PortfolioRef[[SPY]:[PE]],MATCH(II$1,PortfolioRef[Reference '#]),0),AssetMonthlyReturns[[#This Row],[SPY]:[PE]])</f>
        <v>7.1376624429705373E-3</v>
      </c>
      <c r="IJ65" s="27">
        <f>IF(ISNUMBER(IJ64),IJ64*(1+PortfolioFrontier[[#This Row],[P61 Return]]),1+PortfolioFrontier[[#This Row],[P61 Return]])</f>
        <v>1.5182521254241885</v>
      </c>
      <c r="IK65" s="27">
        <f>MAX(IK64,PortfolioFrontier[[#This Row],[P61 Growth]])</f>
        <v>1.5182521254241885</v>
      </c>
      <c r="IL65" s="27">
        <f>PortfolioFrontier[[#This Row],[P61 Growth]]/PortfolioFrontier[[#This Row],[P61 HWM]]-1</f>
        <v>0</v>
      </c>
      <c r="IM65" s="28">
        <f>SUMPRODUCT(INDEX(PortfolioRef[[SPY]:[PE]],MATCH(IM$1,PortfolioRef[Reference '#]),0),AssetMonthlyReturns[[#This Row],[SPY]:[PE]])</f>
        <v>3.1471921683964184E-3</v>
      </c>
      <c r="IN65" s="27">
        <f>IF(ISNUMBER(IN64),IN64*(1+PortfolioFrontier[[#This Row],[P62 Return]]),1+PortfolioFrontier[[#This Row],[P62 Return]])</f>
        <v>1.5300043834659154</v>
      </c>
      <c r="IO65" s="27">
        <f>MAX(IO64,PortfolioFrontier[[#This Row],[P62 Growth]])</f>
        <v>1.5300043834659154</v>
      </c>
      <c r="IP65" s="27">
        <f>PortfolioFrontier[[#This Row],[P62 Growth]]/PortfolioFrontier[[#This Row],[P62 HWM]]-1</f>
        <v>0</v>
      </c>
      <c r="IQ65" s="28">
        <f>SUMPRODUCT(INDEX(PortfolioRef[[SPY]:[PE]],MATCH(IQ$1,PortfolioRef[Reference '#]),0),AssetMonthlyReturns[[#This Row],[SPY]:[PE]])</f>
        <v>7.6771641438428302E-3</v>
      </c>
      <c r="IR65" s="27">
        <f>IF(ISNUMBER(IR64),IR64*(1+PortfolioFrontier[[#This Row],[P63 Return]]),1+PortfolioFrontier[[#This Row],[P63 Return]])</f>
        <v>1.5395210766422915</v>
      </c>
      <c r="IS65" s="27">
        <f>MAX(IS64,PortfolioFrontier[[#This Row],[P63 Growth]])</f>
        <v>1.5395210766422915</v>
      </c>
      <c r="IT65" s="27">
        <f>PortfolioFrontier[[#This Row],[P63 Growth]]/PortfolioFrontier[[#This Row],[P63 HWM]]-1</f>
        <v>0</v>
      </c>
      <c r="IU65" s="28">
        <f>SUMPRODUCT(INDEX(PortfolioRef[[SPY]:[PE]],MATCH(IU$1,PortfolioRef[Reference '#]),0),AssetMonthlyReturns[[#This Row],[SPY]:[PE]])</f>
        <v>8.3772632613753686E-3</v>
      </c>
      <c r="IV65" s="27">
        <f>IF(ISNUMBER(IV64),IV64*(1+PortfolioFrontier[[#This Row],[P64 Return]]),1+PortfolioFrontier[[#This Row],[P64 Return]])</f>
        <v>1.514420465152907</v>
      </c>
      <c r="IW65" s="27">
        <f>MAX(IW64,PortfolioFrontier[[#This Row],[P64 Growth]])</f>
        <v>1.514420465152907</v>
      </c>
      <c r="IX65" s="27">
        <f>PortfolioFrontier[[#This Row],[P64 Growth]]/PortfolioFrontier[[#This Row],[P64 HWM]]-1</f>
        <v>0</v>
      </c>
      <c r="IY65" s="28">
        <f>SUMPRODUCT(INDEX(PortfolioRef[[SPY]:[PE]],MATCH(IY$1,PortfolioRef[Reference '#]),0),AssetMonthlyReturns[[#This Row],[SPY]:[PE]])</f>
        <v>-8.4327810617770317E-4</v>
      </c>
      <c r="IZ65" s="27">
        <f>IF(ISNUMBER(IZ64),IZ64*(1+PortfolioFrontier[[#This Row],[P65 Return]]),1+PortfolioFrontier[[#This Row],[P65 Return]])</f>
        <v>1.5415502242933858</v>
      </c>
      <c r="JA65" s="27">
        <f>MAX(JA64,PortfolioFrontier[[#This Row],[P65 Growth]])</f>
        <v>1.5428512769963652</v>
      </c>
      <c r="JB65" s="27">
        <f>PortfolioFrontier[[#This Row],[P65 Growth]]/PortfolioFrontier[[#This Row],[P65 HWM]]-1</f>
        <v>-8.4327810617768062E-4</v>
      </c>
      <c r="JC65" s="28">
        <f>SUMPRODUCT(INDEX(PortfolioRef[[SPY]:[PE]],MATCH(JC$1,PortfolioRef[Reference '#]),0),AssetMonthlyReturns[[#This Row],[SPY]:[PE]])</f>
        <v>3.6866938692687091E-3</v>
      </c>
      <c r="JD65" s="27">
        <f>IF(ISNUMBER(JD64),JD64*(1+PortfolioFrontier[[#This Row],[P66 Return]]),1+PortfolioFrontier[[#This Row],[P66 Return]])</f>
        <v>1.551425574538408</v>
      </c>
      <c r="JE65" s="27">
        <f>MAX(JE64,PortfolioFrontier[[#This Row],[P66 Growth]])</f>
        <v>1.551425574538408</v>
      </c>
      <c r="JF65" s="27">
        <f>PortfolioFrontier[[#This Row],[P66 Growth]]/PortfolioFrontier[[#This Row],[P66 HWM]]-1</f>
        <v>0</v>
      </c>
      <c r="JG65" s="28">
        <f>SUMPRODUCT(INDEX(PortfolioRef[[SPY]:[PE]],MATCH(JG$1,PortfolioRef[Reference '#]),0),AssetMonthlyReturns[[#This Row],[SPY]:[PE]])</f>
        <v>4.3867929868012471E-3</v>
      </c>
      <c r="JH65" s="27">
        <f>IF(ISNUMBER(JH64),JH64*(1+PortfolioFrontier[[#This Row],[P67 Return]]),1+PortfolioFrontier[[#This Row],[P67 Return]])</f>
        <v>1.5261682127834137</v>
      </c>
      <c r="JI65" s="27">
        <f>MAX(JI64,PortfolioFrontier[[#This Row],[P67 Growth]])</f>
        <v>1.5261682127834137</v>
      </c>
      <c r="JJ65" s="27">
        <f>PortfolioFrontier[[#This Row],[P67 Growth]]/PortfolioFrontier[[#This Row],[P67 HWM]]-1</f>
        <v>0</v>
      </c>
      <c r="JK65" s="28">
        <f>SUMPRODUCT(INDEX(PortfolioRef[[SPY]:[PE]],MATCH(JK$1,PortfolioRef[Reference '#]),0),AssetMonthlyReturns[[#This Row],[SPY]:[PE]])</f>
        <v>8.2166658447151205E-3</v>
      </c>
      <c r="JL65" s="27">
        <f>IF(ISNUMBER(JL64),JL64*(1+PortfolioFrontier[[#This Row],[P68 Return]]),1+PortfolioFrontier[[#This Row],[P68 Return]])</f>
        <v>1.5605780776041434</v>
      </c>
      <c r="JM65" s="27">
        <f>MAX(JM64,PortfolioFrontier[[#This Row],[P68 Growth]])</f>
        <v>1.5605780776041434</v>
      </c>
      <c r="JN65" s="27">
        <f>PortfolioFrontier[[#This Row],[P68 Growth]]/PortfolioFrontier[[#This Row],[P68 HWM]]-1</f>
        <v>0</v>
      </c>
      <c r="JO65" s="28">
        <f>SUMPRODUCT(INDEX(PortfolioRef[[SPY]:[PE]],MATCH(JO$1,PortfolioRef[Reference '#]),0),AssetMonthlyReturns[[#This Row],[SPY]:[PE]])</f>
        <v>8.9167649622476589E-3</v>
      </c>
      <c r="JP65" s="27">
        <f>IF(ISNUMBER(JP64),JP64*(1+PortfolioFrontier[[#This Row],[P69 Return]]),1+PortfolioFrontier[[#This Row],[P69 Return]])</f>
        <v>1.5356315764723671</v>
      </c>
      <c r="JQ65" s="27">
        <f>MAX(JQ64,PortfolioFrontier[[#This Row],[P69 Growth]])</f>
        <v>1.5356315764723671</v>
      </c>
      <c r="JR65" s="27">
        <f>PortfolioFrontier[[#This Row],[P69 Growth]]/PortfolioFrontier[[#This Row],[P69 HWM]]-1</f>
        <v>0</v>
      </c>
      <c r="JS65" s="28">
        <f>SUMPRODUCT(INDEX(PortfolioRef[[SPY]:[PE]],MATCH(JS$1,PortfolioRef[Reference '#]),0),AssetMonthlyReturns[[#This Row],[SPY]:[PE]])</f>
        <v>9.6168640797801956E-3</v>
      </c>
      <c r="JT65" s="27">
        <f>IF(ISNUMBER(JT64),JT64*(1+PortfolioFrontier[[#This Row],[P70 Return]]),1+PortfolioFrontier[[#This Row],[P70 Return]])</f>
        <v>1.5104980086279265</v>
      </c>
      <c r="JU65" s="27">
        <f>MAX(JU64,PortfolioFrontier[[#This Row],[P70 Growth]])</f>
        <v>1.5104980086279265</v>
      </c>
      <c r="JV65" s="27">
        <f>PortfolioFrontier[[#This Row],[P70 Growth]]/PortfolioFrontier[[#This Row],[P70 HWM]]-1</f>
        <v>0</v>
      </c>
      <c r="JW65" s="28">
        <f>SUMPRODUCT(INDEX(PortfolioRef[[SPY]:[PE]],MATCH(JW$1,PortfolioRef[Reference '#]),0),AssetMonthlyReturns[[#This Row],[SPY]:[PE]])</f>
        <v>-3.0377640530541246E-4</v>
      </c>
      <c r="JX65" s="27">
        <f>IF(ISNUMBER(JX64),JX64*(1+PortfolioFrontier[[#This Row],[P71 Return]]),1+PortfolioFrontier[[#This Row],[P71 Return]])</f>
        <v>1.563121092321299</v>
      </c>
      <c r="JY65" s="27">
        <f>MAX(JY64,PortfolioFrontier[[#This Row],[P71 Growth]])</f>
        <v>1.5635960759165906</v>
      </c>
      <c r="JZ65" s="27">
        <f>PortfolioFrontier[[#This Row],[P71 Growth]]/PortfolioFrontier[[#This Row],[P71 HWM]]-1</f>
        <v>-3.0377640530532268E-4</v>
      </c>
      <c r="KA65" s="28">
        <f>SUMPRODUCT(INDEX(PortfolioRef[[SPY]:[PE]],MATCH(KA$1,PortfolioRef[Reference '#]),0),AssetMonthlyReturns[[#This Row],[SPY]:[PE]])</f>
        <v>3.9632271222712553E-4</v>
      </c>
      <c r="KB65" s="27">
        <f>IF(ISNUMBER(KB64),KB64*(1+PortfolioFrontier[[#This Row],[P72 Return]]),1+PortfolioFrontier[[#This Row],[P72 Return]])</f>
        <v>1.5377105607303947</v>
      </c>
      <c r="KC65" s="27">
        <f>MAX(KC64,PortfolioFrontier[[#This Row],[P72 Growth]])</f>
        <v>1.5377105607303947</v>
      </c>
      <c r="KD65" s="27">
        <f>PortfolioFrontier[[#This Row],[P72 Growth]]/PortfolioFrontier[[#This Row],[P72 HWM]]-1</f>
        <v>0</v>
      </c>
      <c r="KE65" s="28">
        <f>SUMPRODUCT(INDEX(PortfolioRef[[SPY]:[PE]],MATCH(KE$1,PortfolioRef[Reference '#]),0),AssetMonthlyReturns[[#This Row],[SPY]:[PE]])</f>
        <v>4.2261955701410007E-3</v>
      </c>
      <c r="KF65" s="27">
        <f>IF(ISNUMBER(KF64),KF64*(1+PortfolioFrontier[[#This Row],[P73 Return]]),1+PortfolioFrontier[[#This Row],[P73 Return]])</f>
        <v>1.5726330184253741</v>
      </c>
      <c r="KG65" s="27">
        <f>MAX(KG64,PortfolioFrontier[[#This Row],[P73 Growth]])</f>
        <v>1.5726330184253741</v>
      </c>
      <c r="KH65" s="27">
        <f>PortfolioFrontier[[#This Row],[P73 Growth]]/PortfolioFrontier[[#This Row],[P73 HWM]]-1</f>
        <v>0</v>
      </c>
      <c r="KI65" s="28">
        <f>SUMPRODUCT(INDEX(PortfolioRef[[SPY]:[PE]],MATCH(KI$1,PortfolioRef[Reference '#]),0),AssetMonthlyReturns[[#This Row],[SPY]:[PE]])</f>
        <v>4.9262946876735374E-3</v>
      </c>
      <c r="KJ65" s="27">
        <f>IF(ISNUMBER(KJ64),KJ64*(1+PortfolioFrontier[[#This Row],[P74 Return]]),1+PortfolioFrontier[[#This Row],[P74 Return]])</f>
        <v>1.5475314653405392</v>
      </c>
      <c r="KK65" s="27">
        <f>MAX(KK64,PortfolioFrontier[[#This Row],[P74 Growth]])</f>
        <v>1.5475314653405392</v>
      </c>
      <c r="KL65" s="27">
        <f>PortfolioFrontier[[#This Row],[P74 Growth]]/PortfolioFrontier[[#This Row],[P74 HWM]]-1</f>
        <v>0</v>
      </c>
      <c r="KM65" s="28">
        <f>SUMPRODUCT(INDEX(PortfolioRef[[SPY]:[PE]],MATCH(KM$1,PortfolioRef[Reference '#]),0),AssetMonthlyReturns[[#This Row],[SPY]:[PE]])</f>
        <v>5.6263938052060758E-3</v>
      </c>
      <c r="KN65" s="27">
        <f>IF(ISNUMBER(KN64),KN64*(1+PortfolioFrontier[[#This Row],[P75 Return]]),1+PortfolioFrontier[[#This Row],[P75 Return]])</f>
        <v>1.5222404255524868</v>
      </c>
      <c r="KO65" s="27">
        <f>MAX(KO64,PortfolioFrontier[[#This Row],[P75 Growth]])</f>
        <v>1.5222404255524868</v>
      </c>
      <c r="KP65" s="27">
        <f>PortfolioFrontier[[#This Row],[P75 Growth]]/PortfolioFrontier[[#This Row],[P75 HWM]]-1</f>
        <v>0</v>
      </c>
      <c r="KQ65" s="28">
        <f>SUMPRODUCT(INDEX(PortfolioRef[[SPY]:[PE]],MATCH(KQ$1,PortfolioRef[Reference '#]),0),AssetMonthlyReturns[[#This Row],[SPY]:[PE]])</f>
        <v>8.7561675455874108E-3</v>
      </c>
      <c r="KR65" s="27">
        <f>IF(ISNUMBER(KR64),KR64*(1+PortfolioFrontier[[#This Row],[P76 Return]]),1+PortfolioFrontier[[#This Row],[P76 Return]])</f>
        <v>1.5814030085683959</v>
      </c>
      <c r="KS65" s="27">
        <f>MAX(KS64,PortfolioFrontier[[#This Row],[P76 Growth]])</f>
        <v>1.5814030085683959</v>
      </c>
      <c r="KT65" s="27">
        <f>PortfolioFrontier[[#This Row],[P76 Growth]]/PortfolioFrontier[[#This Row],[P76 HWM]]-1</f>
        <v>0</v>
      </c>
      <c r="KU65" s="28">
        <f>SUMPRODUCT(INDEX(PortfolioRef[[SPY]:[PE]],MATCH(KU$1,PortfolioRef[Reference '#]),0),AssetMonthlyReturns[[#This Row],[SPY]:[PE]])</f>
        <v>9.4562666631199492E-3</v>
      </c>
      <c r="KV65" s="27">
        <f>IF(ISNUMBER(KV64),KV64*(1+PortfolioFrontier[[#This Row],[P77 Return]]),1+PortfolioFrontier[[#This Row],[P77 Return]])</f>
        <v>1.5566311216100877</v>
      </c>
      <c r="KW65" s="27">
        <f>MAX(KW64,PortfolioFrontier[[#This Row],[P77 Growth]])</f>
        <v>1.5566311216100877</v>
      </c>
      <c r="KX65" s="27">
        <f>PortfolioFrontier[[#This Row],[P77 Growth]]/PortfolioFrontier[[#This Row],[P77 HWM]]-1</f>
        <v>0</v>
      </c>
      <c r="KY65" s="28">
        <f>SUMPRODUCT(INDEX(PortfolioRef[[SPY]:[PE]],MATCH(KY$1,PortfolioRef[Reference '#]),0),AssetMonthlyReturns[[#This Row],[SPY]:[PE]])</f>
        <v>1.0156365780652488E-2</v>
      </c>
      <c r="KZ65" s="27">
        <f>IF(ISNUMBER(KZ64),KZ64*(1+PortfolioFrontier[[#This Row],[P78 Return]]),1+PortfolioFrontier[[#This Row],[P78 Return]])</f>
        <v>1.5316499419169727</v>
      </c>
      <c r="LA65" s="27">
        <f>MAX(LA64,PortfolioFrontier[[#This Row],[P78 Growth]])</f>
        <v>1.5316499419169727</v>
      </c>
      <c r="LB65" s="27">
        <f>PortfolioFrontier[[#This Row],[P78 Growth]]/PortfolioFrontier[[#This Row],[P78 HWM]]-1</f>
        <v>0</v>
      </c>
      <c r="LC65" s="28">
        <f>SUMPRODUCT(INDEX(PortfolioRef[[SPY]:[PE]],MATCH(LC$1,PortfolioRef[Reference '#]),0),AssetMonthlyReturns[[#This Row],[SPY]:[PE]])</f>
        <v>2.3572529556687869E-4</v>
      </c>
      <c r="LD65" s="27">
        <f>IF(ISNUMBER(LD64),LD64*(1+PortfolioFrontier[[#This Row],[P79 Return]]),1+PortfolioFrontier[[#This Row],[P79 Return]])</f>
        <v>1.5844764510593228</v>
      </c>
      <c r="LE65" s="27">
        <f>MAX(LE64,PortfolioFrontier[[#This Row],[P79 Growth]])</f>
        <v>1.5844764510593228</v>
      </c>
      <c r="LF65" s="27">
        <f>PortfolioFrontier[[#This Row],[P79 Growth]]/PortfolioFrontier[[#This Row],[P79 HWM]]-1</f>
        <v>0</v>
      </c>
      <c r="LG65" s="28">
        <f>SUMPRODUCT(INDEX(PortfolioRef[[SPY]:[PE]],MATCH(LG$1,PortfolioRef[Reference '#]),0),AssetMonthlyReturns[[#This Row],[SPY]:[PE]])</f>
        <v>9.3582441309941582E-4</v>
      </c>
      <c r="LH65" s="27">
        <f>IF(ISNUMBER(LH64),LH64*(1+PortfolioFrontier[[#This Row],[P80 Return]]),1+PortfolioFrontier[[#This Row],[P80 Return]])</f>
        <v>1.5592234044046624</v>
      </c>
      <c r="LI65" s="27">
        <f>MAX(LI64,PortfolioFrontier[[#This Row],[P80 Growth]])</f>
        <v>1.5592234044046624</v>
      </c>
      <c r="LJ65" s="27">
        <f>PortfolioFrontier[[#This Row],[P80 Growth]]/PortfolioFrontier[[#This Row],[P80 HWM]]-1</f>
        <v>0</v>
      </c>
      <c r="LK65" s="28">
        <f>SUMPRODUCT(INDEX(PortfolioRef[[SPY]:[PE]],MATCH(LK$1,PortfolioRef[Reference '#]),0),AssetMonthlyReturns[[#This Row],[SPY]:[PE]])</f>
        <v>1.6359235306319542E-3</v>
      </c>
      <c r="LL65" s="27">
        <f>IF(ISNUMBER(LL64),LL64*(1+PortfolioFrontier[[#This Row],[P81 Return]]),1+PortfolioFrontier[[#This Row],[P81 Return]])</f>
        <v>1.5337784694125602</v>
      </c>
      <c r="LM65" s="27">
        <f>MAX(LM64,PortfolioFrontier[[#This Row],[P81 Growth]])</f>
        <v>1.5337784694125602</v>
      </c>
      <c r="LN65" s="27">
        <f>PortfolioFrontier[[#This Row],[P81 Growth]]/PortfolioFrontier[[#This Row],[P81 HWM]]-1</f>
        <v>0</v>
      </c>
      <c r="LO65" s="28">
        <f>SUMPRODUCT(INDEX(PortfolioRef[[SPY]:[PE]],MATCH(LO$1,PortfolioRef[Reference '#]),0),AssetMonthlyReturns[[#This Row],[SPY]:[PE]])</f>
        <v>4.765697271013291E-3</v>
      </c>
      <c r="LP65" s="27">
        <f>IF(ISNUMBER(LP64),LP64*(1+PortfolioFrontier[[#This Row],[P82 Return]]),1+PortfolioFrontier[[#This Row],[P82 Return]])</f>
        <v>1.5936064545867197</v>
      </c>
      <c r="LQ65" s="27">
        <f>MAX(LQ64,PortfolioFrontier[[#This Row],[P82 Growth]])</f>
        <v>1.5936064545867197</v>
      </c>
      <c r="LR65" s="27">
        <f>PortfolioFrontier[[#This Row],[P82 Growth]]/PortfolioFrontier[[#This Row],[P82 HWM]]-1</f>
        <v>0</v>
      </c>
      <c r="LS65" s="28">
        <f>SUMPRODUCT(INDEX(PortfolioRef[[SPY]:[PE]],MATCH(LS$1,PortfolioRef[Reference '#]),0),AssetMonthlyReturns[[#This Row],[SPY]:[PE]])</f>
        <v>5.4657963885458294E-3</v>
      </c>
      <c r="LT65" s="27">
        <f>IF(ISNUMBER(LT64),LT64*(1+PortfolioFrontier[[#This Row],[P83 Return]]),1+PortfolioFrontier[[#This Row],[P83 Return]])</f>
        <v>1.5686813550276573</v>
      </c>
      <c r="LU65" s="27">
        <f>MAX(LU64,PortfolioFrontier[[#This Row],[P83 Growth]])</f>
        <v>1.5686813550276573</v>
      </c>
      <c r="LV65" s="27">
        <f>PortfolioFrontier[[#This Row],[P83 Growth]]/PortfolioFrontier[[#This Row],[P83 HWM]]-1</f>
        <v>0</v>
      </c>
      <c r="LW65" s="28">
        <f>SUMPRODUCT(INDEX(PortfolioRef[[SPY]:[PE]],MATCH(LW$1,PortfolioRef[Reference '#]),0),AssetMonthlyReturns[[#This Row],[SPY]:[PE]])</f>
        <v>6.1658955060783661E-3</v>
      </c>
      <c r="LX65" s="27">
        <f>IF(ISNUMBER(LX64),LX64*(1+PortfolioFrontier[[#This Row],[P84 Return]]),1+PortfolioFrontier[[#This Row],[P84 Return]])</f>
        <v>1.5435443901000458</v>
      </c>
      <c r="LY65" s="27">
        <f>MAX(LY64,PortfolioFrontier[[#This Row],[P84 Growth]])</f>
        <v>1.5435443901000458</v>
      </c>
      <c r="LZ65" s="27">
        <f>PortfolioFrontier[[#This Row],[P84 Growth]]/PortfolioFrontier[[#This Row],[P84 HWM]]-1</f>
        <v>0</v>
      </c>
      <c r="MA65" s="28">
        <f>SUMPRODUCT(INDEX(PortfolioRef[[SPY]:[PE]],MATCH(MA$1,PortfolioRef[Reference '#]),0),AssetMonthlyReturns[[#This Row],[SPY]:[PE]])</f>
        <v>9.2956692464597028E-3</v>
      </c>
      <c r="MB65" s="27">
        <f>IF(ISNUMBER(MB64),MB64*(1+PortfolioFrontier[[#This Row],[P85 Return]]),1+PortfolioFrontier[[#This Row],[P85 Return]])</f>
        <v>1.6019754193029112</v>
      </c>
      <c r="MC65" s="27">
        <f>MAX(MC64,PortfolioFrontier[[#This Row],[P85 Growth]])</f>
        <v>1.6019754193029112</v>
      </c>
      <c r="MD65" s="27">
        <f>PortfolioFrontier[[#This Row],[P85 Growth]]/PortfolioFrontier[[#This Row],[P85 HWM]]-1</f>
        <v>0</v>
      </c>
      <c r="ME65" s="28">
        <f>SUMPRODUCT(INDEX(PortfolioRef[[SPY]:[PE]],MATCH(ME$1,PortfolioRef[Reference '#]),0),AssetMonthlyReturns[[#This Row],[SPY]:[PE]])</f>
        <v>9.9957683639922412E-3</v>
      </c>
      <c r="MF65" s="27">
        <f>IF(ISNUMBER(MF64),MF64*(1+PortfolioFrontier[[#This Row],[P86 Return]]),1+PortfolioFrontier[[#This Row],[P86 Return]])</f>
        <v>1.5773990387770742</v>
      </c>
      <c r="MG65" s="27">
        <f>MAX(MG64,PortfolioFrontier[[#This Row],[P86 Growth]])</f>
        <v>1.5773990387770742</v>
      </c>
      <c r="MH65" s="27">
        <f>PortfolioFrontier[[#This Row],[P86 Growth]]/PortfolioFrontier[[#This Row],[P86 HWM]]-1</f>
        <v>0</v>
      </c>
      <c r="MI65" s="28">
        <f>SUMPRODUCT(INDEX(PortfolioRef[[SPY]:[PE]],MATCH(MI$1,PortfolioRef[Reference '#]),0),AssetMonthlyReturns[[#This Row],[SPY]:[PE]])</f>
        <v>1.0695867481524778E-2</v>
      </c>
      <c r="MJ65" s="27">
        <f>IF(ISNUMBER(MJ64),MJ64*(1+PortfolioFrontier[[#This Row],[P87 Return]]),1+PortfolioFrontier[[#This Row],[P87 Return]])</f>
        <v>1.5525907000663834</v>
      </c>
      <c r="MK65" s="27">
        <f>MAX(MK64,PortfolioFrontier[[#This Row],[P87 Growth]])</f>
        <v>1.5525907000663834</v>
      </c>
      <c r="ML65" s="27">
        <f>PortfolioFrontier[[#This Row],[P87 Growth]]/PortfolioFrontier[[#This Row],[P87 HWM]]-1</f>
        <v>0</v>
      </c>
      <c r="MM65" s="28">
        <f>SUMPRODUCT(INDEX(PortfolioRef[[SPY]:[PE]],MATCH(MM$1,PortfolioRef[Reference '#]),0),AssetMonthlyReturns[[#This Row],[SPY]:[PE]])</f>
        <v>7.7522699643917028E-4</v>
      </c>
      <c r="MN65" s="27">
        <f>IF(ISNUMBER(MN64),MN64*(1+PortfolioFrontier[[#This Row],[P88 Return]]),1+PortfolioFrontier[[#This Row],[P88 Return]])</f>
        <v>1.605595901693762</v>
      </c>
      <c r="MO65" s="27">
        <f>MAX(MO64,PortfolioFrontier[[#This Row],[P88 Growth]])</f>
        <v>1.605595901693762</v>
      </c>
      <c r="MP65" s="27">
        <f>PortfolioFrontier[[#This Row],[P88 Growth]]/PortfolioFrontier[[#This Row],[P88 HWM]]-1</f>
        <v>0</v>
      </c>
      <c r="MQ65" s="28">
        <f>SUMPRODUCT(INDEX(PortfolioRef[[SPY]:[PE]],MATCH(MQ$1,PortfolioRef[Reference '#]),0),AssetMonthlyReturns[[#This Row],[SPY]:[PE]])</f>
        <v>1.4753261139717083E-3</v>
      </c>
      <c r="MR65" s="27">
        <f>IF(ISNUMBER(MR64),MR64*(1+PortfolioFrontier[[#This Row],[P89 Return]]),1+PortfolioFrontier[[#This Row],[P89 Return]])</f>
        <v>1.5805211231898451</v>
      </c>
      <c r="MS65" s="27">
        <f>MAX(MS64,PortfolioFrontier[[#This Row],[P89 Growth]])</f>
        <v>1.5805211231898451</v>
      </c>
      <c r="MT65" s="27">
        <f>PortfolioFrontier[[#This Row],[P89 Growth]]/PortfolioFrontier[[#This Row],[P89 HWM]]-1</f>
        <v>0</v>
      </c>
      <c r="MU65" s="28">
        <f>SUMPRODUCT(INDEX(PortfolioRef[[SPY]:[PE]],MATCH(MU$1,PortfolioRef[Reference '#]),0),AssetMonthlyReturns[[#This Row],[SPY]:[PE]])</f>
        <v>2.1754252315042463E-3</v>
      </c>
      <c r="MV65" s="27">
        <f>IF(ISNUMBER(MV64),MV64*(1+PortfolioFrontier[[#This Row],[P90 Return]]),1+PortfolioFrontier[[#This Row],[P90 Return]])</f>
        <v>1.5552319279938756</v>
      </c>
      <c r="MW65" s="27">
        <f>MAX(MW64,PortfolioFrontier[[#This Row],[P90 Growth]])</f>
        <v>1.5552319279938756</v>
      </c>
      <c r="MX65" s="27">
        <f>PortfolioFrontier[[#This Row],[P90 Growth]]/PortfolioFrontier[[#This Row],[P90 HWM]]-1</f>
        <v>0</v>
      </c>
      <c r="MY65" s="28">
        <f>SUMPRODUCT(INDEX(PortfolioRef[[SPY]:[PE]],MATCH(MY$1,PortfolioRef[Reference '#]),0),AssetMonthlyReturns[[#This Row],[SPY]:[PE]])</f>
        <v>5.305198971885583E-3</v>
      </c>
      <c r="MZ65" s="27">
        <f>IF(ISNUMBER(MZ64),MZ64*(1+PortfolioFrontier[[#This Row],[P91 Return]]),1+PortfolioFrontier[[#This Row],[P91 Return]])</f>
        <v>1.6143252901680021</v>
      </c>
      <c r="NA65" s="27">
        <f>MAX(NA64,PortfolioFrontier[[#This Row],[P91 Growth]])</f>
        <v>1.6143252901680021</v>
      </c>
      <c r="NB65" s="27">
        <f>PortfolioFrontier[[#This Row],[P91 Growth]]/PortfolioFrontier[[#This Row],[P91 HWM]]-1</f>
        <v>0</v>
      </c>
      <c r="NC65" s="28">
        <f>SUMPRODUCT(INDEX(PortfolioRef[[SPY]:[PE]],MATCH(NC$1,PortfolioRef[Reference '#]),0),AssetMonthlyReturns[[#This Row],[SPY]:[PE]])</f>
        <v>6.0052980894181205E-3</v>
      </c>
      <c r="ND65" s="27">
        <f>IF(ISNUMBER(ND64),ND64*(1+PortfolioFrontier[[#This Row],[P92 Return]]),1+PortfolioFrontier[[#This Row],[P92 Return]])</f>
        <v>1.589597679401032</v>
      </c>
      <c r="NE65" s="27">
        <f>MAX(NE64,PortfolioFrontier[[#This Row],[P92 Growth]])</f>
        <v>1.589597679401032</v>
      </c>
      <c r="NF65" s="27">
        <f>PortfolioFrontier[[#This Row],[P92 Growth]]/PortfolioFrontier[[#This Row],[P92 HWM]]-1</f>
        <v>0</v>
      </c>
      <c r="NG65" s="28">
        <f>SUMPRODUCT(INDEX(PortfolioRef[[SPY]:[PE]],MATCH(NG$1,PortfolioRef[Reference '#]),0),AssetMonthlyReturns[[#This Row],[SPY]:[PE]])</f>
        <v>6.7053972069506581E-3</v>
      </c>
      <c r="NH65" s="27">
        <f>IF(ISNUMBER(NH64),NH64*(1+PortfolioFrontier[[#This Row],[P93 Return]]),1+PortfolioFrontier[[#This Row],[P93 Return]])</f>
        <v>1.564635383137513</v>
      </c>
      <c r="NI65" s="27">
        <f>MAX(NI64,PortfolioFrontier[[#This Row],[P93 Growth]])</f>
        <v>1.564635383137513</v>
      </c>
      <c r="NJ65" s="27">
        <f>PortfolioFrontier[[#This Row],[P93 Growth]]/PortfolioFrontier[[#This Row],[P93 HWM]]-1</f>
        <v>0</v>
      </c>
      <c r="NK65" s="28">
        <f>SUMPRODUCT(INDEX(PortfolioRef[[SPY]:[PE]],MATCH(NK$1,PortfolioRef[Reference '#]),0),AssetMonthlyReturns[[#This Row],[SPY]:[PE]])</f>
        <v>9.8351709473319948E-3</v>
      </c>
      <c r="NL65" s="27">
        <f>IF(ISNUMBER(NL64),NL64*(1+PortfolioFrontier[[#This Row],[P94 Return]]),1+PortfolioFrontier[[#This Row],[P94 Return]])</f>
        <v>1.6222745416893776</v>
      </c>
      <c r="NM65" s="27">
        <f>MAX(NM64,PortfolioFrontier[[#This Row],[P94 Growth]])</f>
        <v>1.6222745416893776</v>
      </c>
      <c r="NN65" s="27">
        <f>PortfolioFrontier[[#This Row],[P94 Growth]]/PortfolioFrontier[[#This Row],[P94 HWM]]-1</f>
        <v>0</v>
      </c>
      <c r="NO65" s="28">
        <f>SUMPRODUCT(INDEX(PortfolioRef[[SPY]:[PE]],MATCH(NO$1,PortfolioRef[Reference '#]),0),AssetMonthlyReturns[[#This Row],[SPY]:[PE]])</f>
        <v>1.0535270064864533E-2</v>
      </c>
      <c r="NP65" s="27">
        <f>IF(ISNUMBER(NP64),NP64*(1+PortfolioFrontier[[#This Row],[P95 Return]]),1+PortfolioFrontier[[#This Row],[P95 Return]])</f>
        <v>1.5979149374706552</v>
      </c>
      <c r="NQ65" s="27">
        <f>MAX(NQ64,PortfolioFrontier[[#This Row],[P95 Growth]])</f>
        <v>1.5979149374706552</v>
      </c>
      <c r="NR65" s="27">
        <f>PortfolioFrontier[[#This Row],[P95 Growth]]/PortfolioFrontier[[#This Row],[P95 HWM]]-1</f>
        <v>0</v>
      </c>
      <c r="NS65" s="28">
        <f>SUMPRODUCT(INDEX(PortfolioRef[[SPY]:[PE]],MATCH(NS$1,PortfolioRef[Reference '#]),0),AssetMonthlyReturns[[#This Row],[SPY]:[PE]])</f>
        <v>1.123536918239707E-2</v>
      </c>
      <c r="NT65" s="27">
        <f>IF(ISNUMBER(NT64),NT64*(1+PortfolioFrontier[[#This Row],[P96 Return]]),1+PortfolioFrontier[[#This Row],[P96 Return]])</f>
        <v>1.5733002802023475</v>
      </c>
      <c r="NU65" s="27">
        <f>MAX(NU64,PortfolioFrontier[[#This Row],[P96 Growth]])</f>
        <v>1.5733002802023475</v>
      </c>
      <c r="NV65" s="27">
        <f>PortfolioFrontier[[#This Row],[P96 Growth]]/PortfolioFrontier[[#This Row],[P96 HWM]]-1</f>
        <v>0</v>
      </c>
      <c r="NW65" s="28">
        <f>SUMPRODUCT(INDEX(PortfolioRef[[SPY]:[PE]],MATCH(NW$1,PortfolioRef[Reference '#]),0),AssetMonthlyReturns[[#This Row],[SPY]:[PE]])</f>
        <v>6.5997268698954831E-3</v>
      </c>
      <c r="NX65" s="27">
        <f>IF(ISNUMBER(NX64),NX64*(1+PortfolioFrontier[[#This Row],[P97 Return]]),1+PortfolioFrontier[[#This Row],[P97 Return]])</f>
        <v>1.4678329003845758</v>
      </c>
      <c r="NY65" s="27">
        <f>MAX(NY64,PortfolioFrontier[[#This Row],[P97 Growth]])</f>
        <v>1.4678329003845758</v>
      </c>
      <c r="NZ65" s="27">
        <f>PortfolioFrontier[[#This Row],[P97 Growth]]/PortfolioFrontier[[#This Row],[P97 HWM]]-1</f>
        <v>0</v>
      </c>
      <c r="OA65" s="28">
        <f>SUMPRODUCT(INDEX(PortfolioRef[[SPY]:[PE]],MATCH(OA$1,PortfolioRef[Reference '#]),0),AssetMonthlyReturns[[#This Row],[SPY]:[PE]])</f>
        <v>2.6092565953213624E-3</v>
      </c>
      <c r="OB65" s="27">
        <f>IF(ISNUMBER(OB64),OB64*(1+PortfolioFrontier[[#This Row],[P98 Return]]),1+PortfolioFrontier[[#This Row],[P98 Return]])</f>
        <v>1.4792048410410688</v>
      </c>
      <c r="OC65" s="27">
        <f>MAX(OC64,PortfolioFrontier[[#This Row],[P98 Growth]])</f>
        <v>1.4792048410410688</v>
      </c>
      <c r="OD65" s="27">
        <f>PortfolioFrontier[[#This Row],[P98 Growth]]/PortfolioFrontier[[#This Row],[P98 HWM]]-1</f>
        <v>0</v>
      </c>
      <c r="OE65" s="28">
        <f>SUMPRODUCT(INDEX(PortfolioRef[[SPY]:[PE]],MATCH(OE$1,PortfolioRef[Reference '#]),0),AssetMonthlyReturns[[#This Row],[SPY]:[PE]])</f>
        <v>7.1392285707677743E-3</v>
      </c>
      <c r="OF65" s="27">
        <f>IF(ISNUMBER(OF64),OF64*(1+PortfolioFrontier[[#This Row],[P99 Return]]),1+PortfolioFrontier[[#This Row],[P99 Return]])</f>
        <v>1.4887535132648362</v>
      </c>
      <c r="OG65" s="27">
        <f>MAX(OG64,PortfolioFrontier[[#This Row],[P99 Growth]])</f>
        <v>1.4887535132648362</v>
      </c>
      <c r="OH65" s="27">
        <f>PortfolioFrontier[[#This Row],[P99 Growth]]/PortfolioFrontier[[#This Row],[P99 HWM]]-1</f>
        <v>0</v>
      </c>
      <c r="OI65" s="28">
        <f>SUMPRODUCT(INDEX(PortfolioRef[[SPY]:[PE]],MATCH(OI$1,PortfolioRef[Reference '#]),0),AssetMonthlyReturns[[#This Row],[SPY]:[PE]])</f>
        <v>7.8393276883003127E-3</v>
      </c>
      <c r="OJ65" s="27">
        <f>IF(ISNUMBER(OJ64),OJ64*(1+PortfolioFrontier[[#This Row],[P100 Return]]),1+PortfolioFrontier[[#This Row],[P100 Return]])</f>
        <v>1.464178671665892</v>
      </c>
      <c r="OK65" s="27">
        <f>MAX(OK64,PortfolioFrontier[[#This Row],[P100 Growth]])</f>
        <v>1.464178671665892</v>
      </c>
      <c r="OL65" s="27">
        <f>PortfolioFrontier[[#This Row],[P100 Growth]]/PortfolioFrontier[[#This Row],[P100 HWM]]-1</f>
        <v>0</v>
      </c>
      <c r="OM65" s="28">
        <f>SUMPRODUCT(INDEX(PortfolioRef[[SPY]:[PE]],MATCH(OM$1,PortfolioRef[Reference '#]),0),AssetMonthlyReturns[[#This Row],[SPY]:[PE]])</f>
        <v>-1.3812136792527583E-3</v>
      </c>
      <c r="ON65" s="27">
        <f>IF(ISNUMBER(ON64),ON64*(1+PortfolioFrontier[[#This Row],[P101 Return]]),1+PortfolioFrontier[[#This Row],[P101 Return]])</f>
        <v>1.4903766760533916</v>
      </c>
      <c r="OO65" s="27">
        <f>MAX(OO64,PortfolioFrontier[[#This Row],[P101 Growth]])</f>
        <v>1.4924380519061218</v>
      </c>
      <c r="OP65" s="27">
        <f>PortfolioFrontier[[#This Row],[P101 Growth]]/PortfolioFrontier[[#This Row],[P101 HWM]]-1</f>
        <v>-1.3812136792528129E-3</v>
      </c>
      <c r="OQ65" s="28">
        <f>SUMPRODUCT(INDEX(PortfolioRef[[SPY]:[PE]],MATCH(OQ$1,PortfolioRef[Reference '#]),0),AssetMonthlyReturns[[#This Row],[SPY]:[PE]])</f>
        <v>3.148758296193654E-3</v>
      </c>
      <c r="OR65" s="27">
        <f>IF(ISNUMBER(OR64),OR64*(1+PortfolioFrontier[[#This Row],[P102 Return]]),1+PortfolioFrontier[[#This Row],[P102 Return]])</f>
        <v>1.5002754245732477</v>
      </c>
      <c r="OS65" s="27">
        <f>MAX(OS64,PortfolioFrontier[[#This Row],[P102 Growth]])</f>
        <v>1.5002754245732477</v>
      </c>
      <c r="OT65" s="27">
        <f>PortfolioFrontier[[#This Row],[P102 Growth]]/PortfolioFrontier[[#This Row],[P102 HWM]]-1</f>
        <v>0</v>
      </c>
      <c r="OU65" s="28">
        <f>SUMPRODUCT(INDEX(PortfolioRef[[SPY]:[PE]],MATCH(OU$1,PortfolioRef[Reference '#]),0),AssetMonthlyReturns[[#This Row],[SPY]:[PE]])</f>
        <v>3.848857413726192E-3</v>
      </c>
      <c r="OV65" s="27">
        <f>IF(ISNUMBER(OV64),OV64*(1+PortfolioFrontier[[#This Row],[P103 Return]]),1+PortfolioFrontier[[#This Row],[P103 Return]])</f>
        <v>1.4755466364633225</v>
      </c>
      <c r="OW65" s="27">
        <f>MAX(OW64,PortfolioFrontier[[#This Row],[P103 Growth]])</f>
        <v>1.4755466364633225</v>
      </c>
      <c r="OX65" s="27">
        <f>PortfolioFrontier[[#This Row],[P103 Growth]]/PortfolioFrontier[[#This Row],[P103 HWM]]-1</f>
        <v>0</v>
      </c>
      <c r="OY65" s="28">
        <f>SUMPRODUCT(INDEX(PortfolioRef[[SPY]:[PE]],MATCH(OY$1,PortfolioRef[Reference '#]),0),AssetMonthlyReturns[[#This Row],[SPY]:[PE]])</f>
        <v>7.6787302716400663E-3</v>
      </c>
      <c r="OZ65" s="27">
        <f>IF(ISNUMBER(OZ64),OZ64*(1+PortfolioFrontier[[#This Row],[P104 Return]]),1+PortfolioFrontier[[#This Row],[P104 Return]])</f>
        <v>1.509481091026855</v>
      </c>
      <c r="PA65" s="27">
        <f>MAX(PA64,PortfolioFrontier[[#This Row],[P104 Growth]])</f>
        <v>1.509481091026855</v>
      </c>
      <c r="PB65" s="27">
        <f>PortfolioFrontier[[#This Row],[P104 Growth]]/PortfolioFrontier[[#This Row],[P104 HWM]]-1</f>
        <v>0</v>
      </c>
      <c r="PC65" s="28">
        <f>SUMPRODUCT(INDEX(PortfolioRef[[SPY]:[PE]],MATCH(PC$1,PortfolioRef[Reference '#]),0),AssetMonthlyReturns[[#This Row],[SPY]:[PE]])</f>
        <v>8.378829389172603E-3</v>
      </c>
      <c r="PD65" s="27">
        <f>IF(ISNUMBER(PD64),PD64*(1+PortfolioFrontier[[#This Row],[P105 Return]]),1+PortfolioFrontier[[#This Row],[P105 Return]])</f>
        <v>1.4850433427714254</v>
      </c>
      <c r="PE65" s="27">
        <f>MAX(PE64,PortfolioFrontier[[#This Row],[P105 Growth]])</f>
        <v>1.4850433427714254</v>
      </c>
      <c r="PF65" s="27">
        <f>PortfolioFrontier[[#This Row],[P105 Growth]]/PortfolioFrontier[[#This Row],[P105 HWM]]-1</f>
        <v>0</v>
      </c>
      <c r="PG65" s="28">
        <f>SUMPRODUCT(INDEX(PortfolioRef[[SPY]:[PE]],MATCH(PG$1,PortfolioRef[Reference '#]),0),AssetMonthlyReturns[[#This Row],[SPY]:[PE]])</f>
        <v>9.0789285067051414E-3</v>
      </c>
      <c r="PH65" s="27">
        <f>IF(ISNUMBER(PH64),PH64*(1+PortfolioFrontier[[#This Row],[P106 Return]]),1+PortfolioFrontier[[#This Row],[P106 Return]])</f>
        <v>1.4604364154042693</v>
      </c>
      <c r="PI65" s="27">
        <f>MAX(PI64,PortfolioFrontier[[#This Row],[P106 Growth]])</f>
        <v>1.4604364154042693</v>
      </c>
      <c r="PJ65" s="27">
        <f>PortfolioFrontier[[#This Row],[P106 Growth]]/PortfolioFrontier[[#This Row],[P106 HWM]]-1</f>
        <v>0</v>
      </c>
      <c r="PK65" s="28">
        <f>SUMPRODUCT(INDEX(PortfolioRef[[SPY]:[PE]],MATCH(PK$1,PortfolioRef[Reference '#]),0),AssetMonthlyReturns[[#This Row],[SPY]:[PE]])</f>
        <v>-8.4171197838046712E-4</v>
      </c>
      <c r="PL65" s="27">
        <f>IF(ISNUMBER(PL64),PL64*(1+PortfolioFrontier[[#This Row],[P107 Return]]),1+PortfolioFrontier[[#This Row],[P107 Return]])</f>
        <v>1.5115946994395382</v>
      </c>
      <c r="PM65" s="27">
        <f>MAX(PM64,PortfolioFrontier[[#This Row],[P107 Growth]])</f>
        <v>1.512868098639873</v>
      </c>
      <c r="PN65" s="27">
        <f>PortfolioFrontier[[#This Row],[P107 Growth]]/PortfolioFrontier[[#This Row],[P107 HWM]]-1</f>
        <v>-8.4171197838045497E-4</v>
      </c>
      <c r="PO65" s="28">
        <f>SUMPRODUCT(INDEX(PortfolioRef[[SPY]:[PE]],MATCH(PO$1,PortfolioRef[Reference '#]),0),AssetMonthlyReturns[[#This Row],[SPY]:[PE]])</f>
        <v>-1.4161286084792869E-4</v>
      </c>
      <c r="PP65" s="27">
        <f>IF(ISNUMBER(PP64),PP64*(1+PortfolioFrontier[[#This Row],[P108 Return]]),1+PortfolioFrontier[[#This Row],[P108 Return]])</f>
        <v>1.4867154759236068</v>
      </c>
      <c r="PQ65" s="27">
        <f>MAX(PQ64,PortfolioFrontier[[#This Row],[P108 Growth]])</f>
        <v>1.4869260437745349</v>
      </c>
      <c r="PR65" s="27">
        <f>PortfolioFrontier[[#This Row],[P108 Growth]]/PortfolioFrontier[[#This Row],[P108 HWM]]-1</f>
        <v>-1.4161286084790614E-4</v>
      </c>
      <c r="PS65" s="28">
        <f>SUMPRODUCT(INDEX(PortfolioRef[[SPY]:[PE]],MATCH(PS$1,PortfolioRef[Reference '#]),0),AssetMonthlyReturns[[#This Row],[SPY]:[PE]])</f>
        <v>3.688259997065946E-3</v>
      </c>
      <c r="PT65" s="27">
        <f>IF(ISNUMBER(PT64),PT64*(1+PortfolioFrontier[[#This Row],[P109 Return]]),1+PortfolioFrontier[[#This Row],[P109 Return]])</f>
        <v>1.5211513151210507</v>
      </c>
      <c r="PU65" s="27">
        <f>MAX(PU64,PortfolioFrontier[[#This Row],[P109 Growth]])</f>
        <v>1.5211513151210507</v>
      </c>
      <c r="PV65" s="27">
        <f>PortfolioFrontier[[#This Row],[P109 Growth]]/PortfolioFrontier[[#This Row],[P109 HWM]]-1</f>
        <v>0</v>
      </c>
      <c r="PW65" s="28">
        <f>SUMPRODUCT(INDEX(PortfolioRef[[SPY]:[PE]],MATCH(PW$1,PortfolioRef[Reference '#]),0),AssetMonthlyReturns[[#This Row],[SPY]:[PE]])</f>
        <v>4.3883591145984831E-3</v>
      </c>
      <c r="PX65" s="27">
        <f>IF(ISNUMBER(PX64),PX64*(1+PortfolioFrontier[[#This Row],[P110 Return]]),1+PortfolioFrontier[[#This Row],[P110 Return]])</f>
        <v>1.4965611874984417</v>
      </c>
      <c r="PY65" s="27">
        <f>MAX(PY64,PortfolioFrontier[[#This Row],[P110 Growth]])</f>
        <v>1.4965611874984417</v>
      </c>
      <c r="PZ65" s="27">
        <f>PortfolioFrontier[[#This Row],[P110 Growth]]/PortfolioFrontier[[#This Row],[P110 HWM]]-1</f>
        <v>0</v>
      </c>
      <c r="QA65" s="28">
        <f>SUMPRODUCT(INDEX(PortfolioRef[[SPY]:[PE]],MATCH(QA$1,PortfolioRef[Reference '#]),0),AssetMonthlyReturns[[#This Row],[SPY]:[PE]])</f>
        <v>5.0884582321310216E-3</v>
      </c>
      <c r="QB65" s="27">
        <f>IF(ISNUMBER(QB64),QB64*(1+PortfolioFrontier[[#This Row],[P111 Return]]),1+PortfolioFrontier[[#This Row],[P111 Return]])</f>
        <v>1.4717996102981263</v>
      </c>
      <c r="QC65" s="27">
        <f>MAX(QC64,PortfolioFrontier[[#This Row],[P111 Growth]])</f>
        <v>1.4717996102981263</v>
      </c>
      <c r="QD65" s="27">
        <f>PortfolioFrontier[[#This Row],[P111 Growth]]/PortfolioFrontier[[#This Row],[P111 HWM]]-1</f>
        <v>0</v>
      </c>
      <c r="QE65" s="28">
        <f>SUMPRODUCT(INDEX(PortfolioRef[[SPY]:[PE]],MATCH(QE$1,PortfolioRef[Reference '#]),0),AssetMonthlyReturns[[#This Row],[SPY]:[PE]])</f>
        <v>8.2182319725123583E-3</v>
      </c>
      <c r="QF65" s="27">
        <f>IF(ISNUMBER(QF64),QF64*(1+PortfolioFrontier[[#This Row],[P112 Return]]),1+PortfolioFrontier[[#This Row],[P112 Return]])</f>
        <v>1.529996204322627</v>
      </c>
      <c r="QG65" s="27">
        <f>MAX(QG64,PortfolioFrontier[[#This Row],[P112 Growth]])</f>
        <v>1.529996204322627</v>
      </c>
      <c r="QH65" s="27">
        <f>PortfolioFrontier[[#This Row],[P112 Growth]]/PortfolioFrontier[[#This Row],[P112 HWM]]-1</f>
        <v>0</v>
      </c>
      <c r="QI65" s="28">
        <f>SUMPRODUCT(INDEX(PortfolioRef[[SPY]:[PE]],MATCH(QI$1,PortfolioRef[Reference '#]),0),AssetMonthlyReturns[[#This Row],[SPY]:[PE]])</f>
        <v>8.918331090044895E-3</v>
      </c>
      <c r="QJ65" s="27">
        <f>IF(ISNUMBER(QJ64),QJ64*(1+PortfolioFrontier[[#This Row],[P113 Return]]),1+PortfolioFrontier[[#This Row],[P113 Return]])</f>
        <v>1.5057153142128159</v>
      </c>
      <c r="QK65" s="27">
        <f>MAX(QK64,PortfolioFrontier[[#This Row],[P113 Growth]])</f>
        <v>1.5057153142128159</v>
      </c>
      <c r="QL65" s="27">
        <f>PortfolioFrontier[[#This Row],[P113 Growth]]/PortfolioFrontier[[#This Row],[P113 HWM]]-1</f>
        <v>0</v>
      </c>
      <c r="QM65" s="28">
        <f>SUMPRODUCT(INDEX(PortfolioRef[[SPY]:[PE]],MATCH(QM$1,PortfolioRef[Reference '#]),0),AssetMonthlyReturns[[#This Row],[SPY]:[PE]])</f>
        <v>9.6184302075774334E-3</v>
      </c>
      <c r="QN65" s="27">
        <f>IF(ISNUMBER(QN64),QN64*(1+PortfolioFrontier[[#This Row],[P114 Return]]),1+PortfolioFrontier[[#This Row],[P114 Return]])</f>
        <v>1.4812438282670672</v>
      </c>
      <c r="QO65" s="27">
        <f>MAX(QO64,PortfolioFrontier[[#This Row],[P114 Growth]])</f>
        <v>1.4812438282670672</v>
      </c>
      <c r="QP65" s="27">
        <f>PortfolioFrontier[[#This Row],[P114 Growth]]/PortfolioFrontier[[#This Row],[P114 HWM]]-1</f>
        <v>0</v>
      </c>
      <c r="QQ65" s="28">
        <f>SUMPRODUCT(INDEX(PortfolioRef[[SPY]:[PE]],MATCH(QQ$1,PortfolioRef[Reference '#]),0),AssetMonthlyReturns[[#This Row],[SPY]:[PE]])</f>
        <v>-3.0221027750817553E-4</v>
      </c>
      <c r="QR65" s="27">
        <f>IF(ISNUMBER(QR64),QR64*(1+PortfolioFrontier[[#This Row],[P115 Return]]),1+PortfolioFrontier[[#This Row],[P115 Return]])</f>
        <v>1.5326164042869754</v>
      </c>
      <c r="QS65" s="27">
        <f>MAX(QS64,PortfolioFrontier[[#This Row],[P115 Growth]])</f>
        <v>1.5330797167336117</v>
      </c>
      <c r="QT65" s="27">
        <f>PortfolioFrontier[[#This Row],[P115 Growth]]/PortfolioFrontier[[#This Row],[P115 HWM]]-1</f>
        <v>-3.0221027750820806E-4</v>
      </c>
      <c r="QU65" s="28">
        <f>SUMPRODUCT(INDEX(PortfolioRef[[SPY]:[PE]],MATCH(QU$1,PortfolioRef[Reference '#]),0),AssetMonthlyReturns[[#This Row],[SPY]:[PE]])</f>
        <v>3.9788884002436159E-4</v>
      </c>
      <c r="QV65" s="27">
        <f>IF(ISNUMBER(QV64),QV64*(1+PortfolioFrontier[[#This Row],[P116 Return]]),1+PortfolioFrontier[[#This Row],[P116 Return]])</f>
        <v>1.5078773886049808</v>
      </c>
      <c r="QW65" s="27">
        <f>MAX(QW64,PortfolioFrontier[[#This Row],[P116 Growth]])</f>
        <v>1.5078773886049808</v>
      </c>
      <c r="QX65" s="27">
        <f>PortfolioFrontier[[#This Row],[P116 Growth]]/PortfolioFrontier[[#This Row],[P116 HWM]]-1</f>
        <v>0</v>
      </c>
      <c r="QY65" s="28">
        <f>SUMPRODUCT(INDEX(PortfolioRef[[SPY]:[PE]],MATCH(QY$1,PortfolioRef[Reference '#]),0),AssetMonthlyReturns[[#This Row],[SPY]:[PE]])</f>
        <v>1.0979879575569E-3</v>
      </c>
      <c r="QZ65" s="27">
        <f>IF(ISNUMBER(QZ64),QZ64*(1+PortfolioFrontier[[#This Row],[P117 Return]]),1+PortfolioFrontier[[#This Row],[P117 Return]])</f>
        <v>1.4829646690352825</v>
      </c>
      <c r="RA65" s="27">
        <f>MAX(RA64,PortfolioFrontier[[#This Row],[P117 Growth]])</f>
        <v>1.4829646690352825</v>
      </c>
      <c r="RB65" s="27">
        <f>PortfolioFrontier[[#This Row],[P117 Growth]]/PortfolioFrontier[[#This Row],[P117 HWM]]-1</f>
        <v>0</v>
      </c>
      <c r="RC65" s="28">
        <f>SUMPRODUCT(INDEX(PortfolioRef[[SPY]:[PE]],MATCH(RC$1,PortfolioRef[Reference '#]),0),AssetMonthlyReturns[[#This Row],[SPY]:[PE]])</f>
        <v>4.2277616979382367E-3</v>
      </c>
      <c r="RD65" s="27">
        <f>IF(ISNUMBER(RD64),RD64*(1+PortfolioFrontier[[#This Row],[P118 Return]]),1+PortfolioFrontier[[#This Row],[P118 Return]])</f>
        <v>1.541812946973296</v>
      </c>
      <c r="RE65" s="27">
        <f>MAX(RE64,PortfolioFrontier[[#This Row],[P118 Growth]])</f>
        <v>1.541812946973296</v>
      </c>
      <c r="RF65" s="27">
        <f>PortfolioFrontier[[#This Row],[P118 Growth]]/PortfolioFrontier[[#This Row],[P118 HWM]]-1</f>
        <v>0</v>
      </c>
      <c r="RG65" s="28">
        <f>SUMPRODUCT(INDEX(PortfolioRef[[SPY]:[PE]],MATCH(RG$1,PortfolioRef[Reference '#]),0),AssetMonthlyReturns[[#This Row],[SPY]:[PE]])</f>
        <v>4.9278608154707752E-3</v>
      </c>
      <c r="RH65" s="27">
        <f>IF(ISNUMBER(RH64),RH64*(1+PortfolioFrontier[[#This Row],[P119 Return]]),1+PortfolioFrontier[[#This Row],[P119 Return]])</f>
        <v>1.5173813811334533</v>
      </c>
      <c r="RI65" s="27">
        <f>MAX(RI64,PortfolioFrontier[[#This Row],[P119 Growth]])</f>
        <v>1.5173813811334533</v>
      </c>
      <c r="RJ65" s="27">
        <f>PortfolioFrontier[[#This Row],[P119 Growth]]/PortfolioFrontier[[#This Row],[P119 HWM]]-1</f>
        <v>0</v>
      </c>
      <c r="RK65" s="28">
        <f>SUMPRODUCT(INDEX(PortfolioRef[[SPY]:[PE]],MATCH(RK$1,PortfolioRef[Reference '#]),0),AssetMonthlyReturns[[#This Row],[SPY]:[PE]])</f>
        <v>5.6279599330033118E-3</v>
      </c>
      <c r="RL65" s="27">
        <f>IF(ISNUMBER(RL64),RL64*(1+PortfolioFrontier[[#This Row],[P120 Return]]),1+PortfolioFrontier[[#This Row],[P120 Return]])</f>
        <v>1.492756801203668</v>
      </c>
      <c r="RM65" s="27">
        <f>MAX(RM64,PortfolioFrontier[[#This Row],[P120 Growth]])</f>
        <v>1.492756801203668</v>
      </c>
      <c r="RN65" s="27">
        <f>PortfolioFrontier[[#This Row],[P120 Growth]]/PortfolioFrontier[[#This Row],[P120 HWM]]-1</f>
        <v>0</v>
      </c>
      <c r="RO65" s="28">
        <f>SUMPRODUCT(INDEX(PortfolioRef[[SPY]:[PE]],MATCH(RO$1,PortfolioRef[Reference '#]),0),AssetMonthlyReturns[[#This Row],[SPY]:[PE]])</f>
        <v>8.7577336733846486E-3</v>
      </c>
      <c r="RP65" s="27">
        <f>IF(ISNUMBER(RP64),RP64*(1+PortfolioFrontier[[#This Row],[P121 Return]]),1+PortfolioFrontier[[#This Row],[P121 Return]])</f>
        <v>1.55027909177748</v>
      </c>
      <c r="RQ65" s="27">
        <f>MAX(RQ64,PortfolioFrontier[[#This Row],[P121 Growth]])</f>
        <v>1.55027909177748</v>
      </c>
      <c r="RR65" s="27">
        <f>PortfolioFrontier[[#This Row],[P121 Growth]]/PortfolioFrontier[[#This Row],[P121 HWM]]-1</f>
        <v>0</v>
      </c>
      <c r="RS65" s="28">
        <f>SUMPRODUCT(INDEX(PortfolioRef[[SPY]:[PE]],MATCH(RS$1,PortfolioRef[Reference '#]),0),AssetMonthlyReturns[[#This Row],[SPY]:[PE]])</f>
        <v>9.4578327909171853E-3</v>
      </c>
      <c r="RT65" s="27">
        <f>IF(ISNUMBER(RT64),RT64*(1+PortfolioFrontier[[#This Row],[P122 Return]]),1+PortfolioFrontier[[#This Row],[P122 Return]])</f>
        <v>1.5261752115381324</v>
      </c>
      <c r="RU65" s="27">
        <f>MAX(RU64,PortfolioFrontier[[#This Row],[P122 Growth]])</f>
        <v>1.5261752115381324</v>
      </c>
      <c r="RV65" s="27">
        <f>PortfolioFrontier[[#This Row],[P122 Growth]]/PortfolioFrontier[[#This Row],[P122 HWM]]-1</f>
        <v>0</v>
      </c>
      <c r="RW65" s="28">
        <f>SUMPRODUCT(INDEX(PortfolioRef[[SPY]:[PE]],MATCH(RW$1,PortfolioRef[Reference '#]),0),AssetMonthlyReturns[[#This Row],[SPY]:[PE]])</f>
        <v>1.0157931908449724E-2</v>
      </c>
      <c r="RX65" s="27">
        <f>IF(ISNUMBER(RX64),RX64*(1+PortfolioFrontier[[#This Row],[P123 Return]]),1+PortfolioFrontier[[#This Row],[P123 Return]])</f>
        <v>1.5018588830713648</v>
      </c>
      <c r="RY65" s="27">
        <f>MAX(RY64,PortfolioFrontier[[#This Row],[P123 Growth]])</f>
        <v>1.5018588830713648</v>
      </c>
      <c r="RZ65" s="27">
        <f>PortfolioFrontier[[#This Row],[P123 Growth]]/PortfolioFrontier[[#This Row],[P123 HWM]]-1</f>
        <v>0</v>
      </c>
      <c r="SA65" s="28">
        <f>SUMPRODUCT(INDEX(PortfolioRef[[SPY]:[PE]],MATCH(SA$1,PortfolioRef[Reference '#]),0),AssetMonthlyReturns[[#This Row],[SPY]:[PE]])</f>
        <v>2.3729142336411518E-4</v>
      </c>
      <c r="SB65" s="27">
        <f>IF(ISNUMBER(SB64),SB64*(1+PortfolioFrontier[[#This Row],[P124 Return]]),1+PortfolioFrontier[[#This Row],[P124 Return]])</f>
        <v>1.5534220909684542</v>
      </c>
      <c r="SC65" s="27">
        <f>MAX(SC64,PortfolioFrontier[[#This Row],[P124 Growth]])</f>
        <v>1.5534220909684542</v>
      </c>
      <c r="SD65" s="27">
        <f>PortfolioFrontier[[#This Row],[P124 Growth]]/PortfolioFrontier[[#This Row],[P124 HWM]]-1</f>
        <v>0</v>
      </c>
      <c r="SE65" s="28">
        <f>SUMPRODUCT(INDEX(PortfolioRef[[SPY]:[PE]],MATCH(SE$1,PortfolioRef[Reference '#]),0),AssetMonthlyReturns[[#This Row],[SPY]:[PE]])</f>
        <v>9.3739054089665361E-4</v>
      </c>
      <c r="SF65" s="27">
        <f>IF(ISNUMBER(SF64),SF64*(1+PortfolioFrontier[[#This Row],[P125 Return]]),1+PortfolioFrontier[[#This Row],[P125 Return]])</f>
        <v>1.5288433183189118</v>
      </c>
      <c r="SG65" s="27">
        <f>MAX(SG64,PortfolioFrontier[[#This Row],[P125 Growth]])</f>
        <v>1.5288433183189118</v>
      </c>
      <c r="SH65" s="27">
        <f>PortfolioFrontier[[#This Row],[P125 Growth]]/PortfolioFrontier[[#This Row],[P125 HWM]]-1</f>
        <v>0</v>
      </c>
      <c r="SI65" s="28">
        <f>SUMPRODUCT(INDEX(PortfolioRef[[SPY]:[PE]],MATCH(SI$1,PortfolioRef[Reference '#]),0),AssetMonthlyReturns[[#This Row],[SPY]:[PE]])</f>
        <v>1.6374896584291903E-3</v>
      </c>
      <c r="SJ65" s="27">
        <f>IF(ISNUMBER(SJ64),SJ64*(1+PortfolioFrontier[[#This Row],[P126 Return]]),1+PortfolioFrontier[[#This Row],[P126 Return]])</f>
        <v>1.5040691323311637</v>
      </c>
      <c r="SK65" s="27">
        <f>MAX(SK64,PortfolioFrontier[[#This Row],[P126 Growth]])</f>
        <v>1.5040691323311637</v>
      </c>
      <c r="SL65" s="27">
        <f>PortfolioFrontier[[#This Row],[P126 Growth]]/PortfolioFrontier[[#This Row],[P126 HWM]]-1</f>
        <v>0</v>
      </c>
      <c r="SM65" s="28">
        <f>SUMPRODUCT(INDEX(PortfolioRef[[SPY]:[PE]],MATCH(SM$1,PortfolioRef[Reference '#]),0),AssetMonthlyReturns[[#This Row],[SPY]:[PE]])</f>
        <v>4.7672633988105279E-3</v>
      </c>
      <c r="SN65" s="27">
        <f>IF(ISNUMBER(SN64),SN64*(1+PortfolioFrontier[[#This Row],[P127 Return]]),1+PortfolioFrontier[[#This Row],[P127 Return]])</f>
        <v>1.5622404205394855</v>
      </c>
      <c r="SO65" s="27">
        <f>MAX(SO64,PortfolioFrontier[[#This Row],[P127 Growth]])</f>
        <v>1.5622404205394855</v>
      </c>
      <c r="SP65" s="27">
        <f>PortfolioFrontier[[#This Row],[P127 Growth]]/PortfolioFrontier[[#This Row],[P127 HWM]]-1</f>
        <v>0</v>
      </c>
      <c r="SQ65" s="28">
        <f>SUMPRODUCT(INDEX(PortfolioRef[[SPY]:[PE]],MATCH(SQ$1,PortfolioRef[Reference '#]),0),AssetMonthlyReturns[[#This Row],[SPY]:[PE]])</f>
        <v>5.4673625163430654E-3</v>
      </c>
      <c r="SR65" s="27">
        <f>IF(ISNUMBER(SR64),SR64*(1+PortfolioFrontier[[#This Row],[P128 Return]]),1+PortfolioFrontier[[#This Row],[P128 Return]])</f>
        <v>1.5379877066855936</v>
      </c>
      <c r="SS65" s="27">
        <f>MAX(SS64,PortfolioFrontier[[#This Row],[P128 Growth]])</f>
        <v>1.5379877066855936</v>
      </c>
      <c r="ST65" s="27">
        <f>PortfolioFrontier[[#This Row],[P128 Growth]]/PortfolioFrontier[[#This Row],[P128 HWM]]-1</f>
        <v>0</v>
      </c>
      <c r="SU65" s="28">
        <f>SUMPRODUCT(INDEX(PortfolioRef[[SPY]:[PE]],MATCH(SU$1,PortfolioRef[Reference '#]),0),AssetMonthlyReturns[[#This Row],[SPY]:[PE]])</f>
        <v>6.1674616338756039E-3</v>
      </c>
      <c r="SV65" s="27">
        <f>IF(ISNUMBER(SV64),SV64*(1+PortfolioFrontier[[#This Row],[P129 Return]]),1+PortfolioFrontier[[#This Row],[P129 Return]])</f>
        <v>1.5135199765141716</v>
      </c>
      <c r="SW65" s="27">
        <f>MAX(SW64,PortfolioFrontier[[#This Row],[P129 Growth]])</f>
        <v>1.5135199765141716</v>
      </c>
      <c r="SX65" s="27">
        <f>PortfolioFrontier[[#This Row],[P129 Growth]]/PortfolioFrontier[[#This Row],[P129 HWM]]-1</f>
        <v>0</v>
      </c>
      <c r="SY65" s="28">
        <f>SUMPRODUCT(INDEX(PortfolioRef[[SPY]:[PE]],MATCH(SY$1,PortfolioRef[Reference '#]),0),AssetMonthlyReturns[[#This Row],[SPY]:[PE]])</f>
        <v>9.2972353742569389E-3</v>
      </c>
      <c r="SZ65" s="27">
        <f>IF(ISNUMBER(SZ64),SZ64*(1+PortfolioFrontier[[#This Row],[P130 Return]]),1+PortfolioFrontier[[#This Row],[P130 Return]])</f>
        <v>1.5703096717557843</v>
      </c>
      <c r="TA65" s="27">
        <f>MAX(TA64,PortfolioFrontier[[#This Row],[P130 Growth]])</f>
        <v>1.5703096717557843</v>
      </c>
      <c r="TB65" s="27">
        <f>PortfolioFrontier[[#This Row],[P130 Growth]]/PortfolioFrontier[[#This Row],[P130 HWM]]-1</f>
        <v>0</v>
      </c>
      <c r="TC65" s="28">
        <f>SUMPRODUCT(INDEX(PortfolioRef[[SPY]:[PE]],MATCH(TC$1,PortfolioRef[Reference '#]),0),AssetMonthlyReturns[[#This Row],[SPY]:[PE]])</f>
        <v>9.9973344917894773E-3</v>
      </c>
      <c r="TD65" s="27">
        <f>IF(ISNUMBER(TD64),TD64*(1+PortfolioFrontier[[#This Row],[P131 Return]]),1+PortfolioFrontier[[#This Row],[P131 Return]])</f>
        <v>1.5464033299855626</v>
      </c>
      <c r="TE65" s="27">
        <f>MAX(TE64,PortfolioFrontier[[#This Row],[P131 Growth]])</f>
        <v>1.5464033299855626</v>
      </c>
      <c r="TF65" s="27">
        <f>PortfolioFrontier[[#This Row],[P131 Growth]]/PortfolioFrontier[[#This Row],[P131 HWM]]-1</f>
        <v>0</v>
      </c>
      <c r="TG65" s="28">
        <f>SUMPRODUCT(INDEX(PortfolioRef[[SPY]:[PE]],MATCH(TG$1,PortfolioRef[Reference '#]),0),AssetMonthlyReturns[[#This Row],[SPY]:[PE]])</f>
        <v>1.0697433609322016E-2</v>
      </c>
      <c r="TH65" s="27">
        <f>IF(ISNUMBER(TH64),TH64*(1+PortfolioFrontier[[#This Row],[P132 Return]]),1+PortfolioFrontier[[#This Row],[P132 Return]])</f>
        <v>1.5222622611951733</v>
      </c>
      <c r="TI65" s="27">
        <f>MAX(TI64,PortfolioFrontier[[#This Row],[P132 Growth]])</f>
        <v>1.5222622611951733</v>
      </c>
      <c r="TJ65" s="27">
        <f>PortfolioFrontier[[#This Row],[P132 Growth]]/PortfolioFrontier[[#This Row],[P132 HWM]]-1</f>
        <v>0</v>
      </c>
      <c r="TK65" s="28">
        <f>SUMPRODUCT(INDEX(PortfolioRef[[SPY]:[PE]],MATCH(TK$1,PortfolioRef[Reference '#]),0),AssetMonthlyReturns[[#This Row],[SPY]:[PE]])</f>
        <v>7.7679312423640807E-4</v>
      </c>
      <c r="TL65" s="27">
        <f>IF(ISNUMBER(TL64),TL64*(1+PortfolioFrontier[[#This Row],[P133 Return]]),1+PortfolioFrontier[[#This Row],[P133 Return]])</f>
        <v>1.5739917241591275</v>
      </c>
      <c r="TM65" s="27">
        <f>MAX(TM64,PortfolioFrontier[[#This Row],[P133 Growth]])</f>
        <v>1.5739917241591275</v>
      </c>
      <c r="TN65" s="27">
        <f>PortfolioFrontier[[#This Row],[P133 Growth]]/PortfolioFrontier[[#This Row],[P133 HWM]]-1</f>
        <v>0</v>
      </c>
      <c r="TO65" s="28">
        <f>SUMPRODUCT(INDEX(PortfolioRef[[SPY]:[PE]],MATCH(TO$1,PortfolioRef[Reference '#]),0),AssetMonthlyReturns[[#This Row],[SPY]:[PE]])</f>
        <v>1.4768922417689456E-3</v>
      </c>
      <c r="TP65" s="27">
        <f>IF(ISNUMBER(TP64),TP64*(1+PortfolioFrontier[[#This Row],[P134 Return]]),1+PortfolioFrontier[[#This Row],[P134 Return]])</f>
        <v>1.5495936205864791</v>
      </c>
      <c r="TQ65" s="27">
        <f>MAX(TQ64,PortfolioFrontier[[#This Row],[P134 Growth]])</f>
        <v>1.5495936205864791</v>
      </c>
      <c r="TR65" s="27">
        <f>PortfolioFrontier[[#This Row],[P134 Growth]]/PortfolioFrontier[[#This Row],[P134 HWM]]-1</f>
        <v>0</v>
      </c>
      <c r="TS65" s="28">
        <f>SUMPRODUCT(INDEX(PortfolioRef[[SPY]:[PE]],MATCH(TS$1,PortfolioRef[Reference '#]),0),AssetMonthlyReturns[[#This Row],[SPY]:[PE]])</f>
        <v>2.176991359301484E-3</v>
      </c>
      <c r="TT65" s="27">
        <f>IF(ISNUMBER(TT64),TT64*(1+PortfolioFrontier[[#This Row],[P135 Return]]),1+PortfolioFrontier[[#This Row],[P135 Return]])</f>
        <v>1.5249779545201054</v>
      </c>
      <c r="TU65" s="27">
        <f>MAX(TU64,PortfolioFrontier[[#This Row],[P135 Growth]])</f>
        <v>1.5249779545201054</v>
      </c>
      <c r="TV65" s="27">
        <f>PortfolioFrontier[[#This Row],[P135 Growth]]/PortfolioFrontier[[#This Row],[P135 HWM]]-1</f>
        <v>0</v>
      </c>
      <c r="TW65" s="28">
        <f>SUMPRODUCT(INDEX(PortfolioRef[[SPY]:[PE]],MATCH(TW$1,PortfolioRef[Reference '#]),0),AssetMonthlyReturns[[#This Row],[SPY]:[PE]])</f>
        <v>5.306765099682819E-3</v>
      </c>
      <c r="TX65" s="27">
        <f>IF(ISNUMBER(TX64),TX64*(1+PortfolioFrontier[[#This Row],[P136 Return]]),1+PortfolioFrontier[[#This Row],[P136 Return]])</f>
        <v>1.5824135142072511</v>
      </c>
      <c r="TY65" s="27">
        <f>MAX(TY64,PortfolioFrontier[[#This Row],[P136 Growth]])</f>
        <v>1.5824135142072511</v>
      </c>
      <c r="TZ65" s="27">
        <f>PortfolioFrontier[[#This Row],[P136 Growth]]/PortfolioFrontier[[#This Row],[P136 HWM]]-1</f>
        <v>0</v>
      </c>
      <c r="UA65" s="28">
        <f>SUMPRODUCT(INDEX(PortfolioRef[[SPY]:[PE]],MATCH(UA$1,PortfolioRef[Reference '#]),0),AssetMonthlyReturns[[#This Row],[SPY]:[PE]])</f>
        <v>6.0068642172153575E-3</v>
      </c>
      <c r="UB65" s="27">
        <f>IF(ISNUMBER(UB64),UB64*(1+PortfolioFrontier[[#This Row],[P137 Return]]),1+PortfolioFrontier[[#This Row],[P137 Return]])</f>
        <v>1.5583603213161279</v>
      </c>
      <c r="UC65" s="27">
        <f>MAX(UC64,PortfolioFrontier[[#This Row],[P137 Growth]])</f>
        <v>1.5583603213161279</v>
      </c>
      <c r="UD65" s="27">
        <f>PortfolioFrontier[[#This Row],[P137 Growth]]/PortfolioFrontier[[#This Row],[P137 HWM]]-1</f>
        <v>0</v>
      </c>
      <c r="UE65" s="28">
        <f>SUMPRODUCT(INDEX(PortfolioRef[[SPY]:[PE]],MATCH(UE$1,PortfolioRef[Reference '#]),0),AssetMonthlyReturns[[#This Row],[SPY]:[PE]])</f>
        <v>6.706963334747895E-3</v>
      </c>
      <c r="UF65" s="27">
        <f>IF(ISNUMBER(UF64),UF64*(1+PortfolioFrontier[[#This Row],[P138 Return]]),1+PortfolioFrontier[[#This Row],[P138 Return]])</f>
        <v>1.5340696815174357</v>
      </c>
      <c r="UG65" s="27">
        <f>MAX(UG64,PortfolioFrontier[[#This Row],[P138 Growth]])</f>
        <v>1.5340696815174357</v>
      </c>
      <c r="UH65" s="27">
        <f>PortfolioFrontier[[#This Row],[P138 Growth]]/PortfolioFrontier[[#This Row],[P138 HWM]]-1</f>
        <v>0</v>
      </c>
      <c r="UI65" s="28">
        <f>SUMPRODUCT(INDEX(PortfolioRef[[SPY]:[PE]],MATCH(UI$1,PortfolioRef[Reference '#]),0),AssetMonthlyReturns[[#This Row],[SPY]:[PE]])</f>
        <v>9.8367370751292309E-3</v>
      </c>
      <c r="UJ65" s="27">
        <f>IF(ISNUMBER(UJ64),UJ64*(1+PortfolioFrontier[[#This Row],[P139 Return]]),1+PortfolioFrontier[[#This Row],[P139 Return]])</f>
        <v>1.5900675548694949</v>
      </c>
      <c r="UK65" s="27">
        <f>MAX(UK64,PortfolioFrontier[[#This Row],[P139 Growth]])</f>
        <v>1.5900675548694949</v>
      </c>
      <c r="UL65" s="27">
        <f>PortfolioFrontier[[#This Row],[P139 Growth]]/PortfolioFrontier[[#This Row],[P139 HWM]]-1</f>
        <v>0</v>
      </c>
      <c r="UM65" s="28">
        <f>SUMPRODUCT(INDEX(PortfolioRef[[SPY]:[PE]],MATCH(UM$1,PortfolioRef[Reference '#]),0),AssetMonthlyReturns[[#This Row],[SPY]:[PE]])</f>
        <v>1.0536836192661769E-2</v>
      </c>
      <c r="UN65" s="27">
        <f>IF(ISNUMBER(UN64),UN64*(1+PortfolioFrontier[[#This Row],[P140 Return]]),1+PortfolioFrontier[[#This Row],[P140 Return]])</f>
        <v>1.5663796462597883</v>
      </c>
      <c r="UO65" s="27">
        <f>MAX(UO64,PortfolioFrontier[[#This Row],[P140 Growth]])</f>
        <v>1.5663796462597883</v>
      </c>
      <c r="UP65" s="27">
        <f>PortfolioFrontier[[#This Row],[P140 Growth]]/PortfolioFrontier[[#This Row],[P140 HWM]]-1</f>
        <v>0</v>
      </c>
      <c r="UQ65" s="28">
        <f>SUMPRODUCT(INDEX(PortfolioRef[[SPY]:[PE]],MATCH(UQ$1,PortfolioRef[Reference '#]),0),AssetMonthlyReturns[[#This Row],[SPY]:[PE]])</f>
        <v>1.1236935310194308E-2</v>
      </c>
      <c r="UR65" s="27">
        <f>IF(ISNUMBER(UR64),UR64*(1+PortfolioFrontier[[#This Row],[P141 Return]]),1+PortfolioFrontier[[#This Row],[P141 Return]])</f>
        <v>1.5424343154392726</v>
      </c>
      <c r="US65" s="27">
        <f>MAX(US64,PortfolioFrontier[[#This Row],[P141 Growth]])</f>
        <v>1.5424343154392726</v>
      </c>
      <c r="UT65" s="27">
        <f>PortfolioFrontier[[#This Row],[P141 Growth]]/PortfolioFrontier[[#This Row],[P141 HWM]]-1</f>
        <v>0</v>
      </c>
    </row>
    <row r="66" spans="2:566" x14ac:dyDescent="0.2">
      <c r="B66" s="41">
        <f>AssetMonthlyReturns[[#This Row],[Date]]</f>
        <v>44378</v>
      </c>
      <c r="C66" s="28">
        <f>SUMPRODUCT(INDEX(PortfolioRef[[SPY]:[PE]],MATCH(C$1,PortfolioRef[Reference '#]),0),AssetMonthlyReturns[[#This Row],[SPY]:[PE]])</f>
        <v>2.5111734645178352E-2</v>
      </c>
      <c r="D66" s="29">
        <f>IF(ISNUMBER(D65),D65*(1+PortfolioFrontier[[#This Row],[P1 Return]]),1+PortfolioFrontier[[#This Row],[P1 Return]])</f>
        <v>1.8337986862664546</v>
      </c>
      <c r="E66" s="29">
        <f>MAX(E65,PortfolioFrontier[[#This Row],[P1 Growth]])</f>
        <v>1.8337986862664546</v>
      </c>
      <c r="F66" s="29">
        <f>PortfolioFrontier[[#This Row],[P1 Growth]]/PortfolioFrontier[[#This Row],[P1 HWM]]-1</f>
        <v>0</v>
      </c>
      <c r="G66" s="28">
        <f>SUMPRODUCT(INDEX(PortfolioRef[[SPY]:[PE]],MATCH(G$1,PortfolioRef[Reference '#]),0),AssetMonthlyReturns[[#This Row],[SPY]:[PE]])</f>
        <v>2.4287051148599501E-2</v>
      </c>
      <c r="H66" s="27">
        <f>IF(ISNUMBER(H65),H65*(1+PortfolioFrontier[[#This Row],[P2 Return]]),1+PortfolioFrontier[[#This Row],[P2 Return]])</f>
        <v>1.7743338332256078</v>
      </c>
      <c r="I66" s="27">
        <f>MAX(I65,PortfolioFrontier[[#This Row],[P2 Growth]])</f>
        <v>1.7743338332256078</v>
      </c>
      <c r="J66" s="27">
        <f>PortfolioFrontier[[#This Row],[P2 Growth]]/PortfolioFrontier[[#This Row],[P2 HWM]]-1</f>
        <v>0</v>
      </c>
      <c r="K66" s="28">
        <f>SUMPRODUCT(INDEX(PortfolioRef[[SPY]:[PE]],MATCH(K$1,PortfolioRef[Reference '#]),0),AssetMonthlyReturns[[#This Row],[SPY]:[PE]])</f>
        <v>2.4988310242491575E-2</v>
      </c>
      <c r="L66" s="27">
        <f>IF(ISNUMBER(L65),L65*(1+PortfolioFrontier[[#This Row],[P3 Return]]),1+PortfolioFrontier[[#This Row],[P3 Return]])</f>
        <v>1.7892485633796438</v>
      </c>
      <c r="M66" s="27">
        <f>MAX(M65,PortfolioFrontier[[#This Row],[P3 Growth]])</f>
        <v>1.7892485633796438</v>
      </c>
      <c r="N66" s="27">
        <f>PortfolioFrontier[[#This Row],[P3 Growth]]/PortfolioFrontier[[#This Row],[P3 HWM]]-1</f>
        <v>0</v>
      </c>
      <c r="O66" s="28">
        <f>SUMPRODUCT(INDEX(PortfolioRef[[SPY]:[PE]],MATCH(O$1,PortfolioRef[Reference '#]),0),AssetMonthlyReturns[[#This Row],[SPY]:[PE]])</f>
        <v>2.6305428648753681E-2</v>
      </c>
      <c r="P66" s="27">
        <f>IF(ISNUMBER(P65),P65*(1+PortfolioFrontier[[#This Row],[P4 Return]]),1+PortfolioFrontier[[#This Row],[P4 Return]])</f>
        <v>1.800986490798256</v>
      </c>
      <c r="Q66" s="27">
        <f>MAX(Q65,PortfolioFrontier[[#This Row],[P4 Growth]])</f>
        <v>1.800986490798256</v>
      </c>
      <c r="R66" s="27">
        <f>PortfolioFrontier[[#This Row],[P4 Growth]]/PortfolioFrontier[[#This Row],[P4 HWM]]-1</f>
        <v>0</v>
      </c>
      <c r="S66" s="28">
        <f>SUMPRODUCT(INDEX(PortfolioRef[[SPY]:[PE]],MATCH(S$1,PortfolioRef[Reference '#]),0),AssetMonthlyReturns[[#This Row],[SPY]:[PE]])</f>
        <v>2.3951431957025426E-2</v>
      </c>
      <c r="T66" s="27">
        <f>IF(ISNUMBER(T65),T65*(1+PortfolioFrontier[[#This Row],[P5 Return]]),1+PortfolioFrontier[[#This Row],[P5 Return]])</f>
        <v>1.769030536396355</v>
      </c>
      <c r="U66" s="27">
        <f>MAX(U65,PortfolioFrontier[[#This Row],[P5 Growth]])</f>
        <v>1.769030536396355</v>
      </c>
      <c r="V66" s="27">
        <f>PortfolioFrontier[[#This Row],[P5 Growth]]/PortfolioFrontier[[#This Row],[P5 HWM]]-1</f>
        <v>0</v>
      </c>
      <c r="W66" s="28">
        <f>SUMPRODUCT(INDEX(PortfolioRef[[SPY]:[PE]],MATCH(W$1,PortfolioRef[Reference '#]),0),AssetMonthlyReturns[[#This Row],[SPY]:[PE]])</f>
        <v>2.3462367652020654E-2</v>
      </c>
      <c r="X66" s="27">
        <f>IF(ISNUMBER(X65),X65*(1+PortfolioFrontier[[#This Row],[P6 Return]]),1+PortfolioFrontier[[#This Row],[P6 Return]])</f>
        <v>1.716241098681754</v>
      </c>
      <c r="Y66" s="27">
        <f>MAX(Y65,PortfolioFrontier[[#This Row],[P6 Growth]])</f>
        <v>1.716241098681754</v>
      </c>
      <c r="Z66" s="27">
        <f>PortfolioFrontier[[#This Row],[P6 Growth]]/PortfolioFrontier[[#This Row],[P6 HWM]]-1</f>
        <v>0</v>
      </c>
      <c r="AA66" s="28">
        <f>SUMPRODUCT(INDEX(PortfolioRef[[SPY]:[PE]],MATCH(AA$1,PortfolioRef[Reference '#]),0),AssetMonthlyReturns[[#This Row],[SPY]:[PE]])</f>
        <v>2.4163626745912724E-2</v>
      </c>
      <c r="AB66" s="27">
        <f>IF(ISNUMBER(AB65),AB65*(1+PortfolioFrontier[[#This Row],[P7 Return]]),1+PortfolioFrontier[[#This Row],[P7 Return]])</f>
        <v>1.7306784715732548</v>
      </c>
      <c r="AC66" s="27">
        <f>MAX(AC65,PortfolioFrontier[[#This Row],[P7 Growth]])</f>
        <v>1.7306784715732548</v>
      </c>
      <c r="AD66" s="27">
        <f>PortfolioFrontier[[#This Row],[P7 Growth]]/PortfolioFrontier[[#This Row],[P7 HWM]]-1</f>
        <v>0</v>
      </c>
      <c r="AE66" s="28">
        <f>SUMPRODUCT(INDEX(PortfolioRef[[SPY]:[PE]],MATCH(AE$1,PortfolioRef[Reference '#]),0),AssetMonthlyReturns[[#This Row],[SPY]:[PE]])</f>
        <v>2.5480745152174834E-2</v>
      </c>
      <c r="AF66" s="27">
        <f>IF(ISNUMBER(AF65),AF65*(1+PortfolioFrontier[[#This Row],[P8 Return]]),1+PortfolioFrontier[[#This Row],[P8 Return]])</f>
        <v>1.7424491060405833</v>
      </c>
      <c r="AG66" s="27">
        <f>MAX(AG65,PortfolioFrontier[[#This Row],[P8 Growth]])</f>
        <v>1.7424491060405833</v>
      </c>
      <c r="AH66" s="27">
        <f>PortfolioFrontier[[#This Row],[P8 Growth]]/PortfolioFrontier[[#This Row],[P8 HWM]]-1</f>
        <v>0</v>
      </c>
      <c r="AI66" s="28">
        <f>SUMPRODUCT(INDEX(PortfolioRef[[SPY]:[PE]],MATCH(AI$1,PortfolioRef[Reference '#]),0),AssetMonthlyReturns[[#This Row],[SPY]:[PE]])</f>
        <v>2.3126748460446579E-2</v>
      </c>
      <c r="AJ66" s="27">
        <f>IF(ISNUMBER(AJ65),AJ65*(1+PortfolioFrontier[[#This Row],[P9 Return]]),1+PortfolioFrontier[[#This Row],[P9 Return]])</f>
        <v>1.7111707567448942</v>
      </c>
      <c r="AK66" s="27">
        <f>MAX(AK65,PortfolioFrontier[[#This Row],[P9 Growth]])</f>
        <v>1.7111707567448942</v>
      </c>
      <c r="AL66" s="27">
        <f>PortfolioFrontier[[#This Row],[P9 Growth]]/PortfolioFrontier[[#This Row],[P9 HWM]]-1</f>
        <v>0</v>
      </c>
      <c r="AM66" s="28">
        <f>SUMPRODUCT(INDEX(PortfolioRef[[SPY]:[PE]],MATCH(AM$1,PortfolioRef[Reference '#]),0),AssetMonthlyReturns[[#This Row],[SPY]:[PE]])</f>
        <v>2.4864885839804798E-2</v>
      </c>
      <c r="AN66" s="27">
        <f>IF(ISNUMBER(AN65),AN65*(1+PortfolioFrontier[[#This Row],[P10 Return]]),1+PortfolioFrontier[[#This Row],[P10 Return]])</f>
        <v>1.7449022300437365</v>
      </c>
      <c r="AO66" s="27">
        <f>MAX(AO65,PortfolioFrontier[[#This Row],[P10 Growth]])</f>
        <v>1.7449022300437365</v>
      </c>
      <c r="AP66" s="27">
        <f>PortfolioFrontier[[#This Row],[P10 Growth]]/PortfolioFrontier[[#This Row],[P10 HWM]]-1</f>
        <v>0</v>
      </c>
      <c r="AQ66" s="28">
        <f>SUMPRODUCT(INDEX(PortfolioRef[[SPY]:[PE]],MATCH(AQ$1,PortfolioRef[Reference '#]),0),AssetMonthlyReturns[[#This Row],[SPY]:[PE]])</f>
        <v>2.6182004246066905E-2</v>
      </c>
      <c r="AR66" s="27">
        <f>IF(ISNUMBER(AR65),AR65*(1+PortfolioFrontier[[#This Row],[P11 Return]]),1+PortfolioFrontier[[#This Row],[P11 Return]])</f>
        <v>1.7570909831397712</v>
      </c>
      <c r="AS66" s="27">
        <f>MAX(AS65,PortfolioFrontier[[#This Row],[P11 Growth]])</f>
        <v>1.7570909831397712</v>
      </c>
      <c r="AT66" s="27">
        <f>PortfolioFrontier[[#This Row],[P11 Growth]]/PortfolioFrontier[[#This Row],[P11 HWM]]-1</f>
        <v>0</v>
      </c>
      <c r="AU66" s="28">
        <f>SUMPRODUCT(INDEX(PortfolioRef[[SPY]:[PE]],MATCH(AU$1,PortfolioRef[Reference '#]),0),AssetMonthlyReturns[[#This Row],[SPY]:[PE]])</f>
        <v>2.382800755433865E-2</v>
      </c>
      <c r="AV66" s="27">
        <f>IF(ISNUMBER(AV65),AV65*(1+PortfolioFrontier[[#This Row],[P12 Return]]),1+PortfolioFrontier[[#This Row],[P12 Return]])</f>
        <v>1.7255942393152524</v>
      </c>
      <c r="AW66" s="27">
        <f>MAX(AW65,PortfolioFrontier[[#This Row],[P12 Growth]])</f>
        <v>1.7255942393152524</v>
      </c>
      <c r="AX66" s="27">
        <f>PortfolioFrontier[[#This Row],[P12 Growth]]/PortfolioFrontier[[#This Row],[P12 HWM]]-1</f>
        <v>0</v>
      </c>
      <c r="AY66" s="28">
        <f>SUMPRODUCT(INDEX(PortfolioRef[[SPY]:[PE]],MATCH(AY$1,PortfolioRef[Reference '#]),0),AssetMonthlyReturns[[#This Row],[SPY]:[PE]])</f>
        <v>2.7499122652329011E-2</v>
      </c>
      <c r="AZ66" s="27">
        <f>IF(ISNUMBER(AZ65),AZ65*(1+PortfolioFrontier[[#This Row],[P13 Return]]),1+PortfolioFrontier[[#This Row],[P13 Return]])</f>
        <v>1.7684651099274755</v>
      </c>
      <c r="BA66" s="27">
        <f>MAX(BA65,PortfolioFrontier[[#This Row],[P13 Growth]])</f>
        <v>1.7684651099274755</v>
      </c>
      <c r="BB66" s="27">
        <f>PortfolioFrontier[[#This Row],[P13 Growth]]/PortfolioFrontier[[#This Row],[P13 HWM]]-1</f>
        <v>0</v>
      </c>
      <c r="BC66" s="28">
        <f>SUMPRODUCT(INDEX(PortfolioRef[[SPY]:[PE]],MATCH(BC$1,PortfolioRef[Reference '#]),0),AssetMonthlyReturns[[#This Row],[SPY]:[PE]])</f>
        <v>2.5145125960600756E-2</v>
      </c>
      <c r="BD66" s="27">
        <f>IF(ISNUMBER(BD65),BD65*(1+PortfolioFrontier[[#This Row],[P14 Return]]),1+PortfolioFrontier[[#This Row],[P14 Return]])</f>
        <v>1.7372971604858172</v>
      </c>
      <c r="BE66" s="27">
        <f>MAX(BE65,PortfolioFrontier[[#This Row],[P14 Growth]])</f>
        <v>1.7372971604858172</v>
      </c>
      <c r="BF66" s="27">
        <f>PortfolioFrontier[[#This Row],[P14 Growth]]/PortfolioFrontier[[#This Row],[P14 HWM]]-1</f>
        <v>0</v>
      </c>
      <c r="BG66" s="28">
        <f>SUMPRODUCT(INDEX(PortfolioRef[[SPY]:[PE]],MATCH(BG$1,PortfolioRef[Reference '#]),0),AssetMonthlyReturns[[#This Row],[SPY]:[PE]])</f>
        <v>2.2791129268872501E-2</v>
      </c>
      <c r="BH66" s="27">
        <f>IF(ISNUMBER(BH65),BH65*(1+PortfolioFrontier[[#This Row],[P15 Return]]),1+PortfolioFrontier[[#This Row],[P15 Return]])</f>
        <v>1.7060016719999316</v>
      </c>
      <c r="BI66" s="27">
        <f>MAX(BI65,PortfolioFrontier[[#This Row],[P15 Growth]])</f>
        <v>1.7060016719999316</v>
      </c>
      <c r="BJ66" s="27">
        <f>PortfolioFrontier[[#This Row],[P15 Growth]]/PortfolioFrontier[[#This Row],[P15 HWM]]-1</f>
        <v>0</v>
      </c>
      <c r="BK66" s="28">
        <f>SUMPRODUCT(INDEX(PortfolioRef[[SPY]:[PE]],MATCH(BK$1,PortfolioRef[Reference '#]),0),AssetMonthlyReturns[[#This Row],[SPY]:[PE]])</f>
        <v>2.2637684155441807E-2</v>
      </c>
      <c r="BL66" s="27">
        <f>IF(ISNUMBER(BL65),BL65*(1+PortfolioFrontier[[#This Row],[P16 Return]]),1+PortfolioFrontier[[#This Row],[P16 Return]])</f>
        <v>1.6595132843590297</v>
      </c>
      <c r="BM66" s="27">
        <f>MAX(BM65,PortfolioFrontier[[#This Row],[P16 Growth]])</f>
        <v>1.6595132843590297</v>
      </c>
      <c r="BN66" s="27">
        <f>PortfolioFrontier[[#This Row],[P16 Growth]]/PortfolioFrontier[[#This Row],[P16 HWM]]-1</f>
        <v>0</v>
      </c>
      <c r="BO66" s="28">
        <f>SUMPRODUCT(INDEX(PortfolioRef[[SPY]:[PE]],MATCH(BO$1,PortfolioRef[Reference '#]),0),AssetMonthlyReturns[[#This Row],[SPY]:[PE]])</f>
        <v>2.3338943249333877E-2</v>
      </c>
      <c r="BP66" s="27">
        <f>IF(ISNUMBER(BP65),BP65*(1+PortfolioFrontier[[#This Row],[P17 Return]]),1+PortfolioFrontier[[#This Row],[P17 Return]])</f>
        <v>1.6734844490342193</v>
      </c>
      <c r="BQ66" s="27">
        <f>MAX(BQ65,PortfolioFrontier[[#This Row],[P17 Growth]])</f>
        <v>1.6734844490342193</v>
      </c>
      <c r="BR66" s="27">
        <f>PortfolioFrontier[[#This Row],[P17 Growth]]/PortfolioFrontier[[#This Row],[P17 HWM]]-1</f>
        <v>0</v>
      </c>
      <c r="BS66" s="28">
        <f>SUMPRODUCT(INDEX(PortfolioRef[[SPY]:[PE]],MATCH(BS$1,PortfolioRef[Reference '#]),0),AssetMonthlyReturns[[#This Row],[SPY]:[PE]])</f>
        <v>2.4656061655595984E-2</v>
      </c>
      <c r="BT66" s="27">
        <f>IF(ISNUMBER(BT65),BT65*(1+PortfolioFrontier[[#This Row],[P18 Return]]),1+PortfolioFrontier[[#This Row],[P18 Return]])</f>
        <v>1.6852673525998163</v>
      </c>
      <c r="BU66" s="27">
        <f>MAX(BU65,PortfolioFrontier[[#This Row],[P18 Growth]])</f>
        <v>1.6852673525998163</v>
      </c>
      <c r="BV66" s="27">
        <f>PortfolioFrontier[[#This Row],[P18 Growth]]/PortfolioFrontier[[#This Row],[P18 HWM]]-1</f>
        <v>0</v>
      </c>
      <c r="BW66" s="28">
        <f>SUMPRODUCT(INDEX(PortfolioRef[[SPY]:[PE]],MATCH(BW$1,PortfolioRef[Reference '#]),0),AssetMonthlyReturns[[#This Row],[SPY]:[PE]])</f>
        <v>2.2302064963867729E-2</v>
      </c>
      <c r="BX66" s="27">
        <f>IF(ISNUMBER(BX65),BX65*(1+PortfolioFrontier[[#This Row],[P19 Return]]),1+PortfolioFrontier[[#This Row],[P19 Return]])</f>
        <v>1.6546676205525535</v>
      </c>
      <c r="BY66" s="27">
        <f>MAX(BY65,PortfolioFrontier[[#This Row],[P19 Growth]])</f>
        <v>1.6546676205525535</v>
      </c>
      <c r="BZ66" s="27">
        <f>PortfolioFrontier[[#This Row],[P19 Growth]]/PortfolioFrontier[[#This Row],[P19 HWM]]-1</f>
        <v>0</v>
      </c>
      <c r="CA66" s="28">
        <f>SUMPRODUCT(INDEX(PortfolioRef[[SPY]:[PE]],MATCH(CA$1,PortfolioRef[Reference '#]),0),AssetMonthlyReturns[[#This Row],[SPY]:[PE]])</f>
        <v>2.4040202343225948E-2</v>
      </c>
      <c r="CB66" s="27">
        <f>IF(ISNUMBER(CB65),CB65*(1+PortfolioFrontier[[#This Row],[P20 Return]]),1+PortfolioFrontier[[#This Row],[P20 Return]])</f>
        <v>1.6872484862418877</v>
      </c>
      <c r="CC66" s="27">
        <f>MAX(CC65,PortfolioFrontier[[#This Row],[P20 Growth]])</f>
        <v>1.6872484862418877</v>
      </c>
      <c r="CD66" s="27">
        <f>PortfolioFrontier[[#This Row],[P20 Growth]]/PortfolioFrontier[[#This Row],[P20 HWM]]-1</f>
        <v>0</v>
      </c>
      <c r="CE66" s="28">
        <f>SUMPRODUCT(INDEX(PortfolioRef[[SPY]:[PE]],MATCH(CE$1,PortfolioRef[Reference '#]),0),AssetMonthlyReturns[[#This Row],[SPY]:[PE]])</f>
        <v>2.5357320749488054E-2</v>
      </c>
      <c r="CF66" s="27">
        <f>IF(ISNUMBER(CF65),CF65*(1+PortfolioFrontier[[#This Row],[P21 Return]]),1+PortfolioFrontier[[#This Row],[P21 Return]])</f>
        <v>1.6994397487463262</v>
      </c>
      <c r="CG66" s="27">
        <f>MAX(CG65,PortfolioFrontier[[#This Row],[P21 Growth]])</f>
        <v>1.6994397487463262</v>
      </c>
      <c r="CH66" s="27">
        <f>PortfolioFrontier[[#This Row],[P21 Growth]]/PortfolioFrontier[[#This Row],[P21 HWM]]-1</f>
        <v>0</v>
      </c>
      <c r="CI66" s="28">
        <f>SUMPRODUCT(INDEX(PortfolioRef[[SPY]:[PE]],MATCH(CI$1,PortfolioRef[Reference '#]),0),AssetMonthlyReturns[[#This Row],[SPY]:[PE]])</f>
        <v>2.3003324057759799E-2</v>
      </c>
      <c r="CJ66" s="27">
        <f>IF(ISNUMBER(CJ65),CJ65*(1+PortfolioFrontier[[#This Row],[P22 Return]]),1+PortfolioFrontier[[#This Row],[P22 Return]])</f>
        <v>1.6686258217932066</v>
      </c>
      <c r="CK66" s="27">
        <f>MAX(CK65,PortfolioFrontier[[#This Row],[P22 Growth]])</f>
        <v>1.6686258217932066</v>
      </c>
      <c r="CL66" s="27">
        <f>PortfolioFrontier[[#This Row],[P22 Growth]]/PortfolioFrontier[[#This Row],[P22 HWM]]-1</f>
        <v>0</v>
      </c>
      <c r="CM66" s="28">
        <f>SUMPRODUCT(INDEX(PortfolioRef[[SPY]:[PE]],MATCH(CM$1,PortfolioRef[Reference '#]),0),AssetMonthlyReturns[[#This Row],[SPY]:[PE]])</f>
        <v>2.6674439155750164E-2</v>
      </c>
      <c r="CN66" s="27">
        <f>IF(ISNUMBER(CN65),CN65*(1+PortfolioFrontier[[#This Row],[P23 Return]]),1+PortfolioFrontier[[#This Row],[P23 Return]])</f>
        <v>1.7108506809286261</v>
      </c>
      <c r="CO66" s="27">
        <f>MAX(CO65,PortfolioFrontier[[#This Row],[P23 Growth]])</f>
        <v>1.7108506809286261</v>
      </c>
      <c r="CP66" s="27">
        <f>PortfolioFrontier[[#This Row],[P23 Growth]]/PortfolioFrontier[[#This Row],[P23 HWM]]-1</f>
        <v>0</v>
      </c>
      <c r="CQ66" s="28">
        <f>SUMPRODUCT(INDEX(PortfolioRef[[SPY]:[PE]],MATCH(CQ$1,PortfolioRef[Reference '#]),0),AssetMonthlyReturns[[#This Row],[SPY]:[PE]])</f>
        <v>2.4320442464021909E-2</v>
      </c>
      <c r="CR66" s="27">
        <f>IF(ISNUMBER(CR65),CR65*(1+PortfolioFrontier[[#This Row],[P24 Return]]),1+PortfolioFrontier[[#This Row],[P24 Return]])</f>
        <v>1.6803426413608669</v>
      </c>
      <c r="CS66" s="27">
        <f>MAX(CS65,PortfolioFrontier[[#This Row],[P24 Growth]])</f>
        <v>1.6803426413608669</v>
      </c>
      <c r="CT66" s="27">
        <f>PortfolioFrontier[[#This Row],[P24 Growth]]/PortfolioFrontier[[#This Row],[P24 HWM]]-1</f>
        <v>0</v>
      </c>
      <c r="CU66" s="28">
        <f>SUMPRODUCT(INDEX(PortfolioRef[[SPY]:[PE]],MATCH(CU$1,PortfolioRef[Reference '#]),0),AssetMonthlyReturns[[#This Row],[SPY]:[PE]])</f>
        <v>2.1966445772293654E-2</v>
      </c>
      <c r="CV66" s="27">
        <f>IF(ISNUMBER(CV65),CV65*(1+PortfolioFrontier[[#This Row],[P25 Return]]),1+PortfolioFrontier[[#This Row],[P25 Return]])</f>
        <v>1.6497261613020531</v>
      </c>
      <c r="CW66" s="27">
        <f>MAX(CW65,PortfolioFrontier[[#This Row],[P25 Growth]])</f>
        <v>1.6497261613020531</v>
      </c>
      <c r="CX66" s="27">
        <f>PortfolioFrontier[[#This Row],[P25 Growth]]/PortfolioFrontier[[#This Row],[P25 HWM]]-1</f>
        <v>0</v>
      </c>
      <c r="CY66" s="28">
        <f>SUMPRODUCT(INDEX(PortfolioRef[[SPY]:[PE]],MATCH(CY$1,PortfolioRef[Reference '#]),0),AssetMonthlyReturns[[#This Row],[SPY]:[PE]])</f>
        <v>2.6058579843380128E-2</v>
      </c>
      <c r="CZ66" s="27">
        <f>IF(ISNUMBER(CZ65),CZ65*(1+PortfolioFrontier[[#This Row],[P26 Return]]),1+PortfolioFrontier[[#This Row],[P26 Return]])</f>
        <v>1.7134021033140616</v>
      </c>
      <c r="DA66" s="27">
        <f>MAX(DA65,PortfolioFrontier[[#This Row],[P26 Growth]])</f>
        <v>1.7134021033140616</v>
      </c>
      <c r="DB66" s="27">
        <f>PortfolioFrontier[[#This Row],[P26 Growth]]/PortfolioFrontier[[#This Row],[P26 HWM]]-1</f>
        <v>0</v>
      </c>
      <c r="DC66" s="28">
        <f>SUMPRODUCT(INDEX(PortfolioRef[[SPY]:[PE]],MATCH(DC$1,PortfolioRef[Reference '#]),0),AssetMonthlyReturns[[#This Row],[SPY]:[PE]])</f>
        <v>2.3704583151651873E-2</v>
      </c>
      <c r="DD66" s="27">
        <f>IF(ISNUMBER(DD65),DD65*(1+PortfolioFrontier[[#This Row],[P27 Return]]),1+PortfolioFrontier[[#This Row],[P27 Return]])</f>
        <v>1.6823780824964853</v>
      </c>
      <c r="DE66" s="27">
        <f>MAX(DE65,PortfolioFrontier[[#This Row],[P27 Growth]])</f>
        <v>1.6823780824964853</v>
      </c>
      <c r="DF66" s="27">
        <f>PortfolioFrontier[[#This Row],[P27 Growth]]/PortfolioFrontier[[#This Row],[P27 HWM]]-1</f>
        <v>0</v>
      </c>
      <c r="DG66" s="28">
        <f>SUMPRODUCT(INDEX(PortfolioRef[[SPY]:[PE]],MATCH(DG$1,PortfolioRef[Reference '#]),0),AssetMonthlyReturns[[#This Row],[SPY]:[PE]])</f>
        <v>2.7375698249642234E-2</v>
      </c>
      <c r="DH66" s="27">
        <f>IF(ISNUMBER(DH65),DH65*(1+PortfolioFrontier[[#This Row],[P28 Return]]),1+PortfolioFrontier[[#This Row],[P28 Return]])</f>
        <v>1.7252226122362295</v>
      </c>
      <c r="DI66" s="27">
        <f>MAX(DI65,PortfolioFrontier[[#This Row],[P28 Growth]])</f>
        <v>1.7252226122362295</v>
      </c>
      <c r="DJ66" s="27">
        <f>PortfolioFrontier[[#This Row],[P28 Growth]]/PortfolioFrontier[[#This Row],[P28 HWM]]-1</f>
        <v>0</v>
      </c>
      <c r="DK66" s="28">
        <f>SUMPRODUCT(INDEX(PortfolioRef[[SPY]:[PE]],MATCH(DK$1,PortfolioRef[Reference '#]),0),AssetMonthlyReturns[[#This Row],[SPY]:[PE]])</f>
        <v>2.5021701557913979E-2</v>
      </c>
      <c r="DL66" s="27">
        <f>IF(ISNUMBER(DL65),DL65*(1+PortfolioFrontier[[#This Row],[P29 Return]]),1+PortfolioFrontier[[#This Row],[P29 Return]])</f>
        <v>1.6945018488705408</v>
      </c>
      <c r="DM66" s="27">
        <f>MAX(DM65,PortfolioFrontier[[#This Row],[P29 Growth]])</f>
        <v>1.6945018488705408</v>
      </c>
      <c r="DN66" s="27">
        <f>PortfolioFrontier[[#This Row],[P29 Growth]]/PortfolioFrontier[[#This Row],[P29 HWM]]-1</f>
        <v>0</v>
      </c>
      <c r="DO66" s="28">
        <f>SUMPRODUCT(INDEX(PortfolioRef[[SPY]:[PE]],MATCH(DO$1,PortfolioRef[Reference '#]),0),AssetMonthlyReturns[[#This Row],[SPY]:[PE]])</f>
        <v>2.2667704866185724E-2</v>
      </c>
      <c r="DP66" s="27">
        <f>IF(ISNUMBER(DP65),DP65*(1+PortfolioFrontier[[#This Row],[P30 Return]]),1+PortfolioFrontier[[#This Row],[P30 Return]])</f>
        <v>1.6636704407590255</v>
      </c>
      <c r="DQ66" s="27">
        <f>MAX(DQ65,PortfolioFrontier[[#This Row],[P30 Growth]])</f>
        <v>1.6636704407590255</v>
      </c>
      <c r="DR66" s="27">
        <f>PortfolioFrontier[[#This Row],[P30 Growth]]/PortfolioFrontier[[#This Row],[P30 HWM]]-1</f>
        <v>0</v>
      </c>
      <c r="DS66" s="28">
        <f>SUMPRODUCT(INDEX(PortfolioRef[[SPY]:[PE]],MATCH(DS$1,PortfolioRef[Reference '#]),0),AssetMonthlyReturns[[#This Row],[SPY]:[PE]])</f>
        <v>2.8692816655904341E-2</v>
      </c>
      <c r="DT66" s="27">
        <f>IF(ISNUMBER(DT65),DT65*(1+PortfolioFrontier[[#This Row],[P31 Return]]),1+PortfolioFrontier[[#This Row],[P31 Return]])</f>
        <v>1.7362395873807024</v>
      </c>
      <c r="DU66" s="27">
        <f>MAX(DU65,PortfolioFrontier[[#This Row],[P31 Growth]])</f>
        <v>1.7362395873807024</v>
      </c>
      <c r="DV66" s="27">
        <f>PortfolioFrontier[[#This Row],[P31 Growth]]/PortfolioFrontier[[#This Row],[P31 HWM]]-1</f>
        <v>0</v>
      </c>
      <c r="DW66" s="28">
        <f>SUMPRODUCT(INDEX(PortfolioRef[[SPY]:[PE]],MATCH(DW$1,PortfolioRef[Reference '#]),0),AssetMonthlyReturns[[#This Row],[SPY]:[PE]])</f>
        <v>2.6338819964176086E-2</v>
      </c>
      <c r="DX66" s="27">
        <f>IF(ISNUMBER(DX65),DX65*(1+PortfolioFrontier[[#This Row],[P32 Return]]),1+PortfolioFrontier[[#This Row],[P32 Return]])</f>
        <v>1.7058472636015714</v>
      </c>
      <c r="DY66" s="27">
        <f>MAX(DY65,PortfolioFrontier[[#This Row],[P32 Growth]])</f>
        <v>1.7058472636015714</v>
      </c>
      <c r="DZ66" s="27">
        <f>PortfolioFrontier[[#This Row],[P32 Growth]]/PortfolioFrontier[[#This Row],[P32 HWM]]-1</f>
        <v>0</v>
      </c>
      <c r="EA66" s="28">
        <f>SUMPRODUCT(INDEX(PortfolioRef[[SPY]:[PE]],MATCH(EA$1,PortfolioRef[Reference '#]),0),AssetMonthlyReturns[[#This Row],[SPY]:[PE]])</f>
        <v>2.3984823272447831E-2</v>
      </c>
      <c r="EB66" s="27">
        <f>IF(ISNUMBER(EB65),EB65*(1+PortfolioFrontier[[#This Row],[P33 Return]]),1+PortfolioFrontier[[#This Row],[P33 Return]])</f>
        <v>1.6753205680986671</v>
      </c>
      <c r="EC66" s="27">
        <f>MAX(EC65,PortfolioFrontier[[#This Row],[P33 Growth]])</f>
        <v>1.6753205680986671</v>
      </c>
      <c r="ED66" s="27">
        <f>PortfolioFrontier[[#This Row],[P33 Growth]]/PortfolioFrontier[[#This Row],[P33 HWM]]-1</f>
        <v>0</v>
      </c>
      <c r="EE66" s="28">
        <f>SUMPRODUCT(INDEX(PortfolioRef[[SPY]:[PE]],MATCH(EE$1,PortfolioRef[Reference '#]),0),AssetMonthlyReturns[[#This Row],[SPY]:[PE]])</f>
        <v>2.1813000658862956E-2</v>
      </c>
      <c r="EF66" s="27">
        <f>IF(ISNUMBER(EF65),EF65*(1+PortfolioFrontier[[#This Row],[P34 Return]]),1+PortfolioFrontier[[#This Row],[P34 Return]])</f>
        <v>1.604141991279338</v>
      </c>
      <c r="EG66" s="27">
        <f>MAX(EG65,PortfolioFrontier[[#This Row],[P34 Growth]])</f>
        <v>1.604141991279338</v>
      </c>
      <c r="EH66" s="27">
        <f>PortfolioFrontier[[#This Row],[P34 Growth]]/PortfolioFrontier[[#This Row],[P34 HWM]]-1</f>
        <v>0</v>
      </c>
      <c r="EI66" s="28">
        <f>SUMPRODUCT(INDEX(PortfolioRef[[SPY]:[PE]],MATCH(EI$1,PortfolioRef[Reference '#]),0),AssetMonthlyReturns[[#This Row],[SPY]:[PE]])</f>
        <v>2.2514259752755027E-2</v>
      </c>
      <c r="EJ66" s="27">
        <f>IF(ISNUMBER(EJ65),EJ65*(1+PortfolioFrontier[[#This Row],[P35 Return]]),1+PortfolioFrontier[[#This Row],[P35 Return]])</f>
        <v>1.617658011777334</v>
      </c>
      <c r="EK66" s="27">
        <f>MAX(EK65,PortfolioFrontier[[#This Row],[P35 Growth]])</f>
        <v>1.617658011777334</v>
      </c>
      <c r="EL66" s="27">
        <f>PortfolioFrontier[[#This Row],[P35 Growth]]/PortfolioFrontier[[#This Row],[P35 HWM]]-1</f>
        <v>0</v>
      </c>
      <c r="EM66" s="28">
        <f>SUMPRODUCT(INDEX(PortfolioRef[[SPY]:[PE]],MATCH(EM$1,PortfolioRef[Reference '#]),0),AssetMonthlyReturns[[#This Row],[SPY]:[PE]])</f>
        <v>2.3831378159017137E-2</v>
      </c>
      <c r="EN66" s="27">
        <f>IF(ISNUMBER(EN65),EN65*(1+PortfolioFrontier[[#This Row],[P36 Return]]),1+PortfolioFrontier[[#This Row],[P36 Return]])</f>
        <v>1.6294339328400289</v>
      </c>
      <c r="EO66" s="27">
        <f>MAX(EO65,PortfolioFrontier[[#This Row],[P36 Growth]])</f>
        <v>1.6294339328400289</v>
      </c>
      <c r="EP66" s="27">
        <f>PortfolioFrontier[[#This Row],[P36 Growth]]/PortfolioFrontier[[#This Row],[P36 HWM]]-1</f>
        <v>0</v>
      </c>
      <c r="EQ66" s="28">
        <f>SUMPRODUCT(INDEX(PortfolioRef[[SPY]:[PE]],MATCH(EQ$1,PortfolioRef[Reference '#]),0),AssetMonthlyReturns[[#This Row],[SPY]:[PE]])</f>
        <v>2.1477381467288881E-2</v>
      </c>
      <c r="ER66" s="27">
        <f>IF(ISNUMBER(ER65),ER65*(1+PortfolioFrontier[[#This Row],[P37 Return]]),1+PortfolioFrontier[[#This Row],[P37 Return]])</f>
        <v>1.599512926026381</v>
      </c>
      <c r="ES66" s="27">
        <f>MAX(ES65,PortfolioFrontier[[#This Row],[P37 Growth]])</f>
        <v>1.599512926026381</v>
      </c>
      <c r="ET66" s="27">
        <f>PortfolioFrontier[[#This Row],[P37 Growth]]/PortfolioFrontier[[#This Row],[P37 HWM]]-1</f>
        <v>0</v>
      </c>
      <c r="EU66" s="28">
        <f>SUMPRODUCT(INDEX(PortfolioRef[[SPY]:[PE]],MATCH(EU$1,PortfolioRef[Reference '#]),0),AssetMonthlyReturns[[#This Row],[SPY]:[PE]])</f>
        <v>2.3215518846647097E-2</v>
      </c>
      <c r="EV66" s="27">
        <f>IF(ISNUMBER(EV65),EV65*(1+PortfolioFrontier[[#This Row],[P38 Return]]),1+PortfolioFrontier[[#This Row],[P38 Return]])</f>
        <v>1.6309732574820663</v>
      </c>
      <c r="EW66" s="27">
        <f>MAX(EW65,PortfolioFrontier[[#This Row],[P38 Growth]])</f>
        <v>1.6309732574820663</v>
      </c>
      <c r="EX66" s="27">
        <f>PortfolioFrontier[[#This Row],[P38 Growth]]/PortfolioFrontier[[#This Row],[P38 HWM]]-1</f>
        <v>0</v>
      </c>
      <c r="EY66" s="28">
        <f>SUMPRODUCT(INDEX(PortfolioRef[[SPY]:[PE]],MATCH(EY$1,PortfolioRef[Reference '#]),0),AssetMonthlyReturns[[#This Row],[SPY]:[PE]])</f>
        <v>2.4532637252909207E-2</v>
      </c>
      <c r="EZ66" s="27">
        <f>IF(ISNUMBER(EZ65),EZ65*(1+PortfolioFrontier[[#This Row],[P39 Return]]),1+PortfolioFrontier[[#This Row],[P39 Return]])</f>
        <v>1.643147842340668</v>
      </c>
      <c r="FA66" s="27">
        <f>MAX(FA65,PortfolioFrontier[[#This Row],[P39 Growth]])</f>
        <v>1.643147842340668</v>
      </c>
      <c r="FB66" s="27">
        <f>PortfolioFrontier[[#This Row],[P39 Growth]]/PortfolioFrontier[[#This Row],[P39 HWM]]-1</f>
        <v>0</v>
      </c>
      <c r="FC66" s="28">
        <f>SUMPRODUCT(INDEX(PortfolioRef[[SPY]:[PE]],MATCH(FC$1,PortfolioRef[Reference '#]),0),AssetMonthlyReturns[[#This Row],[SPY]:[PE]])</f>
        <v>2.2178640561180952E-2</v>
      </c>
      <c r="FD66" s="27">
        <f>IF(ISNUMBER(FD65),FD65*(1+PortfolioFrontier[[#This Row],[P40 Return]]),1+PortfolioFrontier[[#This Row],[P40 Return]])</f>
        <v>1.613016866734859</v>
      </c>
      <c r="FE66" s="27">
        <f>MAX(FE65,PortfolioFrontier[[#This Row],[P40 Growth]])</f>
        <v>1.613016866734859</v>
      </c>
      <c r="FF66" s="27">
        <f>PortfolioFrontier[[#This Row],[P40 Growth]]/PortfolioFrontier[[#This Row],[P40 HWM]]-1</f>
        <v>0</v>
      </c>
      <c r="FG66" s="28">
        <f>SUMPRODUCT(INDEX(PortfolioRef[[SPY]:[PE]],MATCH(FG$1,PortfolioRef[Reference '#]),0),AssetMonthlyReturns[[#This Row],[SPY]:[PE]])</f>
        <v>2.5849755659171313E-2</v>
      </c>
      <c r="FH66" s="27">
        <f>IF(ISNUMBER(FH65),FH65*(1+PortfolioFrontier[[#This Row],[P41 Return]]),1+PortfolioFrontier[[#This Row],[P41 Return]])</f>
        <v>1.65457532639112</v>
      </c>
      <c r="FI66" s="27">
        <f>MAX(FI65,PortfolioFrontier[[#This Row],[P41 Growth]])</f>
        <v>1.65457532639112</v>
      </c>
      <c r="FJ66" s="27">
        <f>PortfolioFrontier[[#This Row],[P41 Growth]]/PortfolioFrontier[[#This Row],[P41 HWM]]-1</f>
        <v>0</v>
      </c>
      <c r="FK66" s="28">
        <f>SUMPRODUCT(INDEX(PortfolioRef[[SPY]:[PE]],MATCH(FK$1,PortfolioRef[Reference '#]),0),AssetMonthlyReturns[[#This Row],[SPY]:[PE]])</f>
        <v>2.3495758967443058E-2</v>
      </c>
      <c r="FL66" s="27">
        <f>IF(ISNUMBER(FL65),FL65*(1+PortfolioFrontier[[#This Row],[P42 Return]]),1+PortfolioFrontier[[#This Row],[P42 Return]])</f>
        <v>1.6247283479592072</v>
      </c>
      <c r="FM66" s="27">
        <f>MAX(FM65,PortfolioFrontier[[#This Row],[P42 Growth]])</f>
        <v>1.6247283479592072</v>
      </c>
      <c r="FN66" s="27">
        <f>PortfolioFrontier[[#This Row],[P42 Growth]]/PortfolioFrontier[[#This Row],[P42 HWM]]-1</f>
        <v>0</v>
      </c>
      <c r="FO66" s="28">
        <f>SUMPRODUCT(INDEX(PortfolioRef[[SPY]:[PE]],MATCH(FO$1,PortfolioRef[Reference '#]),0),AssetMonthlyReturns[[#This Row],[SPY]:[PE]])</f>
        <v>2.1141762275714803E-2</v>
      </c>
      <c r="FP66" s="27">
        <f>IF(ISNUMBER(FP65),FP65*(1+PortfolioFrontier[[#This Row],[P43 Return]]),1+PortfolioFrontier[[#This Row],[P43 Return]])</f>
        <v>1.5947909567098411</v>
      </c>
      <c r="FQ66" s="27">
        <f>MAX(FQ65,PortfolioFrontier[[#This Row],[P43 Growth]])</f>
        <v>1.5947909567098411</v>
      </c>
      <c r="FR66" s="27">
        <f>PortfolioFrontier[[#This Row],[P43 Growth]]/PortfolioFrontier[[#This Row],[P43 HWM]]-1</f>
        <v>0</v>
      </c>
      <c r="FS66" s="28">
        <f>SUMPRODUCT(INDEX(PortfolioRef[[SPY]:[PE]],MATCH(FS$1,PortfolioRef[Reference '#]),0),AssetMonthlyReturns[[#This Row],[SPY]:[PE]])</f>
        <v>2.5233896346801277E-2</v>
      </c>
      <c r="FT66" s="27">
        <f>IF(ISNUMBER(FT65),FT65*(1+PortfolioFrontier[[#This Row],[P44 Return]]),1+PortfolioFrontier[[#This Row],[P44 Return]])</f>
        <v>1.6566581050848224</v>
      </c>
      <c r="FU66" s="27">
        <f>MAX(FU65,PortfolioFrontier[[#This Row],[P44 Growth]])</f>
        <v>1.6566581050848224</v>
      </c>
      <c r="FV66" s="27">
        <f>PortfolioFrontier[[#This Row],[P44 Growth]]/PortfolioFrontier[[#This Row],[P44 HWM]]-1</f>
        <v>0</v>
      </c>
      <c r="FW66" s="28">
        <f>SUMPRODUCT(INDEX(PortfolioRef[[SPY]:[PE]],MATCH(FW$1,PortfolioRef[Reference '#]),0),AssetMonthlyReturns[[#This Row],[SPY]:[PE]])</f>
        <v>2.2879899655073022E-2</v>
      </c>
      <c r="FX66" s="27">
        <f>IF(ISNUMBER(FX65),FX65*(1+PortfolioFrontier[[#This Row],[P45 Return]]),1+PortfolioFrontier[[#This Row],[P45 Return]])</f>
        <v>1.6263211769773089</v>
      </c>
      <c r="FY66" s="27">
        <f>MAX(FY65,PortfolioFrontier[[#This Row],[P45 Growth]])</f>
        <v>1.6263211769773089</v>
      </c>
      <c r="FZ66" s="27">
        <f>PortfolioFrontier[[#This Row],[P45 Growth]]/PortfolioFrontier[[#This Row],[P45 HWM]]-1</f>
        <v>0</v>
      </c>
      <c r="GA66" s="28">
        <f>SUMPRODUCT(INDEX(PortfolioRef[[SPY]:[PE]],MATCH(GA$1,PortfolioRef[Reference '#]),0),AssetMonthlyReturns[[#This Row],[SPY]:[PE]])</f>
        <v>2.6551014753063384E-2</v>
      </c>
      <c r="GB66" s="27">
        <f>IF(ISNUMBER(GB65),GB65*(1+PortfolioFrontier[[#This Row],[P46 Return]]),1+PortfolioFrontier[[#This Row],[P46 Return]])</f>
        <v>1.6684855920017885</v>
      </c>
      <c r="GC66" s="27">
        <f>MAX(GC65,PortfolioFrontier[[#This Row],[P46 Growth]])</f>
        <v>1.6684855920017885</v>
      </c>
      <c r="GD66" s="27">
        <f>PortfolioFrontier[[#This Row],[P46 Growth]]/PortfolioFrontier[[#This Row],[P46 HWM]]-1</f>
        <v>0</v>
      </c>
      <c r="GE66" s="28">
        <f>SUMPRODUCT(INDEX(PortfolioRef[[SPY]:[PE]],MATCH(GE$1,PortfolioRef[Reference '#]),0),AssetMonthlyReturns[[#This Row],[SPY]:[PE]])</f>
        <v>2.4197018061335129E-2</v>
      </c>
      <c r="GF66" s="27">
        <f>IF(ISNUMBER(GF65),GF65*(1+PortfolioFrontier[[#This Row],[P47 Return]]),1+PortfolioFrontier[[#This Row],[P47 Return]])</f>
        <v>1.6384299643712437</v>
      </c>
      <c r="GG66" s="27">
        <f>MAX(GG65,PortfolioFrontier[[#This Row],[P47 Growth]])</f>
        <v>1.6384299643712437</v>
      </c>
      <c r="GH66" s="27">
        <f>PortfolioFrontier[[#This Row],[P47 Growth]]/PortfolioFrontier[[#This Row],[P47 HWM]]-1</f>
        <v>0</v>
      </c>
      <c r="GI66" s="28">
        <f>SUMPRODUCT(INDEX(PortfolioRef[[SPY]:[PE]],MATCH(GI$1,PortfolioRef[Reference '#]),0),AssetMonthlyReturns[[#This Row],[SPY]:[PE]])</f>
        <v>2.1843021369606874E-2</v>
      </c>
      <c r="GJ66" s="27">
        <f>IF(ISNUMBER(GJ65),GJ65*(1+PortfolioFrontier[[#This Row],[P48 Return]]),1+PortfolioFrontier[[#This Row],[P48 Return]])</f>
        <v>1.608281889714106</v>
      </c>
      <c r="GK66" s="27">
        <f>MAX(GK65,PortfolioFrontier[[#This Row],[P48 Growth]])</f>
        <v>1.608281889714106</v>
      </c>
      <c r="GL66" s="27">
        <f>PortfolioFrontier[[#This Row],[P48 Growth]]/PortfolioFrontier[[#This Row],[P48 HWM]]-1</f>
        <v>0</v>
      </c>
      <c r="GM66" s="28">
        <f>SUMPRODUCT(INDEX(PortfolioRef[[SPY]:[PE]],MATCH(GM$1,PortfolioRef[Reference '#]),0),AssetMonthlyReturns[[#This Row],[SPY]:[PE]])</f>
        <v>2.7868133159325494E-2</v>
      </c>
      <c r="GN66" s="27">
        <f>IF(ISNUMBER(GN65),GN65*(1+PortfolioFrontier[[#This Row],[P49 Return]]),1+PortfolioFrontier[[#This Row],[P49 Return]])</f>
        <v>1.6795433664704855</v>
      </c>
      <c r="GO66" s="27">
        <f>MAX(GO65,PortfolioFrontier[[#This Row],[P49 Growth]])</f>
        <v>1.6795433664704855</v>
      </c>
      <c r="GP66" s="27">
        <f>PortfolioFrontier[[#This Row],[P49 Growth]]/PortfolioFrontier[[#This Row],[P49 HWM]]-1</f>
        <v>0</v>
      </c>
      <c r="GQ66" s="28">
        <f>SUMPRODUCT(INDEX(PortfolioRef[[SPY]:[PE]],MATCH(GQ$1,PortfolioRef[Reference '#]),0),AssetMonthlyReturns[[#This Row],[SPY]:[PE]])</f>
        <v>2.5514136467597238E-2</v>
      </c>
      <c r="GR66" s="27">
        <f>IF(ISNUMBER(GR65),GR65*(1+PortfolioFrontier[[#This Row],[P50 Return]]),1+PortfolioFrontier[[#This Row],[P50 Return]])</f>
        <v>1.6497935059882545</v>
      </c>
      <c r="GS66" s="27">
        <f>MAX(GS65,PortfolioFrontier[[#This Row],[P50 Growth]])</f>
        <v>1.6497935059882545</v>
      </c>
      <c r="GT66" s="27">
        <f>PortfolioFrontier[[#This Row],[P50 Growth]]/PortfolioFrontier[[#This Row],[P50 HWM]]-1</f>
        <v>0</v>
      </c>
      <c r="GU66" s="28">
        <f>SUMPRODUCT(INDEX(PortfolioRef[[SPY]:[PE]],MATCH(GU$1,PortfolioRef[Reference '#]),0),AssetMonthlyReturns[[#This Row],[SPY]:[PE]])</f>
        <v>2.3160139775868983E-2</v>
      </c>
      <c r="GV66" s="27">
        <f>IF(ISNUMBER(GV65),GV65*(1+PortfolioFrontier[[#This Row],[P51 Return]]),1+PortfolioFrontier[[#This Row],[P51 Return]])</f>
        <v>1.619928319319722</v>
      </c>
      <c r="GW66" s="27">
        <f>MAX(GW65,PortfolioFrontier[[#This Row],[P51 Growth]])</f>
        <v>1.619928319319722</v>
      </c>
      <c r="GX66" s="27">
        <f>PortfolioFrontier[[#This Row],[P51 Growth]]/PortfolioFrontier[[#This Row],[P51 HWM]]-1</f>
        <v>0</v>
      </c>
      <c r="GY66" s="28">
        <f>SUMPRODUCT(INDEX(PortfolioRef[[SPY]:[PE]],MATCH(GY$1,PortfolioRef[Reference '#]),0),AssetMonthlyReturns[[#This Row],[SPY]:[PE]])</f>
        <v>2.7252273846955458E-2</v>
      </c>
      <c r="GZ66" s="27">
        <f>IF(ISNUMBER(GZ65),GZ65*(1+PortfolioFrontier[[#This Row],[P52 Return]]),1+PortfolioFrontier[[#This Row],[P52 Return]])</f>
        <v>1.6821893641652768</v>
      </c>
      <c r="HA66" s="27">
        <f>MAX(HA65,PortfolioFrontier[[#This Row],[P52 Growth]])</f>
        <v>1.6821893641652768</v>
      </c>
      <c r="HB66" s="27">
        <f>PortfolioFrontier[[#This Row],[P52 Growth]]/PortfolioFrontier[[#This Row],[P52 HWM]]-1</f>
        <v>0</v>
      </c>
      <c r="HC66" s="28">
        <f>SUMPRODUCT(INDEX(PortfolioRef[[SPY]:[PE]],MATCH(HC$1,PortfolioRef[Reference '#]),0),AssetMonthlyReturns[[#This Row],[SPY]:[PE]])</f>
        <v>2.4898277155227203E-2</v>
      </c>
      <c r="HD66" s="27">
        <f>IF(ISNUMBER(HD65),HD65*(1+PortfolioFrontier[[#This Row],[P53 Return]]),1+PortfolioFrontier[[#This Row],[P53 Return]])</f>
        <v>1.6519290945695666</v>
      </c>
      <c r="HE66" s="27">
        <f>MAX(HE65,PortfolioFrontier[[#This Row],[P53 Growth]])</f>
        <v>1.6519290945695666</v>
      </c>
      <c r="HF66" s="27">
        <f>PortfolioFrontier[[#This Row],[P53 Growth]]/PortfolioFrontier[[#This Row],[P53 HWM]]-1</f>
        <v>0</v>
      </c>
      <c r="HG66" s="28">
        <f>SUMPRODUCT(INDEX(PortfolioRef[[SPY]:[PE]],MATCH(HG$1,PortfolioRef[Reference '#]),0),AssetMonthlyReturns[[#This Row],[SPY]:[PE]])</f>
        <v>2.2544280463498947E-2</v>
      </c>
      <c r="HH66" s="27">
        <f>IF(ISNUMBER(HH65),HH65*(1+PortfolioFrontier[[#This Row],[P54 Return]]),1+PortfolioFrontier[[#This Row],[P54 Return]])</f>
        <v>1.621574344197324</v>
      </c>
      <c r="HI66" s="27">
        <f>MAX(HI65,PortfolioFrontier[[#This Row],[P54 Growth]])</f>
        <v>1.621574344197324</v>
      </c>
      <c r="HJ66" s="27">
        <f>PortfolioFrontier[[#This Row],[P54 Growth]]/PortfolioFrontier[[#This Row],[P54 HWM]]-1</f>
        <v>0</v>
      </c>
      <c r="HK66" s="28">
        <f>SUMPRODUCT(INDEX(PortfolioRef[[SPY]:[PE]],MATCH(HK$1,PortfolioRef[Reference '#]),0),AssetMonthlyReturns[[#This Row],[SPY]:[PE]])</f>
        <v>2.8569392253217564E-2</v>
      </c>
      <c r="HL66" s="27">
        <f>IF(ISNUMBER(HL65),HL65*(1+PortfolioFrontier[[#This Row],[P55 Return]]),1+PortfolioFrontier[[#This Row],[P55 Return]])</f>
        <v>1.6936482794917211</v>
      </c>
      <c r="HM66" s="27">
        <f>MAX(HM65,PortfolioFrontier[[#This Row],[P55 Growth]])</f>
        <v>1.6936482794917211</v>
      </c>
      <c r="HN66" s="27">
        <f>PortfolioFrontier[[#This Row],[P55 Growth]]/PortfolioFrontier[[#This Row],[P55 HWM]]-1</f>
        <v>0</v>
      </c>
      <c r="HO66" s="28">
        <f>SUMPRODUCT(INDEX(PortfolioRef[[SPY]:[PE]],MATCH(HO$1,PortfolioRef[Reference '#]),0),AssetMonthlyReturns[[#This Row],[SPY]:[PE]])</f>
        <v>2.6215395561489309E-2</v>
      </c>
      <c r="HP66" s="27">
        <f>IF(ISNUMBER(HP65),HP65*(1+PortfolioFrontier[[#This Row],[P56 Return]]),1+PortfolioFrontier[[#This Row],[P56 Return]])</f>
        <v>1.6636912661137142</v>
      </c>
      <c r="HQ66" s="27">
        <f>MAX(HQ65,PortfolioFrontier[[#This Row],[P56 Growth]])</f>
        <v>1.6636912661137142</v>
      </c>
      <c r="HR66" s="27">
        <f>PortfolioFrontier[[#This Row],[P56 Growth]]/PortfolioFrontier[[#This Row],[P56 HWM]]-1</f>
        <v>0</v>
      </c>
      <c r="HS66" s="28">
        <f>SUMPRODUCT(INDEX(PortfolioRef[[SPY]:[PE]],MATCH(HS$1,PortfolioRef[Reference '#]),0),AssetMonthlyReturns[[#This Row],[SPY]:[PE]])</f>
        <v>2.3861398869761054E-2</v>
      </c>
      <c r="HT66" s="27">
        <f>IF(ISNUMBER(HT65),HT65*(1+PortfolioFrontier[[#This Row],[P57 Return]]),1+PortfolioFrontier[[#This Row],[P57 Return]])</f>
        <v>1.6336167003036151</v>
      </c>
      <c r="HU66" s="27">
        <f>MAX(HU65,PortfolioFrontier[[#This Row],[P57 Growth]])</f>
        <v>1.6336167003036151</v>
      </c>
      <c r="HV66" s="27">
        <f>PortfolioFrontier[[#This Row],[P57 Growth]]/PortfolioFrontier[[#This Row],[P57 HWM]]-1</f>
        <v>0</v>
      </c>
      <c r="HW66" s="28">
        <f>SUMPRODUCT(INDEX(PortfolioRef[[SPY]:[PE]],MATCH(HW$1,PortfolioRef[Reference '#]),0),AssetMonthlyReturns[[#This Row],[SPY]:[PE]])</f>
        <v>2.988651065947967E-2</v>
      </c>
      <c r="HX66" s="27">
        <f>IF(ISNUMBER(HX65),HX65*(1+PortfolioFrontier[[#This Row],[P58 Return]]),1+PortfolioFrontier[[#This Row],[P58 Return]])</f>
        <v>1.7043147414755544</v>
      </c>
      <c r="HY66" s="27">
        <f>MAX(HY65,PortfolioFrontier[[#This Row],[P58 Growth]])</f>
        <v>1.7043147414755544</v>
      </c>
      <c r="HZ66" s="27">
        <f>PortfolioFrontier[[#This Row],[P58 Growth]]/PortfolioFrontier[[#This Row],[P58 HWM]]-1</f>
        <v>0</v>
      </c>
      <c r="IA66" s="28">
        <f>SUMPRODUCT(INDEX(PortfolioRef[[SPY]:[PE]],MATCH(IA$1,PortfolioRef[Reference '#]),0),AssetMonthlyReturns[[#This Row],[SPY]:[PE]])</f>
        <v>2.7532513967751415E-2</v>
      </c>
      <c r="IB66" s="27">
        <f>IF(ISNUMBER(IB65),IB65*(1+PortfolioFrontier[[#This Row],[P59 Return]]),1+PortfolioFrontier[[#This Row],[P59 Return]])</f>
        <v>1.674685667101681</v>
      </c>
      <c r="IC66" s="27">
        <f>MAX(IC65,PortfolioFrontier[[#This Row],[P59 Growth]])</f>
        <v>1.674685667101681</v>
      </c>
      <c r="ID66" s="27">
        <f>PortfolioFrontier[[#This Row],[P59 Growth]]/PortfolioFrontier[[#This Row],[P59 HWM]]-1</f>
        <v>0</v>
      </c>
      <c r="IE66" s="28">
        <f>SUMPRODUCT(INDEX(PortfolioRef[[SPY]:[PE]],MATCH(IE$1,PortfolioRef[Reference '#]),0),AssetMonthlyReturns[[#This Row],[SPY]:[PE]])</f>
        <v>2.517851727602316E-2</v>
      </c>
      <c r="IF66" s="27">
        <f>IF(ISNUMBER(IF65),IF65*(1+PortfolioFrontier[[#This Row],[P60 Return]]),1+PortfolioFrontier[[#This Row],[P60 Return]])</f>
        <v>1.6449157043681693</v>
      </c>
      <c r="IG66" s="27">
        <f>MAX(IG65,PortfolioFrontier[[#This Row],[P60 Growth]])</f>
        <v>1.6449157043681693</v>
      </c>
      <c r="IH66" s="27">
        <f>PortfolioFrontier[[#This Row],[P60 Growth]]/PortfolioFrontier[[#This Row],[P60 HWM]]-1</f>
        <v>0</v>
      </c>
      <c r="II66" s="28">
        <f>SUMPRODUCT(INDEX(PortfolioRef[[SPY]:[PE]],MATCH(II$1,PortfolioRef[Reference '#]),0),AssetMonthlyReturns[[#This Row],[SPY]:[PE]])</f>
        <v>2.0988317162284109E-2</v>
      </c>
      <c r="IJ66" s="27">
        <f>IF(ISNUMBER(IJ65),IJ65*(1+PortfolioFrontier[[#This Row],[P61 Return]]),1+PortfolioFrontier[[#This Row],[P61 Return]])</f>
        <v>1.5501176825649032</v>
      </c>
      <c r="IK66" s="27">
        <f>MAX(IK65,PortfolioFrontier[[#This Row],[P61 Growth]])</f>
        <v>1.5501176825649032</v>
      </c>
      <c r="IL66" s="27">
        <f>PortfolioFrontier[[#This Row],[P61 Growth]]/PortfolioFrontier[[#This Row],[P61 HWM]]-1</f>
        <v>0</v>
      </c>
      <c r="IM66" s="28">
        <f>SUMPRODUCT(INDEX(PortfolioRef[[SPY]:[PE]],MATCH(IM$1,PortfolioRef[Reference '#]),0),AssetMonthlyReturns[[#This Row],[SPY]:[PE]])</f>
        <v>2.168957625617618E-2</v>
      </c>
      <c r="IN66" s="27">
        <f>IF(ISNUMBER(IN65),IN65*(1+PortfolioFrontier[[#This Row],[P62 Return]]),1+PortfolioFrontier[[#This Row],[P62 Return]])</f>
        <v>1.5631895302133831</v>
      </c>
      <c r="IO66" s="27">
        <f>MAX(IO65,PortfolioFrontier[[#This Row],[P62 Growth]])</f>
        <v>1.5631895302133831</v>
      </c>
      <c r="IP66" s="27">
        <f>PortfolioFrontier[[#This Row],[P62 Growth]]/PortfolioFrontier[[#This Row],[P62 HWM]]-1</f>
        <v>0</v>
      </c>
      <c r="IQ66" s="28">
        <f>SUMPRODUCT(INDEX(PortfolioRef[[SPY]:[PE]],MATCH(IQ$1,PortfolioRef[Reference '#]),0),AssetMonthlyReturns[[#This Row],[SPY]:[PE]])</f>
        <v>2.3006694662438286E-2</v>
      </c>
      <c r="IR66" s="27">
        <f>IF(ISNUMBER(IR65),IR65*(1+PortfolioFrontier[[#This Row],[P63 Return]]),1+PortfolioFrontier[[#This Row],[P63 Return]])</f>
        <v>1.5749403679789891</v>
      </c>
      <c r="IS66" s="27">
        <f>MAX(IS65,PortfolioFrontier[[#This Row],[P63 Growth]])</f>
        <v>1.5749403679789891</v>
      </c>
      <c r="IT66" s="27">
        <f>PortfolioFrontier[[#This Row],[P63 Growth]]/PortfolioFrontier[[#This Row],[P63 HWM]]-1</f>
        <v>0</v>
      </c>
      <c r="IU66" s="28">
        <f>SUMPRODUCT(INDEX(PortfolioRef[[SPY]:[PE]],MATCH(IU$1,PortfolioRef[Reference '#]),0),AssetMonthlyReturns[[#This Row],[SPY]:[PE]])</f>
        <v>2.0652697970710031E-2</v>
      </c>
      <c r="IV66" s="27">
        <f>IF(ISNUMBER(IV65),IV65*(1+PortfolioFrontier[[#This Row],[P64 Return]]),1+PortfolioFrontier[[#This Row],[P64 Return]])</f>
        <v>1.5456973336203721</v>
      </c>
      <c r="IW66" s="27">
        <f>MAX(IW65,PortfolioFrontier[[#This Row],[P64 Growth]])</f>
        <v>1.5456973336203721</v>
      </c>
      <c r="IX66" s="27">
        <f>PortfolioFrontier[[#This Row],[P64 Growth]]/PortfolioFrontier[[#This Row],[P64 HWM]]-1</f>
        <v>0</v>
      </c>
      <c r="IY66" s="28">
        <f>SUMPRODUCT(INDEX(PortfolioRef[[SPY]:[PE]],MATCH(IY$1,PortfolioRef[Reference '#]),0),AssetMonthlyReturns[[#This Row],[SPY]:[PE]])</f>
        <v>2.239083535006825E-2</v>
      </c>
      <c r="IZ66" s="27">
        <f>IF(ISNUMBER(IZ65),IZ65*(1+PortfolioFrontier[[#This Row],[P65 Return]]),1+PortfolioFrontier[[#This Row],[P65 Return]])</f>
        <v>1.5760668215494</v>
      </c>
      <c r="JA66" s="27">
        <f>MAX(JA65,PortfolioFrontier[[#This Row],[P65 Growth]])</f>
        <v>1.5760668215494</v>
      </c>
      <c r="JB66" s="27">
        <f>PortfolioFrontier[[#This Row],[P65 Growth]]/PortfolioFrontier[[#This Row],[P65 HWM]]-1</f>
        <v>0</v>
      </c>
      <c r="JC66" s="28">
        <f>SUMPRODUCT(INDEX(PortfolioRef[[SPY]:[PE]],MATCH(JC$1,PortfolioRef[Reference '#]),0),AssetMonthlyReturns[[#This Row],[SPY]:[PE]])</f>
        <v>2.3707953756330356E-2</v>
      </c>
      <c r="JD66" s="27">
        <f>IF(ISNUMBER(JD65),JD65*(1+PortfolioFrontier[[#This Row],[P66 Return]]),1+PortfolioFrontier[[#This Row],[P66 Return]])</f>
        <v>1.5882067003159528</v>
      </c>
      <c r="JE66" s="27">
        <f>MAX(JE65,PortfolioFrontier[[#This Row],[P66 Growth]])</f>
        <v>1.5882067003159528</v>
      </c>
      <c r="JF66" s="27">
        <f>PortfolioFrontier[[#This Row],[P66 Growth]]/PortfolioFrontier[[#This Row],[P66 HWM]]-1</f>
        <v>0</v>
      </c>
      <c r="JG66" s="28">
        <f>SUMPRODUCT(INDEX(PortfolioRef[[SPY]:[PE]],MATCH(JG$1,PortfolioRef[Reference '#]),0),AssetMonthlyReturns[[#This Row],[SPY]:[PE]])</f>
        <v>2.1353957064602101E-2</v>
      </c>
      <c r="JH66" s="27">
        <f>IF(ISNUMBER(JH65),JH65*(1+PortfolioFrontier[[#This Row],[P67 Return]]),1+PortfolioFrontier[[#This Row],[P67 Return]])</f>
        <v>1.5587579432725513</v>
      </c>
      <c r="JI66" s="27">
        <f>MAX(JI65,PortfolioFrontier[[#This Row],[P67 Growth]])</f>
        <v>1.5587579432725513</v>
      </c>
      <c r="JJ66" s="27">
        <f>PortfolioFrontier[[#This Row],[P67 Growth]]/PortfolioFrontier[[#This Row],[P67 HWM]]-1</f>
        <v>0</v>
      </c>
      <c r="JK66" s="28">
        <f>SUMPRODUCT(INDEX(PortfolioRef[[SPY]:[PE]],MATCH(JK$1,PortfolioRef[Reference '#]),0),AssetMonthlyReturns[[#This Row],[SPY]:[PE]])</f>
        <v>2.5025072162592466E-2</v>
      </c>
      <c r="JL66" s="27">
        <f>IF(ISNUMBER(JL65),JL65*(1+PortfolioFrontier[[#This Row],[P68 Return]]),1+PortfolioFrontier[[#This Row],[P68 Return]])</f>
        <v>1.5996316566115467</v>
      </c>
      <c r="JM66" s="27">
        <f>MAX(JM65,PortfolioFrontier[[#This Row],[P68 Growth]])</f>
        <v>1.5996316566115467</v>
      </c>
      <c r="JN66" s="27">
        <f>PortfolioFrontier[[#This Row],[P68 Growth]]/PortfolioFrontier[[#This Row],[P68 HWM]]-1</f>
        <v>0</v>
      </c>
      <c r="JO66" s="28">
        <f>SUMPRODUCT(INDEX(PortfolioRef[[SPY]:[PE]],MATCH(JO$1,PortfolioRef[Reference '#]),0),AssetMonthlyReturns[[#This Row],[SPY]:[PE]])</f>
        <v>2.2671075470864211E-2</v>
      </c>
      <c r="JP66" s="27">
        <f>IF(ISNUMBER(JP65),JP65*(1+PortfolioFrontier[[#This Row],[P69 Return]]),1+PortfolioFrontier[[#This Row],[P69 Return]])</f>
        <v>1.5704459958380141</v>
      </c>
      <c r="JQ66" s="27">
        <f>MAX(JQ65,PortfolioFrontier[[#This Row],[P69 Growth]])</f>
        <v>1.5704459958380141</v>
      </c>
      <c r="JR66" s="27">
        <f>PortfolioFrontier[[#This Row],[P69 Growth]]/PortfolioFrontier[[#This Row],[P69 HWM]]-1</f>
        <v>0</v>
      </c>
      <c r="JS66" s="28">
        <f>SUMPRODUCT(INDEX(PortfolioRef[[SPY]:[PE]],MATCH(JS$1,PortfolioRef[Reference '#]),0),AssetMonthlyReturns[[#This Row],[SPY]:[PE]])</f>
        <v>2.0317078779135956E-2</v>
      </c>
      <c r="JT66" s="27">
        <f>IF(ISNUMBER(JT65),JT65*(1+PortfolioFrontier[[#This Row],[P70 Return]]),1+PortfolioFrontier[[#This Row],[P70 Return]])</f>
        <v>1.5411869156649483</v>
      </c>
      <c r="JU66" s="27">
        <f>MAX(JU65,PortfolioFrontier[[#This Row],[P70 Growth]])</f>
        <v>1.5411869156649483</v>
      </c>
      <c r="JV66" s="27">
        <f>PortfolioFrontier[[#This Row],[P70 Growth]]/PortfolioFrontier[[#This Row],[P70 HWM]]-1</f>
        <v>0</v>
      </c>
      <c r="JW66" s="28">
        <f>SUMPRODUCT(INDEX(PortfolioRef[[SPY]:[PE]],MATCH(JW$1,PortfolioRef[Reference '#]),0),AssetMonthlyReturns[[#This Row],[SPY]:[PE]])</f>
        <v>2.4409212850222427E-2</v>
      </c>
      <c r="JX66" s="27">
        <f>IF(ISNUMBER(JX65),JX65*(1+PortfolioFrontier[[#This Row],[P71 Return]]),1+PortfolioFrontier[[#This Row],[P71 Return]])</f>
        <v>1.6012756477744419</v>
      </c>
      <c r="JY66" s="27">
        <f>MAX(JY65,PortfolioFrontier[[#This Row],[P71 Growth]])</f>
        <v>1.6012756477744419</v>
      </c>
      <c r="JZ66" s="27">
        <f>PortfolioFrontier[[#This Row],[P71 Growth]]/PortfolioFrontier[[#This Row],[P71 HWM]]-1</f>
        <v>0</v>
      </c>
      <c r="KA66" s="28">
        <f>SUMPRODUCT(INDEX(PortfolioRef[[SPY]:[PE]],MATCH(KA$1,PortfolioRef[Reference '#]),0),AssetMonthlyReturns[[#This Row],[SPY]:[PE]])</f>
        <v>2.2055216158494172E-2</v>
      </c>
      <c r="KB66" s="27">
        <f>IF(ISNUMBER(KB65),KB65*(1+PortfolioFrontier[[#This Row],[P72 Return]]),1+PortfolioFrontier[[#This Row],[P72 Return]])</f>
        <v>1.5716250995365029</v>
      </c>
      <c r="KC66" s="27">
        <f>MAX(KC65,PortfolioFrontier[[#This Row],[P72 Growth]])</f>
        <v>1.5716250995365029</v>
      </c>
      <c r="KD66" s="27">
        <f>PortfolioFrontier[[#This Row],[P72 Growth]]/PortfolioFrontier[[#This Row],[P72 HWM]]-1</f>
        <v>0</v>
      </c>
      <c r="KE66" s="28">
        <f>SUMPRODUCT(INDEX(PortfolioRef[[SPY]:[PE]],MATCH(KE$1,PortfolioRef[Reference '#]),0),AssetMonthlyReturns[[#This Row],[SPY]:[PE]])</f>
        <v>2.5726331256484537E-2</v>
      </c>
      <c r="KF66" s="27">
        <f>IF(ISNUMBER(KF65),KF65*(1+PortfolioFrontier[[#This Row],[P73 Return]]),1+PortfolioFrontier[[#This Row],[P73 Return]])</f>
        <v>1.6130910964022704</v>
      </c>
      <c r="KG66" s="27">
        <f>MAX(KG65,PortfolioFrontier[[#This Row],[P73 Growth]])</f>
        <v>1.6130910964022704</v>
      </c>
      <c r="KH66" s="27">
        <f>PortfolioFrontier[[#This Row],[P73 Growth]]/PortfolioFrontier[[#This Row],[P73 HWM]]-1</f>
        <v>0</v>
      </c>
      <c r="KI66" s="28">
        <f>SUMPRODUCT(INDEX(PortfolioRef[[SPY]:[PE]],MATCH(KI$1,PortfolioRef[Reference '#]),0),AssetMonthlyReturns[[#This Row],[SPY]:[PE]])</f>
        <v>2.3372334564756281E-2</v>
      </c>
      <c r="KJ66" s="27">
        <f>IF(ISNUMBER(KJ65),KJ65*(1+PortfolioFrontier[[#This Row],[P74 Return]]),1+PortfolioFrontier[[#This Row],[P74 Return]])</f>
        <v>1.5837008884979658</v>
      </c>
      <c r="KK66" s="27">
        <f>MAX(KK65,PortfolioFrontier[[#This Row],[P74 Growth]])</f>
        <v>1.5837008884979658</v>
      </c>
      <c r="KL66" s="27">
        <f>PortfolioFrontier[[#This Row],[P74 Growth]]/PortfolioFrontier[[#This Row],[P74 HWM]]-1</f>
        <v>0</v>
      </c>
      <c r="KM66" s="28">
        <f>SUMPRODUCT(INDEX(PortfolioRef[[SPY]:[PE]],MATCH(KM$1,PortfolioRef[Reference '#]),0),AssetMonthlyReturns[[#This Row],[SPY]:[PE]])</f>
        <v>2.1018337873028026E-2</v>
      </c>
      <c r="KN66" s="27">
        <f>IF(ISNUMBER(KN65),KN65*(1+PortfolioFrontier[[#This Row],[P75 Return]]),1+PortfolioFrontier[[#This Row],[P75 Return]])</f>
        <v>1.554235389140731</v>
      </c>
      <c r="KO66" s="27">
        <f>MAX(KO65,PortfolioFrontier[[#This Row],[P75 Growth]])</f>
        <v>1.554235389140731</v>
      </c>
      <c r="KP66" s="27">
        <f>PortfolioFrontier[[#This Row],[P75 Growth]]/PortfolioFrontier[[#This Row],[P75 HWM]]-1</f>
        <v>0</v>
      </c>
      <c r="KQ66" s="28">
        <f>SUMPRODUCT(INDEX(PortfolioRef[[SPY]:[PE]],MATCH(KQ$1,PortfolioRef[Reference '#]),0),AssetMonthlyReturns[[#This Row],[SPY]:[PE]])</f>
        <v>2.7043449662746643E-2</v>
      </c>
      <c r="KR66" s="27">
        <f>IF(ISNUMBER(KR65),KR65*(1+PortfolioFrontier[[#This Row],[P76 Return]]),1+PortfolioFrontier[[#This Row],[P76 Return]])</f>
        <v>1.6241696012271316</v>
      </c>
      <c r="KS66" s="27">
        <f>MAX(KS65,PortfolioFrontier[[#This Row],[P76 Growth]])</f>
        <v>1.6241696012271316</v>
      </c>
      <c r="KT66" s="27">
        <f>PortfolioFrontier[[#This Row],[P76 Growth]]/PortfolioFrontier[[#This Row],[P76 HWM]]-1</f>
        <v>0</v>
      </c>
      <c r="KU66" s="28">
        <f>SUMPRODUCT(INDEX(PortfolioRef[[SPY]:[PE]],MATCH(KU$1,PortfolioRef[Reference '#]),0),AssetMonthlyReturns[[#This Row],[SPY]:[PE]])</f>
        <v>2.4689452971018388E-2</v>
      </c>
      <c r="KV66" s="27">
        <f>IF(ISNUMBER(KV65),KV65*(1+PortfolioFrontier[[#This Row],[P77 Return]]),1+PortfolioFrontier[[#This Row],[P77 Return]])</f>
        <v>1.5950634924803035</v>
      </c>
      <c r="KW66" s="27">
        <f>MAX(KW65,PortfolioFrontier[[#This Row],[P77 Growth]])</f>
        <v>1.5950634924803035</v>
      </c>
      <c r="KX66" s="27">
        <f>PortfolioFrontier[[#This Row],[P77 Growth]]/PortfolioFrontier[[#This Row],[P77 HWM]]-1</f>
        <v>0</v>
      </c>
      <c r="KY66" s="28">
        <f>SUMPRODUCT(INDEX(PortfolioRef[[SPY]:[PE]],MATCH(KY$1,PortfolioRef[Reference '#]),0),AssetMonthlyReturns[[#This Row],[SPY]:[PE]])</f>
        <v>2.2335456279290133E-2</v>
      </c>
      <c r="KZ66" s="27">
        <f>IF(ISNUMBER(KZ65),KZ65*(1+PortfolioFrontier[[#This Row],[P78 Return]]),1+PortfolioFrontier[[#This Row],[P78 Return]])</f>
        <v>1.5658600422298365</v>
      </c>
      <c r="LA66" s="27">
        <f>MAX(LA65,PortfolioFrontier[[#This Row],[P78 Growth]])</f>
        <v>1.5658600422298365</v>
      </c>
      <c r="LB66" s="27">
        <f>PortfolioFrontier[[#This Row],[P78 Growth]]/PortfolioFrontier[[#This Row],[P78 HWM]]-1</f>
        <v>0</v>
      </c>
      <c r="LC66" s="28">
        <f>SUMPRODUCT(INDEX(PortfolioRef[[SPY]:[PE]],MATCH(LC$1,PortfolioRef[Reference '#]),0),AssetMonthlyReturns[[#This Row],[SPY]:[PE]])</f>
        <v>2.6427590350376607E-2</v>
      </c>
      <c r="LD66" s="27">
        <f>IF(ISNUMBER(LD65),LD65*(1+PortfolioFrontier[[#This Row],[P79 Return]]),1+PortfolioFrontier[[#This Row],[P79 Return]])</f>
        <v>1.6263503456277371</v>
      </c>
      <c r="LE66" s="27">
        <f>MAX(LE65,PortfolioFrontier[[#This Row],[P79 Growth]])</f>
        <v>1.6263503456277371</v>
      </c>
      <c r="LF66" s="27">
        <f>PortfolioFrontier[[#This Row],[P79 Growth]]/PortfolioFrontier[[#This Row],[P79 HWM]]-1</f>
        <v>0</v>
      </c>
      <c r="LG66" s="28">
        <f>SUMPRODUCT(INDEX(PortfolioRef[[SPY]:[PE]],MATCH(LG$1,PortfolioRef[Reference '#]),0),AssetMonthlyReturns[[#This Row],[SPY]:[PE]])</f>
        <v>2.4073593658648352E-2</v>
      </c>
      <c r="LH66" s="27">
        <f>IF(ISNUMBER(LH65),LH65*(1+PortfolioFrontier[[#This Row],[P80 Return]]),1+PortfolioFrontier[[#This Row],[P80 Return]])</f>
        <v>1.5967595150653544</v>
      </c>
      <c r="LI66" s="27">
        <f>MAX(LI65,PortfolioFrontier[[#This Row],[P80 Growth]])</f>
        <v>1.5967595150653544</v>
      </c>
      <c r="LJ66" s="27">
        <f>PortfolioFrontier[[#This Row],[P80 Growth]]/PortfolioFrontier[[#This Row],[P80 HWM]]-1</f>
        <v>0</v>
      </c>
      <c r="LK66" s="28">
        <f>SUMPRODUCT(INDEX(PortfolioRef[[SPY]:[PE]],MATCH(LK$1,PortfolioRef[Reference '#]),0),AssetMonthlyReturns[[#This Row],[SPY]:[PE]])</f>
        <v>2.1719596966920097E-2</v>
      </c>
      <c r="LL66" s="27">
        <f>IF(ISNUMBER(LL65),LL65*(1+PortfolioFrontier[[#This Row],[P81 Return]]),1+PortfolioFrontier[[#This Row],[P81 Return]])</f>
        <v>1.5670915196047408</v>
      </c>
      <c r="LM66" s="27">
        <f>MAX(LM65,PortfolioFrontier[[#This Row],[P81 Growth]])</f>
        <v>1.5670915196047408</v>
      </c>
      <c r="LN66" s="27">
        <f>PortfolioFrontier[[#This Row],[P81 Growth]]/PortfolioFrontier[[#This Row],[P81 HWM]]-1</f>
        <v>0</v>
      </c>
      <c r="LO66" s="28">
        <f>SUMPRODUCT(INDEX(PortfolioRef[[SPY]:[PE]],MATCH(LO$1,PortfolioRef[Reference '#]),0),AssetMonthlyReturns[[#This Row],[SPY]:[PE]])</f>
        <v>2.7744708756638713E-2</v>
      </c>
      <c r="LP66" s="27">
        <f>IF(ISNUMBER(LP65),LP65*(1+PortfolioFrontier[[#This Row],[P82 Return]]),1+PortfolioFrontier[[#This Row],[P82 Return]])</f>
        <v>1.6378206015419279</v>
      </c>
      <c r="LQ66" s="27">
        <f>MAX(LQ65,PortfolioFrontier[[#This Row],[P82 Growth]])</f>
        <v>1.6378206015419279</v>
      </c>
      <c r="LR66" s="27">
        <f>PortfolioFrontier[[#This Row],[P82 Growth]]/PortfolioFrontier[[#This Row],[P82 HWM]]-1</f>
        <v>0</v>
      </c>
      <c r="LS66" s="28">
        <f>SUMPRODUCT(INDEX(PortfolioRef[[SPY]:[PE]],MATCH(LS$1,PortfolioRef[Reference '#]),0),AssetMonthlyReturns[[#This Row],[SPY]:[PE]])</f>
        <v>2.5390712064910458E-2</v>
      </c>
      <c r="LT66" s="27">
        <f>IF(ISNUMBER(LT65),LT65*(1+PortfolioFrontier[[#This Row],[P83 Return]]),1+PortfolioFrontier[[#This Row],[P83 Return]])</f>
        <v>1.6085112916347579</v>
      </c>
      <c r="LU66" s="27">
        <f>MAX(LU65,PortfolioFrontier[[#This Row],[P83 Growth]])</f>
        <v>1.6085112916347579</v>
      </c>
      <c r="LV66" s="27">
        <f>PortfolioFrontier[[#This Row],[P83 Growth]]/PortfolioFrontier[[#This Row],[P83 HWM]]-1</f>
        <v>0</v>
      </c>
      <c r="LW66" s="28">
        <f>SUMPRODUCT(INDEX(PortfolioRef[[SPY]:[PE]],MATCH(LW$1,PortfolioRef[Reference '#]),0),AssetMonthlyReturns[[#This Row],[SPY]:[PE]])</f>
        <v>2.3036715373182203E-2</v>
      </c>
      <c r="LX66" s="27">
        <f>IF(ISNUMBER(LX65),LX65*(1+PortfolioFrontier[[#This Row],[P84 Return]]),1+PortfolioFrontier[[#This Row],[P84 Return]])</f>
        <v>1.5791025828806529</v>
      </c>
      <c r="LY66" s="27">
        <f>MAX(LY65,PortfolioFrontier[[#This Row],[P84 Growth]])</f>
        <v>1.5791025828806529</v>
      </c>
      <c r="LZ66" s="27">
        <f>PortfolioFrontier[[#This Row],[P84 Growth]]/PortfolioFrontier[[#This Row],[P84 HWM]]-1</f>
        <v>0</v>
      </c>
      <c r="MA66" s="28">
        <f>SUMPRODUCT(INDEX(PortfolioRef[[SPY]:[PE]],MATCH(MA$1,PortfolioRef[Reference '#]),0),AssetMonthlyReturns[[#This Row],[SPY]:[PE]])</f>
        <v>2.9061827162900823E-2</v>
      </c>
      <c r="MB66" s="27">
        <f>IF(ISNUMBER(MB65),MB65*(1+PortfolioFrontier[[#This Row],[P85 Return]]),1+PortfolioFrontier[[#This Row],[P85 Return]])</f>
        <v>1.6485317520579079</v>
      </c>
      <c r="MC66" s="27">
        <f>MAX(MC65,PortfolioFrontier[[#This Row],[P85 Growth]])</f>
        <v>1.6485317520579079</v>
      </c>
      <c r="MD66" s="27">
        <f>PortfolioFrontier[[#This Row],[P85 Growth]]/PortfolioFrontier[[#This Row],[P85 HWM]]-1</f>
        <v>0</v>
      </c>
      <c r="ME66" s="28">
        <f>SUMPRODUCT(INDEX(PortfolioRef[[SPY]:[PE]],MATCH(ME$1,PortfolioRef[Reference '#]),0),AssetMonthlyReturns[[#This Row],[SPY]:[PE]])</f>
        <v>2.6707830471172568E-2</v>
      </c>
      <c r="MF66" s="27">
        <f>IF(ISNUMBER(MF65),MF65*(1+PortfolioFrontier[[#This Row],[P86 Return]]),1+PortfolioFrontier[[#This Row],[P86 Return]])</f>
        <v>1.6195279448901228</v>
      </c>
      <c r="MG66" s="27">
        <f>MAX(MG65,PortfolioFrontier[[#This Row],[P86 Growth]])</f>
        <v>1.6195279448901228</v>
      </c>
      <c r="MH66" s="27">
        <f>PortfolioFrontier[[#This Row],[P86 Growth]]/PortfolioFrontier[[#This Row],[P86 HWM]]-1</f>
        <v>0</v>
      </c>
      <c r="MI66" s="28">
        <f>SUMPRODUCT(INDEX(PortfolioRef[[SPY]:[PE]],MATCH(MI$1,PortfolioRef[Reference '#]),0),AssetMonthlyReturns[[#This Row],[SPY]:[PE]])</f>
        <v>2.4353833779444313E-2</v>
      </c>
      <c r="MJ66" s="27">
        <f>IF(ISNUMBER(MJ65),MJ65*(1+PortfolioFrontier[[#This Row],[P87 Return]]),1+PortfolioFrontier[[#This Row],[P87 Return]])</f>
        <v>1.590402235903311</v>
      </c>
      <c r="MK66" s="27">
        <f>MAX(MK65,PortfolioFrontier[[#This Row],[P87 Growth]])</f>
        <v>1.590402235903311</v>
      </c>
      <c r="ML66" s="27">
        <f>PortfolioFrontier[[#This Row],[P87 Growth]]/PortfolioFrontier[[#This Row],[P87 HWM]]-1</f>
        <v>0</v>
      </c>
      <c r="MM66" s="28">
        <f>SUMPRODUCT(INDEX(PortfolioRef[[SPY]:[PE]],MATCH(MM$1,PortfolioRef[Reference '#]),0),AssetMonthlyReturns[[#This Row],[SPY]:[PE]])</f>
        <v>2.8445967850530787E-2</v>
      </c>
      <c r="MN66" s="27">
        <f>IF(ISNUMBER(MN65),MN65*(1+PortfolioFrontier[[#This Row],[P88 Return]]),1+PortfolioFrontier[[#This Row],[P88 Return]])</f>
        <v>1.6512686310942868</v>
      </c>
      <c r="MO66" s="27">
        <f>MAX(MO65,PortfolioFrontier[[#This Row],[P88 Growth]])</f>
        <v>1.6512686310942868</v>
      </c>
      <c r="MP66" s="27">
        <f>PortfolioFrontier[[#This Row],[P88 Growth]]/PortfolioFrontier[[#This Row],[P88 HWM]]-1</f>
        <v>0</v>
      </c>
      <c r="MQ66" s="28">
        <f>SUMPRODUCT(INDEX(PortfolioRef[[SPY]:[PE]],MATCH(MQ$1,PortfolioRef[Reference '#]),0),AssetMonthlyReturns[[#This Row],[SPY]:[PE]])</f>
        <v>2.6091971158802532E-2</v>
      </c>
      <c r="MR66" s="27">
        <f>IF(ISNUMBER(MR65),MR65*(1+PortfolioFrontier[[#This Row],[P89 Return]]),1+PortfolioFrontier[[#This Row],[P89 Return]])</f>
        <v>1.6217600347519927</v>
      </c>
      <c r="MS66" s="27">
        <f>MAX(MS65,PortfolioFrontier[[#This Row],[P89 Growth]])</f>
        <v>1.6217600347519927</v>
      </c>
      <c r="MT66" s="27">
        <f>PortfolioFrontier[[#This Row],[P89 Growth]]/PortfolioFrontier[[#This Row],[P89 HWM]]-1</f>
        <v>0</v>
      </c>
      <c r="MU66" s="28">
        <f>SUMPRODUCT(INDEX(PortfolioRef[[SPY]:[PE]],MATCH(MU$1,PortfolioRef[Reference '#]),0),AssetMonthlyReturns[[#This Row],[SPY]:[PE]])</f>
        <v>2.3737974467074277E-2</v>
      </c>
      <c r="MV66" s="27">
        <f>IF(ISNUMBER(MV65),MV65*(1+PortfolioFrontier[[#This Row],[P90 Return]]),1+PortfolioFrontier[[#This Row],[P90 Return]])</f>
        <v>1.5921499837909729</v>
      </c>
      <c r="MW66" s="27">
        <f>MAX(MW65,PortfolioFrontier[[#This Row],[P90 Growth]])</f>
        <v>1.5921499837909729</v>
      </c>
      <c r="MX66" s="27">
        <f>PortfolioFrontier[[#This Row],[P90 Growth]]/PortfolioFrontier[[#This Row],[P90 HWM]]-1</f>
        <v>0</v>
      </c>
      <c r="MY66" s="28">
        <f>SUMPRODUCT(INDEX(PortfolioRef[[SPY]:[PE]],MATCH(MY$1,PortfolioRef[Reference '#]),0),AssetMonthlyReturns[[#This Row],[SPY]:[PE]])</f>
        <v>2.9763086256792894E-2</v>
      </c>
      <c r="MZ66" s="27">
        <f>IF(ISNUMBER(MZ65),MZ65*(1+PortfolioFrontier[[#This Row],[P91 Return]]),1+PortfolioFrontier[[#This Row],[P91 Return]])</f>
        <v>1.6623725930257944</v>
      </c>
      <c r="NA66" s="27">
        <f>MAX(NA65,PortfolioFrontier[[#This Row],[P91 Growth]])</f>
        <v>1.6623725930257944</v>
      </c>
      <c r="NB66" s="27">
        <f>PortfolioFrontier[[#This Row],[P91 Growth]]/PortfolioFrontier[[#This Row],[P91 HWM]]-1</f>
        <v>0</v>
      </c>
      <c r="NC66" s="28">
        <f>SUMPRODUCT(INDEX(PortfolioRef[[SPY]:[PE]],MATCH(NC$1,PortfolioRef[Reference '#]),0),AssetMonthlyReturns[[#This Row],[SPY]:[PE]])</f>
        <v>2.7409089565064639E-2</v>
      </c>
      <c r="ND66" s="27">
        <f>IF(ISNUMBER(ND65),ND65*(1+PortfolioFrontier[[#This Row],[P92 Return]]),1+PortfolioFrontier[[#This Row],[P92 Return]])</f>
        <v>1.6331671045681539</v>
      </c>
      <c r="NE66" s="27">
        <f>MAX(NE65,PortfolioFrontier[[#This Row],[P92 Growth]])</f>
        <v>1.6331671045681539</v>
      </c>
      <c r="NF66" s="27">
        <f>PortfolioFrontier[[#This Row],[P92 Growth]]/PortfolioFrontier[[#This Row],[P92 HWM]]-1</f>
        <v>0</v>
      </c>
      <c r="NG66" s="28">
        <f>SUMPRODUCT(INDEX(PortfolioRef[[SPY]:[PE]],MATCH(NG$1,PortfolioRef[Reference '#]),0),AssetMonthlyReturns[[#This Row],[SPY]:[PE]])</f>
        <v>2.5055092873336383E-2</v>
      </c>
      <c r="NH66" s="27">
        <f>IF(ISNUMBER(NH65),NH65*(1+PortfolioFrontier[[#This Row],[P93 Return]]),1+PortfolioFrontier[[#This Row],[P93 Return]])</f>
        <v>1.6038374679749317</v>
      </c>
      <c r="NI66" s="27">
        <f>MAX(NI65,PortfolioFrontier[[#This Row],[P93 Growth]])</f>
        <v>1.6038374679749317</v>
      </c>
      <c r="NJ66" s="27">
        <f>PortfolioFrontier[[#This Row],[P93 Growth]]/PortfolioFrontier[[#This Row],[P93 HWM]]-1</f>
        <v>0</v>
      </c>
      <c r="NK66" s="28">
        <f>SUMPRODUCT(INDEX(PortfolioRef[[SPY]:[PE]],MATCH(NK$1,PortfolioRef[Reference '#]),0),AssetMonthlyReturns[[#This Row],[SPY]:[PE]])</f>
        <v>3.1080204663055E-2</v>
      </c>
      <c r="NL66" s="27">
        <f>IF(ISNUMBER(NL65),NL65*(1+PortfolioFrontier[[#This Row],[P94 Return]]),1+PortfolioFrontier[[#This Row],[P94 Return]])</f>
        <v>1.6726951664647471</v>
      </c>
      <c r="NM66" s="27">
        <f>MAX(NM65,PortfolioFrontier[[#This Row],[P94 Growth]])</f>
        <v>1.6726951664647471</v>
      </c>
      <c r="NN66" s="27">
        <f>PortfolioFrontier[[#This Row],[P94 Growth]]/PortfolioFrontier[[#This Row],[P94 HWM]]-1</f>
        <v>0</v>
      </c>
      <c r="NO66" s="28">
        <f>SUMPRODUCT(INDEX(PortfolioRef[[SPY]:[PE]],MATCH(NO$1,PortfolioRef[Reference '#]),0),AssetMonthlyReturns[[#This Row],[SPY]:[PE]])</f>
        <v>2.8726207971326745E-2</v>
      </c>
      <c r="NP66" s="27">
        <f>IF(ISNUMBER(NP65),NP65*(1+PortfolioFrontier[[#This Row],[P95 Return]]),1+PortfolioFrontier[[#This Row],[P95 Return]])</f>
        <v>1.6438169742849267</v>
      </c>
      <c r="NQ66" s="27">
        <f>MAX(NQ65,PortfolioFrontier[[#This Row],[P95 Growth]])</f>
        <v>1.6438169742849267</v>
      </c>
      <c r="NR66" s="27">
        <f>PortfolioFrontier[[#This Row],[P95 Growth]]/PortfolioFrontier[[#This Row],[P95 HWM]]-1</f>
        <v>0</v>
      </c>
      <c r="NS66" s="28">
        <f>SUMPRODUCT(INDEX(PortfolioRef[[SPY]:[PE]],MATCH(NS$1,PortfolioRef[Reference '#]),0),AssetMonthlyReturns[[#This Row],[SPY]:[PE]])</f>
        <v>2.637221127959849E-2</v>
      </c>
      <c r="NT66" s="27">
        <f>IF(ISNUMBER(NT65),NT65*(1+PortfolioFrontier[[#This Row],[P96 Return]]),1+PortfolioFrontier[[#This Row],[P96 Return]])</f>
        <v>1.6147916875980954</v>
      </c>
      <c r="NU66" s="27">
        <f>MAX(NU65,PortfolioFrontier[[#This Row],[P96 Growth]])</f>
        <v>1.6147916875980954</v>
      </c>
      <c r="NV66" s="27">
        <f>PortfolioFrontier[[#This Row],[P96 Growth]]/PortfolioFrontier[[#This Row],[P96 HWM]]-1</f>
        <v>0</v>
      </c>
      <c r="NW66" s="28">
        <f>SUMPRODUCT(INDEX(PortfolioRef[[SPY]:[PE]],MATCH(NW$1,PortfolioRef[Reference '#]),0),AssetMonthlyReturns[[#This Row],[SPY]:[PE]])</f>
        <v>2.0163633665705262E-2</v>
      </c>
      <c r="NX66" s="27">
        <f>IF(ISNUMBER(NX65),NX65*(1+PortfolioFrontier[[#This Row],[P97 Return]]),1+PortfolioFrontier[[#This Row],[P97 Return]])</f>
        <v>1.4974297452704</v>
      </c>
      <c r="NY66" s="27">
        <f>MAX(NY65,PortfolioFrontier[[#This Row],[P97 Growth]])</f>
        <v>1.4974297452704</v>
      </c>
      <c r="NZ66" s="27">
        <f>PortfolioFrontier[[#This Row],[P97 Growth]]/PortfolioFrontier[[#This Row],[P97 HWM]]-1</f>
        <v>0</v>
      </c>
      <c r="OA66" s="28">
        <f>SUMPRODUCT(INDEX(PortfolioRef[[SPY]:[PE]],MATCH(OA$1,PortfolioRef[Reference '#]),0),AssetMonthlyReturns[[#This Row],[SPY]:[PE]])</f>
        <v>2.0864892759597332E-2</v>
      </c>
      <c r="OB66" s="27">
        <f>IF(ISNUMBER(OB65),OB65*(1+PortfolioFrontier[[#This Row],[P98 Return]]),1+PortfolioFrontier[[#This Row],[P98 Return]])</f>
        <v>1.5100682914188679</v>
      </c>
      <c r="OC66" s="27">
        <f>MAX(OC65,PortfolioFrontier[[#This Row],[P98 Growth]])</f>
        <v>1.5100682914188679</v>
      </c>
      <c r="OD66" s="27">
        <f>PortfolioFrontier[[#This Row],[P98 Growth]]/PortfolioFrontier[[#This Row],[P98 HWM]]-1</f>
        <v>0</v>
      </c>
      <c r="OE66" s="28">
        <f>SUMPRODUCT(INDEX(PortfolioRef[[SPY]:[PE]],MATCH(OE$1,PortfolioRef[Reference '#]),0),AssetMonthlyReturns[[#This Row],[SPY]:[PE]])</f>
        <v>2.2182011165859439E-2</v>
      </c>
      <c r="OF66" s="27">
        <f>IF(ISNUMBER(OF65),OF65*(1+PortfolioFrontier[[#This Row],[P99 Return]]),1+PortfolioFrontier[[#This Row],[P99 Return]])</f>
        <v>1.5217770603192893</v>
      </c>
      <c r="OG66" s="27">
        <f>MAX(OG65,PortfolioFrontier[[#This Row],[P99 Growth]])</f>
        <v>1.5217770603192893</v>
      </c>
      <c r="OH66" s="27">
        <f>PortfolioFrontier[[#This Row],[P99 Growth]]/PortfolioFrontier[[#This Row],[P99 HWM]]-1</f>
        <v>0</v>
      </c>
      <c r="OI66" s="28">
        <f>SUMPRODUCT(INDEX(PortfolioRef[[SPY]:[PE]],MATCH(OI$1,PortfolioRef[Reference '#]),0),AssetMonthlyReturns[[#This Row],[SPY]:[PE]])</f>
        <v>1.9828014474131184E-2</v>
      </c>
      <c r="OJ66" s="27">
        <f>IF(ISNUMBER(OJ65),OJ65*(1+PortfolioFrontier[[#This Row],[P100 Return]]),1+PortfolioFrontier[[#This Row],[P100 Return]])</f>
        <v>1.4932104275603975</v>
      </c>
      <c r="OK66" s="27">
        <f>MAX(OK65,PortfolioFrontier[[#This Row],[P100 Growth]])</f>
        <v>1.4932104275603975</v>
      </c>
      <c r="OL66" s="27">
        <f>PortfolioFrontier[[#This Row],[P100 Growth]]/PortfolioFrontier[[#This Row],[P100 HWM]]-1</f>
        <v>0</v>
      </c>
      <c r="OM66" s="28">
        <f>SUMPRODUCT(INDEX(PortfolioRef[[SPY]:[PE]],MATCH(OM$1,PortfolioRef[Reference '#]),0),AssetMonthlyReturns[[#This Row],[SPY]:[PE]])</f>
        <v>2.1566151853489403E-2</v>
      </c>
      <c r="ON66" s="27">
        <f>IF(ISNUMBER(ON65),ON65*(1+PortfolioFrontier[[#This Row],[P101 Return]]),1+PortfolioFrontier[[#This Row],[P101 Return]])</f>
        <v>1.5225183657680577</v>
      </c>
      <c r="OO66" s="27">
        <f>MAX(OO65,PortfolioFrontier[[#This Row],[P101 Growth]])</f>
        <v>1.5225183657680577</v>
      </c>
      <c r="OP66" s="27">
        <f>PortfolioFrontier[[#This Row],[P101 Growth]]/PortfolioFrontier[[#This Row],[P101 HWM]]-1</f>
        <v>0</v>
      </c>
      <c r="OQ66" s="28">
        <f>SUMPRODUCT(INDEX(PortfolioRef[[SPY]:[PE]],MATCH(OQ$1,PortfolioRef[Reference '#]),0),AssetMonthlyReturns[[#This Row],[SPY]:[PE]])</f>
        <v>2.2883270259751509E-2</v>
      </c>
      <c r="OR66" s="27">
        <f>IF(ISNUMBER(OR65),OR65*(1+PortfolioFrontier[[#This Row],[P102 Return]]),1+PortfolioFrontier[[#This Row],[P102 Return]])</f>
        <v>1.5346066325778207</v>
      </c>
      <c r="OS66" s="27">
        <f>MAX(OS65,PortfolioFrontier[[#This Row],[P102 Growth]])</f>
        <v>1.5346066325778207</v>
      </c>
      <c r="OT66" s="27">
        <f>PortfolioFrontier[[#This Row],[P102 Growth]]/PortfolioFrontier[[#This Row],[P102 HWM]]-1</f>
        <v>0</v>
      </c>
      <c r="OU66" s="28">
        <f>SUMPRODUCT(INDEX(PortfolioRef[[SPY]:[PE]],MATCH(OU$1,PortfolioRef[Reference '#]),0),AssetMonthlyReturns[[#This Row],[SPY]:[PE]])</f>
        <v>2.0529273568023254E-2</v>
      </c>
      <c r="OV66" s="27">
        <f>IF(ISNUMBER(OV65),OV65*(1+PortfolioFrontier[[#This Row],[P103 Return]]),1+PortfolioFrontier[[#This Row],[P103 Return]])</f>
        <v>1.5058385370256544</v>
      </c>
      <c r="OW66" s="27">
        <f>MAX(OW65,PortfolioFrontier[[#This Row],[P103 Growth]])</f>
        <v>1.5058385370256544</v>
      </c>
      <c r="OX66" s="27">
        <f>PortfolioFrontier[[#This Row],[P103 Growth]]/PortfolioFrontier[[#This Row],[P103 HWM]]-1</f>
        <v>0</v>
      </c>
      <c r="OY66" s="28">
        <f>SUMPRODUCT(INDEX(PortfolioRef[[SPY]:[PE]],MATCH(OY$1,PortfolioRef[Reference '#]),0),AssetMonthlyReturns[[#This Row],[SPY]:[PE]])</f>
        <v>2.4200388666013616E-2</v>
      </c>
      <c r="OZ66" s="27">
        <f>IF(ISNUMBER(OZ65),OZ65*(1+PortfolioFrontier[[#This Row],[P104 Return]]),1+PortfolioFrontier[[#This Row],[P104 Return]])</f>
        <v>1.5460111201137032</v>
      </c>
      <c r="PA66" s="27">
        <f>MAX(PA65,PortfolioFrontier[[#This Row],[P104 Growth]])</f>
        <v>1.5460111201137032</v>
      </c>
      <c r="PB66" s="27">
        <f>PortfolioFrontier[[#This Row],[P104 Growth]]/PortfolioFrontier[[#This Row],[P104 HWM]]-1</f>
        <v>0</v>
      </c>
      <c r="PC66" s="28">
        <f>SUMPRODUCT(INDEX(PortfolioRef[[SPY]:[PE]],MATCH(PC$1,PortfolioRef[Reference '#]),0),AssetMonthlyReturns[[#This Row],[SPY]:[PE]])</f>
        <v>2.184639197428536E-2</v>
      </c>
      <c r="PD66" s="27">
        <f>IF(ISNUMBER(PD65),PD65*(1+PortfolioFrontier[[#This Row],[P105 Return]]),1+PortfolioFrontier[[#This Row],[P105 Return]])</f>
        <v>1.5174861817364129</v>
      </c>
      <c r="PE66" s="27">
        <f>MAX(PE65,PortfolioFrontier[[#This Row],[P105 Growth]])</f>
        <v>1.5174861817364129</v>
      </c>
      <c r="PF66" s="27">
        <f>PortfolioFrontier[[#This Row],[P105 Growth]]/PortfolioFrontier[[#This Row],[P105 HWM]]-1</f>
        <v>0</v>
      </c>
      <c r="PG66" s="28">
        <f>SUMPRODUCT(INDEX(PortfolioRef[[SPY]:[PE]],MATCH(PG$1,PortfolioRef[Reference '#]),0),AssetMonthlyReturns[[#This Row],[SPY]:[PE]])</f>
        <v>1.9492395282557105E-2</v>
      </c>
      <c r="PH66" s="27">
        <f>IF(ISNUMBER(PH65),PH65*(1+PortfolioFrontier[[#This Row],[P106 Return]]),1+PortfolioFrontier[[#This Row],[P106 Return]])</f>
        <v>1.4889038192983701</v>
      </c>
      <c r="PI66" s="27">
        <f>MAX(PI65,PortfolioFrontier[[#This Row],[P106 Growth]])</f>
        <v>1.4889038192983701</v>
      </c>
      <c r="PJ66" s="27">
        <f>PortfolioFrontier[[#This Row],[P106 Growth]]/PortfolioFrontier[[#This Row],[P106 HWM]]-1</f>
        <v>0</v>
      </c>
      <c r="PK66" s="28">
        <f>SUMPRODUCT(INDEX(PortfolioRef[[SPY]:[PE]],MATCH(PK$1,PortfolioRef[Reference '#]),0),AssetMonthlyReturns[[#This Row],[SPY]:[PE]])</f>
        <v>2.358452935364358E-2</v>
      </c>
      <c r="PL66" s="27">
        <f>IF(ISNUMBER(PL65),PL65*(1+PortfolioFrontier[[#This Row],[P107 Return]]),1+PortfolioFrontier[[#This Row],[P107 Return]])</f>
        <v>1.5472449489992821</v>
      </c>
      <c r="PM66" s="27">
        <f>MAX(PM65,PortfolioFrontier[[#This Row],[P107 Growth]])</f>
        <v>1.5472449489992821</v>
      </c>
      <c r="PN66" s="27">
        <f>PortfolioFrontier[[#This Row],[P107 Growth]]/PortfolioFrontier[[#This Row],[P107 HWM]]-1</f>
        <v>0</v>
      </c>
      <c r="PO66" s="28">
        <f>SUMPRODUCT(INDEX(PortfolioRef[[SPY]:[PE]],MATCH(PO$1,PortfolioRef[Reference '#]),0),AssetMonthlyReturns[[#This Row],[SPY]:[PE]])</f>
        <v>2.1230532661915325E-2</v>
      </c>
      <c r="PP66" s="27">
        <f>IF(ISNUMBER(PP65),PP65*(1+PortfolioFrontier[[#This Row],[P108 Return]]),1+PortfolioFrontier[[#This Row],[P108 Return]])</f>
        <v>1.5182792373941778</v>
      </c>
      <c r="PQ66" s="27">
        <f>MAX(PQ65,PortfolioFrontier[[#This Row],[P108 Growth]])</f>
        <v>1.5182792373941778</v>
      </c>
      <c r="PR66" s="27">
        <f>PortfolioFrontier[[#This Row],[P108 Growth]]/PortfolioFrontier[[#This Row],[P108 HWM]]-1</f>
        <v>0</v>
      </c>
      <c r="PS66" s="28">
        <f>SUMPRODUCT(INDEX(PortfolioRef[[SPY]:[PE]],MATCH(PS$1,PortfolioRef[Reference '#]),0),AssetMonthlyReturns[[#This Row],[SPY]:[PE]])</f>
        <v>2.4901647759905686E-2</v>
      </c>
      <c r="PT66" s="27">
        <f>IF(ISNUMBER(PT65),PT65*(1+PortfolioFrontier[[#This Row],[P109 Return]]),1+PortfolioFrontier[[#This Row],[P109 Return]])</f>
        <v>1.5590304893597127</v>
      </c>
      <c r="PU66" s="27">
        <f>MAX(PU65,PortfolioFrontier[[#This Row],[P109 Growth]])</f>
        <v>1.5590304893597127</v>
      </c>
      <c r="PV66" s="27">
        <f>PortfolioFrontier[[#This Row],[P109 Growth]]/PortfolioFrontier[[#This Row],[P109 HWM]]-1</f>
        <v>0</v>
      </c>
      <c r="PW66" s="28">
        <f>SUMPRODUCT(INDEX(PortfolioRef[[SPY]:[PE]],MATCH(PW$1,PortfolioRef[Reference '#]),0),AssetMonthlyReturns[[#This Row],[SPY]:[PE]])</f>
        <v>2.2547651068177431E-2</v>
      </c>
      <c r="PX66" s="27">
        <f>IF(ISNUMBER(PX65),PX65*(1+PortfolioFrontier[[#This Row],[P110 Return]]),1+PortfolioFrontier[[#This Row],[P110 Return]])</f>
        <v>1.5303051269563339</v>
      </c>
      <c r="PY66" s="27">
        <f>MAX(PY65,PortfolioFrontier[[#This Row],[P110 Growth]])</f>
        <v>1.5303051269563339</v>
      </c>
      <c r="PZ66" s="27">
        <f>PortfolioFrontier[[#This Row],[P110 Growth]]/PortfolioFrontier[[#This Row],[P110 HWM]]-1</f>
        <v>0</v>
      </c>
      <c r="QA66" s="28">
        <f>SUMPRODUCT(INDEX(PortfolioRef[[SPY]:[PE]],MATCH(QA$1,PortfolioRef[Reference '#]),0),AssetMonthlyReturns[[#This Row],[SPY]:[PE]])</f>
        <v>2.0193654376449176E-2</v>
      </c>
      <c r="QB66" s="27">
        <f>IF(ISNUMBER(QB65),QB65*(1+PortfolioFrontier[[#This Row],[P111 Return]]),1+PortfolioFrontier[[#This Row],[P111 Return]])</f>
        <v>1.5015206229398792</v>
      </c>
      <c r="QC66" s="27">
        <f>MAX(QC65,PortfolioFrontier[[#This Row],[P111 Growth]])</f>
        <v>1.5015206229398792</v>
      </c>
      <c r="QD66" s="27">
        <f>PortfolioFrontier[[#This Row],[P111 Growth]]/PortfolioFrontier[[#This Row],[P111 HWM]]-1</f>
        <v>0</v>
      </c>
      <c r="QE66" s="28">
        <f>SUMPRODUCT(INDEX(PortfolioRef[[SPY]:[PE]],MATCH(QE$1,PortfolioRef[Reference '#]),0),AssetMonthlyReturns[[#This Row],[SPY]:[PE]])</f>
        <v>2.6218766166167796E-2</v>
      </c>
      <c r="QF66" s="27">
        <f>IF(ISNUMBER(QF65),QF65*(1+PortfolioFrontier[[#This Row],[P112 Return]]),1+PortfolioFrontier[[#This Row],[P112 Return]])</f>
        <v>1.570110817038886</v>
      </c>
      <c r="QG66" s="27">
        <f>MAX(QG65,PortfolioFrontier[[#This Row],[P112 Growth]])</f>
        <v>1.570110817038886</v>
      </c>
      <c r="QH66" s="27">
        <f>PortfolioFrontier[[#This Row],[P112 Growth]]/PortfolioFrontier[[#This Row],[P112 HWM]]-1</f>
        <v>0</v>
      </c>
      <c r="QI66" s="28">
        <f>SUMPRODUCT(INDEX(PortfolioRef[[SPY]:[PE]],MATCH(QI$1,PortfolioRef[Reference '#]),0),AssetMonthlyReturns[[#This Row],[SPY]:[PE]])</f>
        <v>2.3864769474439541E-2</v>
      </c>
      <c r="QJ66" s="27">
        <f>IF(ISNUMBER(QJ65),QJ65*(1+PortfolioFrontier[[#This Row],[P113 Return]]),1+PortfolioFrontier[[#This Row],[P113 Return]])</f>
        <v>1.5416488630806382</v>
      </c>
      <c r="QK66" s="27">
        <f>MAX(QK65,PortfolioFrontier[[#This Row],[P113 Growth]])</f>
        <v>1.5416488630806382</v>
      </c>
      <c r="QL66" s="27">
        <f>PortfolioFrontier[[#This Row],[P113 Growth]]/PortfolioFrontier[[#This Row],[P113 HWM]]-1</f>
        <v>0</v>
      </c>
      <c r="QM66" s="28">
        <f>SUMPRODUCT(INDEX(PortfolioRef[[SPY]:[PE]],MATCH(QM$1,PortfolioRef[Reference '#]),0),AssetMonthlyReturns[[#This Row],[SPY]:[PE]])</f>
        <v>2.1510772782711286E-2</v>
      </c>
      <c r="QN66" s="27">
        <f>IF(ISNUMBER(QN65),QN65*(1+PortfolioFrontier[[#This Row],[P114 Return]]),1+PortfolioFrontier[[#This Row],[P114 Return]])</f>
        <v>1.5131065276927136</v>
      </c>
      <c r="QO66" s="27">
        <f>MAX(QO65,PortfolioFrontier[[#This Row],[P114 Growth]])</f>
        <v>1.5131065276927136</v>
      </c>
      <c r="QP66" s="27">
        <f>PortfolioFrontier[[#This Row],[P114 Growth]]/PortfolioFrontier[[#This Row],[P114 HWM]]-1</f>
        <v>0</v>
      </c>
      <c r="QQ66" s="28">
        <f>SUMPRODUCT(INDEX(PortfolioRef[[SPY]:[PE]],MATCH(QQ$1,PortfolioRef[Reference '#]),0),AssetMonthlyReturns[[#This Row],[SPY]:[PE]])</f>
        <v>2.5602906853797756E-2</v>
      </c>
      <c r="QR66" s="27">
        <f>IF(ISNUMBER(QR65),QR65*(1+PortfolioFrontier[[#This Row],[P115 Return]]),1+PortfolioFrontier[[#This Row],[P115 Return]])</f>
        <v>1.5718558393285373</v>
      </c>
      <c r="QS66" s="27">
        <f>MAX(QS65,PortfolioFrontier[[#This Row],[P115 Growth]])</f>
        <v>1.5718558393285373</v>
      </c>
      <c r="QT66" s="27">
        <f>PortfolioFrontier[[#This Row],[P115 Growth]]/PortfolioFrontier[[#This Row],[P115 HWM]]-1</f>
        <v>0</v>
      </c>
      <c r="QU66" s="28">
        <f>SUMPRODUCT(INDEX(PortfolioRef[[SPY]:[PE]],MATCH(QU$1,PortfolioRef[Reference '#]),0),AssetMonthlyReturns[[#This Row],[SPY]:[PE]])</f>
        <v>2.3248910162069501E-2</v>
      </c>
      <c r="QV66" s="27">
        <f>IF(ISNUMBER(QV65),QV65*(1+PortfolioFrontier[[#This Row],[P116 Return]]),1+PortfolioFrontier[[#This Row],[P116 Return]])</f>
        <v>1.5429338945480737</v>
      </c>
      <c r="QW66" s="27">
        <f>MAX(QW65,PortfolioFrontier[[#This Row],[P116 Growth]])</f>
        <v>1.5429338945480737</v>
      </c>
      <c r="QX66" s="27">
        <f>PortfolioFrontier[[#This Row],[P116 Growth]]/PortfolioFrontier[[#This Row],[P116 HWM]]-1</f>
        <v>0</v>
      </c>
      <c r="QY66" s="28">
        <f>SUMPRODUCT(INDEX(PortfolioRef[[SPY]:[PE]],MATCH(QY$1,PortfolioRef[Reference '#]),0),AssetMonthlyReturns[[#This Row],[SPY]:[PE]])</f>
        <v>2.0894913470341246E-2</v>
      </c>
      <c r="QZ66" s="27">
        <f>IF(ISNUMBER(QZ65),QZ65*(1+PortfolioFrontier[[#This Row],[P117 Return]]),1+PortfolioFrontier[[#This Row],[P117 Return]])</f>
        <v>1.513951087474348</v>
      </c>
      <c r="RA66" s="27">
        <f>MAX(RA65,PortfolioFrontier[[#This Row],[P117 Growth]])</f>
        <v>1.513951087474348</v>
      </c>
      <c r="RB66" s="27">
        <f>PortfolioFrontier[[#This Row],[P117 Growth]]/PortfolioFrontier[[#This Row],[P117 HWM]]-1</f>
        <v>0</v>
      </c>
      <c r="RC66" s="28">
        <f>SUMPRODUCT(INDEX(PortfolioRef[[SPY]:[PE]],MATCH(RC$1,PortfolioRef[Reference '#]),0),AssetMonthlyReturns[[#This Row],[SPY]:[PE]])</f>
        <v>2.6920025260059866E-2</v>
      </c>
      <c r="RD66" s="27">
        <f>IF(ISNUMBER(RD65),RD65*(1+PortfolioFrontier[[#This Row],[P118 Return]]),1+PortfolioFrontier[[#This Row],[P118 Return]])</f>
        <v>1.5833185904521045</v>
      </c>
      <c r="RE66" s="27">
        <f>MAX(RE65,PortfolioFrontier[[#This Row],[P118 Growth]])</f>
        <v>1.5833185904521045</v>
      </c>
      <c r="RF66" s="27">
        <f>PortfolioFrontier[[#This Row],[P118 Growth]]/PortfolioFrontier[[#This Row],[P118 HWM]]-1</f>
        <v>0</v>
      </c>
      <c r="RG66" s="28">
        <f>SUMPRODUCT(INDEX(PortfolioRef[[SPY]:[PE]],MATCH(RG$1,PortfolioRef[Reference '#]),0),AssetMonthlyReturns[[#This Row],[SPY]:[PE]])</f>
        <v>2.4566028568331611E-2</v>
      </c>
      <c r="RH66" s="27">
        <f>IF(ISNUMBER(RH65),RH65*(1+PortfolioFrontier[[#This Row],[P119 Return]]),1+PortfolioFrontier[[#This Row],[P119 Return]])</f>
        <v>1.5546574154914321</v>
      </c>
      <c r="RI66" s="27">
        <f>MAX(RI65,PortfolioFrontier[[#This Row],[P119 Growth]])</f>
        <v>1.5546574154914321</v>
      </c>
      <c r="RJ66" s="27">
        <f>PortfolioFrontier[[#This Row],[P119 Growth]]/PortfolioFrontier[[#This Row],[P119 HWM]]-1</f>
        <v>0</v>
      </c>
      <c r="RK66" s="28">
        <f>SUMPRODUCT(INDEX(PortfolioRef[[SPY]:[PE]],MATCH(RK$1,PortfolioRef[Reference '#]),0),AssetMonthlyReturns[[#This Row],[SPY]:[PE]])</f>
        <v>2.2212031876603356E-2</v>
      </c>
      <c r="RL66" s="27">
        <f>IF(ISNUMBER(RL65),RL65*(1+PortfolioFrontier[[#This Row],[P120 Return]]),1+PortfolioFrontier[[#This Row],[P120 Return]])</f>
        <v>1.5259139628560203</v>
      </c>
      <c r="RM66" s="27">
        <f>MAX(RM65,PortfolioFrontier[[#This Row],[P120 Growth]])</f>
        <v>1.5259139628560203</v>
      </c>
      <c r="RN66" s="27">
        <f>PortfolioFrontier[[#This Row],[P120 Growth]]/PortfolioFrontier[[#This Row],[P120 HWM]]-1</f>
        <v>0</v>
      </c>
      <c r="RO66" s="28">
        <f>SUMPRODUCT(INDEX(PortfolioRef[[SPY]:[PE]],MATCH(RO$1,PortfolioRef[Reference '#]),0),AssetMonthlyReturns[[#This Row],[SPY]:[PE]])</f>
        <v>2.8237143666321973E-2</v>
      </c>
      <c r="RP66" s="27">
        <f>IF(ISNUMBER(RP65),RP65*(1+PortfolioFrontier[[#This Row],[P121 Return]]),1+PortfolioFrontier[[#This Row],[P121 Return]])</f>
        <v>1.594054545214896</v>
      </c>
      <c r="RQ66" s="27">
        <f>MAX(RQ65,PortfolioFrontier[[#This Row],[P121 Growth]])</f>
        <v>1.594054545214896</v>
      </c>
      <c r="RR66" s="27">
        <f>PortfolioFrontier[[#This Row],[P121 Growth]]/PortfolioFrontier[[#This Row],[P121 HWM]]-1</f>
        <v>0</v>
      </c>
      <c r="RS66" s="28">
        <f>SUMPRODUCT(INDEX(PortfolioRef[[SPY]:[PE]],MATCH(RS$1,PortfolioRef[Reference '#]),0),AssetMonthlyReturns[[#This Row],[SPY]:[PE]])</f>
        <v>2.5883146974593717E-2</v>
      </c>
      <c r="RT66" s="27">
        <f>IF(ISNUMBER(RT65),RT65*(1+PortfolioFrontier[[#This Row],[P122 Return]]),1+PortfolioFrontier[[#This Row],[P122 Return]])</f>
        <v>1.5656774288473556</v>
      </c>
      <c r="RU66" s="27">
        <f>MAX(RU65,PortfolioFrontier[[#This Row],[P122 Growth]])</f>
        <v>1.5656774288473556</v>
      </c>
      <c r="RV66" s="27">
        <f>PortfolioFrontier[[#This Row],[P122 Growth]]/PortfolioFrontier[[#This Row],[P122 HWM]]-1</f>
        <v>0</v>
      </c>
      <c r="RW66" s="28">
        <f>SUMPRODUCT(INDEX(PortfolioRef[[SPY]:[PE]],MATCH(RW$1,PortfolioRef[Reference '#]),0),AssetMonthlyReturns[[#This Row],[SPY]:[PE]])</f>
        <v>2.3529150282865462E-2</v>
      </c>
      <c r="RX66" s="27">
        <f>IF(ISNUMBER(RX65),RX65*(1+PortfolioFrontier[[#This Row],[P123 Return]]),1+PortfolioFrontier[[#This Row],[P123 Return]])</f>
        <v>1.5371963464348073</v>
      </c>
      <c r="RY66" s="27">
        <f>MAX(RY65,PortfolioFrontier[[#This Row],[P123 Growth]])</f>
        <v>1.5371963464348073</v>
      </c>
      <c r="RZ66" s="27">
        <f>PortfolioFrontier[[#This Row],[P123 Growth]]/PortfolioFrontier[[#This Row],[P123 HWM]]-1</f>
        <v>0</v>
      </c>
      <c r="SA66" s="28">
        <f>SUMPRODUCT(INDEX(PortfolioRef[[SPY]:[PE]],MATCH(SA$1,PortfolioRef[Reference '#]),0),AssetMonthlyReturns[[#This Row],[SPY]:[PE]])</f>
        <v>2.7621284353951937E-2</v>
      </c>
      <c r="SB66" s="27">
        <f>IF(ISNUMBER(SB65),SB65*(1+PortfolioFrontier[[#This Row],[P124 Return]]),1+PortfolioFrontier[[#This Row],[P124 Return]])</f>
        <v>1.5963296042648043</v>
      </c>
      <c r="SC66" s="27">
        <f>MAX(SC65,PortfolioFrontier[[#This Row],[P124 Growth]])</f>
        <v>1.5963296042648043</v>
      </c>
      <c r="SD66" s="27">
        <f>PortfolioFrontier[[#This Row],[P124 Growth]]/PortfolioFrontier[[#This Row],[P124 HWM]]-1</f>
        <v>0</v>
      </c>
      <c r="SE66" s="28">
        <f>SUMPRODUCT(INDEX(PortfolioRef[[SPY]:[PE]],MATCH(SE$1,PortfolioRef[Reference '#]),0),AssetMonthlyReturns[[#This Row],[SPY]:[PE]])</f>
        <v>2.5267287662223682E-2</v>
      </c>
      <c r="SF66" s="27">
        <f>IF(ISNUMBER(SF65),SF65*(1+PortfolioFrontier[[#This Row],[P125 Return]]),1+PortfolioFrontier[[#This Row],[P125 Return]])</f>
        <v>1.5674730422333445</v>
      </c>
      <c r="SG66" s="27">
        <f>MAX(SG65,PortfolioFrontier[[#This Row],[P125 Growth]])</f>
        <v>1.5674730422333445</v>
      </c>
      <c r="SH66" s="27">
        <f>PortfolioFrontier[[#This Row],[P125 Growth]]/PortfolioFrontier[[#This Row],[P125 HWM]]-1</f>
        <v>0</v>
      </c>
      <c r="SI66" s="28">
        <f>SUMPRODUCT(INDEX(PortfolioRef[[SPY]:[PE]],MATCH(SI$1,PortfolioRef[Reference '#]),0),AssetMonthlyReturns[[#This Row],[SPY]:[PE]])</f>
        <v>2.2913290970495426E-2</v>
      </c>
      <c r="SJ66" s="27">
        <f>IF(ISNUMBER(SJ65),SJ65*(1+PortfolioFrontier[[#This Row],[P126 Return]]),1+PortfolioFrontier[[#This Row],[P126 Return]])</f>
        <v>1.5385323060000082</v>
      </c>
      <c r="SK66" s="27">
        <f>MAX(SK65,PortfolioFrontier[[#This Row],[P126 Growth]])</f>
        <v>1.5385323060000082</v>
      </c>
      <c r="SL66" s="27">
        <f>PortfolioFrontier[[#This Row],[P126 Growth]]/PortfolioFrontier[[#This Row],[P126 HWM]]-1</f>
        <v>0</v>
      </c>
      <c r="SM66" s="28">
        <f>SUMPRODUCT(INDEX(PortfolioRef[[SPY]:[PE]],MATCH(SM$1,PortfolioRef[Reference '#]),0),AssetMonthlyReturns[[#This Row],[SPY]:[PE]])</f>
        <v>2.8938402760214043E-2</v>
      </c>
      <c r="SN66" s="27">
        <f>IF(ISNUMBER(SN65),SN65*(1+PortfolioFrontier[[#This Row],[P127 Return]]),1+PortfolioFrontier[[#This Row],[P127 Return]])</f>
        <v>1.6074491630373433</v>
      </c>
      <c r="SO66" s="27">
        <f>MAX(SO65,PortfolioFrontier[[#This Row],[P127 Growth]])</f>
        <v>1.6074491630373433</v>
      </c>
      <c r="SP66" s="27">
        <f>PortfolioFrontier[[#This Row],[P127 Growth]]/PortfolioFrontier[[#This Row],[P127 HWM]]-1</f>
        <v>0</v>
      </c>
      <c r="SQ66" s="28">
        <f>SUMPRODUCT(INDEX(PortfolioRef[[SPY]:[PE]],MATCH(SQ$1,PortfolioRef[Reference '#]),0),AssetMonthlyReturns[[#This Row],[SPY]:[PE]])</f>
        <v>2.6584406068485788E-2</v>
      </c>
      <c r="SR66" s="27">
        <f>IF(ISNUMBER(SR65),SR65*(1+PortfolioFrontier[[#This Row],[P128 Return]]),1+PortfolioFrontier[[#This Row],[P128 Return]])</f>
        <v>1.5788741964084627</v>
      </c>
      <c r="SS66" s="27">
        <f>MAX(SS65,PortfolioFrontier[[#This Row],[P128 Growth]])</f>
        <v>1.5788741964084627</v>
      </c>
      <c r="ST66" s="27">
        <f>PortfolioFrontier[[#This Row],[P128 Growth]]/PortfolioFrontier[[#This Row],[P128 HWM]]-1</f>
        <v>0</v>
      </c>
      <c r="SU66" s="28">
        <f>SUMPRODUCT(INDEX(PortfolioRef[[SPY]:[PE]],MATCH(SU$1,PortfolioRef[Reference '#]),0),AssetMonthlyReturns[[#This Row],[SPY]:[PE]])</f>
        <v>2.4230409376757533E-2</v>
      </c>
      <c r="SV66" s="27">
        <f>IF(ISNUMBER(SV65),SV65*(1+PortfolioFrontier[[#This Row],[P129 Return]]),1+PortfolioFrontier[[#This Row],[P129 Return]])</f>
        <v>1.5501931851450104</v>
      </c>
      <c r="SW66" s="27">
        <f>MAX(SW65,PortfolioFrontier[[#This Row],[P129 Growth]])</f>
        <v>1.5501931851450104</v>
      </c>
      <c r="SX66" s="27">
        <f>PortfolioFrontier[[#This Row],[P129 Growth]]/PortfolioFrontier[[#This Row],[P129 HWM]]-1</f>
        <v>0</v>
      </c>
      <c r="SY66" s="28">
        <f>SUMPRODUCT(INDEX(PortfolioRef[[SPY]:[PE]],MATCH(SY$1,PortfolioRef[Reference '#]),0),AssetMonthlyReturns[[#This Row],[SPY]:[PE]])</f>
        <v>3.0255521166476153E-2</v>
      </c>
      <c r="SZ66" s="27">
        <f>IF(ISNUMBER(SZ65),SZ65*(1+PortfolioFrontier[[#This Row],[P130 Return]]),1+PortfolioFrontier[[#This Row],[P130 Return]])</f>
        <v>1.6178202092675136</v>
      </c>
      <c r="TA66" s="27">
        <f>MAX(TA65,PortfolioFrontier[[#This Row],[P130 Growth]])</f>
        <v>1.6178202092675136</v>
      </c>
      <c r="TB66" s="27">
        <f>PortfolioFrontier[[#This Row],[P130 Growth]]/PortfolioFrontier[[#This Row],[P130 HWM]]-1</f>
        <v>0</v>
      </c>
      <c r="TC66" s="28">
        <f>SUMPRODUCT(INDEX(PortfolioRef[[SPY]:[PE]],MATCH(TC$1,PortfolioRef[Reference '#]),0),AssetMonthlyReturns[[#This Row],[SPY]:[PE]])</f>
        <v>2.7901524474747898E-2</v>
      </c>
      <c r="TD66" s="27">
        <f>IF(ISNUMBER(TD65),TD65*(1+PortfolioFrontier[[#This Row],[P131 Return]]),1+PortfolioFrontier[[#This Row],[P131 Return]])</f>
        <v>1.5895503403449862</v>
      </c>
      <c r="TE66" s="27">
        <f>MAX(TE65,PortfolioFrontier[[#This Row],[P131 Growth]])</f>
        <v>1.5895503403449862</v>
      </c>
      <c r="TF66" s="27">
        <f>PortfolioFrontier[[#This Row],[P131 Growth]]/PortfolioFrontier[[#This Row],[P131 HWM]]-1</f>
        <v>0</v>
      </c>
      <c r="TG66" s="28">
        <f>SUMPRODUCT(INDEX(PortfolioRef[[SPY]:[PE]],MATCH(TG$1,PortfolioRef[Reference '#]),0),AssetMonthlyReturns[[#This Row],[SPY]:[PE]])</f>
        <v>2.5547527783019643E-2</v>
      </c>
      <c r="TH66" s="27">
        <f>IF(ISNUMBER(TH65),TH65*(1+PortfolioFrontier[[#This Row],[P132 Return]]),1+PortfolioFrontier[[#This Row],[P132 Return]])</f>
        <v>1.5611522986060993</v>
      </c>
      <c r="TI66" s="27">
        <f>MAX(TI65,PortfolioFrontier[[#This Row],[P132 Growth]])</f>
        <v>1.5611522986060993</v>
      </c>
      <c r="TJ66" s="27">
        <f>PortfolioFrontier[[#This Row],[P132 Growth]]/PortfolioFrontier[[#This Row],[P132 HWM]]-1</f>
        <v>0</v>
      </c>
      <c r="TK66" s="28">
        <f>SUMPRODUCT(INDEX(PortfolioRef[[SPY]:[PE]],MATCH(TK$1,PortfolioRef[Reference '#]),0),AssetMonthlyReturns[[#This Row],[SPY]:[PE]])</f>
        <v>2.9639661854106117E-2</v>
      </c>
      <c r="TL66" s="27">
        <f>IF(ISNUMBER(TL65),TL65*(1+PortfolioFrontier[[#This Row],[P133 Return]]),1+PortfolioFrontier[[#This Row],[P133 Return]])</f>
        <v>1.6206443066243656</v>
      </c>
      <c r="TM66" s="27">
        <f>MAX(TM65,PortfolioFrontier[[#This Row],[P133 Growth]])</f>
        <v>1.6206443066243656</v>
      </c>
      <c r="TN66" s="27">
        <f>PortfolioFrontier[[#This Row],[P133 Growth]]/PortfolioFrontier[[#This Row],[P133 HWM]]-1</f>
        <v>0</v>
      </c>
      <c r="TO66" s="28">
        <f>SUMPRODUCT(INDEX(PortfolioRef[[SPY]:[PE]],MATCH(TO$1,PortfolioRef[Reference '#]),0),AssetMonthlyReturns[[#This Row],[SPY]:[PE]])</f>
        <v>2.7285665162377862E-2</v>
      </c>
      <c r="TP66" s="27">
        <f>IF(ISNUMBER(TP65),TP65*(1+PortfolioFrontier[[#This Row],[P134 Return]]),1+PortfolioFrontier[[#This Row],[P134 Return]])</f>
        <v>1.5918753132555585</v>
      </c>
      <c r="TQ66" s="27">
        <f>MAX(TQ65,PortfolioFrontier[[#This Row],[P134 Growth]])</f>
        <v>1.5918753132555585</v>
      </c>
      <c r="TR66" s="27">
        <f>PortfolioFrontier[[#This Row],[P134 Growth]]/PortfolioFrontier[[#This Row],[P134 HWM]]-1</f>
        <v>0</v>
      </c>
      <c r="TS66" s="28">
        <f>SUMPRODUCT(INDEX(PortfolioRef[[SPY]:[PE]],MATCH(TS$1,PortfolioRef[Reference '#]),0),AssetMonthlyReturns[[#This Row],[SPY]:[PE]])</f>
        <v>2.4931668470649607E-2</v>
      </c>
      <c r="TT66" s="27">
        <f>IF(ISNUMBER(TT65),TT65*(1+PortfolioFrontier[[#This Row],[P135 Return]]),1+PortfolioFrontier[[#This Row],[P135 Return]])</f>
        <v>1.5629981993072499</v>
      </c>
      <c r="TU66" s="27">
        <f>MAX(TU65,PortfolioFrontier[[#This Row],[P135 Growth]])</f>
        <v>1.5629981993072499</v>
      </c>
      <c r="TV66" s="27">
        <f>PortfolioFrontier[[#This Row],[P135 Growth]]/PortfolioFrontier[[#This Row],[P135 HWM]]-1</f>
        <v>0</v>
      </c>
      <c r="TW66" s="28">
        <f>SUMPRODUCT(INDEX(PortfolioRef[[SPY]:[PE]],MATCH(TW$1,PortfolioRef[Reference '#]),0),AssetMonthlyReturns[[#This Row],[SPY]:[PE]])</f>
        <v>3.0956780260368223E-2</v>
      </c>
      <c r="TX66" s="27">
        <f>IF(ISNUMBER(TX65),TX65*(1+PortfolioFrontier[[#This Row],[P136 Return]]),1+PortfolioFrontier[[#This Row],[P136 Return]])</f>
        <v>1.6313999416476022</v>
      </c>
      <c r="TY66" s="27">
        <f>MAX(TY65,PortfolioFrontier[[#This Row],[P136 Growth]])</f>
        <v>1.6313999416476022</v>
      </c>
      <c r="TZ66" s="27">
        <f>PortfolioFrontier[[#This Row],[P136 Growth]]/PortfolioFrontier[[#This Row],[P136 HWM]]-1</f>
        <v>0</v>
      </c>
      <c r="UA66" s="28">
        <f>SUMPRODUCT(INDEX(PortfolioRef[[SPY]:[PE]],MATCH(UA$1,PortfolioRef[Reference '#]),0),AssetMonthlyReturns[[#This Row],[SPY]:[PE]])</f>
        <v>2.8602783568639968E-2</v>
      </c>
      <c r="UB66" s="27">
        <f>IF(ISNUMBER(UB65),UB65*(1+PortfolioFrontier[[#This Row],[P137 Return]]),1+PortfolioFrontier[[#This Row],[P137 Return]])</f>
        <v>1.6029337643086894</v>
      </c>
      <c r="UC66" s="27">
        <f>MAX(UC65,PortfolioFrontier[[#This Row],[P137 Growth]])</f>
        <v>1.6029337643086894</v>
      </c>
      <c r="UD66" s="27">
        <f>PortfolioFrontier[[#This Row],[P137 Growth]]/PortfolioFrontier[[#This Row],[P137 HWM]]-1</f>
        <v>0</v>
      </c>
      <c r="UE66" s="28">
        <f>SUMPRODUCT(INDEX(PortfolioRef[[SPY]:[PE]],MATCH(UE$1,PortfolioRef[Reference '#]),0),AssetMonthlyReturns[[#This Row],[SPY]:[PE]])</f>
        <v>2.6248786876911713E-2</v>
      </c>
      <c r="UF66" s="27">
        <f>IF(ISNUMBER(UF65),UF65*(1+PortfolioFrontier[[#This Row],[P138 Return]]),1+PortfolioFrontier[[#This Row],[P138 Return]])</f>
        <v>1.5743371496419187</v>
      </c>
      <c r="UG66" s="27">
        <f>MAX(UG65,PortfolioFrontier[[#This Row],[P138 Growth]])</f>
        <v>1.5743371496419187</v>
      </c>
      <c r="UH66" s="27">
        <f>PortfolioFrontier[[#This Row],[P138 Growth]]/PortfolioFrontier[[#This Row],[P138 HWM]]-1</f>
        <v>0</v>
      </c>
      <c r="UI66" s="28">
        <f>SUMPRODUCT(INDEX(PortfolioRef[[SPY]:[PE]],MATCH(UI$1,PortfolioRef[Reference '#]),0),AssetMonthlyReturns[[#This Row],[SPY]:[PE]])</f>
        <v>3.227389866663033E-2</v>
      </c>
      <c r="UJ66" s="27">
        <f>IF(ISNUMBER(UJ65),UJ65*(1+PortfolioFrontier[[#This Row],[P139 Return]]),1+PortfolioFrontier[[#This Row],[P139 Return]])</f>
        <v>1.6413852340084498</v>
      </c>
      <c r="UK66" s="27">
        <f>MAX(UK65,PortfolioFrontier[[#This Row],[P139 Growth]])</f>
        <v>1.6413852340084498</v>
      </c>
      <c r="UL66" s="27">
        <f>PortfolioFrontier[[#This Row],[P139 Growth]]/PortfolioFrontier[[#This Row],[P139 HWM]]-1</f>
        <v>0</v>
      </c>
      <c r="UM66" s="28">
        <f>SUMPRODUCT(INDEX(PortfolioRef[[SPY]:[PE]],MATCH(UM$1,PortfolioRef[Reference '#]),0),AssetMonthlyReturns[[#This Row],[SPY]:[PE]])</f>
        <v>2.9919901974902074E-2</v>
      </c>
      <c r="UN66" s="27">
        <f>IF(ISNUMBER(UN65),UN65*(1+PortfolioFrontier[[#This Row],[P140 Return]]),1+PortfolioFrontier[[#This Row],[P140 Return]])</f>
        <v>1.613245571731363</v>
      </c>
      <c r="UO66" s="27">
        <f>MAX(UO65,PortfolioFrontier[[#This Row],[P140 Growth]])</f>
        <v>1.613245571731363</v>
      </c>
      <c r="UP66" s="27">
        <f>PortfolioFrontier[[#This Row],[P140 Growth]]/PortfolioFrontier[[#This Row],[P140 HWM]]-1</f>
        <v>0</v>
      </c>
      <c r="UQ66" s="28">
        <f>SUMPRODUCT(INDEX(PortfolioRef[[SPY]:[PE]],MATCH(UQ$1,PortfolioRef[Reference '#]),0),AssetMonthlyReturns[[#This Row],[SPY]:[PE]])</f>
        <v>2.7565905283173819E-2</v>
      </c>
      <c r="UR66" s="27">
        <f>IF(ISNUMBER(UR65),UR65*(1+PortfolioFrontier[[#This Row],[P141 Return]]),1+PortfolioFrontier[[#This Row],[P141 Return]])</f>
        <v>1.5849529136841887</v>
      </c>
      <c r="US66" s="27">
        <f>MAX(US65,PortfolioFrontier[[#This Row],[P141 Growth]])</f>
        <v>1.5849529136841887</v>
      </c>
      <c r="UT66" s="27">
        <f>PortfolioFrontier[[#This Row],[P141 Growth]]/PortfolioFrontier[[#This Row],[P141 HWM]]-1</f>
        <v>0</v>
      </c>
    </row>
    <row r="67" spans="2:566" x14ac:dyDescent="0.2">
      <c r="B67" s="41">
        <f>AssetMonthlyReturns[[#This Row],[Date]]</f>
        <v>44409</v>
      </c>
      <c r="C67" s="28">
        <f>SUMPRODUCT(INDEX(PortfolioRef[[SPY]:[PE]],MATCH(C$1,PortfolioRef[Reference '#]),0),AssetMonthlyReturns[[#This Row],[SPY]:[PE]])</f>
        <v>2.07413918577753E-2</v>
      </c>
      <c r="D67" s="29">
        <f>IF(ISNUMBER(D66),D66*(1+PortfolioFrontier[[#This Row],[P1 Return]]),1+PortfolioFrontier[[#This Row],[P1 Return]])</f>
        <v>1.8718342234065806</v>
      </c>
      <c r="E67" s="29">
        <f>MAX(E66,PortfolioFrontier[[#This Row],[P1 Growth]])</f>
        <v>1.8718342234065806</v>
      </c>
      <c r="F67" s="29">
        <f>PortfolioFrontier[[#This Row],[P1 Growth]]/PortfolioFrontier[[#This Row],[P1 HWM]]-1</f>
        <v>0</v>
      </c>
      <c r="G67" s="28">
        <f>SUMPRODUCT(INDEX(PortfolioRef[[SPY]:[PE]],MATCH(G$1,PortfolioRef[Reference '#]),0),AssetMonthlyReturns[[#This Row],[SPY]:[PE]])</f>
        <v>1.914906688946081E-2</v>
      </c>
      <c r="H67" s="27">
        <f>IF(ISNUMBER(H66),H66*(1+PortfolioFrontier[[#This Row],[P2 Return]]),1+PortfolioFrontier[[#This Row],[P2 Return]])</f>
        <v>1.8083106704822782</v>
      </c>
      <c r="I67" s="27">
        <f>MAX(I66,PortfolioFrontier[[#This Row],[P2 Growth]])</f>
        <v>1.8083106704822782</v>
      </c>
      <c r="J67" s="27">
        <f>PortfolioFrontier[[#This Row],[P2 Growth]]/PortfolioFrontier[[#This Row],[P2 HWM]]-1</f>
        <v>0</v>
      </c>
      <c r="K67" s="28">
        <f>SUMPRODUCT(INDEX(PortfolioRef[[SPY]:[PE]],MATCH(K$1,PortfolioRef[Reference '#]),0),AssetMonthlyReturns[[#This Row],[SPY]:[PE]])</f>
        <v>1.9215016613596352E-2</v>
      </c>
      <c r="L67" s="27">
        <f>IF(ISNUMBER(L66),L66*(1+PortfolioFrontier[[#This Row],[P3 Return]]),1+PortfolioFrontier[[#This Row],[P3 Return]])</f>
        <v>1.823629004250837</v>
      </c>
      <c r="M67" s="27">
        <f>MAX(M66,PortfolioFrontier[[#This Row],[P3 Growth]])</f>
        <v>1.823629004250837</v>
      </c>
      <c r="N67" s="27">
        <f>PortfolioFrontier[[#This Row],[P3 Growth]]/PortfolioFrontier[[#This Row],[P3 HWM]]-1</f>
        <v>0</v>
      </c>
      <c r="O67" s="28">
        <f>SUMPRODUCT(INDEX(PortfolioRef[[SPY]:[PE]],MATCH(O$1,PortfolioRef[Reference '#]),0),AssetMonthlyReturns[[#This Row],[SPY]:[PE]])</f>
        <v>2.0330535749172925E-2</v>
      </c>
      <c r="P67" s="27">
        <f>IF(ISNUMBER(P66),P66*(1+PortfolioFrontier[[#This Row],[P4 Return]]),1+PortfolioFrontier[[#This Row],[P4 Return]])</f>
        <v>1.8376015110332076</v>
      </c>
      <c r="Q67" s="27">
        <f>MAX(Q66,PortfolioFrontier[[#This Row],[P4 Growth]])</f>
        <v>1.8376015110332076</v>
      </c>
      <c r="R67" s="27">
        <f>PortfolioFrontier[[#This Row],[P4 Growth]]/PortfolioFrontier[[#This Row],[P4 HWM]]-1</f>
        <v>0</v>
      </c>
      <c r="S67" s="28">
        <f>SUMPRODUCT(INDEX(PortfolioRef[[SPY]:[PE]],MATCH(S$1,PortfolioRef[Reference '#]),0),AssetMonthlyReturns[[#This Row],[SPY]:[PE]])</f>
        <v>2.0556826775292941E-2</v>
      </c>
      <c r="T67" s="27">
        <f>IF(ISNUMBER(T66),T66*(1+PortfolioFrontier[[#This Row],[P5 Return]]),1+PortfolioFrontier[[#This Row],[P5 Return]])</f>
        <v>1.8053961906932583</v>
      </c>
      <c r="U67" s="27">
        <f>MAX(U66,PortfolioFrontier[[#This Row],[P5 Growth]])</f>
        <v>1.8053961906932583</v>
      </c>
      <c r="V67" s="27">
        <f>PortfolioFrontier[[#This Row],[P5 Growth]]/PortfolioFrontier[[#This Row],[P5 HWM]]-1</f>
        <v>0</v>
      </c>
      <c r="W67" s="28">
        <f>SUMPRODUCT(INDEX(PortfolioRef[[SPY]:[PE]],MATCH(W$1,PortfolioRef[Reference '#]),0),AssetMonthlyReturns[[#This Row],[SPY]:[PE]])</f>
        <v>1.755674192114632E-2</v>
      </c>
      <c r="X67" s="27">
        <f>IF(ISNUMBER(X66),X66*(1+PortfolioFrontier[[#This Row],[P6 Return]]),1+PortfolioFrontier[[#This Row],[P6 Return]])</f>
        <v>1.7463727007257743</v>
      </c>
      <c r="Y67" s="27">
        <f>MAX(Y66,PortfolioFrontier[[#This Row],[P6 Growth]])</f>
        <v>1.7463727007257743</v>
      </c>
      <c r="Z67" s="27">
        <f>PortfolioFrontier[[#This Row],[P6 Growth]]/PortfolioFrontier[[#This Row],[P6 HWM]]-1</f>
        <v>0</v>
      </c>
      <c r="AA67" s="28">
        <f>SUMPRODUCT(INDEX(PortfolioRef[[SPY]:[PE]],MATCH(AA$1,PortfolioRef[Reference '#]),0),AssetMonthlyReturns[[#This Row],[SPY]:[PE]])</f>
        <v>1.7622691645281865E-2</v>
      </c>
      <c r="AB67" s="27">
        <f>IF(ISNUMBER(AB66),AB66*(1+PortfolioFrontier[[#This Row],[P7 Return]]),1+PortfolioFrontier[[#This Row],[P7 Return]])</f>
        <v>1.7611776846149181</v>
      </c>
      <c r="AC67" s="27">
        <f>MAX(AC66,PortfolioFrontier[[#This Row],[P7 Growth]])</f>
        <v>1.7611776846149181</v>
      </c>
      <c r="AD67" s="27">
        <f>PortfolioFrontier[[#This Row],[P7 Growth]]/PortfolioFrontier[[#This Row],[P7 HWM]]-1</f>
        <v>0</v>
      </c>
      <c r="AE67" s="28">
        <f>SUMPRODUCT(INDEX(PortfolioRef[[SPY]:[PE]],MATCH(AE$1,PortfolioRef[Reference '#]),0),AssetMonthlyReturns[[#This Row],[SPY]:[PE]])</f>
        <v>1.8738210780858435E-2</v>
      </c>
      <c r="AF67" s="27">
        <f>IF(ISNUMBER(AF66),AF66*(1+PortfolioFrontier[[#This Row],[P8 Return]]),1+PortfolioFrontier[[#This Row],[P8 Return]])</f>
        <v>1.7750994846644903</v>
      </c>
      <c r="AG67" s="27">
        <f>MAX(AG66,PortfolioFrontier[[#This Row],[P8 Growth]])</f>
        <v>1.7750994846644903</v>
      </c>
      <c r="AH67" s="27">
        <f>PortfolioFrontier[[#This Row],[P8 Growth]]/PortfolioFrontier[[#This Row],[P8 HWM]]-1</f>
        <v>0</v>
      </c>
      <c r="AI67" s="28">
        <f>SUMPRODUCT(INDEX(PortfolioRef[[SPY]:[PE]],MATCH(AI$1,PortfolioRef[Reference '#]),0),AssetMonthlyReturns[[#This Row],[SPY]:[PE]])</f>
        <v>1.8964501806978451E-2</v>
      </c>
      <c r="AJ67" s="27">
        <f>IF(ISNUMBER(AJ66),AJ66*(1+PortfolioFrontier[[#This Row],[P9 Return]]),1+PortfolioFrontier[[#This Row],[P9 Return]])</f>
        <v>1.7436222576532312</v>
      </c>
      <c r="AK67" s="27">
        <f>MAX(AK66,PortfolioFrontier[[#This Row],[P9 Growth]])</f>
        <v>1.7436222576532312</v>
      </c>
      <c r="AL67" s="27">
        <f>PortfolioFrontier[[#This Row],[P9 Growth]]/PortfolioFrontier[[#This Row],[P9 HWM]]-1</f>
        <v>0</v>
      </c>
      <c r="AM67" s="28">
        <f>SUMPRODUCT(INDEX(PortfolioRef[[SPY]:[PE]],MATCH(AM$1,PortfolioRef[Reference '#]),0),AssetMonthlyReturns[[#This Row],[SPY]:[PE]])</f>
        <v>1.7688641369417411E-2</v>
      </c>
      <c r="AN67" s="27">
        <f>IF(ISNUMBER(AN66),AN66*(1+PortfolioFrontier[[#This Row],[P10 Return]]),1+PortfolioFrontier[[#This Row],[P10 Return]])</f>
        <v>1.7757671798156769</v>
      </c>
      <c r="AO67" s="27">
        <f>MAX(AO66,PortfolioFrontier[[#This Row],[P10 Growth]])</f>
        <v>1.7757671798156769</v>
      </c>
      <c r="AP67" s="27">
        <f>PortfolioFrontier[[#This Row],[P10 Growth]]/PortfolioFrontier[[#This Row],[P10 HWM]]-1</f>
        <v>0</v>
      </c>
      <c r="AQ67" s="28">
        <f>SUMPRODUCT(INDEX(PortfolioRef[[SPY]:[PE]],MATCH(AQ$1,PortfolioRef[Reference '#]),0),AssetMonthlyReturns[[#This Row],[SPY]:[PE]])</f>
        <v>1.8804160504993978E-2</v>
      </c>
      <c r="AR67" s="27">
        <f>IF(ISNUMBER(AR66),AR66*(1+PortfolioFrontier[[#This Row],[P11 Return]]),1+PortfolioFrontier[[#This Row],[P11 Return]])</f>
        <v>1.7901316040086093</v>
      </c>
      <c r="AS67" s="27">
        <f>MAX(AS66,PortfolioFrontier[[#This Row],[P11 Growth]])</f>
        <v>1.7901316040086093</v>
      </c>
      <c r="AT67" s="27">
        <f>PortfolioFrontier[[#This Row],[P11 Growth]]/PortfolioFrontier[[#This Row],[P11 HWM]]-1</f>
        <v>0</v>
      </c>
      <c r="AU67" s="28">
        <f>SUMPRODUCT(INDEX(PortfolioRef[[SPY]:[PE]],MATCH(AU$1,PortfolioRef[Reference '#]),0),AssetMonthlyReturns[[#This Row],[SPY]:[PE]])</f>
        <v>1.9030451531113997E-2</v>
      </c>
      <c r="AV67" s="27">
        <f>IF(ISNUMBER(AV66),AV66*(1+PortfolioFrontier[[#This Row],[P12 Return]]),1+PortfolioFrontier[[#This Row],[P12 Return]])</f>
        <v>1.7584330768489107</v>
      </c>
      <c r="AW67" s="27">
        <f>MAX(AW66,PortfolioFrontier[[#This Row],[P12 Growth]])</f>
        <v>1.7584330768489107</v>
      </c>
      <c r="AX67" s="27">
        <f>PortfolioFrontier[[#This Row],[P12 Growth]]/PortfolioFrontier[[#This Row],[P12 HWM]]-1</f>
        <v>0</v>
      </c>
      <c r="AY67" s="28">
        <f>SUMPRODUCT(INDEX(PortfolioRef[[SPY]:[PE]],MATCH(AY$1,PortfolioRef[Reference '#]),0),AssetMonthlyReturns[[#This Row],[SPY]:[PE]])</f>
        <v>1.9919679640570551E-2</v>
      </c>
      <c r="AZ67" s="27">
        <f>IF(ISNUMBER(AZ66),AZ66*(1+PortfolioFrontier[[#This Row],[P13 Return]]),1+PortfolioFrontier[[#This Row],[P13 Return]])</f>
        <v>1.803692368372757</v>
      </c>
      <c r="BA67" s="27">
        <f>MAX(BA66,PortfolioFrontier[[#This Row],[P13 Growth]])</f>
        <v>1.803692368372757</v>
      </c>
      <c r="BB67" s="27">
        <f>PortfolioFrontier[[#This Row],[P13 Growth]]/PortfolioFrontier[[#This Row],[P13 HWM]]-1</f>
        <v>0</v>
      </c>
      <c r="BC67" s="28">
        <f>SUMPRODUCT(INDEX(PortfolioRef[[SPY]:[PE]],MATCH(BC$1,PortfolioRef[Reference '#]),0),AssetMonthlyReturns[[#This Row],[SPY]:[PE]])</f>
        <v>2.0145970666690566E-2</v>
      </c>
      <c r="BD67" s="27">
        <f>IF(ISNUMBER(BD66),BD66*(1+PortfolioFrontier[[#This Row],[P14 Return]]),1+PortfolioFrontier[[#This Row],[P14 Return]])</f>
        <v>1.7722966981202894</v>
      </c>
      <c r="BE67" s="27">
        <f>MAX(BE66,PortfolioFrontier[[#This Row],[P14 Growth]])</f>
        <v>1.7722966981202894</v>
      </c>
      <c r="BF67" s="27">
        <f>PortfolioFrontier[[#This Row],[P14 Growth]]/PortfolioFrontier[[#This Row],[P14 HWM]]-1</f>
        <v>0</v>
      </c>
      <c r="BG67" s="28">
        <f>SUMPRODUCT(INDEX(PortfolioRef[[SPY]:[PE]],MATCH(BG$1,PortfolioRef[Reference '#]),0),AssetMonthlyReturns[[#This Row],[SPY]:[PE]])</f>
        <v>2.0372261692810586E-2</v>
      </c>
      <c r="BH67" s="27">
        <f>IF(ISNUMBER(BH66),BH66*(1+PortfolioFrontier[[#This Row],[P15 Return]]),1+PortfolioFrontier[[#This Row],[P15 Return]])</f>
        <v>1.7407567845102867</v>
      </c>
      <c r="BI67" s="27">
        <f>MAX(BI66,PortfolioFrontier[[#This Row],[P15 Growth]])</f>
        <v>1.7407567845102867</v>
      </c>
      <c r="BJ67" s="27">
        <f>PortfolioFrontier[[#This Row],[P15 Growth]]/PortfolioFrontier[[#This Row],[P15 HWM]]-1</f>
        <v>0</v>
      </c>
      <c r="BK67" s="28">
        <f>SUMPRODUCT(INDEX(PortfolioRef[[SPY]:[PE]],MATCH(BK$1,PortfolioRef[Reference '#]),0),AssetMonthlyReturns[[#This Row],[SPY]:[PE]])</f>
        <v>1.5964416952831829E-2</v>
      </c>
      <c r="BL67" s="27">
        <f>IF(ISNUMBER(BL66),BL66*(1+PortfolioFrontier[[#This Row],[P16 Return]]),1+PortfolioFrontier[[#This Row],[P16 Return]])</f>
        <v>1.6860064463693007</v>
      </c>
      <c r="BM67" s="27">
        <f>MAX(BM66,PortfolioFrontier[[#This Row],[P16 Growth]])</f>
        <v>1.6860064463693007</v>
      </c>
      <c r="BN67" s="27">
        <f>PortfolioFrontier[[#This Row],[P16 Growth]]/PortfolioFrontier[[#This Row],[P16 HWM]]-1</f>
        <v>0</v>
      </c>
      <c r="BO67" s="28">
        <f>SUMPRODUCT(INDEX(PortfolioRef[[SPY]:[PE]],MATCH(BO$1,PortfolioRef[Reference '#]),0),AssetMonthlyReturns[[#This Row],[SPY]:[PE]])</f>
        <v>1.6030366676967375E-2</v>
      </c>
      <c r="BP67" s="27">
        <f>IF(ISNUMBER(BP66),BP66*(1+PortfolioFrontier[[#This Row],[P17 Return]]),1+PortfolioFrontier[[#This Row],[P17 Return]])</f>
        <v>1.7003110183804406</v>
      </c>
      <c r="BQ67" s="27">
        <f>MAX(BQ66,PortfolioFrontier[[#This Row],[P17 Growth]])</f>
        <v>1.7003110183804406</v>
      </c>
      <c r="BR67" s="27">
        <f>PortfolioFrontier[[#This Row],[P17 Growth]]/PortfolioFrontier[[#This Row],[P17 HWM]]-1</f>
        <v>0</v>
      </c>
      <c r="BS67" s="28">
        <f>SUMPRODUCT(INDEX(PortfolioRef[[SPY]:[PE]],MATCH(BS$1,PortfolioRef[Reference '#]),0),AssetMonthlyReturns[[#This Row],[SPY]:[PE]])</f>
        <v>1.7145885812543941E-2</v>
      </c>
      <c r="BT67" s="27">
        <f>IF(ISNUMBER(BT66),BT66*(1+PortfolioFrontier[[#This Row],[P18 Return]]),1+PortfolioFrontier[[#This Row],[P18 Return]])</f>
        <v>1.7141627541911011</v>
      </c>
      <c r="BU67" s="27">
        <f>MAX(BU66,PortfolioFrontier[[#This Row],[P18 Growth]])</f>
        <v>1.7141627541911011</v>
      </c>
      <c r="BV67" s="27">
        <f>PortfolioFrontier[[#This Row],[P18 Growth]]/PortfolioFrontier[[#This Row],[P18 HWM]]-1</f>
        <v>0</v>
      </c>
      <c r="BW67" s="28">
        <f>SUMPRODUCT(INDEX(PortfolioRef[[SPY]:[PE]],MATCH(BW$1,PortfolioRef[Reference '#]),0),AssetMonthlyReturns[[#This Row],[SPY]:[PE]])</f>
        <v>1.7372176838663961E-2</v>
      </c>
      <c r="BX67" s="27">
        <f>IF(ISNUMBER(BX66),BX66*(1+PortfolioFrontier[[#This Row],[P19 Return]]),1+PortfolioFrontier[[#This Row],[P19 Return]])</f>
        <v>1.6834127990660035</v>
      </c>
      <c r="BY67" s="27">
        <f>MAX(BY66,PortfolioFrontier[[#This Row],[P19 Growth]])</f>
        <v>1.6834127990660035</v>
      </c>
      <c r="BZ67" s="27">
        <f>PortfolioFrontier[[#This Row],[P19 Growth]]/PortfolioFrontier[[#This Row],[P19 HWM]]-1</f>
        <v>0</v>
      </c>
      <c r="CA67" s="28">
        <f>SUMPRODUCT(INDEX(PortfolioRef[[SPY]:[PE]],MATCH(CA$1,PortfolioRef[Reference '#]),0),AssetMonthlyReturns[[#This Row],[SPY]:[PE]])</f>
        <v>1.6096316401102921E-2</v>
      </c>
      <c r="CB67" s="27">
        <f>IF(ISNUMBER(CB66),CB66*(1+PortfolioFrontier[[#This Row],[P20 Return]]),1+PortfolioFrontier[[#This Row],[P20 Return]])</f>
        <v>1.7144069717237191</v>
      </c>
      <c r="CC67" s="27">
        <f>MAX(CC66,PortfolioFrontier[[#This Row],[P20 Growth]])</f>
        <v>1.7144069717237191</v>
      </c>
      <c r="CD67" s="27">
        <f>PortfolioFrontier[[#This Row],[P20 Growth]]/PortfolioFrontier[[#This Row],[P20 HWM]]-1</f>
        <v>0</v>
      </c>
      <c r="CE67" s="28">
        <f>SUMPRODUCT(INDEX(PortfolioRef[[SPY]:[PE]],MATCH(CE$1,PortfolioRef[Reference '#]),0),AssetMonthlyReturns[[#This Row],[SPY]:[PE]])</f>
        <v>1.7211835536679487E-2</v>
      </c>
      <c r="CF67" s="27">
        <f>IF(ISNUMBER(CF66),CF66*(1+PortfolioFrontier[[#This Row],[P21 Return]]),1+PortfolioFrontier[[#This Row],[P21 Return]])</f>
        <v>1.7286902262062438</v>
      </c>
      <c r="CG67" s="27">
        <f>MAX(CG66,PortfolioFrontier[[#This Row],[P21 Growth]])</f>
        <v>1.7286902262062438</v>
      </c>
      <c r="CH67" s="27">
        <f>PortfolioFrontier[[#This Row],[P21 Growth]]/PortfolioFrontier[[#This Row],[P21 HWM]]-1</f>
        <v>0</v>
      </c>
      <c r="CI67" s="28">
        <f>SUMPRODUCT(INDEX(PortfolioRef[[SPY]:[PE]],MATCH(CI$1,PortfolioRef[Reference '#]),0),AssetMonthlyReturns[[#This Row],[SPY]:[PE]])</f>
        <v>1.7438126562799507E-2</v>
      </c>
      <c r="CJ67" s="27">
        <f>IF(ISNUMBER(CJ66),CJ66*(1+PortfolioFrontier[[#This Row],[P22 Return]]),1+PortfolioFrontier[[#This Row],[P22 Return]])</f>
        <v>1.6977235300595916</v>
      </c>
      <c r="CK67" s="27">
        <f>MAX(CK66,PortfolioFrontier[[#This Row],[P22 Growth]])</f>
        <v>1.6977235300595916</v>
      </c>
      <c r="CL67" s="27">
        <f>PortfolioFrontier[[#This Row],[P22 Growth]]/PortfolioFrontier[[#This Row],[P22 HWM]]-1</f>
        <v>0</v>
      </c>
      <c r="CM67" s="28">
        <f>SUMPRODUCT(INDEX(PortfolioRef[[SPY]:[PE]],MATCH(CM$1,PortfolioRef[Reference '#]),0),AssetMonthlyReturns[[#This Row],[SPY]:[PE]])</f>
        <v>1.832735467225606E-2</v>
      </c>
      <c r="CN67" s="27">
        <f>IF(ISNUMBER(CN66),CN66*(1+PortfolioFrontier[[#This Row],[P23 Return]]),1+PortfolioFrontier[[#This Row],[P23 Return]])</f>
        <v>1.7422060481492758</v>
      </c>
      <c r="CO67" s="27">
        <f>MAX(CO66,PortfolioFrontier[[#This Row],[P23 Growth]])</f>
        <v>1.7422060481492758</v>
      </c>
      <c r="CP67" s="27">
        <f>PortfolioFrontier[[#This Row],[P23 Growth]]/PortfolioFrontier[[#This Row],[P23 HWM]]-1</f>
        <v>0</v>
      </c>
      <c r="CQ67" s="28">
        <f>SUMPRODUCT(INDEX(PortfolioRef[[SPY]:[PE]],MATCH(CQ$1,PortfolioRef[Reference '#]),0),AssetMonthlyReturns[[#This Row],[SPY]:[PE]])</f>
        <v>1.8553645698376076E-2</v>
      </c>
      <c r="CR67" s="27">
        <f>IF(ISNUMBER(CR66),CR66*(1+PortfolioFrontier[[#This Row],[P24 Return]]),1+PortfolioFrontier[[#This Row],[P24 Return]])</f>
        <v>1.71151912338055</v>
      </c>
      <c r="CS67" s="27">
        <f>MAX(CS66,PortfolioFrontier[[#This Row],[P24 Growth]])</f>
        <v>1.71151912338055</v>
      </c>
      <c r="CT67" s="27">
        <f>PortfolioFrontier[[#This Row],[P24 Growth]]/PortfolioFrontier[[#This Row],[P24 HWM]]-1</f>
        <v>0</v>
      </c>
      <c r="CU67" s="28">
        <f>SUMPRODUCT(INDEX(PortfolioRef[[SPY]:[PE]],MATCH(CU$1,PortfolioRef[Reference '#]),0),AssetMonthlyReturns[[#This Row],[SPY]:[PE]])</f>
        <v>1.8779936724496096E-2</v>
      </c>
      <c r="CV67" s="27">
        <f>IF(ISNUMBER(CV66),CV66*(1+PortfolioFrontier[[#This Row],[P25 Return]]),1+PortfolioFrontier[[#This Row],[P25 Return]])</f>
        <v>1.6807079142240515</v>
      </c>
      <c r="CW67" s="27">
        <f>MAX(CW66,PortfolioFrontier[[#This Row],[P25 Growth]])</f>
        <v>1.6807079142240515</v>
      </c>
      <c r="CX67" s="27">
        <f>PortfolioFrontier[[#This Row],[P25 Growth]]/PortfolioFrontier[[#This Row],[P25 HWM]]-1</f>
        <v>0</v>
      </c>
      <c r="CY67" s="28">
        <f>SUMPRODUCT(INDEX(PortfolioRef[[SPY]:[PE]],MATCH(CY$1,PortfolioRef[Reference '#]),0),AssetMonthlyReturns[[#This Row],[SPY]:[PE]])</f>
        <v>1.7277785260815033E-2</v>
      </c>
      <c r="CZ67" s="27">
        <f>IF(ISNUMBER(CZ66),CZ66*(1+PortfolioFrontier[[#This Row],[P26 Return]]),1+PortfolioFrontier[[#This Row],[P26 Return]])</f>
        <v>1.7430058969205509</v>
      </c>
      <c r="DA67" s="27">
        <f>MAX(DA66,PortfolioFrontier[[#This Row],[P26 Growth]])</f>
        <v>1.7430058969205509</v>
      </c>
      <c r="DB67" s="27">
        <f>PortfolioFrontier[[#This Row],[P26 Growth]]/PortfolioFrontier[[#This Row],[P26 HWM]]-1</f>
        <v>0</v>
      </c>
      <c r="DC67" s="28">
        <f>SUMPRODUCT(INDEX(PortfolioRef[[SPY]:[PE]],MATCH(DC$1,PortfolioRef[Reference '#]),0),AssetMonthlyReturns[[#This Row],[SPY]:[PE]])</f>
        <v>1.7504076286935052E-2</v>
      </c>
      <c r="DD67" s="27">
        <f>IF(ISNUMBER(DD66),DD66*(1+PortfolioFrontier[[#This Row],[P27 Return]]),1+PortfolioFrontier[[#This Row],[P27 Return]])</f>
        <v>1.7118265567959712</v>
      </c>
      <c r="DE67" s="27">
        <f>MAX(DE66,PortfolioFrontier[[#This Row],[P27 Growth]])</f>
        <v>1.7118265567959712</v>
      </c>
      <c r="DF67" s="27">
        <f>PortfolioFrontier[[#This Row],[P27 Growth]]/PortfolioFrontier[[#This Row],[P27 HWM]]-1</f>
        <v>0</v>
      </c>
      <c r="DG67" s="28">
        <f>SUMPRODUCT(INDEX(PortfolioRef[[SPY]:[PE]],MATCH(DG$1,PortfolioRef[Reference '#]),0),AssetMonthlyReturns[[#This Row],[SPY]:[PE]])</f>
        <v>1.8393304396391603E-2</v>
      </c>
      <c r="DH67" s="27">
        <f>IF(ISNUMBER(DH66),DH66*(1+PortfolioFrontier[[#This Row],[P28 Return]]),1+PortfolioFrontier[[#This Row],[P28 Return]])</f>
        <v>1.7569551568946282</v>
      </c>
      <c r="DI67" s="27">
        <f>MAX(DI66,PortfolioFrontier[[#This Row],[P28 Growth]])</f>
        <v>1.7569551568946282</v>
      </c>
      <c r="DJ67" s="27">
        <f>PortfolioFrontier[[#This Row],[P28 Growth]]/PortfolioFrontier[[#This Row],[P28 HWM]]-1</f>
        <v>0</v>
      </c>
      <c r="DK67" s="28">
        <f>SUMPRODUCT(INDEX(PortfolioRef[[SPY]:[PE]],MATCH(DK$1,PortfolioRef[Reference '#]),0),AssetMonthlyReturns[[#This Row],[SPY]:[PE]])</f>
        <v>1.8619595422511619E-2</v>
      </c>
      <c r="DL67" s="27">
        <f>IF(ISNUMBER(DL66),DL66*(1+PortfolioFrontier[[#This Row],[P29 Return]]),1+PortfolioFrontier[[#This Row],[P29 Return]])</f>
        <v>1.7260527877392082</v>
      </c>
      <c r="DM67" s="27">
        <f>MAX(DM66,PortfolioFrontier[[#This Row],[P29 Growth]])</f>
        <v>1.7260527877392082</v>
      </c>
      <c r="DN67" s="27">
        <f>PortfolioFrontier[[#This Row],[P29 Growth]]/PortfolioFrontier[[#This Row],[P29 HWM]]-1</f>
        <v>0</v>
      </c>
      <c r="DO67" s="28">
        <f>SUMPRODUCT(INDEX(PortfolioRef[[SPY]:[PE]],MATCH(DO$1,PortfolioRef[Reference '#]),0),AssetMonthlyReturns[[#This Row],[SPY]:[PE]])</f>
        <v>1.8845886448631638E-2</v>
      </c>
      <c r="DP67" s="27">
        <f>IF(ISNUMBER(DP66),DP66*(1+PortfolioFrontier[[#This Row],[P30 Return]]),1+PortfolioFrontier[[#This Row],[P30 Return]])</f>
        <v>1.695023784973515</v>
      </c>
      <c r="DQ67" s="27">
        <f>MAX(DQ66,PortfolioFrontier[[#This Row],[P30 Growth]])</f>
        <v>1.695023784973515</v>
      </c>
      <c r="DR67" s="27">
        <f>PortfolioFrontier[[#This Row],[P30 Growth]]/PortfolioFrontier[[#This Row],[P30 HWM]]-1</f>
        <v>0</v>
      </c>
      <c r="DS67" s="28">
        <f>SUMPRODUCT(INDEX(PortfolioRef[[SPY]:[PE]],MATCH(DS$1,PortfolioRef[Reference '#]),0),AssetMonthlyReturns[[#This Row],[SPY]:[PE]])</f>
        <v>1.9508823531968172E-2</v>
      </c>
      <c r="DT67" s="27">
        <f>IF(ISNUMBER(DT66),DT66*(1+PortfolioFrontier[[#This Row],[P31 Return]]),1+PortfolioFrontier[[#This Row],[P31 Return]])</f>
        <v>1.7701115791001298</v>
      </c>
      <c r="DU67" s="27">
        <f>MAX(DU66,PortfolioFrontier[[#This Row],[P31 Growth]])</f>
        <v>1.7701115791001298</v>
      </c>
      <c r="DV67" s="27">
        <f>PortfolioFrontier[[#This Row],[P31 Growth]]/PortfolioFrontier[[#This Row],[P31 HWM]]-1</f>
        <v>0</v>
      </c>
      <c r="DW67" s="28">
        <f>SUMPRODUCT(INDEX(PortfolioRef[[SPY]:[PE]],MATCH(DW$1,PortfolioRef[Reference '#]),0),AssetMonthlyReturns[[#This Row],[SPY]:[PE]])</f>
        <v>1.9735114558088192E-2</v>
      </c>
      <c r="DX67" s="27">
        <f>IF(ISNUMBER(DX66),DX66*(1+PortfolioFrontier[[#This Row],[P32 Return]]),1+PortfolioFrontier[[#This Row],[P32 Return]])</f>
        <v>1.7395123547673497</v>
      </c>
      <c r="DY67" s="27">
        <f>MAX(DY66,PortfolioFrontier[[#This Row],[P32 Growth]])</f>
        <v>1.7395123547673497</v>
      </c>
      <c r="DZ67" s="27">
        <f>PortfolioFrontier[[#This Row],[P32 Growth]]/PortfolioFrontier[[#This Row],[P32 HWM]]-1</f>
        <v>0</v>
      </c>
      <c r="EA67" s="28">
        <f>SUMPRODUCT(INDEX(PortfolioRef[[SPY]:[PE]],MATCH(EA$1,PortfolioRef[Reference '#]),0),AssetMonthlyReturns[[#This Row],[SPY]:[PE]])</f>
        <v>1.9961405584208211E-2</v>
      </c>
      <c r="EB67" s="27">
        <f>IF(ISNUMBER(EB66),EB66*(1+PortfolioFrontier[[#This Row],[P33 Return]]),1+PortfolioFrontier[[#This Row],[P33 Return]])</f>
        <v>1.7087623214420506</v>
      </c>
      <c r="EC67" s="27">
        <f>MAX(EC66,PortfolioFrontier[[#This Row],[P33 Growth]])</f>
        <v>1.7087623214420506</v>
      </c>
      <c r="ED67" s="27">
        <f>PortfolioFrontier[[#This Row],[P33 Growth]]/PortfolioFrontier[[#This Row],[P33 HWM]]-1</f>
        <v>0</v>
      </c>
      <c r="EE67" s="28">
        <f>SUMPRODUCT(INDEX(PortfolioRef[[SPY]:[PE]],MATCH(EE$1,PortfolioRef[Reference '#]),0),AssetMonthlyReturns[[#This Row],[SPY]:[PE]])</f>
        <v>1.4372091984517337E-2</v>
      </c>
      <c r="EF67" s="27">
        <f>IF(ISNUMBER(EF66),EF66*(1+PortfolioFrontier[[#This Row],[P34 Return]]),1+PortfolioFrontier[[#This Row],[P34 Return]])</f>
        <v>1.6271968675342314</v>
      </c>
      <c r="EG67" s="27">
        <f>MAX(EG66,PortfolioFrontier[[#This Row],[P34 Growth]])</f>
        <v>1.6271968675342314</v>
      </c>
      <c r="EH67" s="27">
        <f>PortfolioFrontier[[#This Row],[P34 Growth]]/PortfolioFrontier[[#This Row],[P34 HWM]]-1</f>
        <v>0</v>
      </c>
      <c r="EI67" s="28">
        <f>SUMPRODUCT(INDEX(PortfolioRef[[SPY]:[PE]],MATCH(EI$1,PortfolioRef[Reference '#]),0),AssetMonthlyReturns[[#This Row],[SPY]:[PE]])</f>
        <v>1.4438041708652882E-2</v>
      </c>
      <c r="EJ67" s="27">
        <f>IF(ISNUMBER(EJ66),EJ66*(1+PortfolioFrontier[[#This Row],[P35 Return]]),1+PortfolioFrontier[[#This Row],[P35 Return]])</f>
        <v>1.6410138256217117</v>
      </c>
      <c r="EK67" s="27">
        <f>MAX(EK66,PortfolioFrontier[[#This Row],[P35 Growth]])</f>
        <v>1.6410138256217117</v>
      </c>
      <c r="EL67" s="27">
        <f>PortfolioFrontier[[#This Row],[P35 Growth]]/PortfolioFrontier[[#This Row],[P35 HWM]]-1</f>
        <v>0</v>
      </c>
      <c r="EM67" s="28">
        <f>SUMPRODUCT(INDEX(PortfolioRef[[SPY]:[PE]],MATCH(EM$1,PortfolioRef[Reference '#]),0),AssetMonthlyReturns[[#This Row],[SPY]:[PE]])</f>
        <v>1.5553560844229451E-2</v>
      </c>
      <c r="EN67" s="27">
        <f>IF(ISNUMBER(EN66),EN66*(1+PortfolioFrontier[[#This Row],[P36 Return]]),1+PortfolioFrontier[[#This Row],[P36 Return]])</f>
        <v>1.6547774326561084</v>
      </c>
      <c r="EO67" s="27">
        <f>MAX(EO66,PortfolioFrontier[[#This Row],[P36 Growth]])</f>
        <v>1.6547774326561084</v>
      </c>
      <c r="EP67" s="27">
        <f>PortfolioFrontier[[#This Row],[P36 Growth]]/PortfolioFrontier[[#This Row],[P36 HWM]]-1</f>
        <v>0</v>
      </c>
      <c r="EQ67" s="28">
        <f>SUMPRODUCT(INDEX(PortfolioRef[[SPY]:[PE]],MATCH(EQ$1,PortfolioRef[Reference '#]),0),AssetMonthlyReturns[[#This Row],[SPY]:[PE]])</f>
        <v>1.5779851870349471E-2</v>
      </c>
      <c r="ER67" s="27">
        <f>IF(ISNUMBER(ER66),ER66*(1+PortfolioFrontier[[#This Row],[P37 Return]]),1+PortfolioFrontier[[#This Row],[P37 Return]])</f>
        <v>1.6247530030637867</v>
      </c>
      <c r="ES67" s="27">
        <f>MAX(ES66,PortfolioFrontier[[#This Row],[P37 Growth]])</f>
        <v>1.6247530030637867</v>
      </c>
      <c r="ET67" s="27">
        <f>PortfolioFrontier[[#This Row],[P37 Growth]]/PortfolioFrontier[[#This Row],[P37 HWM]]-1</f>
        <v>0</v>
      </c>
      <c r="EU67" s="28">
        <f>SUMPRODUCT(INDEX(PortfolioRef[[SPY]:[PE]],MATCH(EU$1,PortfolioRef[Reference '#]),0),AssetMonthlyReturns[[#This Row],[SPY]:[PE]])</f>
        <v>1.4503991432788427E-2</v>
      </c>
      <c r="EV67" s="27">
        <f>IF(ISNUMBER(EV66),EV66*(1+PortfolioFrontier[[#This Row],[P38 Return]]),1+PortfolioFrontier[[#This Row],[P38 Return]])</f>
        <v>1.6546288796356934</v>
      </c>
      <c r="EW67" s="27">
        <f>MAX(EW66,PortfolioFrontier[[#This Row],[P38 Growth]])</f>
        <v>1.6546288796356934</v>
      </c>
      <c r="EX67" s="27">
        <f>PortfolioFrontier[[#This Row],[P38 Growth]]/PortfolioFrontier[[#This Row],[P38 HWM]]-1</f>
        <v>0</v>
      </c>
      <c r="EY67" s="28">
        <f>SUMPRODUCT(INDEX(PortfolioRef[[SPY]:[PE]],MATCH(EY$1,PortfolioRef[Reference '#]),0),AssetMonthlyReturns[[#This Row],[SPY]:[PE]])</f>
        <v>1.5619510568364995E-2</v>
      </c>
      <c r="EZ67" s="27">
        <f>IF(ISNUMBER(EZ66),EZ66*(1+PortfolioFrontier[[#This Row],[P39 Return]]),1+PortfolioFrontier[[#This Row],[P39 Return]])</f>
        <v>1.6688130074294942</v>
      </c>
      <c r="FA67" s="27">
        <f>MAX(FA66,PortfolioFrontier[[#This Row],[P39 Growth]])</f>
        <v>1.6688130074294942</v>
      </c>
      <c r="FB67" s="27">
        <f>PortfolioFrontier[[#This Row],[P39 Growth]]/PortfolioFrontier[[#This Row],[P39 HWM]]-1</f>
        <v>0</v>
      </c>
      <c r="FC67" s="28">
        <f>SUMPRODUCT(INDEX(PortfolioRef[[SPY]:[PE]],MATCH(FC$1,PortfolioRef[Reference '#]),0),AssetMonthlyReturns[[#This Row],[SPY]:[PE]])</f>
        <v>1.5845801594485016E-2</v>
      </c>
      <c r="FD67" s="27">
        <f>IF(ISNUMBER(FD66),FD66*(1+PortfolioFrontier[[#This Row],[P40 Return]]),1+PortfolioFrontier[[#This Row],[P40 Return]])</f>
        <v>1.6385764119736976</v>
      </c>
      <c r="FE67" s="27">
        <f>MAX(FE66,PortfolioFrontier[[#This Row],[P40 Growth]])</f>
        <v>1.6385764119736976</v>
      </c>
      <c r="FF67" s="27">
        <f>PortfolioFrontier[[#This Row],[P40 Growth]]/PortfolioFrontier[[#This Row],[P40 HWM]]-1</f>
        <v>0</v>
      </c>
      <c r="FG67" s="28">
        <f>SUMPRODUCT(INDEX(PortfolioRef[[SPY]:[PE]],MATCH(FG$1,PortfolioRef[Reference '#]),0),AssetMonthlyReturns[[#This Row],[SPY]:[PE]])</f>
        <v>1.6735029703941567E-2</v>
      </c>
      <c r="FH67" s="27">
        <f>IF(ISNUMBER(FH66),FH66*(1+PortfolioFrontier[[#This Row],[P41 Return]]),1+PortfolioFrontier[[#This Row],[P41 Return]])</f>
        <v>1.682264693625684</v>
      </c>
      <c r="FI67" s="27">
        <f>MAX(FI66,PortfolioFrontier[[#This Row],[P41 Growth]])</f>
        <v>1.682264693625684</v>
      </c>
      <c r="FJ67" s="27">
        <f>PortfolioFrontier[[#This Row],[P41 Growth]]/PortfolioFrontier[[#This Row],[P41 HWM]]-1</f>
        <v>0</v>
      </c>
      <c r="FK67" s="28">
        <f>SUMPRODUCT(INDEX(PortfolioRef[[SPY]:[PE]],MATCH(FK$1,PortfolioRef[Reference '#]),0),AssetMonthlyReturns[[#This Row],[SPY]:[PE]])</f>
        <v>1.6961320730061583E-2</v>
      </c>
      <c r="FL67" s="27">
        <f>IF(ISNUMBER(FL66),FL66*(1+PortfolioFrontier[[#This Row],[P42 Return]]),1+PortfolioFrontier[[#This Row],[P42 Return]])</f>
        <v>1.6522858865681664</v>
      </c>
      <c r="FM67" s="27">
        <f>MAX(FM66,PortfolioFrontier[[#This Row],[P42 Growth]])</f>
        <v>1.6522858865681664</v>
      </c>
      <c r="FN67" s="27">
        <f>PortfolioFrontier[[#This Row],[P42 Growth]]/PortfolioFrontier[[#This Row],[P42 HWM]]-1</f>
        <v>0</v>
      </c>
      <c r="FO67" s="28">
        <f>SUMPRODUCT(INDEX(PortfolioRef[[SPY]:[PE]],MATCH(FO$1,PortfolioRef[Reference '#]),0),AssetMonthlyReturns[[#This Row],[SPY]:[PE]])</f>
        <v>1.7187611756181602E-2</v>
      </c>
      <c r="FP67" s="27">
        <f>IF(ISNUMBER(FP66),FP66*(1+PortfolioFrontier[[#This Row],[P43 Return]]),1+PortfolioFrontier[[#This Row],[P43 Return]])</f>
        <v>1.6222016045060392</v>
      </c>
      <c r="FQ67" s="27">
        <f>MAX(FQ66,PortfolioFrontier[[#This Row],[P43 Growth]])</f>
        <v>1.6222016045060392</v>
      </c>
      <c r="FR67" s="27">
        <f>PortfolioFrontier[[#This Row],[P43 Growth]]/PortfolioFrontier[[#This Row],[P43 HWM]]-1</f>
        <v>0</v>
      </c>
      <c r="FS67" s="28">
        <f>SUMPRODUCT(INDEX(PortfolioRef[[SPY]:[PE]],MATCH(FS$1,PortfolioRef[Reference '#]),0),AssetMonthlyReturns[[#This Row],[SPY]:[PE]])</f>
        <v>1.5685460292500543E-2</v>
      </c>
      <c r="FT67" s="27">
        <f>IF(ISNUMBER(FT66),FT66*(1+PortfolioFrontier[[#This Row],[P44 Return]]),1+PortfolioFrontier[[#This Row],[P44 Return]])</f>
        <v>1.6826435500103796</v>
      </c>
      <c r="FU67" s="27">
        <f>MAX(FU66,PortfolioFrontier[[#This Row],[P44 Growth]])</f>
        <v>1.6826435500103796</v>
      </c>
      <c r="FV67" s="27">
        <f>PortfolioFrontier[[#This Row],[P44 Growth]]/PortfolioFrontier[[#This Row],[P44 HWM]]-1</f>
        <v>0</v>
      </c>
      <c r="FW67" s="28">
        <f>SUMPRODUCT(INDEX(PortfolioRef[[SPY]:[PE]],MATCH(FW$1,PortfolioRef[Reference '#]),0),AssetMonthlyReturns[[#This Row],[SPY]:[PE]])</f>
        <v>1.5911751318620562E-2</v>
      </c>
      <c r="FX67" s="27">
        <f>IF(ISNUMBER(FX66),FX66*(1+PortfolioFrontier[[#This Row],[P45 Return]]),1+PortfolioFrontier[[#This Row],[P45 Return]])</f>
        <v>1.6521987951095782</v>
      </c>
      <c r="FY67" s="27">
        <f>MAX(FY66,PortfolioFrontier[[#This Row],[P45 Growth]])</f>
        <v>1.6521987951095782</v>
      </c>
      <c r="FZ67" s="27">
        <f>PortfolioFrontier[[#This Row],[P45 Growth]]/PortfolioFrontier[[#This Row],[P45 HWM]]-1</f>
        <v>0</v>
      </c>
      <c r="GA67" s="28">
        <f>SUMPRODUCT(INDEX(PortfolioRef[[SPY]:[PE]],MATCH(GA$1,PortfolioRef[Reference '#]),0),AssetMonthlyReturns[[#This Row],[SPY]:[PE]])</f>
        <v>1.6800979428077113E-2</v>
      </c>
      <c r="GB67" s="27">
        <f>IF(ISNUMBER(GB66),GB66*(1+PortfolioFrontier[[#This Row],[P46 Return]]),1+PortfolioFrontier[[#This Row],[P46 Return]])</f>
        <v>1.6965177841090535</v>
      </c>
      <c r="GC67" s="27">
        <f>MAX(GC66,PortfolioFrontier[[#This Row],[P46 Growth]])</f>
        <v>1.6965177841090535</v>
      </c>
      <c r="GD67" s="27">
        <f>PortfolioFrontier[[#This Row],[P46 Growth]]/PortfolioFrontier[[#This Row],[P46 HWM]]-1</f>
        <v>0</v>
      </c>
      <c r="GE67" s="28">
        <f>SUMPRODUCT(INDEX(PortfolioRef[[SPY]:[PE]],MATCH(GE$1,PortfolioRef[Reference '#]),0),AssetMonthlyReturns[[#This Row],[SPY]:[PE]])</f>
        <v>1.7027270454197128E-2</v>
      </c>
      <c r="GF67" s="27">
        <f>IF(ISNUMBER(GF66),GF66*(1+PortfolioFrontier[[#This Row],[P47 Return]]),1+PortfolioFrontier[[#This Row],[P47 Return]])</f>
        <v>1.6663279544948535</v>
      </c>
      <c r="GG67" s="27">
        <f>MAX(GG66,PortfolioFrontier[[#This Row],[P47 Growth]])</f>
        <v>1.6663279544948535</v>
      </c>
      <c r="GH67" s="27">
        <f>PortfolioFrontier[[#This Row],[P47 Growth]]/PortfolioFrontier[[#This Row],[P47 HWM]]-1</f>
        <v>0</v>
      </c>
      <c r="GI67" s="28">
        <f>SUMPRODUCT(INDEX(PortfolioRef[[SPY]:[PE]],MATCH(GI$1,PortfolioRef[Reference '#]),0),AssetMonthlyReturns[[#This Row],[SPY]:[PE]])</f>
        <v>1.7253561480317148E-2</v>
      </c>
      <c r="GJ67" s="27">
        <f>IF(ISNUMBER(GJ66),GJ66*(1+PortfolioFrontier[[#This Row],[P48 Return]]),1+PortfolioFrontier[[#This Row],[P48 Return]])</f>
        <v>1.6360304801759689</v>
      </c>
      <c r="GK67" s="27">
        <f>MAX(GK66,PortfolioFrontier[[#This Row],[P48 Growth]])</f>
        <v>1.6360304801759689</v>
      </c>
      <c r="GL67" s="27">
        <f>PortfolioFrontier[[#This Row],[P48 Growth]]/PortfolioFrontier[[#This Row],[P48 HWM]]-1</f>
        <v>0</v>
      </c>
      <c r="GM67" s="28">
        <f>SUMPRODUCT(INDEX(PortfolioRef[[SPY]:[PE]],MATCH(GM$1,PortfolioRef[Reference '#]),0),AssetMonthlyReturns[[#This Row],[SPY]:[PE]])</f>
        <v>1.7916498563653682E-2</v>
      </c>
      <c r="GN67" s="27">
        <f>IF(ISNUMBER(GN66),GN66*(1+PortfolioFrontier[[#This Row],[P49 Return]]),1+PortfolioFrontier[[#This Row],[P49 Return]])</f>
        <v>1.7096349027834481</v>
      </c>
      <c r="GO67" s="27">
        <f>MAX(GO66,PortfolioFrontier[[#This Row],[P49 Growth]])</f>
        <v>1.7096349027834481</v>
      </c>
      <c r="GP67" s="27">
        <f>PortfolioFrontier[[#This Row],[P49 Growth]]/PortfolioFrontier[[#This Row],[P49 HWM]]-1</f>
        <v>0</v>
      </c>
      <c r="GQ67" s="28">
        <f>SUMPRODUCT(INDEX(PortfolioRef[[SPY]:[PE]],MATCH(GQ$1,PortfolioRef[Reference '#]),0),AssetMonthlyReturns[[#This Row],[SPY]:[PE]])</f>
        <v>1.8142789589773702E-2</v>
      </c>
      <c r="GR67" s="27">
        <f>IF(ISNUMBER(GR66),GR66*(1+PortfolioFrontier[[#This Row],[P50 Return]]),1+PortfolioFrontier[[#This Row],[P50 Return]])</f>
        <v>1.6797253624339743</v>
      </c>
      <c r="GS67" s="27">
        <f>MAX(GS66,PortfolioFrontier[[#This Row],[P50 Growth]])</f>
        <v>1.6797253624339743</v>
      </c>
      <c r="GT67" s="27">
        <f>PortfolioFrontier[[#This Row],[P50 Growth]]/PortfolioFrontier[[#This Row],[P50 HWM]]-1</f>
        <v>0</v>
      </c>
      <c r="GU67" s="28">
        <f>SUMPRODUCT(INDEX(PortfolioRef[[SPY]:[PE]],MATCH(GU$1,PortfolioRef[Reference '#]),0),AssetMonthlyReturns[[#This Row],[SPY]:[PE]])</f>
        <v>1.8369080615893717E-2</v>
      </c>
      <c r="GV67" s="27">
        <f>IF(ISNUMBER(GV66),GV66*(1+PortfolioFrontier[[#This Row],[P51 Return]]),1+PortfolioFrontier[[#This Row],[P51 Return]])</f>
        <v>1.6496849132092755</v>
      </c>
      <c r="GW67" s="27">
        <f>MAX(GW66,PortfolioFrontier[[#This Row],[P51 Growth]])</f>
        <v>1.6496849132092755</v>
      </c>
      <c r="GX67" s="27">
        <f>PortfolioFrontier[[#This Row],[P51 Growth]]/PortfolioFrontier[[#This Row],[P51 HWM]]-1</f>
        <v>0</v>
      </c>
      <c r="GY67" s="28">
        <f>SUMPRODUCT(INDEX(PortfolioRef[[SPY]:[PE]],MATCH(GY$1,PortfolioRef[Reference '#]),0),AssetMonthlyReturns[[#This Row],[SPY]:[PE]])</f>
        <v>1.6866929152212658E-2</v>
      </c>
      <c r="GZ67" s="27">
        <f>IF(ISNUMBER(GZ66),GZ66*(1+PortfolioFrontier[[#This Row],[P52 Return]]),1+PortfolioFrontier[[#This Row],[P52 Return]])</f>
        <v>1.7105627329912581</v>
      </c>
      <c r="HA67" s="27">
        <f>MAX(HA66,PortfolioFrontier[[#This Row],[P52 Growth]])</f>
        <v>1.7105627329912581</v>
      </c>
      <c r="HB67" s="27">
        <f>PortfolioFrontier[[#This Row],[P52 Growth]]/PortfolioFrontier[[#This Row],[P52 HWM]]-1</f>
        <v>0</v>
      </c>
      <c r="HC67" s="28">
        <f>SUMPRODUCT(INDEX(PortfolioRef[[SPY]:[PE]],MATCH(HC$1,PortfolioRef[Reference '#]),0),AssetMonthlyReturns[[#This Row],[SPY]:[PE]])</f>
        <v>1.7093220178332674E-2</v>
      </c>
      <c r="HD67" s="27">
        <f>IF(ISNUMBER(HD66),HD66*(1+PortfolioFrontier[[#This Row],[P53 Return]]),1+PortfolioFrontier[[#This Row],[P53 Return]])</f>
        <v>1.680165882302038</v>
      </c>
      <c r="HE67" s="27">
        <f>MAX(HE66,PortfolioFrontier[[#This Row],[P53 Growth]])</f>
        <v>1.680165882302038</v>
      </c>
      <c r="HF67" s="27">
        <f>PortfolioFrontier[[#This Row],[P53 Growth]]/PortfolioFrontier[[#This Row],[P53 HWM]]-1</f>
        <v>0</v>
      </c>
      <c r="HG67" s="28">
        <f>SUMPRODUCT(INDEX(PortfolioRef[[SPY]:[PE]],MATCH(HG$1,PortfolioRef[Reference '#]),0),AssetMonthlyReturns[[#This Row],[SPY]:[PE]])</f>
        <v>1.7319511204452694E-2</v>
      </c>
      <c r="HH67" s="27">
        <f>IF(ISNUMBER(HH66),HH66*(1+PortfolioFrontier[[#This Row],[P54 Return]]),1+PortfolioFrontier[[#This Row],[P54 Return]])</f>
        <v>1.6496592192205026</v>
      </c>
      <c r="HI67" s="27">
        <f>MAX(HI66,PortfolioFrontier[[#This Row],[P54 Growth]])</f>
        <v>1.6496592192205026</v>
      </c>
      <c r="HJ67" s="27">
        <f>PortfolioFrontier[[#This Row],[P54 Growth]]/PortfolioFrontier[[#This Row],[P54 HWM]]-1</f>
        <v>0</v>
      </c>
      <c r="HK67" s="28">
        <f>SUMPRODUCT(INDEX(PortfolioRef[[SPY]:[PE]],MATCH(HK$1,PortfolioRef[Reference '#]),0),AssetMonthlyReturns[[#This Row],[SPY]:[PE]])</f>
        <v>1.7982448287789228E-2</v>
      </c>
      <c r="HL67" s="27">
        <f>IF(ISNUMBER(HL66),HL66*(1+PortfolioFrontier[[#This Row],[P55 Return]]),1+PortfolioFrontier[[#This Row],[P55 Return]])</f>
        <v>1.7241042220953844</v>
      </c>
      <c r="HM67" s="27">
        <f>MAX(HM66,PortfolioFrontier[[#This Row],[P55 Growth]])</f>
        <v>1.7241042220953844</v>
      </c>
      <c r="HN67" s="27">
        <f>PortfolioFrontier[[#This Row],[P55 Growth]]/PortfolioFrontier[[#This Row],[P55 HWM]]-1</f>
        <v>0</v>
      </c>
      <c r="HO67" s="28">
        <f>SUMPRODUCT(INDEX(PortfolioRef[[SPY]:[PE]],MATCH(HO$1,PortfolioRef[Reference '#]),0),AssetMonthlyReturns[[#This Row],[SPY]:[PE]])</f>
        <v>1.8208739313909244E-2</v>
      </c>
      <c r="HP67" s="27">
        <f>IF(ISNUMBER(HP66),HP66*(1+PortfolioFrontier[[#This Row],[P56 Return]]),1+PortfolioFrontier[[#This Row],[P56 Return]])</f>
        <v>1.6939849866772063</v>
      </c>
      <c r="HQ67" s="27">
        <f>MAX(HQ66,PortfolioFrontier[[#This Row],[P56 Growth]])</f>
        <v>1.6939849866772063</v>
      </c>
      <c r="HR67" s="27">
        <f>PortfolioFrontier[[#This Row],[P56 Growth]]/PortfolioFrontier[[#This Row],[P56 HWM]]-1</f>
        <v>0</v>
      </c>
      <c r="HS67" s="28">
        <f>SUMPRODUCT(INDEX(PortfolioRef[[SPY]:[PE]],MATCH(HS$1,PortfolioRef[Reference '#]),0),AssetMonthlyReturns[[#This Row],[SPY]:[PE]])</f>
        <v>1.843503034002926E-2</v>
      </c>
      <c r="HT67" s="27">
        <f>IF(ISNUMBER(HT66),HT66*(1+PortfolioFrontier[[#This Row],[P57 Return]]),1+PortfolioFrontier[[#This Row],[P57 Return]])</f>
        <v>1.6637324737376908</v>
      </c>
      <c r="HU67" s="27">
        <f>MAX(HU66,PortfolioFrontier[[#This Row],[P57 Growth]])</f>
        <v>1.6637324737376908</v>
      </c>
      <c r="HV67" s="27">
        <f>PortfolioFrontier[[#This Row],[P57 Growth]]/PortfolioFrontier[[#This Row],[P57 HWM]]-1</f>
        <v>0</v>
      </c>
      <c r="HW67" s="28">
        <f>SUMPRODUCT(INDEX(PortfolioRef[[SPY]:[PE]],MATCH(HW$1,PortfolioRef[Reference '#]),0),AssetMonthlyReturns[[#This Row],[SPY]:[PE]])</f>
        <v>1.9097967423365798E-2</v>
      </c>
      <c r="HX67" s="27">
        <f>IF(ISNUMBER(HX66),HX66*(1+PortfolioFrontier[[#This Row],[P58 Return]]),1+PortfolioFrontier[[#This Row],[P58 Return]])</f>
        <v>1.7368636888874167</v>
      </c>
      <c r="HY67" s="27">
        <f>MAX(HY66,PortfolioFrontier[[#This Row],[P58 Growth]])</f>
        <v>1.7368636888874167</v>
      </c>
      <c r="HZ67" s="27">
        <f>PortfolioFrontier[[#This Row],[P58 Growth]]/PortfolioFrontier[[#This Row],[P58 HWM]]-1</f>
        <v>0</v>
      </c>
      <c r="IA67" s="28">
        <f>SUMPRODUCT(INDEX(PortfolioRef[[SPY]:[PE]],MATCH(IA$1,PortfolioRef[Reference '#]),0),AssetMonthlyReturns[[#This Row],[SPY]:[PE]])</f>
        <v>1.9324258449485814E-2</v>
      </c>
      <c r="IB67" s="27">
        <f>IF(ISNUMBER(IB66),IB66*(1+PortfolioFrontier[[#This Row],[P59 Return]]),1+PortfolioFrontier[[#This Row],[P59 Return]])</f>
        <v>1.7070477257544032</v>
      </c>
      <c r="IC67" s="27">
        <f>MAX(IC66,PortfolioFrontier[[#This Row],[P59 Growth]])</f>
        <v>1.7070477257544032</v>
      </c>
      <c r="ID67" s="27">
        <f>PortfolioFrontier[[#This Row],[P59 Growth]]/PortfolioFrontier[[#This Row],[P59 HWM]]-1</f>
        <v>0</v>
      </c>
      <c r="IE67" s="28">
        <f>SUMPRODUCT(INDEX(PortfolioRef[[SPY]:[PE]],MATCH(IE$1,PortfolioRef[Reference '#]),0),AssetMonthlyReturns[[#This Row],[SPY]:[PE]])</f>
        <v>1.9550549475605833E-2</v>
      </c>
      <c r="IF67" s="27">
        <f>IF(ISNUMBER(IF66),IF66*(1+PortfolioFrontier[[#This Row],[P60 Return]]),1+PortfolioFrontier[[#This Row],[P60 Return]])</f>
        <v>1.6770747102296202</v>
      </c>
      <c r="IG67" s="27">
        <f>MAX(IG66,PortfolioFrontier[[#This Row],[P60 Growth]])</f>
        <v>1.6770747102296202</v>
      </c>
      <c r="IH67" s="27">
        <f>PortfolioFrontier[[#This Row],[P60 Growth]]/PortfolioFrontier[[#This Row],[P60 HWM]]-1</f>
        <v>0</v>
      </c>
      <c r="II67" s="28">
        <f>SUMPRODUCT(INDEX(PortfolioRef[[SPY]:[PE]],MATCH(II$1,PortfolioRef[Reference '#]),0),AssetMonthlyReturns[[#This Row],[SPY]:[PE]])</f>
        <v>1.2779767016202849E-2</v>
      </c>
      <c r="IJ67" s="27">
        <f>IF(ISNUMBER(IJ66),IJ66*(1+PortfolioFrontier[[#This Row],[P61 Return]]),1+PortfolioFrontier[[#This Row],[P61 Return]])</f>
        <v>1.5699278253957789</v>
      </c>
      <c r="IK67" s="27">
        <f>MAX(IK66,PortfolioFrontier[[#This Row],[P61 Growth]])</f>
        <v>1.5699278253957789</v>
      </c>
      <c r="IL67" s="27">
        <f>PortfolioFrontier[[#This Row],[P61 Growth]]/PortfolioFrontier[[#This Row],[P61 HWM]]-1</f>
        <v>0</v>
      </c>
      <c r="IM67" s="28">
        <f>SUMPRODUCT(INDEX(PortfolioRef[[SPY]:[PE]],MATCH(IM$1,PortfolioRef[Reference '#]),0),AssetMonthlyReturns[[#This Row],[SPY]:[PE]])</f>
        <v>1.2845716740338391E-2</v>
      </c>
      <c r="IN67" s="27">
        <f>IF(ISNUMBER(IN66),IN66*(1+PortfolioFrontier[[#This Row],[P62 Return]]),1+PortfolioFrontier[[#This Row],[P62 Return]])</f>
        <v>1.5832698201299669</v>
      </c>
      <c r="IO67" s="27">
        <f>MAX(IO66,PortfolioFrontier[[#This Row],[P62 Growth]])</f>
        <v>1.5832698201299669</v>
      </c>
      <c r="IP67" s="27">
        <f>PortfolioFrontier[[#This Row],[P62 Growth]]/PortfolioFrontier[[#This Row],[P62 HWM]]-1</f>
        <v>0</v>
      </c>
      <c r="IQ67" s="28">
        <f>SUMPRODUCT(INDEX(PortfolioRef[[SPY]:[PE]],MATCH(IQ$1,PortfolioRef[Reference '#]),0),AssetMonthlyReturns[[#This Row],[SPY]:[PE]])</f>
        <v>1.3961235875914961E-2</v>
      </c>
      <c r="IR67" s="27">
        <f>IF(ISNUMBER(IR66),IR66*(1+PortfolioFrontier[[#This Row],[P63 Return]]),1+PortfolioFrontier[[#This Row],[P63 Return]])</f>
        <v>1.5969284819468439</v>
      </c>
      <c r="IS67" s="27">
        <f>MAX(IS66,PortfolioFrontier[[#This Row],[P63 Growth]])</f>
        <v>1.5969284819468439</v>
      </c>
      <c r="IT67" s="27">
        <f>PortfolioFrontier[[#This Row],[P63 Growth]]/PortfolioFrontier[[#This Row],[P63 HWM]]-1</f>
        <v>0</v>
      </c>
      <c r="IU67" s="28">
        <f>SUMPRODUCT(INDEX(PortfolioRef[[SPY]:[PE]],MATCH(IU$1,PortfolioRef[Reference '#]),0),AssetMonthlyReturns[[#This Row],[SPY]:[PE]])</f>
        <v>1.418752690203498E-2</v>
      </c>
      <c r="IV67" s="27">
        <f>IF(ISNUMBER(IV66),IV66*(1+PortfolioFrontier[[#This Row],[P64 Return]]),1+PortfolioFrontier[[#This Row],[P64 Return]])</f>
        <v>1.567626956123515</v>
      </c>
      <c r="IW67" s="27">
        <f>MAX(IW66,PortfolioFrontier[[#This Row],[P64 Growth]])</f>
        <v>1.567626956123515</v>
      </c>
      <c r="IX67" s="27">
        <f>PortfolioFrontier[[#This Row],[P64 Growth]]/PortfolioFrontier[[#This Row],[P64 HWM]]-1</f>
        <v>0</v>
      </c>
      <c r="IY67" s="28">
        <f>SUMPRODUCT(INDEX(PortfolioRef[[SPY]:[PE]],MATCH(IY$1,PortfolioRef[Reference '#]),0),AssetMonthlyReturns[[#This Row],[SPY]:[PE]])</f>
        <v>1.2911666464473937E-2</v>
      </c>
      <c r="IZ67" s="27">
        <f>IF(ISNUMBER(IZ66),IZ66*(1+PortfolioFrontier[[#This Row],[P65 Return]]),1+PortfolioFrontier[[#This Row],[P65 Return]])</f>
        <v>1.5964164706749695</v>
      </c>
      <c r="JA67" s="27">
        <f>MAX(JA66,PortfolioFrontier[[#This Row],[P65 Growth]])</f>
        <v>1.5964164706749695</v>
      </c>
      <c r="JB67" s="27">
        <f>PortfolioFrontier[[#This Row],[P65 Growth]]/PortfolioFrontier[[#This Row],[P65 HWM]]-1</f>
        <v>0</v>
      </c>
      <c r="JC67" s="28">
        <f>SUMPRODUCT(INDEX(PortfolioRef[[SPY]:[PE]],MATCH(JC$1,PortfolioRef[Reference '#]),0),AssetMonthlyReturns[[#This Row],[SPY]:[PE]])</f>
        <v>1.4027185600050505E-2</v>
      </c>
      <c r="JD67" s="27">
        <f>IF(ISNUMBER(JD66),JD66*(1+PortfolioFrontier[[#This Row],[P66 Return]]),1+PortfolioFrontier[[#This Row],[P66 Return]])</f>
        <v>1.6104847704725285</v>
      </c>
      <c r="JE67" s="27">
        <f>MAX(JE66,PortfolioFrontier[[#This Row],[P66 Growth]])</f>
        <v>1.6104847704725285</v>
      </c>
      <c r="JF67" s="27">
        <f>PortfolioFrontier[[#This Row],[P66 Growth]]/PortfolioFrontier[[#This Row],[P66 HWM]]-1</f>
        <v>0</v>
      </c>
      <c r="JG67" s="28">
        <f>SUMPRODUCT(INDEX(PortfolioRef[[SPY]:[PE]],MATCH(JG$1,PortfolioRef[Reference '#]),0),AssetMonthlyReturns[[#This Row],[SPY]:[PE]])</f>
        <v>1.4253476626170524E-2</v>
      </c>
      <c r="JH67" s="27">
        <f>IF(ISNUMBER(JH66),JH66*(1+PortfolioFrontier[[#This Row],[P67 Return]]),1+PortfolioFrontier[[#This Row],[P67 Return]])</f>
        <v>1.5809756631828444</v>
      </c>
      <c r="JI67" s="27">
        <f>MAX(JI66,PortfolioFrontier[[#This Row],[P67 Growth]])</f>
        <v>1.5809756631828444</v>
      </c>
      <c r="JJ67" s="27">
        <f>PortfolioFrontier[[#This Row],[P67 Growth]]/PortfolioFrontier[[#This Row],[P67 HWM]]-1</f>
        <v>0</v>
      </c>
      <c r="JK67" s="28">
        <f>SUMPRODUCT(INDEX(PortfolioRef[[SPY]:[PE]],MATCH(JK$1,PortfolioRef[Reference '#]),0),AssetMonthlyReturns[[#This Row],[SPY]:[PE]])</f>
        <v>1.5142704735627077E-2</v>
      </c>
      <c r="JL67" s="27">
        <f>IF(ISNUMBER(JL66),JL66*(1+PortfolioFrontier[[#This Row],[P68 Return]]),1+PortfolioFrontier[[#This Row],[P68 Return]])</f>
        <v>1.6238544064733775</v>
      </c>
      <c r="JM67" s="27">
        <f>MAX(JM66,PortfolioFrontier[[#This Row],[P68 Growth]])</f>
        <v>1.6238544064733775</v>
      </c>
      <c r="JN67" s="27">
        <f>PortfolioFrontier[[#This Row],[P68 Growth]]/PortfolioFrontier[[#This Row],[P68 HWM]]-1</f>
        <v>0</v>
      </c>
      <c r="JO67" s="28">
        <f>SUMPRODUCT(INDEX(PortfolioRef[[SPY]:[PE]],MATCH(JO$1,PortfolioRef[Reference '#]),0),AssetMonthlyReturns[[#This Row],[SPY]:[PE]])</f>
        <v>1.5368995761747094E-2</v>
      </c>
      <c r="JP67" s="27">
        <f>IF(ISNUMBER(JP66),JP66*(1+PortfolioFrontier[[#This Row],[P69 Return]]),1+PortfolioFrontier[[#This Row],[P69 Return]])</f>
        <v>1.5945821736921013</v>
      </c>
      <c r="JQ67" s="27">
        <f>MAX(JQ66,PortfolioFrontier[[#This Row],[P69 Growth]])</f>
        <v>1.5945821736921013</v>
      </c>
      <c r="JR67" s="27">
        <f>PortfolioFrontier[[#This Row],[P69 Growth]]/PortfolioFrontier[[#This Row],[P69 HWM]]-1</f>
        <v>0</v>
      </c>
      <c r="JS67" s="28">
        <f>SUMPRODUCT(INDEX(PortfolioRef[[SPY]:[PE]],MATCH(JS$1,PortfolioRef[Reference '#]),0),AssetMonthlyReturns[[#This Row],[SPY]:[PE]])</f>
        <v>1.5595286787867113E-2</v>
      </c>
      <c r="JT67" s="27">
        <f>IF(ISNUMBER(JT66),JT66*(1+PortfolioFrontier[[#This Row],[P70 Return]]),1+PortfolioFrontier[[#This Row],[P70 Return]])</f>
        <v>1.5652221676084515</v>
      </c>
      <c r="JU67" s="27">
        <f>MAX(JU66,PortfolioFrontier[[#This Row],[P70 Growth]])</f>
        <v>1.5652221676084515</v>
      </c>
      <c r="JV67" s="27">
        <f>PortfolioFrontier[[#This Row],[P70 Growth]]/PortfolioFrontier[[#This Row],[P70 HWM]]-1</f>
        <v>0</v>
      </c>
      <c r="JW67" s="28">
        <f>SUMPRODUCT(INDEX(PortfolioRef[[SPY]:[PE]],MATCH(JW$1,PortfolioRef[Reference '#]),0),AssetMonthlyReturns[[#This Row],[SPY]:[PE]])</f>
        <v>1.4093135324186051E-2</v>
      </c>
      <c r="JX67" s="27">
        <f>IF(ISNUMBER(JX66),JX66*(1+PortfolioFrontier[[#This Row],[P71 Return]]),1+PortfolioFrontier[[#This Row],[P71 Return]])</f>
        <v>1.6238426421698506</v>
      </c>
      <c r="JY67" s="27">
        <f>MAX(JY66,PortfolioFrontier[[#This Row],[P71 Growth]])</f>
        <v>1.6238426421698506</v>
      </c>
      <c r="JZ67" s="27">
        <f>PortfolioFrontier[[#This Row],[P71 Growth]]/PortfolioFrontier[[#This Row],[P71 HWM]]-1</f>
        <v>0</v>
      </c>
      <c r="KA67" s="28">
        <f>SUMPRODUCT(INDEX(PortfolioRef[[SPY]:[PE]],MATCH(KA$1,PortfolioRef[Reference '#]),0),AssetMonthlyReturns[[#This Row],[SPY]:[PE]])</f>
        <v>1.431942635030607E-2</v>
      </c>
      <c r="KB67" s="27">
        <f>IF(ISNUMBER(KB66),KB66*(1+PortfolioFrontier[[#This Row],[P72 Return]]),1+PortfolioFrontier[[#This Row],[P72 Return]])</f>
        <v>1.5941298693996084</v>
      </c>
      <c r="KC67" s="27">
        <f>MAX(KC66,PortfolioFrontier[[#This Row],[P72 Growth]])</f>
        <v>1.5941298693996084</v>
      </c>
      <c r="KD67" s="27">
        <f>PortfolioFrontier[[#This Row],[P72 Growth]]/PortfolioFrontier[[#This Row],[P72 HWM]]-1</f>
        <v>0</v>
      </c>
      <c r="KE67" s="28">
        <f>SUMPRODUCT(INDEX(PortfolioRef[[SPY]:[PE]],MATCH(KE$1,PortfolioRef[Reference '#]),0),AssetMonthlyReturns[[#This Row],[SPY]:[PE]])</f>
        <v>1.5208654459762622E-2</v>
      </c>
      <c r="KF67" s="27">
        <f>IF(ISNUMBER(KF66),KF66*(1+PortfolioFrontier[[#This Row],[P73 Return]]),1+PortfolioFrontier[[#This Row],[P73 Return]])</f>
        <v>1.6376240414995724</v>
      </c>
      <c r="KG67" s="27">
        <f>MAX(KG66,PortfolioFrontier[[#This Row],[P73 Growth]])</f>
        <v>1.6376240414995724</v>
      </c>
      <c r="KH67" s="27">
        <f>PortfolioFrontier[[#This Row],[P73 Growth]]/PortfolioFrontier[[#This Row],[P73 HWM]]-1</f>
        <v>0</v>
      </c>
      <c r="KI67" s="28">
        <f>SUMPRODUCT(INDEX(PortfolioRef[[SPY]:[PE]],MATCH(KI$1,PortfolioRef[Reference '#]),0),AssetMonthlyReturns[[#This Row],[SPY]:[PE]])</f>
        <v>1.5434945485882638E-2</v>
      </c>
      <c r="KJ67" s="27">
        <f>IF(ISNUMBER(KJ66),KJ66*(1+PortfolioFrontier[[#This Row],[P74 Return]]),1+PortfolioFrontier[[#This Row],[P74 Return]])</f>
        <v>1.6081452253778759</v>
      </c>
      <c r="KK67" s="27">
        <f>MAX(KK66,PortfolioFrontier[[#This Row],[P74 Growth]])</f>
        <v>1.6081452253778759</v>
      </c>
      <c r="KL67" s="27">
        <f>PortfolioFrontier[[#This Row],[P74 Growth]]/PortfolioFrontier[[#This Row],[P74 HWM]]-1</f>
        <v>0</v>
      </c>
      <c r="KM67" s="28">
        <f>SUMPRODUCT(INDEX(PortfolioRef[[SPY]:[PE]],MATCH(KM$1,PortfolioRef[Reference '#]),0),AssetMonthlyReturns[[#This Row],[SPY]:[PE]])</f>
        <v>1.5661236512002658E-2</v>
      </c>
      <c r="KN67" s="27">
        <f>IF(ISNUMBER(KN66),KN66*(1+PortfolioFrontier[[#This Row],[P75 Return]]),1+PortfolioFrontier[[#This Row],[P75 Return]])</f>
        <v>1.5785766371653884</v>
      </c>
      <c r="KO67" s="27">
        <f>MAX(KO66,PortfolioFrontier[[#This Row],[P75 Growth]])</f>
        <v>1.5785766371653884</v>
      </c>
      <c r="KP67" s="27">
        <f>PortfolioFrontier[[#This Row],[P75 Growth]]/PortfolioFrontier[[#This Row],[P75 HWM]]-1</f>
        <v>0</v>
      </c>
      <c r="KQ67" s="28">
        <f>SUMPRODUCT(INDEX(PortfolioRef[[SPY]:[PE]],MATCH(KQ$1,PortfolioRef[Reference '#]),0),AssetMonthlyReturns[[#This Row],[SPY]:[PE]])</f>
        <v>1.6324173595339192E-2</v>
      </c>
      <c r="KR67" s="27">
        <f>IF(ISNUMBER(KR66),KR66*(1+PortfolioFrontier[[#This Row],[P76 Return]]),1+PortfolioFrontier[[#This Row],[P76 Return]])</f>
        <v>1.6506828277458361</v>
      </c>
      <c r="KS67" s="27">
        <f>MAX(KS66,PortfolioFrontier[[#This Row],[P76 Growth]])</f>
        <v>1.6506828277458361</v>
      </c>
      <c r="KT67" s="27">
        <f>PortfolioFrontier[[#This Row],[P76 Growth]]/PortfolioFrontier[[#This Row],[P76 HWM]]-1</f>
        <v>0</v>
      </c>
      <c r="KU67" s="28">
        <f>SUMPRODUCT(INDEX(PortfolioRef[[SPY]:[PE]],MATCH(KU$1,PortfolioRef[Reference '#]),0),AssetMonthlyReturns[[#This Row],[SPY]:[PE]])</f>
        <v>1.6550464621459211E-2</v>
      </c>
      <c r="KV67" s="27">
        <f>IF(ISNUMBER(KV66),KV66*(1+PortfolioFrontier[[#This Row],[P77 Return]]),1+PortfolioFrontier[[#This Row],[P77 Return]])</f>
        <v>1.6214625343815798</v>
      </c>
      <c r="KW67" s="27">
        <f>MAX(KW66,PortfolioFrontier[[#This Row],[P77 Growth]])</f>
        <v>1.6214625343815798</v>
      </c>
      <c r="KX67" s="27">
        <f>PortfolioFrontier[[#This Row],[P77 Growth]]/PortfolioFrontier[[#This Row],[P77 HWM]]-1</f>
        <v>0</v>
      </c>
      <c r="KY67" s="28">
        <f>SUMPRODUCT(INDEX(PortfolioRef[[SPY]:[PE]],MATCH(KY$1,PortfolioRef[Reference '#]),0),AssetMonthlyReturns[[#This Row],[SPY]:[PE]])</f>
        <v>1.6776755647579227E-2</v>
      </c>
      <c r="KZ67" s="27">
        <f>IF(ISNUMBER(KZ66),KZ66*(1+PortfolioFrontier[[#This Row],[P78 Return]]),1+PortfolioFrontier[[#This Row],[P78 Return]])</f>
        <v>1.5921300935366347</v>
      </c>
      <c r="LA67" s="27">
        <f>MAX(LA66,PortfolioFrontier[[#This Row],[P78 Growth]])</f>
        <v>1.5921300935366347</v>
      </c>
      <c r="LB67" s="27">
        <f>PortfolioFrontier[[#This Row],[P78 Growth]]/PortfolioFrontier[[#This Row],[P78 HWM]]-1</f>
        <v>0</v>
      </c>
      <c r="LC67" s="28">
        <f>SUMPRODUCT(INDEX(PortfolioRef[[SPY]:[PE]],MATCH(LC$1,PortfolioRef[Reference '#]),0),AssetMonthlyReturns[[#This Row],[SPY]:[PE]])</f>
        <v>1.5274604183898168E-2</v>
      </c>
      <c r="LD67" s="27">
        <f>IF(ISNUMBER(LD66),LD66*(1+PortfolioFrontier[[#This Row],[P79 Return]]),1+PortfolioFrontier[[#This Row],[P79 Return]])</f>
        <v>1.6511922034215469</v>
      </c>
      <c r="LE67" s="27">
        <f>MAX(LE66,PortfolioFrontier[[#This Row],[P79 Growth]])</f>
        <v>1.6511922034215469</v>
      </c>
      <c r="LF67" s="27">
        <f>PortfolioFrontier[[#This Row],[P79 Growth]]/PortfolioFrontier[[#This Row],[P79 HWM]]-1</f>
        <v>0</v>
      </c>
      <c r="LG67" s="28">
        <f>SUMPRODUCT(INDEX(PortfolioRef[[SPY]:[PE]],MATCH(LG$1,PortfolioRef[Reference '#]),0),AssetMonthlyReturns[[#This Row],[SPY]:[PE]])</f>
        <v>1.5500895210018184E-2</v>
      </c>
      <c r="LH67" s="27">
        <f>IF(ISNUMBER(LH66),LH66*(1+PortfolioFrontier[[#This Row],[P80 Return]]),1+PortfolioFrontier[[#This Row],[P80 Return]])</f>
        <v>1.621510716983982</v>
      </c>
      <c r="LI67" s="27">
        <f>MAX(LI66,PortfolioFrontier[[#This Row],[P80 Growth]])</f>
        <v>1.621510716983982</v>
      </c>
      <c r="LJ67" s="27">
        <f>PortfolioFrontier[[#This Row],[P80 Growth]]/PortfolioFrontier[[#This Row],[P80 HWM]]-1</f>
        <v>0</v>
      </c>
      <c r="LK67" s="28">
        <f>SUMPRODUCT(INDEX(PortfolioRef[[SPY]:[PE]],MATCH(LK$1,PortfolioRef[Reference '#]),0),AssetMonthlyReturns[[#This Row],[SPY]:[PE]])</f>
        <v>1.5727186236138203E-2</v>
      </c>
      <c r="LL67" s="27">
        <f>IF(ISNUMBER(LL66),LL66*(1+PortfolioFrontier[[#This Row],[P81 Return]]),1+PortfolioFrontier[[#This Row],[P81 Return]])</f>
        <v>1.5917374597826373</v>
      </c>
      <c r="LM67" s="27">
        <f>MAX(LM66,PortfolioFrontier[[#This Row],[P81 Growth]])</f>
        <v>1.5917374597826373</v>
      </c>
      <c r="LN67" s="27">
        <f>PortfolioFrontier[[#This Row],[P81 Growth]]/PortfolioFrontier[[#This Row],[P81 HWM]]-1</f>
        <v>0</v>
      </c>
      <c r="LO67" s="28">
        <f>SUMPRODUCT(INDEX(PortfolioRef[[SPY]:[PE]],MATCH(LO$1,PortfolioRef[Reference '#]),0),AssetMonthlyReturns[[#This Row],[SPY]:[PE]])</f>
        <v>1.6390123319474738E-2</v>
      </c>
      <c r="LP67" s="27">
        <f>IF(ISNUMBER(LP66),LP66*(1+PortfolioFrontier[[#This Row],[P82 Return]]),1+PortfolioFrontier[[#This Row],[P82 Return]])</f>
        <v>1.6646646831763765</v>
      </c>
      <c r="LQ67" s="27">
        <f>MAX(LQ66,PortfolioFrontier[[#This Row],[P82 Growth]])</f>
        <v>1.6646646831763765</v>
      </c>
      <c r="LR67" s="27">
        <f>PortfolioFrontier[[#This Row],[P82 Growth]]/PortfolioFrontier[[#This Row],[P82 HWM]]-1</f>
        <v>0</v>
      </c>
      <c r="LS67" s="28">
        <f>SUMPRODUCT(INDEX(PortfolioRef[[SPY]:[PE]],MATCH(LS$1,PortfolioRef[Reference '#]),0),AssetMonthlyReturns[[#This Row],[SPY]:[PE]])</f>
        <v>1.6616414345594754E-2</v>
      </c>
      <c r="LT67" s="27">
        <f>IF(ISNUMBER(LT66),LT66*(1+PortfolioFrontier[[#This Row],[P83 Return]]),1+PortfolioFrontier[[#This Row],[P83 Return]])</f>
        <v>1.6352389817361288</v>
      </c>
      <c r="LU67" s="27">
        <f>MAX(LU66,PortfolioFrontier[[#This Row],[P83 Growth]])</f>
        <v>1.6352389817361288</v>
      </c>
      <c r="LV67" s="27">
        <f>PortfolioFrontier[[#This Row],[P83 Growth]]/PortfolioFrontier[[#This Row],[P83 HWM]]-1</f>
        <v>0</v>
      </c>
      <c r="LW67" s="28">
        <f>SUMPRODUCT(INDEX(PortfolioRef[[SPY]:[PE]],MATCH(LW$1,PortfolioRef[Reference '#]),0),AssetMonthlyReturns[[#This Row],[SPY]:[PE]])</f>
        <v>1.684270537171477E-2</v>
      </c>
      <c r="LX67" s="27">
        <f>IF(ISNUMBER(LX66),LX66*(1+PortfolioFrontier[[#This Row],[P84 Return]]),1+PortfolioFrontier[[#This Row],[P84 Return]])</f>
        <v>1.6056989424358257</v>
      </c>
      <c r="LY67" s="27">
        <f>MAX(LY66,PortfolioFrontier[[#This Row],[P84 Growth]])</f>
        <v>1.6056989424358257</v>
      </c>
      <c r="LZ67" s="27">
        <f>PortfolioFrontier[[#This Row],[P84 Growth]]/PortfolioFrontier[[#This Row],[P84 HWM]]-1</f>
        <v>0</v>
      </c>
      <c r="MA67" s="28">
        <f>SUMPRODUCT(INDEX(PortfolioRef[[SPY]:[PE]],MATCH(MA$1,PortfolioRef[Reference '#]),0),AssetMonthlyReturns[[#This Row],[SPY]:[PE]])</f>
        <v>1.7505642455051307E-2</v>
      </c>
      <c r="MB67" s="27">
        <f>IF(ISNUMBER(MB66),MB66*(1+PortfolioFrontier[[#This Row],[P85 Return]]),1+PortfolioFrontier[[#This Row],[P85 Return]])</f>
        <v>1.6773903594852329</v>
      </c>
      <c r="MC67" s="27">
        <f>MAX(MC66,PortfolioFrontier[[#This Row],[P85 Growth]])</f>
        <v>1.6773903594852329</v>
      </c>
      <c r="MD67" s="27">
        <f>PortfolioFrontier[[#This Row],[P85 Growth]]/PortfolioFrontier[[#This Row],[P85 HWM]]-1</f>
        <v>0</v>
      </c>
      <c r="ME67" s="28">
        <f>SUMPRODUCT(INDEX(PortfolioRef[[SPY]:[PE]],MATCH(ME$1,PortfolioRef[Reference '#]),0),AssetMonthlyReturns[[#This Row],[SPY]:[PE]])</f>
        <v>1.7731933481171323E-2</v>
      </c>
      <c r="MF67" s="27">
        <f>IF(ISNUMBER(MF66),MF66*(1+PortfolioFrontier[[#This Row],[P86 Return]]),1+PortfolioFrontier[[#This Row],[P86 Return]])</f>
        <v>1.6482453066798126</v>
      </c>
      <c r="MG67" s="27">
        <f>MAX(MG66,PortfolioFrontier[[#This Row],[P86 Growth]])</f>
        <v>1.6482453066798126</v>
      </c>
      <c r="MH67" s="27">
        <f>PortfolioFrontier[[#This Row],[P86 Growth]]/PortfolioFrontier[[#This Row],[P86 HWM]]-1</f>
        <v>0</v>
      </c>
      <c r="MI67" s="28">
        <f>SUMPRODUCT(INDEX(PortfolioRef[[SPY]:[PE]],MATCH(MI$1,PortfolioRef[Reference '#]),0),AssetMonthlyReturns[[#This Row],[SPY]:[PE]])</f>
        <v>1.7958224507291343E-2</v>
      </c>
      <c r="MJ67" s="27">
        <f>IF(ISNUMBER(MJ66),MJ66*(1+PortfolioFrontier[[#This Row],[P87 Return]]),1+PortfolioFrontier[[#This Row],[P87 Return]])</f>
        <v>1.6189630363125607</v>
      </c>
      <c r="MK67" s="27">
        <f>MAX(MK66,PortfolioFrontier[[#This Row],[P87 Growth]])</f>
        <v>1.6189630363125607</v>
      </c>
      <c r="ML67" s="27">
        <f>PortfolioFrontier[[#This Row],[P87 Growth]]/PortfolioFrontier[[#This Row],[P87 HWM]]-1</f>
        <v>0</v>
      </c>
      <c r="MM67" s="28">
        <f>SUMPRODUCT(INDEX(PortfolioRef[[SPY]:[PE]],MATCH(MM$1,PortfolioRef[Reference '#]),0),AssetMonthlyReturns[[#This Row],[SPY]:[PE]])</f>
        <v>1.6456073043610284E-2</v>
      </c>
      <c r="MN67" s="27">
        <f>IF(ISNUMBER(MN66),MN66*(1+PortfolioFrontier[[#This Row],[P88 Return]]),1+PortfolioFrontier[[#This Row],[P88 Return]])</f>
        <v>1.6784420283021968</v>
      </c>
      <c r="MO67" s="27">
        <f>MAX(MO66,PortfolioFrontier[[#This Row],[P88 Growth]])</f>
        <v>1.6784420283021968</v>
      </c>
      <c r="MP67" s="27">
        <f>PortfolioFrontier[[#This Row],[P88 Growth]]/PortfolioFrontier[[#This Row],[P88 HWM]]-1</f>
        <v>0</v>
      </c>
      <c r="MQ67" s="28">
        <f>SUMPRODUCT(INDEX(PortfolioRef[[SPY]:[PE]],MATCH(MQ$1,PortfolioRef[Reference '#]),0),AssetMonthlyReturns[[#This Row],[SPY]:[PE]])</f>
        <v>1.66823640697303E-2</v>
      </c>
      <c r="MR67" s="27">
        <f>IF(ISNUMBER(MR66),MR66*(1+PortfolioFrontier[[#This Row],[P89 Return]]),1+PortfolioFrontier[[#This Row],[P89 Return]])</f>
        <v>1.6488148260854638</v>
      </c>
      <c r="MS67" s="27">
        <f>MAX(MS66,PortfolioFrontier[[#This Row],[P89 Growth]])</f>
        <v>1.6488148260854638</v>
      </c>
      <c r="MT67" s="27">
        <f>PortfolioFrontier[[#This Row],[P89 Growth]]/PortfolioFrontier[[#This Row],[P89 HWM]]-1</f>
        <v>0</v>
      </c>
      <c r="MU67" s="28">
        <f>SUMPRODUCT(INDEX(PortfolioRef[[SPY]:[PE]],MATCH(MU$1,PortfolioRef[Reference '#]),0),AssetMonthlyReturns[[#This Row],[SPY]:[PE]])</f>
        <v>1.6908655095850315E-2</v>
      </c>
      <c r="MV67" s="27">
        <f>IF(ISNUMBER(MV66),MV66*(1+PortfolioFrontier[[#This Row],[P90 Return]]),1+PortfolioFrontier[[#This Row],[P90 Return]])</f>
        <v>1.6190710987277583</v>
      </c>
      <c r="MW67" s="27">
        <f>MAX(MW66,PortfolioFrontier[[#This Row],[P90 Growth]])</f>
        <v>1.6190710987277583</v>
      </c>
      <c r="MX67" s="27">
        <f>PortfolioFrontier[[#This Row],[P90 Growth]]/PortfolioFrontier[[#This Row],[P90 HWM]]-1</f>
        <v>0</v>
      </c>
      <c r="MY67" s="28">
        <f>SUMPRODUCT(INDEX(PortfolioRef[[SPY]:[PE]],MATCH(MY$1,PortfolioRef[Reference '#]),0),AssetMonthlyReturns[[#This Row],[SPY]:[PE]])</f>
        <v>1.757159217918685E-2</v>
      </c>
      <c r="MZ67" s="27">
        <f>IF(ISNUMBER(MZ66),MZ66*(1+PortfolioFrontier[[#This Row],[P91 Return]]),1+PortfolioFrontier[[#This Row],[P91 Return]])</f>
        <v>1.6915831262803009</v>
      </c>
      <c r="NA67" s="27">
        <f>MAX(NA66,PortfolioFrontier[[#This Row],[P91 Growth]])</f>
        <v>1.6915831262803009</v>
      </c>
      <c r="NB67" s="27">
        <f>PortfolioFrontier[[#This Row],[P91 Growth]]/PortfolioFrontier[[#This Row],[P91 HWM]]-1</f>
        <v>0</v>
      </c>
      <c r="NC67" s="28">
        <f>SUMPRODUCT(INDEX(PortfolioRef[[SPY]:[PE]],MATCH(NC$1,PortfolioRef[Reference '#]),0),AssetMonthlyReturns[[#This Row],[SPY]:[PE]])</f>
        <v>1.7797883205306869E-2</v>
      </c>
      <c r="ND67" s="27">
        <f>IF(ISNUMBER(ND66),ND66*(1+PortfolioFrontier[[#This Row],[P92 Return]]),1+PortfolioFrontier[[#This Row],[P92 Return]])</f>
        <v>1.6622340219500074</v>
      </c>
      <c r="NE67" s="27">
        <f>MAX(NE66,PortfolioFrontier[[#This Row],[P92 Growth]])</f>
        <v>1.6622340219500074</v>
      </c>
      <c r="NF67" s="27">
        <f>PortfolioFrontier[[#This Row],[P92 Growth]]/PortfolioFrontier[[#This Row],[P92 HWM]]-1</f>
        <v>0</v>
      </c>
      <c r="NG67" s="28">
        <f>SUMPRODUCT(INDEX(PortfolioRef[[SPY]:[PE]],MATCH(NG$1,PortfolioRef[Reference '#]),0),AssetMonthlyReturns[[#This Row],[SPY]:[PE]])</f>
        <v>1.8024174231426889E-2</v>
      </c>
      <c r="NH67" s="27">
        <f>IF(ISNUMBER(NH66),NH66*(1+PortfolioFrontier[[#This Row],[P93 Return]]),1+PortfolioFrontier[[#This Row],[P93 Return]])</f>
        <v>1.6327453139366024</v>
      </c>
      <c r="NI67" s="27">
        <f>MAX(NI66,PortfolioFrontier[[#This Row],[P93 Growth]])</f>
        <v>1.6327453139366024</v>
      </c>
      <c r="NJ67" s="27">
        <f>PortfolioFrontier[[#This Row],[P93 Growth]]/PortfolioFrontier[[#This Row],[P93 HWM]]-1</f>
        <v>0</v>
      </c>
      <c r="NK67" s="28">
        <f>SUMPRODUCT(INDEX(PortfolioRef[[SPY]:[PE]],MATCH(NK$1,PortfolioRef[Reference '#]),0),AssetMonthlyReturns[[#This Row],[SPY]:[PE]])</f>
        <v>1.8687111314763423E-2</v>
      </c>
      <c r="NL67" s="27">
        <f>IF(ISNUMBER(NL66),NL66*(1+PortfolioFrontier[[#This Row],[P94 Return]]),1+PortfolioFrontier[[#This Row],[P94 Return]])</f>
        <v>1.7039530072361408</v>
      </c>
      <c r="NM67" s="27">
        <f>MAX(NM66,PortfolioFrontier[[#This Row],[P94 Growth]])</f>
        <v>1.7039530072361408</v>
      </c>
      <c r="NN67" s="27">
        <f>PortfolioFrontier[[#This Row],[P94 Growth]]/PortfolioFrontier[[#This Row],[P94 HWM]]-1</f>
        <v>0</v>
      </c>
      <c r="NO67" s="28">
        <f>SUMPRODUCT(INDEX(PortfolioRef[[SPY]:[PE]],MATCH(NO$1,PortfolioRef[Reference '#]),0),AssetMonthlyReturns[[#This Row],[SPY]:[PE]])</f>
        <v>1.8913402340883439E-2</v>
      </c>
      <c r="NP67" s="27">
        <f>IF(ISNUMBER(NP66),NP66*(1+PortfolioFrontier[[#This Row],[P95 Return]]),1+PortfolioFrontier[[#This Row],[P95 Return]])</f>
        <v>1.6749071460943512</v>
      </c>
      <c r="NQ67" s="27">
        <f>MAX(NQ66,PortfolioFrontier[[#This Row],[P95 Growth]])</f>
        <v>1.6749071460943512</v>
      </c>
      <c r="NR67" s="27">
        <f>PortfolioFrontier[[#This Row],[P95 Growth]]/PortfolioFrontier[[#This Row],[P95 HWM]]-1</f>
        <v>0</v>
      </c>
      <c r="NS67" s="28">
        <f>SUMPRODUCT(INDEX(PortfolioRef[[SPY]:[PE]],MATCH(NS$1,PortfolioRef[Reference '#]),0),AssetMonthlyReturns[[#This Row],[SPY]:[PE]])</f>
        <v>1.9139693367003458E-2</v>
      </c>
      <c r="NT67" s="27">
        <f>IF(ISNUMBER(NT66),NT66*(1+PortfolioFrontier[[#This Row],[P96 Return]]),1+PortfolioFrontier[[#This Row],[P96 Return]])</f>
        <v>1.6456983053503089</v>
      </c>
      <c r="NU67" s="27">
        <f>MAX(NU66,PortfolioFrontier[[#This Row],[P96 Growth]])</f>
        <v>1.6456983053503089</v>
      </c>
      <c r="NV67" s="27">
        <f>PortfolioFrontier[[#This Row],[P96 Growth]]/PortfolioFrontier[[#This Row],[P96 HWM]]-1</f>
        <v>0</v>
      </c>
      <c r="NW67" s="28">
        <f>SUMPRODUCT(INDEX(PortfolioRef[[SPY]:[PE]],MATCH(NW$1,PortfolioRef[Reference '#]),0),AssetMonthlyReturns[[#This Row],[SPY]:[PE]])</f>
        <v>1.1187442047888359E-2</v>
      </c>
      <c r="NX67" s="27">
        <f>IF(ISNUMBER(NX66),NX66*(1+PortfolioFrontier[[#This Row],[P97 Return]]),1+PortfolioFrontier[[#This Row],[P97 Return]])</f>
        <v>1.5141821537663969</v>
      </c>
      <c r="NY67" s="27">
        <f>MAX(NY66,PortfolioFrontier[[#This Row],[P97 Growth]])</f>
        <v>1.5141821537663969</v>
      </c>
      <c r="NZ67" s="27">
        <f>PortfolioFrontier[[#This Row],[P97 Growth]]/PortfolioFrontier[[#This Row],[P97 HWM]]-1</f>
        <v>0</v>
      </c>
      <c r="OA67" s="28">
        <f>SUMPRODUCT(INDEX(PortfolioRef[[SPY]:[PE]],MATCH(OA$1,PortfolioRef[Reference '#]),0),AssetMonthlyReturns[[#This Row],[SPY]:[PE]])</f>
        <v>1.1253391772023901E-2</v>
      </c>
      <c r="OB67" s="27">
        <f>IF(ISNUMBER(OB66),OB66*(1+PortfolioFrontier[[#This Row],[P98 Return]]),1+PortfolioFrontier[[#This Row],[P98 Return]])</f>
        <v>1.5270616815047151</v>
      </c>
      <c r="OC67" s="27">
        <f>MAX(OC66,PortfolioFrontier[[#This Row],[P98 Growth]])</f>
        <v>1.5270616815047151</v>
      </c>
      <c r="OD67" s="27">
        <f>PortfolioFrontier[[#This Row],[P98 Growth]]/PortfolioFrontier[[#This Row],[P98 HWM]]-1</f>
        <v>0</v>
      </c>
      <c r="OE67" s="28">
        <f>SUMPRODUCT(INDEX(PortfolioRef[[SPY]:[PE]],MATCH(OE$1,PortfolioRef[Reference '#]),0),AssetMonthlyReturns[[#This Row],[SPY]:[PE]])</f>
        <v>1.2368910907600473E-2</v>
      </c>
      <c r="OF67" s="27">
        <f>IF(ISNUMBER(OF66),OF66*(1+PortfolioFrontier[[#This Row],[P99 Return]]),1+PortfolioFrontier[[#This Row],[P99 Return]])</f>
        <v>1.5405997851996085</v>
      </c>
      <c r="OG67" s="27">
        <f>MAX(OG66,PortfolioFrontier[[#This Row],[P99 Growth]])</f>
        <v>1.5405997851996085</v>
      </c>
      <c r="OH67" s="27">
        <f>PortfolioFrontier[[#This Row],[P99 Growth]]/PortfolioFrontier[[#This Row],[P99 HWM]]-1</f>
        <v>0</v>
      </c>
      <c r="OI67" s="28">
        <f>SUMPRODUCT(INDEX(PortfolioRef[[SPY]:[PE]],MATCH(OI$1,PortfolioRef[Reference '#]),0),AssetMonthlyReturns[[#This Row],[SPY]:[PE]])</f>
        <v>1.259520193372049E-2</v>
      </c>
      <c r="OJ67" s="27">
        <f>IF(ISNUMBER(OJ66),OJ66*(1+PortfolioFrontier[[#This Row],[P100 Return]]),1+PortfolioFrontier[[#This Row],[P100 Return]])</f>
        <v>1.5120177144250579</v>
      </c>
      <c r="OK67" s="27">
        <f>MAX(OK66,PortfolioFrontier[[#This Row],[P100 Growth]])</f>
        <v>1.5120177144250579</v>
      </c>
      <c r="OL67" s="27">
        <f>PortfolioFrontier[[#This Row],[P100 Growth]]/PortfolioFrontier[[#This Row],[P100 HWM]]-1</f>
        <v>0</v>
      </c>
      <c r="OM67" s="28">
        <f>SUMPRODUCT(INDEX(PortfolioRef[[SPY]:[PE]],MATCH(OM$1,PortfolioRef[Reference '#]),0),AssetMonthlyReturns[[#This Row],[SPY]:[PE]])</f>
        <v>1.1319341496159447E-2</v>
      </c>
      <c r="ON67" s="27">
        <f>IF(ISNUMBER(ON66),ON66*(1+PortfolioFrontier[[#This Row],[P101 Return]]),1+PortfolioFrontier[[#This Row],[P101 Return]])</f>
        <v>1.539752271084361</v>
      </c>
      <c r="OO67" s="27">
        <f>MAX(OO66,PortfolioFrontier[[#This Row],[P101 Growth]])</f>
        <v>1.539752271084361</v>
      </c>
      <c r="OP67" s="27">
        <f>PortfolioFrontier[[#This Row],[P101 Growth]]/PortfolioFrontier[[#This Row],[P101 HWM]]-1</f>
        <v>0</v>
      </c>
      <c r="OQ67" s="28">
        <f>SUMPRODUCT(INDEX(PortfolioRef[[SPY]:[PE]],MATCH(OQ$1,PortfolioRef[Reference '#]),0),AssetMonthlyReturns[[#This Row],[SPY]:[PE]])</f>
        <v>1.2434860631736017E-2</v>
      </c>
      <c r="OR67" s="27">
        <f>IF(ISNUMBER(OR66),OR66*(1+PortfolioFrontier[[#This Row],[P102 Return]]),1+PortfolioFrontier[[#This Row],[P102 Return]])</f>
        <v>1.5536892521784635</v>
      </c>
      <c r="OS67" s="27">
        <f>MAX(OS66,PortfolioFrontier[[#This Row],[P102 Growth]])</f>
        <v>1.5536892521784635</v>
      </c>
      <c r="OT67" s="27">
        <f>PortfolioFrontier[[#This Row],[P102 Growth]]/PortfolioFrontier[[#This Row],[P102 HWM]]-1</f>
        <v>0</v>
      </c>
      <c r="OU67" s="28">
        <f>SUMPRODUCT(INDEX(PortfolioRef[[SPY]:[PE]],MATCH(OU$1,PortfolioRef[Reference '#]),0),AssetMonthlyReturns[[#This Row],[SPY]:[PE]])</f>
        <v>1.2661151657856034E-2</v>
      </c>
      <c r="OV67" s="27">
        <f>IF(ISNUMBER(OV66),OV66*(1+PortfolioFrontier[[#This Row],[P103 Return]]),1+PortfolioFrontier[[#This Row],[P103 Return]])</f>
        <v>1.5249041871151803</v>
      </c>
      <c r="OW67" s="27">
        <f>MAX(OW66,PortfolioFrontier[[#This Row],[P103 Growth]])</f>
        <v>1.5249041871151803</v>
      </c>
      <c r="OX67" s="27">
        <f>PortfolioFrontier[[#This Row],[P103 Growth]]/PortfolioFrontier[[#This Row],[P103 HWM]]-1</f>
        <v>0</v>
      </c>
      <c r="OY67" s="28">
        <f>SUMPRODUCT(INDEX(PortfolioRef[[SPY]:[PE]],MATCH(OY$1,PortfolioRef[Reference '#]),0),AssetMonthlyReturns[[#This Row],[SPY]:[PE]])</f>
        <v>1.3550379767312588E-2</v>
      </c>
      <c r="OZ67" s="27">
        <f>IF(ISNUMBER(OZ66),OZ66*(1+PortfolioFrontier[[#This Row],[P104 Return]]),1+PortfolioFrontier[[#This Row],[P104 Return]])</f>
        <v>1.5669601579157324</v>
      </c>
      <c r="PA67" s="27">
        <f>MAX(PA66,PortfolioFrontier[[#This Row],[P104 Growth]])</f>
        <v>1.5669601579157324</v>
      </c>
      <c r="PB67" s="27">
        <f>PortfolioFrontier[[#This Row],[P104 Growth]]/PortfolioFrontier[[#This Row],[P104 HWM]]-1</f>
        <v>0</v>
      </c>
      <c r="PC67" s="28">
        <f>SUMPRODUCT(INDEX(PortfolioRef[[SPY]:[PE]],MATCH(PC$1,PortfolioRef[Reference '#]),0),AssetMonthlyReturns[[#This Row],[SPY]:[PE]])</f>
        <v>1.3776670793432606E-2</v>
      </c>
      <c r="PD67" s="27">
        <f>IF(ISNUMBER(PD66),PD66*(1+PortfolioFrontier[[#This Row],[P105 Return]]),1+PortfolioFrontier[[#This Row],[P105 Return]])</f>
        <v>1.5383920892957785</v>
      </c>
      <c r="PE67" s="27">
        <f>MAX(PE66,PortfolioFrontier[[#This Row],[P105 Growth]])</f>
        <v>1.5383920892957785</v>
      </c>
      <c r="PF67" s="27">
        <f>PortfolioFrontier[[#This Row],[P105 Growth]]/PortfolioFrontier[[#This Row],[P105 HWM]]-1</f>
        <v>0</v>
      </c>
      <c r="PG67" s="28">
        <f>SUMPRODUCT(INDEX(PortfolioRef[[SPY]:[PE]],MATCH(PG$1,PortfolioRef[Reference '#]),0),AssetMonthlyReturns[[#This Row],[SPY]:[PE]])</f>
        <v>1.4002961819552623E-2</v>
      </c>
      <c r="PH67" s="27">
        <f>IF(ISNUMBER(PH66),PH66*(1+PortfolioFrontier[[#This Row],[P106 Return]]),1+PortfolioFrontier[[#This Row],[P106 Return]])</f>
        <v>1.5097528826329911</v>
      </c>
      <c r="PI67" s="27">
        <f>MAX(PI66,PortfolioFrontier[[#This Row],[P106 Growth]])</f>
        <v>1.5097528826329911</v>
      </c>
      <c r="PJ67" s="27">
        <f>PortfolioFrontier[[#This Row],[P106 Growth]]/PortfolioFrontier[[#This Row],[P106 HWM]]-1</f>
        <v>0</v>
      </c>
      <c r="PK67" s="28">
        <f>SUMPRODUCT(INDEX(PortfolioRef[[SPY]:[PE]],MATCH(PK$1,PortfolioRef[Reference '#]),0),AssetMonthlyReturns[[#This Row],[SPY]:[PE]])</f>
        <v>1.2500810355871561E-2</v>
      </c>
      <c r="PL67" s="27">
        <f>IF(ISNUMBER(PL66),PL66*(1+PortfolioFrontier[[#This Row],[P107 Return]]),1+PortfolioFrontier[[#This Row],[P107 Return]])</f>
        <v>1.5665867646808023</v>
      </c>
      <c r="PM67" s="27">
        <f>MAX(PM66,PortfolioFrontier[[#This Row],[P107 Growth]])</f>
        <v>1.5665867646808023</v>
      </c>
      <c r="PN67" s="27">
        <f>PortfolioFrontier[[#This Row],[P107 Growth]]/PortfolioFrontier[[#This Row],[P107 HWM]]-1</f>
        <v>0</v>
      </c>
      <c r="PO67" s="28">
        <f>SUMPRODUCT(INDEX(PortfolioRef[[SPY]:[PE]],MATCH(PO$1,PortfolioRef[Reference '#]),0),AssetMonthlyReturns[[#This Row],[SPY]:[PE]])</f>
        <v>1.2727101381991578E-2</v>
      </c>
      <c r="PP67" s="27">
        <f>IF(ISNUMBER(PP66),PP66*(1+PortfolioFrontier[[#This Row],[P108 Return]]),1+PortfolioFrontier[[#This Row],[P108 Return]])</f>
        <v>1.5376025311746664</v>
      </c>
      <c r="PQ67" s="27">
        <f>MAX(PQ66,PortfolioFrontier[[#This Row],[P108 Growth]])</f>
        <v>1.5376025311746664</v>
      </c>
      <c r="PR67" s="27">
        <f>PortfolioFrontier[[#This Row],[P108 Growth]]/PortfolioFrontier[[#This Row],[P108 HWM]]-1</f>
        <v>0</v>
      </c>
      <c r="PS67" s="28">
        <f>SUMPRODUCT(INDEX(PortfolioRef[[SPY]:[PE]],MATCH(PS$1,PortfolioRef[Reference '#]),0),AssetMonthlyReturns[[#This Row],[SPY]:[PE]])</f>
        <v>1.3616329491448132E-2</v>
      </c>
      <c r="PT67" s="27">
        <f>IF(ISNUMBER(PT66),PT66*(1+PortfolioFrontier[[#This Row],[P109 Return]]),1+PortfolioFrontier[[#This Row],[P109 Return]])</f>
        <v>1.5802587621900483</v>
      </c>
      <c r="PU67" s="27">
        <f>MAX(PU66,PortfolioFrontier[[#This Row],[P109 Growth]])</f>
        <v>1.5802587621900483</v>
      </c>
      <c r="PV67" s="27">
        <f>PortfolioFrontier[[#This Row],[P109 Growth]]/PortfolioFrontier[[#This Row],[P109 HWM]]-1</f>
        <v>0</v>
      </c>
      <c r="PW67" s="28">
        <f>SUMPRODUCT(INDEX(PortfolioRef[[SPY]:[PE]],MATCH(PW$1,PortfolioRef[Reference '#]),0),AssetMonthlyReturns[[#This Row],[SPY]:[PE]])</f>
        <v>1.3842620517568148E-2</v>
      </c>
      <c r="PX67" s="27">
        <f>IF(ISNUMBER(PX66),PX66*(1+PortfolioFrontier[[#This Row],[P110 Return]]),1+PortfolioFrontier[[#This Row],[P110 Return]])</f>
        <v>1.5514885601048793</v>
      </c>
      <c r="PY67" s="27">
        <f>MAX(PY66,PortfolioFrontier[[#This Row],[P110 Growth]])</f>
        <v>1.5514885601048793</v>
      </c>
      <c r="PZ67" s="27">
        <f>PortfolioFrontier[[#This Row],[P110 Growth]]/PortfolioFrontier[[#This Row],[P110 HWM]]-1</f>
        <v>0</v>
      </c>
      <c r="QA67" s="28">
        <f>SUMPRODUCT(INDEX(PortfolioRef[[SPY]:[PE]],MATCH(QA$1,PortfolioRef[Reference '#]),0),AssetMonthlyReturns[[#This Row],[SPY]:[PE]])</f>
        <v>1.4068911543688167E-2</v>
      </c>
      <c r="QB67" s="27">
        <f>IF(ISNUMBER(QB66),QB66*(1+PortfolioFrontier[[#This Row],[P111 Return]]),1+PortfolioFrontier[[#This Row],[P111 Return]])</f>
        <v>1.5226453837650438</v>
      </c>
      <c r="QC67" s="27">
        <f>MAX(QC66,PortfolioFrontier[[#This Row],[P111 Growth]])</f>
        <v>1.5226453837650438</v>
      </c>
      <c r="QD67" s="27">
        <f>PortfolioFrontier[[#This Row],[P111 Growth]]/PortfolioFrontier[[#This Row],[P111 HWM]]-1</f>
        <v>0</v>
      </c>
      <c r="QE67" s="28">
        <f>SUMPRODUCT(INDEX(PortfolioRef[[SPY]:[PE]],MATCH(QE$1,PortfolioRef[Reference '#]),0),AssetMonthlyReturns[[#This Row],[SPY]:[PE]])</f>
        <v>1.4731848627024702E-2</v>
      </c>
      <c r="QF67" s="27">
        <f>IF(ISNUMBER(QF66),QF66*(1+PortfolioFrontier[[#This Row],[P112 Return]]),1+PortfolioFrontier[[#This Row],[P112 Return]])</f>
        <v>1.593241451923157</v>
      </c>
      <c r="QG67" s="27">
        <f>MAX(QG66,PortfolioFrontier[[#This Row],[P112 Growth]])</f>
        <v>1.593241451923157</v>
      </c>
      <c r="QH67" s="27">
        <f>PortfolioFrontier[[#This Row],[P112 Growth]]/PortfolioFrontier[[#This Row],[P112 HWM]]-1</f>
        <v>0</v>
      </c>
      <c r="QI67" s="28">
        <f>SUMPRODUCT(INDEX(PortfolioRef[[SPY]:[PE]],MATCH(QI$1,PortfolioRef[Reference '#]),0),AssetMonthlyReturns[[#This Row],[SPY]:[PE]])</f>
        <v>1.4958139653144721E-2</v>
      </c>
      <c r="QJ67" s="27">
        <f>IF(ISNUMBER(QJ66),QJ66*(1+PortfolioFrontier[[#This Row],[P113 Return]]),1+PortfolioFrontier[[#This Row],[P113 Return]])</f>
        <v>1.56470906207071</v>
      </c>
      <c r="QK67" s="27">
        <f>MAX(QK66,PortfolioFrontier[[#This Row],[P113 Growth]])</f>
        <v>1.56470906207071</v>
      </c>
      <c r="QL67" s="27">
        <f>PortfolioFrontier[[#This Row],[P113 Growth]]/PortfolioFrontier[[#This Row],[P113 HWM]]-1</f>
        <v>0</v>
      </c>
      <c r="QM67" s="28">
        <f>SUMPRODUCT(INDEX(PortfolioRef[[SPY]:[PE]],MATCH(QM$1,PortfolioRef[Reference '#]),0),AssetMonthlyReturns[[#This Row],[SPY]:[PE]])</f>
        <v>1.5184430679264737E-2</v>
      </c>
      <c r="QN67" s="27">
        <f>IF(ISNUMBER(QN66),QN66*(1+PortfolioFrontier[[#This Row],[P114 Return]]),1+PortfolioFrontier[[#This Row],[P114 Return]])</f>
        <v>1.5360821888728067</v>
      </c>
      <c r="QO67" s="27">
        <f>MAX(QO66,PortfolioFrontier[[#This Row],[P114 Growth]])</f>
        <v>1.5360821888728067</v>
      </c>
      <c r="QP67" s="27">
        <f>PortfolioFrontier[[#This Row],[P114 Growth]]/PortfolioFrontier[[#This Row],[P114 HWM]]-1</f>
        <v>0</v>
      </c>
      <c r="QQ67" s="28">
        <f>SUMPRODUCT(INDEX(PortfolioRef[[SPY]:[PE]],MATCH(QQ$1,PortfolioRef[Reference '#]),0),AssetMonthlyReturns[[#This Row],[SPY]:[PE]])</f>
        <v>1.3682279215583676E-2</v>
      </c>
      <c r="QR67" s="27">
        <f>IF(ISNUMBER(QR66),QR66*(1+PortfolioFrontier[[#This Row],[P115 Return]]),1+PortfolioFrontier[[#This Row],[P115 Return]])</f>
        <v>1.5933624098088761</v>
      </c>
      <c r="QS67" s="27">
        <f>MAX(QS66,PortfolioFrontier[[#This Row],[P115 Growth]])</f>
        <v>1.5933624098088761</v>
      </c>
      <c r="QT67" s="27">
        <f>PortfolioFrontier[[#This Row],[P115 Growth]]/PortfolioFrontier[[#This Row],[P115 HWM]]-1</f>
        <v>0</v>
      </c>
      <c r="QU67" s="28">
        <f>SUMPRODUCT(INDEX(PortfolioRef[[SPY]:[PE]],MATCH(QU$1,PortfolioRef[Reference '#]),0),AssetMonthlyReturns[[#This Row],[SPY]:[PE]])</f>
        <v>1.3908570241703694E-2</v>
      </c>
      <c r="QV67" s="27">
        <f>IF(ISNUMBER(QV66),QV66*(1+PortfolioFrontier[[#This Row],[P116 Return]]),1+PortfolioFrontier[[#This Row],[P116 Return]])</f>
        <v>1.564393898998701</v>
      </c>
      <c r="QW67" s="27">
        <f>MAX(QW66,PortfolioFrontier[[#This Row],[P116 Growth]])</f>
        <v>1.564393898998701</v>
      </c>
      <c r="QX67" s="27">
        <f>PortfolioFrontier[[#This Row],[P116 Growth]]/PortfolioFrontier[[#This Row],[P116 HWM]]-1</f>
        <v>0</v>
      </c>
      <c r="QY67" s="28">
        <f>SUMPRODUCT(INDEX(PortfolioRef[[SPY]:[PE]],MATCH(QY$1,PortfolioRef[Reference '#]),0),AssetMonthlyReturns[[#This Row],[SPY]:[PE]])</f>
        <v>1.4134861267823711E-2</v>
      </c>
      <c r="QZ67" s="27">
        <f>IF(ISNUMBER(QZ66),QZ66*(1+PortfolioFrontier[[#This Row],[P117 Return]]),1+PortfolioFrontier[[#This Row],[P117 Return]])</f>
        <v>1.5353505760620689</v>
      </c>
      <c r="RA67" s="27">
        <f>MAX(RA66,PortfolioFrontier[[#This Row],[P117 Growth]])</f>
        <v>1.5353505760620689</v>
      </c>
      <c r="RB67" s="27">
        <f>PortfolioFrontier[[#This Row],[P117 Growth]]/PortfolioFrontier[[#This Row],[P117 HWM]]-1</f>
        <v>0</v>
      </c>
      <c r="RC67" s="28">
        <f>SUMPRODUCT(INDEX(PortfolioRef[[SPY]:[PE]],MATCH(RC$1,PortfolioRef[Reference '#]),0),AssetMonthlyReturns[[#This Row],[SPY]:[PE]])</f>
        <v>1.4797798351160246E-2</v>
      </c>
      <c r="RD67" s="27">
        <f>IF(ISNUMBER(RD66),RD66*(1+PortfolioFrontier[[#This Row],[P118 Return]]),1+PortfolioFrontier[[#This Row],[P118 Return]])</f>
        <v>1.606748219679258</v>
      </c>
      <c r="RE67" s="27">
        <f>MAX(RE66,PortfolioFrontier[[#This Row],[P118 Growth]])</f>
        <v>1.606748219679258</v>
      </c>
      <c r="RF67" s="27">
        <f>PortfolioFrontier[[#This Row],[P118 Growth]]/PortfolioFrontier[[#This Row],[P118 HWM]]-1</f>
        <v>0</v>
      </c>
      <c r="RG67" s="28">
        <f>SUMPRODUCT(INDEX(PortfolioRef[[SPY]:[PE]],MATCH(RG$1,PortfolioRef[Reference '#]),0),AssetMonthlyReturns[[#This Row],[SPY]:[PE]])</f>
        <v>1.5024089377280263E-2</v>
      </c>
      <c r="RH67" s="27">
        <f>IF(ISNUMBER(RH66),RH66*(1+PortfolioFrontier[[#This Row],[P119 Return]]),1+PortfolioFrontier[[#This Row],[P119 Return]])</f>
        <v>1.5780147274528267</v>
      </c>
      <c r="RI67" s="27">
        <f>MAX(RI66,PortfolioFrontier[[#This Row],[P119 Growth]])</f>
        <v>1.5780147274528267</v>
      </c>
      <c r="RJ67" s="27">
        <f>PortfolioFrontier[[#This Row],[P119 Growth]]/PortfolioFrontier[[#This Row],[P119 HWM]]-1</f>
        <v>0</v>
      </c>
      <c r="RK67" s="28">
        <f>SUMPRODUCT(INDEX(PortfolioRef[[SPY]:[PE]],MATCH(RK$1,PortfolioRef[Reference '#]),0),AssetMonthlyReturns[[#This Row],[SPY]:[PE]])</f>
        <v>1.5250380403400281E-2</v>
      </c>
      <c r="RL67" s="27">
        <f>IF(ISNUMBER(RL66),RL66*(1+PortfolioFrontier[[#This Row],[P120 Return]]),1+PortfolioFrontier[[#This Row],[P120 Return]])</f>
        <v>1.5491847312524347</v>
      </c>
      <c r="RM67" s="27">
        <f>MAX(RM66,PortfolioFrontier[[#This Row],[P120 Growth]])</f>
        <v>1.5491847312524347</v>
      </c>
      <c r="RN67" s="27">
        <f>PortfolioFrontier[[#This Row],[P120 Growth]]/PortfolioFrontier[[#This Row],[P120 HWM]]-1</f>
        <v>0</v>
      </c>
      <c r="RO67" s="28">
        <f>SUMPRODUCT(INDEX(PortfolioRef[[SPY]:[PE]],MATCH(RO$1,PortfolioRef[Reference '#]),0),AssetMonthlyReturns[[#This Row],[SPY]:[PE]])</f>
        <v>1.5913317486736817E-2</v>
      </c>
      <c r="RP67" s="27">
        <f>IF(ISNUMBER(RP66),RP66*(1+PortfolioFrontier[[#This Row],[P121 Return]]),1+PortfolioFrontier[[#This Row],[P121 Return]])</f>
        <v>1.6194212412840763</v>
      </c>
      <c r="RQ67" s="27">
        <f>MAX(RQ66,PortfolioFrontier[[#This Row],[P121 Growth]])</f>
        <v>1.6194212412840763</v>
      </c>
      <c r="RR67" s="27">
        <f>PortfolioFrontier[[#This Row],[P121 Growth]]/PortfolioFrontier[[#This Row],[P121 HWM]]-1</f>
        <v>0</v>
      </c>
      <c r="RS67" s="28">
        <f>SUMPRODUCT(INDEX(PortfolioRef[[SPY]:[PE]],MATCH(RS$1,PortfolioRef[Reference '#]),0),AssetMonthlyReturns[[#This Row],[SPY]:[PE]])</f>
        <v>1.6139608512856833E-2</v>
      </c>
      <c r="RT67" s="27">
        <f>IF(ISNUMBER(RT66),RT66*(1+PortfolioFrontier[[#This Row],[P122 Return]]),1+PortfolioFrontier[[#This Row],[P122 Return]])</f>
        <v>1.5909468496063683</v>
      </c>
      <c r="RU67" s="27">
        <f>MAX(RU66,PortfolioFrontier[[#This Row],[P122 Growth]])</f>
        <v>1.5909468496063683</v>
      </c>
      <c r="RV67" s="27">
        <f>PortfolioFrontier[[#This Row],[P122 Growth]]/PortfolioFrontier[[#This Row],[P122 HWM]]-1</f>
        <v>0</v>
      </c>
      <c r="RW67" s="28">
        <f>SUMPRODUCT(INDEX(PortfolioRef[[SPY]:[PE]],MATCH(RW$1,PortfolioRef[Reference '#]),0),AssetMonthlyReturns[[#This Row],[SPY]:[PE]])</f>
        <v>1.6365899538976852E-2</v>
      </c>
      <c r="RX67" s="27">
        <f>IF(ISNUMBER(RX66),RX66*(1+PortfolioFrontier[[#This Row],[P123 Return]]),1+PortfolioFrontier[[#This Row],[P123 Return]])</f>
        <v>1.5623539474122417</v>
      </c>
      <c r="RY67" s="27">
        <f>MAX(RY66,PortfolioFrontier[[#This Row],[P123 Growth]])</f>
        <v>1.5623539474122417</v>
      </c>
      <c r="RZ67" s="27">
        <f>PortfolioFrontier[[#This Row],[P123 Growth]]/PortfolioFrontier[[#This Row],[P123 HWM]]-1</f>
        <v>0</v>
      </c>
      <c r="SA67" s="28">
        <f>SUMPRODUCT(INDEX(PortfolioRef[[SPY]:[PE]],MATCH(SA$1,PortfolioRef[Reference '#]),0),AssetMonthlyReturns[[#This Row],[SPY]:[PE]])</f>
        <v>1.486374807529579E-2</v>
      </c>
      <c r="SB67" s="27">
        <f>IF(ISNUMBER(SB66),SB66*(1+PortfolioFrontier[[#This Row],[P124 Return]]),1+PortfolioFrontier[[#This Row],[P124 Return]])</f>
        <v>1.620057045347733</v>
      </c>
      <c r="SC67" s="27">
        <f>MAX(SC66,PortfolioFrontier[[#This Row],[P124 Growth]])</f>
        <v>1.620057045347733</v>
      </c>
      <c r="SD67" s="27">
        <f>PortfolioFrontier[[#This Row],[P124 Growth]]/PortfolioFrontier[[#This Row],[P124 HWM]]-1</f>
        <v>0</v>
      </c>
      <c r="SE67" s="28">
        <f>SUMPRODUCT(INDEX(PortfolioRef[[SPY]:[PE]],MATCH(SE$1,PortfolioRef[Reference '#]),0),AssetMonthlyReturns[[#This Row],[SPY]:[PE]])</f>
        <v>1.5090039101415809E-2</v>
      </c>
      <c r="SF67" s="27">
        <f>IF(ISNUMBER(SF66),SF66*(1+PortfolioFrontier[[#This Row],[P125 Return]]),1+PortfolioFrontier[[#This Row],[P125 Return]])</f>
        <v>1.5911262717310608</v>
      </c>
      <c r="SG67" s="27">
        <f>MAX(SG66,PortfolioFrontier[[#This Row],[P125 Growth]])</f>
        <v>1.5911262717310608</v>
      </c>
      <c r="SH67" s="27">
        <f>PortfolioFrontier[[#This Row],[P125 Growth]]/PortfolioFrontier[[#This Row],[P125 HWM]]-1</f>
        <v>0</v>
      </c>
      <c r="SI67" s="28">
        <f>SUMPRODUCT(INDEX(PortfolioRef[[SPY]:[PE]],MATCH(SI$1,PortfolioRef[Reference '#]),0),AssetMonthlyReturns[[#This Row],[SPY]:[PE]])</f>
        <v>1.5316330127535827E-2</v>
      </c>
      <c r="SJ67" s="27">
        <f>IF(ISNUMBER(SJ66),SJ66*(1+PortfolioFrontier[[#This Row],[P126 Return]]),1+PortfolioFrontier[[#This Row],[P126 Return]])</f>
        <v>1.5620969747105833</v>
      </c>
      <c r="SK67" s="27">
        <f>MAX(SK66,PortfolioFrontier[[#This Row],[P126 Growth]])</f>
        <v>1.5620969747105833</v>
      </c>
      <c r="SL67" s="27">
        <f>PortfolioFrontier[[#This Row],[P126 Growth]]/PortfolioFrontier[[#This Row],[P126 HWM]]-1</f>
        <v>0</v>
      </c>
      <c r="SM67" s="28">
        <f>SUMPRODUCT(INDEX(PortfolioRef[[SPY]:[PE]],MATCH(SM$1,PortfolioRef[Reference '#]),0),AssetMonthlyReturns[[#This Row],[SPY]:[PE]])</f>
        <v>1.597926721087236E-2</v>
      </c>
      <c r="SN67" s="27">
        <f>IF(ISNUMBER(SN66),SN66*(1+PortfolioFrontier[[#This Row],[P127 Return]]),1+PortfolioFrontier[[#This Row],[P127 Return]])</f>
        <v>1.6331350227414101</v>
      </c>
      <c r="SO67" s="27">
        <f>MAX(SO66,PortfolioFrontier[[#This Row],[P127 Growth]])</f>
        <v>1.6331350227414101</v>
      </c>
      <c r="SP67" s="27">
        <f>PortfolioFrontier[[#This Row],[P127 Growth]]/PortfolioFrontier[[#This Row],[P127 HWM]]-1</f>
        <v>0</v>
      </c>
      <c r="SQ67" s="28">
        <f>SUMPRODUCT(INDEX(PortfolioRef[[SPY]:[PE]],MATCH(SQ$1,PortfolioRef[Reference '#]),0),AssetMonthlyReturns[[#This Row],[SPY]:[PE]])</f>
        <v>1.6205558236992379E-2</v>
      </c>
      <c r="SR67" s="27">
        <f>IF(ISNUMBER(SR66),SR66*(1+PortfolioFrontier[[#This Row],[P128 Return]]),1+PortfolioFrontier[[#This Row],[P128 Return]])</f>
        <v>1.6044607341472448</v>
      </c>
      <c r="SS67" s="27">
        <f>MAX(SS66,PortfolioFrontier[[#This Row],[P128 Growth]])</f>
        <v>1.6044607341472448</v>
      </c>
      <c r="ST67" s="27">
        <f>PortfolioFrontier[[#This Row],[P128 Growth]]/PortfolioFrontier[[#This Row],[P128 HWM]]-1</f>
        <v>0</v>
      </c>
      <c r="SU67" s="28">
        <f>SUMPRODUCT(INDEX(PortfolioRef[[SPY]:[PE]],MATCH(SU$1,PortfolioRef[Reference '#]),0),AssetMonthlyReturns[[#This Row],[SPY]:[PE]])</f>
        <v>1.6431849263112398E-2</v>
      </c>
      <c r="SV67" s="27">
        <f>IF(ISNUMBER(SV66),SV66*(1+PortfolioFrontier[[#This Row],[P129 Return]]),1+PortfolioFrontier[[#This Row],[P129 Return]])</f>
        <v>1.5756657258920173</v>
      </c>
      <c r="SW67" s="27">
        <f>MAX(SW66,PortfolioFrontier[[#This Row],[P129 Growth]])</f>
        <v>1.5756657258920173</v>
      </c>
      <c r="SX67" s="27">
        <f>PortfolioFrontier[[#This Row],[P129 Growth]]/PortfolioFrontier[[#This Row],[P129 HWM]]-1</f>
        <v>0</v>
      </c>
      <c r="SY67" s="28">
        <f>SUMPRODUCT(INDEX(PortfolioRef[[SPY]:[PE]],MATCH(SY$1,PortfolioRef[Reference '#]),0),AssetMonthlyReturns[[#This Row],[SPY]:[PE]])</f>
        <v>1.7094786346448933E-2</v>
      </c>
      <c r="SZ67" s="27">
        <f>IF(ISNUMBER(SZ66),SZ66*(1+PortfolioFrontier[[#This Row],[P130 Return]]),1+PortfolioFrontier[[#This Row],[P130 Return]])</f>
        <v>1.6454765000919092</v>
      </c>
      <c r="TA67" s="27">
        <f>MAX(TA66,PortfolioFrontier[[#This Row],[P130 Growth]])</f>
        <v>1.6454765000919092</v>
      </c>
      <c r="TB67" s="27">
        <f>PortfolioFrontier[[#This Row],[P130 Growth]]/PortfolioFrontier[[#This Row],[P130 HWM]]-1</f>
        <v>0</v>
      </c>
      <c r="TC67" s="28">
        <f>SUMPRODUCT(INDEX(PortfolioRef[[SPY]:[PE]],MATCH(TC$1,PortfolioRef[Reference '#]),0),AssetMonthlyReturns[[#This Row],[SPY]:[PE]])</f>
        <v>1.7321077372568949E-2</v>
      </c>
      <c r="TD67" s="27">
        <f>IF(ISNUMBER(TD66),TD66*(1+PortfolioFrontier[[#This Row],[P131 Return]]),1+PortfolioFrontier[[#This Row],[P131 Return]])</f>
        <v>1.617083064777695</v>
      </c>
      <c r="TE67" s="27">
        <f>MAX(TE66,PortfolioFrontier[[#This Row],[P131 Growth]])</f>
        <v>1.617083064777695</v>
      </c>
      <c r="TF67" s="27">
        <f>PortfolioFrontier[[#This Row],[P131 Growth]]/PortfolioFrontier[[#This Row],[P131 HWM]]-1</f>
        <v>0</v>
      </c>
      <c r="TG67" s="28">
        <f>SUMPRODUCT(INDEX(PortfolioRef[[SPY]:[PE]],MATCH(TG$1,PortfolioRef[Reference '#]),0),AssetMonthlyReturns[[#This Row],[SPY]:[PE]])</f>
        <v>1.7547368398688968E-2</v>
      </c>
      <c r="TH67" s="27">
        <f>IF(ISNUMBER(TH66),TH66*(1+PortfolioFrontier[[#This Row],[P132 Return]]),1+PortfolioFrontier[[#This Row],[P132 Return]])</f>
        <v>1.5885464131162004</v>
      </c>
      <c r="TI67" s="27">
        <f>MAX(TI66,PortfolioFrontier[[#This Row],[P132 Growth]])</f>
        <v>1.5885464131162004</v>
      </c>
      <c r="TJ67" s="27">
        <f>PortfolioFrontier[[#This Row],[P132 Growth]]/PortfolioFrontier[[#This Row],[P132 HWM]]-1</f>
        <v>0</v>
      </c>
      <c r="TK67" s="28">
        <f>SUMPRODUCT(INDEX(PortfolioRef[[SPY]:[PE]],MATCH(TK$1,PortfolioRef[Reference '#]),0),AssetMonthlyReturns[[#This Row],[SPY]:[PE]])</f>
        <v>1.6045216935007905E-2</v>
      </c>
      <c r="TL67" s="27">
        <f>IF(ISNUMBER(TL66),TL66*(1+PortfolioFrontier[[#This Row],[P133 Return]]),1+PortfolioFrontier[[#This Row],[P133 Return]])</f>
        <v>1.646647896098639</v>
      </c>
      <c r="TM67" s="27">
        <f>MAX(TM66,PortfolioFrontier[[#This Row],[P133 Growth]])</f>
        <v>1.646647896098639</v>
      </c>
      <c r="TN67" s="27">
        <f>PortfolioFrontier[[#This Row],[P133 Growth]]/PortfolioFrontier[[#This Row],[P133 HWM]]-1</f>
        <v>0</v>
      </c>
      <c r="TO67" s="28">
        <f>SUMPRODUCT(INDEX(PortfolioRef[[SPY]:[PE]],MATCH(TO$1,PortfolioRef[Reference '#]),0),AssetMonthlyReturns[[#This Row],[SPY]:[PE]])</f>
        <v>1.6271507961127925E-2</v>
      </c>
      <c r="TP67" s="27">
        <f>IF(ISNUMBER(TP66),TP66*(1+PortfolioFrontier[[#This Row],[P134 Return]]),1+PortfolioFrontier[[#This Row],[P134 Return]])</f>
        <v>1.6177775250883195</v>
      </c>
      <c r="TQ67" s="27">
        <f>MAX(TQ66,PortfolioFrontier[[#This Row],[P134 Growth]])</f>
        <v>1.6177775250883195</v>
      </c>
      <c r="TR67" s="27">
        <f>PortfolioFrontier[[#This Row],[P134 Growth]]/PortfolioFrontier[[#This Row],[P134 HWM]]-1</f>
        <v>0</v>
      </c>
      <c r="TS67" s="28">
        <f>SUMPRODUCT(INDEX(PortfolioRef[[SPY]:[PE]],MATCH(TS$1,PortfolioRef[Reference '#]),0),AssetMonthlyReturns[[#This Row],[SPY]:[PE]])</f>
        <v>1.6497798987247941E-2</v>
      </c>
      <c r="TT67" s="27">
        <f>IF(ISNUMBER(TT66),TT66*(1+PortfolioFrontier[[#This Row],[P135 Return]]),1+PortfolioFrontier[[#This Row],[P135 Return]])</f>
        <v>1.5887842294168513</v>
      </c>
      <c r="TU67" s="27">
        <f>MAX(TU66,PortfolioFrontier[[#This Row],[P135 Growth]])</f>
        <v>1.5887842294168513</v>
      </c>
      <c r="TV67" s="27">
        <f>PortfolioFrontier[[#This Row],[P135 Growth]]/PortfolioFrontier[[#This Row],[P135 HWM]]-1</f>
        <v>0</v>
      </c>
      <c r="TW67" s="28">
        <f>SUMPRODUCT(INDEX(PortfolioRef[[SPY]:[PE]],MATCH(TW$1,PortfolioRef[Reference '#]),0),AssetMonthlyReturns[[#This Row],[SPY]:[PE]])</f>
        <v>1.7160736070584475E-2</v>
      </c>
      <c r="TX67" s="27">
        <f>IF(ISNUMBER(TX66),TX66*(1+PortfolioFrontier[[#This Row],[P136 Return]]),1+PortfolioFrontier[[#This Row],[P136 Return]])</f>
        <v>1.6593959654717836</v>
      </c>
      <c r="TY67" s="27">
        <f>MAX(TY66,PortfolioFrontier[[#This Row],[P136 Growth]])</f>
        <v>1.6593959654717836</v>
      </c>
      <c r="TZ67" s="27">
        <f>PortfolioFrontier[[#This Row],[P136 Growth]]/PortfolioFrontier[[#This Row],[P136 HWM]]-1</f>
        <v>0</v>
      </c>
      <c r="UA67" s="28">
        <f>SUMPRODUCT(INDEX(PortfolioRef[[SPY]:[PE]],MATCH(UA$1,PortfolioRef[Reference '#]),0),AssetMonthlyReturns[[#This Row],[SPY]:[PE]])</f>
        <v>1.7387027096704491E-2</v>
      </c>
      <c r="UB67" s="27">
        <f>IF(ISNUMBER(UB66),UB66*(1+PortfolioFrontier[[#This Row],[P137 Return]]),1+PortfolioFrontier[[#This Row],[P137 Return]])</f>
        <v>1.630804017102947</v>
      </c>
      <c r="UC67" s="27">
        <f>MAX(UC66,PortfolioFrontier[[#This Row],[P137 Growth]])</f>
        <v>1.630804017102947</v>
      </c>
      <c r="UD67" s="27">
        <f>PortfolioFrontier[[#This Row],[P137 Growth]]/PortfolioFrontier[[#This Row],[P137 HWM]]-1</f>
        <v>0</v>
      </c>
      <c r="UE67" s="28">
        <f>SUMPRODUCT(INDEX(PortfolioRef[[SPY]:[PE]],MATCH(UE$1,PortfolioRef[Reference '#]),0),AssetMonthlyReturns[[#This Row],[SPY]:[PE]])</f>
        <v>1.761331812282451E-2</v>
      </c>
      <c r="UF67" s="27">
        <f>IF(ISNUMBER(UF66),UF66*(1+PortfolioFrontier[[#This Row],[P138 Return]]),1+PortfolioFrontier[[#This Row],[P138 Return]])</f>
        <v>1.6020664506911424</v>
      </c>
      <c r="UG67" s="27">
        <f>MAX(UG66,PortfolioFrontier[[#This Row],[P138 Growth]])</f>
        <v>1.6020664506911424</v>
      </c>
      <c r="UH67" s="27">
        <f>PortfolioFrontier[[#This Row],[P138 Growth]]/PortfolioFrontier[[#This Row],[P138 HWM]]-1</f>
        <v>0</v>
      </c>
      <c r="UI67" s="28">
        <f>SUMPRODUCT(INDEX(PortfolioRef[[SPY]:[PE]],MATCH(UI$1,PortfolioRef[Reference '#]),0),AssetMonthlyReturns[[#This Row],[SPY]:[PE]])</f>
        <v>1.8276255206161048E-2</v>
      </c>
      <c r="UJ67" s="27">
        <f>IF(ISNUMBER(UJ66),UJ66*(1+PortfolioFrontier[[#This Row],[P139 Return]]),1+PortfolioFrontier[[#This Row],[P139 Return]])</f>
        <v>1.6713836094368126</v>
      </c>
      <c r="UK67" s="27">
        <f>MAX(UK66,PortfolioFrontier[[#This Row],[P139 Growth]])</f>
        <v>1.6713836094368126</v>
      </c>
      <c r="UL67" s="27">
        <f>PortfolioFrontier[[#This Row],[P139 Growth]]/PortfolioFrontier[[#This Row],[P139 HWM]]-1</f>
        <v>0</v>
      </c>
      <c r="UM67" s="28">
        <f>SUMPRODUCT(INDEX(PortfolioRef[[SPY]:[PE]],MATCH(UM$1,PortfolioRef[Reference '#]),0),AssetMonthlyReturns[[#This Row],[SPY]:[PE]])</f>
        <v>1.8502546232281064E-2</v>
      </c>
      <c r="UN67" s="27">
        <f>IF(ISNUMBER(UN66),UN66*(1+PortfolioFrontier[[#This Row],[P140 Return]]),1+PortfolioFrontier[[#This Row],[P140 Return]])</f>
        <v>1.643094722506345</v>
      </c>
      <c r="UO67" s="27">
        <f>MAX(UO66,PortfolioFrontier[[#This Row],[P140 Growth]])</f>
        <v>1.643094722506345</v>
      </c>
      <c r="UP67" s="27">
        <f>PortfolioFrontier[[#This Row],[P140 Growth]]/PortfolioFrontier[[#This Row],[P140 HWM]]-1</f>
        <v>0</v>
      </c>
      <c r="UQ67" s="28">
        <f>SUMPRODUCT(INDEX(PortfolioRef[[SPY]:[PE]],MATCH(UQ$1,PortfolioRef[Reference '#]),0),AssetMonthlyReturns[[#This Row],[SPY]:[PE]])</f>
        <v>1.8728837258401083E-2</v>
      </c>
      <c r="UR67" s="27">
        <f>IF(ISNUMBER(UR66),UR66*(1+PortfolioFrontier[[#This Row],[P141 Return]]),1+PortfolioFrontier[[#This Row],[P141 Return]])</f>
        <v>1.6146372388668084</v>
      </c>
      <c r="US67" s="27">
        <f>MAX(US66,PortfolioFrontier[[#This Row],[P141 Growth]])</f>
        <v>1.6146372388668084</v>
      </c>
      <c r="UT67" s="27">
        <f>PortfolioFrontier[[#This Row],[P141 Growth]]/PortfolioFrontier[[#This Row],[P141 HWM]]-1</f>
        <v>0</v>
      </c>
    </row>
    <row r="68" spans="2:566" x14ac:dyDescent="0.2">
      <c r="B68" s="41">
        <f>AssetMonthlyReturns[[#This Row],[Date]]</f>
        <v>44440</v>
      </c>
      <c r="C68" s="28">
        <f>SUMPRODUCT(INDEX(PortfolioRef[[SPY]:[PE]],MATCH(C$1,PortfolioRef[Reference '#]),0),AssetMonthlyReturns[[#This Row],[SPY]:[PE]])</f>
        <v>-3.6848193536031644E-2</v>
      </c>
      <c r="D68" s="29">
        <f>IF(ISNUMBER(D67),D67*(1+PortfolioFrontier[[#This Row],[P1 Return]]),1+PortfolioFrontier[[#This Row],[P1 Return]])</f>
        <v>1.8028605136751275</v>
      </c>
      <c r="E68" s="29">
        <f>MAX(E67,PortfolioFrontier[[#This Row],[P1 Growth]])</f>
        <v>1.8718342234065806</v>
      </c>
      <c r="F68" s="29">
        <f>PortfolioFrontier[[#This Row],[P1 Growth]]/PortfolioFrontier[[#This Row],[P1 HWM]]-1</f>
        <v>-3.6848193536031637E-2</v>
      </c>
      <c r="G68" s="28">
        <f>SUMPRODUCT(INDEX(PortfolioRef[[SPY]:[PE]],MATCH(G$1,PortfolioRef[Reference '#]),0),AssetMonthlyReturns[[#This Row],[SPY]:[PE]])</f>
        <v>-3.4824466308247183E-2</v>
      </c>
      <c r="H68" s="27">
        <f>IF(ISNUMBER(H67),H67*(1+PortfolioFrontier[[#This Row],[P2 Return]]),1+PortfolioFrontier[[#This Row],[P2 Return]])</f>
        <v>1.7453372164632242</v>
      </c>
      <c r="I68" s="27">
        <f>MAX(I67,PortfolioFrontier[[#This Row],[P2 Growth]])</f>
        <v>1.8083106704822782</v>
      </c>
      <c r="J68" s="27">
        <f>PortfolioFrontier[[#This Row],[P2 Growth]]/PortfolioFrontier[[#This Row],[P2 HWM]]-1</f>
        <v>-3.4824466308247204E-2</v>
      </c>
      <c r="K68" s="28">
        <f>SUMPRODUCT(INDEX(PortfolioRef[[SPY]:[PE]],MATCH(K$1,PortfolioRef[Reference '#]),0),AssetMonthlyReturns[[#This Row],[SPY]:[PE]])</f>
        <v>-3.5977353928452173E-2</v>
      </c>
      <c r="L68" s="27">
        <f>IF(ISNUMBER(L67),L67*(1+PortfolioFrontier[[#This Row],[P3 Return]]),1+PortfolioFrontier[[#This Row],[P3 Return]])</f>
        <v>1.7580196581307139</v>
      </c>
      <c r="M68" s="27">
        <f>MAX(M67,PortfolioFrontier[[#This Row],[P3 Growth]])</f>
        <v>1.823629004250837</v>
      </c>
      <c r="N68" s="27">
        <f>PortfolioFrontier[[#This Row],[P3 Growth]]/PortfolioFrontier[[#This Row],[P3 HWM]]-1</f>
        <v>-3.5977353928452138E-2</v>
      </c>
      <c r="O68" s="28">
        <f>SUMPRODUCT(INDEX(PortfolioRef[[SPY]:[PE]],MATCH(O$1,PortfolioRef[Reference '#]),0),AssetMonthlyReturns[[#This Row],[SPY]:[PE]])</f>
        <v>-3.7496933691815039E-2</v>
      </c>
      <c r="P68" s="27">
        <f>IF(ISNUMBER(P67),P67*(1+PortfolioFrontier[[#This Row],[P4 Return]]),1+PortfolioFrontier[[#This Row],[P4 Return]])</f>
        <v>1.7686970890220162</v>
      </c>
      <c r="Q68" s="27">
        <f>MAX(Q67,PortfolioFrontier[[#This Row],[P4 Growth]])</f>
        <v>1.8376015110332076</v>
      </c>
      <c r="R68" s="27">
        <f>PortfolioFrontier[[#This Row],[P4 Growth]]/PortfolioFrontier[[#This Row],[P4 HWM]]-1</f>
        <v>-3.749693369181506E-2</v>
      </c>
      <c r="S68" s="28">
        <f>SUMPRODUCT(INDEX(PortfolioRef[[SPY]:[PE]],MATCH(S$1,PortfolioRef[Reference '#]),0),AssetMonthlyReturns[[#This Row],[SPY]:[PE]])</f>
        <v>-3.3703954954174851E-2</v>
      </c>
      <c r="T68" s="27">
        <f>IF(ISNUMBER(T67),T67*(1+PortfolioFrontier[[#This Row],[P5 Return]]),1+PortfolioFrontier[[#This Row],[P5 Return]])</f>
        <v>1.7445471988076937</v>
      </c>
      <c r="U68" s="27">
        <f>MAX(U67,PortfolioFrontier[[#This Row],[P5 Growth]])</f>
        <v>1.8053961906932583</v>
      </c>
      <c r="V68" s="27">
        <f>PortfolioFrontier[[#This Row],[P5 Growth]]/PortfolioFrontier[[#This Row],[P5 HWM]]-1</f>
        <v>-3.3703954954174886E-2</v>
      </c>
      <c r="W68" s="28">
        <f>SUMPRODUCT(INDEX(PortfolioRef[[SPY]:[PE]],MATCH(W$1,PortfolioRef[Reference '#]),0),AssetMonthlyReturns[[#This Row],[SPY]:[PE]])</f>
        <v>-3.2800739080462715E-2</v>
      </c>
      <c r="X68" s="27">
        <f>IF(ISNUMBER(X67),X67*(1+PortfolioFrontier[[#This Row],[P6 Return]]),1+PortfolioFrontier[[#This Row],[P6 Return]])</f>
        <v>1.6890903854320252</v>
      </c>
      <c r="Y68" s="27">
        <f>MAX(Y67,PortfolioFrontier[[#This Row],[P6 Growth]])</f>
        <v>1.7463727007257743</v>
      </c>
      <c r="Z68" s="27">
        <f>PortfolioFrontier[[#This Row],[P6 Growth]]/PortfolioFrontier[[#This Row],[P6 HWM]]-1</f>
        <v>-3.2800739080462771E-2</v>
      </c>
      <c r="AA68" s="28">
        <f>SUMPRODUCT(INDEX(PortfolioRef[[SPY]:[PE]],MATCH(AA$1,PortfolioRef[Reference '#]),0),AssetMonthlyReturns[[#This Row],[SPY]:[PE]])</f>
        <v>-3.3953626700667705E-2</v>
      </c>
      <c r="AB68" s="27">
        <f>IF(ISNUMBER(AB67),AB67*(1+PortfolioFrontier[[#This Row],[P7 Return]]),1+PortfolioFrontier[[#This Row],[P7 Return]])</f>
        <v>1.7013793149579568</v>
      </c>
      <c r="AC68" s="27">
        <f>MAX(AC67,PortfolioFrontier[[#This Row],[P7 Growth]])</f>
        <v>1.7611776846149181</v>
      </c>
      <c r="AD68" s="27">
        <f>PortfolioFrontier[[#This Row],[P7 Growth]]/PortfolioFrontier[[#This Row],[P7 HWM]]-1</f>
        <v>-3.3953626700667705E-2</v>
      </c>
      <c r="AE68" s="28">
        <f>SUMPRODUCT(INDEX(PortfolioRef[[SPY]:[PE]],MATCH(AE$1,PortfolioRef[Reference '#]),0),AssetMonthlyReturns[[#This Row],[SPY]:[PE]])</f>
        <v>-3.5473206464030571E-2</v>
      </c>
      <c r="AF68" s="27">
        <f>IF(ISNUMBER(AF67),AF67*(1+PortfolioFrontier[[#This Row],[P8 Return]]),1+PortfolioFrontier[[#This Row],[P8 Return]])</f>
        <v>1.7121310141507924</v>
      </c>
      <c r="AG68" s="27">
        <f>MAX(AG67,PortfolioFrontier[[#This Row],[P8 Growth]])</f>
        <v>1.7750994846644903</v>
      </c>
      <c r="AH68" s="27">
        <f>PortfolioFrontier[[#This Row],[P8 Growth]]/PortfolioFrontier[[#This Row],[P8 HWM]]-1</f>
        <v>-3.5473206464030627E-2</v>
      </c>
      <c r="AI68" s="28">
        <f>SUMPRODUCT(INDEX(PortfolioRef[[SPY]:[PE]],MATCH(AI$1,PortfolioRef[Reference '#]),0),AssetMonthlyReturns[[#This Row],[SPY]:[PE]])</f>
        <v>-3.1680227726390384E-2</v>
      </c>
      <c r="AJ68" s="27">
        <f>IF(ISNUMBER(AJ67),AJ67*(1+PortfolioFrontier[[#This Row],[P9 Return]]),1+PortfolioFrontier[[#This Row],[P9 Return]])</f>
        <v>1.688383907461974</v>
      </c>
      <c r="AK68" s="27">
        <f>MAX(AK67,PortfolioFrontier[[#This Row],[P9 Growth]])</f>
        <v>1.7436222576532312</v>
      </c>
      <c r="AL68" s="27">
        <f>PortfolioFrontier[[#This Row],[P9 Growth]]/PortfolioFrontier[[#This Row],[P9 HWM]]-1</f>
        <v>-3.1680227726390342E-2</v>
      </c>
      <c r="AM68" s="28">
        <f>SUMPRODUCT(INDEX(PortfolioRef[[SPY]:[PE]],MATCH(AM$1,PortfolioRef[Reference '#]),0),AssetMonthlyReturns[[#This Row],[SPY]:[PE]])</f>
        <v>-3.5106514320872702E-2</v>
      </c>
      <c r="AN68" s="27">
        <f>IF(ISNUMBER(AN67),AN67*(1+PortfolioFrontier[[#This Row],[P10 Return]]),1+PortfolioFrontier[[#This Row],[P10 Return]])</f>
        <v>1.713426183886942</v>
      </c>
      <c r="AO68" s="27">
        <f>MAX(AO67,PortfolioFrontier[[#This Row],[P10 Growth]])</f>
        <v>1.7757671798156769</v>
      </c>
      <c r="AP68" s="27">
        <f>PortfolioFrontier[[#This Row],[P10 Growth]]/PortfolioFrontier[[#This Row],[P10 HWM]]-1</f>
        <v>-3.510651432087275E-2</v>
      </c>
      <c r="AQ68" s="28">
        <f>SUMPRODUCT(INDEX(PortfolioRef[[SPY]:[PE]],MATCH(AQ$1,PortfolioRef[Reference '#]),0),AssetMonthlyReturns[[#This Row],[SPY]:[PE]])</f>
        <v>-3.6626094084235561E-2</v>
      </c>
      <c r="AR68" s="27">
        <f>IF(ISNUMBER(AR67),AR67*(1+PortfolioFrontier[[#This Row],[P11 Return]]),1+PortfolioFrontier[[#This Row],[P11 Return]])</f>
        <v>1.7245660754570264</v>
      </c>
      <c r="AS68" s="27">
        <f>MAX(AS67,PortfolioFrontier[[#This Row],[P11 Growth]])</f>
        <v>1.7901316040086093</v>
      </c>
      <c r="AT68" s="27">
        <f>PortfolioFrontier[[#This Row],[P11 Growth]]/PortfolioFrontier[[#This Row],[P11 HWM]]-1</f>
        <v>-3.6626094084235561E-2</v>
      </c>
      <c r="AU68" s="28">
        <f>SUMPRODUCT(INDEX(PortfolioRef[[SPY]:[PE]],MATCH(AU$1,PortfolioRef[Reference '#]),0),AssetMonthlyReturns[[#This Row],[SPY]:[PE]])</f>
        <v>-3.283311534659538E-2</v>
      </c>
      <c r="AV68" s="27">
        <f>IF(ISNUMBER(AV67),AV67*(1+PortfolioFrontier[[#This Row],[P12 Return]]),1+PortfolioFrontier[[#This Row],[P12 Return]])</f>
        <v>1.7006982408074618</v>
      </c>
      <c r="AW68" s="27">
        <f>MAX(AW67,PortfolioFrontier[[#This Row],[P12 Growth]])</f>
        <v>1.7584330768489107</v>
      </c>
      <c r="AX68" s="27">
        <f>PortfolioFrontier[[#This Row],[P12 Growth]]/PortfolioFrontier[[#This Row],[P12 HWM]]-1</f>
        <v>-3.2833115346595387E-2</v>
      </c>
      <c r="AY68" s="28">
        <f>SUMPRODUCT(INDEX(PortfolioRef[[SPY]:[PE]],MATCH(AY$1,PortfolioRef[Reference '#]),0),AssetMonthlyReturns[[#This Row],[SPY]:[PE]])</f>
        <v>-3.8145673847598427E-2</v>
      </c>
      <c r="AZ68" s="27">
        <f>IF(ISNUMBER(AZ67),AZ67*(1+PortfolioFrontier[[#This Row],[P13 Return]]),1+PortfolioFrontier[[#This Row],[P13 Return]])</f>
        <v>1.7348893075674074</v>
      </c>
      <c r="BA68" s="27">
        <f>MAX(BA67,PortfolioFrontier[[#This Row],[P13 Growth]])</f>
        <v>1.803692368372757</v>
      </c>
      <c r="BB68" s="27">
        <f>PortfolioFrontier[[#This Row],[P13 Growth]]/PortfolioFrontier[[#This Row],[P13 HWM]]-1</f>
        <v>-3.8145673847598482E-2</v>
      </c>
      <c r="BC68" s="28">
        <f>SUMPRODUCT(INDEX(PortfolioRef[[SPY]:[PE]],MATCH(BC$1,PortfolioRef[Reference '#]),0),AssetMonthlyReturns[[#This Row],[SPY]:[PE]])</f>
        <v>-3.4352695109958239E-2</v>
      </c>
      <c r="BD68" s="27">
        <f>IF(ISNUMBER(BD67),BD67*(1+PortfolioFrontier[[#This Row],[P14 Return]]),1+PortfolioFrontier[[#This Row],[P14 Return]])</f>
        <v>1.7114135300053774</v>
      </c>
      <c r="BE68" s="27">
        <f>MAX(BE67,PortfolioFrontier[[#This Row],[P14 Growth]])</f>
        <v>1.7722966981202894</v>
      </c>
      <c r="BF68" s="27">
        <f>PortfolioFrontier[[#This Row],[P14 Growth]]/PortfolioFrontier[[#This Row],[P14 HWM]]-1</f>
        <v>-3.4352695109958198E-2</v>
      </c>
      <c r="BG68" s="28">
        <f>SUMPRODUCT(INDEX(PortfolioRef[[SPY]:[PE]],MATCH(BG$1,PortfolioRef[Reference '#]),0),AssetMonthlyReturns[[#This Row],[SPY]:[PE]])</f>
        <v>-3.0559716372318052E-2</v>
      </c>
      <c r="BH68" s="27">
        <f>IF(ISNUMBER(BH67),BH67*(1+PortfolioFrontier[[#This Row],[P15 Return]]),1+PortfolioFrontier[[#This Row],[P15 Return]])</f>
        <v>1.687559750902464</v>
      </c>
      <c r="BI68" s="27">
        <f>MAX(BI67,PortfolioFrontier[[#This Row],[P15 Growth]])</f>
        <v>1.7407567845102867</v>
      </c>
      <c r="BJ68" s="27">
        <f>PortfolioFrontier[[#This Row],[P15 Growth]]/PortfolioFrontier[[#This Row],[P15 HWM]]-1</f>
        <v>-3.0559716372318024E-2</v>
      </c>
      <c r="BK68" s="28">
        <f>SUMPRODUCT(INDEX(PortfolioRef[[SPY]:[PE]],MATCH(BK$1,PortfolioRef[Reference '#]),0),AssetMonthlyReturns[[#This Row],[SPY]:[PE]])</f>
        <v>-3.0777011852678251E-2</v>
      </c>
      <c r="BL68" s="27">
        <f>IF(ISNUMBER(BL67),BL67*(1+PortfolioFrontier[[#This Row],[P16 Return]]),1+PortfolioFrontier[[#This Row],[P16 Return]])</f>
        <v>1.6341162059857008</v>
      </c>
      <c r="BM68" s="27">
        <f>MAX(BM67,PortfolioFrontier[[#This Row],[P16 Growth]])</f>
        <v>1.6860064463693007</v>
      </c>
      <c r="BN68" s="27">
        <f>PortfolioFrontier[[#This Row],[P16 Growth]]/PortfolioFrontier[[#This Row],[P16 HWM]]-1</f>
        <v>-3.0777011852678227E-2</v>
      </c>
      <c r="BO68" s="28">
        <f>SUMPRODUCT(INDEX(PortfolioRef[[SPY]:[PE]],MATCH(BO$1,PortfolioRef[Reference '#]),0),AssetMonthlyReturns[[#This Row],[SPY]:[PE]])</f>
        <v>-3.1929899472883244E-2</v>
      </c>
      <c r="BP68" s="27">
        <f>IF(ISNUMBER(BP67),BP67*(1+PortfolioFrontier[[#This Row],[P17 Return]]),1+PortfolioFrontier[[#This Row],[P17 Return]])</f>
        <v>1.6460202584909174</v>
      </c>
      <c r="BQ68" s="27">
        <f>MAX(BQ67,PortfolioFrontier[[#This Row],[P17 Growth]])</f>
        <v>1.7003110183804406</v>
      </c>
      <c r="BR68" s="27">
        <f>PortfolioFrontier[[#This Row],[P17 Growth]]/PortfolioFrontier[[#This Row],[P17 HWM]]-1</f>
        <v>-3.1929899472883272E-2</v>
      </c>
      <c r="BS68" s="28">
        <f>SUMPRODUCT(INDEX(PortfolioRef[[SPY]:[PE]],MATCH(BS$1,PortfolioRef[Reference '#]),0),AssetMonthlyReturns[[#This Row],[SPY]:[PE]])</f>
        <v>-3.3449479236246103E-2</v>
      </c>
      <c r="BT68" s="27">
        <f>IF(ISNUMBER(BT67),BT67*(1+PortfolioFrontier[[#This Row],[P18 Return]]),1+PortfolioFrontier[[#This Row],[P18 Return]])</f>
        <v>1.6568249027372395</v>
      </c>
      <c r="BU68" s="27">
        <f>MAX(BU67,PortfolioFrontier[[#This Row],[P18 Growth]])</f>
        <v>1.7141627541911011</v>
      </c>
      <c r="BV68" s="27">
        <f>PortfolioFrontier[[#This Row],[P18 Growth]]/PortfolioFrontier[[#This Row],[P18 HWM]]-1</f>
        <v>-3.3449479236246082E-2</v>
      </c>
      <c r="BW68" s="28">
        <f>SUMPRODUCT(INDEX(PortfolioRef[[SPY]:[PE]],MATCH(BW$1,PortfolioRef[Reference '#]),0),AssetMonthlyReturns[[#This Row],[SPY]:[PE]])</f>
        <v>-2.9656500498605919E-2</v>
      </c>
      <c r="BX68" s="27">
        <f>IF(ISNUMBER(BX67),BX67*(1+PortfolioFrontier[[#This Row],[P19 Return]]),1+PortfolioFrontier[[#This Row],[P19 Return]])</f>
        <v>1.633488666551143</v>
      </c>
      <c r="BY68" s="27">
        <f>MAX(BY67,PortfolioFrontier[[#This Row],[P19 Growth]])</f>
        <v>1.6834127990660035</v>
      </c>
      <c r="BZ68" s="27">
        <f>PortfolioFrontier[[#This Row],[P19 Growth]]/PortfolioFrontier[[#This Row],[P19 HWM]]-1</f>
        <v>-2.9656500498605909E-2</v>
      </c>
      <c r="CA68" s="28">
        <f>SUMPRODUCT(INDEX(PortfolioRef[[SPY]:[PE]],MATCH(CA$1,PortfolioRef[Reference '#]),0),AssetMonthlyReturns[[#This Row],[SPY]:[PE]])</f>
        <v>-3.3082787093088241E-2</v>
      </c>
      <c r="CB68" s="27">
        <f>IF(ISNUMBER(CB67),CB67*(1+PortfolioFrontier[[#This Row],[P20 Return]]),1+PortfolioFrontier[[#This Row],[P20 Return]])</f>
        <v>1.6576896108872772</v>
      </c>
      <c r="CC68" s="27">
        <f>MAX(CC67,PortfolioFrontier[[#This Row],[P20 Growth]])</f>
        <v>1.7144069717237191</v>
      </c>
      <c r="CD68" s="27">
        <f>PortfolioFrontier[[#This Row],[P20 Growth]]/PortfolioFrontier[[#This Row],[P20 HWM]]-1</f>
        <v>-3.3082787093088206E-2</v>
      </c>
      <c r="CE68" s="28">
        <f>SUMPRODUCT(INDEX(PortfolioRef[[SPY]:[PE]],MATCH(CE$1,PortfolioRef[Reference '#]),0),AssetMonthlyReturns[[#This Row],[SPY]:[PE]])</f>
        <v>-3.46023668564511E-2</v>
      </c>
      <c r="CF68" s="27">
        <f>IF(ISNUMBER(CF67),CF67*(1+PortfolioFrontier[[#This Row],[P21 Return]]),1+PortfolioFrontier[[#This Row],[P21 Return]])</f>
        <v>1.6688734528178939</v>
      </c>
      <c r="CG68" s="27">
        <f>MAX(CG67,PortfolioFrontier[[#This Row],[P21 Growth]])</f>
        <v>1.7286902262062438</v>
      </c>
      <c r="CH68" s="27">
        <f>PortfolioFrontier[[#This Row],[P21 Growth]]/PortfolioFrontier[[#This Row],[P21 HWM]]-1</f>
        <v>-3.4602366856451128E-2</v>
      </c>
      <c r="CI68" s="28">
        <f>SUMPRODUCT(INDEX(PortfolioRef[[SPY]:[PE]],MATCH(CI$1,PortfolioRef[Reference '#]),0),AssetMonthlyReturns[[#This Row],[SPY]:[PE]])</f>
        <v>-3.0809388118810909E-2</v>
      </c>
      <c r="CJ68" s="27">
        <f>IF(ISNUMBER(CJ67),CJ67*(1+PortfolioFrontier[[#This Row],[P22 Return]]),1+PortfolioFrontier[[#This Row],[P22 Return]])</f>
        <v>1.6454177069035478</v>
      </c>
      <c r="CK68" s="27">
        <f>MAX(CK67,PortfolioFrontier[[#This Row],[P22 Growth]])</f>
        <v>1.6977235300595916</v>
      </c>
      <c r="CL68" s="27">
        <f>PortfolioFrontier[[#This Row],[P22 Growth]]/PortfolioFrontier[[#This Row],[P22 HWM]]-1</f>
        <v>-3.0809388118810954E-2</v>
      </c>
      <c r="CM68" s="28">
        <f>SUMPRODUCT(INDEX(PortfolioRef[[SPY]:[PE]],MATCH(CM$1,PortfolioRef[Reference '#]),0),AssetMonthlyReturns[[#This Row],[SPY]:[PE]])</f>
        <v>-3.6121946619813966E-2</v>
      </c>
      <c r="CN68" s="27">
        <f>IF(ISNUMBER(CN67),CN67*(1+PortfolioFrontier[[#This Row],[P23 Return]]),1+PortfolioFrontier[[#This Row],[P23 Return]])</f>
        <v>1.6792741742773107</v>
      </c>
      <c r="CO68" s="27">
        <f>MAX(CO67,PortfolioFrontier[[#This Row],[P23 Growth]])</f>
        <v>1.7422060481492758</v>
      </c>
      <c r="CP68" s="27">
        <f>PortfolioFrontier[[#This Row],[P23 Growth]]/PortfolioFrontier[[#This Row],[P23 HWM]]-1</f>
        <v>-3.6121946619813938E-2</v>
      </c>
      <c r="CQ68" s="28">
        <f>SUMPRODUCT(INDEX(PortfolioRef[[SPY]:[PE]],MATCH(CQ$1,PortfolioRef[Reference '#]),0),AssetMonthlyReturns[[#This Row],[SPY]:[PE]])</f>
        <v>-3.2328967882173779E-2</v>
      </c>
      <c r="CR68" s="27">
        <f>IF(ISNUMBER(CR67),CR67*(1+PortfolioFrontier[[#This Row],[P24 Return]]),1+PortfolioFrontier[[#This Row],[P24 Return]])</f>
        <v>1.656187476611054</v>
      </c>
      <c r="CS68" s="27">
        <f>MAX(CS67,PortfolioFrontier[[#This Row],[P24 Growth]])</f>
        <v>1.71151912338055</v>
      </c>
      <c r="CT68" s="27">
        <f>PortfolioFrontier[[#This Row],[P24 Growth]]/PortfolioFrontier[[#This Row],[P24 HWM]]-1</f>
        <v>-3.2328967882173765E-2</v>
      </c>
      <c r="CU68" s="28">
        <f>SUMPRODUCT(INDEX(PortfolioRef[[SPY]:[PE]],MATCH(CU$1,PortfolioRef[Reference '#]),0),AssetMonthlyReturns[[#This Row],[SPY]:[PE]])</f>
        <v>-2.8535989144533584E-2</v>
      </c>
      <c r="CV68" s="27">
        <f>IF(ISNUMBER(CV67),CV67*(1+PortfolioFrontier[[#This Row],[P25 Return]]),1+PortfolioFrontier[[#This Row],[P25 Return]])</f>
        <v>1.6327472514286223</v>
      </c>
      <c r="CW68" s="27">
        <f>MAX(CW67,PortfolioFrontier[[#This Row],[P25 Growth]])</f>
        <v>1.6807079142240515</v>
      </c>
      <c r="CX68" s="27">
        <f>PortfolioFrontier[[#This Row],[P25 Growth]]/PortfolioFrontier[[#This Row],[P25 HWM]]-1</f>
        <v>-2.8535989144533591E-2</v>
      </c>
      <c r="CY68" s="28">
        <f>SUMPRODUCT(INDEX(PortfolioRef[[SPY]:[PE]],MATCH(CY$1,PortfolioRef[Reference '#]),0),AssetMonthlyReturns[[#This Row],[SPY]:[PE]])</f>
        <v>-3.5755254476656097E-2</v>
      </c>
      <c r="CZ68" s="27">
        <f>IF(ISNUMBER(CZ67),CZ67*(1+PortfolioFrontier[[#This Row],[P26 Return]]),1+PortfolioFrontier[[#This Row],[P26 Return]])</f>
        <v>1.6806842775218445</v>
      </c>
      <c r="DA68" s="27">
        <f>MAX(DA67,PortfolioFrontier[[#This Row],[P26 Growth]])</f>
        <v>1.7430058969205509</v>
      </c>
      <c r="DB68" s="27">
        <f>PortfolioFrontier[[#This Row],[P26 Growth]]/PortfolioFrontier[[#This Row],[P26 HWM]]-1</f>
        <v>-3.5755254476656062E-2</v>
      </c>
      <c r="DC68" s="28">
        <f>SUMPRODUCT(INDEX(PortfolioRef[[SPY]:[PE]],MATCH(DC$1,PortfolioRef[Reference '#]),0),AssetMonthlyReturns[[#This Row],[SPY]:[PE]])</f>
        <v>-3.1962275739015909E-2</v>
      </c>
      <c r="DD68" s="27">
        <f>IF(ISNUMBER(DD67),DD67*(1+PortfolioFrontier[[#This Row],[P27 Return]]),1+PortfolioFrontier[[#This Row],[P27 Return]])</f>
        <v>1.6571126843702881</v>
      </c>
      <c r="DE68" s="27">
        <f>MAX(DE67,PortfolioFrontier[[#This Row],[P27 Growth]])</f>
        <v>1.7118265567959712</v>
      </c>
      <c r="DF68" s="27">
        <f>PortfolioFrontier[[#This Row],[P27 Growth]]/PortfolioFrontier[[#This Row],[P27 HWM]]-1</f>
        <v>-3.1962275739015888E-2</v>
      </c>
      <c r="DG68" s="28">
        <f>SUMPRODUCT(INDEX(PortfolioRef[[SPY]:[PE]],MATCH(DG$1,PortfolioRef[Reference '#]),0),AssetMonthlyReturns[[#This Row],[SPY]:[PE]])</f>
        <v>-3.7274834240018956E-2</v>
      </c>
      <c r="DH68" s="27">
        <f>IF(ISNUMBER(DH67),DH67*(1+PortfolioFrontier[[#This Row],[P28 Return]]),1+PortfolioFrontier[[#This Row],[P28 Return]])</f>
        <v>1.6914649446542345</v>
      </c>
      <c r="DI68" s="27">
        <f>MAX(DI67,PortfolioFrontier[[#This Row],[P28 Growth]])</f>
        <v>1.7569551568946282</v>
      </c>
      <c r="DJ68" s="27">
        <f>PortfolioFrontier[[#This Row],[P28 Growth]]/PortfolioFrontier[[#This Row],[P28 HWM]]-1</f>
        <v>-3.7274834240018984E-2</v>
      </c>
      <c r="DK68" s="28">
        <f>SUMPRODUCT(INDEX(PortfolioRef[[SPY]:[PE]],MATCH(DK$1,PortfolioRef[Reference '#]),0),AssetMonthlyReturns[[#This Row],[SPY]:[PE]])</f>
        <v>-3.3481855502378768E-2</v>
      </c>
      <c r="DL68" s="27">
        <f>IF(ISNUMBER(DL67),DL67*(1+PortfolioFrontier[[#This Row],[P29 Return]]),1+PortfolioFrontier[[#This Row],[P29 Return]])</f>
        <v>1.6682613377106459</v>
      </c>
      <c r="DM68" s="27">
        <f>MAX(DM67,PortfolioFrontier[[#This Row],[P29 Growth]])</f>
        <v>1.7260527877392082</v>
      </c>
      <c r="DN68" s="27">
        <f>PortfolioFrontier[[#This Row],[P29 Growth]]/PortfolioFrontier[[#This Row],[P29 HWM]]-1</f>
        <v>-3.348185550237881E-2</v>
      </c>
      <c r="DO68" s="28">
        <f>SUMPRODUCT(INDEX(PortfolioRef[[SPY]:[PE]],MATCH(DO$1,PortfolioRef[Reference '#]),0),AssetMonthlyReturns[[#This Row],[SPY]:[PE]])</f>
        <v>-2.9688876764738581E-2</v>
      </c>
      <c r="DP68" s="27">
        <f>IF(ISNUMBER(DP67),DP67*(1+PortfolioFrontier[[#This Row],[P30 Return]]),1+PortfolioFrontier[[#This Row],[P30 Return]])</f>
        <v>1.6447004327081356</v>
      </c>
      <c r="DQ68" s="27">
        <f>MAX(DQ67,PortfolioFrontier[[#This Row],[P30 Growth]])</f>
        <v>1.695023784973515</v>
      </c>
      <c r="DR68" s="27">
        <f>PortfolioFrontier[[#This Row],[P30 Growth]]/PortfolioFrontier[[#This Row],[P30 HWM]]-1</f>
        <v>-2.9688876764738525E-2</v>
      </c>
      <c r="DS68" s="28">
        <f>SUMPRODUCT(INDEX(PortfolioRef[[SPY]:[PE]],MATCH(DS$1,PortfolioRef[Reference '#]),0),AssetMonthlyReturns[[#This Row],[SPY]:[PE]])</f>
        <v>-3.8794414003381822E-2</v>
      </c>
      <c r="DT68" s="27">
        <f>IF(ISNUMBER(DT67),DT67*(1+PortfolioFrontier[[#This Row],[P31 Return]]),1+PortfolioFrontier[[#This Row],[P31 Return]])</f>
        <v>1.7014411376683396</v>
      </c>
      <c r="DU68" s="27">
        <f>MAX(DU67,PortfolioFrontier[[#This Row],[P31 Growth]])</f>
        <v>1.7701115791001298</v>
      </c>
      <c r="DV68" s="27">
        <f>PortfolioFrontier[[#This Row],[P31 Growth]]/PortfolioFrontier[[#This Row],[P31 HWM]]-1</f>
        <v>-3.8794414003381794E-2</v>
      </c>
      <c r="DW68" s="28">
        <f>SUMPRODUCT(INDEX(PortfolioRef[[SPY]:[PE]],MATCH(DW$1,PortfolioRef[Reference '#]),0),AssetMonthlyReturns[[#This Row],[SPY]:[PE]])</f>
        <v>-3.5001435265741634E-2</v>
      </c>
      <c r="DX68" s="27">
        <f>IF(ISNUMBER(DX67),DX67*(1+PortfolioFrontier[[#This Row],[P32 Return]]),1+PortfolioFrontier[[#This Row],[P32 Return]])</f>
        <v>1.6786269256880024</v>
      </c>
      <c r="DY68" s="27">
        <f>MAX(DY67,PortfolioFrontier[[#This Row],[P32 Growth]])</f>
        <v>1.7395123547673497</v>
      </c>
      <c r="DZ68" s="27">
        <f>PortfolioFrontier[[#This Row],[P32 Growth]]/PortfolioFrontier[[#This Row],[P32 HWM]]-1</f>
        <v>-3.5001435265741621E-2</v>
      </c>
      <c r="EA68" s="28">
        <f>SUMPRODUCT(INDEX(PortfolioRef[[SPY]:[PE]],MATCH(EA$1,PortfolioRef[Reference '#]),0),AssetMonthlyReturns[[#This Row],[SPY]:[PE]])</f>
        <v>-3.120845652810144E-2</v>
      </c>
      <c r="EB68" s="27">
        <f>IF(ISNUMBER(EB67),EB67*(1+PortfolioFrontier[[#This Row],[P33 Return]]),1+PortfolioFrontier[[#This Row],[P33 Return]])</f>
        <v>1.6554344868164688</v>
      </c>
      <c r="EC68" s="27">
        <f>MAX(EC67,PortfolioFrontier[[#This Row],[P33 Growth]])</f>
        <v>1.7087623214420506</v>
      </c>
      <c r="ED68" s="27">
        <f>PortfolioFrontier[[#This Row],[P33 Growth]]/PortfolioFrontier[[#This Row],[P33 HWM]]-1</f>
        <v>-3.1208456528101447E-2</v>
      </c>
      <c r="EE68" s="28">
        <f>SUMPRODUCT(INDEX(PortfolioRef[[SPY]:[PE]],MATCH(EE$1,PortfolioRef[Reference '#]),0),AssetMonthlyReturns[[#This Row],[SPY]:[PE]])</f>
        <v>-2.8753284624893783E-2</v>
      </c>
      <c r="EF68" s="27">
        <f>IF(ISNUMBER(EF67),EF67*(1+PortfolioFrontier[[#This Row],[P34 Return]]),1+PortfolioFrontier[[#This Row],[P34 Return]])</f>
        <v>1.5804096128612841</v>
      </c>
      <c r="EG68" s="27">
        <f>MAX(EG67,PortfolioFrontier[[#This Row],[P34 Growth]])</f>
        <v>1.6271968675342314</v>
      </c>
      <c r="EH68" s="27">
        <f>PortfolioFrontier[[#This Row],[P34 Growth]]/PortfolioFrontier[[#This Row],[P34 HWM]]-1</f>
        <v>-2.8753284624893793E-2</v>
      </c>
      <c r="EI68" s="28">
        <f>SUMPRODUCT(INDEX(PortfolioRef[[SPY]:[PE]],MATCH(EI$1,PortfolioRef[Reference '#]),0),AssetMonthlyReturns[[#This Row],[SPY]:[PE]])</f>
        <v>-2.9906172245098773E-2</v>
      </c>
      <c r="EJ68" s="27">
        <f>IF(ISNUMBER(EJ67),EJ67*(1+PortfolioFrontier[[#This Row],[P35 Return]]),1+PortfolioFrontier[[#This Row],[P35 Return]])</f>
        <v>1.5919373834960804</v>
      </c>
      <c r="EK68" s="27">
        <f>MAX(EK67,PortfolioFrontier[[#This Row],[P35 Growth]])</f>
        <v>1.6410138256217117</v>
      </c>
      <c r="EL68" s="27">
        <f>PortfolioFrontier[[#This Row],[P35 Growth]]/PortfolioFrontier[[#This Row],[P35 HWM]]-1</f>
        <v>-2.9906172245098728E-2</v>
      </c>
      <c r="EM68" s="28">
        <f>SUMPRODUCT(INDEX(PortfolioRef[[SPY]:[PE]],MATCH(EM$1,PortfolioRef[Reference '#]),0),AssetMonthlyReturns[[#This Row],[SPY]:[PE]])</f>
        <v>-3.1425752008461635E-2</v>
      </c>
      <c r="EN68" s="27">
        <f>IF(ISNUMBER(EN67),EN67*(1+PortfolioFrontier[[#This Row],[P36 Return]]),1+PortfolioFrontier[[#This Row],[P36 Return]])</f>
        <v>1.6027748074282586</v>
      </c>
      <c r="EO68" s="27">
        <f>MAX(EO67,PortfolioFrontier[[#This Row],[P36 Growth]])</f>
        <v>1.6547774326561084</v>
      </c>
      <c r="EP68" s="27">
        <f>PortfolioFrontier[[#This Row],[P36 Growth]]/PortfolioFrontier[[#This Row],[P36 HWM]]-1</f>
        <v>-3.142575200846176E-2</v>
      </c>
      <c r="EQ68" s="28">
        <f>SUMPRODUCT(INDEX(PortfolioRef[[SPY]:[PE]],MATCH(EQ$1,PortfolioRef[Reference '#]),0),AssetMonthlyReturns[[#This Row],[SPY]:[PE]])</f>
        <v>-2.7632773270821444E-2</v>
      </c>
      <c r="ER68" s="27">
        <f>IF(ISNUMBER(ER67),ER67*(1+PortfolioFrontier[[#This Row],[P37 Return]]),1+PortfolioFrontier[[#This Row],[P37 Return]])</f>
        <v>1.5798565717090387</v>
      </c>
      <c r="ES68" s="27">
        <f>MAX(ES67,PortfolioFrontier[[#This Row],[P37 Growth]])</f>
        <v>1.6247530030637867</v>
      </c>
      <c r="ET68" s="27">
        <f>PortfolioFrontier[[#This Row],[P37 Growth]]/PortfolioFrontier[[#This Row],[P37 HWM]]-1</f>
        <v>-2.7632773270821476E-2</v>
      </c>
      <c r="EU68" s="28">
        <f>SUMPRODUCT(INDEX(PortfolioRef[[SPY]:[PE]],MATCH(EU$1,PortfolioRef[Reference '#]),0),AssetMonthlyReturns[[#This Row],[SPY]:[PE]])</f>
        <v>-3.105905986530377E-2</v>
      </c>
      <c r="EV68" s="27">
        <f>IF(ISNUMBER(EV67),EV67*(1+PortfolioFrontier[[#This Row],[P38 Return]]),1+PortfolioFrontier[[#This Row],[P38 Return]])</f>
        <v>1.6032376622082278</v>
      </c>
      <c r="EW68" s="27">
        <f>MAX(EW67,PortfolioFrontier[[#This Row],[P38 Growth]])</f>
        <v>1.6546288796356934</v>
      </c>
      <c r="EX68" s="27">
        <f>PortfolioFrontier[[#This Row],[P38 Growth]]/PortfolioFrontier[[#This Row],[P38 HWM]]-1</f>
        <v>-3.1059059865303773E-2</v>
      </c>
      <c r="EY68" s="28">
        <f>SUMPRODUCT(INDEX(PortfolioRef[[SPY]:[PE]],MATCH(EY$1,PortfolioRef[Reference '#]),0),AssetMonthlyReturns[[#This Row],[SPY]:[PE]])</f>
        <v>-3.2578639628666625E-2</v>
      </c>
      <c r="EZ68" s="27">
        <f>IF(ISNUMBER(EZ67),EZ67*(1+PortfolioFrontier[[#This Row],[P39 Return]]),1+PortfolioFrontier[[#This Row],[P39 Return]])</f>
        <v>1.6144453498528175</v>
      </c>
      <c r="FA68" s="27">
        <f>MAX(FA67,PortfolioFrontier[[#This Row],[P39 Growth]])</f>
        <v>1.6688130074294942</v>
      </c>
      <c r="FB68" s="27">
        <f>PortfolioFrontier[[#This Row],[P39 Growth]]/PortfolioFrontier[[#This Row],[P39 HWM]]-1</f>
        <v>-3.2578639628666584E-2</v>
      </c>
      <c r="FC68" s="28">
        <f>SUMPRODUCT(INDEX(PortfolioRef[[SPY]:[PE]],MATCH(FC$1,PortfolioRef[Reference '#]),0),AssetMonthlyReturns[[#This Row],[SPY]:[PE]])</f>
        <v>-2.8785660891026441E-2</v>
      </c>
      <c r="FD68" s="27">
        <f>IF(ISNUMBER(FD67),FD67*(1+PortfolioFrontier[[#This Row],[P40 Return]]),1+PortfolioFrontier[[#This Row],[P40 Return]])</f>
        <v>1.591408907034588</v>
      </c>
      <c r="FE68" s="27">
        <f>MAX(FE67,PortfolioFrontier[[#This Row],[P40 Growth]])</f>
        <v>1.6385764119736976</v>
      </c>
      <c r="FF68" s="27">
        <f>PortfolioFrontier[[#This Row],[P40 Growth]]/PortfolioFrontier[[#This Row],[P40 HWM]]-1</f>
        <v>-2.878566089102641E-2</v>
      </c>
      <c r="FG68" s="28">
        <f>SUMPRODUCT(INDEX(PortfolioRef[[SPY]:[PE]],MATCH(FG$1,PortfolioRef[Reference '#]),0),AssetMonthlyReturns[[#This Row],[SPY]:[PE]])</f>
        <v>-3.4098219392029491E-2</v>
      </c>
      <c r="FH68" s="27">
        <f>IF(ISNUMBER(FH67),FH67*(1+PortfolioFrontier[[#This Row],[P41 Return]]),1+PortfolioFrontier[[#This Row],[P41 Return]])</f>
        <v>1.6249024630269702</v>
      </c>
      <c r="FI68" s="27">
        <f>MAX(FI67,PortfolioFrontier[[#This Row],[P41 Growth]])</f>
        <v>1.682264693625684</v>
      </c>
      <c r="FJ68" s="27">
        <f>PortfolioFrontier[[#This Row],[P41 Growth]]/PortfolioFrontier[[#This Row],[P41 HWM]]-1</f>
        <v>-3.4098219392029505E-2</v>
      </c>
      <c r="FK68" s="28">
        <f>SUMPRODUCT(INDEX(PortfolioRef[[SPY]:[PE]],MATCH(FK$1,PortfolioRef[Reference '#]),0),AssetMonthlyReturns[[#This Row],[SPY]:[PE]])</f>
        <v>-3.03052406543893E-2</v>
      </c>
      <c r="FL68" s="27">
        <f>IF(ISNUMBER(FL67),FL67*(1+PortfolioFrontier[[#This Row],[P42 Return]]),1+PortfolioFrontier[[#This Row],[P42 Return]])</f>
        <v>1.6022129651458672</v>
      </c>
      <c r="FM68" s="27">
        <f>MAX(FM67,PortfolioFrontier[[#This Row],[P42 Growth]])</f>
        <v>1.6522858865681664</v>
      </c>
      <c r="FN68" s="27">
        <f>PortfolioFrontier[[#This Row],[P42 Growth]]/PortfolioFrontier[[#This Row],[P42 HWM]]-1</f>
        <v>-3.0305240654389332E-2</v>
      </c>
      <c r="FO68" s="28">
        <f>SUMPRODUCT(INDEX(PortfolioRef[[SPY]:[PE]],MATCH(FO$1,PortfolioRef[Reference '#]),0),AssetMonthlyReturns[[#This Row],[SPY]:[PE]])</f>
        <v>-2.6512261916749116E-2</v>
      </c>
      <c r="FP68" s="27">
        <f>IF(ISNUMBER(FP67),FP67*(1+PortfolioFrontier[[#This Row],[P43 Return]]),1+PortfolioFrontier[[#This Row],[P43 Return]])</f>
        <v>1.5791933706856043</v>
      </c>
      <c r="FQ68" s="27">
        <f>MAX(FQ67,PortfolioFrontier[[#This Row],[P43 Growth]])</f>
        <v>1.6222016045060392</v>
      </c>
      <c r="FR68" s="27">
        <f>PortfolioFrontier[[#This Row],[P43 Growth]]/PortfolioFrontier[[#This Row],[P43 HWM]]-1</f>
        <v>-2.6512261916749269E-2</v>
      </c>
      <c r="FS68" s="28">
        <f>SUMPRODUCT(INDEX(PortfolioRef[[SPY]:[PE]],MATCH(FS$1,PortfolioRef[Reference '#]),0),AssetMonthlyReturns[[#This Row],[SPY]:[PE]])</f>
        <v>-3.3731527248871622E-2</v>
      </c>
      <c r="FT68" s="27">
        <f>IF(ISNUMBER(FT67),FT67*(1+PortfolioFrontier[[#This Row],[P44 Return]]),1+PortfolioFrontier[[#This Row],[P44 Return]])</f>
        <v>1.6258854132530665</v>
      </c>
      <c r="FU68" s="27">
        <f>MAX(FU67,PortfolioFrontier[[#This Row],[P44 Growth]])</f>
        <v>1.6826435500103796</v>
      </c>
      <c r="FV68" s="27">
        <f>PortfolioFrontier[[#This Row],[P44 Growth]]/PortfolioFrontier[[#This Row],[P44 HWM]]-1</f>
        <v>-3.3731527248871518E-2</v>
      </c>
      <c r="FW68" s="28">
        <f>SUMPRODUCT(INDEX(PortfolioRef[[SPY]:[PE]],MATCH(FW$1,PortfolioRef[Reference '#]),0),AssetMonthlyReturns[[#This Row],[SPY]:[PE]])</f>
        <v>-2.9938548511231438E-2</v>
      </c>
      <c r="FX68" s="27">
        <f>IF(ISNUMBER(FX67),FX67*(1+PortfolioFrontier[[#This Row],[P45 Return]]),1+PortfolioFrontier[[#This Row],[P45 Return]])</f>
        <v>1.602734361331992</v>
      </c>
      <c r="FY68" s="27">
        <f>MAX(FY67,PortfolioFrontier[[#This Row],[P45 Growth]])</f>
        <v>1.6521987951095782</v>
      </c>
      <c r="FZ68" s="27">
        <f>PortfolioFrontier[[#This Row],[P45 Growth]]/PortfolioFrontier[[#This Row],[P45 HWM]]-1</f>
        <v>-2.9938548511231455E-2</v>
      </c>
      <c r="GA68" s="28">
        <f>SUMPRODUCT(INDEX(PortfolioRef[[SPY]:[PE]],MATCH(GA$1,PortfolioRef[Reference '#]),0),AssetMonthlyReturns[[#This Row],[SPY]:[PE]])</f>
        <v>-3.5251107012234481E-2</v>
      </c>
      <c r="GB68" s="27">
        <f>IF(ISNUMBER(GB67),GB67*(1+PortfolioFrontier[[#This Row],[P46 Return]]),1+PortfolioFrontier[[#This Row],[P46 Return]])</f>
        <v>1.6367136541532665</v>
      </c>
      <c r="GC68" s="27">
        <f>MAX(GC67,PortfolioFrontier[[#This Row],[P46 Growth]])</f>
        <v>1.6965177841090535</v>
      </c>
      <c r="GD68" s="27">
        <f>PortfolioFrontier[[#This Row],[P46 Growth]]/PortfolioFrontier[[#This Row],[P46 HWM]]-1</f>
        <v>-3.5251107012234328E-2</v>
      </c>
      <c r="GE68" s="28">
        <f>SUMPRODUCT(INDEX(PortfolioRef[[SPY]:[PE]],MATCH(GE$1,PortfolioRef[Reference '#]),0),AssetMonthlyReturns[[#This Row],[SPY]:[PE]])</f>
        <v>-3.1458128274594301E-2</v>
      </c>
      <c r="GF68" s="27">
        <f>IF(ISNUMBER(GF67),GF67*(1+PortfolioFrontier[[#This Row],[P47 Return]]),1+PortfolioFrontier[[#This Row],[P47 Return]])</f>
        <v>1.6139083959548122</v>
      </c>
      <c r="GG68" s="27">
        <f>MAX(GG67,PortfolioFrontier[[#This Row],[P47 Growth]])</f>
        <v>1.6663279544948535</v>
      </c>
      <c r="GH68" s="27">
        <f>PortfolioFrontier[[#This Row],[P47 Growth]]/PortfolioFrontier[[#This Row],[P47 HWM]]-1</f>
        <v>-3.1458128274594266E-2</v>
      </c>
      <c r="GI68" s="28">
        <f>SUMPRODUCT(INDEX(PortfolioRef[[SPY]:[PE]],MATCH(GI$1,PortfolioRef[Reference '#]),0),AssetMonthlyReturns[[#This Row],[SPY]:[PE]])</f>
        <v>-2.7665149536954106E-2</v>
      </c>
      <c r="GJ68" s="27">
        <f>IF(ISNUMBER(GJ67),GJ67*(1+PortfolioFrontier[[#This Row],[P48 Return]]),1+PortfolioFrontier[[#This Row],[P48 Return]])</f>
        <v>1.5907694522948859</v>
      </c>
      <c r="GK68" s="27">
        <f>MAX(GK67,PortfolioFrontier[[#This Row],[P48 Growth]])</f>
        <v>1.6360304801759689</v>
      </c>
      <c r="GL68" s="27">
        <f>PortfolioFrontier[[#This Row],[P48 Growth]]/PortfolioFrontier[[#This Row],[P48 HWM]]-1</f>
        <v>-2.7665149536954092E-2</v>
      </c>
      <c r="GM68" s="28">
        <f>SUMPRODUCT(INDEX(PortfolioRef[[SPY]:[PE]],MATCH(GM$1,PortfolioRef[Reference '#]),0),AssetMonthlyReturns[[#This Row],[SPY]:[PE]])</f>
        <v>-3.6770686775597347E-2</v>
      </c>
      <c r="GN68" s="27">
        <f>IF(ISNUMBER(GN67),GN67*(1+PortfolioFrontier[[#This Row],[P49 Return]]),1+PortfolioFrontier[[#This Row],[P49 Return]])</f>
        <v>1.6467704532725691</v>
      </c>
      <c r="GO68" s="27">
        <f>MAX(GO67,PortfolioFrontier[[#This Row],[P49 Growth]])</f>
        <v>1.7096349027834481</v>
      </c>
      <c r="GP68" s="27">
        <f>PortfolioFrontier[[#This Row],[P49 Growth]]/PortfolioFrontier[[#This Row],[P49 HWM]]-1</f>
        <v>-3.6770686775597361E-2</v>
      </c>
      <c r="GQ68" s="28">
        <f>SUMPRODUCT(INDEX(PortfolioRef[[SPY]:[PE]],MATCH(GQ$1,PortfolioRef[Reference '#]),0),AssetMonthlyReturns[[#This Row],[SPY]:[PE]])</f>
        <v>-3.297770803795716E-2</v>
      </c>
      <c r="GR68" s="27">
        <f>IF(ISNUMBER(GR67),GR67*(1+PortfolioFrontier[[#This Row],[P50 Return]]),1+PortfolioFrontier[[#This Row],[P50 Return]])</f>
        <v>1.624331869847675</v>
      </c>
      <c r="GS68" s="27">
        <f>MAX(GS67,PortfolioFrontier[[#This Row],[P50 Growth]])</f>
        <v>1.6797253624339743</v>
      </c>
      <c r="GT68" s="27">
        <f>PortfolioFrontier[[#This Row],[P50 Growth]]/PortfolioFrontier[[#This Row],[P50 HWM]]-1</f>
        <v>-3.2977708037957187E-2</v>
      </c>
      <c r="GU68" s="28">
        <f>SUMPRODUCT(INDEX(PortfolioRef[[SPY]:[PE]],MATCH(GU$1,PortfolioRef[Reference '#]),0),AssetMonthlyReturns[[#This Row],[SPY]:[PE]])</f>
        <v>-2.9184729300316972E-2</v>
      </c>
      <c r="GV68" s="27">
        <f>IF(ISNUMBER(GV67),GV67*(1+PortfolioFrontier[[#This Row],[P51 Return]]),1+PortfolioFrontier[[#This Row],[P51 Return]])</f>
        <v>1.6015393055864457</v>
      </c>
      <c r="GW68" s="27">
        <f>MAX(GW67,PortfolioFrontier[[#This Row],[P51 Growth]])</f>
        <v>1.6496849132092755</v>
      </c>
      <c r="GX68" s="27">
        <f>PortfolioFrontier[[#This Row],[P51 Growth]]/PortfolioFrontier[[#This Row],[P51 HWM]]-1</f>
        <v>-2.9184729300317014E-2</v>
      </c>
      <c r="GY68" s="28">
        <f>SUMPRODUCT(INDEX(PortfolioRef[[SPY]:[PE]],MATCH(GY$1,PortfolioRef[Reference '#]),0),AssetMonthlyReturns[[#This Row],[SPY]:[PE]])</f>
        <v>-3.6403994632439485E-2</v>
      </c>
      <c r="GZ68" s="27">
        <f>IF(ISNUMBER(GZ67),GZ67*(1+PortfolioFrontier[[#This Row],[P52 Return]]),1+PortfolioFrontier[[#This Row],[P52 Return]])</f>
        <v>1.6482914164409932</v>
      </c>
      <c r="HA68" s="27">
        <f>MAX(HA67,PortfolioFrontier[[#This Row],[P52 Growth]])</f>
        <v>1.7105627329912581</v>
      </c>
      <c r="HB68" s="27">
        <f>PortfolioFrontier[[#This Row],[P52 Growth]]/PortfolioFrontier[[#This Row],[P52 HWM]]-1</f>
        <v>-3.6403994632439485E-2</v>
      </c>
      <c r="HC68" s="28">
        <f>SUMPRODUCT(INDEX(PortfolioRef[[SPY]:[PE]],MATCH(HC$1,PortfolioRef[Reference '#]),0),AssetMonthlyReturns[[#This Row],[SPY]:[PE]])</f>
        <v>-3.2611015894799297E-2</v>
      </c>
      <c r="HD68" s="27">
        <f>IF(ISNUMBER(HD67),HD67*(1+PortfolioFrontier[[#This Row],[P53 Return]]),1+PortfolioFrontier[[#This Row],[P53 Return]])</f>
        <v>1.6253739660083868</v>
      </c>
      <c r="HE68" s="27">
        <f>MAX(HE67,PortfolioFrontier[[#This Row],[P53 Growth]])</f>
        <v>1.680165882302038</v>
      </c>
      <c r="HF68" s="27">
        <f>PortfolioFrontier[[#This Row],[P53 Growth]]/PortfolioFrontier[[#This Row],[P53 HWM]]-1</f>
        <v>-3.2611015894799311E-2</v>
      </c>
      <c r="HG68" s="28">
        <f>SUMPRODUCT(INDEX(PortfolioRef[[SPY]:[PE]],MATCH(HG$1,PortfolioRef[Reference '#]),0),AssetMonthlyReturns[[#This Row],[SPY]:[PE]])</f>
        <v>-2.8818037157159103E-2</v>
      </c>
      <c r="HH68" s="27">
        <f>IF(ISNUMBER(HH67),HH67*(1+PortfolioFrontier[[#This Row],[P54 Return]]),1+PortfolioFrontier[[#This Row],[P54 Return]])</f>
        <v>1.6021192785443561</v>
      </c>
      <c r="HI68" s="27">
        <f>MAX(HI67,PortfolioFrontier[[#This Row],[P54 Growth]])</f>
        <v>1.6496592192205026</v>
      </c>
      <c r="HJ68" s="27">
        <f>PortfolioFrontier[[#This Row],[P54 Growth]]/PortfolioFrontier[[#This Row],[P54 HWM]]-1</f>
        <v>-2.8818037157159138E-2</v>
      </c>
      <c r="HK68" s="28">
        <f>SUMPRODUCT(INDEX(PortfolioRef[[SPY]:[PE]],MATCH(HK$1,PortfolioRef[Reference '#]),0),AssetMonthlyReturns[[#This Row],[SPY]:[PE]])</f>
        <v>-3.7923574395802337E-2</v>
      </c>
      <c r="HL68" s="27">
        <f>IF(ISNUMBER(HL67),HL67*(1+PortfolioFrontier[[#This Row],[P55 Return]]),1+PortfolioFrontier[[#This Row],[P55 Return]])</f>
        <v>1.6587200273626332</v>
      </c>
      <c r="HM68" s="27">
        <f>MAX(HM67,PortfolioFrontier[[#This Row],[P55 Growth]])</f>
        <v>1.7241042220953844</v>
      </c>
      <c r="HN68" s="27">
        <f>PortfolioFrontier[[#This Row],[P55 Growth]]/PortfolioFrontier[[#This Row],[P55 HWM]]-1</f>
        <v>-3.7923574395802295E-2</v>
      </c>
      <c r="HO68" s="28">
        <f>SUMPRODUCT(INDEX(PortfolioRef[[SPY]:[PE]],MATCH(HO$1,PortfolioRef[Reference '#]),0),AssetMonthlyReturns[[#This Row],[SPY]:[PE]])</f>
        <v>-3.4130595658162156E-2</v>
      </c>
      <c r="HP68" s="27">
        <f>IF(ISNUMBER(HP67),HP67*(1+PortfolioFrontier[[#This Row],[P56 Return]]),1+PortfolioFrontier[[#This Row],[P56 Return]])</f>
        <v>1.6361682700459295</v>
      </c>
      <c r="HQ68" s="27">
        <f>MAX(HQ67,PortfolioFrontier[[#This Row],[P56 Growth]])</f>
        <v>1.6939849866772063</v>
      </c>
      <c r="HR68" s="27">
        <f>PortfolioFrontier[[#This Row],[P56 Growth]]/PortfolioFrontier[[#This Row],[P56 HWM]]-1</f>
        <v>-3.4130595658162122E-2</v>
      </c>
      <c r="HS68" s="28">
        <f>SUMPRODUCT(INDEX(PortfolioRef[[SPY]:[PE]],MATCH(HS$1,PortfolioRef[Reference '#]),0),AssetMonthlyReturns[[#This Row],[SPY]:[PE]])</f>
        <v>-3.0337616920521962E-2</v>
      </c>
      <c r="HT68" s="27">
        <f>IF(ISNUMBER(HT67),HT67*(1+PortfolioFrontier[[#This Row],[P57 Return]]),1+PortfolioFrontier[[#This Row],[P57 Return]])</f>
        <v>1.6132587952912045</v>
      </c>
      <c r="HU68" s="27">
        <f>MAX(HU67,PortfolioFrontier[[#This Row],[P57 Growth]])</f>
        <v>1.6637324737376908</v>
      </c>
      <c r="HV68" s="27">
        <f>PortfolioFrontier[[#This Row],[P57 Growth]]/PortfolioFrontier[[#This Row],[P57 HWM]]-1</f>
        <v>-3.0337616920521837E-2</v>
      </c>
      <c r="HW68" s="28">
        <f>SUMPRODUCT(INDEX(PortfolioRef[[SPY]:[PE]],MATCH(HW$1,PortfolioRef[Reference '#]),0),AssetMonthlyReturns[[#This Row],[SPY]:[PE]])</f>
        <v>-3.9443154159165203E-2</v>
      </c>
      <c r="HX68" s="27">
        <f>IF(ISNUMBER(HX67),HX67*(1+PortfolioFrontier[[#This Row],[P58 Return]]),1+PortfolioFrontier[[#This Row],[P58 Return]])</f>
        <v>1.6683563066531739</v>
      </c>
      <c r="HY68" s="27">
        <f>MAX(HY67,PortfolioFrontier[[#This Row],[P58 Growth]])</f>
        <v>1.7368636888874167</v>
      </c>
      <c r="HZ68" s="27">
        <f>PortfolioFrontier[[#This Row],[P58 Growth]]/PortfolioFrontier[[#This Row],[P58 HWM]]-1</f>
        <v>-3.9443154159165217E-2</v>
      </c>
      <c r="IA68" s="28">
        <f>SUMPRODUCT(INDEX(PortfolioRef[[SPY]:[PE]],MATCH(IA$1,PortfolioRef[Reference '#]),0),AssetMonthlyReturns[[#This Row],[SPY]:[PE]])</f>
        <v>-3.5650175421525016E-2</v>
      </c>
      <c r="IB68" s="27">
        <f>IF(ISNUMBER(IB67),IB67*(1+PortfolioFrontier[[#This Row],[P59 Return]]),1+PortfolioFrontier[[#This Row],[P59 Return]])</f>
        <v>1.6461911748783433</v>
      </c>
      <c r="IC68" s="27">
        <f>MAX(IC67,PortfolioFrontier[[#This Row],[P59 Growth]])</f>
        <v>1.7070477257544032</v>
      </c>
      <c r="ID68" s="27">
        <f>PortfolioFrontier[[#This Row],[P59 Growth]]/PortfolioFrontier[[#This Row],[P59 HWM]]-1</f>
        <v>-3.5650175421525043E-2</v>
      </c>
      <c r="IE68" s="28">
        <f>SUMPRODUCT(INDEX(PortfolioRef[[SPY]:[PE]],MATCH(IE$1,PortfolioRef[Reference '#]),0),AssetMonthlyReturns[[#This Row],[SPY]:[PE]])</f>
        <v>-3.1857196683884828E-2</v>
      </c>
      <c r="IF68" s="27">
        <f>IF(ISNUMBER(IF67),IF67*(1+PortfolioFrontier[[#This Row],[P60 Return]]),1+PortfolioFrontier[[#This Row],[P60 Return]])</f>
        <v>1.6236478113322659</v>
      </c>
      <c r="IG68" s="27">
        <f>MAX(IG67,PortfolioFrontier[[#This Row],[P60 Growth]])</f>
        <v>1.6770747102296202</v>
      </c>
      <c r="IH68" s="27">
        <f>PortfolioFrontier[[#This Row],[P60 Growth]]/PortfolioFrontier[[#This Row],[P60 HWM]]-1</f>
        <v>-3.185719668388487E-2</v>
      </c>
      <c r="II68" s="28">
        <f>SUMPRODUCT(INDEX(PortfolioRef[[SPY]:[PE]],MATCH(II$1,PortfolioRef[Reference '#]),0),AssetMonthlyReturns[[#This Row],[SPY]:[PE]])</f>
        <v>-2.6729557397109315E-2</v>
      </c>
      <c r="IJ68" s="27">
        <f>IF(ISNUMBER(IJ67),IJ67*(1+PortfolioFrontier[[#This Row],[P61 Return]]),1+PortfolioFrontier[[#This Row],[P61 Return]])</f>
        <v>1.5279643494775434</v>
      </c>
      <c r="IK68" s="27">
        <f>MAX(IK67,PortfolioFrontier[[#This Row],[P61 Growth]])</f>
        <v>1.5699278253957789</v>
      </c>
      <c r="IL68" s="27">
        <f>PortfolioFrontier[[#This Row],[P61 Growth]]/PortfolioFrontier[[#This Row],[P61 HWM]]-1</f>
        <v>-2.6729557397109249E-2</v>
      </c>
      <c r="IM68" s="28">
        <f>SUMPRODUCT(INDEX(PortfolioRef[[SPY]:[PE]],MATCH(IM$1,PortfolioRef[Reference '#]),0),AssetMonthlyReturns[[#This Row],[SPY]:[PE]])</f>
        <v>-2.7882445017314312E-2</v>
      </c>
      <c r="IN68" s="27">
        <f>IF(ISNUMBER(IN67),IN67*(1+PortfolioFrontier[[#This Row],[P62 Return]]),1+PortfolioFrontier[[#This Row],[P62 Return]])</f>
        <v>1.5391243864226201</v>
      </c>
      <c r="IO68" s="27">
        <f>MAX(IO67,PortfolioFrontier[[#This Row],[P62 Growth]])</f>
        <v>1.5832698201299669</v>
      </c>
      <c r="IP68" s="27">
        <f>PortfolioFrontier[[#This Row],[P62 Growth]]/PortfolioFrontier[[#This Row],[P62 HWM]]-1</f>
        <v>-2.7882445017314184E-2</v>
      </c>
      <c r="IQ68" s="28">
        <f>SUMPRODUCT(INDEX(PortfolioRef[[SPY]:[PE]],MATCH(IQ$1,PortfolioRef[Reference '#]),0),AssetMonthlyReturns[[#This Row],[SPY]:[PE]])</f>
        <v>-2.9402024780677171E-2</v>
      </c>
      <c r="IR68" s="27">
        <f>IF(ISNUMBER(IR67),IR67*(1+PortfolioFrontier[[#This Row],[P63 Return]]),1+PortfolioFrontier[[#This Row],[P63 Return]])</f>
        <v>1.5499755511476736</v>
      </c>
      <c r="IS68" s="27">
        <f>MAX(IS67,PortfolioFrontier[[#This Row],[P63 Growth]])</f>
        <v>1.5969284819468439</v>
      </c>
      <c r="IT68" s="27">
        <f>PortfolioFrontier[[#This Row],[P63 Growth]]/PortfolioFrontier[[#This Row],[P63 HWM]]-1</f>
        <v>-2.9402024780677216E-2</v>
      </c>
      <c r="IU68" s="28">
        <f>SUMPRODUCT(INDEX(PortfolioRef[[SPY]:[PE]],MATCH(IU$1,PortfolioRef[Reference '#]),0),AssetMonthlyReturns[[#This Row],[SPY]:[PE]])</f>
        <v>-2.5609046043036984E-2</v>
      </c>
      <c r="IV68" s="27">
        <f>IF(ISNUMBER(IV67),IV67*(1+PortfolioFrontier[[#This Row],[P64 Return]]),1+PortfolioFrontier[[#This Row],[P64 Return]])</f>
        <v>1.527481525225842</v>
      </c>
      <c r="IW68" s="27">
        <f>MAX(IW67,PortfolioFrontier[[#This Row],[P64 Growth]])</f>
        <v>1.567626956123515</v>
      </c>
      <c r="IX68" s="27">
        <f>PortfolioFrontier[[#This Row],[P64 Growth]]/PortfolioFrontier[[#This Row],[P64 HWM]]-1</f>
        <v>-2.5609046043036932E-2</v>
      </c>
      <c r="IY68" s="28">
        <f>SUMPRODUCT(INDEX(PortfolioRef[[SPY]:[PE]],MATCH(IY$1,PortfolioRef[Reference '#]),0),AssetMonthlyReturns[[#This Row],[SPY]:[PE]])</f>
        <v>-2.9035332637519309E-2</v>
      </c>
      <c r="IZ68" s="27">
        <f>IF(ISNUMBER(IZ67),IZ67*(1+PortfolioFrontier[[#This Row],[P65 Return]]),1+PortfolioFrontier[[#This Row],[P65 Return]])</f>
        <v>1.5500639874209072</v>
      </c>
      <c r="JA68" s="27">
        <f>MAX(JA67,PortfolioFrontier[[#This Row],[P65 Growth]])</f>
        <v>1.5964164706749695</v>
      </c>
      <c r="JB68" s="27">
        <f>PortfolioFrontier[[#This Row],[P65 Growth]]/PortfolioFrontier[[#This Row],[P65 HWM]]-1</f>
        <v>-2.9035332637519229E-2</v>
      </c>
      <c r="JC68" s="28">
        <f>SUMPRODUCT(INDEX(PortfolioRef[[SPY]:[PE]],MATCH(JC$1,PortfolioRef[Reference '#]),0),AssetMonthlyReturns[[#This Row],[SPY]:[PE]])</f>
        <v>-3.0554912400882168E-2</v>
      </c>
      <c r="JD68" s="27">
        <f>IF(ISNUMBER(JD67),JD67*(1+PortfolioFrontier[[#This Row],[P66 Return]]),1+PortfolioFrontier[[#This Row],[P66 Return]])</f>
        <v>1.5612765493877856</v>
      </c>
      <c r="JE68" s="27">
        <f>MAX(JE67,PortfolioFrontier[[#This Row],[P66 Growth]])</f>
        <v>1.6104847704725285</v>
      </c>
      <c r="JF68" s="27">
        <f>PortfolioFrontier[[#This Row],[P66 Growth]]/PortfolioFrontier[[#This Row],[P66 HWM]]-1</f>
        <v>-3.055491240088215E-2</v>
      </c>
      <c r="JG68" s="28">
        <f>SUMPRODUCT(INDEX(PortfolioRef[[SPY]:[PE]],MATCH(JG$1,PortfolioRef[Reference '#]),0),AssetMonthlyReturns[[#This Row],[SPY]:[PE]])</f>
        <v>-2.6761933663241973E-2</v>
      </c>
      <c r="JH68" s="27">
        <f>IF(ISNUMBER(JH67),JH67*(1+PortfolioFrontier[[#This Row],[P67 Return]]),1+PortfolioFrontier[[#This Row],[P67 Return]])</f>
        <v>1.5386656973615451</v>
      </c>
      <c r="JI68" s="27">
        <f>MAX(JI67,PortfolioFrontier[[#This Row],[P67 Growth]])</f>
        <v>1.5809756631828444</v>
      </c>
      <c r="JJ68" s="27">
        <f>PortfolioFrontier[[#This Row],[P67 Growth]]/PortfolioFrontier[[#This Row],[P67 HWM]]-1</f>
        <v>-2.6761933663241977E-2</v>
      </c>
      <c r="JK68" s="28">
        <f>SUMPRODUCT(INDEX(PortfolioRef[[SPY]:[PE]],MATCH(JK$1,PortfolioRef[Reference '#]),0),AssetMonthlyReturns[[#This Row],[SPY]:[PE]])</f>
        <v>-3.207449216424503E-2</v>
      </c>
      <c r="JL68" s="27">
        <f>IF(ISNUMBER(JL67),JL67*(1+PortfolioFrontier[[#This Row],[P68 Return]]),1+PortfolioFrontier[[#This Row],[P68 Return]])</f>
        <v>1.5717701010370724</v>
      </c>
      <c r="JM68" s="27">
        <f>MAX(JM67,PortfolioFrontier[[#This Row],[P68 Growth]])</f>
        <v>1.6238544064733775</v>
      </c>
      <c r="JN68" s="27">
        <f>PortfolioFrontier[[#This Row],[P68 Growth]]/PortfolioFrontier[[#This Row],[P68 HWM]]-1</f>
        <v>-3.2074492164245072E-2</v>
      </c>
      <c r="JO68" s="28">
        <f>SUMPRODUCT(INDEX(PortfolioRef[[SPY]:[PE]],MATCH(JO$1,PortfolioRef[Reference '#]),0),AssetMonthlyReturns[[#This Row],[SPY]:[PE]])</f>
        <v>-2.8281513426604839E-2</v>
      </c>
      <c r="JP68" s="27">
        <f>IF(ISNUMBER(JP67),JP67*(1+PortfolioFrontier[[#This Row],[P69 Return]]),1+PortfolioFrontier[[#This Row],[P69 Return]])</f>
        <v>1.5494849765370036</v>
      </c>
      <c r="JQ68" s="27">
        <f>MAX(JQ67,PortfolioFrontier[[#This Row],[P69 Growth]])</f>
        <v>1.5945821736921013</v>
      </c>
      <c r="JR68" s="27">
        <f>PortfolioFrontier[[#This Row],[P69 Growth]]/PortfolioFrontier[[#This Row],[P69 HWM]]-1</f>
        <v>-2.8281513426604787E-2</v>
      </c>
      <c r="JS68" s="28">
        <f>SUMPRODUCT(INDEX(PortfolioRef[[SPY]:[PE]],MATCH(JS$1,PortfolioRef[Reference '#]),0),AssetMonthlyReturns[[#This Row],[SPY]:[PE]])</f>
        <v>-2.4488534688964649E-2</v>
      </c>
      <c r="JT68" s="27">
        <f>IF(ISNUMBER(JT67),JT67*(1+PortfolioFrontier[[#This Row],[P70 Return]]),1+PortfolioFrontier[[#This Row],[P70 Return]])</f>
        <v>1.5268921702610354</v>
      </c>
      <c r="JU68" s="27">
        <f>MAX(JU67,PortfolioFrontier[[#This Row],[P70 Growth]])</f>
        <v>1.5652221676084515</v>
      </c>
      <c r="JV68" s="27">
        <f>PortfolioFrontier[[#This Row],[P70 Growth]]/PortfolioFrontier[[#This Row],[P70 HWM]]-1</f>
        <v>-2.4488534688964725E-2</v>
      </c>
      <c r="JW68" s="28">
        <f>SUMPRODUCT(INDEX(PortfolioRef[[SPY]:[PE]],MATCH(JW$1,PortfolioRef[Reference '#]),0),AssetMonthlyReturns[[#This Row],[SPY]:[PE]])</f>
        <v>-3.1707800021087154E-2</v>
      </c>
      <c r="JX68" s="27">
        <f>IF(ISNUMBER(JX67),JX67*(1+PortfolioFrontier[[#This Row],[P71 Return]]),1+PortfolioFrontier[[#This Row],[P71 Return]])</f>
        <v>1.5723541644062151</v>
      </c>
      <c r="JY68" s="27">
        <f>MAX(JY67,PortfolioFrontier[[#This Row],[P71 Growth]])</f>
        <v>1.6238426421698506</v>
      </c>
      <c r="JZ68" s="27">
        <f>PortfolioFrontier[[#This Row],[P71 Growth]]/PortfolioFrontier[[#This Row],[P71 HWM]]-1</f>
        <v>-3.1707800021087196E-2</v>
      </c>
      <c r="KA68" s="28">
        <f>SUMPRODUCT(INDEX(PortfolioRef[[SPY]:[PE]],MATCH(KA$1,PortfolioRef[Reference '#]),0),AssetMonthlyReturns[[#This Row],[SPY]:[PE]])</f>
        <v>-2.791482128344697E-2</v>
      </c>
      <c r="KB68" s="27">
        <f>IF(ISNUMBER(KB67),KB67*(1+PortfolioFrontier[[#This Row],[P72 Return]]),1+PortfolioFrontier[[#This Row],[P72 Return]])</f>
        <v>1.5496300189927137</v>
      </c>
      <c r="KC68" s="27">
        <f>MAX(KC67,PortfolioFrontier[[#This Row],[P72 Growth]])</f>
        <v>1.5941298693996084</v>
      </c>
      <c r="KD68" s="27">
        <f>PortfolioFrontier[[#This Row],[P72 Growth]]/PortfolioFrontier[[#This Row],[P72 HWM]]-1</f>
        <v>-2.7914821283447022E-2</v>
      </c>
      <c r="KE68" s="28">
        <f>SUMPRODUCT(INDEX(PortfolioRef[[SPY]:[PE]],MATCH(KE$1,PortfolioRef[Reference '#]),0),AssetMonthlyReturns[[#This Row],[SPY]:[PE]])</f>
        <v>-3.322737978445002E-2</v>
      </c>
      <c r="KF68" s="27">
        <f>IF(ISNUMBER(KF67),KF67*(1+PortfolioFrontier[[#This Row],[P73 Return]]),1+PortfolioFrontier[[#This Row],[P73 Return]])</f>
        <v>1.5832100855285203</v>
      </c>
      <c r="KG68" s="27">
        <f>MAX(KG67,PortfolioFrontier[[#This Row],[P73 Growth]])</f>
        <v>1.6376240414995724</v>
      </c>
      <c r="KH68" s="27">
        <f>PortfolioFrontier[[#This Row],[P73 Growth]]/PortfolioFrontier[[#This Row],[P73 HWM]]-1</f>
        <v>-3.3227379784450006E-2</v>
      </c>
      <c r="KI68" s="28">
        <f>SUMPRODUCT(INDEX(PortfolioRef[[SPY]:[PE]],MATCH(KI$1,PortfolioRef[Reference '#]),0),AssetMonthlyReturns[[#This Row],[SPY]:[PE]])</f>
        <v>-2.9434401046809829E-2</v>
      </c>
      <c r="KJ68" s="27">
        <f>IF(ISNUMBER(KJ67),KJ67*(1+PortfolioFrontier[[#This Row],[P74 Return]]),1+PortfolioFrontier[[#This Row],[P74 Return]])</f>
        <v>1.560810433872591</v>
      </c>
      <c r="KK68" s="27">
        <f>MAX(KK67,PortfolioFrontier[[#This Row],[P74 Growth]])</f>
        <v>1.6081452253778759</v>
      </c>
      <c r="KL68" s="27">
        <f>PortfolioFrontier[[#This Row],[P74 Growth]]/PortfolioFrontier[[#This Row],[P74 HWM]]-1</f>
        <v>-2.9434401046809833E-2</v>
      </c>
      <c r="KM68" s="28">
        <f>SUMPRODUCT(INDEX(PortfolioRef[[SPY]:[PE]],MATCH(KM$1,PortfolioRef[Reference '#]),0),AssetMonthlyReturns[[#This Row],[SPY]:[PE]])</f>
        <v>-2.5641422309169638E-2</v>
      </c>
      <c r="KN68" s="27">
        <f>IF(ISNUMBER(KN67),KN67*(1+PortfolioFrontier[[#This Row],[P75 Return]]),1+PortfolioFrontier[[#This Row],[P75 Return]])</f>
        <v>1.5380996869644419</v>
      </c>
      <c r="KO68" s="27">
        <f>MAX(KO67,PortfolioFrontier[[#This Row],[P75 Growth]])</f>
        <v>1.5785766371653884</v>
      </c>
      <c r="KP68" s="27">
        <f>PortfolioFrontier[[#This Row],[P75 Growth]]/PortfolioFrontier[[#This Row],[P75 HWM]]-1</f>
        <v>-2.5641422309169659E-2</v>
      </c>
      <c r="KQ68" s="28">
        <f>SUMPRODUCT(INDEX(PortfolioRef[[SPY]:[PE]],MATCH(KQ$1,PortfolioRef[Reference '#]),0),AssetMonthlyReturns[[#This Row],[SPY]:[PE]])</f>
        <v>-3.4746959547812879E-2</v>
      </c>
      <c r="KR68" s="27">
        <f>IF(ISNUMBER(KR67),KR67*(1+PortfolioFrontier[[#This Row],[P76 Return]]),1+PortfolioFrontier[[#This Row],[P76 Return]])</f>
        <v>1.5933266183038821</v>
      </c>
      <c r="KS68" s="27">
        <f>MAX(KS67,PortfolioFrontier[[#This Row],[P76 Growth]])</f>
        <v>1.6506828277458361</v>
      </c>
      <c r="KT68" s="27">
        <f>PortfolioFrontier[[#This Row],[P76 Growth]]/PortfolioFrontier[[#This Row],[P76 HWM]]-1</f>
        <v>-3.4746959547812928E-2</v>
      </c>
      <c r="KU68" s="28">
        <f>SUMPRODUCT(INDEX(PortfolioRef[[SPY]:[PE]],MATCH(KU$1,PortfolioRef[Reference '#]),0),AssetMonthlyReturns[[#This Row],[SPY]:[PE]])</f>
        <v>-3.0953980810172695E-2</v>
      </c>
      <c r="KV68" s="27">
        <f>IF(ISNUMBER(KV67),KV67*(1+PortfolioFrontier[[#This Row],[P77 Return]]),1+PortfolioFrontier[[#This Row],[P77 Return]])</f>
        <v>1.5712718142079185</v>
      </c>
      <c r="KW68" s="27">
        <f>MAX(KW67,PortfolioFrontier[[#This Row],[P77 Growth]])</f>
        <v>1.6214625343815798</v>
      </c>
      <c r="KX68" s="27">
        <f>PortfolioFrontier[[#This Row],[P77 Growth]]/PortfolioFrontier[[#This Row],[P77 HWM]]-1</f>
        <v>-3.0953980810172643E-2</v>
      </c>
      <c r="KY68" s="28">
        <f>SUMPRODUCT(INDEX(PortfolioRef[[SPY]:[PE]],MATCH(KY$1,PortfolioRef[Reference '#]),0),AssetMonthlyReturns[[#This Row],[SPY]:[PE]])</f>
        <v>-2.7161002072532504E-2</v>
      </c>
      <c r="KZ68" s="27">
        <f>IF(ISNUMBER(KZ67),KZ67*(1+PortfolioFrontier[[#This Row],[P78 Return]]),1+PortfolioFrontier[[#This Row],[P78 Return]])</f>
        <v>1.548886244766345</v>
      </c>
      <c r="LA68" s="27">
        <f>MAX(LA67,PortfolioFrontier[[#This Row],[P78 Growth]])</f>
        <v>1.5921300935366347</v>
      </c>
      <c r="LB68" s="27">
        <f>PortfolioFrontier[[#This Row],[P78 Growth]]/PortfolioFrontier[[#This Row],[P78 HWM]]-1</f>
        <v>-2.7161002072532359E-2</v>
      </c>
      <c r="LC68" s="28">
        <f>SUMPRODUCT(INDEX(PortfolioRef[[SPY]:[PE]],MATCH(LC$1,PortfolioRef[Reference '#]),0),AssetMonthlyReturns[[#This Row],[SPY]:[PE]])</f>
        <v>-3.438026740465501E-2</v>
      </c>
      <c r="LD68" s="27">
        <f>IF(ISNUMBER(LD67),LD67*(1+PortfolioFrontier[[#This Row],[P79 Return]]),1+PortfolioFrontier[[#This Row],[P79 Return]])</f>
        <v>1.5944237739314326</v>
      </c>
      <c r="LE68" s="27">
        <f>MAX(LE67,PortfolioFrontier[[#This Row],[P79 Growth]])</f>
        <v>1.6511922034215469</v>
      </c>
      <c r="LF68" s="27">
        <f>PortfolioFrontier[[#This Row],[P79 Growth]]/PortfolioFrontier[[#This Row],[P79 HWM]]-1</f>
        <v>-3.4380267404655052E-2</v>
      </c>
      <c r="LG68" s="28">
        <f>SUMPRODUCT(INDEX(PortfolioRef[[SPY]:[PE]],MATCH(LG$1,PortfolioRef[Reference '#]),0),AssetMonthlyReturns[[#This Row],[SPY]:[PE]])</f>
        <v>-3.0587288667014826E-2</v>
      </c>
      <c r="LH68" s="27">
        <f>IF(ISNUMBER(LH67),LH67*(1+PortfolioFrontier[[#This Row],[P80 Return]]),1+PortfolioFrontier[[#This Row],[P80 Return]])</f>
        <v>1.5719131006069347</v>
      </c>
      <c r="LI68" s="27">
        <f>MAX(LI67,PortfolioFrontier[[#This Row],[P80 Growth]])</f>
        <v>1.621510716983982</v>
      </c>
      <c r="LJ68" s="27">
        <f>PortfolioFrontier[[#This Row],[P80 Growth]]/PortfolioFrontier[[#This Row],[P80 HWM]]-1</f>
        <v>-3.0587288667014878E-2</v>
      </c>
      <c r="LK68" s="28">
        <f>SUMPRODUCT(INDEX(PortfolioRef[[SPY]:[PE]],MATCH(LK$1,PortfolioRef[Reference '#]),0),AssetMonthlyReturns[[#This Row],[SPY]:[PE]])</f>
        <v>-2.6794309929374635E-2</v>
      </c>
      <c r="LL68" s="27">
        <f>IF(ISNUMBER(LL67),LL67*(1+PortfolioFrontier[[#This Row],[P81 Return]]),1+PortfolioFrontier[[#This Row],[P81 Return]])</f>
        <v>1.5490879529590258</v>
      </c>
      <c r="LM68" s="27">
        <f>MAX(LM67,PortfolioFrontier[[#This Row],[P81 Growth]])</f>
        <v>1.5917374597826373</v>
      </c>
      <c r="LN68" s="27">
        <f>PortfolioFrontier[[#This Row],[P81 Growth]]/PortfolioFrontier[[#This Row],[P81 HWM]]-1</f>
        <v>-2.6794309929374593E-2</v>
      </c>
      <c r="LO68" s="28">
        <f>SUMPRODUCT(INDEX(PortfolioRef[[SPY]:[PE]],MATCH(LO$1,PortfolioRef[Reference '#]),0),AssetMonthlyReturns[[#This Row],[SPY]:[PE]])</f>
        <v>-3.5899847168017876E-2</v>
      </c>
      <c r="LP68" s="27">
        <f>IF(ISNUMBER(LP67),LP67*(1+PortfolioFrontier[[#This Row],[P82 Return]]),1+PortfolioFrontier[[#This Row],[P82 Return]])</f>
        <v>1.6049034754643476</v>
      </c>
      <c r="LQ68" s="27">
        <f>MAX(LQ67,PortfolioFrontier[[#This Row],[P82 Growth]])</f>
        <v>1.6646646831763765</v>
      </c>
      <c r="LR68" s="27">
        <f>PortfolioFrontier[[#This Row],[P82 Growth]]/PortfolioFrontier[[#This Row],[P82 HWM]]-1</f>
        <v>-3.5899847168017862E-2</v>
      </c>
      <c r="LS68" s="28">
        <f>SUMPRODUCT(INDEX(PortfolioRef[[SPY]:[PE]],MATCH(LS$1,PortfolioRef[Reference '#]),0),AssetMonthlyReturns[[#This Row],[SPY]:[PE]])</f>
        <v>-3.2106868430377689E-2</v>
      </c>
      <c r="LT68" s="27">
        <f>IF(ISNUMBER(LT67),LT67*(1+PortfolioFrontier[[#This Row],[P83 Return]]),1+PortfolioFrontier[[#This Row],[P83 Return]])</f>
        <v>1.5827365788973022</v>
      </c>
      <c r="LU68" s="27">
        <f>MAX(LU67,PortfolioFrontier[[#This Row],[P83 Growth]])</f>
        <v>1.6352389817361288</v>
      </c>
      <c r="LV68" s="27">
        <f>PortfolioFrontier[[#This Row],[P83 Growth]]/PortfolioFrontier[[#This Row],[P83 HWM]]-1</f>
        <v>-3.2106868430377578E-2</v>
      </c>
      <c r="LW68" s="28">
        <f>SUMPRODUCT(INDEX(PortfolioRef[[SPY]:[PE]],MATCH(LW$1,PortfolioRef[Reference '#]),0),AssetMonthlyReturns[[#This Row],[SPY]:[PE]])</f>
        <v>-2.8313889692737494E-2</v>
      </c>
      <c r="LX68" s="27">
        <f>IF(ISNUMBER(LX67),LX67*(1+PortfolioFrontier[[#This Row],[P84 Return]]),1+PortfolioFrontier[[#This Row],[P84 Return]])</f>
        <v>1.5602353596999525</v>
      </c>
      <c r="LY68" s="27">
        <f>MAX(LY67,PortfolioFrontier[[#This Row],[P84 Growth]])</f>
        <v>1.6056989424358257</v>
      </c>
      <c r="LZ68" s="27">
        <f>PortfolioFrontier[[#This Row],[P84 Growth]]/PortfolioFrontier[[#This Row],[P84 HWM]]-1</f>
        <v>-2.8313889692737404E-2</v>
      </c>
      <c r="MA68" s="28">
        <f>SUMPRODUCT(INDEX(PortfolioRef[[SPY]:[PE]],MATCH(MA$1,PortfolioRef[Reference '#]),0),AssetMonthlyReturns[[#This Row],[SPY]:[PE]])</f>
        <v>-3.7419426931380735E-2</v>
      </c>
      <c r="MB68" s="27">
        <f>IF(ISNUMBER(MB67),MB67*(1+PortfolioFrontier[[#This Row],[P85 Return]]),1+PortfolioFrontier[[#This Row],[P85 Return]])</f>
        <v>1.6146233734930726</v>
      </c>
      <c r="MC68" s="27">
        <f>MAX(MC67,PortfolioFrontier[[#This Row],[P85 Growth]])</f>
        <v>1.6773903594852329</v>
      </c>
      <c r="MD68" s="27">
        <f>PortfolioFrontier[[#This Row],[P85 Growth]]/PortfolioFrontier[[#This Row],[P85 HWM]]-1</f>
        <v>-3.7419426931380784E-2</v>
      </c>
      <c r="ME68" s="28">
        <f>SUMPRODUCT(INDEX(PortfolioRef[[SPY]:[PE]],MATCH(ME$1,PortfolioRef[Reference '#]),0),AssetMonthlyReturns[[#This Row],[SPY]:[PE]])</f>
        <v>-3.3626448193740555E-2</v>
      </c>
      <c r="MF68" s="27">
        <f>IF(ISNUMBER(MF67),MF67*(1+PortfolioFrontier[[#This Row],[P86 Return]]),1+PortfolioFrontier[[#This Row],[P86 Return]])</f>
        <v>1.5928206712641679</v>
      </c>
      <c r="MG68" s="27">
        <f>MAX(MG67,PortfolioFrontier[[#This Row],[P86 Growth]])</f>
        <v>1.6482453066798126</v>
      </c>
      <c r="MH68" s="27">
        <f>PortfolioFrontier[[#This Row],[P86 Growth]]/PortfolioFrontier[[#This Row],[P86 HWM]]-1</f>
        <v>-3.3626448193740499E-2</v>
      </c>
      <c r="MI68" s="28">
        <f>SUMPRODUCT(INDEX(PortfolioRef[[SPY]:[PE]],MATCH(MI$1,PortfolioRef[Reference '#]),0),AssetMonthlyReturns[[#This Row],[SPY]:[PE]])</f>
        <v>-2.983346945610036E-2</v>
      </c>
      <c r="MJ68" s="27">
        <f>IF(ISNUMBER(MJ67),MJ67*(1+PortfolioFrontier[[#This Row],[P87 Return]]),1+PortfolioFrontier[[#This Row],[P87 Return]])</f>
        <v>1.5706637520181745</v>
      </c>
      <c r="MK68" s="27">
        <f>MAX(MK67,PortfolioFrontier[[#This Row],[P87 Growth]])</f>
        <v>1.6189630363125607</v>
      </c>
      <c r="ML68" s="27">
        <f>PortfolioFrontier[[#This Row],[P87 Growth]]/PortfolioFrontier[[#This Row],[P87 HWM]]-1</f>
        <v>-2.9833469456100215E-2</v>
      </c>
      <c r="MM68" s="28">
        <f>SUMPRODUCT(INDEX(PortfolioRef[[SPY]:[PE]],MATCH(MM$1,PortfolioRef[Reference '#]),0),AssetMonthlyReturns[[#This Row],[SPY]:[PE]])</f>
        <v>-3.7052734788222866E-2</v>
      </c>
      <c r="MN68" s="27">
        <f>IF(ISNUMBER(MN67),MN67*(1+PortfolioFrontier[[#This Row],[P88 Return]]),1+PortfolioFrontier[[#This Row],[P88 Return]])</f>
        <v>1.6162511609701087</v>
      </c>
      <c r="MO68" s="27">
        <f>MAX(MO67,PortfolioFrontier[[#This Row],[P88 Growth]])</f>
        <v>1.6784420283021968</v>
      </c>
      <c r="MP68" s="27">
        <f>PortfolioFrontier[[#This Row],[P88 Growth]]/PortfolioFrontier[[#This Row],[P88 HWM]]-1</f>
        <v>-3.7052734788222796E-2</v>
      </c>
      <c r="MQ68" s="28">
        <f>SUMPRODUCT(INDEX(PortfolioRef[[SPY]:[PE]],MATCH(MQ$1,PortfolioRef[Reference '#]),0),AssetMonthlyReturns[[#This Row],[SPY]:[PE]])</f>
        <v>-3.3259756050582685E-2</v>
      </c>
      <c r="MR68" s="27">
        <f>IF(ISNUMBER(MR67),MR67*(1+PortfolioFrontier[[#This Row],[P89 Return]]),1+PortfolioFrontier[[#This Row],[P89 Return]])</f>
        <v>1.5939756471972772</v>
      </c>
      <c r="MS68" s="27">
        <f>MAX(MS67,PortfolioFrontier[[#This Row],[P89 Growth]])</f>
        <v>1.6488148260854638</v>
      </c>
      <c r="MT68" s="27">
        <f>PortfolioFrontier[[#This Row],[P89 Growth]]/PortfolioFrontier[[#This Row],[P89 HWM]]-1</f>
        <v>-3.3259756050582734E-2</v>
      </c>
      <c r="MU68" s="28">
        <f>SUMPRODUCT(INDEX(PortfolioRef[[SPY]:[PE]],MATCH(MU$1,PortfolioRef[Reference '#]),0),AssetMonthlyReturns[[#This Row],[SPY]:[PE]])</f>
        <v>-2.9466777312942491E-2</v>
      </c>
      <c r="MV68" s="27">
        <f>IF(ISNUMBER(MV67),MV67*(1+PortfolioFrontier[[#This Row],[P90 Return]]),1+PortfolioFrontier[[#This Row],[P90 Return]])</f>
        <v>1.5713622912077265</v>
      </c>
      <c r="MW68" s="27">
        <f>MAX(MW67,PortfolioFrontier[[#This Row],[P90 Growth]])</f>
        <v>1.6190710987277583</v>
      </c>
      <c r="MX68" s="27">
        <f>PortfolioFrontier[[#This Row],[P90 Growth]]/PortfolioFrontier[[#This Row],[P90 HWM]]-1</f>
        <v>-2.9466777312942338E-2</v>
      </c>
      <c r="MY68" s="28">
        <f>SUMPRODUCT(INDEX(PortfolioRef[[SPY]:[PE]],MATCH(MY$1,PortfolioRef[Reference '#]),0),AssetMonthlyReturns[[#This Row],[SPY]:[PE]])</f>
        <v>-3.8572314551585732E-2</v>
      </c>
      <c r="MZ68" s="27">
        <f>IF(ISNUMBER(MZ67),MZ67*(1+PortfolioFrontier[[#This Row],[P91 Return]]),1+PortfolioFrontier[[#This Row],[P91 Return]])</f>
        <v>1.6263348498432624</v>
      </c>
      <c r="NA68" s="27">
        <f>MAX(NA67,PortfolioFrontier[[#This Row],[P91 Growth]])</f>
        <v>1.6915831262803009</v>
      </c>
      <c r="NB68" s="27">
        <f>PortfolioFrontier[[#This Row],[P91 Growth]]/PortfolioFrontier[[#This Row],[P91 HWM]]-1</f>
        <v>-3.8572314551585718E-2</v>
      </c>
      <c r="NC68" s="28">
        <f>SUMPRODUCT(INDEX(PortfolioRef[[SPY]:[PE]],MATCH(NC$1,PortfolioRef[Reference '#]),0),AssetMonthlyReturns[[#This Row],[SPY]:[PE]])</f>
        <v>-3.4779335813945544E-2</v>
      </c>
      <c r="ND68" s="27">
        <f>IF(ISNUMBER(ND67),ND67*(1+PortfolioFrontier[[#This Row],[P92 Return]]),1+PortfolioFrontier[[#This Row],[P92 Return]])</f>
        <v>1.6044226266992427</v>
      </c>
      <c r="NE68" s="27">
        <f>MAX(NE67,PortfolioFrontier[[#This Row],[P92 Growth]])</f>
        <v>1.6622340219500074</v>
      </c>
      <c r="NF68" s="27">
        <f>PortfolioFrontier[[#This Row],[P92 Growth]]/PortfolioFrontier[[#This Row],[P92 HWM]]-1</f>
        <v>-3.4779335813945544E-2</v>
      </c>
      <c r="NG68" s="28">
        <f>SUMPRODUCT(INDEX(PortfolioRef[[SPY]:[PE]],MATCH(NG$1,PortfolioRef[Reference '#]),0),AssetMonthlyReturns[[#This Row],[SPY]:[PE]])</f>
        <v>-3.098635707630535E-2</v>
      </c>
      <c r="NH68" s="27">
        <f>IF(ISNUMBER(NH67),NH67*(1+PortfolioFrontier[[#This Row],[P93 Return]]),1+PortfolioFrontier[[#This Row],[P93 Return]])</f>
        <v>1.5821524846242985</v>
      </c>
      <c r="NI68" s="27">
        <f>MAX(NI67,PortfolioFrontier[[#This Row],[P93 Growth]])</f>
        <v>1.6327453139366024</v>
      </c>
      <c r="NJ68" s="27">
        <f>PortfolioFrontier[[#This Row],[P93 Growth]]/PortfolioFrontier[[#This Row],[P93 HWM]]-1</f>
        <v>-3.0986357076305371E-2</v>
      </c>
      <c r="NK68" s="28">
        <f>SUMPRODUCT(INDEX(PortfolioRef[[SPY]:[PE]],MATCH(NK$1,PortfolioRef[Reference '#]),0),AssetMonthlyReturns[[#This Row],[SPY]:[PE]])</f>
        <v>-4.0091894314948591E-2</v>
      </c>
      <c r="NL68" s="27">
        <f>IF(ISNUMBER(NL67),NL67*(1+PortfolioFrontier[[#This Row],[P94 Return]]),1+PortfolioFrontier[[#This Row],[P94 Return]])</f>
        <v>1.6356383033523905</v>
      </c>
      <c r="NM68" s="27">
        <f>MAX(NM67,PortfolioFrontier[[#This Row],[P94 Growth]])</f>
        <v>1.7039530072361408</v>
      </c>
      <c r="NN68" s="27">
        <f>PortfolioFrontier[[#This Row],[P94 Growth]]/PortfolioFrontier[[#This Row],[P94 HWM]]-1</f>
        <v>-4.0091894314948751E-2</v>
      </c>
      <c r="NO68" s="28">
        <f>SUMPRODUCT(INDEX(PortfolioRef[[SPY]:[PE]],MATCH(NO$1,PortfolioRef[Reference '#]),0),AssetMonthlyReturns[[#This Row],[SPY]:[PE]])</f>
        <v>-3.629891557730841E-2</v>
      </c>
      <c r="NP68" s="27">
        <f>IF(ISNUMBER(NP67),NP67*(1+PortfolioFrontier[[#This Row],[P95 Return]]),1+PortfolioFrontier[[#This Row],[P95 Return]])</f>
        <v>1.6141098329984418</v>
      </c>
      <c r="NQ68" s="27">
        <f>MAX(NQ67,PortfolioFrontier[[#This Row],[P95 Growth]])</f>
        <v>1.6749071460943512</v>
      </c>
      <c r="NR68" s="27">
        <f>PortfolioFrontier[[#This Row],[P95 Growth]]/PortfolioFrontier[[#This Row],[P95 HWM]]-1</f>
        <v>-3.6298915577308355E-2</v>
      </c>
      <c r="NS68" s="28">
        <f>SUMPRODUCT(INDEX(PortfolioRef[[SPY]:[PE]],MATCH(NS$1,PortfolioRef[Reference '#]),0),AssetMonthlyReturns[[#This Row],[SPY]:[PE]])</f>
        <v>-3.2505936839668216E-2</v>
      </c>
      <c r="NT68" s="27">
        <f>IF(ISNUMBER(NT67),NT67*(1+PortfolioFrontier[[#This Row],[P96 Return]]),1+PortfolioFrontier[[#This Row],[P96 Return]])</f>
        <v>1.5922033401794429</v>
      </c>
      <c r="NU68" s="27">
        <f>MAX(NU67,PortfolioFrontier[[#This Row],[P96 Growth]])</f>
        <v>1.6456983053503089</v>
      </c>
      <c r="NV68" s="27">
        <f>PortfolioFrontier[[#This Row],[P96 Growth]]/PortfolioFrontier[[#This Row],[P96 HWM]]-1</f>
        <v>-3.2505936839668181E-2</v>
      </c>
      <c r="NW68" s="28">
        <f>SUMPRODUCT(INDEX(PortfolioRef[[SPY]:[PE]],MATCH(NW$1,PortfolioRef[Reference '#]),0),AssetMonthlyReturns[[#This Row],[SPY]:[PE]])</f>
        <v>-2.4705830169324854E-2</v>
      </c>
      <c r="NX68" s="27">
        <f>IF(ISNUMBER(NX67),NX67*(1+PortfolioFrontier[[#This Row],[P97 Return]]),1+PortfolioFrontier[[#This Row],[P97 Return]])</f>
        <v>1.4767730266300219</v>
      </c>
      <c r="NY68" s="27">
        <f>MAX(NY67,PortfolioFrontier[[#This Row],[P97 Growth]])</f>
        <v>1.5141821537663969</v>
      </c>
      <c r="NZ68" s="27">
        <f>PortfolioFrontier[[#This Row],[P97 Growth]]/PortfolioFrontier[[#This Row],[P97 HWM]]-1</f>
        <v>-2.4705830169324816E-2</v>
      </c>
      <c r="OA68" s="28">
        <f>SUMPRODUCT(INDEX(PortfolioRef[[SPY]:[PE]],MATCH(OA$1,PortfolioRef[Reference '#]),0),AssetMonthlyReturns[[#This Row],[SPY]:[PE]])</f>
        <v>-2.5858717789529844E-2</v>
      </c>
      <c r="OB68" s="27">
        <f>IF(ISNUMBER(OB67),OB67*(1+PortfolioFrontier[[#This Row],[P98 Return]]),1+PortfolioFrontier[[#This Row],[P98 Return]])</f>
        <v>1.4875738244354797</v>
      </c>
      <c r="OC68" s="27">
        <f>MAX(OC67,PortfolioFrontier[[#This Row],[P98 Growth]])</f>
        <v>1.5270616815047151</v>
      </c>
      <c r="OD68" s="27">
        <f>PortfolioFrontier[[#This Row],[P98 Growth]]/PortfolioFrontier[[#This Row],[P98 HWM]]-1</f>
        <v>-2.5858717789529861E-2</v>
      </c>
      <c r="OE68" s="28">
        <f>SUMPRODUCT(INDEX(PortfolioRef[[SPY]:[PE]],MATCH(OE$1,PortfolioRef[Reference '#]),0),AssetMonthlyReturns[[#This Row],[SPY]:[PE]])</f>
        <v>-2.737829755289271E-2</v>
      </c>
      <c r="OF68" s="27">
        <f>IF(ISNUMBER(OF67),OF67*(1+PortfolioFrontier[[#This Row],[P99 Return]]),1+PortfolioFrontier[[#This Row],[P99 Return]])</f>
        <v>1.498420785870491</v>
      </c>
      <c r="OG68" s="27">
        <f>MAX(OG67,PortfolioFrontier[[#This Row],[P99 Growth]])</f>
        <v>1.5405997851996085</v>
      </c>
      <c r="OH68" s="27">
        <f>PortfolioFrontier[[#This Row],[P99 Growth]]/PortfolioFrontier[[#This Row],[P99 HWM]]-1</f>
        <v>-2.7378297552892783E-2</v>
      </c>
      <c r="OI68" s="28">
        <f>SUMPRODUCT(INDEX(PortfolioRef[[SPY]:[PE]],MATCH(OI$1,PortfolioRef[Reference '#]),0),AssetMonthlyReturns[[#This Row],[SPY]:[PE]])</f>
        <v>-2.3585318815252516E-2</v>
      </c>
      <c r="OJ68" s="27">
        <f>IF(ISNUMBER(OJ67),OJ67*(1+PortfolioFrontier[[#This Row],[P100 Return]]),1+PortfolioFrontier[[#This Row],[P100 Return]])</f>
        <v>1.4763562945760336</v>
      </c>
      <c r="OK68" s="27">
        <f>MAX(OK67,PortfolioFrontier[[#This Row],[P100 Growth]])</f>
        <v>1.5120177144250579</v>
      </c>
      <c r="OL68" s="27">
        <f>PortfolioFrontier[[#This Row],[P100 Growth]]/PortfolioFrontier[[#This Row],[P100 HWM]]-1</f>
        <v>-2.3585318815252498E-2</v>
      </c>
      <c r="OM68" s="28">
        <f>SUMPRODUCT(INDEX(PortfolioRef[[SPY]:[PE]],MATCH(OM$1,PortfolioRef[Reference '#]),0),AssetMonthlyReturns[[#This Row],[SPY]:[PE]])</f>
        <v>-2.7011605409734841E-2</v>
      </c>
      <c r="ON68" s="27">
        <f>IF(ISNUMBER(ON67),ON67*(1+PortfolioFrontier[[#This Row],[P101 Return]]),1+PortfolioFrontier[[#This Row],[P101 Return]])</f>
        <v>1.4981610903090872</v>
      </c>
      <c r="OO68" s="27">
        <f>MAX(OO67,PortfolioFrontier[[#This Row],[P101 Growth]])</f>
        <v>1.539752271084361</v>
      </c>
      <c r="OP68" s="27">
        <f>PortfolioFrontier[[#This Row],[P101 Growth]]/PortfolioFrontier[[#This Row],[P101 HWM]]-1</f>
        <v>-2.7011605409734796E-2</v>
      </c>
      <c r="OQ68" s="28">
        <f>SUMPRODUCT(INDEX(PortfolioRef[[SPY]:[PE]],MATCH(OQ$1,PortfolioRef[Reference '#]),0),AssetMonthlyReturns[[#This Row],[SPY]:[PE]])</f>
        <v>-2.85311851730977E-2</v>
      </c>
      <c r="OR68" s="27">
        <f>IF(ISNUMBER(OR67),OR67*(1+PortfolioFrontier[[#This Row],[P102 Return]]),1+PortfolioFrontier[[#This Row],[P102 Return]])</f>
        <v>1.5093606564231081</v>
      </c>
      <c r="OS68" s="27">
        <f>MAX(OS67,PortfolioFrontier[[#This Row],[P102 Growth]])</f>
        <v>1.5536892521784635</v>
      </c>
      <c r="OT68" s="27">
        <f>PortfolioFrontier[[#This Row],[P102 Growth]]/PortfolioFrontier[[#This Row],[P102 HWM]]-1</f>
        <v>-2.8531185173097717E-2</v>
      </c>
      <c r="OU68" s="28">
        <f>SUMPRODUCT(INDEX(PortfolioRef[[SPY]:[PE]],MATCH(OU$1,PortfolioRef[Reference '#]),0),AssetMonthlyReturns[[#This Row],[SPY]:[PE]])</f>
        <v>-2.4738206435457506E-2</v>
      </c>
      <c r="OV68" s="27">
        <f>IF(ISNUMBER(OV67),OV67*(1+PortfolioFrontier[[#This Row],[P103 Return]]),1+PortfolioFrontier[[#This Row],[P103 Return]])</f>
        <v>1.4871807925400313</v>
      </c>
      <c r="OW68" s="27">
        <f>MAX(OW67,PortfolioFrontier[[#This Row],[P103 Growth]])</f>
        <v>1.5249041871151803</v>
      </c>
      <c r="OX68" s="27">
        <f>PortfolioFrontier[[#This Row],[P103 Growth]]/PortfolioFrontier[[#This Row],[P103 HWM]]-1</f>
        <v>-2.4738206435457544E-2</v>
      </c>
      <c r="OY68" s="28">
        <f>SUMPRODUCT(INDEX(PortfolioRef[[SPY]:[PE]],MATCH(OY$1,PortfolioRef[Reference '#]),0),AssetMonthlyReturns[[#This Row],[SPY]:[PE]])</f>
        <v>-3.0050764936460559E-2</v>
      </c>
      <c r="OZ68" s="27">
        <f>IF(ISNUMBER(OZ67),OZ67*(1+PortfolioFrontier[[#This Row],[P104 Return]]),1+PortfolioFrontier[[#This Row],[P104 Return]])</f>
        <v>1.5198718065454078</v>
      </c>
      <c r="PA68" s="27">
        <f>MAX(PA67,PortfolioFrontier[[#This Row],[P104 Growth]])</f>
        <v>1.5669601579157324</v>
      </c>
      <c r="PB68" s="27">
        <f>PortfolioFrontier[[#This Row],[P104 Growth]]/PortfolioFrontier[[#This Row],[P104 HWM]]-1</f>
        <v>-3.0050764936460417E-2</v>
      </c>
      <c r="PC68" s="28">
        <f>SUMPRODUCT(INDEX(PortfolioRef[[SPY]:[PE]],MATCH(PC$1,PortfolioRef[Reference '#]),0),AssetMonthlyReturns[[#This Row],[SPY]:[PE]])</f>
        <v>-2.6257786198820372E-2</v>
      </c>
      <c r="PD68" s="27">
        <f>IF(ISNUMBER(PD67),PD67*(1+PortfolioFrontier[[#This Row],[P105 Return]]),1+PortfolioFrontier[[#This Row],[P105 Return]])</f>
        <v>1.4979973187250935</v>
      </c>
      <c r="PE68" s="27">
        <f>MAX(PE67,PortfolioFrontier[[#This Row],[P105 Growth]])</f>
        <v>1.5383920892957785</v>
      </c>
      <c r="PF68" s="27">
        <f>PortfolioFrontier[[#This Row],[P105 Growth]]/PortfolioFrontier[[#This Row],[P105 HWM]]-1</f>
        <v>-2.6257786198820354E-2</v>
      </c>
      <c r="PG68" s="28">
        <f>SUMPRODUCT(INDEX(PortfolioRef[[SPY]:[PE]],MATCH(PG$1,PortfolioRef[Reference '#]),0),AssetMonthlyReturns[[#This Row],[SPY]:[PE]])</f>
        <v>-2.2464807461180181E-2</v>
      </c>
      <c r="PH68" s="27">
        <f>IF(ISNUMBER(PH67),PH67*(1+PortfolioFrontier[[#This Row],[P106 Return]]),1+PortfolioFrontier[[#This Row],[P106 Return]])</f>
        <v>1.4758365748106792</v>
      </c>
      <c r="PI68" s="27">
        <f>MAX(PI67,PortfolioFrontier[[#This Row],[P106 Growth]])</f>
        <v>1.5097528826329911</v>
      </c>
      <c r="PJ68" s="27">
        <f>PortfolioFrontier[[#This Row],[P106 Growth]]/PortfolioFrontier[[#This Row],[P106 HWM]]-1</f>
        <v>-2.2464807461180181E-2</v>
      </c>
      <c r="PK68" s="28">
        <f>SUMPRODUCT(INDEX(PortfolioRef[[SPY]:[PE]],MATCH(PK$1,PortfolioRef[Reference '#]),0),AssetMonthlyReturns[[#This Row],[SPY]:[PE]])</f>
        <v>-2.9684072793302697E-2</v>
      </c>
      <c r="PL68" s="27">
        <f>IF(ISNUMBER(PL67),PL67*(1+PortfolioFrontier[[#This Row],[P107 Return]]),1+PortfolioFrontier[[#This Row],[P107 Return]])</f>
        <v>1.5200840891209928</v>
      </c>
      <c r="PM68" s="27">
        <f>MAX(PM67,PortfolioFrontier[[#This Row],[P107 Growth]])</f>
        <v>1.5665867646808023</v>
      </c>
      <c r="PN68" s="27">
        <f>PortfolioFrontier[[#This Row],[P107 Growth]]/PortfolioFrontier[[#This Row],[P107 HWM]]-1</f>
        <v>-2.9684072793302652E-2</v>
      </c>
      <c r="PO68" s="28">
        <f>SUMPRODUCT(INDEX(PortfolioRef[[SPY]:[PE]],MATCH(PO$1,PortfolioRef[Reference '#]),0),AssetMonthlyReturns[[#This Row],[SPY]:[PE]])</f>
        <v>-2.5891094055662502E-2</v>
      </c>
      <c r="PP68" s="27">
        <f>IF(ISNUMBER(PP67),PP67*(1+PortfolioFrontier[[#This Row],[P108 Return]]),1+PortfolioFrontier[[#This Row],[P108 Return]])</f>
        <v>1.4977923194197984</v>
      </c>
      <c r="PQ68" s="27">
        <f>MAX(PQ67,PortfolioFrontier[[#This Row],[P108 Growth]])</f>
        <v>1.5376025311746664</v>
      </c>
      <c r="PR68" s="27">
        <f>PortfolioFrontier[[#This Row],[P108 Growth]]/PortfolioFrontier[[#This Row],[P108 HWM]]-1</f>
        <v>-2.5891094055662478E-2</v>
      </c>
      <c r="PS68" s="28">
        <f>SUMPRODUCT(INDEX(PortfolioRef[[SPY]:[PE]],MATCH(PS$1,PortfolioRef[Reference '#]),0),AssetMonthlyReturns[[#This Row],[SPY]:[PE]])</f>
        <v>-3.1203652556665556E-2</v>
      </c>
      <c r="PT68" s="27">
        <f>IF(ISNUMBER(PT67),PT67*(1+PortfolioFrontier[[#This Row],[P109 Return]]),1+PortfolioFrontier[[#This Row],[P109 Return]])</f>
        <v>1.5309489168250436</v>
      </c>
      <c r="PU68" s="27">
        <f>MAX(PU67,PortfolioFrontier[[#This Row],[P109 Growth]])</f>
        <v>1.5802587621900483</v>
      </c>
      <c r="PV68" s="27">
        <f>PortfolioFrontier[[#This Row],[P109 Growth]]/PortfolioFrontier[[#This Row],[P109 HWM]]-1</f>
        <v>-3.1203652556665573E-2</v>
      </c>
      <c r="PW68" s="28">
        <f>SUMPRODUCT(INDEX(PortfolioRef[[SPY]:[PE]],MATCH(PW$1,PortfolioRef[Reference '#]),0),AssetMonthlyReturns[[#This Row],[SPY]:[PE]])</f>
        <v>-2.7410673819025361E-2</v>
      </c>
      <c r="PX68" s="27">
        <f>IF(ISNUMBER(PX67),PX67*(1+PortfolioFrontier[[#This Row],[P110 Return]]),1+PortfolioFrontier[[#This Row],[P110 Return]])</f>
        <v>1.5089612132498951</v>
      </c>
      <c r="PY68" s="27">
        <f>MAX(PY67,PortfolioFrontier[[#This Row],[P110 Growth]])</f>
        <v>1.5514885601048793</v>
      </c>
      <c r="PZ68" s="27">
        <f>PortfolioFrontier[[#This Row],[P110 Growth]]/PortfolioFrontier[[#This Row],[P110 HWM]]-1</f>
        <v>-2.74106738190254E-2</v>
      </c>
      <c r="QA68" s="28">
        <f>SUMPRODUCT(INDEX(PortfolioRef[[SPY]:[PE]],MATCH(QA$1,PortfolioRef[Reference '#]),0),AssetMonthlyReturns[[#This Row],[SPY]:[PE]])</f>
        <v>-2.3617695081385177E-2</v>
      </c>
      <c r="QB68" s="27">
        <f>IF(ISNUMBER(QB67),QB67*(1+PortfolioFrontier[[#This Row],[P111 Return]]),1+PortfolioFrontier[[#This Row],[P111 Return]])</f>
        <v>1.4866840093742022</v>
      </c>
      <c r="QC68" s="27">
        <f>MAX(QC67,PortfolioFrontier[[#This Row],[P111 Growth]])</f>
        <v>1.5226453837650438</v>
      </c>
      <c r="QD68" s="27">
        <f>PortfolioFrontier[[#This Row],[P111 Growth]]/PortfolioFrontier[[#This Row],[P111 HWM]]-1</f>
        <v>-2.3617695081385226E-2</v>
      </c>
      <c r="QE68" s="28">
        <f>SUMPRODUCT(INDEX(PortfolioRef[[SPY]:[PE]],MATCH(QE$1,PortfolioRef[Reference '#]),0),AssetMonthlyReturns[[#This Row],[SPY]:[PE]])</f>
        <v>-3.2723232320028411E-2</v>
      </c>
      <c r="QF68" s="27">
        <f>IF(ISNUMBER(QF67),QF67*(1+PortfolioFrontier[[#This Row],[P112 Return]]),1+PortfolioFrontier[[#This Row],[P112 Return]])</f>
        <v>1.5411054417499763</v>
      </c>
      <c r="QG68" s="27">
        <f>MAX(QG67,PortfolioFrontier[[#This Row],[P112 Growth]])</f>
        <v>1.593241451923157</v>
      </c>
      <c r="QH68" s="27">
        <f>PortfolioFrontier[[#This Row],[P112 Growth]]/PortfolioFrontier[[#This Row],[P112 HWM]]-1</f>
        <v>-3.2723232320028273E-2</v>
      </c>
      <c r="QI68" s="28">
        <f>SUMPRODUCT(INDEX(PortfolioRef[[SPY]:[PE]],MATCH(QI$1,PortfolioRef[Reference '#]),0),AssetMonthlyReturns[[#This Row],[SPY]:[PE]])</f>
        <v>-2.8930253582388227E-2</v>
      </c>
      <c r="QJ68" s="27">
        <f>IF(ISNUMBER(QJ67),QJ67*(1+PortfolioFrontier[[#This Row],[P113 Return]]),1+PortfolioFrontier[[#This Row],[P113 Return]])</f>
        <v>1.5194416321223436</v>
      </c>
      <c r="QK68" s="27">
        <f>MAX(QK67,PortfolioFrontier[[#This Row],[P113 Growth]])</f>
        <v>1.56470906207071</v>
      </c>
      <c r="QL68" s="27">
        <f>PortfolioFrontier[[#This Row],[P113 Growth]]/PortfolioFrontier[[#This Row],[P113 HWM]]-1</f>
        <v>-2.893025358238821E-2</v>
      </c>
      <c r="QM68" s="28">
        <f>SUMPRODUCT(INDEX(PortfolioRef[[SPY]:[PE]],MATCH(QM$1,PortfolioRef[Reference '#]),0),AssetMonthlyReturns[[#This Row],[SPY]:[PE]])</f>
        <v>-2.5137274844748037E-2</v>
      </c>
      <c r="QN68" s="27">
        <f>IF(ISNUMBER(QN67),QN67*(1+PortfolioFrontier[[#This Row],[P114 Return]]),1+PortfolioFrontier[[#This Row],[P114 Return]])</f>
        <v>1.4974692687069888</v>
      </c>
      <c r="QO68" s="27">
        <f>MAX(QO67,PortfolioFrontier[[#This Row],[P114 Growth]])</f>
        <v>1.5360821888728067</v>
      </c>
      <c r="QP68" s="27">
        <f>PortfolioFrontier[[#This Row],[P114 Growth]]/PortfolioFrontier[[#This Row],[P114 HWM]]-1</f>
        <v>-2.5137274844748037E-2</v>
      </c>
      <c r="QQ68" s="28">
        <f>SUMPRODUCT(INDEX(PortfolioRef[[SPY]:[PE]],MATCH(QQ$1,PortfolioRef[Reference '#]),0),AssetMonthlyReturns[[#This Row],[SPY]:[PE]])</f>
        <v>-3.2356540176870549E-2</v>
      </c>
      <c r="QR68" s="27">
        <f>IF(ISNUMBER(QR67),QR67*(1+PortfolioFrontier[[#This Row],[P115 Return]]),1+PortfolioFrontier[[#This Row],[P115 Return]])</f>
        <v>1.54180671497958</v>
      </c>
      <c r="QS68" s="27">
        <f>MAX(QS67,PortfolioFrontier[[#This Row],[P115 Growth]])</f>
        <v>1.5933624098088761</v>
      </c>
      <c r="QT68" s="27">
        <f>PortfolioFrontier[[#This Row],[P115 Growth]]/PortfolioFrontier[[#This Row],[P115 HWM]]-1</f>
        <v>-3.2356540176870507E-2</v>
      </c>
      <c r="QU68" s="28">
        <f>SUMPRODUCT(INDEX(PortfolioRef[[SPY]:[PE]],MATCH(QU$1,PortfolioRef[Reference '#]),0),AssetMonthlyReturns[[#This Row],[SPY]:[PE]])</f>
        <v>-2.8563561439230358E-2</v>
      </c>
      <c r="QV68" s="27">
        <f>IF(ISNUMBER(QV67),QV67*(1+PortfolioFrontier[[#This Row],[P116 Return]]),1+PortfolioFrontier[[#This Row],[P116 Return]])</f>
        <v>1.5197092377494945</v>
      </c>
      <c r="QW68" s="27">
        <f>MAX(QW67,PortfolioFrontier[[#This Row],[P116 Growth]])</f>
        <v>1.564393898998701</v>
      </c>
      <c r="QX68" s="27">
        <f>PortfolioFrontier[[#This Row],[P116 Growth]]/PortfolioFrontier[[#This Row],[P116 HWM]]-1</f>
        <v>-2.8563561439230334E-2</v>
      </c>
      <c r="QY68" s="28">
        <f>SUMPRODUCT(INDEX(PortfolioRef[[SPY]:[PE]],MATCH(QY$1,PortfolioRef[Reference '#]),0),AssetMonthlyReturns[[#This Row],[SPY]:[PE]])</f>
        <v>-2.4770582701590174E-2</v>
      </c>
      <c r="QZ68" s="27">
        <f>IF(ISNUMBER(QZ67),QZ67*(1+PortfolioFrontier[[#This Row],[P117 Return]]),1+PortfolioFrontier[[#This Row],[P117 Return]])</f>
        <v>1.4973190476417892</v>
      </c>
      <c r="RA68" s="27">
        <f>MAX(RA67,PortfolioFrontier[[#This Row],[P117 Growth]])</f>
        <v>1.5353505760620689</v>
      </c>
      <c r="RB68" s="27">
        <f>PortfolioFrontier[[#This Row],[P117 Growth]]/PortfolioFrontier[[#This Row],[P117 HWM]]-1</f>
        <v>-2.4770582701590271E-2</v>
      </c>
      <c r="RC68" s="28">
        <f>SUMPRODUCT(INDEX(PortfolioRef[[SPY]:[PE]],MATCH(RC$1,PortfolioRef[Reference '#]),0),AssetMonthlyReturns[[#This Row],[SPY]:[PE]])</f>
        <v>-3.3876119940233408E-2</v>
      </c>
      <c r="RD68" s="27">
        <f>IF(ISNUMBER(RD67),RD67*(1+PortfolioFrontier[[#This Row],[P118 Return]]),1+PortfolioFrontier[[#This Row],[P118 Return]])</f>
        <v>1.5523178242756468</v>
      </c>
      <c r="RE68" s="27">
        <f>MAX(RE67,PortfolioFrontier[[#This Row],[P118 Growth]])</f>
        <v>1.606748219679258</v>
      </c>
      <c r="RF68" s="27">
        <f>PortfolioFrontier[[#This Row],[P118 Growth]]/PortfolioFrontier[[#This Row],[P118 HWM]]-1</f>
        <v>-3.387611994023354E-2</v>
      </c>
      <c r="RG68" s="28">
        <f>SUMPRODUCT(INDEX(PortfolioRef[[SPY]:[PE]],MATCH(RG$1,PortfolioRef[Reference '#]),0),AssetMonthlyReturns[[#This Row],[SPY]:[PE]])</f>
        <v>-3.0083141202593224E-2</v>
      </c>
      <c r="RH68" s="27">
        <f>IF(ISNUMBER(RH67),RH67*(1+PortfolioFrontier[[#This Row],[P119 Return]]),1+PortfolioFrontier[[#This Row],[P119 Return]])</f>
        <v>1.5305430875870916</v>
      </c>
      <c r="RI68" s="27">
        <f>MAX(RI67,PortfolioFrontier[[#This Row],[P119 Growth]])</f>
        <v>1.5780147274528267</v>
      </c>
      <c r="RJ68" s="27">
        <f>PortfolioFrontier[[#This Row],[P119 Growth]]/PortfolioFrontier[[#This Row],[P119 HWM]]-1</f>
        <v>-3.0083141202593255E-2</v>
      </c>
      <c r="RK68" s="28">
        <f>SUMPRODUCT(INDEX(PortfolioRef[[SPY]:[PE]],MATCH(RK$1,PortfolioRef[Reference '#]),0),AssetMonthlyReturns[[#This Row],[SPY]:[PE]])</f>
        <v>-2.6290162464953033E-2</v>
      </c>
      <c r="RL68" s="27">
        <f>IF(ISNUMBER(RL67),RL67*(1+PortfolioFrontier[[#This Row],[P120 Return]]),1+PortfolioFrontier[[#This Row],[P120 Return]])</f>
        <v>1.5084564129795834</v>
      </c>
      <c r="RM68" s="27">
        <f>MAX(RM67,PortfolioFrontier[[#This Row],[P120 Growth]])</f>
        <v>1.5491847312524347</v>
      </c>
      <c r="RN68" s="27">
        <f>PortfolioFrontier[[#This Row],[P120 Growth]]/PortfolioFrontier[[#This Row],[P120 HWM]]-1</f>
        <v>-2.6290162464953193E-2</v>
      </c>
      <c r="RO68" s="28">
        <f>SUMPRODUCT(INDEX(PortfolioRef[[SPY]:[PE]],MATCH(RO$1,PortfolioRef[Reference '#]),0),AssetMonthlyReturns[[#This Row],[SPY]:[PE]])</f>
        <v>-3.5395699703596267E-2</v>
      </c>
      <c r="RP68" s="27">
        <f>IF(ISNUMBER(RP67),RP67*(1+PortfolioFrontier[[#This Row],[P121 Return]]),1+PortfolioFrontier[[#This Row],[P121 Return]])</f>
        <v>1.5621006933339601</v>
      </c>
      <c r="RQ68" s="27">
        <f>MAX(RQ67,PortfolioFrontier[[#This Row],[P121 Growth]])</f>
        <v>1.6194212412840763</v>
      </c>
      <c r="RR68" s="27">
        <f>PortfolioFrontier[[#This Row],[P121 Growth]]/PortfolioFrontier[[#This Row],[P121 HWM]]-1</f>
        <v>-3.539569970359624E-2</v>
      </c>
      <c r="RS68" s="28">
        <f>SUMPRODUCT(INDEX(PortfolioRef[[SPY]:[PE]],MATCH(RS$1,PortfolioRef[Reference '#]),0),AssetMonthlyReturns[[#This Row],[SPY]:[PE]])</f>
        <v>-3.1602720965956087E-2</v>
      </c>
      <c r="RT68" s="27">
        <f>IF(ISNUMBER(RT67),RT67*(1+PortfolioFrontier[[#This Row],[P122 Return]]),1+PortfolioFrontier[[#This Row],[P122 Return]])</f>
        <v>1.5406686002465915</v>
      </c>
      <c r="RU68" s="27">
        <f>MAX(RU67,PortfolioFrontier[[#This Row],[P122 Growth]])</f>
        <v>1.5909468496063683</v>
      </c>
      <c r="RV68" s="27">
        <f>PortfolioFrontier[[#This Row],[P122 Growth]]/PortfolioFrontier[[#This Row],[P122 HWM]]-1</f>
        <v>-3.1602720965956066E-2</v>
      </c>
      <c r="RW68" s="28">
        <f>SUMPRODUCT(INDEX(PortfolioRef[[SPY]:[PE]],MATCH(RW$1,PortfolioRef[Reference '#]),0),AssetMonthlyReturns[[#This Row],[SPY]:[PE]])</f>
        <v>-2.7809742228315892E-2</v>
      </c>
      <c r="RX68" s="27">
        <f>IF(ISNUMBER(RX67),RX67*(1+PortfolioFrontier[[#This Row],[P123 Return]]),1+PortfolioFrontier[[#This Row],[P123 Return]])</f>
        <v>1.5189052868653155</v>
      </c>
      <c r="RY68" s="27">
        <f>MAX(RY67,PortfolioFrontier[[#This Row],[P123 Growth]])</f>
        <v>1.5623539474122417</v>
      </c>
      <c r="RZ68" s="27">
        <f>PortfolioFrontier[[#This Row],[P123 Growth]]/PortfolioFrontier[[#This Row],[P123 HWM]]-1</f>
        <v>-2.7809742228315892E-2</v>
      </c>
      <c r="SA68" s="28">
        <f>SUMPRODUCT(INDEX(PortfolioRef[[SPY]:[PE]],MATCH(SA$1,PortfolioRef[Reference '#]),0),AssetMonthlyReturns[[#This Row],[SPY]:[PE]])</f>
        <v>-3.5029007560438405E-2</v>
      </c>
      <c r="SB68" s="27">
        <f>IF(ISNUMBER(SB67),SB67*(1+PortfolioFrontier[[#This Row],[P124 Return]]),1+PortfolioFrontier[[#This Row],[P124 Return]])</f>
        <v>1.5633080548579059</v>
      </c>
      <c r="SC68" s="27">
        <f>MAX(SC67,PortfolioFrontier[[#This Row],[P124 Growth]])</f>
        <v>1.620057045347733</v>
      </c>
      <c r="SD68" s="27">
        <f>PortfolioFrontier[[#This Row],[P124 Growth]]/PortfolioFrontier[[#This Row],[P124 HWM]]-1</f>
        <v>-3.5029007560438252E-2</v>
      </c>
      <c r="SE68" s="28">
        <f>SUMPRODUCT(INDEX(PortfolioRef[[SPY]:[PE]],MATCH(SE$1,PortfolioRef[Reference '#]),0),AssetMonthlyReturns[[#This Row],[SPY]:[PE]])</f>
        <v>-3.1236028822798214E-2</v>
      </c>
      <c r="SF68" s="27">
        <f>IF(ISNUMBER(SF67),SF67*(1+PortfolioFrontier[[#This Row],[P125 Return]]),1+PortfolioFrontier[[#This Row],[P125 Return]])</f>
        <v>1.541425805646558</v>
      </c>
      <c r="SG68" s="27">
        <f>MAX(SG67,PortfolioFrontier[[#This Row],[P125 Growth]])</f>
        <v>1.5911262717310608</v>
      </c>
      <c r="SH68" s="27">
        <f>PortfolioFrontier[[#This Row],[P125 Growth]]/PortfolioFrontier[[#This Row],[P125 HWM]]-1</f>
        <v>-3.123602882279819E-2</v>
      </c>
      <c r="SI68" s="28">
        <f>SUMPRODUCT(INDEX(PortfolioRef[[SPY]:[PE]],MATCH(SI$1,PortfolioRef[Reference '#]),0),AssetMonthlyReturns[[#This Row],[SPY]:[PE]])</f>
        <v>-2.744305008515803E-2</v>
      </c>
      <c r="SJ68" s="27">
        <f>IF(ISNUMBER(SJ67),SJ67*(1+PortfolioFrontier[[#This Row],[P126 Return]]),1+PortfolioFrontier[[#This Row],[P126 Return]])</f>
        <v>1.5192282691957268</v>
      </c>
      <c r="SK68" s="27">
        <f>MAX(SK67,PortfolioFrontier[[#This Row],[P126 Growth]])</f>
        <v>1.5620969747105833</v>
      </c>
      <c r="SL68" s="27">
        <f>PortfolioFrontier[[#This Row],[P126 Growth]]/PortfolioFrontier[[#This Row],[P126 HWM]]-1</f>
        <v>-2.7443050085158127E-2</v>
      </c>
      <c r="SM68" s="28">
        <f>SUMPRODUCT(INDEX(PortfolioRef[[SPY]:[PE]],MATCH(SM$1,PortfolioRef[Reference '#]),0),AssetMonthlyReturns[[#This Row],[SPY]:[PE]])</f>
        <v>-3.6548587323801264E-2</v>
      </c>
      <c r="SN68" s="27">
        <f>IF(ISNUMBER(SN67),SN67*(1+PortfolioFrontier[[#This Row],[P127 Return]]),1+PortfolioFrontier[[#This Row],[P127 Return]])</f>
        <v>1.5734462447511874</v>
      </c>
      <c r="SO68" s="27">
        <f>MAX(SO67,PortfolioFrontier[[#This Row],[P127 Growth]])</f>
        <v>1.6331350227414101</v>
      </c>
      <c r="SP68" s="27">
        <f>PortfolioFrontier[[#This Row],[P127 Growth]]/PortfolioFrontier[[#This Row],[P127 HWM]]-1</f>
        <v>-3.6548587323801285E-2</v>
      </c>
      <c r="SQ68" s="28">
        <f>SUMPRODUCT(INDEX(PortfolioRef[[SPY]:[PE]],MATCH(SQ$1,PortfolioRef[Reference '#]),0),AssetMonthlyReturns[[#This Row],[SPY]:[PE]])</f>
        <v>-3.2755608586161084E-2</v>
      </c>
      <c r="SR68" s="27">
        <f>IF(ISNUMBER(SR67),SR67*(1+PortfolioFrontier[[#This Row],[P128 Return]]),1+PortfolioFrontier[[#This Row],[P128 Return]])</f>
        <v>1.5519056463476528</v>
      </c>
      <c r="SS68" s="27">
        <f>MAX(SS67,PortfolioFrontier[[#This Row],[P128 Growth]])</f>
        <v>1.6044607341472448</v>
      </c>
      <c r="ST68" s="27">
        <f>PortfolioFrontier[[#This Row],[P128 Growth]]/PortfolioFrontier[[#This Row],[P128 HWM]]-1</f>
        <v>-3.2755608586161222E-2</v>
      </c>
      <c r="SU68" s="28">
        <f>SUMPRODUCT(INDEX(PortfolioRef[[SPY]:[PE]],MATCH(SU$1,PortfolioRef[Reference '#]),0),AssetMonthlyReturns[[#This Row],[SPY]:[PE]])</f>
        <v>-2.8962629848520889E-2</v>
      </c>
      <c r="SV68" s="27">
        <f>IF(ISNUMBER(SV67),SV67*(1+PortfolioFrontier[[#This Row],[P129 Return]]),1+PortfolioFrontier[[#This Row],[P129 Return]])</f>
        <v>1.5300303027080058</v>
      </c>
      <c r="SW68" s="27">
        <f>MAX(SW67,PortfolioFrontier[[#This Row],[P129 Growth]])</f>
        <v>1.5756657258920173</v>
      </c>
      <c r="SX68" s="27">
        <f>PortfolioFrontier[[#This Row],[P129 Growth]]/PortfolioFrontier[[#This Row],[P129 HWM]]-1</f>
        <v>-2.8962629848520938E-2</v>
      </c>
      <c r="SY68" s="28">
        <f>SUMPRODUCT(INDEX(PortfolioRef[[SPY]:[PE]],MATCH(SY$1,PortfolioRef[Reference '#]),0),AssetMonthlyReturns[[#This Row],[SPY]:[PE]])</f>
        <v>-3.8068167087164123E-2</v>
      </c>
      <c r="SZ68" s="27">
        <f>IF(ISNUMBER(SZ67),SZ67*(1+PortfolioFrontier[[#This Row],[P130 Return]]),1+PortfolioFrontier[[#This Row],[P130 Return]])</f>
        <v>1.5828362257484083</v>
      </c>
      <c r="TA68" s="27">
        <f>MAX(TA67,PortfolioFrontier[[#This Row],[P130 Growth]])</f>
        <v>1.6454765000919092</v>
      </c>
      <c r="TB68" s="27">
        <f>PortfolioFrontier[[#This Row],[P130 Growth]]/PortfolioFrontier[[#This Row],[P130 HWM]]-1</f>
        <v>-3.8068167087164095E-2</v>
      </c>
      <c r="TC68" s="28">
        <f>SUMPRODUCT(INDEX(PortfolioRef[[SPY]:[PE]],MATCH(TC$1,PortfolioRef[Reference '#]),0),AssetMonthlyReturns[[#This Row],[SPY]:[PE]])</f>
        <v>-3.4275188349523943E-2</v>
      </c>
      <c r="TD68" s="27">
        <f>IF(ISNUMBER(TD67),TD67*(1+PortfolioFrontier[[#This Row],[P131 Return]]),1+PortfolioFrontier[[#This Row],[P131 Return]])</f>
        <v>1.5616572381556142</v>
      </c>
      <c r="TE68" s="27">
        <f>MAX(TE67,PortfolioFrontier[[#This Row],[P131 Growth]])</f>
        <v>1.617083064777695</v>
      </c>
      <c r="TF68" s="27">
        <f>PortfolioFrontier[[#This Row],[P131 Growth]]/PortfolioFrontier[[#This Row],[P131 HWM]]-1</f>
        <v>-3.4275188349523922E-2</v>
      </c>
      <c r="TG68" s="28">
        <f>SUMPRODUCT(INDEX(PortfolioRef[[SPY]:[PE]],MATCH(TG$1,PortfolioRef[Reference '#]),0),AssetMonthlyReturns[[#This Row],[SPY]:[PE]])</f>
        <v>-3.0482209611883755E-2</v>
      </c>
      <c r="TH68" s="27">
        <f>IF(ISNUMBER(TH67),TH67*(1+PortfolioFrontier[[#This Row],[P132 Return]]),1+PortfolioFrontier[[#This Row],[P132 Return]])</f>
        <v>1.5401240083733863</v>
      </c>
      <c r="TI68" s="27">
        <f>MAX(TI67,PortfolioFrontier[[#This Row],[P132 Growth]])</f>
        <v>1.5885464131162004</v>
      </c>
      <c r="TJ68" s="27">
        <f>PortfolioFrontier[[#This Row],[P132 Growth]]/PortfolioFrontier[[#This Row],[P132 HWM]]-1</f>
        <v>-3.0482209611883748E-2</v>
      </c>
      <c r="TK68" s="28">
        <f>SUMPRODUCT(INDEX(PortfolioRef[[SPY]:[PE]],MATCH(TK$1,PortfolioRef[Reference '#]),0),AssetMonthlyReturns[[#This Row],[SPY]:[PE]])</f>
        <v>-3.7701474944006261E-2</v>
      </c>
      <c r="TL68" s="27">
        <f>IF(ISNUMBER(TL67),TL67*(1+PortfolioFrontier[[#This Row],[P133 Return]]),1+PortfolioFrontier[[#This Row],[P133 Return]])</f>
        <v>1.5845668417022756</v>
      </c>
      <c r="TM68" s="27">
        <f>MAX(TM67,PortfolioFrontier[[#This Row],[P133 Growth]])</f>
        <v>1.646647896098639</v>
      </c>
      <c r="TN68" s="27">
        <f>PortfolioFrontier[[#This Row],[P133 Growth]]/PortfolioFrontier[[#This Row],[P133 HWM]]-1</f>
        <v>-3.7701474944006219E-2</v>
      </c>
      <c r="TO68" s="28">
        <f>SUMPRODUCT(INDEX(PortfolioRef[[SPY]:[PE]],MATCH(TO$1,PortfolioRef[Reference '#]),0),AssetMonthlyReturns[[#This Row],[SPY]:[PE]])</f>
        <v>-3.3908496206366073E-2</v>
      </c>
      <c r="TP68" s="27">
        <f>IF(ISNUMBER(TP67),TP67*(1+PortfolioFrontier[[#This Row],[P134 Return]]),1+PortfolioFrontier[[#This Row],[P134 Return]])</f>
        <v>1.5629211220161179</v>
      </c>
      <c r="TQ68" s="27">
        <f>MAX(TQ67,PortfolioFrontier[[#This Row],[P134 Growth]])</f>
        <v>1.6177775250883195</v>
      </c>
      <c r="TR68" s="27">
        <f>PortfolioFrontier[[#This Row],[P134 Growth]]/PortfolioFrontier[[#This Row],[P134 HWM]]-1</f>
        <v>-3.3908496206366157E-2</v>
      </c>
      <c r="TS68" s="28">
        <f>SUMPRODUCT(INDEX(PortfolioRef[[SPY]:[PE]],MATCH(TS$1,PortfolioRef[Reference '#]),0),AssetMonthlyReturns[[#This Row],[SPY]:[PE]])</f>
        <v>-3.0115517468725886E-2</v>
      </c>
      <c r="TT68" s="27">
        <f>IF(ISNUMBER(TT67),TT67*(1+PortfolioFrontier[[#This Row],[P135 Return]]),1+PortfolioFrontier[[#This Row],[P135 Return]])</f>
        <v>1.540937170201812</v>
      </c>
      <c r="TU68" s="27">
        <f>MAX(TU67,PortfolioFrontier[[#This Row],[P135 Growth]])</f>
        <v>1.5887842294168513</v>
      </c>
      <c r="TV68" s="27">
        <f>PortfolioFrontier[[#This Row],[P135 Growth]]/PortfolioFrontier[[#This Row],[P135 HWM]]-1</f>
        <v>-3.0115517468725872E-2</v>
      </c>
      <c r="TW68" s="28">
        <f>SUMPRODUCT(INDEX(PortfolioRef[[SPY]:[PE]],MATCH(TW$1,PortfolioRef[Reference '#]),0),AssetMonthlyReturns[[#This Row],[SPY]:[PE]])</f>
        <v>-3.922105470736912E-2</v>
      </c>
      <c r="TX68" s="27">
        <f>IF(ISNUMBER(TX67),TX67*(1+PortfolioFrontier[[#This Row],[P136 Return]]),1+PortfolioFrontier[[#This Row],[P136 Return]])</f>
        <v>1.5943127055288271</v>
      </c>
      <c r="TY68" s="27">
        <f>MAX(TY67,PortfolioFrontier[[#This Row],[P136 Growth]])</f>
        <v>1.6593959654717836</v>
      </c>
      <c r="TZ68" s="27">
        <f>PortfolioFrontier[[#This Row],[P136 Growth]]/PortfolioFrontier[[#This Row],[P136 HWM]]-1</f>
        <v>-3.9221054707369141E-2</v>
      </c>
      <c r="UA68" s="28">
        <f>SUMPRODUCT(INDEX(PortfolioRef[[SPY]:[PE]],MATCH(UA$1,PortfolioRef[Reference '#]),0),AssetMonthlyReturns[[#This Row],[SPY]:[PE]])</f>
        <v>-3.5428075969728939E-2</v>
      </c>
      <c r="UB68" s="27">
        <f>IF(ISNUMBER(UB67),UB67*(1+PortfolioFrontier[[#This Row],[P137 Return]]),1+PortfolioFrontier[[#This Row],[P137 Return]])</f>
        <v>1.5730277684932845</v>
      </c>
      <c r="UC68" s="27">
        <f>MAX(UC67,PortfolioFrontier[[#This Row],[P137 Growth]])</f>
        <v>1.630804017102947</v>
      </c>
      <c r="UD68" s="27">
        <f>PortfolioFrontier[[#This Row],[P137 Growth]]/PortfolioFrontier[[#This Row],[P137 HWM]]-1</f>
        <v>-3.5428075969728967E-2</v>
      </c>
      <c r="UE68" s="28">
        <f>SUMPRODUCT(INDEX(PortfolioRef[[SPY]:[PE]],MATCH(UE$1,PortfolioRef[Reference '#]),0),AssetMonthlyReturns[[#This Row],[SPY]:[PE]])</f>
        <v>-3.1635097232088745E-2</v>
      </c>
      <c r="UF68" s="27">
        <f>IF(ISNUMBER(UF67),UF67*(1+PortfolioFrontier[[#This Row],[P138 Return]]),1+PortfolioFrontier[[#This Row],[P138 Return]])</f>
        <v>1.5513849227512608</v>
      </c>
      <c r="UG68" s="27">
        <f>MAX(UG67,PortfolioFrontier[[#This Row],[P138 Growth]])</f>
        <v>1.6020664506911424</v>
      </c>
      <c r="UH68" s="27">
        <f>PortfolioFrontier[[#This Row],[P138 Growth]]/PortfolioFrontier[[#This Row],[P138 HWM]]-1</f>
        <v>-3.1635097232088683E-2</v>
      </c>
      <c r="UI68" s="28">
        <f>SUMPRODUCT(INDEX(PortfolioRef[[SPY]:[PE]],MATCH(UI$1,PortfolioRef[Reference '#]),0),AssetMonthlyReturns[[#This Row],[SPY]:[PE]])</f>
        <v>-4.0740634470731979E-2</v>
      </c>
      <c r="UJ68" s="27">
        <f>IF(ISNUMBER(UJ67),UJ67*(1+PortfolioFrontier[[#This Row],[P139 Return]]),1+PortfolioFrontier[[#This Row],[P139 Return]])</f>
        <v>1.6032903807443748</v>
      </c>
      <c r="UK68" s="27">
        <f>MAX(UK67,PortfolioFrontier[[#This Row],[P139 Growth]])</f>
        <v>1.6713836094368126</v>
      </c>
      <c r="UL68" s="27">
        <f>PortfolioFrontier[[#This Row],[P139 Growth]]/PortfolioFrontier[[#This Row],[P139 HWM]]-1</f>
        <v>-4.0740634470731951E-2</v>
      </c>
      <c r="UM68" s="28">
        <f>SUMPRODUCT(INDEX(PortfolioRef[[SPY]:[PE]],MATCH(UM$1,PortfolioRef[Reference '#]),0),AssetMonthlyReturns[[#This Row],[SPY]:[PE]])</f>
        <v>-3.6947655733091792E-2</v>
      </c>
      <c r="UN68" s="27">
        <f>IF(ISNUMBER(UN67),UN67*(1+PortfolioFrontier[[#This Row],[P140 Return]]),1+PortfolioFrontier[[#This Row],[P140 Return]])</f>
        <v>1.5823862243623206</v>
      </c>
      <c r="UO68" s="27">
        <f>MAX(UO67,PortfolioFrontier[[#This Row],[P140 Growth]])</f>
        <v>1.643094722506345</v>
      </c>
      <c r="UP68" s="27">
        <f>PortfolioFrontier[[#This Row],[P140 Growth]]/PortfolioFrontier[[#This Row],[P140 HWM]]-1</f>
        <v>-3.6947655733091778E-2</v>
      </c>
      <c r="UQ68" s="28">
        <f>SUMPRODUCT(INDEX(PortfolioRef[[SPY]:[PE]],MATCH(UQ$1,PortfolioRef[Reference '#]),0),AssetMonthlyReturns[[#This Row],[SPY]:[PE]])</f>
        <v>-3.3154676995451604E-2</v>
      </c>
      <c r="UR68" s="27">
        <f>IF(ISNUMBER(UR67),UR67*(1+PortfolioFrontier[[#This Row],[P141 Return]]),1+PortfolioFrontier[[#This Row],[P141 Return]])</f>
        <v>1.5611044627473516</v>
      </c>
      <c r="US68" s="27">
        <f>MAX(US67,PortfolioFrontier[[#This Row],[P141 Growth]])</f>
        <v>1.6146372388668084</v>
      </c>
      <c r="UT68" s="27">
        <f>PortfolioFrontier[[#This Row],[P141 Growth]]/PortfolioFrontier[[#This Row],[P141 HWM]]-1</f>
        <v>-3.3154676995451604E-2</v>
      </c>
    </row>
    <row r="69" spans="2:566" x14ac:dyDescent="0.2">
      <c r="B69" s="41">
        <f>AssetMonthlyReturns[[#This Row],[Date]]</f>
        <v>44470</v>
      </c>
      <c r="C69" s="28">
        <f>SUMPRODUCT(INDEX(PortfolioRef[[SPY]:[PE]],MATCH(C$1,PortfolioRef[Reference '#]),0),AssetMonthlyReturns[[#This Row],[SPY]:[PE]])</f>
        <v>4.9025096506557543E-2</v>
      </c>
      <c r="D69" s="29">
        <f>IF(ISNUMBER(D68),D68*(1+PortfolioFrontier[[#This Row],[P1 Return]]),1+PortfolioFrontier[[#This Row],[P1 Return]])</f>
        <v>1.8912459243459123</v>
      </c>
      <c r="E69" s="29">
        <f>MAX(E68,PortfolioFrontier[[#This Row],[P1 Growth]])</f>
        <v>1.8912459243459123</v>
      </c>
      <c r="F69" s="29">
        <f>PortfolioFrontier[[#This Row],[P1 Growth]]/PortfolioFrontier[[#This Row],[P1 HWM]]-1</f>
        <v>0</v>
      </c>
      <c r="G69" s="28">
        <f>SUMPRODUCT(INDEX(PortfolioRef[[SPY]:[PE]],MATCH(G$1,PortfolioRef[Reference '#]),0),AssetMonthlyReturns[[#This Row],[SPY]:[PE]])</f>
        <v>4.5335152222779174E-2</v>
      </c>
      <c r="H69" s="27">
        <f>IF(ISNUMBER(H68),H68*(1+PortfolioFrontier[[#This Row],[P2 Return]]),1+PortfolioFrontier[[#This Row],[P2 Return]])</f>
        <v>1.8244623448516661</v>
      </c>
      <c r="I69" s="27">
        <f>MAX(I68,PortfolioFrontier[[#This Row],[P2 Growth]])</f>
        <v>1.8244623448516661</v>
      </c>
      <c r="J69" s="27">
        <f>PortfolioFrontier[[#This Row],[P2 Growth]]/PortfolioFrontier[[#This Row],[P2 HWM]]-1</f>
        <v>0</v>
      </c>
      <c r="K69" s="28">
        <f>SUMPRODUCT(INDEX(PortfolioRef[[SPY]:[PE]],MATCH(K$1,PortfolioRef[Reference '#]),0),AssetMonthlyReturns[[#This Row],[SPY]:[PE]])</f>
        <v>4.6085802584715445E-2</v>
      </c>
      <c r="L69" s="27">
        <f>IF(ISNUMBER(L68),L68*(1+PortfolioFrontier[[#This Row],[P3 Return]]),1+PortfolioFrontier[[#This Row],[P3 Return]])</f>
        <v>1.8390394050353751</v>
      </c>
      <c r="M69" s="27">
        <f>MAX(M68,PortfolioFrontier[[#This Row],[P3 Growth]])</f>
        <v>1.8390394050353751</v>
      </c>
      <c r="N69" s="27">
        <f>PortfolioFrontier[[#This Row],[P3 Growth]]/PortfolioFrontier[[#This Row],[P3 HWM]]-1</f>
        <v>0</v>
      </c>
      <c r="O69" s="28">
        <f>SUMPRODUCT(INDEX(PortfolioRef[[SPY]:[PE]],MATCH(O$1,PortfolioRef[Reference '#]),0),AssetMonthlyReturns[[#This Row],[SPY]:[PE]])</f>
        <v>4.9244599133759011E-2</v>
      </c>
      <c r="P69" s="27">
        <f>IF(ISNUMBER(P68),P68*(1+PortfolioFrontier[[#This Row],[P4 Return]]),1+PortfolioFrontier[[#This Row],[P4 Return]])</f>
        <v>1.855795868159952</v>
      </c>
      <c r="Q69" s="27">
        <f>MAX(Q68,PortfolioFrontier[[#This Row],[P4 Growth]])</f>
        <v>1.855795868159952</v>
      </c>
      <c r="R69" s="27">
        <f>PortfolioFrontier[[#This Row],[P4 Growth]]/PortfolioFrontier[[#This Row],[P4 HWM]]-1</f>
        <v>0</v>
      </c>
      <c r="S69" s="28">
        <f>SUMPRODUCT(INDEX(PortfolioRef[[SPY]:[PE]],MATCH(S$1,PortfolioRef[Reference '#]),0),AssetMonthlyReturns[[#This Row],[SPY]:[PE]])</f>
        <v>4.5000823923508355E-2</v>
      </c>
      <c r="T69" s="27">
        <f>IF(ISNUMBER(T68),T68*(1+PortfolioFrontier[[#This Row],[P5 Return]]),1+PortfolioFrontier[[#This Row],[P5 Return]])</f>
        <v>1.8230532601274887</v>
      </c>
      <c r="U69" s="27">
        <f>MAX(U68,PortfolioFrontier[[#This Row],[P5 Growth]])</f>
        <v>1.8230532601274887</v>
      </c>
      <c r="V69" s="27">
        <f>PortfolioFrontier[[#This Row],[P5 Growth]]/PortfolioFrontier[[#This Row],[P5 HWM]]-1</f>
        <v>0</v>
      </c>
      <c r="W69" s="28">
        <f>SUMPRODUCT(INDEX(PortfolioRef[[SPY]:[PE]],MATCH(W$1,PortfolioRef[Reference '#]),0),AssetMonthlyReturns[[#This Row],[SPY]:[PE]])</f>
        <v>4.1645207939000804E-2</v>
      </c>
      <c r="X69" s="27">
        <f>IF(ISNUMBER(X68),X68*(1+PortfolioFrontier[[#This Row],[P6 Return]]),1+PortfolioFrontier[[#This Row],[P6 Return]])</f>
        <v>1.7594329057611089</v>
      </c>
      <c r="Y69" s="27">
        <f>MAX(Y68,PortfolioFrontier[[#This Row],[P6 Growth]])</f>
        <v>1.7594329057611089</v>
      </c>
      <c r="Z69" s="27">
        <f>PortfolioFrontier[[#This Row],[P6 Growth]]/PortfolioFrontier[[#This Row],[P6 HWM]]-1</f>
        <v>0</v>
      </c>
      <c r="AA69" s="28">
        <f>SUMPRODUCT(INDEX(PortfolioRef[[SPY]:[PE]],MATCH(AA$1,PortfolioRef[Reference '#]),0),AssetMonthlyReturns[[#This Row],[SPY]:[PE]])</f>
        <v>4.2395858300937075E-2</v>
      </c>
      <c r="AB69" s="27">
        <f>IF(ISNUMBER(AB68),AB68*(1+PortfolioFrontier[[#This Row],[P7 Return]]),1+PortfolioFrontier[[#This Row],[P7 Return]])</f>
        <v>1.77351075131106</v>
      </c>
      <c r="AC69" s="27">
        <f>MAX(AC68,PortfolioFrontier[[#This Row],[P7 Growth]])</f>
        <v>1.77351075131106</v>
      </c>
      <c r="AD69" s="27">
        <f>PortfolioFrontier[[#This Row],[P7 Growth]]/PortfolioFrontier[[#This Row],[P7 HWM]]-1</f>
        <v>0</v>
      </c>
      <c r="AE69" s="28">
        <f>SUMPRODUCT(INDEX(PortfolioRef[[SPY]:[PE]],MATCH(AE$1,PortfolioRef[Reference '#]),0),AssetMonthlyReturns[[#This Row],[SPY]:[PE]])</f>
        <v>4.5554654849980641E-2</v>
      </c>
      <c r="AF69" s="27">
        <f>IF(ISNUMBER(AF68),AF68*(1+PortfolioFrontier[[#This Row],[P8 Return]]),1+PortfolioFrontier[[#This Row],[P8 Return]])</f>
        <v>1.7901265515583789</v>
      </c>
      <c r="AG69" s="27">
        <f>MAX(AG68,PortfolioFrontier[[#This Row],[P8 Growth]])</f>
        <v>1.7901265515583789</v>
      </c>
      <c r="AH69" s="27">
        <f>PortfolioFrontier[[#This Row],[P8 Growth]]/PortfolioFrontier[[#This Row],[P8 HWM]]-1</f>
        <v>0</v>
      </c>
      <c r="AI69" s="28">
        <f>SUMPRODUCT(INDEX(PortfolioRef[[SPY]:[PE]],MATCH(AI$1,PortfolioRef[Reference '#]),0),AssetMonthlyReturns[[#This Row],[SPY]:[PE]])</f>
        <v>4.1310879639729986E-2</v>
      </c>
      <c r="AJ69" s="27">
        <f>IF(ISNUMBER(AJ68),AJ68*(1+PortfolioFrontier[[#This Row],[P9 Return]]),1+PortfolioFrontier[[#This Row],[P9 Return]])</f>
        <v>1.7581325318487924</v>
      </c>
      <c r="AK69" s="27">
        <f>MAX(AK68,PortfolioFrontier[[#This Row],[P9 Growth]])</f>
        <v>1.7581325318487924</v>
      </c>
      <c r="AL69" s="27">
        <f>PortfolioFrontier[[#This Row],[P9 Growth]]/PortfolioFrontier[[#This Row],[P9 HWM]]-1</f>
        <v>0</v>
      </c>
      <c r="AM69" s="28">
        <f>SUMPRODUCT(INDEX(PortfolioRef[[SPY]:[PE]],MATCH(AM$1,PortfolioRef[Reference '#]),0),AssetMonthlyReturns[[#This Row],[SPY]:[PE]])</f>
        <v>4.314650866287334E-2</v>
      </c>
      <c r="AN69" s="27">
        <f>IF(ISNUMBER(AN68),AN68*(1+PortfolioFrontier[[#This Row],[P10 Return]]),1+PortfolioFrontier[[#This Row],[P10 Return]])</f>
        <v>1.7873545415732139</v>
      </c>
      <c r="AO69" s="27">
        <f>MAX(AO68,PortfolioFrontier[[#This Row],[P10 Growth]])</f>
        <v>1.7873545415732139</v>
      </c>
      <c r="AP69" s="27">
        <f>PortfolioFrontier[[#This Row],[P10 Growth]]/PortfolioFrontier[[#This Row],[P10 HWM]]-1</f>
        <v>0</v>
      </c>
      <c r="AQ69" s="28">
        <f>SUMPRODUCT(INDEX(PortfolioRef[[SPY]:[PE]],MATCH(AQ$1,PortfolioRef[Reference '#]),0),AssetMonthlyReturns[[#This Row],[SPY]:[PE]])</f>
        <v>4.6305305211916913E-2</v>
      </c>
      <c r="AR69" s="27">
        <f>IF(ISNUMBER(AR68),AR68*(1+PortfolioFrontier[[#This Row],[P11 Return]]),1+PortfolioFrontier[[#This Row],[P11 Return]])</f>
        <v>1.8044226339391818</v>
      </c>
      <c r="AS69" s="27">
        <f>MAX(AS68,PortfolioFrontier[[#This Row],[P11 Growth]])</f>
        <v>1.8044226339391818</v>
      </c>
      <c r="AT69" s="27">
        <f>PortfolioFrontier[[#This Row],[P11 Growth]]/PortfolioFrontier[[#This Row],[P11 HWM]]-1</f>
        <v>0</v>
      </c>
      <c r="AU69" s="28">
        <f>SUMPRODUCT(INDEX(PortfolioRef[[SPY]:[PE]],MATCH(AU$1,PortfolioRef[Reference '#]),0),AssetMonthlyReturns[[#This Row],[SPY]:[PE]])</f>
        <v>4.2061530001666257E-2</v>
      </c>
      <c r="AV69" s="27">
        <f>IF(ISNUMBER(AV68),AV68*(1+PortfolioFrontier[[#This Row],[P12 Return]]),1+PortfolioFrontier[[#This Row],[P12 Return]])</f>
        <v>1.7722322108869659</v>
      </c>
      <c r="AW69" s="27">
        <f>MAX(AW68,PortfolioFrontier[[#This Row],[P12 Growth]])</f>
        <v>1.7722322108869659</v>
      </c>
      <c r="AX69" s="27">
        <f>PortfolioFrontier[[#This Row],[P12 Growth]]/PortfolioFrontier[[#This Row],[P12 HWM]]-1</f>
        <v>0</v>
      </c>
      <c r="AY69" s="28">
        <f>SUMPRODUCT(INDEX(PortfolioRef[[SPY]:[PE]],MATCH(AY$1,PortfolioRef[Reference '#]),0),AssetMonthlyReturns[[#This Row],[SPY]:[PE]])</f>
        <v>4.9464101760960485E-2</v>
      </c>
      <c r="AZ69" s="27">
        <f>IF(ISNUMBER(AZ68),AZ68*(1+PortfolioFrontier[[#This Row],[P13 Return]]),1+PortfolioFrontier[[#This Row],[P13 Return]])</f>
        <v>1.8207040488209241</v>
      </c>
      <c r="BA69" s="27">
        <f>MAX(BA68,PortfolioFrontier[[#This Row],[P13 Growth]])</f>
        <v>1.8207040488209241</v>
      </c>
      <c r="BB69" s="27">
        <f>PortfolioFrontier[[#This Row],[P13 Growth]]/PortfolioFrontier[[#This Row],[P13 HWM]]-1</f>
        <v>0</v>
      </c>
      <c r="BC69" s="28">
        <f>SUMPRODUCT(INDEX(PortfolioRef[[SPY]:[PE]],MATCH(BC$1,PortfolioRef[Reference '#]),0),AssetMonthlyReturns[[#This Row],[SPY]:[PE]])</f>
        <v>4.5220326550709823E-2</v>
      </c>
      <c r="BD69" s="27">
        <f>IF(ISNUMBER(BD68),BD68*(1+PortfolioFrontier[[#This Row],[P14 Return]]),1+PortfolioFrontier[[#This Row],[P14 Return]])</f>
        <v>1.7888042086955236</v>
      </c>
      <c r="BE69" s="27">
        <f>MAX(BE68,PortfolioFrontier[[#This Row],[P14 Growth]])</f>
        <v>1.7888042086955236</v>
      </c>
      <c r="BF69" s="27">
        <f>PortfolioFrontier[[#This Row],[P14 Growth]]/PortfolioFrontier[[#This Row],[P14 HWM]]-1</f>
        <v>0</v>
      </c>
      <c r="BG69" s="28">
        <f>SUMPRODUCT(INDEX(PortfolioRef[[SPY]:[PE]],MATCH(BG$1,PortfolioRef[Reference '#]),0),AssetMonthlyReturns[[#This Row],[SPY]:[PE]])</f>
        <v>4.0976551340459161E-2</v>
      </c>
      <c r="BH69" s="27">
        <f>IF(ISNUMBER(BH68),BH68*(1+PortfolioFrontier[[#This Row],[P15 Return]]),1+PortfolioFrontier[[#This Row],[P15 Return]])</f>
        <v>1.7567101296754113</v>
      </c>
      <c r="BI69" s="27">
        <f>MAX(BI68,PortfolioFrontier[[#This Row],[P15 Growth]])</f>
        <v>1.7567101296754113</v>
      </c>
      <c r="BJ69" s="27">
        <f>PortfolioFrontier[[#This Row],[P15 Growth]]/PortfolioFrontier[[#This Row],[P15 HWM]]-1</f>
        <v>0</v>
      </c>
      <c r="BK69" s="28">
        <f>SUMPRODUCT(INDEX(PortfolioRef[[SPY]:[PE]],MATCH(BK$1,PortfolioRef[Reference '#]),0),AssetMonthlyReturns[[#This Row],[SPY]:[PE]])</f>
        <v>3.7955263655222435E-2</v>
      </c>
      <c r="BL69" s="27">
        <f>IF(ISNUMBER(BL68),BL68*(1+PortfolioFrontier[[#This Row],[P16 Return]]),1+PortfolioFrontier[[#This Row],[P16 Return]])</f>
        <v>1.6961395174271601</v>
      </c>
      <c r="BM69" s="27">
        <f>MAX(BM68,PortfolioFrontier[[#This Row],[P16 Growth]])</f>
        <v>1.6961395174271601</v>
      </c>
      <c r="BN69" s="27">
        <f>PortfolioFrontier[[#This Row],[P16 Growth]]/PortfolioFrontier[[#This Row],[P16 HWM]]-1</f>
        <v>0</v>
      </c>
      <c r="BO69" s="28">
        <f>SUMPRODUCT(INDEX(PortfolioRef[[SPY]:[PE]],MATCH(BO$1,PortfolioRef[Reference '#]),0),AssetMonthlyReturns[[#This Row],[SPY]:[PE]])</f>
        <v>3.8705914017158706E-2</v>
      </c>
      <c r="BP69" s="27">
        <f>IF(ISNUMBER(BP68),BP68*(1+PortfolioFrontier[[#This Row],[P17 Return]]),1+PortfolioFrontier[[#This Row],[P17 Return]])</f>
        <v>1.7097309770865681</v>
      </c>
      <c r="BQ69" s="27">
        <f>MAX(BQ68,PortfolioFrontier[[#This Row],[P17 Growth]])</f>
        <v>1.7097309770865681</v>
      </c>
      <c r="BR69" s="27">
        <f>PortfolioFrontier[[#This Row],[P17 Growth]]/PortfolioFrontier[[#This Row],[P17 HWM]]-1</f>
        <v>0</v>
      </c>
      <c r="BS69" s="28">
        <f>SUMPRODUCT(INDEX(PortfolioRef[[SPY]:[PE]],MATCH(BS$1,PortfolioRef[Reference '#]),0),AssetMonthlyReturns[[#This Row],[SPY]:[PE]])</f>
        <v>4.1864710566202272E-2</v>
      </c>
      <c r="BT69" s="27">
        <f>IF(ISNUMBER(BT68),BT68*(1+PortfolioFrontier[[#This Row],[P18 Return]]),1+PortfolioFrontier[[#This Row],[P18 Return]])</f>
        <v>1.7261873977492102</v>
      </c>
      <c r="BU69" s="27">
        <f>MAX(BU68,PortfolioFrontier[[#This Row],[P18 Growth]])</f>
        <v>1.7261873977492102</v>
      </c>
      <c r="BV69" s="27">
        <f>PortfolioFrontier[[#This Row],[P18 Growth]]/PortfolioFrontier[[#This Row],[P18 HWM]]-1</f>
        <v>0</v>
      </c>
      <c r="BW69" s="28">
        <f>SUMPRODUCT(INDEX(PortfolioRef[[SPY]:[PE]],MATCH(BW$1,PortfolioRef[Reference '#]),0),AssetMonthlyReturns[[#This Row],[SPY]:[PE]])</f>
        <v>3.7620935355951617E-2</v>
      </c>
      <c r="BX69" s="27">
        <f>IF(ISNUMBER(BX68),BX68*(1+PortfolioFrontier[[#This Row],[P19 Return]]),1+PortfolioFrontier[[#This Row],[P19 Return]])</f>
        <v>1.694942038080143</v>
      </c>
      <c r="BY69" s="27">
        <f>MAX(BY68,PortfolioFrontier[[#This Row],[P19 Growth]])</f>
        <v>1.694942038080143</v>
      </c>
      <c r="BZ69" s="27">
        <f>PortfolioFrontier[[#This Row],[P19 Growth]]/PortfolioFrontier[[#This Row],[P19 HWM]]-1</f>
        <v>0</v>
      </c>
      <c r="CA69" s="28">
        <f>SUMPRODUCT(INDEX(PortfolioRef[[SPY]:[PE]],MATCH(CA$1,PortfolioRef[Reference '#]),0),AssetMonthlyReturns[[#This Row],[SPY]:[PE]])</f>
        <v>3.945656437909497E-2</v>
      </c>
      <c r="CB69" s="27">
        <f>IF(ISNUMBER(CB68),CB68*(1+PortfolioFrontier[[#This Row],[P20 Return]]),1+PortfolioFrontier[[#This Row],[P20 Return]])</f>
        <v>1.7230963477398078</v>
      </c>
      <c r="CC69" s="27">
        <f>MAX(CC68,PortfolioFrontier[[#This Row],[P20 Growth]])</f>
        <v>1.7230963477398078</v>
      </c>
      <c r="CD69" s="27">
        <f>PortfolioFrontier[[#This Row],[P20 Growth]]/PortfolioFrontier[[#This Row],[P20 HWM]]-1</f>
        <v>0</v>
      </c>
      <c r="CE69" s="28">
        <f>SUMPRODUCT(INDEX(PortfolioRef[[SPY]:[PE]],MATCH(CE$1,PortfolioRef[Reference '#]),0),AssetMonthlyReturns[[#This Row],[SPY]:[PE]])</f>
        <v>4.2615360928138543E-2</v>
      </c>
      <c r="CF69" s="27">
        <f>IF(ISNUMBER(CF68),CF68*(1+PortfolioFrontier[[#This Row],[P21 Return]]),1+PortfolioFrontier[[#This Row],[P21 Return]])</f>
        <v>1.7399930973531172</v>
      </c>
      <c r="CG69" s="27">
        <f>MAX(CG68,PortfolioFrontier[[#This Row],[P21 Growth]])</f>
        <v>1.7399930973531172</v>
      </c>
      <c r="CH69" s="27">
        <f>PortfolioFrontier[[#This Row],[P21 Growth]]/PortfolioFrontier[[#This Row],[P21 HWM]]-1</f>
        <v>0</v>
      </c>
      <c r="CI69" s="28">
        <f>SUMPRODUCT(INDEX(PortfolioRef[[SPY]:[PE]],MATCH(CI$1,PortfolioRef[Reference '#]),0),AssetMonthlyReturns[[#This Row],[SPY]:[PE]])</f>
        <v>3.8371585717887888E-2</v>
      </c>
      <c r="CJ69" s="27">
        <f>IF(ISNUMBER(CJ68),CJ68*(1+PortfolioFrontier[[#This Row],[P22 Return]]),1+PortfolioFrontier[[#This Row],[P22 Return]])</f>
        <v>1.7085549934857278</v>
      </c>
      <c r="CK69" s="27">
        <f>MAX(CK68,PortfolioFrontier[[#This Row],[P22 Growth]])</f>
        <v>1.7085549934857278</v>
      </c>
      <c r="CL69" s="27">
        <f>PortfolioFrontier[[#This Row],[P22 Growth]]/PortfolioFrontier[[#This Row],[P22 HWM]]-1</f>
        <v>0</v>
      </c>
      <c r="CM69" s="28">
        <f>SUMPRODUCT(INDEX(PortfolioRef[[SPY]:[PE]],MATCH(CM$1,PortfolioRef[Reference '#]),0),AssetMonthlyReturns[[#This Row],[SPY]:[PE]])</f>
        <v>4.5774157477182116E-2</v>
      </c>
      <c r="CN69" s="27">
        <f>IF(ISNUMBER(CN68),CN68*(1+PortfolioFrontier[[#This Row],[P23 Return]]),1+PortfolioFrontier[[#This Row],[P23 Return]])</f>
        <v>1.7561415347780454</v>
      </c>
      <c r="CO69" s="27">
        <f>MAX(CO68,PortfolioFrontier[[#This Row],[P23 Growth]])</f>
        <v>1.7561415347780454</v>
      </c>
      <c r="CP69" s="27">
        <f>PortfolioFrontier[[#This Row],[P23 Growth]]/PortfolioFrontier[[#This Row],[P23 HWM]]-1</f>
        <v>0</v>
      </c>
      <c r="CQ69" s="28">
        <f>SUMPRODUCT(INDEX(PortfolioRef[[SPY]:[PE]],MATCH(CQ$1,PortfolioRef[Reference '#]),0),AssetMonthlyReturns[[#This Row],[SPY]:[PE]])</f>
        <v>4.1530382266931454E-2</v>
      </c>
      <c r="CR69" s="27">
        <f>IF(ISNUMBER(CR68),CR68*(1+PortfolioFrontier[[#This Row],[P24 Return]]),1+PortfolioFrontier[[#This Row],[P24 Return]])</f>
        <v>1.7249695756204158</v>
      </c>
      <c r="CS69" s="27">
        <f>MAX(CS68,PortfolioFrontier[[#This Row],[P24 Growth]])</f>
        <v>1.7249695756204158</v>
      </c>
      <c r="CT69" s="27">
        <f>PortfolioFrontier[[#This Row],[P24 Growth]]/PortfolioFrontier[[#This Row],[P24 HWM]]-1</f>
        <v>0</v>
      </c>
      <c r="CU69" s="28">
        <f>SUMPRODUCT(INDEX(PortfolioRef[[SPY]:[PE]],MATCH(CU$1,PortfolioRef[Reference '#]),0),AssetMonthlyReturns[[#This Row],[SPY]:[PE]])</f>
        <v>3.7286607056680791E-2</v>
      </c>
      <c r="CV69" s="27">
        <f>IF(ISNUMBER(CV68),CV68*(1+PortfolioFrontier[[#This Row],[P25 Return]]),1+PortfolioFrontier[[#This Row],[P25 Return]])</f>
        <v>1.693626856615517</v>
      </c>
      <c r="CW69" s="27">
        <f>MAX(CW68,PortfolioFrontier[[#This Row],[P25 Growth]])</f>
        <v>1.693626856615517</v>
      </c>
      <c r="CX69" s="27">
        <f>PortfolioFrontier[[#This Row],[P25 Growth]]/PortfolioFrontier[[#This Row],[P25 HWM]]-1</f>
        <v>0</v>
      </c>
      <c r="CY69" s="28">
        <f>SUMPRODUCT(INDEX(PortfolioRef[[SPY]:[PE]],MATCH(CY$1,PortfolioRef[Reference '#]),0),AssetMonthlyReturns[[#This Row],[SPY]:[PE]])</f>
        <v>4.3366011290074807E-2</v>
      </c>
      <c r="CZ69" s="27">
        <f>IF(ISNUMBER(CZ68),CZ68*(1+PortfolioFrontier[[#This Row],[P26 Return]]),1+PortfolioFrontier[[#This Row],[P26 Return]])</f>
        <v>1.7535688508759082</v>
      </c>
      <c r="DA69" s="27">
        <f>MAX(DA68,PortfolioFrontier[[#This Row],[P26 Growth]])</f>
        <v>1.7535688508759082</v>
      </c>
      <c r="DB69" s="27">
        <f>PortfolioFrontier[[#This Row],[P26 Growth]]/PortfolioFrontier[[#This Row],[P26 HWM]]-1</f>
        <v>0</v>
      </c>
      <c r="DC69" s="28">
        <f>SUMPRODUCT(INDEX(PortfolioRef[[SPY]:[PE]],MATCH(DC$1,PortfolioRef[Reference '#]),0),AssetMonthlyReturns[[#This Row],[SPY]:[PE]])</f>
        <v>3.9122236079824152E-2</v>
      </c>
      <c r="DD69" s="27">
        <f>IF(ISNUMBER(DD68),DD68*(1+PortfolioFrontier[[#This Row],[P27 Return]]),1+PortfolioFrontier[[#This Row],[P27 Return]])</f>
        <v>1.7219426380190939</v>
      </c>
      <c r="DE69" s="27">
        <f>MAX(DE68,PortfolioFrontier[[#This Row],[P27 Growth]])</f>
        <v>1.7219426380190939</v>
      </c>
      <c r="DF69" s="27">
        <f>PortfolioFrontier[[#This Row],[P27 Growth]]/PortfolioFrontier[[#This Row],[P27 HWM]]-1</f>
        <v>0</v>
      </c>
      <c r="DG69" s="28">
        <f>SUMPRODUCT(INDEX(PortfolioRef[[SPY]:[PE]],MATCH(DG$1,PortfolioRef[Reference '#]),0),AssetMonthlyReturns[[#This Row],[SPY]:[PE]])</f>
        <v>4.652480783911838E-2</v>
      </c>
      <c r="DH69" s="27">
        <f>IF(ISNUMBER(DH68),DH68*(1+PortfolioFrontier[[#This Row],[P28 Return]]),1+PortfolioFrontier[[#This Row],[P28 Return]])</f>
        <v>1.7701600261708776</v>
      </c>
      <c r="DI69" s="27">
        <f>MAX(DI68,PortfolioFrontier[[#This Row],[P28 Growth]])</f>
        <v>1.7701600261708776</v>
      </c>
      <c r="DJ69" s="27">
        <f>PortfolioFrontier[[#This Row],[P28 Growth]]/PortfolioFrontier[[#This Row],[P28 HWM]]-1</f>
        <v>0</v>
      </c>
      <c r="DK69" s="28">
        <f>SUMPRODUCT(INDEX(PortfolioRef[[SPY]:[PE]],MATCH(DK$1,PortfolioRef[Reference '#]),0),AssetMonthlyReturns[[#This Row],[SPY]:[PE]])</f>
        <v>4.2281032628867718E-2</v>
      </c>
      <c r="DL69" s="27">
        <f>IF(ISNUMBER(DL68),DL68*(1+PortfolioFrontier[[#This Row],[P29 Return]]),1+PortfolioFrontier[[#This Row],[P29 Return]])</f>
        <v>1.7387971497638681</v>
      </c>
      <c r="DM69" s="27">
        <f>MAX(DM68,PortfolioFrontier[[#This Row],[P29 Growth]])</f>
        <v>1.7387971497638681</v>
      </c>
      <c r="DN69" s="27">
        <f>PortfolioFrontier[[#This Row],[P29 Growth]]/PortfolioFrontier[[#This Row],[P29 HWM]]-1</f>
        <v>0</v>
      </c>
      <c r="DO69" s="28">
        <f>SUMPRODUCT(INDEX(PortfolioRef[[SPY]:[PE]],MATCH(DO$1,PortfolioRef[Reference '#]),0),AssetMonthlyReturns[[#This Row],[SPY]:[PE]])</f>
        <v>3.8037257418617056E-2</v>
      </c>
      <c r="DP69" s="27">
        <f>IF(ISNUMBER(DP68),DP68*(1+PortfolioFrontier[[#This Row],[P30 Return]]),1+PortfolioFrontier[[#This Row],[P30 Return]])</f>
        <v>1.7072603264435657</v>
      </c>
      <c r="DQ69" s="27">
        <f>MAX(DQ68,PortfolioFrontier[[#This Row],[P30 Growth]])</f>
        <v>1.7072603264435657</v>
      </c>
      <c r="DR69" s="27">
        <f>PortfolioFrontier[[#This Row],[P30 Growth]]/PortfolioFrontier[[#This Row],[P30 HWM]]-1</f>
        <v>0</v>
      </c>
      <c r="DS69" s="28">
        <f>SUMPRODUCT(INDEX(PortfolioRef[[SPY]:[PE]],MATCH(DS$1,PortfolioRef[Reference '#]),0),AssetMonthlyReturns[[#This Row],[SPY]:[PE]])</f>
        <v>4.9683604388161953E-2</v>
      </c>
      <c r="DT69" s="27">
        <f>IF(ISNUMBER(DT68),DT68*(1+PortfolioFrontier[[#This Row],[P31 Return]]),1+PortfolioFrontier[[#This Row],[P31 Return]])</f>
        <v>1.7859748660419974</v>
      </c>
      <c r="DU69" s="27">
        <f>MAX(DU68,PortfolioFrontier[[#This Row],[P31 Growth]])</f>
        <v>1.7859748660419974</v>
      </c>
      <c r="DV69" s="27">
        <f>PortfolioFrontier[[#This Row],[P31 Growth]]/PortfolioFrontier[[#This Row],[P31 HWM]]-1</f>
        <v>0</v>
      </c>
      <c r="DW69" s="28">
        <f>SUMPRODUCT(INDEX(PortfolioRef[[SPY]:[PE]],MATCH(DW$1,PortfolioRef[Reference '#]),0),AssetMonthlyReturns[[#This Row],[SPY]:[PE]])</f>
        <v>4.5439829177911298E-2</v>
      </c>
      <c r="DX69" s="27">
        <f>IF(ISNUMBER(DX68),DX68*(1+PortfolioFrontier[[#This Row],[P32 Return]]),1+PortfolioFrontier[[#This Row],[P32 Return]])</f>
        <v>1.7549034464447075</v>
      </c>
      <c r="DY69" s="27">
        <f>MAX(DY68,PortfolioFrontier[[#This Row],[P32 Growth]])</f>
        <v>1.7549034464447075</v>
      </c>
      <c r="DZ69" s="27">
        <f>PortfolioFrontier[[#This Row],[P32 Growth]]/PortfolioFrontier[[#This Row],[P32 HWM]]-1</f>
        <v>0</v>
      </c>
      <c r="EA69" s="28">
        <f>SUMPRODUCT(INDEX(PortfolioRef[[SPY]:[PE]],MATCH(EA$1,PortfolioRef[Reference '#]),0),AssetMonthlyReturns[[#This Row],[SPY]:[PE]])</f>
        <v>4.1196053967660629E-2</v>
      </c>
      <c r="EB69" s="27">
        <f>IF(ISNUMBER(EB68),EB68*(1+PortfolioFrontier[[#This Row],[P33 Return]]),1+PortfolioFrontier[[#This Row],[P33 Return]])</f>
        <v>1.7236318552752865</v>
      </c>
      <c r="EC69" s="27">
        <f>MAX(EC68,PortfolioFrontier[[#This Row],[P33 Growth]])</f>
        <v>1.7236318552752865</v>
      </c>
      <c r="ED69" s="27">
        <f>PortfolioFrontier[[#This Row],[P33 Growth]]/PortfolioFrontier[[#This Row],[P33 HWM]]-1</f>
        <v>0</v>
      </c>
      <c r="EE69" s="28">
        <f>SUMPRODUCT(INDEX(PortfolioRef[[SPY]:[PE]],MATCH(EE$1,PortfolioRef[Reference '#]),0),AssetMonthlyReturns[[#This Row],[SPY]:[PE]])</f>
        <v>3.4265319371444065E-2</v>
      </c>
      <c r="EF69" s="27">
        <f>IF(ISNUMBER(EF68),EF68*(1+PortfolioFrontier[[#This Row],[P34 Return]]),1+PortfolioFrontier[[#This Row],[P34 Return]])</f>
        <v>1.6345628529836764</v>
      </c>
      <c r="EG69" s="27">
        <f>MAX(EG68,PortfolioFrontier[[#This Row],[P34 Growth]])</f>
        <v>1.6345628529836764</v>
      </c>
      <c r="EH69" s="27">
        <f>PortfolioFrontier[[#This Row],[P34 Growth]]/PortfolioFrontier[[#This Row],[P34 HWM]]-1</f>
        <v>0</v>
      </c>
      <c r="EI69" s="28">
        <f>SUMPRODUCT(INDEX(PortfolioRef[[SPY]:[PE]],MATCH(EI$1,PortfolioRef[Reference '#]),0),AssetMonthlyReturns[[#This Row],[SPY]:[PE]])</f>
        <v>3.5015969733380337E-2</v>
      </c>
      <c r="EJ69" s="27">
        <f>IF(ISNUMBER(EJ68),EJ68*(1+PortfolioFrontier[[#This Row],[P35 Return]]),1+PortfolioFrontier[[#This Row],[P35 Return]])</f>
        <v>1.6476806147340157</v>
      </c>
      <c r="EK69" s="27">
        <f>MAX(EK68,PortfolioFrontier[[#This Row],[P35 Growth]])</f>
        <v>1.6476806147340157</v>
      </c>
      <c r="EL69" s="27">
        <f>PortfolioFrontier[[#This Row],[P35 Growth]]/PortfolioFrontier[[#This Row],[P35 HWM]]-1</f>
        <v>0</v>
      </c>
      <c r="EM69" s="28">
        <f>SUMPRODUCT(INDEX(PortfolioRef[[SPY]:[PE]],MATCH(EM$1,PortfolioRef[Reference '#]),0),AssetMonthlyReturns[[#This Row],[SPY]:[PE]])</f>
        <v>3.8174766282423903E-2</v>
      </c>
      <c r="EN69" s="27">
        <f>IF(ISNUMBER(EN68),EN68*(1+PortfolioFrontier[[#This Row],[P36 Return]]),1+PortfolioFrontier[[#This Row],[P36 Return]])</f>
        <v>1.6639603611051894</v>
      </c>
      <c r="EO69" s="27">
        <f>MAX(EO68,PortfolioFrontier[[#This Row],[P36 Growth]])</f>
        <v>1.6639603611051894</v>
      </c>
      <c r="EP69" s="27">
        <f>PortfolioFrontier[[#This Row],[P36 Growth]]/PortfolioFrontier[[#This Row],[P36 HWM]]-1</f>
        <v>0</v>
      </c>
      <c r="EQ69" s="28">
        <f>SUMPRODUCT(INDEX(PortfolioRef[[SPY]:[PE]],MATCH(EQ$1,PortfolioRef[Reference '#]),0),AssetMonthlyReturns[[#This Row],[SPY]:[PE]])</f>
        <v>3.3930991072173247E-2</v>
      </c>
      <c r="ER69" s="27">
        <f>IF(ISNUMBER(ER68),ER68*(1+PortfolioFrontier[[#This Row],[P37 Return]]),1+PortfolioFrontier[[#This Row],[P37 Return]])</f>
        <v>1.6334626709390123</v>
      </c>
      <c r="ES69" s="27">
        <f>MAX(ES68,PortfolioFrontier[[#This Row],[P37 Growth]])</f>
        <v>1.6334626709390123</v>
      </c>
      <c r="ET69" s="27">
        <f>PortfolioFrontier[[#This Row],[P37 Growth]]/PortfolioFrontier[[#This Row],[P37 HWM]]-1</f>
        <v>0</v>
      </c>
      <c r="EU69" s="28">
        <f>SUMPRODUCT(INDEX(PortfolioRef[[SPY]:[PE]],MATCH(EU$1,PortfolioRef[Reference '#]),0),AssetMonthlyReturns[[#This Row],[SPY]:[PE]])</f>
        <v>3.5766620095316601E-2</v>
      </c>
      <c r="EV69" s="27">
        <f>IF(ISNUMBER(EV68),EV68*(1+PortfolioFrontier[[#This Row],[P38 Return]]),1+PortfolioFrontier[[#This Row],[P38 Return]])</f>
        <v>1.660580054594933</v>
      </c>
      <c r="EW69" s="27">
        <f>MAX(EW68,PortfolioFrontier[[#This Row],[P38 Growth]])</f>
        <v>1.660580054594933</v>
      </c>
      <c r="EX69" s="27">
        <f>PortfolioFrontier[[#This Row],[P38 Growth]]/PortfolioFrontier[[#This Row],[P38 HWM]]-1</f>
        <v>0</v>
      </c>
      <c r="EY69" s="28">
        <f>SUMPRODUCT(INDEX(PortfolioRef[[SPY]:[PE]],MATCH(EY$1,PortfolioRef[Reference '#]),0),AssetMonthlyReturns[[#This Row],[SPY]:[PE]])</f>
        <v>3.8925416644360174E-2</v>
      </c>
      <c r="EZ69" s="27">
        <f>IF(ISNUMBER(EZ68),EZ68*(1+PortfolioFrontier[[#This Row],[P39 Return]]),1+PortfolioFrontier[[#This Row],[P39 Return]])</f>
        <v>1.6772883077453884</v>
      </c>
      <c r="FA69" s="27">
        <f>MAX(FA68,PortfolioFrontier[[#This Row],[P39 Growth]])</f>
        <v>1.6772883077453884</v>
      </c>
      <c r="FB69" s="27">
        <f>PortfolioFrontier[[#This Row],[P39 Growth]]/PortfolioFrontier[[#This Row],[P39 HWM]]-1</f>
        <v>0</v>
      </c>
      <c r="FC69" s="28">
        <f>SUMPRODUCT(INDEX(PortfolioRef[[SPY]:[PE]],MATCH(FC$1,PortfolioRef[Reference '#]),0),AssetMonthlyReturns[[#This Row],[SPY]:[PE]])</f>
        <v>3.4681641434109518E-2</v>
      </c>
      <c r="FD69" s="27">
        <f>IF(ISNUMBER(FD68),FD68*(1+PortfolioFrontier[[#This Row],[P40 Return]]),1+PortfolioFrontier[[#This Row],[P40 Return]])</f>
        <v>1.6466015801234097</v>
      </c>
      <c r="FE69" s="27">
        <f>MAX(FE68,PortfolioFrontier[[#This Row],[P40 Growth]])</f>
        <v>1.6466015801234097</v>
      </c>
      <c r="FF69" s="27">
        <f>PortfolioFrontier[[#This Row],[P40 Growth]]/PortfolioFrontier[[#This Row],[P40 HWM]]-1</f>
        <v>0</v>
      </c>
      <c r="FG69" s="28">
        <f>SUMPRODUCT(INDEX(PortfolioRef[[SPY]:[PE]],MATCH(FG$1,PortfolioRef[Reference '#]),0),AssetMonthlyReturns[[#This Row],[SPY]:[PE]])</f>
        <v>4.2084213193403747E-2</v>
      </c>
      <c r="FH69" s="27">
        <f>IF(ISNUMBER(FH68),FH68*(1+PortfolioFrontier[[#This Row],[P41 Return]]),1+PortfolioFrontier[[#This Row],[P41 Return]])</f>
        <v>1.6932852046994842</v>
      </c>
      <c r="FI69" s="27">
        <f>MAX(FI68,PortfolioFrontier[[#This Row],[P41 Growth]])</f>
        <v>1.6932852046994842</v>
      </c>
      <c r="FJ69" s="27">
        <f>PortfolioFrontier[[#This Row],[P41 Growth]]/PortfolioFrontier[[#This Row],[P41 HWM]]-1</f>
        <v>0</v>
      </c>
      <c r="FK69" s="28">
        <f>SUMPRODUCT(INDEX(PortfolioRef[[SPY]:[PE]],MATCH(FK$1,PortfolioRef[Reference '#]),0),AssetMonthlyReturns[[#This Row],[SPY]:[PE]])</f>
        <v>3.7840437983153084E-2</v>
      </c>
      <c r="FL69" s="27">
        <f>IF(ISNUMBER(FL68),FL68*(1+PortfolioFrontier[[#This Row],[P42 Return]]),1+PortfolioFrontier[[#This Row],[P42 Return]])</f>
        <v>1.6628414054892733</v>
      </c>
      <c r="FM69" s="27">
        <f>MAX(FM68,PortfolioFrontier[[#This Row],[P42 Growth]])</f>
        <v>1.6628414054892733</v>
      </c>
      <c r="FN69" s="27">
        <f>PortfolioFrontier[[#This Row],[P42 Growth]]/PortfolioFrontier[[#This Row],[P42 HWM]]-1</f>
        <v>0</v>
      </c>
      <c r="FO69" s="28">
        <f>SUMPRODUCT(INDEX(PortfolioRef[[SPY]:[PE]],MATCH(FO$1,PortfolioRef[Reference '#]),0),AssetMonthlyReturns[[#This Row],[SPY]:[PE]])</f>
        <v>3.3596662772902422E-2</v>
      </c>
      <c r="FP69" s="27">
        <f>IF(ISNUMBER(FP68),FP68*(1+PortfolioFrontier[[#This Row],[P43 Return]]),1+PortfolioFrontier[[#This Row],[P43 Return]])</f>
        <v>1.6322489978137318</v>
      </c>
      <c r="FQ69" s="27">
        <f>MAX(FQ68,PortfolioFrontier[[#This Row],[P43 Growth]])</f>
        <v>1.6322489978137318</v>
      </c>
      <c r="FR69" s="27">
        <f>PortfolioFrontier[[#This Row],[P43 Growth]]/PortfolioFrontier[[#This Row],[P43 HWM]]-1</f>
        <v>0</v>
      </c>
      <c r="FS69" s="28">
        <f>SUMPRODUCT(INDEX(PortfolioRef[[SPY]:[PE]],MATCH(FS$1,PortfolioRef[Reference '#]),0),AssetMonthlyReturns[[#This Row],[SPY]:[PE]])</f>
        <v>3.9676067006296445E-2</v>
      </c>
      <c r="FT69" s="27">
        <f>IF(ISNUMBER(FT68),FT68*(1+PortfolioFrontier[[#This Row],[P44 Return]]),1+PortfolioFrontier[[#This Row],[P44 Return]])</f>
        <v>1.6903941518538552</v>
      </c>
      <c r="FU69" s="27">
        <f>MAX(FU68,PortfolioFrontier[[#This Row],[P44 Growth]])</f>
        <v>1.6903941518538552</v>
      </c>
      <c r="FV69" s="27">
        <f>PortfolioFrontier[[#This Row],[P44 Growth]]/PortfolioFrontier[[#This Row],[P44 HWM]]-1</f>
        <v>0</v>
      </c>
      <c r="FW69" s="28">
        <f>SUMPRODUCT(INDEX(PortfolioRef[[SPY]:[PE]],MATCH(FW$1,PortfolioRef[Reference '#]),0),AssetMonthlyReturns[[#This Row],[SPY]:[PE]])</f>
        <v>3.5432291796045783E-2</v>
      </c>
      <c r="FX69" s="27">
        <f>IF(ISNUMBER(FX68),FX68*(1+PortfolioFrontier[[#This Row],[P45 Return]]),1+PortfolioFrontier[[#This Row],[P45 Return]])</f>
        <v>1.6595229128942561</v>
      </c>
      <c r="FY69" s="27">
        <f>MAX(FY68,PortfolioFrontier[[#This Row],[P45 Growth]])</f>
        <v>1.6595229128942561</v>
      </c>
      <c r="FZ69" s="27">
        <f>PortfolioFrontier[[#This Row],[P45 Growth]]/PortfolioFrontier[[#This Row],[P45 HWM]]-1</f>
        <v>0</v>
      </c>
      <c r="GA69" s="28">
        <f>SUMPRODUCT(INDEX(PortfolioRef[[SPY]:[PE]],MATCH(GA$1,PortfolioRef[Reference '#]),0),AssetMonthlyReturns[[#This Row],[SPY]:[PE]])</f>
        <v>4.2834863555340018E-2</v>
      </c>
      <c r="GB69" s="27">
        <f>IF(ISNUMBER(GB68),GB68*(1+PortfolioFrontier[[#This Row],[P46 Return]]),1+PortfolioFrontier[[#This Row],[P46 Return]])</f>
        <v>1.7068220602080835</v>
      </c>
      <c r="GC69" s="27">
        <f>MAX(GC68,PortfolioFrontier[[#This Row],[P46 Growth]])</f>
        <v>1.7068220602080835</v>
      </c>
      <c r="GD69" s="27">
        <f>PortfolioFrontier[[#This Row],[P46 Growth]]/PortfolioFrontier[[#This Row],[P46 HWM]]-1</f>
        <v>0</v>
      </c>
      <c r="GE69" s="28">
        <f>SUMPRODUCT(INDEX(PortfolioRef[[SPY]:[PE]],MATCH(GE$1,PortfolioRef[Reference '#]),0),AssetMonthlyReturns[[#This Row],[SPY]:[PE]])</f>
        <v>3.8591088345089355E-2</v>
      </c>
      <c r="GF69" s="27">
        <f>IF(ISNUMBER(GF68),GF68*(1+PortfolioFrontier[[#This Row],[P47 Return]]),1+PortfolioFrontier[[#This Row],[P47 Return]])</f>
        <v>1.6761908774439858</v>
      </c>
      <c r="GG69" s="27">
        <f>MAX(GG68,PortfolioFrontier[[#This Row],[P47 Growth]])</f>
        <v>1.6761908774439858</v>
      </c>
      <c r="GH69" s="27">
        <f>PortfolioFrontier[[#This Row],[P47 Growth]]/PortfolioFrontier[[#This Row],[P47 HWM]]-1</f>
        <v>0</v>
      </c>
      <c r="GI69" s="28">
        <f>SUMPRODUCT(INDEX(PortfolioRef[[SPY]:[PE]],MATCH(GI$1,PortfolioRef[Reference '#]),0),AssetMonthlyReturns[[#This Row],[SPY]:[PE]])</f>
        <v>3.4347313134838693E-2</v>
      </c>
      <c r="GJ69" s="27">
        <f>IF(ISNUMBER(GJ68),GJ68*(1+PortfolioFrontier[[#This Row],[P48 Return]]),1+PortfolioFrontier[[#This Row],[P48 Return]])</f>
        <v>1.645408108798194</v>
      </c>
      <c r="GK69" s="27">
        <f>MAX(GK68,PortfolioFrontier[[#This Row],[P48 Growth]])</f>
        <v>1.645408108798194</v>
      </c>
      <c r="GL69" s="27">
        <f>PortfolioFrontier[[#This Row],[P48 Growth]]/PortfolioFrontier[[#This Row],[P48 HWM]]-1</f>
        <v>0</v>
      </c>
      <c r="GM69" s="28">
        <f>SUMPRODUCT(INDEX(PortfolioRef[[SPY]:[PE]],MATCH(GM$1,PortfolioRef[Reference '#]),0),AssetMonthlyReturns[[#This Row],[SPY]:[PE]])</f>
        <v>4.5993660104383591E-2</v>
      </c>
      <c r="GN69" s="27">
        <f>IF(ISNUMBER(GN68),GN68*(1+PortfolioFrontier[[#This Row],[P49 Return]]),1+PortfolioFrontier[[#This Row],[P49 Return]])</f>
        <v>1.7225114537703292</v>
      </c>
      <c r="GO69" s="27">
        <f>MAX(GO68,PortfolioFrontier[[#This Row],[P49 Growth]])</f>
        <v>1.7225114537703292</v>
      </c>
      <c r="GP69" s="27">
        <f>PortfolioFrontier[[#This Row],[P49 Growth]]/PortfolioFrontier[[#This Row],[P49 HWM]]-1</f>
        <v>0</v>
      </c>
      <c r="GQ69" s="28">
        <f>SUMPRODUCT(INDEX(PortfolioRef[[SPY]:[PE]],MATCH(GQ$1,PortfolioRef[Reference '#]),0),AssetMonthlyReturns[[#This Row],[SPY]:[PE]])</f>
        <v>4.1749884894132928E-2</v>
      </c>
      <c r="GR69" s="27">
        <f>IF(ISNUMBER(GR68),GR68*(1+PortfolioFrontier[[#This Row],[P50 Return]]),1+PortfolioFrontier[[#This Row],[P50 Return]])</f>
        <v>1.692147538443687</v>
      </c>
      <c r="GS69" s="27">
        <f>MAX(GS68,PortfolioFrontier[[#This Row],[P50 Growth]])</f>
        <v>1.692147538443687</v>
      </c>
      <c r="GT69" s="27">
        <f>PortfolioFrontier[[#This Row],[P50 Growth]]/PortfolioFrontier[[#This Row],[P50 HWM]]-1</f>
        <v>0</v>
      </c>
      <c r="GU69" s="28">
        <f>SUMPRODUCT(INDEX(PortfolioRef[[SPY]:[PE]],MATCH(GU$1,PortfolioRef[Reference '#]),0),AssetMonthlyReturns[[#This Row],[SPY]:[PE]])</f>
        <v>3.7506109683882259E-2</v>
      </c>
      <c r="GV69" s="27">
        <f>IF(ISNUMBER(GV68),GV68*(1+PortfolioFrontier[[#This Row],[P51 Return]]),1+PortfolioFrontier[[#This Row],[P51 Return]])</f>
        <v>1.6616068144448195</v>
      </c>
      <c r="GW69" s="27">
        <f>MAX(GW68,PortfolioFrontier[[#This Row],[P51 Growth]])</f>
        <v>1.6616068144448195</v>
      </c>
      <c r="GX69" s="27">
        <f>PortfolioFrontier[[#This Row],[P51 Growth]]/PortfolioFrontier[[#This Row],[P51 HWM]]-1</f>
        <v>0</v>
      </c>
      <c r="GY69" s="28">
        <f>SUMPRODUCT(INDEX(PortfolioRef[[SPY]:[PE]],MATCH(GY$1,PortfolioRef[Reference '#]),0),AssetMonthlyReturns[[#This Row],[SPY]:[PE]])</f>
        <v>4.3585513917276282E-2</v>
      </c>
      <c r="GZ69" s="27">
        <f>IF(ISNUMBER(GZ68),GZ68*(1+PortfolioFrontier[[#This Row],[P52 Return]]),1+PortfolioFrontier[[#This Row],[P52 Return]])</f>
        <v>1.7201330449120091</v>
      </c>
      <c r="HA69" s="27">
        <f>MAX(HA68,PortfolioFrontier[[#This Row],[P52 Growth]])</f>
        <v>1.7201330449120091</v>
      </c>
      <c r="HB69" s="27">
        <f>PortfolioFrontier[[#This Row],[P52 Growth]]/PortfolioFrontier[[#This Row],[P52 HWM]]-1</f>
        <v>0</v>
      </c>
      <c r="HC69" s="28">
        <f>SUMPRODUCT(INDEX(PortfolioRef[[SPY]:[PE]],MATCH(HC$1,PortfolioRef[Reference '#]),0),AssetMonthlyReturns[[#This Row],[SPY]:[PE]])</f>
        <v>3.934173870702562E-2</v>
      </c>
      <c r="HD69" s="27">
        <f>IF(ISNUMBER(HD68),HD68*(1+PortfolioFrontier[[#This Row],[P53 Return]]),1+PortfolioFrontier[[#This Row],[P53 Return]])</f>
        <v>1.6893190038802908</v>
      </c>
      <c r="HE69" s="27">
        <f>MAX(HE68,PortfolioFrontier[[#This Row],[P53 Growth]])</f>
        <v>1.6893190038802908</v>
      </c>
      <c r="HF69" s="27">
        <f>PortfolioFrontier[[#This Row],[P53 Growth]]/PortfolioFrontier[[#This Row],[P53 HWM]]-1</f>
        <v>0</v>
      </c>
      <c r="HG69" s="28">
        <f>SUMPRODUCT(INDEX(PortfolioRef[[SPY]:[PE]],MATCH(HG$1,PortfolioRef[Reference '#]),0),AssetMonthlyReturns[[#This Row],[SPY]:[PE]])</f>
        <v>3.5097963496774957E-2</v>
      </c>
      <c r="HH69" s="27">
        <f>IF(ISNUMBER(HH68),HH68*(1+PortfolioFrontier[[#This Row],[P54 Return]]),1+PortfolioFrontier[[#This Row],[P54 Return]])</f>
        <v>1.6583504025001854</v>
      </c>
      <c r="HI69" s="27">
        <f>MAX(HI68,PortfolioFrontier[[#This Row],[P54 Growth]])</f>
        <v>1.6583504025001854</v>
      </c>
      <c r="HJ69" s="27">
        <f>PortfolioFrontier[[#This Row],[P54 Growth]]/PortfolioFrontier[[#This Row],[P54 HWM]]-1</f>
        <v>0</v>
      </c>
      <c r="HK69" s="28">
        <f>SUMPRODUCT(INDEX(PortfolioRef[[SPY]:[PE]],MATCH(HK$1,PortfolioRef[Reference '#]),0),AssetMonthlyReturns[[#This Row],[SPY]:[PE]])</f>
        <v>4.6744310466319855E-2</v>
      </c>
      <c r="HL69" s="27">
        <f>IF(ISNUMBER(HL68),HL68*(1+PortfolioFrontier[[#This Row],[P55 Return]]),1+PortfolioFrontier[[#This Row],[P55 Return]])</f>
        <v>1.7362557512983747</v>
      </c>
      <c r="HM69" s="27">
        <f>MAX(HM68,PortfolioFrontier[[#This Row],[P55 Growth]])</f>
        <v>1.7362557512983747</v>
      </c>
      <c r="HN69" s="27">
        <f>PortfolioFrontier[[#This Row],[P55 Growth]]/PortfolioFrontier[[#This Row],[P55 HWM]]-1</f>
        <v>0</v>
      </c>
      <c r="HO69" s="28">
        <f>SUMPRODUCT(INDEX(PortfolioRef[[SPY]:[PE]],MATCH(HO$1,PortfolioRef[Reference '#]),0),AssetMonthlyReturns[[#This Row],[SPY]:[PE]])</f>
        <v>4.25005352560692E-2</v>
      </c>
      <c r="HP69" s="27">
        <f>IF(ISNUMBER(HP68),HP68*(1+PortfolioFrontier[[#This Row],[P56 Return]]),1+PortfolioFrontier[[#This Row],[P56 Return]])</f>
        <v>1.7057062972918784</v>
      </c>
      <c r="HQ69" s="27">
        <f>MAX(HQ68,PortfolioFrontier[[#This Row],[P56 Growth]])</f>
        <v>1.7057062972918784</v>
      </c>
      <c r="HR69" s="27">
        <f>PortfolioFrontier[[#This Row],[P56 Growth]]/PortfolioFrontier[[#This Row],[P56 HWM]]-1</f>
        <v>0</v>
      </c>
      <c r="HS69" s="28">
        <f>SUMPRODUCT(INDEX(PortfolioRef[[SPY]:[PE]],MATCH(HS$1,PortfolioRef[Reference '#]),0),AssetMonthlyReturns[[#This Row],[SPY]:[PE]])</f>
        <v>3.825676004581853E-2</v>
      </c>
      <c r="HT69" s="27">
        <f>IF(ISNUMBER(HT68),HT68*(1+PortfolioFrontier[[#This Row],[P57 Return]]),1+PortfolioFrontier[[#This Row],[P57 Return]])</f>
        <v>1.6749768499144664</v>
      </c>
      <c r="HU69" s="27">
        <f>MAX(HU68,PortfolioFrontier[[#This Row],[P57 Growth]])</f>
        <v>1.6749768499144664</v>
      </c>
      <c r="HV69" s="27">
        <f>PortfolioFrontier[[#This Row],[P57 Growth]]/PortfolioFrontier[[#This Row],[P57 HWM]]-1</f>
        <v>0</v>
      </c>
      <c r="HW69" s="28">
        <f>SUMPRODUCT(INDEX(PortfolioRef[[SPY]:[PE]],MATCH(HW$1,PortfolioRef[Reference '#]),0),AssetMonthlyReturns[[#This Row],[SPY]:[PE]])</f>
        <v>4.9903107015363428E-2</v>
      </c>
      <c r="HX69" s="27">
        <f>IF(ISNUMBER(HX68),HX68*(1+PortfolioFrontier[[#This Row],[P58 Return]]),1+PortfolioFrontier[[#This Row],[P58 Return]])</f>
        <v>1.7516124699638438</v>
      </c>
      <c r="HY69" s="27">
        <f>MAX(HY68,PortfolioFrontier[[#This Row],[P58 Growth]])</f>
        <v>1.7516124699638438</v>
      </c>
      <c r="HZ69" s="27">
        <f>PortfolioFrontier[[#This Row],[P58 Growth]]/PortfolioFrontier[[#This Row],[P58 HWM]]-1</f>
        <v>0</v>
      </c>
      <c r="IA69" s="28">
        <f>SUMPRODUCT(INDEX(PortfolioRef[[SPY]:[PE]],MATCH(IA$1,PortfolioRef[Reference '#]),0),AssetMonthlyReturns[[#This Row],[SPY]:[PE]])</f>
        <v>4.5659331805112766E-2</v>
      </c>
      <c r="IB69" s="27">
        <f>IF(ISNUMBER(IB68),IB68*(1+PortfolioFrontier[[#This Row],[P59 Return]]),1+PortfolioFrontier[[#This Row],[P59 Return]])</f>
        <v>1.7213551639467621</v>
      </c>
      <c r="IC69" s="27">
        <f>MAX(IC68,PortfolioFrontier[[#This Row],[P59 Growth]])</f>
        <v>1.7213551639467621</v>
      </c>
      <c r="ID69" s="27">
        <f>PortfolioFrontier[[#This Row],[P59 Growth]]/PortfolioFrontier[[#This Row],[P59 HWM]]-1</f>
        <v>0</v>
      </c>
      <c r="IE69" s="28">
        <f>SUMPRODUCT(INDEX(PortfolioRef[[SPY]:[PE]],MATCH(IE$1,PortfolioRef[Reference '#]),0),AssetMonthlyReturns[[#This Row],[SPY]:[PE]])</f>
        <v>4.1415556594862103E-2</v>
      </c>
      <c r="IF69" s="27">
        <f>IF(ISNUMBER(IF68),IF68*(1+PortfolioFrontier[[#This Row],[P60 Return]]),1+PortfolioFrontier[[#This Row],[P60 Return]])</f>
        <v>1.6908920891526213</v>
      </c>
      <c r="IG69" s="27">
        <f>MAX(IG68,PortfolioFrontier[[#This Row],[P60 Growth]])</f>
        <v>1.6908920891526213</v>
      </c>
      <c r="IH69" s="27">
        <f>PortfolioFrontier[[#This Row],[P60 Growth]]/PortfolioFrontier[[#This Row],[P60 HWM]]-1</f>
        <v>0</v>
      </c>
      <c r="II69" s="28">
        <f>SUMPRODUCT(INDEX(PortfolioRef[[SPY]:[PE]],MATCH(II$1,PortfolioRef[Reference '#]),0),AssetMonthlyReturns[[#This Row],[SPY]:[PE]])</f>
        <v>3.0575375087665699E-2</v>
      </c>
      <c r="IJ69" s="27">
        <f>IF(ISNUMBER(IJ68),IJ68*(1+PortfolioFrontier[[#This Row],[P61 Return]]),1+PortfolioFrontier[[#This Row],[P61 Return]])</f>
        <v>1.5746824325834003</v>
      </c>
      <c r="IK69" s="27">
        <f>MAX(IK68,PortfolioFrontier[[#This Row],[P61 Growth]])</f>
        <v>1.5746824325834003</v>
      </c>
      <c r="IL69" s="27">
        <f>PortfolioFrontier[[#This Row],[P61 Growth]]/PortfolioFrontier[[#This Row],[P61 HWM]]-1</f>
        <v>0</v>
      </c>
      <c r="IM69" s="28">
        <f>SUMPRODUCT(INDEX(PortfolioRef[[SPY]:[PE]],MATCH(IM$1,PortfolioRef[Reference '#]),0),AssetMonthlyReturns[[#This Row],[SPY]:[PE]])</f>
        <v>3.1326025449601967E-2</v>
      </c>
      <c r="IN69" s="27">
        <f>IF(ISNUMBER(IN68),IN68*(1+PortfolioFrontier[[#This Row],[P62 Return]]),1+PortfolioFrontier[[#This Row],[P62 Return]])</f>
        <v>1.5873390361217981</v>
      </c>
      <c r="IO69" s="27">
        <f>MAX(IO68,PortfolioFrontier[[#This Row],[P62 Growth]])</f>
        <v>1.5873390361217981</v>
      </c>
      <c r="IP69" s="27">
        <f>PortfolioFrontier[[#This Row],[P62 Growth]]/PortfolioFrontier[[#This Row],[P62 HWM]]-1</f>
        <v>0</v>
      </c>
      <c r="IQ69" s="28">
        <f>SUMPRODUCT(INDEX(PortfolioRef[[SPY]:[PE]],MATCH(IQ$1,PortfolioRef[Reference '#]),0),AssetMonthlyReturns[[#This Row],[SPY]:[PE]])</f>
        <v>3.448482199864554E-2</v>
      </c>
      <c r="IR69" s="27">
        <f>IF(ISNUMBER(IR68),IR68*(1+PortfolioFrontier[[#This Row],[P63 Return]]),1+PortfolioFrontier[[#This Row],[P63 Return]])</f>
        <v>1.6034261821312537</v>
      </c>
      <c r="IS69" s="27">
        <f>MAX(IS68,PortfolioFrontier[[#This Row],[P63 Growth]])</f>
        <v>1.6034261821312537</v>
      </c>
      <c r="IT69" s="27">
        <f>PortfolioFrontier[[#This Row],[P63 Growth]]/PortfolioFrontier[[#This Row],[P63 HWM]]-1</f>
        <v>0</v>
      </c>
      <c r="IU69" s="28">
        <f>SUMPRODUCT(INDEX(PortfolioRef[[SPY]:[PE]],MATCH(IU$1,PortfolioRef[Reference '#]),0),AssetMonthlyReturns[[#This Row],[SPY]:[PE]])</f>
        <v>3.0241046788394874E-2</v>
      </c>
      <c r="IV69" s="27">
        <f>IF(ISNUMBER(IV68),IV68*(1+PortfolioFrontier[[#This Row],[P64 Return]]),1+PortfolioFrontier[[#This Row],[P64 Return]])</f>
        <v>1.5736741654986055</v>
      </c>
      <c r="IW69" s="27">
        <f>MAX(IW68,PortfolioFrontier[[#This Row],[P64 Growth]])</f>
        <v>1.5736741654986055</v>
      </c>
      <c r="IX69" s="27">
        <f>PortfolioFrontier[[#This Row],[P64 Growth]]/PortfolioFrontier[[#This Row],[P64 HWM]]-1</f>
        <v>0</v>
      </c>
      <c r="IY69" s="28">
        <f>SUMPRODUCT(INDEX(PortfolioRef[[SPY]:[PE]],MATCH(IY$1,PortfolioRef[Reference '#]),0),AssetMonthlyReturns[[#This Row],[SPY]:[PE]])</f>
        <v>3.2076675811538231E-2</v>
      </c>
      <c r="IZ69" s="27">
        <f>IF(ISNUMBER(IZ68),IZ68*(1+PortfolioFrontier[[#This Row],[P65 Return]]),1+PortfolioFrontier[[#This Row],[P65 Return]])</f>
        <v>1.599784887432548</v>
      </c>
      <c r="JA69" s="27">
        <f>MAX(JA68,PortfolioFrontier[[#This Row],[P65 Growth]])</f>
        <v>1.599784887432548</v>
      </c>
      <c r="JB69" s="27">
        <f>PortfolioFrontier[[#This Row],[P65 Growth]]/PortfolioFrontier[[#This Row],[P65 HWM]]-1</f>
        <v>0</v>
      </c>
      <c r="JC69" s="28">
        <f>SUMPRODUCT(INDEX(PortfolioRef[[SPY]:[PE]],MATCH(JC$1,PortfolioRef[Reference '#]),0),AssetMonthlyReturns[[#This Row],[SPY]:[PE]])</f>
        <v>3.5235472360581804E-2</v>
      </c>
      <c r="JD69" s="27">
        <f>IF(ISNUMBER(JD68),JD68*(1+PortfolioFrontier[[#This Row],[P66 Return]]),1+PortfolioFrontier[[#This Row],[P66 Return]])</f>
        <v>1.6162888660909636</v>
      </c>
      <c r="JE69" s="27">
        <f>MAX(JE68,PortfolioFrontier[[#This Row],[P66 Growth]])</f>
        <v>1.6162888660909636</v>
      </c>
      <c r="JF69" s="27">
        <f>PortfolioFrontier[[#This Row],[P66 Growth]]/PortfolioFrontier[[#This Row],[P66 HWM]]-1</f>
        <v>0</v>
      </c>
      <c r="JG69" s="28">
        <f>SUMPRODUCT(INDEX(PortfolioRef[[SPY]:[PE]],MATCH(JG$1,PortfolioRef[Reference '#]),0),AssetMonthlyReturns[[#This Row],[SPY]:[PE]])</f>
        <v>3.0991697150331145E-2</v>
      </c>
      <c r="JH69" s="27">
        <f>IF(ISNUMBER(JH68),JH68*(1+PortfolioFrontier[[#This Row],[P67 Return]]),1+PortfolioFrontier[[#This Row],[P67 Return]])</f>
        <v>1.5863515586697774</v>
      </c>
      <c r="JI69" s="27">
        <f>MAX(JI68,PortfolioFrontier[[#This Row],[P67 Growth]])</f>
        <v>1.5863515586697774</v>
      </c>
      <c r="JJ69" s="27">
        <f>PortfolioFrontier[[#This Row],[P67 Growth]]/PortfolioFrontier[[#This Row],[P67 HWM]]-1</f>
        <v>0</v>
      </c>
      <c r="JK69" s="28">
        <f>SUMPRODUCT(INDEX(PortfolioRef[[SPY]:[PE]],MATCH(JK$1,PortfolioRef[Reference '#]),0),AssetMonthlyReturns[[#This Row],[SPY]:[PE]])</f>
        <v>3.8394268909625377E-2</v>
      </c>
      <c r="JL69" s="27">
        <f>IF(ISNUMBER(JL68),JL68*(1+PortfolioFrontier[[#This Row],[P68 Return]]),1+PortfolioFrontier[[#This Row],[P68 Return]])</f>
        <v>1.6321170649603987</v>
      </c>
      <c r="JM69" s="27">
        <f>MAX(JM68,PortfolioFrontier[[#This Row],[P68 Growth]])</f>
        <v>1.6321170649603987</v>
      </c>
      <c r="JN69" s="27">
        <f>PortfolioFrontier[[#This Row],[P68 Growth]]/PortfolioFrontier[[#This Row],[P68 HWM]]-1</f>
        <v>0</v>
      </c>
      <c r="JO69" s="28">
        <f>SUMPRODUCT(INDEX(PortfolioRef[[SPY]:[PE]],MATCH(JO$1,PortfolioRef[Reference '#]),0),AssetMonthlyReturns[[#This Row],[SPY]:[PE]])</f>
        <v>3.4150493699374715E-2</v>
      </c>
      <c r="JP69" s="27">
        <f>IF(ISNUMBER(JP68),JP68*(1+PortfolioFrontier[[#This Row],[P69 Return]]),1+PortfolioFrontier[[#This Row],[P69 Return]])</f>
        <v>1.6024006534655062</v>
      </c>
      <c r="JQ69" s="27">
        <f>MAX(JQ68,PortfolioFrontier[[#This Row],[P69 Growth]])</f>
        <v>1.6024006534655062</v>
      </c>
      <c r="JR69" s="27">
        <f>PortfolioFrontier[[#This Row],[P69 Growth]]/PortfolioFrontier[[#This Row],[P69 HWM]]-1</f>
        <v>0</v>
      </c>
      <c r="JS69" s="28">
        <f>SUMPRODUCT(INDEX(PortfolioRef[[SPY]:[PE]],MATCH(JS$1,PortfolioRef[Reference '#]),0),AssetMonthlyReturns[[#This Row],[SPY]:[PE]])</f>
        <v>2.9906718489124053E-2</v>
      </c>
      <c r="JT69" s="27">
        <f>IF(ISNUMBER(JT68),JT68*(1+PortfolioFrontier[[#This Row],[P70 Return]]),1+PortfolioFrontier[[#This Row],[P70 Return]])</f>
        <v>1.5725565045602796</v>
      </c>
      <c r="JU69" s="27">
        <f>MAX(JU68,PortfolioFrontier[[#This Row],[P70 Growth]])</f>
        <v>1.5725565045602796</v>
      </c>
      <c r="JV69" s="27">
        <f>PortfolioFrontier[[#This Row],[P70 Growth]]/PortfolioFrontier[[#This Row],[P70 HWM]]-1</f>
        <v>0</v>
      </c>
      <c r="JW69" s="28">
        <f>SUMPRODUCT(INDEX(PortfolioRef[[SPY]:[PE]],MATCH(JW$1,PortfolioRef[Reference '#]),0),AssetMonthlyReturns[[#This Row],[SPY]:[PE]])</f>
        <v>3.5986122722518075E-2</v>
      </c>
      <c r="JX69" s="27">
        <f>IF(ISNUMBER(JX68),JX68*(1+PortfolioFrontier[[#This Row],[P71 Return]]),1+PortfolioFrontier[[#This Row],[P71 Return]])</f>
        <v>1.6289370943297994</v>
      </c>
      <c r="JY69" s="27">
        <f>MAX(JY68,PortfolioFrontier[[#This Row],[P71 Growth]])</f>
        <v>1.6289370943297994</v>
      </c>
      <c r="JZ69" s="27">
        <f>PortfolioFrontier[[#This Row],[P71 Growth]]/PortfolioFrontier[[#This Row],[P71 HWM]]-1</f>
        <v>0</v>
      </c>
      <c r="KA69" s="28">
        <f>SUMPRODUCT(INDEX(PortfolioRef[[SPY]:[PE]],MATCH(KA$1,PortfolioRef[Reference '#]),0),AssetMonthlyReturns[[#This Row],[SPY]:[PE]])</f>
        <v>3.1742347512267413E-2</v>
      </c>
      <c r="KB69" s="27">
        <f>IF(ISNUMBER(KB68),KB68*(1+PortfolioFrontier[[#This Row],[P72 Return]]),1+PortfolioFrontier[[#This Row],[P72 Return]])</f>
        <v>1.5988189135710218</v>
      </c>
      <c r="KC69" s="27">
        <f>MAX(KC68,PortfolioFrontier[[#This Row],[P72 Growth]])</f>
        <v>1.5988189135710218</v>
      </c>
      <c r="KD69" s="27">
        <f>PortfolioFrontier[[#This Row],[P72 Growth]]/PortfolioFrontier[[#This Row],[P72 HWM]]-1</f>
        <v>0</v>
      </c>
      <c r="KE69" s="28">
        <f>SUMPRODUCT(INDEX(PortfolioRef[[SPY]:[PE]],MATCH(KE$1,PortfolioRef[Reference '#]),0),AssetMonthlyReturns[[#This Row],[SPY]:[PE]])</f>
        <v>3.9144919271561648E-2</v>
      </c>
      <c r="KF69" s="27">
        <f>IF(ISNUMBER(KF68),KF68*(1+PortfolioFrontier[[#This Row],[P73 Return]]),1+PortfolioFrontier[[#This Row],[P73 Return]])</f>
        <v>1.6451847165164564</v>
      </c>
      <c r="KG69" s="27">
        <f>MAX(KG68,PortfolioFrontier[[#This Row],[P73 Growth]])</f>
        <v>1.6451847165164564</v>
      </c>
      <c r="KH69" s="27">
        <f>PortfolioFrontier[[#This Row],[P73 Growth]]/PortfolioFrontier[[#This Row],[P73 HWM]]-1</f>
        <v>0</v>
      </c>
      <c r="KI69" s="28">
        <f>SUMPRODUCT(INDEX(PortfolioRef[[SPY]:[PE]],MATCH(KI$1,PortfolioRef[Reference '#]),0),AssetMonthlyReturns[[#This Row],[SPY]:[PE]])</f>
        <v>3.4901144061310986E-2</v>
      </c>
      <c r="KJ69" s="27">
        <f>IF(ISNUMBER(KJ68),KJ68*(1+PortfolioFrontier[[#This Row],[P74 Return]]),1+PortfolioFrontier[[#This Row],[P74 Return]])</f>
        <v>1.6152845036775756</v>
      </c>
      <c r="KK69" s="27">
        <f>MAX(KK68,PortfolioFrontier[[#This Row],[P74 Growth]])</f>
        <v>1.6152845036775756</v>
      </c>
      <c r="KL69" s="27">
        <f>PortfolioFrontier[[#This Row],[P74 Growth]]/PortfolioFrontier[[#This Row],[P74 HWM]]-1</f>
        <v>0</v>
      </c>
      <c r="KM69" s="28">
        <f>SUMPRODUCT(INDEX(PortfolioRef[[SPY]:[PE]],MATCH(KM$1,PortfolioRef[Reference '#]),0),AssetMonthlyReturns[[#This Row],[SPY]:[PE]])</f>
        <v>3.0657368851060324E-2</v>
      </c>
      <c r="KN69" s="27">
        <f>IF(ISNUMBER(KN68),KN68*(1+PortfolioFrontier[[#This Row],[P75 Return]]),1+PortfolioFrontier[[#This Row],[P75 Return]])</f>
        <v>1.5852537763974111</v>
      </c>
      <c r="KO69" s="27">
        <f>MAX(KO68,PortfolioFrontier[[#This Row],[P75 Growth]])</f>
        <v>1.5852537763974111</v>
      </c>
      <c r="KP69" s="27">
        <f>PortfolioFrontier[[#This Row],[P75 Growth]]/PortfolioFrontier[[#This Row],[P75 HWM]]-1</f>
        <v>0</v>
      </c>
      <c r="KQ69" s="28">
        <f>SUMPRODUCT(INDEX(PortfolioRef[[SPY]:[PE]],MATCH(KQ$1,PortfolioRef[Reference '#]),0),AssetMonthlyReturns[[#This Row],[SPY]:[PE]])</f>
        <v>4.2303715820605221E-2</v>
      </c>
      <c r="KR69" s="27">
        <f>IF(ISNUMBER(KR68),KR68*(1+PortfolioFrontier[[#This Row],[P76 Return]]),1+PortfolioFrontier[[#This Row],[P76 Return]])</f>
        <v>1.6607302547740155</v>
      </c>
      <c r="KS69" s="27">
        <f>MAX(KS68,PortfolioFrontier[[#This Row],[P76 Growth]])</f>
        <v>1.6607302547740155</v>
      </c>
      <c r="KT69" s="27">
        <f>PortfolioFrontier[[#This Row],[P76 Growth]]/PortfolioFrontier[[#This Row],[P76 HWM]]-1</f>
        <v>0</v>
      </c>
      <c r="KU69" s="28">
        <f>SUMPRODUCT(INDEX(PortfolioRef[[SPY]:[PE]],MATCH(KU$1,PortfolioRef[Reference '#]),0),AssetMonthlyReturns[[#This Row],[SPY]:[PE]])</f>
        <v>3.8059940610354559E-2</v>
      </c>
      <c r="KV69" s="27">
        <f>IF(ISNUMBER(KV68),KV68*(1+PortfolioFrontier[[#This Row],[P77 Return]]),1+PortfolioFrontier[[#This Row],[P77 Return]])</f>
        <v>1.6310743261393958</v>
      </c>
      <c r="KW69" s="27">
        <f>MAX(KW68,PortfolioFrontier[[#This Row],[P77 Growth]])</f>
        <v>1.6310743261393958</v>
      </c>
      <c r="KX69" s="27">
        <f>PortfolioFrontier[[#This Row],[P77 Growth]]/PortfolioFrontier[[#This Row],[P77 HWM]]-1</f>
        <v>0</v>
      </c>
      <c r="KY69" s="28">
        <f>SUMPRODUCT(INDEX(PortfolioRef[[SPY]:[PE]],MATCH(KY$1,PortfolioRef[Reference '#]),0),AssetMonthlyReturns[[#This Row],[SPY]:[PE]])</f>
        <v>3.381616540010389E-2</v>
      </c>
      <c r="KZ69" s="27">
        <f>IF(ISNUMBER(KZ68),KZ68*(1+PortfolioFrontier[[#This Row],[P78 Return]]),1+PortfolioFrontier[[#This Row],[P78 Return]])</f>
        <v>1.6012636382053096</v>
      </c>
      <c r="LA69" s="27">
        <f>MAX(LA68,PortfolioFrontier[[#This Row],[P78 Growth]])</f>
        <v>1.6012636382053096</v>
      </c>
      <c r="LB69" s="27">
        <f>PortfolioFrontier[[#This Row],[P78 Growth]]/PortfolioFrontier[[#This Row],[P78 HWM]]-1</f>
        <v>0</v>
      </c>
      <c r="LC69" s="28">
        <f>SUMPRODUCT(INDEX(PortfolioRef[[SPY]:[PE]],MATCH(LC$1,PortfolioRef[Reference '#]),0),AssetMonthlyReturns[[#This Row],[SPY]:[PE]])</f>
        <v>3.989556963349792E-2</v>
      </c>
      <c r="LD69" s="27">
        <f>IF(ISNUMBER(LD68),LD68*(1+PortfolioFrontier[[#This Row],[P79 Return]]),1+PortfolioFrontier[[#This Row],[P79 Return]])</f>
        <v>1.6580342186296186</v>
      </c>
      <c r="LE69" s="27">
        <f>MAX(LE68,PortfolioFrontier[[#This Row],[P79 Growth]])</f>
        <v>1.6580342186296186</v>
      </c>
      <c r="LF69" s="27">
        <f>PortfolioFrontier[[#This Row],[P79 Growth]]/PortfolioFrontier[[#This Row],[P79 HWM]]-1</f>
        <v>0</v>
      </c>
      <c r="LG69" s="28">
        <f>SUMPRODUCT(INDEX(PortfolioRef[[SPY]:[PE]],MATCH(LG$1,PortfolioRef[Reference '#]),0),AssetMonthlyReturns[[#This Row],[SPY]:[PE]])</f>
        <v>3.5651794423247257E-2</v>
      </c>
      <c r="LH69" s="27">
        <f>IF(ISNUMBER(LH68),LH68*(1+PortfolioFrontier[[#This Row],[P80 Return]]),1+PortfolioFrontier[[#This Row],[P80 Return]])</f>
        <v>1.6279546233209823</v>
      </c>
      <c r="LI69" s="27">
        <f>MAX(LI68,PortfolioFrontier[[#This Row],[P80 Growth]])</f>
        <v>1.6279546233209823</v>
      </c>
      <c r="LJ69" s="27">
        <f>PortfolioFrontier[[#This Row],[P80 Growth]]/PortfolioFrontier[[#This Row],[P80 HWM]]-1</f>
        <v>0</v>
      </c>
      <c r="LK69" s="28">
        <f>SUMPRODUCT(INDEX(PortfolioRef[[SPY]:[PE]],MATCH(LK$1,PortfolioRef[Reference '#]),0),AssetMonthlyReturns[[#This Row],[SPY]:[PE]])</f>
        <v>3.1408019212996588E-2</v>
      </c>
      <c r="LL69" s="27">
        <f>IF(ISNUMBER(LL68),LL68*(1+PortfolioFrontier[[#This Row],[P81 Return]]),1+PortfolioFrontier[[#This Row],[P81 Return]])</f>
        <v>1.5977417371481846</v>
      </c>
      <c r="LM69" s="27">
        <f>MAX(LM68,PortfolioFrontier[[#This Row],[P81 Growth]])</f>
        <v>1.5977417371481846</v>
      </c>
      <c r="LN69" s="27">
        <f>PortfolioFrontier[[#This Row],[P81 Growth]]/PortfolioFrontier[[#This Row],[P81 HWM]]-1</f>
        <v>0</v>
      </c>
      <c r="LO69" s="28">
        <f>SUMPRODUCT(INDEX(PortfolioRef[[SPY]:[PE]],MATCH(LO$1,PortfolioRef[Reference '#]),0),AssetMonthlyReturns[[#This Row],[SPY]:[PE]])</f>
        <v>4.3054366182541493E-2</v>
      </c>
      <c r="LP69" s="27">
        <f>IF(ISNUMBER(LP68),LP68*(1+PortfolioFrontier[[#This Row],[P82 Return]]),1+PortfolioFrontier[[#This Row],[P82 Return]])</f>
        <v>1.6740015773846233</v>
      </c>
      <c r="LQ69" s="27">
        <f>MAX(LQ68,PortfolioFrontier[[#This Row],[P82 Growth]])</f>
        <v>1.6740015773846233</v>
      </c>
      <c r="LR69" s="27">
        <f>PortfolioFrontier[[#This Row],[P82 Growth]]/PortfolioFrontier[[#This Row],[P82 HWM]]-1</f>
        <v>0</v>
      </c>
      <c r="LS69" s="28">
        <f>SUMPRODUCT(INDEX(PortfolioRef[[SPY]:[PE]],MATCH(LS$1,PortfolioRef[Reference '#]),0),AssetMonthlyReturns[[#This Row],[SPY]:[PE]])</f>
        <v>3.881059097229083E-2</v>
      </c>
      <c r="LT69" s="27">
        <f>IF(ISNUMBER(LT68),LT68*(1+PortfolioFrontier[[#This Row],[P83 Return]]),1+PortfolioFrontier[[#This Row],[P83 Return]])</f>
        <v>1.6441635208777685</v>
      </c>
      <c r="LU69" s="27">
        <f>MAX(LU68,PortfolioFrontier[[#This Row],[P83 Growth]])</f>
        <v>1.6441635208777685</v>
      </c>
      <c r="LV69" s="27">
        <f>PortfolioFrontier[[#This Row],[P83 Growth]]/PortfolioFrontier[[#This Row],[P83 HWM]]-1</f>
        <v>0</v>
      </c>
      <c r="LW69" s="28">
        <f>SUMPRODUCT(INDEX(PortfolioRef[[SPY]:[PE]],MATCH(LW$1,PortfolioRef[Reference '#]),0),AssetMonthlyReturns[[#This Row],[SPY]:[PE]])</f>
        <v>3.4566815762040161E-2</v>
      </c>
      <c r="LX69" s="27">
        <f>IF(ISNUMBER(LX68),LX68*(1+PortfolioFrontier[[#This Row],[P84 Return]]),1+PortfolioFrontier[[#This Row],[P84 Return]])</f>
        <v>1.6141677279241213</v>
      </c>
      <c r="LY69" s="27">
        <f>MAX(LY68,PortfolioFrontier[[#This Row],[P84 Growth]])</f>
        <v>1.6141677279241213</v>
      </c>
      <c r="LZ69" s="27">
        <f>PortfolioFrontier[[#This Row],[P84 Growth]]/PortfolioFrontier[[#This Row],[P84 HWM]]-1</f>
        <v>0</v>
      </c>
      <c r="MA69" s="28">
        <f>SUMPRODUCT(INDEX(PortfolioRef[[SPY]:[PE]],MATCH(MA$1,PortfolioRef[Reference '#]),0),AssetMonthlyReturns[[#This Row],[SPY]:[PE]])</f>
        <v>4.6213162731585058E-2</v>
      </c>
      <c r="MB69" s="27">
        <f>IF(ISNUMBER(MB68),MB68*(1+PortfolioFrontier[[#This Row],[P85 Return]]),1+PortfolioFrontier[[#This Row],[P85 Return]])</f>
        <v>1.689240226202529</v>
      </c>
      <c r="MC69" s="27">
        <f>MAX(MC68,PortfolioFrontier[[#This Row],[P85 Growth]])</f>
        <v>1.689240226202529</v>
      </c>
      <c r="MD69" s="27">
        <f>PortfolioFrontier[[#This Row],[P85 Growth]]/PortfolioFrontier[[#This Row],[P85 HWM]]-1</f>
        <v>0</v>
      </c>
      <c r="ME69" s="28">
        <f>SUMPRODUCT(INDEX(PortfolioRef[[SPY]:[PE]],MATCH(ME$1,PortfolioRef[Reference '#]),0),AssetMonthlyReturns[[#This Row],[SPY]:[PE]])</f>
        <v>4.1969387521334403E-2</v>
      </c>
      <c r="MF69" s="27">
        <f>IF(ISNUMBER(MF68),MF68*(1+PortfolioFrontier[[#This Row],[P86 Return]]),1+PortfolioFrontier[[#This Row],[P86 Return]])</f>
        <v>1.659670379268446</v>
      </c>
      <c r="MG69" s="27">
        <f>MAX(MG68,PortfolioFrontier[[#This Row],[P86 Growth]])</f>
        <v>1.659670379268446</v>
      </c>
      <c r="MH69" s="27">
        <f>PortfolioFrontier[[#This Row],[P86 Growth]]/PortfolioFrontier[[#This Row],[P86 HWM]]-1</f>
        <v>0</v>
      </c>
      <c r="MI69" s="28">
        <f>SUMPRODUCT(INDEX(PortfolioRef[[SPY]:[PE]],MATCH(MI$1,PortfolioRef[Reference '#]),0),AssetMonthlyReturns[[#This Row],[SPY]:[PE]])</f>
        <v>3.7725612311083734E-2</v>
      </c>
      <c r="MJ69" s="27">
        <f>IF(ISNUMBER(MJ68),MJ68*(1+PortfolioFrontier[[#This Row],[P87 Return]]),1+PortfolioFrontier[[#This Row],[P87 Return]])</f>
        <v>1.6299180037978842</v>
      </c>
      <c r="MK69" s="27">
        <f>MAX(MK68,PortfolioFrontier[[#This Row],[P87 Growth]])</f>
        <v>1.6299180037978842</v>
      </c>
      <c r="ML69" s="27">
        <f>PortfolioFrontier[[#This Row],[P87 Growth]]/PortfolioFrontier[[#This Row],[P87 HWM]]-1</f>
        <v>0</v>
      </c>
      <c r="MM69" s="28">
        <f>SUMPRODUCT(INDEX(PortfolioRef[[SPY]:[PE]],MATCH(MM$1,PortfolioRef[Reference '#]),0),AssetMonthlyReturns[[#This Row],[SPY]:[PE]])</f>
        <v>4.3805016544477757E-2</v>
      </c>
      <c r="MN69" s="27">
        <f>IF(ISNUMBER(MN68),MN68*(1+PortfolioFrontier[[#This Row],[P88 Return]]),1+PortfolioFrontier[[#This Row],[P88 Return]])</f>
        <v>1.6870510698164356</v>
      </c>
      <c r="MO69" s="27">
        <f>MAX(MO68,PortfolioFrontier[[#This Row],[P88 Growth]])</f>
        <v>1.6870510698164356</v>
      </c>
      <c r="MP69" s="27">
        <f>PortfolioFrontier[[#This Row],[P88 Growth]]/PortfolioFrontier[[#This Row],[P88 HWM]]-1</f>
        <v>0</v>
      </c>
      <c r="MQ69" s="28">
        <f>SUMPRODUCT(INDEX(PortfolioRef[[SPY]:[PE]],MATCH(MQ$1,PortfolioRef[Reference '#]),0),AssetMonthlyReturns[[#This Row],[SPY]:[PE]])</f>
        <v>3.9561241334227094E-2</v>
      </c>
      <c r="MR69" s="27">
        <f>IF(ISNUMBER(MR68),MR68*(1+PortfolioFrontier[[#This Row],[P89 Return]]),1+PortfolioFrontier[[#This Row],[P89 Return]])</f>
        <v>1.6570353024569293</v>
      </c>
      <c r="MS69" s="27">
        <f>MAX(MS68,PortfolioFrontier[[#This Row],[P89 Growth]])</f>
        <v>1.6570353024569293</v>
      </c>
      <c r="MT69" s="27">
        <f>PortfolioFrontier[[#This Row],[P89 Growth]]/PortfolioFrontier[[#This Row],[P89 HWM]]-1</f>
        <v>0</v>
      </c>
      <c r="MU69" s="28">
        <f>SUMPRODUCT(INDEX(PortfolioRef[[SPY]:[PE]],MATCH(MU$1,PortfolioRef[Reference '#]),0),AssetMonthlyReturns[[#This Row],[SPY]:[PE]])</f>
        <v>3.5317466123976425E-2</v>
      </c>
      <c r="MV69" s="27">
        <f>IF(ISNUMBER(MV68),MV68*(1+PortfolioFrontier[[#This Row],[P90 Return]]),1+PortfolioFrontier[[#This Row],[P90 Return]])</f>
        <v>1.6268588256959493</v>
      </c>
      <c r="MW69" s="27">
        <f>MAX(MW68,PortfolioFrontier[[#This Row],[P90 Growth]])</f>
        <v>1.6268588256959493</v>
      </c>
      <c r="MX69" s="27">
        <f>PortfolioFrontier[[#This Row],[P90 Growth]]/PortfolioFrontier[[#This Row],[P90 HWM]]-1</f>
        <v>0</v>
      </c>
      <c r="MY69" s="28">
        <f>SUMPRODUCT(INDEX(PortfolioRef[[SPY]:[PE]],MATCH(MY$1,PortfolioRef[Reference '#]),0),AssetMonthlyReturns[[#This Row],[SPY]:[PE]])</f>
        <v>4.696381309352133E-2</v>
      </c>
      <c r="MZ69" s="27">
        <f>IF(ISNUMBER(MZ68),MZ68*(1+PortfolioFrontier[[#This Row],[P91 Return]]),1+PortfolioFrontier[[#This Row],[P91 Return]])</f>
        <v>1.7027137357587814</v>
      </c>
      <c r="NA69" s="27">
        <f>MAX(NA68,PortfolioFrontier[[#This Row],[P91 Growth]])</f>
        <v>1.7027137357587814</v>
      </c>
      <c r="NB69" s="27">
        <f>PortfolioFrontier[[#This Row],[P91 Growth]]/PortfolioFrontier[[#This Row],[P91 HWM]]-1</f>
        <v>0</v>
      </c>
      <c r="NC69" s="28">
        <f>SUMPRODUCT(INDEX(PortfolioRef[[SPY]:[PE]],MATCH(NC$1,PortfolioRef[Reference '#]),0),AssetMonthlyReturns[[#This Row],[SPY]:[PE]])</f>
        <v>4.2720037883270667E-2</v>
      </c>
      <c r="ND69" s="27">
        <f>IF(ISNUMBER(ND68),ND68*(1+PortfolioFrontier[[#This Row],[P92 Return]]),1+PortfolioFrontier[[#This Row],[P92 Return]])</f>
        <v>1.672963622092611</v>
      </c>
      <c r="NE69" s="27">
        <f>MAX(NE68,PortfolioFrontier[[#This Row],[P92 Growth]])</f>
        <v>1.672963622092611</v>
      </c>
      <c r="NF69" s="27">
        <f>PortfolioFrontier[[#This Row],[P92 Growth]]/PortfolioFrontier[[#This Row],[P92 HWM]]-1</f>
        <v>0</v>
      </c>
      <c r="NG69" s="28">
        <f>SUMPRODUCT(INDEX(PortfolioRef[[SPY]:[PE]],MATCH(NG$1,PortfolioRef[Reference '#]),0),AssetMonthlyReturns[[#This Row],[SPY]:[PE]])</f>
        <v>3.8476262673020005E-2</v>
      </c>
      <c r="NH69" s="27">
        <f>IF(ISNUMBER(NH68),NH68*(1+PortfolioFrontier[[#This Row],[P93 Return]]),1+PortfolioFrontier[[#This Row],[P93 Return]])</f>
        <v>1.6430277992114741</v>
      </c>
      <c r="NI69" s="27">
        <f>MAX(NI68,PortfolioFrontier[[#This Row],[P93 Growth]])</f>
        <v>1.6430277992114741</v>
      </c>
      <c r="NJ69" s="27">
        <f>PortfolioFrontier[[#This Row],[P93 Growth]]/PortfolioFrontier[[#This Row],[P93 HWM]]-1</f>
        <v>0</v>
      </c>
      <c r="NK69" s="28">
        <f>SUMPRODUCT(INDEX(PortfolioRef[[SPY]:[PE]],MATCH(NK$1,PortfolioRef[Reference '#]),0),AssetMonthlyReturns[[#This Row],[SPY]:[PE]])</f>
        <v>5.0122609642564903E-2</v>
      </c>
      <c r="NL69" s="27">
        <f>IF(ISNUMBER(NL68),NL68*(1+PortfolioFrontier[[#This Row],[P94 Return]]),1+PortfolioFrontier[[#This Row],[P94 Return]])</f>
        <v>1.7176207635477494</v>
      </c>
      <c r="NM69" s="27">
        <f>MAX(NM68,PortfolioFrontier[[#This Row],[P94 Growth]])</f>
        <v>1.7176207635477494</v>
      </c>
      <c r="NN69" s="27">
        <f>PortfolioFrontier[[#This Row],[P94 Growth]]/PortfolioFrontier[[#This Row],[P94 HWM]]-1</f>
        <v>0</v>
      </c>
      <c r="NO69" s="28">
        <f>SUMPRODUCT(INDEX(PortfolioRef[[SPY]:[PE]],MATCH(NO$1,PortfolioRef[Reference '#]),0),AssetMonthlyReturns[[#This Row],[SPY]:[PE]])</f>
        <v>4.587883443231424E-2</v>
      </c>
      <c r="NP69" s="27">
        <f>IF(ISNUMBER(NP68),NP68*(1+PortfolioFrontier[[#This Row],[P95 Return]]),1+PortfolioFrontier[[#This Row],[P95 Return]])</f>
        <v>1.6881633107821477</v>
      </c>
      <c r="NQ69" s="27">
        <f>MAX(NQ68,PortfolioFrontier[[#This Row],[P95 Growth]])</f>
        <v>1.6881633107821477</v>
      </c>
      <c r="NR69" s="27">
        <f>PortfolioFrontier[[#This Row],[P95 Growth]]/PortfolioFrontier[[#This Row],[P95 HWM]]-1</f>
        <v>0</v>
      </c>
      <c r="NS69" s="28">
        <f>SUMPRODUCT(INDEX(PortfolioRef[[SPY]:[PE]],MATCH(NS$1,PortfolioRef[Reference '#]),0),AssetMonthlyReturns[[#This Row],[SPY]:[PE]])</f>
        <v>4.1635059222063571E-2</v>
      </c>
      <c r="NT69" s="27">
        <f>IF(ISNUMBER(NT68),NT68*(1+PortfolioFrontier[[#This Row],[P96 Return]]),1+PortfolioFrontier[[#This Row],[P96 Return]])</f>
        <v>1.6584948205413814</v>
      </c>
      <c r="NU69" s="27">
        <f>MAX(NU68,PortfolioFrontier[[#This Row],[P96 Growth]])</f>
        <v>1.6584948205413814</v>
      </c>
      <c r="NV69" s="27">
        <f>PortfolioFrontier[[#This Row],[P96 Growth]]/PortfolioFrontier[[#This Row],[P96 HWM]]-1</f>
        <v>0</v>
      </c>
      <c r="NW69" s="28">
        <f>SUMPRODUCT(INDEX(PortfolioRef[[SPY]:[PE]],MATCH(NW$1,PortfolioRef[Reference '#]),0),AssetMonthlyReturns[[#This Row],[SPY]:[PE]])</f>
        <v>2.6885430803887334E-2</v>
      </c>
      <c r="NX69" s="27">
        <f>IF(ISNUMBER(NX68),NX68*(1+PortfolioFrontier[[#This Row],[P97 Return]]),1+PortfolioFrontier[[#This Row],[P97 Return]])</f>
        <v>1.5164767056505304</v>
      </c>
      <c r="NY69" s="27">
        <f>MAX(NY68,PortfolioFrontier[[#This Row],[P97 Growth]])</f>
        <v>1.5164767056505304</v>
      </c>
      <c r="NZ69" s="27">
        <f>PortfolioFrontier[[#This Row],[P97 Growth]]/PortfolioFrontier[[#This Row],[P97 HWM]]-1</f>
        <v>0</v>
      </c>
      <c r="OA69" s="28">
        <f>SUMPRODUCT(INDEX(PortfolioRef[[SPY]:[PE]],MATCH(OA$1,PortfolioRef[Reference '#]),0),AssetMonthlyReturns[[#This Row],[SPY]:[PE]])</f>
        <v>2.7636081165823601E-2</v>
      </c>
      <c r="OB69" s="27">
        <f>IF(ISNUMBER(OB68),OB68*(1+PortfolioFrontier[[#This Row],[P98 Return]]),1+PortfolioFrontier[[#This Row],[P98 Return]])</f>
        <v>1.5286845353877332</v>
      </c>
      <c r="OC69" s="27">
        <f>MAX(OC68,PortfolioFrontier[[#This Row],[P98 Growth]])</f>
        <v>1.5286845353877332</v>
      </c>
      <c r="OD69" s="27">
        <f>PortfolioFrontier[[#This Row],[P98 Growth]]/PortfolioFrontier[[#This Row],[P98 HWM]]-1</f>
        <v>0</v>
      </c>
      <c r="OE69" s="28">
        <f>SUMPRODUCT(INDEX(PortfolioRef[[SPY]:[PE]],MATCH(OE$1,PortfolioRef[Reference '#]),0),AssetMonthlyReturns[[#This Row],[SPY]:[PE]])</f>
        <v>3.0794877714867174E-2</v>
      </c>
      <c r="OF69" s="27">
        <f>IF(ISNUMBER(OF68),OF68*(1+PortfolioFrontier[[#This Row],[P99 Return]]),1+PortfolioFrontier[[#This Row],[P99 Return]])</f>
        <v>1.544564470736788</v>
      </c>
      <c r="OG69" s="27">
        <f>MAX(OG68,PortfolioFrontier[[#This Row],[P99 Growth]])</f>
        <v>1.544564470736788</v>
      </c>
      <c r="OH69" s="27">
        <f>PortfolioFrontier[[#This Row],[P99 Growth]]/PortfolioFrontier[[#This Row],[P99 HWM]]-1</f>
        <v>0</v>
      </c>
      <c r="OI69" s="28">
        <f>SUMPRODUCT(INDEX(PortfolioRef[[SPY]:[PE]],MATCH(OI$1,PortfolioRef[Reference '#]),0),AssetMonthlyReturns[[#This Row],[SPY]:[PE]])</f>
        <v>2.6551102504616505E-2</v>
      </c>
      <c r="OJ69" s="27">
        <f>IF(ISNUMBER(OJ68),OJ68*(1+PortfolioFrontier[[#This Row],[P100 Return]]),1+PortfolioFrontier[[#This Row],[P100 Return]])</f>
        <v>1.5155551818866577</v>
      </c>
      <c r="OK69" s="27">
        <f>MAX(OK68,PortfolioFrontier[[#This Row],[P100 Growth]])</f>
        <v>1.5155551818866577</v>
      </c>
      <c r="OL69" s="27">
        <f>PortfolioFrontier[[#This Row],[P100 Growth]]/PortfolioFrontier[[#This Row],[P100 HWM]]-1</f>
        <v>0</v>
      </c>
      <c r="OM69" s="28">
        <f>SUMPRODUCT(INDEX(PortfolioRef[[SPY]:[PE]],MATCH(OM$1,PortfolioRef[Reference '#]),0),AssetMonthlyReturns[[#This Row],[SPY]:[PE]])</f>
        <v>2.8386731527759869E-2</v>
      </c>
      <c r="ON69" s="27">
        <f>IF(ISNUMBER(ON68),ON68*(1+PortfolioFrontier[[#This Row],[P101 Return]]),1+PortfolioFrontier[[#This Row],[P101 Return]])</f>
        <v>1.5406889869650273</v>
      </c>
      <c r="OO69" s="27">
        <f>MAX(OO68,PortfolioFrontier[[#This Row],[P101 Growth]])</f>
        <v>1.5406889869650273</v>
      </c>
      <c r="OP69" s="27">
        <f>PortfolioFrontier[[#This Row],[P101 Growth]]/PortfolioFrontier[[#This Row],[P101 HWM]]-1</f>
        <v>0</v>
      </c>
      <c r="OQ69" s="28">
        <f>SUMPRODUCT(INDEX(PortfolioRef[[SPY]:[PE]],MATCH(OQ$1,PortfolioRef[Reference '#]),0),AssetMonthlyReturns[[#This Row],[SPY]:[PE]])</f>
        <v>3.1545528076803442E-2</v>
      </c>
      <c r="OR69" s="27">
        <f>IF(ISNUMBER(OR68),OR68*(1+PortfolioFrontier[[#This Row],[P102 Return]]),1+PortfolioFrontier[[#This Row],[P102 Return]])</f>
        <v>1.556974235388326</v>
      </c>
      <c r="OS69" s="27">
        <f>MAX(OS68,PortfolioFrontier[[#This Row],[P102 Growth]])</f>
        <v>1.556974235388326</v>
      </c>
      <c r="OT69" s="27">
        <f>PortfolioFrontier[[#This Row],[P102 Growth]]/PortfolioFrontier[[#This Row],[P102 HWM]]-1</f>
        <v>0</v>
      </c>
      <c r="OU69" s="28">
        <f>SUMPRODUCT(INDEX(PortfolioRef[[SPY]:[PE]],MATCH(OU$1,PortfolioRef[Reference '#]),0),AssetMonthlyReturns[[#This Row],[SPY]:[PE]])</f>
        <v>2.7301752866552776E-2</v>
      </c>
      <c r="OV69" s="27">
        <f>IF(ISNUMBER(OV68),OV68*(1+PortfolioFrontier[[#This Row],[P103 Return]]),1+PortfolioFrontier[[#This Row],[P103 Return]])</f>
        <v>1.5277834350058432</v>
      </c>
      <c r="OW69" s="27">
        <f>MAX(OW68,PortfolioFrontier[[#This Row],[P103 Growth]])</f>
        <v>1.5277834350058432</v>
      </c>
      <c r="OX69" s="27">
        <f>PortfolioFrontier[[#This Row],[P103 Growth]]/PortfolioFrontier[[#This Row],[P103 HWM]]-1</f>
        <v>0</v>
      </c>
      <c r="OY69" s="28">
        <f>SUMPRODUCT(INDEX(PortfolioRef[[SPY]:[PE]],MATCH(OY$1,PortfolioRef[Reference '#]),0),AssetMonthlyReturns[[#This Row],[SPY]:[PE]])</f>
        <v>3.4704324625847015E-2</v>
      </c>
      <c r="OZ69" s="27">
        <f>IF(ISNUMBER(OZ68),OZ68*(1+PortfolioFrontier[[#This Row],[P104 Return]]),1+PortfolioFrontier[[#This Row],[P104 Return]])</f>
        <v>1.5726179311094319</v>
      </c>
      <c r="PA69" s="27">
        <f>MAX(PA68,PortfolioFrontier[[#This Row],[P104 Growth]])</f>
        <v>1.5726179311094319</v>
      </c>
      <c r="PB69" s="27">
        <f>PortfolioFrontier[[#This Row],[P104 Growth]]/PortfolioFrontier[[#This Row],[P104 HWM]]-1</f>
        <v>0</v>
      </c>
      <c r="PC69" s="28">
        <f>SUMPRODUCT(INDEX(PortfolioRef[[SPY]:[PE]],MATCH(PC$1,PortfolioRef[Reference '#]),0),AssetMonthlyReturns[[#This Row],[SPY]:[PE]])</f>
        <v>3.0460549415596349E-2</v>
      </c>
      <c r="PD69" s="27">
        <f>IF(ISNUMBER(PD68),PD68*(1+PortfolioFrontier[[#This Row],[P105 Return]]),1+PortfolioFrontier[[#This Row],[P105 Return]])</f>
        <v>1.54362714007655</v>
      </c>
      <c r="PE69" s="27">
        <f>MAX(PE68,PortfolioFrontier[[#This Row],[P105 Growth]])</f>
        <v>1.54362714007655</v>
      </c>
      <c r="PF69" s="27">
        <f>PortfolioFrontier[[#This Row],[P105 Growth]]/PortfolioFrontier[[#This Row],[P105 HWM]]-1</f>
        <v>0</v>
      </c>
      <c r="PG69" s="28">
        <f>SUMPRODUCT(INDEX(PortfolioRef[[SPY]:[PE]],MATCH(PG$1,PortfolioRef[Reference '#]),0),AssetMonthlyReturns[[#This Row],[SPY]:[PE]])</f>
        <v>2.6216774205345683E-2</v>
      </c>
      <c r="PH69" s="27">
        <f>IF(ISNUMBER(PH68),PH68*(1+PortfolioFrontier[[#This Row],[P106 Return]]),1+PortfolioFrontier[[#This Row],[P106 Return]])</f>
        <v>1.5145282490564815</v>
      </c>
      <c r="PI69" s="27">
        <f>MAX(PI68,PortfolioFrontier[[#This Row],[P106 Growth]])</f>
        <v>1.5145282490564815</v>
      </c>
      <c r="PJ69" s="27">
        <f>PortfolioFrontier[[#This Row],[P106 Growth]]/PortfolioFrontier[[#This Row],[P106 HWM]]-1</f>
        <v>0</v>
      </c>
      <c r="PK69" s="28">
        <f>SUMPRODUCT(INDEX(PortfolioRef[[SPY]:[PE]],MATCH(PK$1,PortfolioRef[Reference '#]),0),AssetMonthlyReturns[[#This Row],[SPY]:[PE]])</f>
        <v>3.2296178438739706E-2</v>
      </c>
      <c r="PL69" s="27">
        <f>IF(ISNUMBER(PL68),PL68*(1+PortfolioFrontier[[#This Row],[P107 Return]]),1+PortfolioFrontier[[#This Row],[P107 Return]])</f>
        <v>1.5691769961051334</v>
      </c>
      <c r="PM69" s="27">
        <f>MAX(PM68,PortfolioFrontier[[#This Row],[P107 Growth]])</f>
        <v>1.5691769961051334</v>
      </c>
      <c r="PN69" s="27">
        <f>PortfolioFrontier[[#This Row],[P107 Growth]]/PortfolioFrontier[[#This Row],[P107 HWM]]-1</f>
        <v>0</v>
      </c>
      <c r="PO69" s="28">
        <f>SUMPRODUCT(INDEX(PortfolioRef[[SPY]:[PE]],MATCH(PO$1,PortfolioRef[Reference '#]),0),AssetMonthlyReturns[[#This Row],[SPY]:[PE]])</f>
        <v>2.805240322848904E-2</v>
      </c>
      <c r="PP69" s="27">
        <f>IF(ISNUMBER(PP68),PP68*(1+PortfolioFrontier[[#This Row],[P108 Return]]),1+PortfolioFrontier[[#This Row],[P108 Return]])</f>
        <v>1.5398089935166963</v>
      </c>
      <c r="PQ69" s="27">
        <f>MAX(PQ68,PortfolioFrontier[[#This Row],[P108 Growth]])</f>
        <v>1.5398089935166963</v>
      </c>
      <c r="PR69" s="27">
        <f>PortfolioFrontier[[#This Row],[P108 Growth]]/PortfolioFrontier[[#This Row],[P108 HWM]]-1</f>
        <v>0</v>
      </c>
      <c r="PS69" s="28">
        <f>SUMPRODUCT(INDEX(PortfolioRef[[SPY]:[PE]],MATCH(PS$1,PortfolioRef[Reference '#]),0),AssetMonthlyReturns[[#This Row],[SPY]:[PE]])</f>
        <v>3.5454974987783279E-2</v>
      </c>
      <c r="PT69" s="27">
        <f>IF(ISNUMBER(PT68),PT68*(1+PortfolioFrontier[[#This Row],[P109 Return]]),1+PortfolioFrontier[[#This Row],[P109 Return]])</f>
        <v>1.5852286723786495</v>
      </c>
      <c r="PU69" s="27">
        <f>MAX(PU68,PortfolioFrontier[[#This Row],[P109 Growth]])</f>
        <v>1.5852286723786495</v>
      </c>
      <c r="PV69" s="27">
        <f>PortfolioFrontier[[#This Row],[P109 Growth]]/PortfolioFrontier[[#This Row],[P109 HWM]]-1</f>
        <v>0</v>
      </c>
      <c r="PW69" s="28">
        <f>SUMPRODUCT(INDEX(PortfolioRef[[SPY]:[PE]],MATCH(PW$1,PortfolioRef[Reference '#]),0),AssetMonthlyReturns[[#This Row],[SPY]:[PE]])</f>
        <v>3.1211199777532613E-2</v>
      </c>
      <c r="PX69" s="27">
        <f>IF(ISNUMBER(PX68),PX68*(1+PortfolioFrontier[[#This Row],[P110 Return]]),1+PortfolioFrontier[[#This Row],[P110 Return]])</f>
        <v>1.5560577031331855</v>
      </c>
      <c r="PY69" s="27">
        <f>MAX(PY68,PortfolioFrontier[[#This Row],[P110 Growth]])</f>
        <v>1.5560577031331855</v>
      </c>
      <c r="PZ69" s="27">
        <f>PortfolioFrontier[[#This Row],[P110 Growth]]/PortfolioFrontier[[#This Row],[P110 HWM]]-1</f>
        <v>0</v>
      </c>
      <c r="QA69" s="28">
        <f>SUMPRODUCT(INDEX(PortfolioRef[[SPY]:[PE]],MATCH(QA$1,PortfolioRef[Reference '#]),0),AssetMonthlyReturns[[#This Row],[SPY]:[PE]])</f>
        <v>2.6967424567281951E-2</v>
      </c>
      <c r="QB69" s="27">
        <f>IF(ISNUMBER(QB68),QB68*(1+PortfolioFrontier[[#This Row],[P111 Return]]),1+PortfolioFrontier[[#This Row],[P111 Return]])</f>
        <v>1.5267760482523853</v>
      </c>
      <c r="QC69" s="27">
        <f>MAX(QC68,PortfolioFrontier[[#This Row],[P111 Growth]])</f>
        <v>1.5267760482523853</v>
      </c>
      <c r="QD69" s="27">
        <f>PortfolioFrontier[[#This Row],[P111 Growth]]/PortfolioFrontier[[#This Row],[P111 HWM]]-1</f>
        <v>0</v>
      </c>
      <c r="QE69" s="28">
        <f>SUMPRODUCT(INDEX(PortfolioRef[[SPY]:[PE]],MATCH(QE$1,PortfolioRef[Reference '#]),0),AssetMonthlyReturns[[#This Row],[SPY]:[PE]])</f>
        <v>3.8613771536826852E-2</v>
      </c>
      <c r="QF69" s="27">
        <f>IF(ISNUMBER(QF68),QF68*(1+PortfolioFrontier[[#This Row],[P112 Return]]),1+PortfolioFrontier[[#This Row],[P112 Return]])</f>
        <v>1.6006133351918705</v>
      </c>
      <c r="QG69" s="27">
        <f>MAX(QG68,PortfolioFrontier[[#This Row],[P112 Growth]])</f>
        <v>1.6006133351918705</v>
      </c>
      <c r="QH69" s="27">
        <f>PortfolioFrontier[[#This Row],[P112 Growth]]/PortfolioFrontier[[#This Row],[P112 HWM]]-1</f>
        <v>0</v>
      </c>
      <c r="QI69" s="28">
        <f>SUMPRODUCT(INDEX(PortfolioRef[[SPY]:[PE]],MATCH(QI$1,PortfolioRef[Reference '#]),0),AssetMonthlyReturns[[#This Row],[SPY]:[PE]])</f>
        <v>3.436999632657619E-2</v>
      </c>
      <c r="QJ69" s="27">
        <f>IF(ISNUMBER(QJ68),QJ68*(1+PortfolioFrontier[[#This Row],[P113 Return]]),1+PortfolioFrontier[[#This Row],[P113 Return]])</f>
        <v>1.5716648354368357</v>
      </c>
      <c r="QK69" s="27">
        <f>MAX(QK68,PortfolioFrontier[[#This Row],[P113 Growth]])</f>
        <v>1.5716648354368357</v>
      </c>
      <c r="QL69" s="27">
        <f>PortfolioFrontier[[#This Row],[P113 Growth]]/PortfolioFrontier[[#This Row],[P113 HWM]]-1</f>
        <v>0</v>
      </c>
      <c r="QM69" s="28">
        <f>SUMPRODUCT(INDEX(PortfolioRef[[SPY]:[PE]],MATCH(QM$1,PortfolioRef[Reference '#]),0),AssetMonthlyReturns[[#This Row],[SPY]:[PE]])</f>
        <v>3.012622111632552E-2</v>
      </c>
      <c r="QN69" s="27">
        <f>IF(ISNUMBER(QN68),QN68*(1+PortfolioFrontier[[#This Row],[P114 Return]]),1+PortfolioFrontier[[#This Row],[P114 Return]])</f>
        <v>1.542582359010958</v>
      </c>
      <c r="QO69" s="27">
        <f>MAX(QO68,PortfolioFrontier[[#This Row],[P114 Growth]])</f>
        <v>1.542582359010958</v>
      </c>
      <c r="QP69" s="27">
        <f>PortfolioFrontier[[#This Row],[P114 Growth]]/PortfolioFrontier[[#This Row],[P114 HWM]]-1</f>
        <v>0</v>
      </c>
      <c r="QQ69" s="28">
        <f>SUMPRODUCT(INDEX(PortfolioRef[[SPY]:[PE]],MATCH(QQ$1,PortfolioRef[Reference '#]),0),AssetMonthlyReturns[[#This Row],[SPY]:[PE]])</f>
        <v>3.620562534971955E-2</v>
      </c>
      <c r="QR69" s="27">
        <f>IF(ISNUMBER(QR68),QR68*(1+PortfolioFrontier[[#This Row],[P115 Return]]),1+PortfolioFrontier[[#This Row],[P115 Return]])</f>
        <v>1.5976287912638125</v>
      </c>
      <c r="QS69" s="27">
        <f>MAX(QS68,PortfolioFrontier[[#This Row],[P115 Growth]])</f>
        <v>1.5976287912638125</v>
      </c>
      <c r="QT69" s="27">
        <f>PortfolioFrontier[[#This Row],[P115 Growth]]/PortfolioFrontier[[#This Row],[P115 HWM]]-1</f>
        <v>0</v>
      </c>
      <c r="QU69" s="28">
        <f>SUMPRODUCT(INDEX(PortfolioRef[[SPY]:[PE]],MATCH(QU$1,PortfolioRef[Reference '#]),0),AssetMonthlyReturns[[#This Row],[SPY]:[PE]])</f>
        <v>3.1961850139468888E-2</v>
      </c>
      <c r="QV69" s="27">
        <f>IF(ISNUMBER(QV68),QV68*(1+PortfolioFrontier[[#This Row],[P116 Return]]),1+PortfolioFrontier[[#This Row],[P116 Return]])</f>
        <v>1.5682819566620105</v>
      </c>
      <c r="QW69" s="27">
        <f>MAX(QW68,PortfolioFrontier[[#This Row],[P116 Growth]])</f>
        <v>1.5682819566620105</v>
      </c>
      <c r="QX69" s="27">
        <f>PortfolioFrontier[[#This Row],[P116 Growth]]/PortfolioFrontier[[#This Row],[P116 HWM]]-1</f>
        <v>0</v>
      </c>
      <c r="QY69" s="28">
        <f>SUMPRODUCT(INDEX(PortfolioRef[[SPY]:[PE]],MATCH(QY$1,PortfolioRef[Reference '#]),0),AssetMonthlyReturns[[#This Row],[SPY]:[PE]])</f>
        <v>2.7718074929218219E-2</v>
      </c>
      <c r="QZ69" s="27">
        <f>IF(ISNUMBER(QZ68),QZ68*(1+PortfolioFrontier[[#This Row],[P117 Return]]),1+PortfolioFrontier[[#This Row],[P117 Return]])</f>
        <v>1.5388218491972701</v>
      </c>
      <c r="RA69" s="27">
        <f>MAX(RA68,PortfolioFrontier[[#This Row],[P117 Growth]])</f>
        <v>1.5388218491972701</v>
      </c>
      <c r="RB69" s="27">
        <f>PortfolioFrontier[[#This Row],[P117 Growth]]/PortfolioFrontier[[#This Row],[P117 HWM]]-1</f>
        <v>0</v>
      </c>
      <c r="RC69" s="28">
        <f>SUMPRODUCT(INDEX(PortfolioRef[[SPY]:[PE]],MATCH(RC$1,PortfolioRef[Reference '#]),0),AssetMonthlyReturns[[#This Row],[SPY]:[PE]])</f>
        <v>3.9364421898763123E-2</v>
      </c>
      <c r="RD69" s="27">
        <f>IF(ISNUMBER(RD68),RD68*(1+PortfolioFrontier[[#This Row],[P118 Return]]),1+PortfolioFrontier[[#This Row],[P118 Return]])</f>
        <v>1.6134239180314036</v>
      </c>
      <c r="RE69" s="27">
        <f>MAX(RE68,PortfolioFrontier[[#This Row],[P118 Growth]])</f>
        <v>1.6134239180314036</v>
      </c>
      <c r="RF69" s="27">
        <f>PortfolioFrontier[[#This Row],[P118 Growth]]/PortfolioFrontier[[#This Row],[P118 HWM]]-1</f>
        <v>0</v>
      </c>
      <c r="RG69" s="28">
        <f>SUMPRODUCT(INDEX(PortfolioRef[[SPY]:[PE]],MATCH(RG$1,PortfolioRef[Reference '#]),0),AssetMonthlyReturns[[#This Row],[SPY]:[PE]])</f>
        <v>3.5120646688512461E-2</v>
      </c>
      <c r="RH69" s="27">
        <f>IF(ISNUMBER(RH68),RH68*(1+PortfolioFrontier[[#This Row],[P119 Return]]),1+PortfolioFrontier[[#This Row],[P119 Return]])</f>
        <v>1.584296750607783</v>
      </c>
      <c r="RI69" s="27">
        <f>MAX(RI68,PortfolioFrontier[[#This Row],[P119 Growth]])</f>
        <v>1.584296750607783</v>
      </c>
      <c r="RJ69" s="27">
        <f>PortfolioFrontier[[#This Row],[P119 Growth]]/PortfolioFrontier[[#This Row],[P119 HWM]]-1</f>
        <v>0</v>
      </c>
      <c r="RK69" s="28">
        <f>SUMPRODUCT(INDEX(PortfolioRef[[SPY]:[PE]],MATCH(RK$1,PortfolioRef[Reference '#]),0),AssetMonthlyReturns[[#This Row],[SPY]:[PE]])</f>
        <v>3.0876871478261791E-2</v>
      </c>
      <c r="RL69" s="27">
        <f>IF(ISNUMBER(RL68),RL68*(1+PortfolioFrontier[[#This Row],[P120 Return]]),1+PortfolioFrontier[[#This Row],[P120 Return]])</f>
        <v>1.5550328277737138</v>
      </c>
      <c r="RM69" s="27">
        <f>MAX(RM68,PortfolioFrontier[[#This Row],[P120 Growth]])</f>
        <v>1.5550328277737138</v>
      </c>
      <c r="RN69" s="27">
        <f>PortfolioFrontier[[#This Row],[P120 Growth]]/PortfolioFrontier[[#This Row],[P120 HWM]]-1</f>
        <v>0</v>
      </c>
      <c r="RO69" s="28">
        <f>SUMPRODUCT(INDEX(PortfolioRef[[SPY]:[PE]],MATCH(RO$1,PortfolioRef[Reference '#]),0),AssetMonthlyReturns[[#This Row],[SPY]:[PE]])</f>
        <v>4.2523218447806696E-2</v>
      </c>
      <c r="RP69" s="27">
        <f>IF(ISNUMBER(RP68),RP68*(1+PortfolioFrontier[[#This Row],[P121 Return]]),1+PortfolioFrontier[[#This Row],[P121 Return]])</f>
        <v>1.6285262423540703</v>
      </c>
      <c r="RQ69" s="27">
        <f>MAX(RQ68,PortfolioFrontier[[#This Row],[P121 Growth]])</f>
        <v>1.6285262423540703</v>
      </c>
      <c r="RR69" s="27">
        <f>PortfolioFrontier[[#This Row],[P121 Growth]]/PortfolioFrontier[[#This Row],[P121 HWM]]-1</f>
        <v>0</v>
      </c>
      <c r="RS69" s="28">
        <f>SUMPRODUCT(INDEX(PortfolioRef[[SPY]:[PE]],MATCH(RS$1,PortfolioRef[Reference '#]),0),AssetMonthlyReturns[[#This Row],[SPY]:[PE]])</f>
        <v>3.8279443237556034E-2</v>
      </c>
      <c r="RT69" s="27">
        <f>IF(ISNUMBER(RT68),RT68*(1+PortfolioFrontier[[#This Row],[P122 Return]]),1+PortfolioFrontier[[#This Row],[P122 Return]])</f>
        <v>1.5996445364776157</v>
      </c>
      <c r="RU69" s="27">
        <f>MAX(RU68,PortfolioFrontier[[#This Row],[P122 Growth]])</f>
        <v>1.5996445364776157</v>
      </c>
      <c r="RV69" s="27">
        <f>PortfolioFrontier[[#This Row],[P122 Growth]]/PortfolioFrontier[[#This Row],[P122 HWM]]-1</f>
        <v>0</v>
      </c>
      <c r="RW69" s="28">
        <f>SUMPRODUCT(INDEX(PortfolioRef[[SPY]:[PE]],MATCH(RW$1,PortfolioRef[Reference '#]),0),AssetMonthlyReturns[[#This Row],[SPY]:[PE]])</f>
        <v>3.4035668027305364E-2</v>
      </c>
      <c r="RX69" s="27">
        <f>IF(ISNUMBER(RX68),RX68*(1+PortfolioFrontier[[#This Row],[P123 Return]]),1+PortfolioFrontier[[#This Row],[P123 Return]])</f>
        <v>1.5706022429739823</v>
      </c>
      <c r="RY69" s="27">
        <f>MAX(RY68,PortfolioFrontier[[#This Row],[P123 Growth]])</f>
        <v>1.5706022429739823</v>
      </c>
      <c r="RZ69" s="27">
        <f>PortfolioFrontier[[#This Row],[P123 Growth]]/PortfolioFrontier[[#This Row],[P123 HWM]]-1</f>
        <v>0</v>
      </c>
      <c r="SA69" s="28">
        <f>SUMPRODUCT(INDEX(PortfolioRef[[SPY]:[PE]],MATCH(SA$1,PortfolioRef[Reference '#]),0),AssetMonthlyReturns[[#This Row],[SPY]:[PE]])</f>
        <v>4.0115072260699394E-2</v>
      </c>
      <c r="SB69" s="27">
        <f>IF(ISNUMBER(SB68),SB68*(1+PortfolioFrontier[[#This Row],[P124 Return]]),1+PortfolioFrontier[[#This Row],[P124 Return]])</f>
        <v>1.6260202704442641</v>
      </c>
      <c r="SC69" s="27">
        <f>MAX(SC68,PortfolioFrontier[[#This Row],[P124 Growth]])</f>
        <v>1.6260202704442641</v>
      </c>
      <c r="SD69" s="27">
        <f>PortfolioFrontier[[#This Row],[P124 Growth]]/PortfolioFrontier[[#This Row],[P124 HWM]]-1</f>
        <v>0</v>
      </c>
      <c r="SE69" s="28">
        <f>SUMPRODUCT(INDEX(PortfolioRef[[SPY]:[PE]],MATCH(SE$1,PortfolioRef[Reference '#]),0),AssetMonthlyReturns[[#This Row],[SPY]:[PE]])</f>
        <v>3.5871297050448732E-2</v>
      </c>
      <c r="SF69" s="27">
        <f>IF(ISNUMBER(SF68),SF68*(1+PortfolioFrontier[[#This Row],[P125 Return]]),1+PortfolioFrontier[[#This Row],[P125 Return]])</f>
        <v>1.5967187486021328</v>
      </c>
      <c r="SG69" s="27">
        <f>MAX(SG68,PortfolioFrontier[[#This Row],[P125 Growth]])</f>
        <v>1.5967187486021328</v>
      </c>
      <c r="SH69" s="27">
        <f>PortfolioFrontier[[#This Row],[P125 Growth]]/PortfolioFrontier[[#This Row],[P125 HWM]]-1</f>
        <v>0</v>
      </c>
      <c r="SI69" s="28">
        <f>SUMPRODUCT(INDEX(PortfolioRef[[SPY]:[PE]],MATCH(SI$1,PortfolioRef[Reference '#]),0),AssetMonthlyReturns[[#This Row],[SPY]:[PE]])</f>
        <v>3.1627521840198063E-2</v>
      </c>
      <c r="SJ69" s="27">
        <f>IF(ISNUMBER(SJ68),SJ68*(1+PortfolioFrontier[[#This Row],[P126 Return]]),1+PortfolioFrontier[[#This Row],[P126 Return]])</f>
        <v>1.5672776944599609</v>
      </c>
      <c r="SK69" s="27">
        <f>MAX(SK68,PortfolioFrontier[[#This Row],[P126 Growth]])</f>
        <v>1.5672776944599609</v>
      </c>
      <c r="SL69" s="27">
        <f>PortfolioFrontier[[#This Row],[P126 Growth]]/PortfolioFrontier[[#This Row],[P126 HWM]]-1</f>
        <v>0</v>
      </c>
      <c r="SM69" s="28">
        <f>SUMPRODUCT(INDEX(PortfolioRef[[SPY]:[PE]],MATCH(SM$1,PortfolioRef[Reference '#]),0),AssetMonthlyReturns[[#This Row],[SPY]:[PE]])</f>
        <v>4.327386880974296E-2</v>
      </c>
      <c r="SN69" s="27">
        <f>IF(ISNUMBER(SN68),SN68*(1+PortfolioFrontier[[#This Row],[P127 Return]]),1+PortfolioFrontier[[#This Row],[P127 Return]])</f>
        <v>1.6415353511257329</v>
      </c>
      <c r="SO69" s="27">
        <f>MAX(SO68,PortfolioFrontier[[#This Row],[P127 Growth]])</f>
        <v>1.6415353511257329</v>
      </c>
      <c r="SP69" s="27">
        <f>PortfolioFrontier[[#This Row],[P127 Growth]]/PortfolioFrontier[[#This Row],[P127 HWM]]-1</f>
        <v>0</v>
      </c>
      <c r="SQ69" s="28">
        <f>SUMPRODUCT(INDEX(PortfolioRef[[SPY]:[PE]],MATCH(SQ$1,PortfolioRef[Reference '#]),0),AssetMonthlyReturns[[#This Row],[SPY]:[PE]])</f>
        <v>3.9030093599492305E-2</v>
      </c>
      <c r="SR69" s="27">
        <f>IF(ISNUMBER(SR68),SR68*(1+PortfolioFrontier[[#This Row],[P128 Return]]),1+PortfolioFrontier[[#This Row],[P128 Return]])</f>
        <v>1.6124766689821823</v>
      </c>
      <c r="SS69" s="27">
        <f>MAX(SS68,PortfolioFrontier[[#This Row],[P128 Growth]])</f>
        <v>1.6124766689821823</v>
      </c>
      <c r="ST69" s="27">
        <f>PortfolioFrontier[[#This Row],[P128 Growth]]/PortfolioFrontier[[#This Row],[P128 HWM]]-1</f>
        <v>0</v>
      </c>
      <c r="SU69" s="28">
        <f>SUMPRODUCT(INDEX(PortfolioRef[[SPY]:[PE]],MATCH(SU$1,PortfolioRef[Reference '#]),0),AssetMonthlyReturns[[#This Row],[SPY]:[PE]])</f>
        <v>3.4786318389241636E-2</v>
      </c>
      <c r="SV69" s="27">
        <f>IF(ISNUMBER(SV68),SV68*(1+PortfolioFrontier[[#This Row],[P129 Return]]),1+PortfolioFrontier[[#This Row],[P129 Return]])</f>
        <v>1.5832544239631943</v>
      </c>
      <c r="SW69" s="27">
        <f>MAX(SW68,PortfolioFrontier[[#This Row],[P129 Growth]])</f>
        <v>1.5832544239631943</v>
      </c>
      <c r="SX69" s="27">
        <f>PortfolioFrontier[[#This Row],[P129 Growth]]/PortfolioFrontier[[#This Row],[P129 HWM]]-1</f>
        <v>0</v>
      </c>
      <c r="SY69" s="28">
        <f>SUMPRODUCT(INDEX(PortfolioRef[[SPY]:[PE]],MATCH(SY$1,PortfolioRef[Reference '#]),0),AssetMonthlyReturns[[#This Row],[SPY]:[PE]])</f>
        <v>4.643266535878654E-2</v>
      </c>
      <c r="SZ69" s="27">
        <f>IF(ISNUMBER(SZ68),SZ68*(1+PortfolioFrontier[[#This Row],[P130 Return]]),1+PortfolioFrontier[[#This Row],[P130 Return]])</f>
        <v>1.6563315305363489</v>
      </c>
      <c r="TA69" s="27">
        <f>MAX(TA68,PortfolioFrontier[[#This Row],[P130 Growth]])</f>
        <v>1.6563315305363489</v>
      </c>
      <c r="TB69" s="27">
        <f>PortfolioFrontier[[#This Row],[P130 Growth]]/PortfolioFrontier[[#This Row],[P130 HWM]]-1</f>
        <v>0</v>
      </c>
      <c r="TC69" s="28">
        <f>SUMPRODUCT(INDEX(PortfolioRef[[SPY]:[PE]],MATCH(TC$1,PortfolioRef[Reference '#]),0),AssetMonthlyReturns[[#This Row],[SPY]:[PE]])</f>
        <v>4.2188890148535871E-2</v>
      </c>
      <c r="TD69" s="27">
        <f>IF(ISNUMBER(TD68),TD68*(1+PortfolioFrontier[[#This Row],[P131 Return]]),1+PortfolioFrontier[[#This Row],[P131 Return]])</f>
        <v>1.6275418238258272</v>
      </c>
      <c r="TE69" s="27">
        <f>MAX(TE68,PortfolioFrontier[[#This Row],[P131 Growth]])</f>
        <v>1.6275418238258272</v>
      </c>
      <c r="TF69" s="27">
        <f>PortfolioFrontier[[#This Row],[P131 Growth]]/PortfolioFrontier[[#This Row],[P131 HWM]]-1</f>
        <v>0</v>
      </c>
      <c r="TG69" s="28">
        <f>SUMPRODUCT(INDEX(PortfolioRef[[SPY]:[PE]],MATCH(TG$1,PortfolioRef[Reference '#]),0),AssetMonthlyReturns[[#This Row],[SPY]:[PE]])</f>
        <v>3.7945114938285208E-2</v>
      </c>
      <c r="TH69" s="27">
        <f>IF(ISNUMBER(TH68),TH68*(1+PortfolioFrontier[[#This Row],[P132 Return]]),1+PortfolioFrontier[[#This Row],[P132 Return]])</f>
        <v>1.598564190890327</v>
      </c>
      <c r="TI69" s="27">
        <f>MAX(TI68,PortfolioFrontier[[#This Row],[P132 Growth]])</f>
        <v>1.598564190890327</v>
      </c>
      <c r="TJ69" s="27">
        <f>PortfolioFrontier[[#This Row],[P132 Growth]]/PortfolioFrontier[[#This Row],[P132 HWM]]-1</f>
        <v>0</v>
      </c>
      <c r="TK69" s="28">
        <f>SUMPRODUCT(INDEX(PortfolioRef[[SPY]:[PE]],MATCH(TK$1,PortfolioRef[Reference '#]),0),AssetMonthlyReturns[[#This Row],[SPY]:[PE]])</f>
        <v>4.4024519171679224E-2</v>
      </c>
      <c r="TL69" s="27">
        <f>IF(ISNUMBER(TL68),TL68*(1+PortfolioFrontier[[#This Row],[P133 Return]]),1+PortfolioFrontier[[#This Row],[P133 Return]])</f>
        <v>1.6543266350036048</v>
      </c>
      <c r="TM69" s="27">
        <f>MAX(TM68,PortfolioFrontier[[#This Row],[P133 Growth]])</f>
        <v>1.6543266350036048</v>
      </c>
      <c r="TN69" s="27">
        <f>PortfolioFrontier[[#This Row],[P133 Growth]]/PortfolioFrontier[[#This Row],[P133 HWM]]-1</f>
        <v>0</v>
      </c>
      <c r="TO69" s="28">
        <f>SUMPRODUCT(INDEX(PortfolioRef[[SPY]:[PE]],MATCH(TO$1,PortfolioRef[Reference '#]),0),AssetMonthlyReturns[[#This Row],[SPY]:[PE]])</f>
        <v>3.9780743961428569E-2</v>
      </c>
      <c r="TP69" s="27">
        <f>IF(ISNUMBER(TP68),TP68*(1+PortfolioFrontier[[#This Row],[P134 Return]]),1+PortfolioFrontier[[#This Row],[P134 Return]])</f>
        <v>1.6250952870029498</v>
      </c>
      <c r="TQ69" s="27">
        <f>MAX(TQ68,PortfolioFrontier[[#This Row],[P134 Growth]])</f>
        <v>1.6250952870029498</v>
      </c>
      <c r="TR69" s="27">
        <f>PortfolioFrontier[[#This Row],[P134 Growth]]/PortfolioFrontier[[#This Row],[P134 HWM]]-1</f>
        <v>0</v>
      </c>
      <c r="TS69" s="28">
        <f>SUMPRODUCT(INDEX(PortfolioRef[[SPY]:[PE]],MATCH(TS$1,PortfolioRef[Reference '#]),0),AssetMonthlyReturns[[#This Row],[SPY]:[PE]])</f>
        <v>3.55369687511779E-2</v>
      </c>
      <c r="TT69" s="27">
        <f>IF(ISNUMBER(TT68),TT68*(1+PortfolioFrontier[[#This Row],[P135 Return]]),1+PortfolioFrontier[[#This Row],[P135 Return]])</f>
        <v>1.5956974062668023</v>
      </c>
      <c r="TU69" s="27">
        <f>MAX(TU68,PortfolioFrontier[[#This Row],[P135 Growth]])</f>
        <v>1.5956974062668023</v>
      </c>
      <c r="TV69" s="27">
        <f>PortfolioFrontier[[#This Row],[P135 Growth]]/PortfolioFrontier[[#This Row],[P135 HWM]]-1</f>
        <v>0</v>
      </c>
      <c r="TW69" s="28">
        <f>SUMPRODUCT(INDEX(PortfolioRef[[SPY]:[PE]],MATCH(TW$1,PortfolioRef[Reference '#]),0),AssetMonthlyReturns[[#This Row],[SPY]:[PE]])</f>
        <v>4.7183315720722804E-2</v>
      </c>
      <c r="TX69" s="27">
        <f>IF(ISNUMBER(TX68),TX68*(1+PortfolioFrontier[[#This Row],[P136 Return]]),1+PortfolioFrontier[[#This Row],[P136 Return]])</f>
        <v>1.6695376652713536</v>
      </c>
      <c r="TY69" s="27">
        <f>MAX(TY68,PortfolioFrontier[[#This Row],[P136 Growth]])</f>
        <v>1.6695376652713536</v>
      </c>
      <c r="TZ69" s="27">
        <f>PortfolioFrontier[[#This Row],[P136 Growth]]/PortfolioFrontier[[#This Row],[P136 HWM]]-1</f>
        <v>0</v>
      </c>
      <c r="UA69" s="28">
        <f>SUMPRODUCT(INDEX(PortfolioRef[[SPY]:[PE]],MATCH(UA$1,PortfolioRef[Reference '#]),0),AssetMonthlyReturns[[#This Row],[SPY]:[PE]])</f>
        <v>4.2939540510472142E-2</v>
      </c>
      <c r="UB69" s="27">
        <f>IF(ISNUMBER(UB68),UB68*(1+PortfolioFrontier[[#This Row],[P137 Return]]),1+PortfolioFrontier[[#This Row],[P137 Return]])</f>
        <v>1.6405728580825996</v>
      </c>
      <c r="UC69" s="27">
        <f>MAX(UC68,PortfolioFrontier[[#This Row],[P137 Growth]])</f>
        <v>1.6405728580825996</v>
      </c>
      <c r="UD69" s="27">
        <f>PortfolioFrontier[[#This Row],[P137 Growth]]/PortfolioFrontier[[#This Row],[P137 HWM]]-1</f>
        <v>0</v>
      </c>
      <c r="UE69" s="28">
        <f>SUMPRODUCT(INDEX(PortfolioRef[[SPY]:[PE]],MATCH(UE$1,PortfolioRef[Reference '#]),0),AssetMonthlyReturns[[#This Row],[SPY]:[PE]])</f>
        <v>3.8695765300221473E-2</v>
      </c>
      <c r="UF69" s="27">
        <f>IF(ISNUMBER(UF68),UF68*(1+PortfolioFrontier[[#This Row],[P138 Return]]),1+PortfolioFrontier[[#This Row],[P138 Return]])</f>
        <v>1.6114169496123461</v>
      </c>
      <c r="UG69" s="27">
        <f>MAX(UG68,PortfolioFrontier[[#This Row],[P138 Growth]])</f>
        <v>1.6114169496123461</v>
      </c>
      <c r="UH69" s="27">
        <f>PortfolioFrontier[[#This Row],[P138 Growth]]/PortfolioFrontier[[#This Row],[P138 HWM]]-1</f>
        <v>0</v>
      </c>
      <c r="UI69" s="28">
        <f>SUMPRODUCT(INDEX(PortfolioRef[[SPY]:[PE]],MATCH(UI$1,PortfolioRef[Reference '#]),0),AssetMonthlyReturns[[#This Row],[SPY]:[PE]])</f>
        <v>5.0342112269766377E-2</v>
      </c>
      <c r="UJ69" s="27">
        <f>IF(ISNUMBER(UJ68),UJ68*(1+PortfolioFrontier[[#This Row],[P139 Return]]),1+PortfolioFrontier[[#This Row],[P139 Return]])</f>
        <v>1.6840034050928447</v>
      </c>
      <c r="UK69" s="27">
        <f>MAX(UK68,PortfolioFrontier[[#This Row],[P139 Growth]])</f>
        <v>1.6840034050928447</v>
      </c>
      <c r="UL69" s="27">
        <f>PortfolioFrontier[[#This Row],[P139 Growth]]/PortfolioFrontier[[#This Row],[P139 HWM]]-1</f>
        <v>0</v>
      </c>
      <c r="UM69" s="28">
        <f>SUMPRODUCT(INDEX(PortfolioRef[[SPY]:[PE]],MATCH(UM$1,PortfolioRef[Reference '#]),0),AssetMonthlyReturns[[#This Row],[SPY]:[PE]])</f>
        <v>4.6098337059515715E-2</v>
      </c>
      <c r="UN69" s="27">
        <f>IF(ISNUMBER(UN68),UN68*(1+PortfolioFrontier[[#This Row],[P140 Return]]),1+PortfolioFrontier[[#This Row],[P140 Return]])</f>
        <v>1.655331597891309</v>
      </c>
      <c r="UO69" s="27">
        <f>MAX(UO68,PortfolioFrontier[[#This Row],[P140 Growth]])</f>
        <v>1.655331597891309</v>
      </c>
      <c r="UP69" s="27">
        <f>PortfolioFrontier[[#This Row],[P140 Growth]]/PortfolioFrontier[[#This Row],[P140 HWM]]-1</f>
        <v>0</v>
      </c>
      <c r="UQ69" s="28">
        <f>SUMPRODUCT(INDEX(PortfolioRef[[SPY]:[PE]],MATCH(UQ$1,PortfolioRef[Reference '#]),0),AssetMonthlyReturns[[#This Row],[SPY]:[PE]])</f>
        <v>4.1854561849265046E-2</v>
      </c>
      <c r="UR69" s="27">
        <f>IF(ISNUMBER(UR68),UR68*(1+PortfolioFrontier[[#This Row],[P141 Return]]),1+PortfolioFrontier[[#This Row],[P141 Return]])</f>
        <v>1.6264438060365742</v>
      </c>
      <c r="US69" s="27">
        <f>MAX(US68,PortfolioFrontier[[#This Row],[P141 Growth]])</f>
        <v>1.6264438060365742</v>
      </c>
      <c r="UT69" s="27">
        <f>PortfolioFrontier[[#This Row],[P141 Growth]]/PortfolioFrontier[[#This Row],[P141 HWM]]-1</f>
        <v>0</v>
      </c>
    </row>
    <row r="70" spans="2:566" x14ac:dyDescent="0.2">
      <c r="B70" s="41">
        <f>AssetMonthlyReturns[[#This Row],[Date]]</f>
        <v>44501</v>
      </c>
      <c r="C70" s="28">
        <f>SUMPRODUCT(INDEX(PortfolioRef[[SPY]:[PE]],MATCH(C$1,PortfolioRef[Reference '#]),0),AssetMonthlyReturns[[#This Row],[SPY]:[PE]])</f>
        <v>-5.4915378686795305E-3</v>
      </c>
      <c r="D70" s="29">
        <f>IF(ISNUMBER(D69),D69*(1+PortfolioFrontier[[#This Row],[P1 Return]]),1+PortfolioFrontier[[#This Row],[P1 Return]])</f>
        <v>1.8808600757333809</v>
      </c>
      <c r="E70" s="29">
        <f>MAX(E69,PortfolioFrontier[[#This Row],[P1 Growth]])</f>
        <v>1.8912459243459123</v>
      </c>
      <c r="F70" s="29">
        <f>PortfolioFrontier[[#This Row],[P1 Growth]]/PortfolioFrontier[[#This Row],[P1 HWM]]-1</f>
        <v>-5.491537868679508E-3</v>
      </c>
      <c r="G70" s="28">
        <f>SUMPRODUCT(INDEX(PortfolioRef[[SPY]:[PE]],MATCH(G$1,PortfolioRef[Reference '#]),0),AssetMonthlyReturns[[#This Row],[SPY]:[PE]])</f>
        <v>-4.9543611018936003E-3</v>
      </c>
      <c r="H70" s="27">
        <f>IF(ISNUMBER(H69),H69*(1+PortfolioFrontier[[#This Row],[P2 Return]]),1+PortfolioFrontier[[#This Row],[P2 Return]])</f>
        <v>1.8154232995784634</v>
      </c>
      <c r="I70" s="27">
        <f>MAX(I69,PortfolioFrontier[[#This Row],[P2 Growth]])</f>
        <v>1.8244623448516661</v>
      </c>
      <c r="J70" s="27">
        <f>PortfolioFrontier[[#This Row],[P2 Growth]]/PortfolioFrontier[[#This Row],[P2 HWM]]-1</f>
        <v>-4.9543611018936229E-3</v>
      </c>
      <c r="K70" s="28">
        <f>SUMPRODUCT(INDEX(PortfolioRef[[SPY]:[PE]],MATCH(K$1,PortfolioRef[Reference '#]),0),AssetMonthlyReturns[[#This Row],[SPY]:[PE]])</f>
        <v>-5.4346803968315371E-3</v>
      </c>
      <c r="L70" s="27">
        <f>IF(ISNUMBER(L69),L69*(1+PortfolioFrontier[[#This Row],[P3 Return]]),1+PortfolioFrontier[[#This Row],[P3 Return]])</f>
        <v>1.8290448136318287</v>
      </c>
      <c r="M70" s="27">
        <f>MAX(M69,PortfolioFrontier[[#This Row],[P3 Growth]])</f>
        <v>1.8390394050353751</v>
      </c>
      <c r="N70" s="27">
        <f>PortfolioFrontier[[#This Row],[P3 Growth]]/PortfolioFrontier[[#This Row],[P3 HWM]]-1</f>
        <v>-5.4346803968314816E-3</v>
      </c>
      <c r="O70" s="28">
        <f>SUMPRODUCT(INDEX(PortfolioRef[[SPY]:[PE]],MATCH(O$1,PortfolioRef[Reference '#]),0),AssetMonthlyReturns[[#This Row],[SPY]:[PE]])</f>
        <v>-6.1443135809729488E-3</v>
      </c>
      <c r="P70" s="27">
        <f>IF(ISNUMBER(P69),P69*(1+PortfolioFrontier[[#This Row],[P4 Return]]),1+PortfolioFrontier[[#This Row],[P4 Return]])</f>
        <v>1.8443932764037034</v>
      </c>
      <c r="Q70" s="27">
        <f>MAX(Q69,PortfolioFrontier[[#This Row],[P4 Growth]])</f>
        <v>1.855795868159952</v>
      </c>
      <c r="R70" s="27">
        <f>PortfolioFrontier[[#This Row],[P4 Growth]]/PortfolioFrontier[[#This Row],[P4 HWM]]-1</f>
        <v>-6.1443135809728933E-3</v>
      </c>
      <c r="S70" s="28">
        <f>SUMPRODUCT(INDEX(PortfolioRef[[SPY]:[PE]],MATCH(S$1,PortfolioRef[Reference '#]),0),AssetMonthlyReturns[[#This Row],[SPY]:[PE]])</f>
        <v>-4.4282521353049883E-3</v>
      </c>
      <c r="T70" s="27">
        <f>IF(ISNUMBER(T69),T69*(1+PortfolioFrontier[[#This Row],[P5 Return]]),1+PortfolioFrontier[[#This Row],[P5 Return]])</f>
        <v>1.8149803206355546</v>
      </c>
      <c r="U70" s="27">
        <f>MAX(U69,PortfolioFrontier[[#This Row],[P5 Growth]])</f>
        <v>1.8230532601274887</v>
      </c>
      <c r="V70" s="27">
        <f>PortfolioFrontier[[#This Row],[P5 Growth]]/PortfolioFrontier[[#This Row],[P5 HWM]]-1</f>
        <v>-4.4282521353048443E-3</v>
      </c>
      <c r="W70" s="28">
        <f>SUMPRODUCT(INDEX(PortfolioRef[[SPY]:[PE]],MATCH(W$1,PortfolioRef[Reference '#]),0),AssetMonthlyReturns[[#This Row],[SPY]:[PE]])</f>
        <v>-4.4171843351076719E-3</v>
      </c>
      <c r="X70" s="27">
        <f>IF(ISNUMBER(X69),X69*(1+PortfolioFrontier[[#This Row],[P6 Return]]),1+PortfolioFrontier[[#This Row],[P6 Return]])</f>
        <v>1.7516611662911081</v>
      </c>
      <c r="Y70" s="27">
        <f>MAX(Y69,PortfolioFrontier[[#This Row],[P6 Growth]])</f>
        <v>1.7594329057611089</v>
      </c>
      <c r="Z70" s="27">
        <f>PortfolioFrontier[[#This Row],[P6 Growth]]/PortfolioFrontier[[#This Row],[P6 HWM]]-1</f>
        <v>-4.4171843351075157E-3</v>
      </c>
      <c r="AA70" s="28">
        <f>SUMPRODUCT(INDEX(PortfolioRef[[SPY]:[PE]],MATCH(AA$1,PortfolioRef[Reference '#]),0),AssetMonthlyReturns[[#This Row],[SPY]:[PE]])</f>
        <v>-4.8975036300456069E-3</v>
      </c>
      <c r="AB70" s="27">
        <f>IF(ISNUMBER(AB69),AB69*(1+PortfolioFrontier[[#This Row],[P7 Return]]),1+PortfolioFrontier[[#This Row],[P7 Return]])</f>
        <v>1.7648249759685892</v>
      </c>
      <c r="AC70" s="27">
        <f>MAX(AC69,PortfolioFrontier[[#This Row],[P7 Growth]])</f>
        <v>1.77351075131106</v>
      </c>
      <c r="AD70" s="27">
        <f>PortfolioFrontier[[#This Row],[P7 Growth]]/PortfolioFrontier[[#This Row],[P7 HWM]]-1</f>
        <v>-4.8975036300455965E-3</v>
      </c>
      <c r="AE70" s="28">
        <f>SUMPRODUCT(INDEX(PortfolioRef[[SPY]:[PE]],MATCH(AE$1,PortfolioRef[Reference '#]),0),AssetMonthlyReturns[[#This Row],[SPY]:[PE]])</f>
        <v>-5.6071368141870186E-3</v>
      </c>
      <c r="AF70" s="27">
        <f>IF(ISNUMBER(AF69),AF69*(1+PortfolioFrontier[[#This Row],[P8 Return]]),1+PortfolioFrontier[[#This Row],[P8 Return]])</f>
        <v>1.7800890670690823</v>
      </c>
      <c r="AG70" s="27">
        <f>MAX(AG69,PortfolioFrontier[[#This Row],[P8 Growth]])</f>
        <v>1.7901265515583789</v>
      </c>
      <c r="AH70" s="27">
        <f>PortfolioFrontier[[#This Row],[P8 Growth]]/PortfolioFrontier[[#This Row],[P8 HWM]]-1</f>
        <v>-5.6071368141870082E-3</v>
      </c>
      <c r="AI70" s="28">
        <f>SUMPRODUCT(INDEX(PortfolioRef[[SPY]:[PE]],MATCH(AI$1,PortfolioRef[Reference '#]),0),AssetMonthlyReturns[[#This Row],[SPY]:[PE]])</f>
        <v>-3.8910753685190594E-3</v>
      </c>
      <c r="AJ70" s="27">
        <f>IF(ISNUMBER(AJ69),AJ69*(1+PortfolioFrontier[[#This Row],[P9 Return]]),1+PortfolioFrontier[[#This Row],[P9 Return]])</f>
        <v>1.7512915056595235</v>
      </c>
      <c r="AK70" s="27">
        <f>MAX(AK69,PortfolioFrontier[[#This Row],[P9 Growth]])</f>
        <v>1.7581325318487924</v>
      </c>
      <c r="AL70" s="27">
        <f>PortfolioFrontier[[#This Row],[P9 Growth]]/PortfolioFrontier[[#This Row],[P9 HWM]]-1</f>
        <v>-3.8910753685190702E-3</v>
      </c>
      <c r="AM70" s="28">
        <f>SUMPRODUCT(INDEX(PortfolioRef[[SPY]:[PE]],MATCH(AM$1,PortfolioRef[Reference '#]),0),AssetMonthlyReturns[[#This Row],[SPY]:[PE]])</f>
        <v>-5.3778229249835437E-3</v>
      </c>
      <c r="AN70" s="27">
        <f>IF(ISNUMBER(AN69),AN69*(1+PortfolioFrontier[[#This Row],[P10 Return]]),1+PortfolioFrontier[[#This Row],[P10 Return]])</f>
        <v>1.777742465344468</v>
      </c>
      <c r="AO70" s="27">
        <f>MAX(AO69,PortfolioFrontier[[#This Row],[P10 Growth]])</f>
        <v>1.7873545415732139</v>
      </c>
      <c r="AP70" s="27">
        <f>PortfolioFrontier[[#This Row],[P10 Growth]]/PortfolioFrontier[[#This Row],[P10 HWM]]-1</f>
        <v>-5.3778229249835663E-3</v>
      </c>
      <c r="AQ70" s="28">
        <f>SUMPRODUCT(INDEX(PortfolioRef[[SPY]:[PE]],MATCH(AQ$1,PortfolioRef[Reference '#]),0),AssetMonthlyReturns[[#This Row],[SPY]:[PE]])</f>
        <v>-6.0874561091249554E-3</v>
      </c>
      <c r="AR70" s="27">
        <f>IF(ISNUMBER(AR69),AR69*(1+PortfolioFrontier[[#This Row],[P11 Return]]),1+PortfolioFrontier[[#This Row],[P11 Return]])</f>
        <v>1.7934382903527653</v>
      </c>
      <c r="AS70" s="27">
        <f>MAX(AS69,PortfolioFrontier[[#This Row],[P11 Growth]])</f>
        <v>1.8044226339391818</v>
      </c>
      <c r="AT70" s="27">
        <f>PortfolioFrontier[[#This Row],[P11 Growth]]/PortfolioFrontier[[#This Row],[P11 HWM]]-1</f>
        <v>-6.0874561091249779E-3</v>
      </c>
      <c r="AU70" s="28">
        <f>SUMPRODUCT(INDEX(PortfolioRef[[SPY]:[PE]],MATCH(AU$1,PortfolioRef[Reference '#]),0),AssetMonthlyReturns[[#This Row],[SPY]:[PE]])</f>
        <v>-4.3713946634569966E-3</v>
      </c>
      <c r="AV70" s="27">
        <f>IF(ISNUMBER(AV69),AV69*(1+PortfolioFrontier[[#This Row],[P12 Return]]),1+PortfolioFrontier[[#This Row],[P12 Return]])</f>
        <v>1.7644850844578879</v>
      </c>
      <c r="AW70" s="27">
        <f>MAX(AW69,PortfolioFrontier[[#This Row],[P12 Growth]])</f>
        <v>1.7722322108869659</v>
      </c>
      <c r="AX70" s="27">
        <f>PortfolioFrontier[[#This Row],[P12 Growth]]/PortfolioFrontier[[#This Row],[P12 HWM]]-1</f>
        <v>-4.37139466345704E-3</v>
      </c>
      <c r="AY70" s="28">
        <f>SUMPRODUCT(INDEX(PortfolioRef[[SPY]:[PE]],MATCH(AY$1,PortfolioRef[Reference '#]),0),AssetMonthlyReturns[[#This Row],[SPY]:[PE]])</f>
        <v>-6.7970892932663687E-3</v>
      </c>
      <c r="AZ70" s="27">
        <f>IF(ISNUMBER(AZ69),AZ69*(1+PortfolioFrontier[[#This Row],[P13 Return]]),1+PortfolioFrontier[[#This Row],[P13 Return]])</f>
        <v>1.8083285608244766</v>
      </c>
      <c r="BA70" s="27">
        <f>MAX(BA69,PortfolioFrontier[[#This Row],[P13 Growth]])</f>
        <v>1.8207040488209241</v>
      </c>
      <c r="BB70" s="27">
        <f>PortfolioFrontier[[#This Row],[P13 Growth]]/PortfolioFrontier[[#This Row],[P13 HWM]]-1</f>
        <v>-6.7970892932663896E-3</v>
      </c>
      <c r="BC70" s="28">
        <f>SUMPRODUCT(INDEX(PortfolioRef[[SPY]:[PE]],MATCH(BC$1,PortfolioRef[Reference '#]),0),AssetMonthlyReturns[[#This Row],[SPY]:[PE]])</f>
        <v>-5.0810278475984065E-3</v>
      </c>
      <c r="BD70" s="27">
        <f>IF(ISNUMBER(BD69),BD69*(1+PortfolioFrontier[[#This Row],[P14 Return]]),1+PortfolioFrontier[[#This Row],[P14 Return]])</f>
        <v>1.7797152446972404</v>
      </c>
      <c r="BE70" s="27">
        <f>MAX(BE69,PortfolioFrontier[[#This Row],[P14 Growth]])</f>
        <v>1.7888042086955236</v>
      </c>
      <c r="BF70" s="27">
        <f>PortfolioFrontier[[#This Row],[P14 Growth]]/PortfolioFrontier[[#This Row],[P14 HWM]]-1</f>
        <v>-5.0810278475984516E-3</v>
      </c>
      <c r="BG70" s="28">
        <f>SUMPRODUCT(INDEX(PortfolioRef[[SPY]:[PE]],MATCH(BG$1,PortfolioRef[Reference '#]),0),AssetMonthlyReturns[[#This Row],[SPY]:[PE]])</f>
        <v>-3.3649664019304469E-3</v>
      </c>
      <c r="BH70" s="27">
        <f>IF(ISNUMBER(BH69),BH69*(1+PortfolioFrontier[[#This Row],[P15 Return]]),1+PortfolioFrontier[[#This Row],[P15 Return]])</f>
        <v>1.7507988591111228</v>
      </c>
      <c r="BI70" s="27">
        <f>MAX(BI69,PortfolioFrontier[[#This Row],[P15 Growth]])</f>
        <v>1.7567101296754113</v>
      </c>
      <c r="BJ70" s="27">
        <f>PortfolioFrontier[[#This Row],[P15 Growth]]/PortfolioFrontier[[#This Row],[P15 HWM]]-1</f>
        <v>-3.3649664019304026E-3</v>
      </c>
      <c r="BK70" s="28">
        <f>SUMPRODUCT(INDEX(PortfolioRef[[SPY]:[PE]],MATCH(BK$1,PortfolioRef[Reference '#]),0),AssetMonthlyReturns[[#This Row],[SPY]:[PE]])</f>
        <v>-3.8800075683217421E-3</v>
      </c>
      <c r="BL70" s="27">
        <f>IF(ISNUMBER(BL69),BL69*(1+PortfolioFrontier[[#This Row],[P16 Return]]),1+PortfolioFrontier[[#This Row],[P16 Return]])</f>
        <v>1.6895584832626132</v>
      </c>
      <c r="BM70" s="27">
        <f>MAX(BM69,PortfolioFrontier[[#This Row],[P16 Growth]])</f>
        <v>1.6961395174271601</v>
      </c>
      <c r="BN70" s="27">
        <f>PortfolioFrontier[[#This Row],[P16 Growth]]/PortfolioFrontier[[#This Row],[P16 HWM]]-1</f>
        <v>-3.8800075683217417E-3</v>
      </c>
      <c r="BO70" s="28">
        <f>SUMPRODUCT(INDEX(PortfolioRef[[SPY]:[PE]],MATCH(BO$1,PortfolioRef[Reference '#]),0),AssetMonthlyReturns[[#This Row],[SPY]:[PE]])</f>
        <v>-4.3603268632596785E-3</v>
      </c>
      <c r="BP70" s="27">
        <f>IF(ISNUMBER(BP69),BP69*(1+PortfolioFrontier[[#This Row],[P17 Return]]),1+PortfolioFrontier[[#This Row],[P17 Return]])</f>
        <v>1.7022759911782301</v>
      </c>
      <c r="BQ70" s="27">
        <f>MAX(BQ69,PortfolioFrontier[[#This Row],[P17 Growth]])</f>
        <v>1.7097309770865681</v>
      </c>
      <c r="BR70" s="27">
        <f>PortfolioFrontier[[#This Row],[P17 Growth]]/PortfolioFrontier[[#This Row],[P17 HWM]]-1</f>
        <v>-4.3603268632597114E-3</v>
      </c>
      <c r="BS70" s="28">
        <f>SUMPRODUCT(INDEX(PortfolioRef[[SPY]:[PE]],MATCH(BS$1,PortfolioRef[Reference '#]),0),AssetMonthlyReturns[[#This Row],[SPY]:[PE]])</f>
        <v>-5.0699600474010901E-3</v>
      </c>
      <c r="BT70" s="27">
        <f>IF(ISNUMBER(BT69),BT69*(1+PortfolioFrontier[[#This Row],[P18 Return]]),1+PortfolioFrontier[[#This Row],[P18 Return]])</f>
        <v>1.7174356966082944</v>
      </c>
      <c r="BU70" s="27">
        <f>MAX(BU69,PortfolioFrontier[[#This Row],[P18 Growth]])</f>
        <v>1.7261873977492102</v>
      </c>
      <c r="BV70" s="27">
        <f>PortfolioFrontier[[#This Row],[P18 Growth]]/PortfolioFrontier[[#This Row],[P18 HWM]]-1</f>
        <v>-5.069960047401123E-3</v>
      </c>
      <c r="BW70" s="28">
        <f>SUMPRODUCT(INDEX(PortfolioRef[[SPY]:[PE]],MATCH(BW$1,PortfolioRef[Reference '#]),0),AssetMonthlyReturns[[#This Row],[SPY]:[PE]])</f>
        <v>-3.35389860173313E-3</v>
      </c>
      <c r="BX70" s="27">
        <f>IF(ISNUMBER(BX69),BX69*(1+PortfolioFrontier[[#This Row],[P19 Return]]),1+PortfolioFrontier[[#This Row],[P19 Return]])</f>
        <v>1.6892573743486072</v>
      </c>
      <c r="BY70" s="27">
        <f>MAX(BY69,PortfolioFrontier[[#This Row],[P19 Growth]])</f>
        <v>1.694942038080143</v>
      </c>
      <c r="BZ70" s="27">
        <f>PortfolioFrontier[[#This Row],[P19 Growth]]/PortfolioFrontier[[#This Row],[P19 HWM]]-1</f>
        <v>-3.3538986017331851E-3</v>
      </c>
      <c r="CA70" s="28">
        <f>SUMPRODUCT(INDEX(PortfolioRef[[SPY]:[PE]],MATCH(CA$1,PortfolioRef[Reference '#]),0),AssetMonthlyReturns[[#This Row],[SPY]:[PE]])</f>
        <v>-4.8406461581976153E-3</v>
      </c>
      <c r="CB70" s="27">
        <f>IF(ISNUMBER(CB69),CB69*(1+PortfolioFrontier[[#This Row],[P20 Return]]),1+PortfolioFrontier[[#This Row],[P20 Return]])</f>
        <v>1.7147554480239169</v>
      </c>
      <c r="CC70" s="27">
        <f>MAX(CC69,PortfolioFrontier[[#This Row],[P20 Growth]])</f>
        <v>1.7230963477398078</v>
      </c>
      <c r="CD70" s="27">
        <f>PortfolioFrontier[[#This Row],[P20 Growth]]/PortfolioFrontier[[#This Row],[P20 HWM]]-1</f>
        <v>-4.8406461581975702E-3</v>
      </c>
      <c r="CE70" s="28">
        <f>SUMPRODUCT(INDEX(PortfolioRef[[SPY]:[PE]],MATCH(CE$1,PortfolioRef[Reference '#]),0),AssetMonthlyReturns[[#This Row],[SPY]:[PE]])</f>
        <v>-5.5502793423390252E-3</v>
      </c>
      <c r="CF70" s="27">
        <f>IF(ISNUMBER(CF69),CF69*(1+PortfolioFrontier[[#This Row],[P21 Return]]),1+PortfolioFrontier[[#This Row],[P21 Return]])</f>
        <v>1.7303356496090658</v>
      </c>
      <c r="CG70" s="27">
        <f>MAX(CG69,PortfolioFrontier[[#This Row],[P21 Growth]])</f>
        <v>1.7399930973531172</v>
      </c>
      <c r="CH70" s="27">
        <f>PortfolioFrontier[[#This Row],[P21 Growth]]/PortfolioFrontier[[#This Row],[P21 HWM]]-1</f>
        <v>-5.5502793423389818E-3</v>
      </c>
      <c r="CI70" s="28">
        <f>SUMPRODUCT(INDEX(PortfolioRef[[SPY]:[PE]],MATCH(CI$1,PortfolioRef[Reference '#]),0),AssetMonthlyReturns[[#This Row],[SPY]:[PE]])</f>
        <v>-3.834217896671066E-3</v>
      </c>
      <c r="CJ70" s="27">
        <f>IF(ISNUMBER(CJ69),CJ69*(1+PortfolioFrontier[[#This Row],[P22 Return]]),1+PortfolioFrontier[[#This Row],[P22 Return]])</f>
        <v>1.7020040213522583</v>
      </c>
      <c r="CK70" s="27">
        <f>MAX(CK69,PortfolioFrontier[[#This Row],[P22 Growth]])</f>
        <v>1.7085549934857278</v>
      </c>
      <c r="CL70" s="27">
        <f>PortfolioFrontier[[#This Row],[P22 Growth]]/PortfolioFrontier[[#This Row],[P22 HWM]]-1</f>
        <v>-3.8342178966709328E-3</v>
      </c>
      <c r="CM70" s="28">
        <f>SUMPRODUCT(INDEX(PortfolioRef[[SPY]:[PE]],MATCH(CM$1,PortfolioRef[Reference '#]),0),AssetMonthlyReturns[[#This Row],[SPY]:[PE]])</f>
        <v>-6.2599125264804385E-3</v>
      </c>
      <c r="CN70" s="27">
        <f>IF(ISNUMBER(CN69),CN69*(1+PortfolioFrontier[[#This Row],[P23 Return]]),1+PortfolioFrontier[[#This Row],[P23 Return]])</f>
        <v>1.7451482423862157</v>
      </c>
      <c r="CO70" s="27">
        <f>MAX(CO69,PortfolioFrontier[[#This Row],[P23 Growth]])</f>
        <v>1.7561415347780454</v>
      </c>
      <c r="CP70" s="27">
        <f>PortfolioFrontier[[#This Row],[P23 Growth]]/PortfolioFrontier[[#This Row],[P23 HWM]]-1</f>
        <v>-6.2599125264803934E-3</v>
      </c>
      <c r="CQ70" s="28">
        <f>SUMPRODUCT(INDEX(PortfolioRef[[SPY]:[PE]],MATCH(CQ$1,PortfolioRef[Reference '#]),0),AssetMonthlyReturns[[#This Row],[SPY]:[PE]])</f>
        <v>-4.543851080812478E-3</v>
      </c>
      <c r="CR70" s="27">
        <f>IF(ISNUMBER(CR69),CR69*(1+PortfolioFrontier[[#This Row],[P24 Return]]),1+PortfolioFrontier[[#This Row],[P24 Return]])</f>
        <v>1.7171315707498642</v>
      </c>
      <c r="CS70" s="27">
        <f>MAX(CS69,PortfolioFrontier[[#This Row],[P24 Growth]])</f>
        <v>1.7249695756204158</v>
      </c>
      <c r="CT70" s="27">
        <f>PortfolioFrontier[[#This Row],[P24 Growth]]/PortfolioFrontier[[#This Row],[P24 HWM]]-1</f>
        <v>-4.5438510808125665E-3</v>
      </c>
      <c r="CU70" s="28">
        <f>SUMPRODUCT(INDEX(PortfolioRef[[SPY]:[PE]],MATCH(CU$1,PortfolioRef[Reference '#]),0),AssetMonthlyReturns[[#This Row],[SPY]:[PE]])</f>
        <v>-2.8277896351445175E-3</v>
      </c>
      <c r="CV70" s="27">
        <f>IF(ISNUMBER(CV69),CV69*(1+PortfolioFrontier[[#This Row],[P25 Return]]),1+PortfolioFrontier[[#This Row],[P25 Return]])</f>
        <v>1.6888376361445774</v>
      </c>
      <c r="CW70" s="27">
        <f>MAX(CW69,PortfolioFrontier[[#This Row],[P25 Growth]])</f>
        <v>1.693626856615517</v>
      </c>
      <c r="CX70" s="27">
        <f>PortfolioFrontier[[#This Row],[P25 Growth]]/PortfolioFrontier[[#This Row],[P25 HWM]]-1</f>
        <v>-2.8277896351445175E-3</v>
      </c>
      <c r="CY70" s="28">
        <f>SUMPRODUCT(INDEX(PortfolioRef[[SPY]:[PE]],MATCH(CY$1,PortfolioRef[Reference '#]),0),AssetMonthlyReturns[[#This Row],[SPY]:[PE]])</f>
        <v>-6.030598637276962E-3</v>
      </c>
      <c r="CZ70" s="27">
        <f>IF(ISNUMBER(CZ69),CZ69*(1+PortfolioFrontier[[#This Row],[P26 Return]]),1+PortfolioFrontier[[#This Row],[P26 Return]])</f>
        <v>1.7429937809534446</v>
      </c>
      <c r="DA70" s="27">
        <f>MAX(DA69,PortfolioFrontier[[#This Row],[P26 Growth]])</f>
        <v>1.7535688508759082</v>
      </c>
      <c r="DB70" s="27">
        <f>PortfolioFrontier[[#This Row],[P26 Growth]]/PortfolioFrontier[[#This Row],[P26 HWM]]-1</f>
        <v>-6.0305986372769516E-3</v>
      </c>
      <c r="DC70" s="28">
        <f>SUMPRODUCT(INDEX(PortfolioRef[[SPY]:[PE]],MATCH(DC$1,PortfolioRef[Reference '#]),0),AssetMonthlyReturns[[#This Row],[SPY]:[PE]])</f>
        <v>-4.3145371916090032E-3</v>
      </c>
      <c r="DD70" s="27">
        <f>IF(ISNUMBER(DD69),DD69*(1+PortfolioFrontier[[#This Row],[P27 Return]]),1+PortfolioFrontier[[#This Row],[P27 Return]])</f>
        <v>1.7145132524655431</v>
      </c>
      <c r="DE70" s="27">
        <f>MAX(DE69,PortfolioFrontier[[#This Row],[P27 Growth]])</f>
        <v>1.7219426380190939</v>
      </c>
      <c r="DF70" s="27">
        <f>PortfolioFrontier[[#This Row],[P27 Growth]]/PortfolioFrontier[[#This Row],[P27 HWM]]-1</f>
        <v>-4.3145371916090136E-3</v>
      </c>
      <c r="DG70" s="28">
        <f>SUMPRODUCT(INDEX(PortfolioRef[[SPY]:[PE]],MATCH(DG$1,PortfolioRef[Reference '#]),0),AssetMonthlyReturns[[#This Row],[SPY]:[PE]])</f>
        <v>-6.7402318214183753E-3</v>
      </c>
      <c r="DH70" s="27">
        <f>IF(ISNUMBER(DH69),DH69*(1+PortfolioFrontier[[#This Row],[P28 Return]]),1+PortfolioFrontier[[#This Row],[P28 Return]])</f>
        <v>1.7582287372334779</v>
      </c>
      <c r="DI70" s="27">
        <f>MAX(DI69,PortfolioFrontier[[#This Row],[P28 Growth]])</f>
        <v>1.7701600261708776</v>
      </c>
      <c r="DJ70" s="27">
        <f>PortfolioFrontier[[#This Row],[P28 Growth]]/PortfolioFrontier[[#This Row],[P28 HWM]]-1</f>
        <v>-6.7402318214183632E-3</v>
      </c>
      <c r="DK70" s="28">
        <f>SUMPRODUCT(INDEX(PortfolioRef[[SPY]:[PE]],MATCH(DK$1,PortfolioRef[Reference '#]),0),AssetMonthlyReturns[[#This Row],[SPY]:[PE]])</f>
        <v>-5.0241703757504148E-3</v>
      </c>
      <c r="DL70" s="27">
        <f>IF(ISNUMBER(DL69),DL69*(1+PortfolioFrontier[[#This Row],[P29 Return]]),1+PortfolioFrontier[[#This Row],[P29 Return]])</f>
        <v>1.7300611366345853</v>
      </c>
      <c r="DM70" s="27">
        <f>MAX(DM69,PortfolioFrontier[[#This Row],[P29 Growth]])</f>
        <v>1.7387971497638681</v>
      </c>
      <c r="DN70" s="27">
        <f>PortfolioFrontier[[#This Row],[P29 Growth]]/PortfolioFrontier[[#This Row],[P29 HWM]]-1</f>
        <v>-5.0241703757504252E-3</v>
      </c>
      <c r="DO70" s="28">
        <f>SUMPRODUCT(INDEX(PortfolioRef[[SPY]:[PE]],MATCH(DO$1,PortfolioRef[Reference '#]),0),AssetMonthlyReturns[[#This Row],[SPY]:[PE]])</f>
        <v>-3.3081089300824543E-3</v>
      </c>
      <c r="DP70" s="27">
        <f>IF(ISNUMBER(DP69),DP69*(1+PortfolioFrontier[[#This Row],[P30 Return]]),1+PortfolioFrontier[[#This Row],[P30 Return]])</f>
        <v>1.7016125233116823</v>
      </c>
      <c r="DQ70" s="27">
        <f>MAX(DQ69,PortfolioFrontier[[#This Row],[P30 Growth]])</f>
        <v>1.7072603264435657</v>
      </c>
      <c r="DR70" s="27">
        <f>PortfolioFrontier[[#This Row],[P30 Growth]]/PortfolioFrontier[[#This Row],[P30 HWM]]-1</f>
        <v>-3.3081089300823763E-3</v>
      </c>
      <c r="DS70" s="28">
        <f>SUMPRODUCT(INDEX(PortfolioRef[[SPY]:[PE]],MATCH(DS$1,PortfolioRef[Reference '#]),0),AssetMonthlyReturns[[#This Row],[SPY]:[PE]])</f>
        <v>-7.449865005559787E-3</v>
      </c>
      <c r="DT70" s="27">
        <f>IF(ISNUMBER(DT69),DT69*(1+PortfolioFrontier[[#This Row],[P31 Return]]),1+PortfolioFrontier[[#This Row],[P31 Return]])</f>
        <v>1.7726695943866617</v>
      </c>
      <c r="DU70" s="27">
        <f>MAX(DU69,PortfolioFrontier[[#This Row],[P31 Growth]])</f>
        <v>1.7859748660419974</v>
      </c>
      <c r="DV70" s="27">
        <f>PortfolioFrontier[[#This Row],[P31 Growth]]/PortfolioFrontier[[#This Row],[P31 HWM]]-1</f>
        <v>-7.4498650055597748E-3</v>
      </c>
      <c r="DW70" s="28">
        <f>SUMPRODUCT(INDEX(PortfolioRef[[SPY]:[PE]],MATCH(DW$1,PortfolioRef[Reference '#]),0),AssetMonthlyReturns[[#This Row],[SPY]:[PE]])</f>
        <v>-5.7338035598918265E-3</v>
      </c>
      <c r="DX70" s="27">
        <f>IF(ISNUMBER(DX69),DX69*(1+PortfolioFrontier[[#This Row],[P32 Return]]),1+PortfolioFrontier[[#This Row],[P32 Return]])</f>
        <v>1.7448411748162165</v>
      </c>
      <c r="DY70" s="27">
        <f>MAX(DY69,PortfolioFrontier[[#This Row],[P32 Growth]])</f>
        <v>1.7549034464447075</v>
      </c>
      <c r="DZ70" s="27">
        <f>PortfolioFrontier[[#This Row],[P32 Growth]]/PortfolioFrontier[[#This Row],[P32 HWM]]-1</f>
        <v>-5.7338035598918369E-3</v>
      </c>
      <c r="EA70" s="28">
        <f>SUMPRODUCT(INDEX(PortfolioRef[[SPY]:[PE]],MATCH(EA$1,PortfolioRef[Reference '#]),0),AssetMonthlyReturns[[#This Row],[SPY]:[PE]])</f>
        <v>-4.0177421142238651E-3</v>
      </c>
      <c r="EB70" s="27">
        <f>IF(ISNUMBER(EB69),EB69*(1+PortfolioFrontier[[#This Row],[P33 Return]]),1+PortfolioFrontier[[#This Row],[P33 Return]])</f>
        <v>1.7167067469809292</v>
      </c>
      <c r="EC70" s="27">
        <f>MAX(EC69,PortfolioFrontier[[#This Row],[P33 Growth]])</f>
        <v>1.7236318552752865</v>
      </c>
      <c r="ED70" s="27">
        <f>PortfolioFrontier[[#This Row],[P33 Growth]]/PortfolioFrontier[[#This Row],[P33 HWM]]-1</f>
        <v>-4.0177421142238989E-3</v>
      </c>
      <c r="EE70" s="28">
        <f>SUMPRODUCT(INDEX(PortfolioRef[[SPY]:[PE]],MATCH(EE$1,PortfolioRef[Reference '#]),0),AssetMonthlyReturns[[#This Row],[SPY]:[PE]])</f>
        <v>-3.3428308015358127E-3</v>
      </c>
      <c r="EF70" s="27">
        <f>IF(ISNUMBER(EF69),EF69*(1+PortfolioFrontier[[#This Row],[P34 Return]]),1+PortfolioFrontier[[#This Row],[P34 Return]])</f>
        <v>1.6290987859316763</v>
      </c>
      <c r="EG70" s="27">
        <f>MAX(EG69,PortfolioFrontier[[#This Row],[P34 Growth]])</f>
        <v>1.6345628529836764</v>
      </c>
      <c r="EH70" s="27">
        <f>PortfolioFrontier[[#This Row],[P34 Growth]]/PortfolioFrontier[[#This Row],[P34 HWM]]-1</f>
        <v>-3.3428308015358565E-3</v>
      </c>
      <c r="EI70" s="28">
        <f>SUMPRODUCT(INDEX(PortfolioRef[[SPY]:[PE]],MATCH(EI$1,PortfolioRef[Reference '#]),0),AssetMonthlyReturns[[#This Row],[SPY]:[PE]])</f>
        <v>-3.8231500964737487E-3</v>
      </c>
      <c r="EJ70" s="27">
        <f>IF(ISNUMBER(EJ69),EJ69*(1+PortfolioFrontier[[#This Row],[P35 Return]]),1+PortfolioFrontier[[#This Row],[P35 Return]])</f>
        <v>1.6413812844328375</v>
      </c>
      <c r="EK70" s="27">
        <f>MAX(EK69,PortfolioFrontier[[#This Row],[P35 Growth]])</f>
        <v>1.6476806147340157</v>
      </c>
      <c r="EL70" s="27">
        <f>PortfolioFrontier[[#This Row],[P35 Growth]]/PortfolioFrontier[[#This Row],[P35 HWM]]-1</f>
        <v>-3.8231500964737153E-3</v>
      </c>
      <c r="EM70" s="28">
        <f>SUMPRODUCT(INDEX(PortfolioRef[[SPY]:[PE]],MATCH(EM$1,PortfolioRef[Reference '#]),0),AssetMonthlyReturns[[#This Row],[SPY]:[PE]])</f>
        <v>-4.5327832806151599E-3</v>
      </c>
      <c r="EN70" s="27">
        <f>IF(ISNUMBER(EN69),EN69*(1+PortfolioFrontier[[#This Row],[P36 Return]]),1+PortfolioFrontier[[#This Row],[P36 Return]])</f>
        <v>1.6564179894007656</v>
      </c>
      <c r="EO70" s="27">
        <f>MAX(EO69,PortfolioFrontier[[#This Row],[P36 Growth]])</f>
        <v>1.6639603611051894</v>
      </c>
      <c r="EP70" s="27">
        <f>PortfolioFrontier[[#This Row],[P36 Growth]]/PortfolioFrontier[[#This Row],[P36 HWM]]-1</f>
        <v>-4.5327832806151269E-3</v>
      </c>
      <c r="EQ70" s="28">
        <f>SUMPRODUCT(INDEX(PortfolioRef[[SPY]:[PE]],MATCH(EQ$1,PortfolioRef[Reference '#]),0),AssetMonthlyReturns[[#This Row],[SPY]:[PE]])</f>
        <v>-2.8167218349472007E-3</v>
      </c>
      <c r="ER70" s="27">
        <f>IF(ISNUMBER(ER69),ER69*(1+PortfolioFrontier[[#This Row],[P37 Return]]),1+PortfolioFrontier[[#This Row],[P37 Return]])</f>
        <v>1.6288616609672073</v>
      </c>
      <c r="ES70" s="27">
        <f>MAX(ES69,PortfolioFrontier[[#This Row],[P37 Growth]])</f>
        <v>1.6334626709390123</v>
      </c>
      <c r="ET70" s="27">
        <f>PortfolioFrontier[[#This Row],[P37 Growth]]/PortfolioFrontier[[#This Row],[P37 HWM]]-1</f>
        <v>-2.816721834947189E-3</v>
      </c>
      <c r="EU70" s="28">
        <f>SUMPRODUCT(INDEX(PortfolioRef[[SPY]:[PE]],MATCH(EU$1,PortfolioRef[Reference '#]),0),AssetMonthlyReturns[[#This Row],[SPY]:[PE]])</f>
        <v>-4.3034693914116851E-3</v>
      </c>
      <c r="EV70" s="27">
        <f>IF(ISNUMBER(EV69),EV69*(1+PortfolioFrontier[[#This Row],[P38 Return]]),1+PortfolioFrontier[[#This Row],[P38 Return]])</f>
        <v>1.6534337991579948</v>
      </c>
      <c r="EW70" s="27">
        <f>MAX(EW69,PortfolioFrontier[[#This Row],[P38 Growth]])</f>
        <v>1.660580054594933</v>
      </c>
      <c r="EX70" s="27">
        <f>PortfolioFrontier[[#This Row],[P38 Growth]]/PortfolioFrontier[[#This Row],[P38 HWM]]-1</f>
        <v>-4.3034693914117961E-3</v>
      </c>
      <c r="EY70" s="28">
        <f>SUMPRODUCT(INDEX(PortfolioRef[[SPY]:[PE]],MATCH(EY$1,PortfolioRef[Reference '#]),0),AssetMonthlyReturns[[#This Row],[SPY]:[PE]])</f>
        <v>-5.0131025755530967E-3</v>
      </c>
      <c r="EZ70" s="27">
        <f>IF(ISNUMBER(EZ69),EZ69*(1+PortfolioFrontier[[#This Row],[P39 Return]]),1+PortfolioFrontier[[#This Row],[P39 Return]])</f>
        <v>1.6688798894098849</v>
      </c>
      <c r="FA70" s="27">
        <f>MAX(FA69,PortfolioFrontier[[#This Row],[P39 Growth]])</f>
        <v>1.6772883077453884</v>
      </c>
      <c r="FB70" s="27">
        <f>PortfolioFrontier[[#This Row],[P39 Growth]]/PortfolioFrontier[[#This Row],[P39 HWM]]-1</f>
        <v>-5.0131025755530967E-3</v>
      </c>
      <c r="FC70" s="28">
        <f>SUMPRODUCT(INDEX(PortfolioRef[[SPY]:[PE]],MATCH(FC$1,PortfolioRef[Reference '#]),0),AssetMonthlyReturns[[#This Row],[SPY]:[PE]])</f>
        <v>-3.2970411298851366E-3</v>
      </c>
      <c r="FD70" s="27">
        <f>IF(ISNUMBER(FD69),FD69*(1+PortfolioFrontier[[#This Row],[P40 Return]]),1+PortfolioFrontier[[#This Row],[P40 Return]])</f>
        <v>1.6411726669892091</v>
      </c>
      <c r="FE70" s="27">
        <f>MAX(FE69,PortfolioFrontier[[#This Row],[P40 Growth]])</f>
        <v>1.6466015801234097</v>
      </c>
      <c r="FF70" s="27">
        <f>PortfolioFrontier[[#This Row],[P40 Growth]]/PortfolioFrontier[[#This Row],[P40 HWM]]-1</f>
        <v>-3.2970411298851587E-3</v>
      </c>
      <c r="FG70" s="28">
        <f>SUMPRODUCT(INDEX(PortfolioRef[[SPY]:[PE]],MATCH(FG$1,PortfolioRef[Reference '#]),0),AssetMonthlyReturns[[#This Row],[SPY]:[PE]])</f>
        <v>-5.7227357596945083E-3</v>
      </c>
      <c r="FH70" s="27">
        <f>IF(ISNUMBER(FH69),FH69*(1+PortfolioFrontier[[#This Row],[P41 Return]]),1+PortfolioFrontier[[#This Row],[P41 Return]])</f>
        <v>1.6835949809071888</v>
      </c>
      <c r="FI70" s="27">
        <f>MAX(FI69,PortfolioFrontier[[#This Row],[P41 Growth]])</f>
        <v>1.6932852046994842</v>
      </c>
      <c r="FJ70" s="27">
        <f>PortfolioFrontier[[#This Row],[P41 Growth]]/PortfolioFrontier[[#This Row],[P41 HWM]]-1</f>
        <v>-5.7227357596945083E-3</v>
      </c>
      <c r="FK70" s="28">
        <f>SUMPRODUCT(INDEX(PortfolioRef[[SPY]:[PE]],MATCH(FK$1,PortfolioRef[Reference '#]),0),AssetMonthlyReturns[[#This Row],[SPY]:[PE]])</f>
        <v>-4.0066743140265478E-3</v>
      </c>
      <c r="FL70" s="27">
        <f>IF(ISNUMBER(FL69),FL69*(1+PortfolioFrontier[[#This Row],[P42 Return]]),1+PortfolioFrontier[[#This Row],[P42 Return]])</f>
        <v>1.6561789415415995</v>
      </c>
      <c r="FM70" s="27">
        <f>MAX(FM69,PortfolioFrontier[[#This Row],[P42 Growth]])</f>
        <v>1.6628414054892733</v>
      </c>
      <c r="FN70" s="27">
        <f>PortfolioFrontier[[#This Row],[P42 Growth]]/PortfolioFrontier[[#This Row],[P42 HWM]]-1</f>
        <v>-4.0066743140265704E-3</v>
      </c>
      <c r="FO70" s="28">
        <f>SUMPRODUCT(INDEX(PortfolioRef[[SPY]:[PE]],MATCH(FO$1,PortfolioRef[Reference '#]),0),AssetMonthlyReturns[[#This Row],[SPY]:[PE]])</f>
        <v>-2.2906128683585882E-3</v>
      </c>
      <c r="FP70" s="27">
        <f>IF(ISNUMBER(FP69),FP69*(1+PortfolioFrontier[[#This Row],[P43 Return]]),1+PortfolioFrontier[[#This Row],[P43 Return]])</f>
        <v>1.6285101472549741</v>
      </c>
      <c r="FQ70" s="27">
        <f>MAX(FQ69,PortfolioFrontier[[#This Row],[P43 Growth]])</f>
        <v>1.6322489978137318</v>
      </c>
      <c r="FR70" s="27">
        <f>PortfolioFrontier[[#This Row],[P43 Growth]]/PortfolioFrontier[[#This Row],[P43 HWM]]-1</f>
        <v>-2.2906128683586324E-3</v>
      </c>
      <c r="FS70" s="28">
        <f>SUMPRODUCT(INDEX(PortfolioRef[[SPY]:[PE]],MATCH(FS$1,PortfolioRef[Reference '#]),0),AssetMonthlyReturns[[#This Row],[SPY]:[PE]])</f>
        <v>-5.4934218704910335E-3</v>
      </c>
      <c r="FT70" s="27">
        <f>IF(ISNUMBER(FT69),FT69*(1+PortfolioFrontier[[#This Row],[P44 Return]]),1+PortfolioFrontier[[#This Row],[P44 Return]])</f>
        <v>1.681108103650311</v>
      </c>
      <c r="FU70" s="27">
        <f>MAX(FU69,PortfolioFrontier[[#This Row],[P44 Growth]])</f>
        <v>1.6903941518538552</v>
      </c>
      <c r="FV70" s="27">
        <f>PortfolioFrontier[[#This Row],[P44 Growth]]/PortfolioFrontier[[#This Row],[P44 HWM]]-1</f>
        <v>-5.4934218704910664E-3</v>
      </c>
      <c r="FW70" s="28">
        <f>SUMPRODUCT(INDEX(PortfolioRef[[SPY]:[PE]],MATCH(FW$1,PortfolioRef[Reference '#]),0),AssetMonthlyReturns[[#This Row],[SPY]:[PE]])</f>
        <v>-3.7773604248230734E-3</v>
      </c>
      <c r="FX70" s="27">
        <f>IF(ISNUMBER(FX69),FX69*(1+PortfolioFrontier[[#This Row],[P45 Return]]),1+PortfolioFrontier[[#This Row],[P45 Return]])</f>
        <v>1.6532542967190023</v>
      </c>
      <c r="FY70" s="27">
        <f>MAX(FY69,PortfolioFrontier[[#This Row],[P45 Growth]])</f>
        <v>1.6595229128942561</v>
      </c>
      <c r="FZ70" s="27">
        <f>PortfolioFrontier[[#This Row],[P45 Growth]]/PortfolioFrontier[[#This Row],[P45 HWM]]-1</f>
        <v>-3.7773604248231285E-3</v>
      </c>
      <c r="GA70" s="28">
        <f>SUMPRODUCT(INDEX(PortfolioRef[[SPY]:[PE]],MATCH(GA$1,PortfolioRef[Reference '#]),0),AssetMonthlyReturns[[#This Row],[SPY]:[PE]])</f>
        <v>-6.2030550546324451E-3</v>
      </c>
      <c r="GB70" s="27">
        <f>IF(ISNUMBER(GB69),GB69*(1+PortfolioFrontier[[#This Row],[P46 Return]]),1+PortfolioFrontier[[#This Row],[P46 Return]])</f>
        <v>1.6962345490001516</v>
      </c>
      <c r="GC70" s="27">
        <f>MAX(GC69,PortfolioFrontier[[#This Row],[P46 Growth]])</f>
        <v>1.7068220602080835</v>
      </c>
      <c r="GD70" s="27">
        <f>PortfolioFrontier[[#This Row],[P46 Growth]]/PortfolioFrontier[[#This Row],[P46 HWM]]-1</f>
        <v>-6.2030550546324781E-3</v>
      </c>
      <c r="GE70" s="28">
        <f>SUMPRODUCT(INDEX(PortfolioRef[[SPY]:[PE]],MATCH(GE$1,PortfolioRef[Reference '#]),0),AssetMonthlyReturns[[#This Row],[SPY]:[PE]])</f>
        <v>-4.4869936089644846E-3</v>
      </c>
      <c r="GF70" s="27">
        <f>IF(ISNUMBER(GF69),GF69*(1+PortfolioFrontier[[#This Row],[P47 Return]]),1+PortfolioFrontier[[#This Row],[P47 Return]])</f>
        <v>1.66866981968949</v>
      </c>
      <c r="GG70" s="27">
        <f>MAX(GG69,PortfolioFrontier[[#This Row],[P47 Growth]])</f>
        <v>1.6761908774439858</v>
      </c>
      <c r="GH70" s="27">
        <f>PortfolioFrontier[[#This Row],[P47 Growth]]/PortfolioFrontier[[#This Row],[P47 HWM]]-1</f>
        <v>-4.4869936089645401E-3</v>
      </c>
      <c r="GI70" s="28">
        <f>SUMPRODUCT(INDEX(PortfolioRef[[SPY]:[PE]],MATCH(GI$1,PortfolioRef[Reference '#]),0),AssetMonthlyReturns[[#This Row],[SPY]:[PE]])</f>
        <v>-2.7709321632965241E-3</v>
      </c>
      <c r="GJ70" s="27">
        <f>IF(ISNUMBER(GJ69),GJ69*(1+PortfolioFrontier[[#This Row],[P48 Return]]),1+PortfolioFrontier[[#This Row],[P48 Return]])</f>
        <v>1.6408487945477763</v>
      </c>
      <c r="GK70" s="27">
        <f>MAX(GK69,PortfolioFrontier[[#This Row],[P48 Growth]])</f>
        <v>1.645408108798194</v>
      </c>
      <c r="GL70" s="27">
        <f>PortfolioFrontier[[#This Row],[P48 Growth]]/PortfolioFrontier[[#This Row],[P48 HWM]]-1</f>
        <v>-2.7709321632963801E-3</v>
      </c>
      <c r="GM70" s="28">
        <f>SUMPRODUCT(INDEX(PortfolioRef[[SPY]:[PE]],MATCH(GM$1,PortfolioRef[Reference '#]),0),AssetMonthlyReturns[[#This Row],[SPY]:[PE]])</f>
        <v>-6.9126882387738568E-3</v>
      </c>
      <c r="GN70" s="27">
        <f>IF(ISNUMBER(GN69),GN69*(1+PortfolioFrontier[[#This Row],[P49 Return]]),1+PortfolioFrontier[[#This Row],[P49 Return]])</f>
        <v>1.7106042691026977</v>
      </c>
      <c r="GO70" s="27">
        <f>MAX(GO69,PortfolioFrontier[[#This Row],[P49 Growth]])</f>
        <v>1.7225114537703292</v>
      </c>
      <c r="GP70" s="27">
        <f>PortfolioFrontier[[#This Row],[P49 Growth]]/PortfolioFrontier[[#This Row],[P49 HWM]]-1</f>
        <v>-6.9126882387738897E-3</v>
      </c>
      <c r="GQ70" s="28">
        <f>SUMPRODUCT(INDEX(PortfolioRef[[SPY]:[PE]],MATCH(GQ$1,PortfolioRef[Reference '#]),0),AssetMonthlyReturns[[#This Row],[SPY]:[PE]])</f>
        <v>-5.1966267931058963E-3</v>
      </c>
      <c r="GR70" s="27">
        <f>IF(ISNUMBER(GR69),GR69*(1+PortfolioFrontier[[#This Row],[P50 Return]]),1+PortfolioFrontier[[#This Row],[P50 Return]])</f>
        <v>1.6833540792075226</v>
      </c>
      <c r="GS70" s="27">
        <f>MAX(GS69,PortfolioFrontier[[#This Row],[P50 Growth]])</f>
        <v>1.692147538443687</v>
      </c>
      <c r="GT70" s="27">
        <f>PortfolioFrontier[[#This Row],[P50 Growth]]/PortfolioFrontier[[#This Row],[P50 HWM]]-1</f>
        <v>-5.1966267931058407E-3</v>
      </c>
      <c r="GU70" s="28">
        <f>SUMPRODUCT(INDEX(PortfolioRef[[SPY]:[PE]],MATCH(GU$1,PortfolioRef[Reference '#]),0),AssetMonthlyReturns[[#This Row],[SPY]:[PE]])</f>
        <v>-3.4805653474379358E-3</v>
      </c>
      <c r="GV70" s="27">
        <f>IF(ISNUMBER(GV69),GV69*(1+PortfolioFrontier[[#This Row],[P51 Return]]),1+PortfolioFrontier[[#This Row],[P51 Return]])</f>
        <v>1.6558234833453962</v>
      </c>
      <c r="GW70" s="27">
        <f>MAX(GW69,PortfolioFrontier[[#This Row],[P51 Growth]])</f>
        <v>1.6616068144448195</v>
      </c>
      <c r="GX70" s="27">
        <f>PortfolioFrontier[[#This Row],[P51 Growth]]/PortfolioFrontier[[#This Row],[P51 HWM]]-1</f>
        <v>-3.4805653474379028E-3</v>
      </c>
      <c r="GY70" s="28">
        <f>SUMPRODUCT(INDEX(PortfolioRef[[SPY]:[PE]],MATCH(GY$1,PortfolioRef[Reference '#]),0),AssetMonthlyReturns[[#This Row],[SPY]:[PE]])</f>
        <v>-6.6833743495703819E-3</v>
      </c>
      <c r="GZ70" s="27">
        <f>IF(ISNUMBER(GZ69),GZ69*(1+PortfolioFrontier[[#This Row],[P52 Return]]),1+PortfolioFrontier[[#This Row],[P52 Return]])</f>
        <v>1.708636751841796</v>
      </c>
      <c r="HA70" s="27">
        <f>MAX(HA69,PortfolioFrontier[[#This Row],[P52 Growth]])</f>
        <v>1.7201330449120091</v>
      </c>
      <c r="HB70" s="27">
        <f>PortfolioFrontier[[#This Row],[P52 Growth]]/PortfolioFrontier[[#This Row],[P52 HWM]]-1</f>
        <v>-6.6833743495703368E-3</v>
      </c>
      <c r="HC70" s="28">
        <f>SUMPRODUCT(INDEX(PortfolioRef[[SPY]:[PE]],MATCH(HC$1,PortfolioRef[Reference '#]),0),AssetMonthlyReturns[[#This Row],[SPY]:[PE]])</f>
        <v>-4.9673129039024214E-3</v>
      </c>
      <c r="HD70" s="27">
        <f>IF(ISNUMBER(HD69),HD69*(1+PortfolioFrontier[[#This Row],[P53 Return]]),1+PortfolioFrontier[[#This Row],[P53 Return]])</f>
        <v>1.6809276277935086</v>
      </c>
      <c r="HE70" s="27">
        <f>MAX(HE69,PortfolioFrontier[[#This Row],[P53 Growth]])</f>
        <v>1.6893190038802908</v>
      </c>
      <c r="HF70" s="27">
        <f>PortfolioFrontier[[#This Row],[P53 Growth]]/PortfolioFrontier[[#This Row],[P53 HWM]]-1</f>
        <v>-4.9673129039023989E-3</v>
      </c>
      <c r="HG70" s="28">
        <f>SUMPRODUCT(INDEX(PortfolioRef[[SPY]:[PE]],MATCH(HG$1,PortfolioRef[Reference '#]),0),AssetMonthlyReturns[[#This Row],[SPY]:[PE]])</f>
        <v>-3.2512514582344609E-3</v>
      </c>
      <c r="HH70" s="27">
        <f>IF(ISNUMBER(HH69),HH69*(1+PortfolioFrontier[[#This Row],[P54 Return]]),1+PortfolioFrontier[[#This Row],[P54 Return]])</f>
        <v>1.652958688335793</v>
      </c>
      <c r="HI70" s="27">
        <f>MAX(HI69,PortfolioFrontier[[#This Row],[P54 Growth]])</f>
        <v>1.6583504025001854</v>
      </c>
      <c r="HJ70" s="27">
        <f>PortfolioFrontier[[#This Row],[P54 Growth]]/PortfolioFrontier[[#This Row],[P54 HWM]]-1</f>
        <v>-3.2512514582344609E-3</v>
      </c>
      <c r="HK70" s="28">
        <f>SUMPRODUCT(INDEX(PortfolioRef[[SPY]:[PE]],MATCH(HK$1,PortfolioRef[Reference '#]),0),AssetMonthlyReturns[[#This Row],[SPY]:[PE]])</f>
        <v>-7.3930075337117936E-3</v>
      </c>
      <c r="HL70" s="27">
        <f>IF(ISNUMBER(HL69),HL69*(1+PortfolioFrontier[[#This Row],[P55 Return]]),1+PortfolioFrontier[[#This Row],[P55 Return]])</f>
        <v>1.7234195994485755</v>
      </c>
      <c r="HM70" s="27">
        <f>MAX(HM69,PortfolioFrontier[[#This Row],[P55 Growth]])</f>
        <v>1.7362557512983747</v>
      </c>
      <c r="HN70" s="27">
        <f>PortfolioFrontier[[#This Row],[P55 Growth]]/PortfolioFrontier[[#This Row],[P55 HWM]]-1</f>
        <v>-7.3930075337117485E-3</v>
      </c>
      <c r="HO70" s="28">
        <f>SUMPRODUCT(INDEX(PortfolioRef[[SPY]:[PE]],MATCH(HO$1,PortfolioRef[Reference '#]),0),AssetMonthlyReturns[[#This Row],[SPY]:[PE]])</f>
        <v>-5.6769460880438331E-3</v>
      </c>
      <c r="HP70" s="27">
        <f>IF(ISNUMBER(HP69),HP69*(1+PortfolioFrontier[[#This Row],[P56 Return]]),1+PortfolioFrontier[[#This Row],[P56 Return]])</f>
        <v>1.6960230946001156</v>
      </c>
      <c r="HQ70" s="27">
        <f>MAX(HQ69,PortfolioFrontier[[#This Row],[P56 Growth]])</f>
        <v>1.7057062972918784</v>
      </c>
      <c r="HR70" s="27">
        <f>PortfolioFrontier[[#This Row],[P56 Growth]]/PortfolioFrontier[[#This Row],[P56 HWM]]-1</f>
        <v>-5.6769460880438105E-3</v>
      </c>
      <c r="HS70" s="28">
        <f>SUMPRODUCT(INDEX(PortfolioRef[[SPY]:[PE]],MATCH(HS$1,PortfolioRef[Reference '#]),0),AssetMonthlyReturns[[#This Row],[SPY]:[PE]])</f>
        <v>-3.9608846423758726E-3</v>
      </c>
      <c r="HT70" s="27">
        <f>IF(ISNUMBER(HT69),HT69*(1+PortfolioFrontier[[#This Row],[P57 Return]]),1+PortfolioFrontier[[#This Row],[P57 Return]])</f>
        <v>1.668342459833305</v>
      </c>
      <c r="HU70" s="27">
        <f>MAX(HU69,PortfolioFrontier[[#This Row],[P57 Growth]])</f>
        <v>1.6749768499144664</v>
      </c>
      <c r="HV70" s="27">
        <f>PortfolioFrontier[[#This Row],[P57 Growth]]/PortfolioFrontier[[#This Row],[P57 HWM]]-1</f>
        <v>-3.9608846423758726E-3</v>
      </c>
      <c r="HW70" s="28">
        <f>SUMPRODUCT(INDEX(PortfolioRef[[SPY]:[PE]],MATCH(HW$1,PortfolioRef[Reference '#]),0),AssetMonthlyReturns[[#This Row],[SPY]:[PE]])</f>
        <v>-8.1026407178532052E-3</v>
      </c>
      <c r="HX70" s="27">
        <f>IF(ISNUMBER(HX69),HX69*(1+PortfolioFrontier[[#This Row],[P58 Return]]),1+PortfolioFrontier[[#This Row],[P58 Return]])</f>
        <v>1.7374197834428153</v>
      </c>
      <c r="HY70" s="27">
        <f>MAX(HY69,PortfolioFrontier[[#This Row],[P58 Growth]])</f>
        <v>1.7516124699638438</v>
      </c>
      <c r="HZ70" s="27">
        <f>PortfolioFrontier[[#This Row],[P58 Growth]]/PortfolioFrontier[[#This Row],[P58 HWM]]-1</f>
        <v>-8.1026407178531601E-3</v>
      </c>
      <c r="IA70" s="28">
        <f>SUMPRODUCT(INDEX(PortfolioRef[[SPY]:[PE]],MATCH(IA$1,PortfolioRef[Reference '#]),0),AssetMonthlyReturns[[#This Row],[SPY]:[PE]])</f>
        <v>-6.3865792721852447E-3</v>
      </c>
      <c r="IB70" s="27">
        <f>IF(ISNUMBER(IB69),IB69*(1+PortfolioFrontier[[#This Row],[P59 Return]]),1+PortfolioFrontier[[#This Row],[P59 Return]])</f>
        <v>1.7103615927366307</v>
      </c>
      <c r="IC70" s="27">
        <f>MAX(IC69,PortfolioFrontier[[#This Row],[P59 Growth]])</f>
        <v>1.7213551639467621</v>
      </c>
      <c r="ID70" s="27">
        <f>PortfolioFrontier[[#This Row],[P59 Growth]]/PortfolioFrontier[[#This Row],[P59 HWM]]-1</f>
        <v>-6.3865792721852221E-3</v>
      </c>
      <c r="IE70" s="28">
        <f>SUMPRODUCT(INDEX(PortfolioRef[[SPY]:[PE]],MATCH(IE$1,PortfolioRef[Reference '#]),0),AssetMonthlyReturns[[#This Row],[SPY]:[PE]])</f>
        <v>-4.6705178265172851E-3</v>
      </c>
      <c r="IF70" s="27">
        <f>IF(ISNUMBER(IF69),IF69*(1+PortfolioFrontier[[#This Row],[P60 Return]]),1+PortfolioFrontier[[#This Row],[P60 Return]])</f>
        <v>1.6829947475075169</v>
      </c>
      <c r="IG70" s="27">
        <f>MAX(IG69,PortfolioFrontier[[#This Row],[P60 Growth]])</f>
        <v>1.6908920891526213</v>
      </c>
      <c r="IH70" s="27">
        <f>PortfolioFrontier[[#This Row],[P60 Growth]]/PortfolioFrontier[[#This Row],[P60 HWM]]-1</f>
        <v>-4.6705178265173952E-3</v>
      </c>
      <c r="II70" s="28">
        <f>SUMPRODUCT(INDEX(PortfolioRef[[SPY]:[PE]],MATCH(II$1,PortfolioRef[Reference '#]),0),AssetMonthlyReturns[[#This Row],[SPY]:[PE]])</f>
        <v>-2.8056540347498825E-3</v>
      </c>
      <c r="IJ70" s="27">
        <f>IF(ISNUMBER(IJ69),IJ69*(1+PortfolioFrontier[[#This Row],[P61 Return]]),1+PortfolioFrontier[[#This Row],[P61 Return]])</f>
        <v>1.570264418462973</v>
      </c>
      <c r="IK70" s="27">
        <f>MAX(IK69,PortfolioFrontier[[#This Row],[P61 Growth]])</f>
        <v>1.5746824325834003</v>
      </c>
      <c r="IL70" s="27">
        <f>PortfolioFrontier[[#This Row],[P61 Growth]]/PortfolioFrontier[[#This Row],[P61 HWM]]-1</f>
        <v>-2.8056540347498604E-3</v>
      </c>
      <c r="IM70" s="28">
        <f>SUMPRODUCT(INDEX(PortfolioRef[[SPY]:[PE]],MATCH(IM$1,PortfolioRef[Reference '#]),0),AssetMonthlyReturns[[#This Row],[SPY]:[PE]])</f>
        <v>-3.2859733296878193E-3</v>
      </c>
      <c r="IN70" s="27">
        <f>IF(ISNUMBER(IN69),IN69*(1+PortfolioFrontier[[#This Row],[P62 Return]]),1+PortfolioFrontier[[#This Row],[P62 Return]])</f>
        <v>1.5821230823839294</v>
      </c>
      <c r="IO70" s="27">
        <f>MAX(IO69,PortfolioFrontier[[#This Row],[P62 Growth]])</f>
        <v>1.5873390361217981</v>
      </c>
      <c r="IP70" s="27">
        <f>PortfolioFrontier[[#This Row],[P62 Growth]]/PortfolioFrontier[[#This Row],[P62 HWM]]-1</f>
        <v>-3.2859733296878302E-3</v>
      </c>
      <c r="IQ70" s="28">
        <f>SUMPRODUCT(INDEX(PortfolioRef[[SPY]:[PE]],MATCH(IQ$1,PortfolioRef[Reference '#]),0),AssetMonthlyReturns[[#This Row],[SPY]:[PE]])</f>
        <v>-3.9956065138292314E-3</v>
      </c>
      <c r="IR70" s="27">
        <f>IF(ISNUMBER(IR69),IR69*(1+PortfolioFrontier[[#This Row],[P63 Return]]),1+PortfolioFrontier[[#This Row],[P63 Return]])</f>
        <v>1.5970195220334857</v>
      </c>
      <c r="IS70" s="27">
        <f>MAX(IS69,PortfolioFrontier[[#This Row],[P63 Growth]])</f>
        <v>1.6034261821312537</v>
      </c>
      <c r="IT70" s="27">
        <f>PortfolioFrontier[[#This Row],[P63 Growth]]/PortfolioFrontier[[#This Row],[P63 HWM]]-1</f>
        <v>-3.9956065138292418E-3</v>
      </c>
      <c r="IU70" s="28">
        <f>SUMPRODUCT(INDEX(PortfolioRef[[SPY]:[PE]],MATCH(IU$1,PortfolioRef[Reference '#]),0),AssetMonthlyReturns[[#This Row],[SPY]:[PE]])</f>
        <v>-2.2795450681612713E-3</v>
      </c>
      <c r="IV70" s="27">
        <f>IF(ISNUMBER(IV69),IV69*(1+PortfolioFrontier[[#This Row],[P64 Return]]),1+PortfolioFrontier[[#This Row],[P64 Return]])</f>
        <v>1.5700869043157504</v>
      </c>
      <c r="IW70" s="27">
        <f>MAX(IW69,PortfolioFrontier[[#This Row],[P64 Growth]])</f>
        <v>1.5736741654986055</v>
      </c>
      <c r="IX70" s="27">
        <f>PortfolioFrontier[[#This Row],[P64 Growth]]/PortfolioFrontier[[#This Row],[P64 HWM]]-1</f>
        <v>-2.2795450681613039E-3</v>
      </c>
      <c r="IY70" s="28">
        <f>SUMPRODUCT(INDEX(PortfolioRef[[SPY]:[PE]],MATCH(IY$1,PortfolioRef[Reference '#]),0),AssetMonthlyReturns[[#This Row],[SPY]:[PE]])</f>
        <v>-3.7662926246257561E-3</v>
      </c>
      <c r="IZ70" s="27">
        <f>IF(ISNUMBER(IZ69),IZ69*(1+PortfolioFrontier[[#This Row],[P65 Return]]),1+PortfolioFrontier[[#This Row],[P65 Return]])</f>
        <v>1.5937596294100229</v>
      </c>
      <c r="JA70" s="27">
        <f>MAX(JA69,PortfolioFrontier[[#This Row],[P65 Growth]])</f>
        <v>1.599784887432548</v>
      </c>
      <c r="JB70" s="27">
        <f>PortfolioFrontier[[#This Row],[P65 Growth]]/PortfolioFrontier[[#This Row],[P65 HWM]]-1</f>
        <v>-3.7662926246257999E-3</v>
      </c>
      <c r="JC70" s="28">
        <f>SUMPRODUCT(INDEX(PortfolioRef[[SPY]:[PE]],MATCH(JC$1,PortfolioRef[Reference '#]),0),AssetMonthlyReturns[[#This Row],[SPY]:[PE]])</f>
        <v>-4.4759258087671665E-3</v>
      </c>
      <c r="JD70" s="27">
        <f>IF(ISNUMBER(JD69),JD69*(1+PortfolioFrontier[[#This Row],[P66 Return]]),1+PortfolioFrontier[[#This Row],[P66 Return]])</f>
        <v>1.609054477040804</v>
      </c>
      <c r="JE70" s="27">
        <f>MAX(JE69,PortfolioFrontier[[#This Row],[P66 Growth]])</f>
        <v>1.6162888660909636</v>
      </c>
      <c r="JF70" s="27">
        <f>PortfolioFrontier[[#This Row],[P66 Growth]]/PortfolioFrontier[[#This Row],[P66 HWM]]-1</f>
        <v>-4.4759258087672116E-3</v>
      </c>
      <c r="JG70" s="28">
        <f>SUMPRODUCT(INDEX(PortfolioRef[[SPY]:[PE]],MATCH(JG$1,PortfolioRef[Reference '#]),0),AssetMonthlyReturns[[#This Row],[SPY]:[PE]])</f>
        <v>-2.7598643630992073E-3</v>
      </c>
      <c r="JH70" s="27">
        <f>IF(ISNUMBER(JH69),JH69*(1+PortfolioFrontier[[#This Row],[P67 Return]]),1+PortfolioFrontier[[#This Row],[P67 Return]])</f>
        <v>1.5819734435356578</v>
      </c>
      <c r="JI70" s="27">
        <f>MAX(JI69,PortfolioFrontier[[#This Row],[P67 Growth]])</f>
        <v>1.5863515586697774</v>
      </c>
      <c r="JJ70" s="27">
        <f>PortfolioFrontier[[#This Row],[P67 Growth]]/PortfolioFrontier[[#This Row],[P67 HWM]]-1</f>
        <v>-2.7598643630991626E-3</v>
      </c>
      <c r="JK70" s="28">
        <f>SUMPRODUCT(INDEX(PortfolioRef[[SPY]:[PE]],MATCH(JK$1,PortfolioRef[Reference '#]),0),AssetMonthlyReturns[[#This Row],[SPY]:[PE]])</f>
        <v>-5.1855589929085798E-3</v>
      </c>
      <c r="JL70" s="27">
        <f>IF(ISNUMBER(JL69),JL69*(1+PortfolioFrontier[[#This Row],[P68 Return]]),1+PortfolioFrontier[[#This Row],[P68 Return]])</f>
        <v>1.6236536256367136</v>
      </c>
      <c r="JM70" s="27">
        <f>MAX(JM69,PortfolioFrontier[[#This Row],[P68 Growth]])</f>
        <v>1.6321170649603987</v>
      </c>
      <c r="JN70" s="27">
        <f>PortfolioFrontier[[#This Row],[P68 Growth]]/PortfolioFrontier[[#This Row],[P68 HWM]]-1</f>
        <v>-5.1855589929086232E-3</v>
      </c>
      <c r="JO70" s="28">
        <f>SUMPRODUCT(INDEX(PortfolioRef[[SPY]:[PE]],MATCH(JO$1,PortfolioRef[Reference '#]),0),AssetMonthlyReturns[[#This Row],[SPY]:[PE]])</f>
        <v>-3.4694975472406189E-3</v>
      </c>
      <c r="JP70" s="27">
        <f>IF(ISNUMBER(JP69),JP69*(1+PortfolioFrontier[[#This Row],[P69 Return]]),1+PortfolioFrontier[[#This Row],[P69 Return]])</f>
        <v>1.596841128328611</v>
      </c>
      <c r="JQ70" s="27">
        <f>MAX(JQ69,PortfolioFrontier[[#This Row],[P69 Growth]])</f>
        <v>1.6024006534655062</v>
      </c>
      <c r="JR70" s="27">
        <f>PortfolioFrontier[[#This Row],[P69 Growth]]/PortfolioFrontier[[#This Row],[P69 HWM]]-1</f>
        <v>-3.4694975472404632E-3</v>
      </c>
      <c r="JS70" s="28">
        <f>SUMPRODUCT(INDEX(PortfolioRef[[SPY]:[PE]],MATCH(JS$1,PortfolioRef[Reference '#]),0),AssetMonthlyReturns[[#This Row],[SPY]:[PE]])</f>
        <v>-1.7534361015726588E-3</v>
      </c>
      <c r="JT70" s="27">
        <f>IF(ISNUMBER(JT69),JT69*(1+PortfolioFrontier[[#This Row],[P70 Return]]),1+PortfolioFrontier[[#This Row],[P70 Return]])</f>
        <v>1.5697991272134209</v>
      </c>
      <c r="JU70" s="27">
        <f>MAX(JU69,PortfolioFrontier[[#This Row],[P70 Growth]])</f>
        <v>1.5725565045602796</v>
      </c>
      <c r="JV70" s="27">
        <f>PortfolioFrontier[[#This Row],[P70 Growth]]/PortfolioFrontier[[#This Row],[P70 HWM]]-1</f>
        <v>-1.7534361015725253E-3</v>
      </c>
      <c r="JW70" s="28">
        <f>SUMPRODUCT(INDEX(PortfolioRef[[SPY]:[PE]],MATCH(JW$1,PortfolioRef[Reference '#]),0),AssetMonthlyReturns[[#This Row],[SPY]:[PE]])</f>
        <v>-4.9562451037051033E-3</v>
      </c>
      <c r="JX70" s="27">
        <f>IF(ISNUMBER(JX69),JX69*(1+PortfolioFrontier[[#This Row],[P71 Return]]),1+PortfolioFrontier[[#This Row],[P71 Return]])</f>
        <v>1.6208636828317837</v>
      </c>
      <c r="JY70" s="27">
        <f>MAX(JY69,PortfolioFrontier[[#This Row],[P71 Growth]])</f>
        <v>1.6289370943297994</v>
      </c>
      <c r="JZ70" s="27">
        <f>PortfolioFrontier[[#This Row],[P71 Growth]]/PortfolioFrontier[[#This Row],[P71 HWM]]-1</f>
        <v>-4.9562451037050703E-3</v>
      </c>
      <c r="KA70" s="28">
        <f>SUMPRODUCT(INDEX(PortfolioRef[[SPY]:[PE]],MATCH(KA$1,PortfolioRef[Reference '#]),0),AssetMonthlyReturns[[#This Row],[SPY]:[PE]])</f>
        <v>-3.2401836580371441E-3</v>
      </c>
      <c r="KB70" s="27">
        <f>IF(ISNUMBER(KB69),KB69*(1+PortfolioFrontier[[#This Row],[P72 Return]]),1+PortfolioFrontier[[#This Row],[P72 Return]])</f>
        <v>1.5936384466551083</v>
      </c>
      <c r="KC70" s="27">
        <f>MAX(KC69,PortfolioFrontier[[#This Row],[P72 Growth]])</f>
        <v>1.5988189135710218</v>
      </c>
      <c r="KD70" s="27">
        <f>PortfolioFrontier[[#This Row],[P72 Growth]]/PortfolioFrontier[[#This Row],[P72 HWM]]-1</f>
        <v>-3.2401836580371324E-3</v>
      </c>
      <c r="KE70" s="28">
        <f>SUMPRODUCT(INDEX(PortfolioRef[[SPY]:[PE]],MATCH(KE$1,PortfolioRef[Reference '#]),0),AssetMonthlyReturns[[#This Row],[SPY]:[PE]])</f>
        <v>-5.6658782878465149E-3</v>
      </c>
      <c r="KF70" s="27">
        <f>IF(ISNUMBER(KF69),KF69*(1+PortfolioFrontier[[#This Row],[P73 Return]]),1+PortfolioFrontier[[#This Row],[P73 Return]])</f>
        <v>1.6358633001516489</v>
      </c>
      <c r="KG70" s="27">
        <f>MAX(KG69,PortfolioFrontier[[#This Row],[P73 Growth]])</f>
        <v>1.6451847165164564</v>
      </c>
      <c r="KH70" s="27">
        <f>PortfolioFrontier[[#This Row],[P73 Growth]]/PortfolioFrontier[[#This Row],[P73 HWM]]-1</f>
        <v>-5.665878287846482E-3</v>
      </c>
      <c r="KI70" s="28">
        <f>SUMPRODUCT(INDEX(PortfolioRef[[SPY]:[PE]],MATCH(KI$1,PortfolioRef[Reference '#]),0),AssetMonthlyReturns[[#This Row],[SPY]:[PE]])</f>
        <v>-3.9498168421785544E-3</v>
      </c>
      <c r="KJ70" s="27">
        <f>IF(ISNUMBER(KJ69),KJ69*(1+PortfolioFrontier[[#This Row],[P74 Return]]),1+PortfolioFrontier[[#This Row],[P74 Return]])</f>
        <v>1.60890442574004</v>
      </c>
      <c r="KK70" s="27">
        <f>MAX(KK69,PortfolioFrontier[[#This Row],[P74 Growth]])</f>
        <v>1.6152845036775756</v>
      </c>
      <c r="KL70" s="27">
        <f>PortfolioFrontier[[#This Row],[P74 Growth]]/PortfolioFrontier[[#This Row],[P74 HWM]]-1</f>
        <v>-3.949816842178433E-3</v>
      </c>
      <c r="KM70" s="28">
        <f>SUMPRODUCT(INDEX(PortfolioRef[[SPY]:[PE]],MATCH(KM$1,PortfolioRef[Reference '#]),0),AssetMonthlyReturns[[#This Row],[SPY]:[PE]])</f>
        <v>-2.2337553965105948E-3</v>
      </c>
      <c r="KN70" s="27">
        <f>IF(ISNUMBER(KN69),KN69*(1+PortfolioFrontier[[#This Row],[P75 Return]]),1+PortfolioFrontier[[#This Row],[P75 Return]])</f>
        <v>1.5817127072195445</v>
      </c>
      <c r="KO70" s="27">
        <f>MAX(KO69,PortfolioFrontier[[#This Row],[P75 Growth]])</f>
        <v>1.5852537763974111</v>
      </c>
      <c r="KP70" s="27">
        <f>PortfolioFrontier[[#This Row],[P75 Growth]]/PortfolioFrontier[[#This Row],[P75 HWM]]-1</f>
        <v>-2.2337553965106061E-3</v>
      </c>
      <c r="KQ70" s="28">
        <f>SUMPRODUCT(INDEX(PortfolioRef[[SPY]:[PE]],MATCH(KQ$1,PortfolioRef[Reference '#]),0),AssetMonthlyReturns[[#This Row],[SPY]:[PE]])</f>
        <v>-6.3755114719879265E-3</v>
      </c>
      <c r="KR70" s="27">
        <f>IF(ISNUMBER(KR69),KR69*(1+PortfolioFrontier[[#This Row],[P76 Return]]),1+PortfolioFrontier[[#This Row],[P76 Return]])</f>
        <v>1.6501422499828264</v>
      </c>
      <c r="KS70" s="27">
        <f>MAX(KS69,PortfolioFrontier[[#This Row],[P76 Growth]])</f>
        <v>1.6607302547740155</v>
      </c>
      <c r="KT70" s="27">
        <f>PortfolioFrontier[[#This Row],[P76 Growth]]/PortfolioFrontier[[#This Row],[P76 HWM]]-1</f>
        <v>-6.3755114719878936E-3</v>
      </c>
      <c r="KU70" s="28">
        <f>SUMPRODUCT(INDEX(PortfolioRef[[SPY]:[PE]],MATCH(KU$1,PortfolioRef[Reference '#]),0),AssetMonthlyReturns[[#This Row],[SPY]:[PE]])</f>
        <v>-4.6594500263199678E-3</v>
      </c>
      <c r="KV70" s="27">
        <f>IF(ISNUMBER(KV69),KV69*(1+PortfolioFrontier[[#This Row],[P77 Return]]),1+PortfolioFrontier[[#This Row],[P77 Return]])</f>
        <v>1.6234744168275359</v>
      </c>
      <c r="KW70" s="27">
        <f>MAX(KW69,PortfolioFrontier[[#This Row],[P77 Growth]])</f>
        <v>1.6310743261393958</v>
      </c>
      <c r="KX70" s="27">
        <f>PortfolioFrontier[[#This Row],[P77 Growth]]/PortfolioFrontier[[#This Row],[P77 HWM]]-1</f>
        <v>-4.6594500263199556E-3</v>
      </c>
      <c r="KY70" s="28">
        <f>SUMPRODUCT(INDEX(PortfolioRef[[SPY]:[PE]],MATCH(KY$1,PortfolioRef[Reference '#]),0),AssetMonthlyReturns[[#This Row],[SPY]:[PE]])</f>
        <v>-2.9433885806520064E-3</v>
      </c>
      <c r="KZ70" s="27">
        <f>IF(ISNUMBER(KZ69),KZ69*(1+PortfolioFrontier[[#This Row],[P78 Return]]),1+PortfolioFrontier[[#This Row],[P78 Return]])</f>
        <v>1.5965504970980027</v>
      </c>
      <c r="LA70" s="27">
        <f>MAX(LA69,PortfolioFrontier[[#This Row],[P78 Growth]])</f>
        <v>1.6012636382053096</v>
      </c>
      <c r="LB70" s="27">
        <f>PortfolioFrontier[[#This Row],[P78 Growth]]/PortfolioFrontier[[#This Row],[P78 HWM]]-1</f>
        <v>-2.9433885806521287E-3</v>
      </c>
      <c r="LC70" s="28">
        <f>SUMPRODUCT(INDEX(PortfolioRef[[SPY]:[PE]],MATCH(LC$1,PortfolioRef[Reference '#]),0),AssetMonthlyReturns[[#This Row],[SPY]:[PE]])</f>
        <v>-6.1461975827844517E-3</v>
      </c>
      <c r="LD70" s="27">
        <f>IF(ISNUMBER(LD69),LD69*(1+PortfolioFrontier[[#This Row],[P79 Return]]),1+PortfolioFrontier[[#This Row],[P79 Return]])</f>
        <v>1.6478436127229035</v>
      </c>
      <c r="LE70" s="27">
        <f>MAX(LE69,PortfolioFrontier[[#This Row],[P79 Growth]])</f>
        <v>1.6580342186296186</v>
      </c>
      <c r="LF70" s="27">
        <f>PortfolioFrontier[[#This Row],[P79 Growth]]/PortfolioFrontier[[#This Row],[P79 HWM]]-1</f>
        <v>-6.1461975827843407E-3</v>
      </c>
      <c r="LG70" s="28">
        <f>SUMPRODUCT(INDEX(PortfolioRef[[SPY]:[PE]],MATCH(LG$1,PortfolioRef[Reference '#]),0),AssetMonthlyReturns[[#This Row],[SPY]:[PE]])</f>
        <v>-4.4301361371164912E-3</v>
      </c>
      <c r="LH70" s="27">
        <f>IF(ISNUMBER(LH69),LH69*(1+PortfolioFrontier[[#This Row],[P80 Return]]),1+PortfolioFrontier[[#This Row],[P80 Return]])</f>
        <v>1.6207425627146221</v>
      </c>
      <c r="LI70" s="27">
        <f>MAX(LI69,PortfolioFrontier[[#This Row],[P80 Growth]])</f>
        <v>1.6279546233209823</v>
      </c>
      <c r="LJ70" s="27">
        <f>PortfolioFrontier[[#This Row],[P80 Growth]]/PortfolioFrontier[[#This Row],[P80 HWM]]-1</f>
        <v>-4.4301361371165138E-3</v>
      </c>
      <c r="LK70" s="28">
        <f>SUMPRODUCT(INDEX(PortfolioRef[[SPY]:[PE]],MATCH(LK$1,PortfolioRef[Reference '#]),0),AssetMonthlyReturns[[#This Row],[SPY]:[PE]])</f>
        <v>-2.7140746914485316E-3</v>
      </c>
      <c r="LL70" s="27">
        <f>IF(ISNUMBER(LL69),LL69*(1+PortfolioFrontier[[#This Row],[P81 Return]]),1+PortfolioFrontier[[#This Row],[P81 Return]])</f>
        <v>1.5934053467359195</v>
      </c>
      <c r="LM70" s="27">
        <f>MAX(LM69,PortfolioFrontier[[#This Row],[P81 Growth]])</f>
        <v>1.5977417371481846</v>
      </c>
      <c r="LN70" s="27">
        <f>PortfolioFrontier[[#This Row],[P81 Growth]]/PortfolioFrontier[[#This Row],[P81 HWM]]-1</f>
        <v>-2.7140746914486868E-3</v>
      </c>
      <c r="LO70" s="28">
        <f>SUMPRODUCT(INDEX(PortfolioRef[[SPY]:[PE]],MATCH(LO$1,PortfolioRef[Reference '#]),0),AssetMonthlyReturns[[#This Row],[SPY]:[PE]])</f>
        <v>-6.8558307669258634E-3</v>
      </c>
      <c r="LP70" s="27">
        <f>IF(ISNUMBER(LP69),LP69*(1+PortfolioFrontier[[#This Row],[P82 Return]]),1+PortfolioFrontier[[#This Row],[P82 Return]])</f>
        <v>1.6625249058665075</v>
      </c>
      <c r="LQ70" s="27">
        <f>MAX(LQ69,PortfolioFrontier[[#This Row],[P82 Growth]])</f>
        <v>1.6740015773846233</v>
      </c>
      <c r="LR70" s="27">
        <f>PortfolioFrontier[[#This Row],[P82 Growth]]/PortfolioFrontier[[#This Row],[P82 HWM]]-1</f>
        <v>-6.8558307669257523E-3</v>
      </c>
      <c r="LS70" s="28">
        <f>SUMPRODUCT(INDEX(PortfolioRef[[SPY]:[PE]],MATCH(LS$1,PortfolioRef[Reference '#]),0),AssetMonthlyReturns[[#This Row],[SPY]:[PE]])</f>
        <v>-5.1397693212579029E-3</v>
      </c>
      <c r="LT70" s="27">
        <f>IF(ISNUMBER(LT69),LT69*(1+PortfolioFrontier[[#This Row],[P83 Return]]),1+PortfolioFrontier[[#This Row],[P83 Return]])</f>
        <v>1.6357128996540296</v>
      </c>
      <c r="LU70" s="27">
        <f>MAX(LU69,PortfolioFrontier[[#This Row],[P83 Growth]])</f>
        <v>1.6441635208777685</v>
      </c>
      <c r="LV70" s="27">
        <f>PortfolioFrontier[[#This Row],[P83 Growth]]/PortfolioFrontier[[#This Row],[P83 HWM]]-1</f>
        <v>-5.1397693212579254E-3</v>
      </c>
      <c r="LW70" s="28">
        <f>SUMPRODUCT(INDEX(PortfolioRef[[SPY]:[PE]],MATCH(LW$1,PortfolioRef[Reference '#]),0),AssetMonthlyReturns[[#This Row],[SPY]:[PE]])</f>
        <v>-3.4237078755899424E-3</v>
      </c>
      <c r="LX70" s="27">
        <f>IF(ISNUMBER(LX69),LX69*(1+PortfolioFrontier[[#This Row],[P84 Return]]),1+PortfolioFrontier[[#This Row],[P84 Return]])</f>
        <v>1.6086412891615043</v>
      </c>
      <c r="LY70" s="27">
        <f>MAX(LY69,PortfolioFrontier[[#This Row],[P84 Growth]])</f>
        <v>1.6141677279241213</v>
      </c>
      <c r="LZ70" s="27">
        <f>PortfolioFrontier[[#This Row],[P84 Growth]]/PortfolioFrontier[[#This Row],[P84 HWM]]-1</f>
        <v>-3.4237078755899875E-3</v>
      </c>
      <c r="MA70" s="28">
        <f>SUMPRODUCT(INDEX(PortfolioRef[[SPY]:[PE]],MATCH(MA$1,PortfolioRef[Reference '#]),0),AssetMonthlyReturns[[#This Row],[SPY]:[PE]])</f>
        <v>-7.565463951067275E-3</v>
      </c>
      <c r="MB70" s="27">
        <f>IF(ISNUMBER(MB69),MB69*(1+PortfolioFrontier[[#This Row],[P85 Return]]),1+PortfolioFrontier[[#This Row],[P85 Return]])</f>
        <v>1.676460340166501</v>
      </c>
      <c r="MC70" s="27">
        <f>MAX(MC69,PortfolioFrontier[[#This Row],[P85 Growth]])</f>
        <v>1.689240226202529</v>
      </c>
      <c r="MD70" s="27">
        <f>PortfolioFrontier[[#This Row],[P85 Growth]]/PortfolioFrontier[[#This Row],[P85 HWM]]-1</f>
        <v>-7.565463951067275E-3</v>
      </c>
      <c r="ME70" s="28">
        <f>SUMPRODUCT(INDEX(PortfolioRef[[SPY]:[PE]],MATCH(ME$1,PortfolioRef[Reference '#]),0),AssetMonthlyReturns[[#This Row],[SPY]:[PE]])</f>
        <v>-5.8494025053993145E-3</v>
      </c>
      <c r="MF70" s="27">
        <f>IF(ISNUMBER(MF69),MF69*(1+PortfolioFrontier[[#This Row],[P86 Return]]),1+PortfolioFrontier[[#This Row],[P86 Return]])</f>
        <v>1.6499622991938161</v>
      </c>
      <c r="MG70" s="27">
        <f>MAX(MG69,PortfolioFrontier[[#This Row],[P86 Growth]])</f>
        <v>1.659670379268446</v>
      </c>
      <c r="MH70" s="27">
        <f>PortfolioFrontier[[#This Row],[P86 Growth]]/PortfolioFrontier[[#This Row],[P86 HWM]]-1</f>
        <v>-5.849402505399337E-3</v>
      </c>
      <c r="MI70" s="28">
        <f>SUMPRODUCT(INDEX(PortfolioRef[[SPY]:[PE]],MATCH(MI$1,PortfolioRef[Reference '#]),0),AssetMonthlyReturns[[#This Row],[SPY]:[PE]])</f>
        <v>-4.1333410597313549E-3</v>
      </c>
      <c r="MJ70" s="27">
        <f>IF(ISNUMBER(MJ69),MJ69*(1+PortfolioFrontier[[#This Row],[P87 Return]]),1+PortfolioFrontier[[#This Row],[P87 Return]])</f>
        <v>1.6231809967887909</v>
      </c>
      <c r="MK70" s="27">
        <f>MAX(MK69,PortfolioFrontier[[#This Row],[P87 Growth]])</f>
        <v>1.6299180037978842</v>
      </c>
      <c r="ML70" s="27">
        <f>PortfolioFrontier[[#This Row],[P87 Growth]]/PortfolioFrontier[[#This Row],[P87 HWM]]-1</f>
        <v>-4.1333410597313991E-3</v>
      </c>
      <c r="MM70" s="28">
        <f>SUMPRODUCT(INDEX(PortfolioRef[[SPY]:[PE]],MATCH(MM$1,PortfolioRef[Reference '#]),0),AssetMonthlyReturns[[#This Row],[SPY]:[PE]])</f>
        <v>-7.3361500618638002E-3</v>
      </c>
      <c r="MN70" s="27">
        <f>IF(ISNUMBER(MN69),MN69*(1+PortfolioFrontier[[#This Row],[P88 Return]]),1+PortfolioFrontier[[#This Row],[P88 Return]])</f>
        <v>1.6746746100062344</v>
      </c>
      <c r="MO70" s="27">
        <f>MAX(MO69,PortfolioFrontier[[#This Row],[P88 Growth]])</f>
        <v>1.6870510698164356</v>
      </c>
      <c r="MP70" s="27">
        <f>PortfolioFrontier[[#This Row],[P88 Growth]]/PortfolioFrontier[[#This Row],[P88 HWM]]-1</f>
        <v>-7.3361500618637221E-3</v>
      </c>
      <c r="MQ70" s="28">
        <f>SUMPRODUCT(INDEX(PortfolioRef[[SPY]:[PE]],MATCH(MQ$1,PortfolioRef[Reference '#]),0),AssetMonthlyReturns[[#This Row],[SPY]:[PE]])</f>
        <v>-5.6200886161958397E-3</v>
      </c>
      <c r="MR70" s="27">
        <f>IF(ISNUMBER(MR69),MR69*(1+PortfolioFrontier[[#This Row],[P89 Return]]),1+PortfolioFrontier[[#This Row],[P89 Return]])</f>
        <v>1.6477226172169563</v>
      </c>
      <c r="MS70" s="27">
        <f>MAX(MS69,PortfolioFrontier[[#This Row],[P89 Growth]])</f>
        <v>1.6570353024569293</v>
      </c>
      <c r="MT70" s="27">
        <f>PortfolioFrontier[[#This Row],[P89 Growth]]/PortfolioFrontier[[#This Row],[P89 HWM]]-1</f>
        <v>-5.6200886161958952E-3</v>
      </c>
      <c r="MU70" s="28">
        <f>SUMPRODUCT(INDEX(PortfolioRef[[SPY]:[PE]],MATCH(MU$1,PortfolioRef[Reference '#]),0),AssetMonthlyReturns[[#This Row],[SPY]:[PE]])</f>
        <v>-3.9040271705278792E-3</v>
      </c>
      <c r="MV70" s="27">
        <f>IF(ISNUMBER(MV69),MV69*(1+PortfolioFrontier[[#This Row],[P90 Return]]),1+PortfolioFrontier[[#This Row],[P90 Return]])</f>
        <v>1.6205075246378193</v>
      </c>
      <c r="MW70" s="27">
        <f>MAX(MW69,PortfolioFrontier[[#This Row],[P90 Growth]])</f>
        <v>1.6268588256959493</v>
      </c>
      <c r="MX70" s="27">
        <f>PortfolioFrontier[[#This Row],[P90 Growth]]/PortfolioFrontier[[#This Row],[P90 HWM]]-1</f>
        <v>-3.9040271705278462E-3</v>
      </c>
      <c r="MY70" s="28">
        <f>SUMPRODUCT(INDEX(PortfolioRef[[SPY]:[PE]],MATCH(MY$1,PortfolioRef[Reference '#]),0),AssetMonthlyReturns[[#This Row],[SPY]:[PE]])</f>
        <v>-8.0457832460052118E-3</v>
      </c>
      <c r="MZ70" s="27">
        <f>IF(ISNUMBER(MZ69),MZ69*(1+PortfolioFrontier[[#This Row],[P91 Return]]),1+PortfolioFrontier[[#This Row],[P91 Return]])</f>
        <v>1.6890140701108705</v>
      </c>
      <c r="NA70" s="27">
        <f>MAX(NA69,PortfolioFrontier[[#This Row],[P91 Growth]])</f>
        <v>1.7027137357587814</v>
      </c>
      <c r="NB70" s="27">
        <f>PortfolioFrontier[[#This Row],[P91 Growth]]/PortfolioFrontier[[#This Row],[P91 HWM]]-1</f>
        <v>-8.0457832460052447E-3</v>
      </c>
      <c r="NC70" s="28">
        <f>SUMPRODUCT(INDEX(PortfolioRef[[SPY]:[PE]],MATCH(NC$1,PortfolioRef[Reference '#]),0),AssetMonthlyReturns[[#This Row],[SPY]:[PE]])</f>
        <v>-6.3297218003372513E-3</v>
      </c>
      <c r="ND70" s="27">
        <f>IF(ISNUMBER(ND69),ND69*(1+PortfolioFrontier[[#This Row],[P92 Return]]),1+PortfolioFrontier[[#This Row],[P92 Return]])</f>
        <v>1.6623742277826801</v>
      </c>
      <c r="NE70" s="27">
        <f>MAX(NE69,PortfolioFrontier[[#This Row],[P92 Growth]])</f>
        <v>1.672963622092611</v>
      </c>
      <c r="NF70" s="27">
        <f>PortfolioFrontier[[#This Row],[P92 Growth]]/PortfolioFrontier[[#This Row],[P92 HWM]]-1</f>
        <v>-6.3297218003373068E-3</v>
      </c>
      <c r="NG70" s="28">
        <f>SUMPRODUCT(INDEX(PortfolioRef[[SPY]:[PE]],MATCH(NG$1,PortfolioRef[Reference '#]),0),AssetMonthlyReturns[[#This Row],[SPY]:[PE]])</f>
        <v>-4.6136603546692917E-3</v>
      </c>
      <c r="NH70" s="27">
        <f>IF(ISNUMBER(NH69),NH69*(1+PortfolioFrontier[[#This Row],[P93 Return]]),1+PortfolioFrontier[[#This Row],[P93 Return]])</f>
        <v>1.6354474269926327</v>
      </c>
      <c r="NI70" s="27">
        <f>MAX(NI69,PortfolioFrontier[[#This Row],[P93 Growth]])</f>
        <v>1.6430277992114741</v>
      </c>
      <c r="NJ70" s="27">
        <f>PortfolioFrontier[[#This Row],[P93 Growth]]/PortfolioFrontier[[#This Row],[P93 HWM]]-1</f>
        <v>-4.6136603546692578E-3</v>
      </c>
      <c r="NK70" s="28">
        <f>SUMPRODUCT(INDEX(PortfolioRef[[SPY]:[PE]],MATCH(NK$1,PortfolioRef[Reference '#]),0),AssetMonthlyReturns[[#This Row],[SPY]:[PE]])</f>
        <v>-8.7554164301466234E-3</v>
      </c>
      <c r="NL70" s="27">
        <f>IF(ISNUMBER(NL69),NL69*(1+PortfolioFrontier[[#This Row],[P94 Return]]),1+PortfolioFrontier[[#This Row],[P94 Return]])</f>
        <v>1.7025822784938225</v>
      </c>
      <c r="NM70" s="27">
        <f>MAX(NM69,PortfolioFrontier[[#This Row],[P94 Growth]])</f>
        <v>1.7176207635477494</v>
      </c>
      <c r="NN70" s="27">
        <f>PortfolioFrontier[[#This Row],[P94 Growth]]/PortfolioFrontier[[#This Row],[P94 HWM]]-1</f>
        <v>-8.7554164301465454E-3</v>
      </c>
      <c r="NO70" s="28">
        <f>SUMPRODUCT(INDEX(PortfolioRef[[SPY]:[PE]],MATCH(NO$1,PortfolioRef[Reference '#]),0),AssetMonthlyReturns[[#This Row],[SPY]:[PE]])</f>
        <v>-7.0393549844786629E-3</v>
      </c>
      <c r="NP70" s="27">
        <f>IF(ISNUMBER(NP69),NP69*(1+PortfolioFrontier[[#This Row],[P95 Return]]),1+PortfolioFrontier[[#This Row],[P95 Return]])</f>
        <v>1.6762797299657792</v>
      </c>
      <c r="NQ70" s="27">
        <f>MAX(NQ69,PortfolioFrontier[[#This Row],[P95 Growth]])</f>
        <v>1.6881633107821477</v>
      </c>
      <c r="NR70" s="27">
        <f>PortfolioFrontier[[#This Row],[P95 Growth]]/PortfolioFrontier[[#This Row],[P95 HWM]]-1</f>
        <v>-7.0393549844787184E-3</v>
      </c>
      <c r="NS70" s="28">
        <f>SUMPRODUCT(INDEX(PortfolioRef[[SPY]:[PE]],MATCH(NS$1,PortfolioRef[Reference '#]),0),AssetMonthlyReturns[[#This Row],[SPY]:[PE]])</f>
        <v>-5.3232935388107033E-3</v>
      </c>
      <c r="NT70" s="27">
        <f>IF(ISNUMBER(NT69),NT69*(1+PortfolioFrontier[[#This Row],[P96 Return]]),1+PortfolioFrontier[[#This Row],[P96 Return]])</f>
        <v>1.6496661657790426</v>
      </c>
      <c r="NU70" s="27">
        <f>MAX(NU69,PortfolioFrontier[[#This Row],[P96 Growth]])</f>
        <v>1.6584948205413814</v>
      </c>
      <c r="NV70" s="27">
        <f>PortfolioFrontier[[#This Row],[P96 Growth]]/PortfolioFrontier[[#This Row],[P96 HWM]]-1</f>
        <v>-5.3232935388106695E-3</v>
      </c>
      <c r="NW70" s="28">
        <f>SUMPRODUCT(INDEX(PortfolioRef[[SPY]:[PE]],MATCH(NW$1,PortfolioRef[Reference '#]),0),AssetMonthlyReturns[[#This Row],[SPY]:[PE]])</f>
        <v>-2.2684772679639532E-3</v>
      </c>
      <c r="NX70" s="27">
        <f>IF(ISNUMBER(NX69),NX69*(1+PortfolioFrontier[[#This Row],[P97 Return]]),1+PortfolioFrontier[[#This Row],[P97 Return]])</f>
        <v>1.5130366127163652</v>
      </c>
      <c r="NY70" s="27">
        <f>MAX(NY69,PortfolioFrontier[[#This Row],[P97 Growth]])</f>
        <v>1.5164767056505304</v>
      </c>
      <c r="NZ70" s="27">
        <f>PortfolioFrontier[[#This Row],[P97 Growth]]/PortfolioFrontier[[#This Row],[P97 HWM]]-1</f>
        <v>-2.2684772679639753E-3</v>
      </c>
      <c r="OA70" s="28">
        <f>SUMPRODUCT(INDEX(PortfolioRef[[SPY]:[PE]],MATCH(OA$1,PortfolioRef[Reference '#]),0),AssetMonthlyReturns[[#This Row],[SPY]:[PE]])</f>
        <v>-2.7487965629018891E-3</v>
      </c>
      <c r="OB70" s="27">
        <f>IF(ISNUMBER(OB69),OB69*(1+PortfolioFrontier[[#This Row],[P98 Return]]),1+PortfolioFrontier[[#This Row],[P98 Return]])</f>
        <v>1.5244824925910982</v>
      </c>
      <c r="OC70" s="27">
        <f>MAX(OC69,PortfolioFrontier[[#This Row],[P98 Growth]])</f>
        <v>1.5286845353877332</v>
      </c>
      <c r="OD70" s="27">
        <f>PortfolioFrontier[[#This Row],[P98 Growth]]/PortfolioFrontier[[#This Row],[P98 HWM]]-1</f>
        <v>-2.7487965629018341E-3</v>
      </c>
      <c r="OE70" s="28">
        <f>SUMPRODUCT(INDEX(PortfolioRef[[SPY]:[PE]],MATCH(OE$1,PortfolioRef[Reference '#]),0),AssetMonthlyReturns[[#This Row],[SPY]:[PE]])</f>
        <v>-3.4584297470433008E-3</v>
      </c>
      <c r="OF70" s="27">
        <f>IF(ISNUMBER(OF69),OF69*(1+PortfolioFrontier[[#This Row],[P99 Return]]),1+PortfolioFrontier[[#This Row],[P99 Return]])</f>
        <v>1.5392227030249659</v>
      </c>
      <c r="OG70" s="27">
        <f>MAX(OG69,PortfolioFrontier[[#This Row],[P99 Growth]])</f>
        <v>1.544564470736788</v>
      </c>
      <c r="OH70" s="27">
        <f>PortfolioFrontier[[#This Row],[P99 Growth]]/PortfolioFrontier[[#This Row],[P99 HWM]]-1</f>
        <v>-3.4584297470432457E-3</v>
      </c>
      <c r="OI70" s="28">
        <f>SUMPRODUCT(INDEX(PortfolioRef[[SPY]:[PE]],MATCH(OI$1,PortfolioRef[Reference '#]),0),AssetMonthlyReturns[[#This Row],[SPY]:[PE]])</f>
        <v>-1.7423683013753411E-3</v>
      </c>
      <c r="OJ70" s="27">
        <f>IF(ISNUMBER(OJ69),OJ69*(1+PortfolioFrontier[[#This Row],[P100 Return]]),1+PortfolioFrontier[[#This Row],[P100 Return]])</f>
        <v>1.5129145265787534</v>
      </c>
      <c r="OK70" s="27">
        <f>MAX(OK69,PortfolioFrontier[[#This Row],[P100 Growth]])</f>
        <v>1.5155551818866577</v>
      </c>
      <c r="OL70" s="27">
        <f>PortfolioFrontier[[#This Row],[P100 Growth]]/PortfolioFrontier[[#This Row],[P100 HWM]]-1</f>
        <v>-1.7423683013753077E-3</v>
      </c>
      <c r="OM70" s="28">
        <f>SUMPRODUCT(INDEX(PortfolioRef[[SPY]:[PE]],MATCH(OM$1,PortfolioRef[Reference '#]),0),AssetMonthlyReturns[[#This Row],[SPY]:[PE]])</f>
        <v>-3.2291158578398259E-3</v>
      </c>
      <c r="ON70" s="27">
        <f>IF(ISNUMBER(ON69),ON69*(1+PortfolioFrontier[[#This Row],[P101 Return]]),1+PortfolioFrontier[[#This Row],[P101 Return]])</f>
        <v>1.5357139237252193</v>
      </c>
      <c r="OO70" s="27">
        <f>MAX(OO69,PortfolioFrontier[[#This Row],[P101 Growth]])</f>
        <v>1.5406889869650273</v>
      </c>
      <c r="OP70" s="27">
        <f>PortfolioFrontier[[#This Row],[P101 Growth]]/PortfolioFrontier[[#This Row],[P101 HWM]]-1</f>
        <v>-3.2291158578399148E-3</v>
      </c>
      <c r="OQ70" s="28">
        <f>SUMPRODUCT(INDEX(PortfolioRef[[SPY]:[PE]],MATCH(OQ$1,PortfolioRef[Reference '#]),0),AssetMonthlyReturns[[#This Row],[SPY]:[PE]])</f>
        <v>-3.938749041981238E-3</v>
      </c>
      <c r="OR70" s="27">
        <f>IF(ISNUMBER(OR69),OR69*(1+PortfolioFrontier[[#This Row],[P102 Return]]),1+PortfolioFrontier[[#This Row],[P102 Return]])</f>
        <v>1.5508417046103009</v>
      </c>
      <c r="OS70" s="27">
        <f>MAX(OS69,PortfolioFrontier[[#This Row],[P102 Growth]])</f>
        <v>1.556974235388326</v>
      </c>
      <c r="OT70" s="27">
        <f>PortfolioFrontier[[#This Row],[P102 Growth]]/PortfolioFrontier[[#This Row],[P102 HWM]]-1</f>
        <v>-3.9387490419811044E-3</v>
      </c>
      <c r="OU70" s="28">
        <f>SUMPRODUCT(INDEX(PortfolioRef[[SPY]:[PE]],MATCH(OU$1,PortfolioRef[Reference '#]),0),AssetMonthlyReturns[[#This Row],[SPY]:[PE]])</f>
        <v>-2.2226875963132779E-3</v>
      </c>
      <c r="OV70" s="27">
        <f>IF(ISNUMBER(OV69),OV69*(1+PortfolioFrontier[[#This Row],[P103 Return]]),1+PortfolioFrontier[[#This Row],[P103 Return]])</f>
        <v>1.5243876497150028</v>
      </c>
      <c r="OW70" s="27">
        <f>MAX(OW69,PortfolioFrontier[[#This Row],[P103 Growth]])</f>
        <v>1.5277834350058432</v>
      </c>
      <c r="OX70" s="27">
        <f>PortfolioFrontier[[#This Row],[P103 Growth]]/PortfolioFrontier[[#This Row],[P103 HWM]]-1</f>
        <v>-2.2226875963132775E-3</v>
      </c>
      <c r="OY70" s="28">
        <f>SUMPRODUCT(INDEX(PortfolioRef[[SPY]:[PE]],MATCH(OY$1,PortfolioRef[Reference '#]),0),AssetMonthlyReturns[[#This Row],[SPY]:[PE]])</f>
        <v>-4.6483822261226496E-3</v>
      </c>
      <c r="OZ70" s="27">
        <f>IF(ISNUMBER(OZ69),OZ69*(1+PortfolioFrontier[[#This Row],[P104 Return]]),1+PortfolioFrontier[[#This Row],[P104 Return]])</f>
        <v>1.5653078018699811</v>
      </c>
      <c r="PA70" s="27">
        <f>MAX(PA69,PortfolioFrontier[[#This Row],[P104 Growth]])</f>
        <v>1.5726179311094319</v>
      </c>
      <c r="PB70" s="27">
        <f>PortfolioFrontier[[#This Row],[P104 Growth]]/PortfolioFrontier[[#This Row],[P104 HWM]]-1</f>
        <v>-4.6483822261226271E-3</v>
      </c>
      <c r="PC70" s="28">
        <f>SUMPRODUCT(INDEX(PortfolioRef[[SPY]:[PE]],MATCH(PC$1,PortfolioRef[Reference '#]),0),AssetMonthlyReturns[[#This Row],[SPY]:[PE]])</f>
        <v>-2.9323207804546896E-3</v>
      </c>
      <c r="PD70" s="27">
        <f>IF(ISNUMBER(PD69),PD69*(1+PortfolioFrontier[[#This Row],[P105 Return]]),1+PortfolioFrontier[[#This Row],[P105 Return]])</f>
        <v>1.5391007301364297</v>
      </c>
      <c r="PE70" s="27">
        <f>MAX(PE69,PortfolioFrontier[[#This Row],[P105 Growth]])</f>
        <v>1.54362714007655</v>
      </c>
      <c r="PF70" s="27">
        <f>PortfolioFrontier[[#This Row],[P105 Growth]]/PortfolioFrontier[[#This Row],[P105 HWM]]-1</f>
        <v>-2.9323207804546891E-3</v>
      </c>
      <c r="PG70" s="28">
        <f>SUMPRODUCT(INDEX(PortfolioRef[[SPY]:[PE]],MATCH(PG$1,PortfolioRef[Reference '#]),0),AssetMonthlyReturns[[#This Row],[SPY]:[PE]])</f>
        <v>-1.2162593347867291E-3</v>
      </c>
      <c r="PH70" s="27">
        <f>IF(ISNUMBER(PH69),PH69*(1+PortfolioFrontier[[#This Row],[P106 Return]]),1+PortfolioFrontier[[#This Row],[P106 Return]])</f>
        <v>1.5126861899357684</v>
      </c>
      <c r="PI70" s="27">
        <f>MAX(PI69,PortfolioFrontier[[#This Row],[P106 Growth]])</f>
        <v>1.5145282490564815</v>
      </c>
      <c r="PJ70" s="27">
        <f>PortfolioFrontier[[#This Row],[P106 Growth]]/PortfolioFrontier[[#This Row],[P106 HWM]]-1</f>
        <v>-1.2162593347867512E-3</v>
      </c>
      <c r="PK70" s="28">
        <f>SUMPRODUCT(INDEX(PortfolioRef[[SPY]:[PE]],MATCH(PK$1,PortfolioRef[Reference '#]),0),AssetMonthlyReturns[[#This Row],[SPY]:[PE]])</f>
        <v>-4.4190683369191748E-3</v>
      </c>
      <c r="PL70" s="27">
        <f>IF(ISNUMBER(PL69),PL69*(1+PortfolioFrontier[[#This Row],[P107 Return]]),1+PortfolioFrontier[[#This Row],[P107 Return]])</f>
        <v>1.5622426957266233</v>
      </c>
      <c r="PM70" s="27">
        <f>MAX(PM69,PortfolioFrontier[[#This Row],[P107 Growth]])</f>
        <v>1.5691769961051334</v>
      </c>
      <c r="PN70" s="27">
        <f>PortfolioFrontier[[#This Row],[P107 Growth]]/PortfolioFrontier[[#This Row],[P107 HWM]]-1</f>
        <v>-4.4190683369190742E-3</v>
      </c>
      <c r="PO70" s="28">
        <f>SUMPRODUCT(INDEX(PortfolioRef[[SPY]:[PE]],MATCH(PO$1,PortfolioRef[Reference '#]),0),AssetMonthlyReturns[[#This Row],[SPY]:[PE]])</f>
        <v>-2.7030068912512147E-3</v>
      </c>
      <c r="PP70" s="27">
        <f>IF(ISNUMBER(PP69),PP69*(1+PortfolioFrontier[[#This Row],[P108 Return]]),1+PortfolioFrontier[[#This Row],[P108 Return]])</f>
        <v>1.5356468791960101</v>
      </c>
      <c r="PQ70" s="27">
        <f>MAX(PQ69,PortfolioFrontier[[#This Row],[P108 Growth]])</f>
        <v>1.5398089935166963</v>
      </c>
      <c r="PR70" s="27">
        <f>PortfolioFrontier[[#This Row],[P108 Growth]]/PortfolioFrontier[[#This Row],[P108 HWM]]-1</f>
        <v>-2.7030068912512473E-3</v>
      </c>
      <c r="PS70" s="28">
        <f>SUMPRODUCT(INDEX(PortfolioRef[[SPY]:[PE]],MATCH(PS$1,PortfolioRef[Reference '#]),0),AssetMonthlyReturns[[#This Row],[SPY]:[PE]])</f>
        <v>-5.1287015210605864E-3</v>
      </c>
      <c r="PT70" s="27">
        <f>IF(ISNUMBER(PT69),PT69*(1+PortfolioFrontier[[#This Row],[P109 Return]]),1+PortfolioFrontier[[#This Row],[P109 Return]])</f>
        <v>1.5770985076753923</v>
      </c>
      <c r="PU70" s="27">
        <f>MAX(PU69,PortfolioFrontier[[#This Row],[P109 Growth]])</f>
        <v>1.5852286723786495</v>
      </c>
      <c r="PV70" s="27">
        <f>PortfolioFrontier[[#This Row],[P109 Growth]]/PortfolioFrontier[[#This Row],[P109 HWM]]-1</f>
        <v>-5.1287015210605968E-3</v>
      </c>
      <c r="PW70" s="28">
        <f>SUMPRODUCT(INDEX(PortfolioRef[[SPY]:[PE]],MATCH(PW$1,PortfolioRef[Reference '#]),0),AssetMonthlyReturns[[#This Row],[SPY]:[PE]])</f>
        <v>-3.4126400753926255E-3</v>
      </c>
      <c r="PX70" s="27">
        <f>IF(ISNUMBER(PX69),PX69*(1+PortfolioFrontier[[#This Row],[P110 Return]]),1+PortfolioFrontier[[#This Row],[P110 Return]])</f>
        <v>1.5507474382558497</v>
      </c>
      <c r="PY70" s="27">
        <f>MAX(PY69,PortfolioFrontier[[#This Row],[P110 Growth]])</f>
        <v>1.5560577031331855</v>
      </c>
      <c r="PZ70" s="27">
        <f>PortfolioFrontier[[#This Row],[P110 Growth]]/PortfolioFrontier[[#This Row],[P110 HWM]]-1</f>
        <v>-3.4126400753926589E-3</v>
      </c>
      <c r="QA70" s="28">
        <f>SUMPRODUCT(INDEX(PortfolioRef[[SPY]:[PE]],MATCH(QA$1,PortfolioRef[Reference '#]),0),AssetMonthlyReturns[[#This Row],[SPY]:[PE]])</f>
        <v>-1.6965786297246654E-3</v>
      </c>
      <c r="QB70" s="27">
        <f>IF(ISNUMBER(QB69),QB69*(1+PortfolioFrontier[[#This Row],[P111 Return]]),1+PortfolioFrontier[[#This Row],[P111 Return]])</f>
        <v>1.5241857526365448</v>
      </c>
      <c r="QC70" s="27">
        <f>MAX(QC69,PortfolioFrontier[[#This Row],[P111 Growth]])</f>
        <v>1.5267760482523853</v>
      </c>
      <c r="QD70" s="27">
        <f>PortfolioFrontier[[#This Row],[P111 Growth]]/PortfolioFrontier[[#This Row],[P111 HWM]]-1</f>
        <v>-1.696578629724721E-3</v>
      </c>
      <c r="QE70" s="28">
        <f>SUMPRODUCT(INDEX(PortfolioRef[[SPY]:[PE]],MATCH(QE$1,PortfolioRef[Reference '#]),0),AssetMonthlyReturns[[#This Row],[SPY]:[PE]])</f>
        <v>-5.8383347052019981E-3</v>
      </c>
      <c r="QF70" s="27">
        <f>IF(ISNUMBER(QF69),QF69*(1+PortfolioFrontier[[#This Row],[P112 Return]]),1+PortfolioFrontier[[#This Row],[P112 Return]])</f>
        <v>1.5912684188074107</v>
      </c>
      <c r="QG70" s="27">
        <f>MAX(QG69,PortfolioFrontier[[#This Row],[P112 Growth]])</f>
        <v>1.6006133351918705</v>
      </c>
      <c r="QH70" s="27">
        <f>PortfolioFrontier[[#This Row],[P112 Growth]]/PortfolioFrontier[[#This Row],[P112 HWM]]-1</f>
        <v>-5.8383347052020085E-3</v>
      </c>
      <c r="QI70" s="28">
        <f>SUMPRODUCT(INDEX(PortfolioRef[[SPY]:[PE]],MATCH(QI$1,PortfolioRef[Reference '#]),0),AssetMonthlyReturns[[#This Row],[SPY]:[PE]])</f>
        <v>-4.1222732595340376E-3</v>
      </c>
      <c r="QJ70" s="27">
        <f>IF(ISNUMBER(QJ69),QJ69*(1+PortfolioFrontier[[#This Row],[P113 Return]]),1+PortfolioFrontier[[#This Row],[P113 Return]])</f>
        <v>1.5651860035127643</v>
      </c>
      <c r="QK70" s="27">
        <f>MAX(QK69,PortfolioFrontier[[#This Row],[P113 Growth]])</f>
        <v>1.5716648354368357</v>
      </c>
      <c r="QL70" s="27">
        <f>PortfolioFrontier[[#This Row],[P113 Growth]]/PortfolioFrontier[[#This Row],[P113 HWM]]-1</f>
        <v>-4.1222732595341816E-3</v>
      </c>
      <c r="QM70" s="28">
        <f>SUMPRODUCT(INDEX(PortfolioRef[[SPY]:[PE]],MATCH(QM$1,PortfolioRef[Reference '#]),0),AssetMonthlyReturns[[#This Row],[SPY]:[PE]])</f>
        <v>-2.4062118138660771E-3</v>
      </c>
      <c r="QN70" s="27">
        <f>IF(ISNUMBER(QN69),QN69*(1+PortfolioFrontier[[#This Row],[P114 Return]]),1+PortfolioFrontier[[#This Row],[P114 Return]])</f>
        <v>1.5388705791148443</v>
      </c>
      <c r="QO70" s="27">
        <f>MAX(QO69,PortfolioFrontier[[#This Row],[P114 Growth]])</f>
        <v>1.542582359010958</v>
      </c>
      <c r="QP70" s="27">
        <f>PortfolioFrontier[[#This Row],[P114 Growth]]/PortfolioFrontier[[#This Row],[P114 HWM]]-1</f>
        <v>-2.4062118138661326E-3</v>
      </c>
      <c r="QQ70" s="28">
        <f>SUMPRODUCT(INDEX(PortfolioRef[[SPY]:[PE]],MATCH(QQ$1,PortfolioRef[Reference '#]),0),AssetMonthlyReturns[[#This Row],[SPY]:[PE]])</f>
        <v>-5.6090208159985232E-3</v>
      </c>
      <c r="QR70" s="27">
        <f>IF(ISNUMBER(QR69),QR69*(1+PortfolioFrontier[[#This Row],[P115 Return]]),1+PortfolioFrontier[[#This Row],[P115 Return]])</f>
        <v>1.5886676581173751</v>
      </c>
      <c r="QS70" s="27">
        <f>MAX(QS69,PortfolioFrontier[[#This Row],[P115 Growth]])</f>
        <v>1.5976287912638125</v>
      </c>
      <c r="QT70" s="27">
        <f>PortfolioFrontier[[#This Row],[P115 Growth]]/PortfolioFrontier[[#This Row],[P115 HWM]]-1</f>
        <v>-5.6090208159985666E-3</v>
      </c>
      <c r="QU70" s="28">
        <f>SUMPRODUCT(INDEX(PortfolioRef[[SPY]:[PE]],MATCH(QU$1,PortfolioRef[Reference '#]),0),AssetMonthlyReturns[[#This Row],[SPY]:[PE]])</f>
        <v>-3.8929593703305623E-3</v>
      </c>
      <c r="QV70" s="27">
        <f>IF(ISNUMBER(QV69),QV69*(1+PortfolioFrontier[[#This Row],[P116 Return]]),1+PortfolioFrontier[[#This Row],[P116 Return]])</f>
        <v>1.5621766987235028</v>
      </c>
      <c r="QW70" s="27">
        <f>MAX(QW69,PortfolioFrontier[[#This Row],[P116 Growth]])</f>
        <v>1.5682819566620105</v>
      </c>
      <c r="QX70" s="27">
        <f>PortfolioFrontier[[#This Row],[P116 Growth]]/PortfolioFrontier[[#This Row],[P116 HWM]]-1</f>
        <v>-3.8929593703305176E-3</v>
      </c>
      <c r="QY70" s="28">
        <f>SUMPRODUCT(INDEX(PortfolioRef[[SPY]:[PE]],MATCH(QY$1,PortfolioRef[Reference '#]),0),AssetMonthlyReturns[[#This Row],[SPY]:[PE]])</f>
        <v>-2.1768979246626022E-3</v>
      </c>
      <c r="QZ70" s="27">
        <f>IF(ISNUMBER(QZ69),QZ69*(1+PortfolioFrontier[[#This Row],[P117 Return]]),1+PortfolioFrontier[[#This Row],[P117 Return]])</f>
        <v>1.5354719911073271</v>
      </c>
      <c r="RA70" s="27">
        <f>MAX(RA69,PortfolioFrontier[[#This Row],[P117 Growth]])</f>
        <v>1.5388218491972701</v>
      </c>
      <c r="RB70" s="27">
        <f>PortfolioFrontier[[#This Row],[P117 Growth]]/PortfolioFrontier[[#This Row],[P117 HWM]]-1</f>
        <v>-2.1768979246625797E-3</v>
      </c>
      <c r="RC70" s="28">
        <f>SUMPRODUCT(INDEX(PortfolioRef[[SPY]:[PE]],MATCH(RC$1,PortfolioRef[Reference '#]),0),AssetMonthlyReturns[[#This Row],[SPY]:[PE]])</f>
        <v>-6.3186540001399331E-3</v>
      </c>
      <c r="RD70" s="27">
        <f>IF(ISNUMBER(RD69),RD69*(1+PortfolioFrontier[[#This Row],[P118 Return]]),1+PortfolioFrontier[[#This Row],[P118 Return]])</f>
        <v>1.603229250537813</v>
      </c>
      <c r="RE70" s="27">
        <f>MAX(RE69,PortfolioFrontier[[#This Row],[P118 Growth]])</f>
        <v>1.6134239180314036</v>
      </c>
      <c r="RF70" s="27">
        <f>PortfolioFrontier[[#This Row],[P118 Growth]]/PortfolioFrontier[[#This Row],[P118 HWM]]-1</f>
        <v>-6.3186540001399782E-3</v>
      </c>
      <c r="RG70" s="28">
        <f>SUMPRODUCT(INDEX(PortfolioRef[[SPY]:[PE]],MATCH(RG$1,PortfolioRef[Reference '#]),0),AssetMonthlyReturns[[#This Row],[SPY]:[PE]])</f>
        <v>-4.6025925544719744E-3</v>
      </c>
      <c r="RH70" s="27">
        <f>IF(ISNUMBER(RH69),RH69*(1+PortfolioFrontier[[#This Row],[P119 Return]]),1+PortfolioFrontier[[#This Row],[P119 Return]])</f>
        <v>1.5770048781793615</v>
      </c>
      <c r="RI70" s="27">
        <f>MAX(RI69,PortfolioFrontier[[#This Row],[P119 Growth]])</f>
        <v>1.584296750607783</v>
      </c>
      <c r="RJ70" s="27">
        <f>PortfolioFrontier[[#This Row],[P119 Growth]]/PortfolioFrontier[[#This Row],[P119 HWM]]-1</f>
        <v>-4.6025925544719293E-3</v>
      </c>
      <c r="RK70" s="28">
        <f>SUMPRODUCT(INDEX(PortfolioRef[[SPY]:[PE]],MATCH(RK$1,PortfolioRef[Reference '#]),0),AssetMonthlyReturns[[#This Row],[SPY]:[PE]])</f>
        <v>-2.886531108804013E-3</v>
      </c>
      <c r="RL70" s="27">
        <f>IF(ISNUMBER(RL69),RL69*(1+PortfolioFrontier[[#This Row],[P120 Return]]),1+PortfolioFrontier[[#This Row],[P120 Return]])</f>
        <v>1.5505441771411335</v>
      </c>
      <c r="RM70" s="27">
        <f>MAX(RM69,PortfolioFrontier[[#This Row],[P120 Growth]])</f>
        <v>1.5550328277737138</v>
      </c>
      <c r="RN70" s="27">
        <f>PortfolioFrontier[[#This Row],[P120 Growth]]/PortfolioFrontier[[#This Row],[P120 HWM]]-1</f>
        <v>-2.8865311088039913E-3</v>
      </c>
      <c r="RO70" s="28">
        <f>SUMPRODUCT(INDEX(PortfolioRef[[SPY]:[PE]],MATCH(RO$1,PortfolioRef[Reference '#]),0),AssetMonthlyReturns[[#This Row],[SPY]:[PE]])</f>
        <v>-7.0282871842813465E-3</v>
      </c>
      <c r="RP70" s="27">
        <f>IF(ISNUMBER(RP69),RP69*(1+PortfolioFrontier[[#This Row],[P121 Return]]),1+PortfolioFrontier[[#This Row],[P121 Return]])</f>
        <v>1.6170804922356672</v>
      </c>
      <c r="RQ70" s="27">
        <f>MAX(RQ69,PortfolioFrontier[[#This Row],[P121 Growth]])</f>
        <v>1.6285262423540703</v>
      </c>
      <c r="RR70" s="27">
        <f>PortfolioFrontier[[#This Row],[P121 Growth]]/PortfolioFrontier[[#This Row],[P121 HWM]]-1</f>
        <v>-7.0282871842813899E-3</v>
      </c>
      <c r="RS70" s="28">
        <f>SUMPRODUCT(INDEX(PortfolioRef[[SPY]:[PE]],MATCH(RS$1,PortfolioRef[Reference '#]),0),AssetMonthlyReturns[[#This Row],[SPY]:[PE]])</f>
        <v>-5.312225738613386E-3</v>
      </c>
      <c r="RT70" s="27">
        <f>IF(ISNUMBER(RT69),RT69*(1+PortfolioFrontier[[#This Row],[P122 Return]]),1+PortfolioFrontier[[#This Row],[P122 Return]])</f>
        <v>1.591146863598307</v>
      </c>
      <c r="RU70" s="27">
        <f>MAX(RU69,PortfolioFrontier[[#This Row],[P122 Growth]])</f>
        <v>1.5996445364776157</v>
      </c>
      <c r="RV70" s="27">
        <f>PortfolioFrontier[[#This Row],[P122 Growth]]/PortfolioFrontier[[#This Row],[P122 HWM]]-1</f>
        <v>-5.3122257386134519E-3</v>
      </c>
      <c r="RW70" s="28">
        <f>SUMPRODUCT(INDEX(PortfolioRef[[SPY]:[PE]],MATCH(RW$1,PortfolioRef[Reference '#]),0),AssetMonthlyReturns[[#This Row],[SPY]:[PE]])</f>
        <v>-3.5961642929454255E-3</v>
      </c>
      <c r="RX70" s="27">
        <f>IF(ISNUMBER(RX69),RX69*(1+PortfolioFrontier[[#This Row],[P123 Return]]),1+PortfolioFrontier[[#This Row],[P123 Return]])</f>
        <v>1.5649540992693793</v>
      </c>
      <c r="RY70" s="27">
        <f>MAX(RY69,PortfolioFrontier[[#This Row],[P123 Growth]])</f>
        <v>1.5706022429739823</v>
      </c>
      <c r="RZ70" s="27">
        <f>PortfolioFrontier[[#This Row],[P123 Growth]]/PortfolioFrontier[[#This Row],[P123 HWM]]-1</f>
        <v>-3.596164292945403E-3</v>
      </c>
      <c r="SA70" s="28">
        <f>SUMPRODUCT(INDEX(PortfolioRef[[SPY]:[PE]],MATCH(SA$1,PortfolioRef[Reference '#]),0),AssetMonthlyReturns[[#This Row],[SPY]:[PE]])</f>
        <v>-6.7989732950778699E-3</v>
      </c>
      <c r="SB70" s="27">
        <f>IF(ISNUMBER(SB69),SB69*(1+PortfolioFrontier[[#This Row],[P124 Return]]),1+PortfolioFrontier[[#This Row],[P124 Return]])</f>
        <v>1.6149650020482582</v>
      </c>
      <c r="SC70" s="27">
        <f>MAX(SC69,PortfolioFrontier[[#This Row],[P124 Growth]])</f>
        <v>1.6260202704442641</v>
      </c>
      <c r="SD70" s="27">
        <f>PortfolioFrontier[[#This Row],[P124 Growth]]/PortfolioFrontier[[#This Row],[P124 HWM]]-1</f>
        <v>-6.798973295077948E-3</v>
      </c>
      <c r="SE70" s="28">
        <f>SUMPRODUCT(INDEX(PortfolioRef[[SPY]:[PE]],MATCH(SE$1,PortfolioRef[Reference '#]),0),AssetMonthlyReturns[[#This Row],[SPY]:[PE]])</f>
        <v>-5.0829118494099112E-3</v>
      </c>
      <c r="SF70" s="27">
        <f>IF(ISNUMBER(SF69),SF69*(1+PortfolioFrontier[[#This Row],[P125 Return]]),1+PortfolioFrontier[[#This Row],[P125 Return]])</f>
        <v>1.5886027679546881</v>
      </c>
      <c r="SG70" s="27">
        <f>MAX(SG69,PortfolioFrontier[[#This Row],[P125 Growth]])</f>
        <v>1.5967187486021328</v>
      </c>
      <c r="SH70" s="27">
        <f>PortfolioFrontier[[#This Row],[P125 Growth]]/PortfolioFrontier[[#This Row],[P125 HWM]]-1</f>
        <v>-5.082911849409899E-3</v>
      </c>
      <c r="SI70" s="28">
        <f>SUMPRODUCT(INDEX(PortfolioRef[[SPY]:[PE]],MATCH(SI$1,PortfolioRef[Reference '#]),0),AssetMonthlyReturns[[#This Row],[SPY]:[PE]])</f>
        <v>-3.3668504037419498E-3</v>
      </c>
      <c r="SJ70" s="27">
        <f>IF(ISNUMBER(SJ69),SJ69*(1+PortfolioFrontier[[#This Row],[P126 Return]]),1+PortfolioFrontier[[#This Row],[P126 Return]])</f>
        <v>1.5620009049215926</v>
      </c>
      <c r="SK70" s="27">
        <f>MAX(SK69,PortfolioFrontier[[#This Row],[P126 Growth]])</f>
        <v>1.5672776944599609</v>
      </c>
      <c r="SL70" s="27">
        <f>PortfolioFrontier[[#This Row],[P126 Growth]]/PortfolioFrontier[[#This Row],[P126 HWM]]-1</f>
        <v>-3.3668504037419611E-3</v>
      </c>
      <c r="SM70" s="28">
        <f>SUMPRODUCT(INDEX(PortfolioRef[[SPY]:[PE]],MATCH(SM$1,PortfolioRef[Reference '#]),0),AssetMonthlyReturns[[#This Row],[SPY]:[PE]])</f>
        <v>-7.5086064792192816E-3</v>
      </c>
      <c r="SN70" s="27">
        <f>IF(ISNUMBER(SN69),SN69*(1+PortfolioFrontier[[#This Row],[P127 Return]]),1+PortfolioFrontier[[#This Row],[P127 Return]])</f>
        <v>1.6292097081524028</v>
      </c>
      <c r="SO70" s="27">
        <f>MAX(SO69,PortfolioFrontier[[#This Row],[P127 Growth]])</f>
        <v>1.6415353511257329</v>
      </c>
      <c r="SP70" s="27">
        <f>PortfolioFrontier[[#This Row],[P127 Growth]]/PortfolioFrontier[[#This Row],[P127 HWM]]-1</f>
        <v>-7.5086064792192486E-3</v>
      </c>
      <c r="SQ70" s="28">
        <f>SUMPRODUCT(INDEX(PortfolioRef[[SPY]:[PE]],MATCH(SQ$1,PortfolioRef[Reference '#]),0),AssetMonthlyReturns[[#This Row],[SPY]:[PE]])</f>
        <v>-5.7925450335513211E-3</v>
      </c>
      <c r="SR70" s="27">
        <f>IF(ISNUMBER(SR69),SR69*(1+PortfolioFrontier[[#This Row],[P128 Return]]),1+PortfolioFrontier[[#This Row],[P128 Return]])</f>
        <v>1.6031363252615523</v>
      </c>
      <c r="SS70" s="27">
        <f>MAX(SS69,PortfolioFrontier[[#This Row],[P128 Growth]])</f>
        <v>1.6124766689821823</v>
      </c>
      <c r="ST70" s="27">
        <f>PortfolioFrontier[[#This Row],[P128 Growth]]/PortfolioFrontier[[#This Row],[P128 HWM]]-1</f>
        <v>-5.7925450335513107E-3</v>
      </c>
      <c r="SU70" s="28">
        <f>SUMPRODUCT(INDEX(PortfolioRef[[SPY]:[PE]],MATCH(SU$1,PortfolioRef[Reference '#]),0),AssetMonthlyReturns[[#This Row],[SPY]:[PE]])</f>
        <v>-4.0764835878833615E-3</v>
      </c>
      <c r="SV70" s="27">
        <f>IF(ISNUMBER(SV69),SV69*(1+PortfolioFrontier[[#This Row],[P129 Return]]),1+PortfolioFrontier[[#This Row],[P129 Return]])</f>
        <v>1.5768003132884645</v>
      </c>
      <c r="SW70" s="27">
        <f>MAX(SW69,PortfolioFrontier[[#This Row],[P129 Growth]])</f>
        <v>1.5832544239631943</v>
      </c>
      <c r="SX70" s="27">
        <f>PortfolioFrontier[[#This Row],[P129 Growth]]/PortfolioFrontier[[#This Row],[P129 HWM]]-1</f>
        <v>-4.0764835878833727E-3</v>
      </c>
      <c r="SY70" s="28">
        <f>SUMPRODUCT(INDEX(PortfolioRef[[SPY]:[PE]],MATCH(SY$1,PortfolioRef[Reference '#]),0),AssetMonthlyReturns[[#This Row],[SPY]:[PE]])</f>
        <v>-8.2182396633606932E-3</v>
      </c>
      <c r="SZ70" s="27">
        <f>IF(ISNUMBER(SZ69),SZ69*(1+PortfolioFrontier[[#This Row],[P130 Return]]),1+PortfolioFrontier[[#This Row],[P130 Return]])</f>
        <v>1.6427194010564201</v>
      </c>
      <c r="TA70" s="27">
        <f>MAX(TA69,PortfolioFrontier[[#This Row],[P130 Growth]])</f>
        <v>1.6563315305363489</v>
      </c>
      <c r="TB70" s="27">
        <f>PortfolioFrontier[[#This Row],[P130 Growth]]/PortfolioFrontier[[#This Row],[P130 HWM]]-1</f>
        <v>-8.2182396633606603E-3</v>
      </c>
      <c r="TC70" s="28">
        <f>SUMPRODUCT(INDEX(PortfolioRef[[SPY]:[PE]],MATCH(TC$1,PortfolioRef[Reference '#]),0),AssetMonthlyReturns[[#This Row],[SPY]:[PE]])</f>
        <v>-6.5021782176927327E-3</v>
      </c>
      <c r="TD70" s="27">
        <f>IF(ISNUMBER(TD69),TD69*(1+PortfolioFrontier[[#This Row],[P131 Return]]),1+PortfolioFrontier[[#This Row],[P131 Return]])</f>
        <v>1.6169592568305631</v>
      </c>
      <c r="TE70" s="27">
        <f>MAX(TE69,PortfolioFrontier[[#This Row],[P131 Growth]])</f>
        <v>1.6275418238258272</v>
      </c>
      <c r="TF70" s="27">
        <f>PortfolioFrontier[[#This Row],[P131 Growth]]/PortfolioFrontier[[#This Row],[P131 HWM]]-1</f>
        <v>-6.5021782176927223E-3</v>
      </c>
      <c r="TG70" s="28">
        <f>SUMPRODUCT(INDEX(PortfolioRef[[SPY]:[PE]],MATCH(TG$1,PortfolioRef[Reference '#]),0),AssetMonthlyReturns[[#This Row],[SPY]:[PE]])</f>
        <v>-4.7861167720247731E-3</v>
      </c>
      <c r="TH70" s="27">
        <f>IF(ISNUMBER(TH69),TH69*(1+PortfolioFrontier[[#This Row],[P132 Return]]),1+PortfolioFrontier[[#This Row],[P132 Return]])</f>
        <v>1.5909132760051485</v>
      </c>
      <c r="TI70" s="27">
        <f>MAX(TI69,PortfolioFrontier[[#This Row],[P132 Growth]])</f>
        <v>1.598564190890327</v>
      </c>
      <c r="TJ70" s="27">
        <f>PortfolioFrontier[[#This Row],[P132 Growth]]/PortfolioFrontier[[#This Row],[P132 HWM]]-1</f>
        <v>-4.7861167720247844E-3</v>
      </c>
      <c r="TK70" s="28">
        <f>SUMPRODUCT(INDEX(PortfolioRef[[SPY]:[PE]],MATCH(TK$1,PortfolioRef[Reference '#]),0),AssetMonthlyReturns[[#This Row],[SPY]:[PE]])</f>
        <v>-7.9889257741572184E-3</v>
      </c>
      <c r="TL70" s="27">
        <f>IF(ISNUMBER(TL69),TL69*(1+PortfolioFrontier[[#This Row],[P133 Return]]),1+PortfolioFrontier[[#This Row],[P133 Return]])</f>
        <v>1.6411103423103497</v>
      </c>
      <c r="TM70" s="27">
        <f>MAX(TM69,PortfolioFrontier[[#This Row],[P133 Growth]])</f>
        <v>1.6543266350036048</v>
      </c>
      <c r="TN70" s="27">
        <f>PortfolioFrontier[[#This Row],[P133 Growth]]/PortfolioFrontier[[#This Row],[P133 HWM]]-1</f>
        <v>-7.9889257741572184E-3</v>
      </c>
      <c r="TO70" s="28">
        <f>SUMPRODUCT(INDEX(PortfolioRef[[SPY]:[PE]],MATCH(TO$1,PortfolioRef[Reference '#]),0),AssetMonthlyReturns[[#This Row],[SPY]:[PE]])</f>
        <v>-6.2728643284892579E-3</v>
      </c>
      <c r="TP70" s="27">
        <f>IF(ISNUMBER(TP69),TP69*(1+PortfolioFrontier[[#This Row],[P134 Return]]),1+PortfolioFrontier[[#This Row],[P134 Return]])</f>
        <v>1.614901284746713</v>
      </c>
      <c r="TQ70" s="27">
        <f>MAX(TQ69,PortfolioFrontier[[#This Row],[P134 Growth]])</f>
        <v>1.6250952870029498</v>
      </c>
      <c r="TR70" s="27">
        <f>PortfolioFrontier[[#This Row],[P134 Growth]]/PortfolioFrontier[[#This Row],[P134 HWM]]-1</f>
        <v>-6.2728643284892804E-3</v>
      </c>
      <c r="TS70" s="28">
        <f>SUMPRODUCT(INDEX(PortfolioRef[[SPY]:[PE]],MATCH(TS$1,PortfolioRef[Reference '#]),0),AssetMonthlyReturns[[#This Row],[SPY]:[PE]])</f>
        <v>-4.5568028828212983E-3</v>
      </c>
      <c r="TT70" s="27">
        <f>IF(ISNUMBER(TT69),TT69*(1+PortfolioFrontier[[#This Row],[P135 Return]]),1+PortfolioFrontier[[#This Row],[P135 Return]])</f>
        <v>1.5884261277258152</v>
      </c>
      <c r="TU70" s="27">
        <f>MAX(TU69,PortfolioFrontier[[#This Row],[P135 Growth]])</f>
        <v>1.5956974062668023</v>
      </c>
      <c r="TV70" s="27">
        <f>PortfolioFrontier[[#This Row],[P135 Growth]]/PortfolioFrontier[[#This Row],[P135 HWM]]-1</f>
        <v>-4.5568028828213425E-3</v>
      </c>
      <c r="TW70" s="28">
        <f>SUMPRODUCT(INDEX(PortfolioRef[[SPY]:[PE]],MATCH(TW$1,PortfolioRef[Reference '#]),0),AssetMonthlyReturns[[#This Row],[SPY]:[PE]])</f>
        <v>-8.69855895829863E-3</v>
      </c>
      <c r="TX70" s="27">
        <f>IF(ISNUMBER(TX69),TX69*(1+PortfolioFrontier[[#This Row],[P136 Return]]),1+PortfolioFrontier[[#This Row],[P136 Return]])</f>
        <v>1.6550150934568906</v>
      </c>
      <c r="TY70" s="27">
        <f>MAX(TY69,PortfolioFrontier[[#This Row],[P136 Growth]])</f>
        <v>1.6695376652713536</v>
      </c>
      <c r="TZ70" s="27">
        <f>PortfolioFrontier[[#This Row],[P136 Growth]]/PortfolioFrontier[[#This Row],[P136 HWM]]-1</f>
        <v>-8.69855895829863E-3</v>
      </c>
      <c r="UA70" s="28">
        <f>SUMPRODUCT(INDEX(PortfolioRef[[SPY]:[PE]],MATCH(UA$1,PortfolioRef[Reference '#]),0),AssetMonthlyReturns[[#This Row],[SPY]:[PE]])</f>
        <v>-6.9824975126306695E-3</v>
      </c>
      <c r="UB70" s="27">
        <f>IF(ISNUMBER(UB69),UB69*(1+PortfolioFrontier[[#This Row],[P137 Return]]),1+PortfolioFrontier[[#This Row],[P137 Return]])</f>
        <v>1.6291175621817484</v>
      </c>
      <c r="UC70" s="27">
        <f>MAX(UC69,PortfolioFrontier[[#This Row],[P137 Growth]])</f>
        <v>1.6405728580825996</v>
      </c>
      <c r="UD70" s="27">
        <f>PortfolioFrontier[[#This Row],[P137 Growth]]/PortfolioFrontier[[#This Row],[P137 HWM]]-1</f>
        <v>-6.9824975126306921E-3</v>
      </c>
      <c r="UE70" s="28">
        <f>SUMPRODUCT(INDEX(PortfolioRef[[SPY]:[PE]],MATCH(UE$1,PortfolioRef[Reference '#]),0),AssetMonthlyReturns[[#This Row],[SPY]:[PE]])</f>
        <v>-5.2664360669627099E-3</v>
      </c>
      <c r="UF70" s="27">
        <f>IF(ISNUMBER(UF69),UF69*(1+PortfolioFrontier[[#This Row],[P138 Return]]),1+PortfolioFrontier[[#This Row],[P138 Return]])</f>
        <v>1.6029305252699926</v>
      </c>
      <c r="UG70" s="27">
        <f>MAX(UG69,PortfolioFrontier[[#This Row],[P138 Growth]])</f>
        <v>1.6114169496123461</v>
      </c>
      <c r="UH70" s="27">
        <f>PortfolioFrontier[[#This Row],[P138 Growth]]/PortfolioFrontier[[#This Row],[P138 HWM]]-1</f>
        <v>-5.2664360669626431E-3</v>
      </c>
      <c r="UI70" s="28">
        <f>SUMPRODUCT(INDEX(PortfolioRef[[SPY]:[PE]],MATCH(UI$1,PortfolioRef[Reference '#]),0),AssetMonthlyReturns[[#This Row],[SPY]:[PE]])</f>
        <v>-9.4081921424400434E-3</v>
      </c>
      <c r="UJ70" s="27">
        <f>IF(ISNUMBER(UJ69),UJ69*(1+PortfolioFrontier[[#This Row],[P139 Return]]),1+PortfolioFrontier[[#This Row],[P139 Return]])</f>
        <v>1.668159977489208</v>
      </c>
      <c r="UK70" s="27">
        <f>MAX(UK69,PortfolioFrontier[[#This Row],[P139 Growth]])</f>
        <v>1.6840034050928447</v>
      </c>
      <c r="UL70" s="27">
        <f>PortfolioFrontier[[#This Row],[P139 Growth]]/PortfolioFrontier[[#This Row],[P139 HWM]]-1</f>
        <v>-9.4081921424400416E-3</v>
      </c>
      <c r="UM70" s="28">
        <f>SUMPRODUCT(INDEX(PortfolioRef[[SPY]:[PE]],MATCH(UM$1,PortfolioRef[Reference '#]),0),AssetMonthlyReturns[[#This Row],[SPY]:[PE]])</f>
        <v>-7.6921306967720812E-3</v>
      </c>
      <c r="UN70" s="27">
        <f>IF(ISNUMBER(UN69),UN69*(1+PortfolioFrontier[[#This Row],[P140 Return]]),1+PortfolioFrontier[[#This Row],[P140 Return]])</f>
        <v>1.6425985708938324</v>
      </c>
      <c r="UO70" s="27">
        <f>MAX(UO69,PortfolioFrontier[[#This Row],[P140 Growth]])</f>
        <v>1.655331597891309</v>
      </c>
      <c r="UP70" s="27">
        <f>PortfolioFrontier[[#This Row],[P140 Growth]]/PortfolioFrontier[[#This Row],[P140 HWM]]-1</f>
        <v>-7.6921306967721037E-3</v>
      </c>
      <c r="UQ70" s="28">
        <f>SUMPRODUCT(INDEX(PortfolioRef[[SPY]:[PE]],MATCH(UQ$1,PortfolioRef[Reference '#]),0),AssetMonthlyReturns[[#This Row],[SPY]:[PE]])</f>
        <v>-5.9760692511041215E-3</v>
      </c>
      <c r="UR70" s="27">
        <f>IF(ISNUMBER(UR69),UR69*(1+PortfolioFrontier[[#This Row],[P141 Return]]),1+PortfolioFrontier[[#This Row],[P141 Return]])</f>
        <v>1.6167240652186703</v>
      </c>
      <c r="US70" s="27">
        <f>MAX(US69,PortfolioFrontier[[#This Row],[P141 Growth]])</f>
        <v>1.6264438060365742</v>
      </c>
      <c r="UT70" s="27">
        <f>PortfolioFrontier[[#This Row],[P141 Growth]]/PortfolioFrontier[[#This Row],[P141 HWM]]-1</f>
        <v>-5.9760692511041658E-3</v>
      </c>
    </row>
    <row r="71" spans="2:566" x14ac:dyDescent="0.2">
      <c r="B71" s="41">
        <f>AssetMonthlyReturns[[#This Row],[Date]]</f>
        <v>44531</v>
      </c>
      <c r="C71" s="28">
        <f>SUMPRODUCT(INDEX(PortfolioRef[[SPY]:[PE]],MATCH(C$1,PortfolioRef[Reference '#]),0),AssetMonthlyReturns[[#This Row],[SPY]:[PE]])</f>
        <v>3.8420657631890232E-2</v>
      </c>
      <c r="D71" s="29">
        <f>IF(ISNUMBER(D70),D70*(1+PortfolioFrontier[[#This Row],[P1 Return]]),1+PortfolioFrontier[[#This Row],[P1 Return]])</f>
        <v>1.9531239567566241</v>
      </c>
      <c r="E71" s="29">
        <f>MAX(E70,PortfolioFrontier[[#This Row],[P1 Growth]])</f>
        <v>1.9531239567566241</v>
      </c>
      <c r="F71" s="29">
        <f>PortfolioFrontier[[#This Row],[P1 Growth]]/PortfolioFrontier[[#This Row],[P1 HWM]]-1</f>
        <v>0</v>
      </c>
      <c r="G71" s="28">
        <f>SUMPRODUCT(INDEX(PortfolioRef[[SPY]:[PE]],MATCH(G$1,PortfolioRef[Reference '#]),0),AssetMonthlyReturns[[#This Row],[SPY]:[PE]])</f>
        <v>3.6068376810565142E-2</v>
      </c>
      <c r="H71" s="27">
        <f>IF(ISNUMBER(H70),H70*(1+PortfolioFrontier[[#This Row],[P2 Return]]),1+PortfolioFrontier[[#This Row],[P2 Return]])</f>
        <v>1.880902671218339</v>
      </c>
      <c r="I71" s="27">
        <f>MAX(I70,PortfolioFrontier[[#This Row],[P2 Growth]])</f>
        <v>1.880902671218339</v>
      </c>
      <c r="J71" s="27">
        <f>PortfolioFrontier[[#This Row],[P2 Growth]]/PortfolioFrontier[[#This Row],[P2 HWM]]-1</f>
        <v>0</v>
      </c>
      <c r="K71" s="28">
        <f>SUMPRODUCT(INDEX(PortfolioRef[[SPY]:[PE]],MATCH(K$1,PortfolioRef[Reference '#]),0),AssetMonthlyReturns[[#This Row],[SPY]:[PE]])</f>
        <v>3.794037299090719E-2</v>
      </c>
      <c r="L71" s="27">
        <f>IF(ISNUMBER(L70),L70*(1+PortfolioFrontier[[#This Row],[P3 Return]]),1+PortfolioFrontier[[#This Row],[P3 Return]])</f>
        <v>1.8984394560781046</v>
      </c>
      <c r="M71" s="27">
        <f>MAX(M70,PortfolioFrontier[[#This Row],[P3 Growth]])</f>
        <v>1.8984394560781046</v>
      </c>
      <c r="N71" s="27">
        <f>PortfolioFrontier[[#This Row],[P3 Growth]]/PortfolioFrontier[[#This Row],[P3 HWM]]-1</f>
        <v>0</v>
      </c>
      <c r="O71" s="28">
        <f>SUMPRODUCT(INDEX(PortfolioRef[[SPY]:[PE]],MATCH(O$1,PortfolioRef[Reference '#]),0),AssetMonthlyReturns[[#This Row],[SPY]:[PE]])</f>
        <v>4.0633154288738302E-2</v>
      </c>
      <c r="P71" s="27">
        <f>IF(ISNUMBER(P70),P70*(1+PortfolioFrontier[[#This Row],[P4 Return]]),1+PortfolioFrontier[[#This Row],[P4 Return]])</f>
        <v>1.9193367929729268</v>
      </c>
      <c r="Q71" s="27">
        <f>MAX(Q70,PortfolioFrontier[[#This Row],[P4 Growth]])</f>
        <v>1.9193367929729268</v>
      </c>
      <c r="R71" s="27">
        <f>PortfolioFrontier[[#This Row],[P4 Growth]]/PortfolioFrontier[[#This Row],[P4 HWM]]-1</f>
        <v>0</v>
      </c>
      <c r="S71" s="28">
        <f>SUMPRODUCT(INDEX(PortfolioRef[[SPY]:[PE]],MATCH(S$1,PortfolioRef[Reference '#]),0),AssetMonthlyReturns[[#This Row],[SPY]:[PE]])</f>
        <v>3.8128860734490073E-2</v>
      </c>
      <c r="T71" s="27">
        <f>IF(ISNUMBER(T70),T70*(1+PortfolioFrontier[[#This Row],[P5 Return]]),1+PortfolioFrontier[[#This Row],[P5 Return]])</f>
        <v>1.8841834525169079</v>
      </c>
      <c r="U71" s="27">
        <f>MAX(U70,PortfolioFrontier[[#This Row],[P5 Growth]])</f>
        <v>1.8841834525169079</v>
      </c>
      <c r="V71" s="27">
        <f>PortfolioFrontier[[#This Row],[P5 Growth]]/PortfolioFrontier[[#This Row],[P5 HWM]]-1</f>
        <v>0</v>
      </c>
      <c r="W71" s="28">
        <f>SUMPRODUCT(INDEX(PortfolioRef[[SPY]:[PE]],MATCH(W$1,PortfolioRef[Reference '#]),0),AssetMonthlyReturns[[#This Row],[SPY]:[PE]])</f>
        <v>3.3716095989240059E-2</v>
      </c>
      <c r="X71" s="27">
        <f>IF(ISNUMBER(X70),X70*(1+PortfolioFrontier[[#This Row],[P6 Return]]),1+PortfolioFrontier[[#This Row],[P6 Return]])</f>
        <v>1.8107203423144032</v>
      </c>
      <c r="Y71" s="27">
        <f>MAX(Y70,PortfolioFrontier[[#This Row],[P6 Growth]])</f>
        <v>1.8107203423144032</v>
      </c>
      <c r="Z71" s="27">
        <f>PortfolioFrontier[[#This Row],[P6 Growth]]/PortfolioFrontier[[#This Row],[P6 HWM]]-1</f>
        <v>0</v>
      </c>
      <c r="AA71" s="28">
        <f>SUMPRODUCT(INDEX(PortfolioRef[[SPY]:[PE]],MATCH(AA$1,PortfolioRef[Reference '#]),0),AssetMonthlyReturns[[#This Row],[SPY]:[PE]])</f>
        <v>3.55880921695821E-2</v>
      </c>
      <c r="AB71" s="27">
        <f>IF(ISNUMBER(AB70),AB70*(1+PortfolioFrontier[[#This Row],[P7 Return]]),1+PortfolioFrontier[[#This Row],[P7 Return]])</f>
        <v>1.8276317298765399</v>
      </c>
      <c r="AC71" s="27">
        <f>MAX(AC70,PortfolioFrontier[[#This Row],[P7 Growth]])</f>
        <v>1.8276317298765399</v>
      </c>
      <c r="AD71" s="27">
        <f>PortfolioFrontier[[#This Row],[P7 Growth]]/PortfolioFrontier[[#This Row],[P7 HWM]]-1</f>
        <v>0</v>
      </c>
      <c r="AE71" s="28">
        <f>SUMPRODUCT(INDEX(PortfolioRef[[SPY]:[PE]],MATCH(AE$1,PortfolioRef[Reference '#]),0),AssetMonthlyReturns[[#This Row],[SPY]:[PE]])</f>
        <v>3.8280873467413219E-2</v>
      </c>
      <c r="AF71" s="27">
        <f>IF(ISNUMBER(AF70),AF70*(1+PortfolioFrontier[[#This Row],[P8 Return]]),1+PortfolioFrontier[[#This Row],[P8 Return]])</f>
        <v>1.8482324314062795</v>
      </c>
      <c r="AG71" s="27">
        <f>MAX(AG70,PortfolioFrontier[[#This Row],[P8 Growth]])</f>
        <v>1.8482324314062795</v>
      </c>
      <c r="AH71" s="27">
        <f>PortfolioFrontier[[#This Row],[P8 Growth]]/PortfolioFrontier[[#This Row],[P8 HWM]]-1</f>
        <v>0</v>
      </c>
      <c r="AI71" s="28">
        <f>SUMPRODUCT(INDEX(PortfolioRef[[SPY]:[PE]],MATCH(AI$1,PortfolioRef[Reference '#]),0),AssetMonthlyReturns[[#This Row],[SPY]:[PE]])</f>
        <v>3.5776579913164984E-2</v>
      </c>
      <c r="AJ71" s="27">
        <f>IF(ISNUMBER(AJ70),AJ70*(1+PortfolioFrontier[[#This Row],[P9 Return]]),1+PortfolioFrontier[[#This Row],[P9 Return]])</f>
        <v>1.8139467261629987</v>
      </c>
      <c r="AK71" s="27">
        <f>MAX(AK70,PortfolioFrontier[[#This Row],[P9 Growth]])</f>
        <v>1.8139467261629987</v>
      </c>
      <c r="AL71" s="27">
        <f>PortfolioFrontier[[#This Row],[P9 Growth]]/PortfolioFrontier[[#This Row],[P9 HWM]]-1</f>
        <v>0</v>
      </c>
      <c r="AM71" s="28">
        <f>SUMPRODUCT(INDEX(PortfolioRef[[SPY]:[PE]],MATCH(AM$1,PortfolioRef[Reference '#]),0),AssetMonthlyReturns[[#This Row],[SPY]:[PE]])</f>
        <v>3.7460088349924148E-2</v>
      </c>
      <c r="AN71" s="27">
        <f>IF(ISNUMBER(AN70),AN70*(1+PortfolioFrontier[[#This Row],[P10 Return]]),1+PortfolioFrontier[[#This Row],[P10 Return]])</f>
        <v>1.8443368551596837</v>
      </c>
      <c r="AO71" s="27">
        <f>MAX(AO70,PortfolioFrontier[[#This Row],[P10 Growth]])</f>
        <v>1.8443368551596837</v>
      </c>
      <c r="AP71" s="27">
        <f>PortfolioFrontier[[#This Row],[P10 Growth]]/PortfolioFrontier[[#This Row],[P10 HWM]]-1</f>
        <v>0</v>
      </c>
      <c r="AQ71" s="28">
        <f>SUMPRODUCT(INDEX(PortfolioRef[[SPY]:[PE]],MATCH(AQ$1,PortfolioRef[Reference '#]),0),AssetMonthlyReturns[[#This Row],[SPY]:[PE]])</f>
        <v>4.015286964775526E-2</v>
      </c>
      <c r="AR71" s="27">
        <f>IF(ISNUMBER(AR70),AR70*(1+PortfolioFrontier[[#This Row],[P11 Return]]),1+PortfolioFrontier[[#This Row],[P11 Return]])</f>
        <v>1.865449984246593</v>
      </c>
      <c r="AS71" s="27">
        <f>MAX(AS70,PortfolioFrontier[[#This Row],[P11 Growth]])</f>
        <v>1.865449984246593</v>
      </c>
      <c r="AT71" s="27">
        <f>PortfolioFrontier[[#This Row],[P11 Growth]]/PortfolioFrontier[[#This Row],[P11 HWM]]-1</f>
        <v>0</v>
      </c>
      <c r="AU71" s="28">
        <f>SUMPRODUCT(INDEX(PortfolioRef[[SPY]:[PE]],MATCH(AU$1,PortfolioRef[Reference '#]),0),AssetMonthlyReturns[[#This Row],[SPY]:[PE]])</f>
        <v>3.7648576093507032E-2</v>
      </c>
      <c r="AV71" s="27">
        <f>IF(ISNUMBER(AV70),AV70*(1+PortfolioFrontier[[#This Row],[P12 Return]]),1+PortfolioFrontier[[#This Row],[P12 Return]])</f>
        <v>1.8309154354259589</v>
      </c>
      <c r="AW71" s="27">
        <f>MAX(AW70,PortfolioFrontier[[#This Row],[P12 Growth]])</f>
        <v>1.8309154354259589</v>
      </c>
      <c r="AX71" s="27">
        <f>PortfolioFrontier[[#This Row],[P12 Growth]]/PortfolioFrontier[[#This Row],[P12 HWM]]-1</f>
        <v>0</v>
      </c>
      <c r="AY71" s="28">
        <f>SUMPRODUCT(INDEX(PortfolioRef[[SPY]:[PE]],MATCH(AY$1,PortfolioRef[Reference '#]),0),AssetMonthlyReturns[[#This Row],[SPY]:[PE]])</f>
        <v>4.2845650945586379E-2</v>
      </c>
      <c r="AZ71" s="27">
        <f>IF(ISNUMBER(AZ70),AZ70*(1+PortfolioFrontier[[#This Row],[P13 Return]]),1+PortfolioFrontier[[#This Row],[P13 Return]])</f>
        <v>1.8858075751364967</v>
      </c>
      <c r="BA71" s="27">
        <f>MAX(BA70,PortfolioFrontier[[#This Row],[P13 Growth]])</f>
        <v>1.8858075751364967</v>
      </c>
      <c r="BB71" s="27">
        <f>PortfolioFrontier[[#This Row],[P13 Growth]]/PortfolioFrontier[[#This Row],[P13 HWM]]-1</f>
        <v>0</v>
      </c>
      <c r="BC71" s="28">
        <f>SUMPRODUCT(INDEX(PortfolioRef[[SPY]:[PE]],MATCH(BC$1,PortfolioRef[Reference '#]),0),AssetMonthlyReturns[[#This Row],[SPY]:[PE]])</f>
        <v>4.0341357391338144E-2</v>
      </c>
      <c r="BD71" s="27">
        <f>IF(ISNUMBER(BD70),BD70*(1+PortfolioFrontier[[#This Row],[P14 Return]]),1+PortfolioFrontier[[#This Row],[P14 Return]])</f>
        <v>1.8515113734383843</v>
      </c>
      <c r="BE71" s="27">
        <f>MAX(BE70,PortfolioFrontier[[#This Row],[P14 Growth]])</f>
        <v>1.8515113734383843</v>
      </c>
      <c r="BF71" s="27">
        <f>PortfolioFrontier[[#This Row],[P14 Growth]]/PortfolioFrontier[[#This Row],[P14 HWM]]-1</f>
        <v>0</v>
      </c>
      <c r="BG71" s="28">
        <f>SUMPRODUCT(INDEX(PortfolioRef[[SPY]:[PE]],MATCH(BG$1,PortfolioRef[Reference '#]),0),AssetMonthlyReturns[[#This Row],[SPY]:[PE]])</f>
        <v>3.7837063837089922E-2</v>
      </c>
      <c r="BH71" s="27">
        <f>IF(ISNUMBER(BH70),BH70*(1+PortfolioFrontier[[#This Row],[P15 Return]]),1+PortfolioFrontier[[#This Row],[P15 Return]])</f>
        <v>1.8170439473092146</v>
      </c>
      <c r="BI71" s="27">
        <f>MAX(BI70,PortfolioFrontier[[#This Row],[P15 Growth]])</f>
        <v>1.8170439473092146</v>
      </c>
      <c r="BJ71" s="27">
        <f>PortfolioFrontier[[#This Row],[P15 Growth]]/PortfolioFrontier[[#This Row],[P15 HWM]]-1</f>
        <v>0</v>
      </c>
      <c r="BK71" s="28">
        <f>SUMPRODUCT(INDEX(PortfolioRef[[SPY]:[PE]],MATCH(BK$1,PortfolioRef[Reference '#]),0),AssetMonthlyReturns[[#This Row],[SPY]:[PE]])</f>
        <v>3.136381516791497E-2</v>
      </c>
      <c r="BL71" s="27">
        <f>IF(ISNUMBER(BL70),BL70*(1+PortfolioFrontier[[#This Row],[P16 Return]]),1+PortfolioFrontier[[#This Row],[P16 Return]])</f>
        <v>1.7425494832470445</v>
      </c>
      <c r="BM71" s="27">
        <f>MAX(BM70,PortfolioFrontier[[#This Row],[P16 Growth]])</f>
        <v>1.7425494832470445</v>
      </c>
      <c r="BN71" s="27">
        <f>PortfolioFrontier[[#This Row],[P16 Growth]]/PortfolioFrontier[[#This Row],[P16 HWM]]-1</f>
        <v>0</v>
      </c>
      <c r="BO71" s="28">
        <f>SUMPRODUCT(INDEX(PortfolioRef[[SPY]:[PE]],MATCH(BO$1,PortfolioRef[Reference '#]),0),AssetMonthlyReturns[[#This Row],[SPY]:[PE]])</f>
        <v>3.3235811348257011E-2</v>
      </c>
      <c r="BP71" s="27">
        <f>IF(ISNUMBER(BP70),BP70*(1+PortfolioFrontier[[#This Row],[P17 Return]]),1+PortfolioFrontier[[#This Row],[P17 Return]])</f>
        <v>1.7588525148836969</v>
      </c>
      <c r="BQ71" s="27">
        <f>MAX(BQ70,PortfolioFrontier[[#This Row],[P17 Growth]])</f>
        <v>1.7588525148836969</v>
      </c>
      <c r="BR71" s="27">
        <f>PortfolioFrontier[[#This Row],[P17 Growth]]/PortfolioFrontier[[#This Row],[P17 HWM]]-1</f>
        <v>0</v>
      </c>
      <c r="BS71" s="28">
        <f>SUMPRODUCT(INDEX(PortfolioRef[[SPY]:[PE]],MATCH(BS$1,PortfolioRef[Reference '#]),0),AssetMonthlyReturns[[#This Row],[SPY]:[PE]])</f>
        <v>3.592859264608813E-2</v>
      </c>
      <c r="BT71" s="27">
        <f>IF(ISNUMBER(BT70),BT70*(1+PortfolioFrontier[[#This Row],[P18 Return]]),1+PortfolioFrontier[[#This Row],[P18 Return]])</f>
        <v>1.7791407441475846</v>
      </c>
      <c r="BU71" s="27">
        <f>MAX(BU70,PortfolioFrontier[[#This Row],[P18 Growth]])</f>
        <v>1.7791407441475846</v>
      </c>
      <c r="BV71" s="27">
        <f>PortfolioFrontier[[#This Row],[P18 Growth]]/PortfolioFrontier[[#This Row],[P18 HWM]]-1</f>
        <v>0</v>
      </c>
      <c r="BW71" s="28">
        <f>SUMPRODUCT(INDEX(PortfolioRef[[SPY]:[PE]],MATCH(BW$1,PortfolioRef[Reference '#]),0),AssetMonthlyReturns[[#This Row],[SPY]:[PE]])</f>
        <v>3.3424299091839894E-2</v>
      </c>
      <c r="BX71" s="27">
        <f>IF(ISNUMBER(BX70),BX70*(1+PortfolioFrontier[[#This Row],[P19 Return]]),1+PortfolioFrontier[[#This Row],[P19 Return]])</f>
        <v>1.7457196180719312</v>
      </c>
      <c r="BY71" s="27">
        <f>MAX(BY70,PortfolioFrontier[[#This Row],[P19 Growth]])</f>
        <v>1.7457196180719312</v>
      </c>
      <c r="BZ71" s="27">
        <f>PortfolioFrontier[[#This Row],[P19 Growth]]/PortfolioFrontier[[#This Row],[P19 HWM]]-1</f>
        <v>0</v>
      </c>
      <c r="CA71" s="28">
        <f>SUMPRODUCT(INDEX(PortfolioRef[[SPY]:[PE]],MATCH(CA$1,PortfolioRef[Reference '#]),0),AssetMonthlyReturns[[#This Row],[SPY]:[PE]])</f>
        <v>3.5107807528599058E-2</v>
      </c>
      <c r="CB71" s="27">
        <f>IF(ISNUMBER(CB70),CB70*(1+PortfolioFrontier[[#This Row],[P20 Return]]),1+PortfolioFrontier[[#This Row],[P20 Return]])</f>
        <v>1.7749567522517573</v>
      </c>
      <c r="CC71" s="27">
        <f>MAX(CC70,PortfolioFrontier[[#This Row],[P20 Growth]])</f>
        <v>1.7749567522517573</v>
      </c>
      <c r="CD71" s="27">
        <f>PortfolioFrontier[[#This Row],[P20 Growth]]/PortfolioFrontier[[#This Row],[P20 HWM]]-1</f>
        <v>0</v>
      </c>
      <c r="CE71" s="28">
        <f>SUMPRODUCT(INDEX(PortfolioRef[[SPY]:[PE]],MATCH(CE$1,PortfolioRef[Reference '#]),0),AssetMonthlyReturns[[#This Row],[SPY]:[PE]])</f>
        <v>3.780058882643017E-2</v>
      </c>
      <c r="CF71" s="27">
        <f>IF(ISNUMBER(CF70),CF70*(1+PortfolioFrontier[[#This Row],[P21 Return]]),1+PortfolioFrontier[[#This Row],[P21 Return]])</f>
        <v>1.795743356031652</v>
      </c>
      <c r="CG71" s="27">
        <f>MAX(CG70,PortfolioFrontier[[#This Row],[P21 Growth]])</f>
        <v>1.795743356031652</v>
      </c>
      <c r="CH71" s="27">
        <f>PortfolioFrontier[[#This Row],[P21 Growth]]/PortfolioFrontier[[#This Row],[P21 HWM]]-1</f>
        <v>0</v>
      </c>
      <c r="CI71" s="28">
        <f>SUMPRODUCT(INDEX(PortfolioRef[[SPY]:[PE]],MATCH(CI$1,PortfolioRef[Reference '#]),0),AssetMonthlyReturns[[#This Row],[SPY]:[PE]])</f>
        <v>3.5296295272181942E-2</v>
      </c>
      <c r="CJ71" s="27">
        <f>IF(ISNUMBER(CJ70),CJ70*(1+PortfolioFrontier[[#This Row],[P22 Return]]),1+PortfolioFrontier[[#This Row],[P22 Return]])</f>
        <v>1.7620784578443487</v>
      </c>
      <c r="CK71" s="27">
        <f>MAX(CK70,PortfolioFrontier[[#This Row],[P22 Growth]])</f>
        <v>1.7620784578443487</v>
      </c>
      <c r="CL71" s="27">
        <f>PortfolioFrontier[[#This Row],[P22 Growth]]/PortfolioFrontier[[#This Row],[P22 HWM]]-1</f>
        <v>0</v>
      </c>
      <c r="CM71" s="28">
        <f>SUMPRODUCT(INDEX(PortfolioRef[[SPY]:[PE]],MATCH(CM$1,PortfolioRef[Reference '#]),0),AssetMonthlyReturns[[#This Row],[SPY]:[PE]])</f>
        <v>4.049337012426129E-2</v>
      </c>
      <c r="CN71" s="27">
        <f>IF(ISNUMBER(CN70),CN70*(1+PortfolioFrontier[[#This Row],[P23 Return]]),1+PortfolioFrontier[[#This Row],[P23 Return]])</f>
        <v>1.8158151760868648</v>
      </c>
      <c r="CO71" s="27">
        <f>MAX(CO70,PortfolioFrontier[[#This Row],[P23 Growth]])</f>
        <v>1.8158151760868648</v>
      </c>
      <c r="CP71" s="27">
        <f>PortfolioFrontier[[#This Row],[P23 Growth]]/PortfolioFrontier[[#This Row],[P23 HWM]]-1</f>
        <v>0</v>
      </c>
      <c r="CQ71" s="28">
        <f>SUMPRODUCT(INDEX(PortfolioRef[[SPY]:[PE]],MATCH(CQ$1,PortfolioRef[Reference '#]),0),AssetMonthlyReturns[[#This Row],[SPY]:[PE]])</f>
        <v>3.7989076570013054E-2</v>
      </c>
      <c r="CR71" s="27">
        <f>IF(ISNUMBER(CR70),CR70*(1+PortfolioFrontier[[#This Row],[P24 Return]]),1+PortfolioFrontier[[#This Row],[P24 Return]])</f>
        <v>1.7823638134718676</v>
      </c>
      <c r="CS71" s="27">
        <f>MAX(CS70,PortfolioFrontier[[#This Row],[P24 Growth]])</f>
        <v>1.7823638134718676</v>
      </c>
      <c r="CT71" s="27">
        <f>PortfolioFrontier[[#This Row],[P24 Growth]]/PortfolioFrontier[[#This Row],[P24 HWM]]-1</f>
        <v>0</v>
      </c>
      <c r="CU71" s="28">
        <f>SUMPRODUCT(INDEX(PortfolioRef[[SPY]:[PE]],MATCH(CU$1,PortfolioRef[Reference '#]),0),AssetMonthlyReturns[[#This Row],[SPY]:[PE]])</f>
        <v>3.5484783015764833E-2</v>
      </c>
      <c r="CV71" s="27">
        <f>IF(ISNUMBER(CV70),CV70*(1+PortfolioFrontier[[#This Row],[P25 Return]]),1+PortfolioFrontier[[#This Row],[P25 Return]])</f>
        <v>1.7487656732120247</v>
      </c>
      <c r="CW71" s="27">
        <f>MAX(CW70,PortfolioFrontier[[#This Row],[P25 Growth]])</f>
        <v>1.7487656732120247</v>
      </c>
      <c r="CX71" s="27">
        <f>PortfolioFrontier[[#This Row],[P25 Growth]]/PortfolioFrontier[[#This Row],[P25 HWM]]-1</f>
        <v>0</v>
      </c>
      <c r="CY71" s="28">
        <f>SUMPRODUCT(INDEX(PortfolioRef[[SPY]:[PE]],MATCH(CY$1,PortfolioRef[Reference '#]),0),AssetMonthlyReturns[[#This Row],[SPY]:[PE]])</f>
        <v>3.9672585006772218E-2</v>
      </c>
      <c r="CZ71" s="27">
        <f>IF(ISNUMBER(CZ70),CZ70*(1+PortfolioFrontier[[#This Row],[P26 Return]]),1+PortfolioFrontier[[#This Row],[P26 Return]])</f>
        <v>1.8121428498945955</v>
      </c>
      <c r="DA71" s="27">
        <f>MAX(DA70,PortfolioFrontier[[#This Row],[P26 Growth]])</f>
        <v>1.8121428498945955</v>
      </c>
      <c r="DB71" s="27">
        <f>PortfolioFrontier[[#This Row],[P26 Growth]]/PortfolioFrontier[[#This Row],[P26 HWM]]-1</f>
        <v>0</v>
      </c>
      <c r="DC71" s="28">
        <f>SUMPRODUCT(INDEX(PortfolioRef[[SPY]:[PE]],MATCH(DC$1,PortfolioRef[Reference '#]),0),AssetMonthlyReturns[[#This Row],[SPY]:[PE]])</f>
        <v>3.716829145252399E-2</v>
      </c>
      <c r="DD71" s="27">
        <f>IF(ISNUMBER(DD70),DD70*(1+PortfolioFrontier[[#This Row],[P27 Return]]),1+PortfolioFrontier[[#This Row],[P27 Return]])</f>
        <v>1.7782387807323972</v>
      </c>
      <c r="DE71" s="27">
        <f>MAX(DE70,PortfolioFrontier[[#This Row],[P27 Growth]])</f>
        <v>1.7782387807323972</v>
      </c>
      <c r="DF71" s="27">
        <f>PortfolioFrontier[[#This Row],[P27 Growth]]/PortfolioFrontier[[#This Row],[P27 HWM]]-1</f>
        <v>0</v>
      </c>
      <c r="DG71" s="28">
        <f>SUMPRODUCT(INDEX(PortfolioRef[[SPY]:[PE]],MATCH(DG$1,PortfolioRef[Reference '#]),0),AssetMonthlyReturns[[#This Row],[SPY]:[PE]])</f>
        <v>4.236536630460333E-2</v>
      </c>
      <c r="DH71" s="27">
        <f>IF(ISNUMBER(DH70),DH70*(1+PortfolioFrontier[[#This Row],[P28 Return]]),1+PortfolioFrontier[[#This Row],[P28 Return]])</f>
        <v>1.8327167417336543</v>
      </c>
      <c r="DI71" s="27">
        <f>MAX(DI70,PortfolioFrontier[[#This Row],[P28 Growth]])</f>
        <v>1.8327167417336543</v>
      </c>
      <c r="DJ71" s="27">
        <f>PortfolioFrontier[[#This Row],[P28 Growth]]/PortfolioFrontier[[#This Row],[P28 HWM]]-1</f>
        <v>0</v>
      </c>
      <c r="DK71" s="28">
        <f>SUMPRODUCT(INDEX(PortfolioRef[[SPY]:[PE]],MATCH(DK$1,PortfolioRef[Reference '#]),0),AssetMonthlyReturns[[#This Row],[SPY]:[PE]])</f>
        <v>3.9861072750355102E-2</v>
      </c>
      <c r="DL71" s="27">
        <f>IF(ISNUMBER(DL70),DL70*(1+PortfolioFrontier[[#This Row],[P29 Return]]),1+PortfolioFrontier[[#This Row],[P29 Return]])</f>
        <v>1.7990232294645383</v>
      </c>
      <c r="DM71" s="27">
        <f>MAX(DM70,PortfolioFrontier[[#This Row],[P29 Growth]])</f>
        <v>1.7990232294645383</v>
      </c>
      <c r="DN71" s="27">
        <f>PortfolioFrontier[[#This Row],[P29 Growth]]/PortfolioFrontier[[#This Row],[P29 HWM]]-1</f>
        <v>0</v>
      </c>
      <c r="DO71" s="28">
        <f>SUMPRODUCT(INDEX(PortfolioRef[[SPY]:[PE]],MATCH(DO$1,PortfolioRef[Reference '#]),0),AssetMonthlyReturns[[#This Row],[SPY]:[PE]])</f>
        <v>3.7356779196106873E-2</v>
      </c>
      <c r="DP71" s="27">
        <f>IF(ISNUMBER(DP70),DP70*(1+PortfolioFrontier[[#This Row],[P30 Return]]),1+PortfolioFrontier[[#This Row],[P30 Return]])</f>
        <v>1.7651792866223672</v>
      </c>
      <c r="DQ71" s="27">
        <f>MAX(DQ70,PortfolioFrontier[[#This Row],[P30 Growth]])</f>
        <v>1.7651792866223672</v>
      </c>
      <c r="DR71" s="27">
        <f>PortfolioFrontier[[#This Row],[P30 Growth]]/PortfolioFrontier[[#This Row],[P30 HWM]]-1</f>
        <v>0</v>
      </c>
      <c r="DS71" s="28">
        <f>SUMPRODUCT(INDEX(PortfolioRef[[SPY]:[PE]],MATCH(DS$1,PortfolioRef[Reference '#]),0),AssetMonthlyReturns[[#This Row],[SPY]:[PE]])</f>
        <v>4.5058147602434449E-2</v>
      </c>
      <c r="DT71" s="27">
        <f>IF(ISNUMBER(DT70),DT70*(1+PortfolioFrontier[[#This Row],[P31 Return]]),1+PortfolioFrontier[[#This Row],[P31 Return]])</f>
        <v>1.8525428026208837</v>
      </c>
      <c r="DU71" s="27">
        <f>MAX(DU70,PortfolioFrontier[[#This Row],[P31 Growth]])</f>
        <v>1.8525428026208837</v>
      </c>
      <c r="DV71" s="27">
        <f>PortfolioFrontier[[#This Row],[P31 Growth]]/PortfolioFrontier[[#This Row],[P31 HWM]]-1</f>
        <v>0</v>
      </c>
      <c r="DW71" s="28">
        <f>SUMPRODUCT(INDEX(PortfolioRef[[SPY]:[PE]],MATCH(DW$1,PortfolioRef[Reference '#]),0),AssetMonthlyReturns[[#This Row],[SPY]:[PE]])</f>
        <v>4.2553854048186221E-2</v>
      </c>
      <c r="DX71" s="27">
        <f>IF(ISNUMBER(DX70),DX70*(1+PortfolioFrontier[[#This Row],[P32 Return]]),1+PortfolioFrontier[[#This Row],[P32 Return]])</f>
        <v>1.8190908915066115</v>
      </c>
      <c r="DY71" s="27">
        <f>MAX(DY70,PortfolioFrontier[[#This Row],[P32 Growth]])</f>
        <v>1.8190908915066115</v>
      </c>
      <c r="DZ71" s="27">
        <f>PortfolioFrontier[[#This Row],[P32 Growth]]/PortfolioFrontier[[#This Row],[P32 HWM]]-1</f>
        <v>0</v>
      </c>
      <c r="EA71" s="28">
        <f>SUMPRODUCT(INDEX(PortfolioRef[[SPY]:[PE]],MATCH(EA$1,PortfolioRef[Reference '#]),0),AssetMonthlyReturns[[#This Row],[SPY]:[PE]])</f>
        <v>4.0049560493937993E-2</v>
      </c>
      <c r="EB71" s="27">
        <f>IF(ISNUMBER(EB70),EB70*(1+PortfolioFrontier[[#This Row],[P33 Return]]),1+PortfolioFrontier[[#This Row],[P33 Return]])</f>
        <v>1.7854600976944932</v>
      </c>
      <c r="EC71" s="27">
        <f>MAX(EC70,PortfolioFrontier[[#This Row],[P33 Growth]])</f>
        <v>1.7854600976944932</v>
      </c>
      <c r="ED71" s="27">
        <f>PortfolioFrontier[[#This Row],[P33 Growth]]/PortfolioFrontier[[#This Row],[P33 HWM]]-1</f>
        <v>0</v>
      </c>
      <c r="EE71" s="28">
        <f>SUMPRODUCT(INDEX(PortfolioRef[[SPY]:[PE]],MATCH(EE$1,PortfolioRef[Reference '#]),0),AssetMonthlyReturns[[#This Row],[SPY]:[PE]])</f>
        <v>2.9011534346589877E-2</v>
      </c>
      <c r="EF71" s="27">
        <f>IF(ISNUMBER(EF70),EF70*(1+PortfolioFrontier[[#This Row],[P34 Return]]),1+PortfolioFrontier[[#This Row],[P34 Return]])</f>
        <v>1.6763614413137211</v>
      </c>
      <c r="EG71" s="27">
        <f>MAX(EG70,PortfolioFrontier[[#This Row],[P34 Growth]])</f>
        <v>1.6763614413137211</v>
      </c>
      <c r="EH71" s="27">
        <f>PortfolioFrontier[[#This Row],[P34 Growth]]/PortfolioFrontier[[#This Row],[P34 HWM]]-1</f>
        <v>0</v>
      </c>
      <c r="EI71" s="28">
        <f>SUMPRODUCT(INDEX(PortfolioRef[[SPY]:[PE]],MATCH(EI$1,PortfolioRef[Reference '#]),0),AssetMonthlyReturns[[#This Row],[SPY]:[PE]])</f>
        <v>3.0883530526931924E-2</v>
      </c>
      <c r="EJ71" s="27">
        <f>IF(ISNUMBER(EJ70),EJ70*(1+PortfolioFrontier[[#This Row],[P35 Return]]),1+PortfolioFrontier[[#This Row],[P35 Return]])</f>
        <v>1.6920729334369538</v>
      </c>
      <c r="EK71" s="27">
        <f>MAX(EK70,PortfolioFrontier[[#This Row],[P35 Growth]])</f>
        <v>1.6920729334369538</v>
      </c>
      <c r="EL71" s="27">
        <f>PortfolioFrontier[[#This Row],[P35 Growth]]/PortfolioFrontier[[#This Row],[P35 HWM]]-1</f>
        <v>0</v>
      </c>
      <c r="EM71" s="28">
        <f>SUMPRODUCT(INDEX(PortfolioRef[[SPY]:[PE]],MATCH(EM$1,PortfolioRef[Reference '#]),0),AssetMonthlyReturns[[#This Row],[SPY]:[PE]])</f>
        <v>3.357631182476304E-2</v>
      </c>
      <c r="EN71" s="27">
        <f>IF(ISNUMBER(EN70),EN70*(1+PortfolioFrontier[[#This Row],[P36 Return]]),1+PortfolioFrontier[[#This Row],[P36 Return]])</f>
        <v>1.7120343963250326</v>
      </c>
      <c r="EO71" s="27">
        <f>MAX(EO70,PortfolioFrontier[[#This Row],[P36 Growth]])</f>
        <v>1.7120343963250326</v>
      </c>
      <c r="EP71" s="27">
        <f>PortfolioFrontier[[#This Row],[P36 Growth]]/PortfolioFrontier[[#This Row],[P36 HWM]]-1</f>
        <v>0</v>
      </c>
      <c r="EQ71" s="28">
        <f>SUMPRODUCT(INDEX(PortfolioRef[[SPY]:[PE]],MATCH(EQ$1,PortfolioRef[Reference '#]),0),AssetMonthlyReturns[[#This Row],[SPY]:[PE]])</f>
        <v>3.1072018270514808E-2</v>
      </c>
      <c r="ER71" s="27">
        <f>IF(ISNUMBER(ER70),ER70*(1+PortfolioFrontier[[#This Row],[P37 Return]]),1+PortfolioFrontier[[#This Row],[P37 Return]])</f>
        <v>1.6794736802569215</v>
      </c>
      <c r="ES71" s="27">
        <f>MAX(ES70,PortfolioFrontier[[#This Row],[P37 Growth]])</f>
        <v>1.6794736802569215</v>
      </c>
      <c r="ET71" s="27">
        <f>PortfolioFrontier[[#This Row],[P37 Growth]]/PortfolioFrontier[[#This Row],[P37 HWM]]-1</f>
        <v>0</v>
      </c>
      <c r="EU71" s="28">
        <f>SUMPRODUCT(INDEX(PortfolioRef[[SPY]:[PE]],MATCH(EU$1,PortfolioRef[Reference '#]),0),AssetMonthlyReturns[[#This Row],[SPY]:[PE]])</f>
        <v>3.2755526707273969E-2</v>
      </c>
      <c r="EV71" s="27">
        <f>IF(ISNUMBER(EV70),EV70*(1+PortfolioFrontier[[#This Row],[P38 Return]]),1+PortfolioFrontier[[#This Row],[P38 Return]])</f>
        <v>1.7075928941250238</v>
      </c>
      <c r="EW71" s="27">
        <f>MAX(EW70,PortfolioFrontier[[#This Row],[P38 Growth]])</f>
        <v>1.7075928941250238</v>
      </c>
      <c r="EX71" s="27">
        <f>PortfolioFrontier[[#This Row],[P38 Growth]]/PortfolioFrontier[[#This Row],[P38 HWM]]-1</f>
        <v>0</v>
      </c>
      <c r="EY71" s="28">
        <f>SUMPRODUCT(INDEX(PortfolioRef[[SPY]:[PE]],MATCH(EY$1,PortfolioRef[Reference '#]),0),AssetMonthlyReturns[[#This Row],[SPY]:[PE]])</f>
        <v>3.5448308005105088E-2</v>
      </c>
      <c r="EZ71" s="27">
        <f>IF(ISNUMBER(EZ70),EZ70*(1+PortfolioFrontier[[#This Row],[P39 Return]]),1+PortfolioFrontier[[#This Row],[P39 Return]])</f>
        <v>1.7280388577532122</v>
      </c>
      <c r="FA71" s="27">
        <f>MAX(FA70,PortfolioFrontier[[#This Row],[P39 Growth]])</f>
        <v>1.7280388577532122</v>
      </c>
      <c r="FB71" s="27">
        <f>PortfolioFrontier[[#This Row],[P39 Growth]]/PortfolioFrontier[[#This Row],[P39 HWM]]-1</f>
        <v>0</v>
      </c>
      <c r="FC71" s="28">
        <f>SUMPRODUCT(INDEX(PortfolioRef[[SPY]:[PE]],MATCH(FC$1,PortfolioRef[Reference '#]),0),AssetMonthlyReturns[[#This Row],[SPY]:[PE]])</f>
        <v>3.2944014450856852E-2</v>
      </c>
      <c r="FD71" s="27">
        <f>IF(ISNUMBER(FD70),FD70*(1+PortfolioFrontier[[#This Row],[P40 Return]]),1+PortfolioFrontier[[#This Row],[P40 Return]])</f>
        <v>1.6952394830468527</v>
      </c>
      <c r="FE71" s="27">
        <f>MAX(FE70,PortfolioFrontier[[#This Row],[P40 Growth]])</f>
        <v>1.6952394830468527</v>
      </c>
      <c r="FF71" s="27">
        <f>PortfolioFrontier[[#This Row],[P40 Growth]]/PortfolioFrontier[[#This Row],[P40 HWM]]-1</f>
        <v>0</v>
      </c>
      <c r="FG71" s="28">
        <f>SUMPRODUCT(INDEX(PortfolioRef[[SPY]:[PE]],MATCH(FG$1,PortfolioRef[Reference '#]),0),AssetMonthlyReturns[[#This Row],[SPY]:[PE]])</f>
        <v>3.81410893029362E-2</v>
      </c>
      <c r="FH71" s="27">
        <f>IF(ISNUMBER(FH70),FH70*(1+PortfolioFrontier[[#This Row],[P41 Return]]),1+PortfolioFrontier[[#This Row],[P41 Return]])</f>
        <v>1.7478091274239449</v>
      </c>
      <c r="FI71" s="27">
        <f>MAX(FI70,PortfolioFrontier[[#This Row],[P41 Growth]])</f>
        <v>1.7478091274239449</v>
      </c>
      <c r="FJ71" s="27">
        <f>PortfolioFrontier[[#This Row],[P41 Growth]]/PortfolioFrontier[[#This Row],[P41 HWM]]-1</f>
        <v>0</v>
      </c>
      <c r="FK71" s="28">
        <f>SUMPRODUCT(INDEX(PortfolioRef[[SPY]:[PE]],MATCH(FK$1,PortfolioRef[Reference '#]),0),AssetMonthlyReturns[[#This Row],[SPY]:[PE]])</f>
        <v>3.5636795748687965E-2</v>
      </c>
      <c r="FL71" s="27">
        <f>IF(ISNUMBER(FL70),FL70*(1+PortfolioFrontier[[#This Row],[P42 Return]]),1+PortfolioFrontier[[#This Row],[P42 Return]])</f>
        <v>1.7151998522045959</v>
      </c>
      <c r="FM71" s="27">
        <f>MAX(FM70,PortfolioFrontier[[#This Row],[P42 Growth]])</f>
        <v>1.7151998522045959</v>
      </c>
      <c r="FN71" s="27">
        <f>PortfolioFrontier[[#This Row],[P42 Growth]]/PortfolioFrontier[[#This Row],[P42 HWM]]-1</f>
        <v>0</v>
      </c>
      <c r="FO71" s="28">
        <f>SUMPRODUCT(INDEX(PortfolioRef[[SPY]:[PE]],MATCH(FO$1,PortfolioRef[Reference '#]),0),AssetMonthlyReturns[[#This Row],[SPY]:[PE]])</f>
        <v>3.3132502194439743E-2</v>
      </c>
      <c r="FP71" s="27">
        <f>IF(ISNUMBER(FP70),FP70*(1+PortfolioFrontier[[#This Row],[P43 Return]]),1+PortfolioFrontier[[#This Row],[P43 Return]])</f>
        <v>1.6824667632825669</v>
      </c>
      <c r="FQ71" s="27">
        <f>MAX(FQ70,PortfolioFrontier[[#This Row],[P43 Growth]])</f>
        <v>1.6824667632825669</v>
      </c>
      <c r="FR71" s="27">
        <f>PortfolioFrontier[[#This Row],[P43 Growth]]/PortfolioFrontier[[#This Row],[P43 HWM]]-1</f>
        <v>0</v>
      </c>
      <c r="FS71" s="28">
        <f>SUMPRODUCT(INDEX(PortfolioRef[[SPY]:[PE]],MATCH(FS$1,PortfolioRef[Reference '#]),0),AssetMonthlyReturns[[#This Row],[SPY]:[PE]])</f>
        <v>3.7320304185447128E-2</v>
      </c>
      <c r="FT71" s="27">
        <f>IF(ISNUMBER(FT70),FT70*(1+PortfolioFrontier[[#This Row],[P44 Return]]),1+PortfolioFrontier[[#This Row],[P44 Return]])</f>
        <v>1.7438475694471607</v>
      </c>
      <c r="FU71" s="27">
        <f>MAX(FU70,PortfolioFrontier[[#This Row],[P44 Growth]])</f>
        <v>1.7438475694471607</v>
      </c>
      <c r="FV71" s="27">
        <f>PortfolioFrontier[[#This Row],[P44 Growth]]/PortfolioFrontier[[#This Row],[P44 HWM]]-1</f>
        <v>0</v>
      </c>
      <c r="FW71" s="28">
        <f>SUMPRODUCT(INDEX(PortfolioRef[[SPY]:[PE]],MATCH(FW$1,PortfolioRef[Reference '#]),0),AssetMonthlyReturns[[#This Row],[SPY]:[PE]])</f>
        <v>3.48160106311989E-2</v>
      </c>
      <c r="FX71" s="27">
        <f>IF(ISNUMBER(FX70),FX70*(1+PortfolioFrontier[[#This Row],[P45 Return]]),1+PortfolioFrontier[[#This Row],[P45 Return]])</f>
        <v>1.7108140158896465</v>
      </c>
      <c r="FY71" s="27">
        <f>MAX(FY70,PortfolioFrontier[[#This Row],[P45 Growth]])</f>
        <v>1.7108140158896465</v>
      </c>
      <c r="FZ71" s="27">
        <f>PortfolioFrontier[[#This Row],[P45 Growth]]/PortfolioFrontier[[#This Row],[P45 HWM]]-1</f>
        <v>0</v>
      </c>
      <c r="GA71" s="28">
        <f>SUMPRODUCT(INDEX(PortfolioRef[[SPY]:[PE]],MATCH(GA$1,PortfolioRef[Reference '#]),0),AssetMonthlyReturns[[#This Row],[SPY]:[PE]])</f>
        <v>4.0013085483278248E-2</v>
      </c>
      <c r="GB71" s="27">
        <f>IF(ISNUMBER(GB70),GB70*(1+PortfolioFrontier[[#This Row],[P46 Return]]),1+PortfolioFrontier[[#This Row],[P46 Return]])</f>
        <v>1.7641061270089846</v>
      </c>
      <c r="GC71" s="27">
        <f>MAX(GC70,PortfolioFrontier[[#This Row],[P46 Growth]])</f>
        <v>1.7641061270089846</v>
      </c>
      <c r="GD71" s="27">
        <f>PortfolioFrontier[[#This Row],[P46 Growth]]/PortfolioFrontier[[#This Row],[P46 HWM]]-1</f>
        <v>0</v>
      </c>
      <c r="GE71" s="28">
        <f>SUMPRODUCT(INDEX(PortfolioRef[[SPY]:[PE]],MATCH(GE$1,PortfolioRef[Reference '#]),0),AssetMonthlyReturns[[#This Row],[SPY]:[PE]])</f>
        <v>3.7508791929030012E-2</v>
      </c>
      <c r="GF71" s="27">
        <f>IF(ISNUMBER(GF70),GF70*(1+PortfolioFrontier[[#This Row],[P47 Return]]),1+PortfolioFrontier[[#This Row],[P47 Return]])</f>
        <v>1.7312596087544752</v>
      </c>
      <c r="GG71" s="27">
        <f>MAX(GG70,PortfolioFrontier[[#This Row],[P47 Growth]])</f>
        <v>1.7312596087544752</v>
      </c>
      <c r="GH71" s="27">
        <f>PortfolioFrontier[[#This Row],[P47 Growth]]/PortfolioFrontier[[#This Row],[P47 HWM]]-1</f>
        <v>0</v>
      </c>
      <c r="GI71" s="28">
        <f>SUMPRODUCT(INDEX(PortfolioRef[[SPY]:[PE]],MATCH(GI$1,PortfolioRef[Reference '#]),0),AssetMonthlyReturns[[#This Row],[SPY]:[PE]])</f>
        <v>3.5004498374781791E-2</v>
      </c>
      <c r="GJ71" s="27">
        <f>IF(ISNUMBER(GJ70),GJ70*(1+PortfolioFrontier[[#This Row],[P48 Return]]),1+PortfolioFrontier[[#This Row],[P48 Return]])</f>
        <v>1.6982858835097865</v>
      </c>
      <c r="GK71" s="27">
        <f>MAX(GK70,PortfolioFrontier[[#This Row],[P48 Growth]])</f>
        <v>1.6982858835097865</v>
      </c>
      <c r="GL71" s="27">
        <f>PortfolioFrontier[[#This Row],[P48 Growth]]/PortfolioFrontier[[#This Row],[P48 HWM]]-1</f>
        <v>0</v>
      </c>
      <c r="GM71" s="28">
        <f>SUMPRODUCT(INDEX(PortfolioRef[[SPY]:[PE]],MATCH(GM$1,PortfolioRef[Reference '#]),0),AssetMonthlyReturns[[#This Row],[SPY]:[PE]])</f>
        <v>4.270586678110936E-2</v>
      </c>
      <c r="GN71" s="27">
        <f>IF(ISNUMBER(GN70),GN70*(1+PortfolioFrontier[[#This Row],[P49 Return]]),1+PortfolioFrontier[[#This Row],[P49 Return]])</f>
        <v>1.7836571071341945</v>
      </c>
      <c r="GO71" s="27">
        <f>MAX(GO70,PortfolioFrontier[[#This Row],[P49 Growth]])</f>
        <v>1.7836571071341945</v>
      </c>
      <c r="GP71" s="27">
        <f>PortfolioFrontier[[#This Row],[P49 Growth]]/PortfolioFrontier[[#This Row],[P49 HWM]]-1</f>
        <v>0</v>
      </c>
      <c r="GQ71" s="28">
        <f>SUMPRODUCT(INDEX(PortfolioRef[[SPY]:[PE]],MATCH(GQ$1,PortfolioRef[Reference '#]),0),AssetMonthlyReturns[[#This Row],[SPY]:[PE]])</f>
        <v>4.0201573226861131E-2</v>
      </c>
      <c r="GR71" s="27">
        <f>IF(ISNUMBER(GR70),GR70*(1+PortfolioFrontier[[#This Row],[P50 Return]]),1+PortfolioFrontier[[#This Row],[P50 Return]])</f>
        <v>1.7510275614895194</v>
      </c>
      <c r="GS71" s="27">
        <f>MAX(GS70,PortfolioFrontier[[#This Row],[P50 Growth]])</f>
        <v>1.7510275614895194</v>
      </c>
      <c r="GT71" s="27">
        <f>PortfolioFrontier[[#This Row],[P50 Growth]]/PortfolioFrontier[[#This Row],[P50 HWM]]-1</f>
        <v>0</v>
      </c>
      <c r="GU71" s="28">
        <f>SUMPRODUCT(INDEX(PortfolioRef[[SPY]:[PE]],MATCH(GU$1,PortfolioRef[Reference '#]),0),AssetMonthlyReturns[[#This Row],[SPY]:[PE]])</f>
        <v>3.7697279672612903E-2</v>
      </c>
      <c r="GV71" s="27">
        <f>IF(ISNUMBER(GV70),GV70*(1+PortfolioFrontier[[#This Row],[P51 Return]]),1+PortfolioFrontier[[#This Row],[P51 Return]])</f>
        <v>1.7182435242855478</v>
      </c>
      <c r="GW71" s="27">
        <f>MAX(GW70,PortfolioFrontier[[#This Row],[P51 Growth]])</f>
        <v>1.7182435242855478</v>
      </c>
      <c r="GX71" s="27">
        <f>PortfolioFrontier[[#This Row],[P51 Growth]]/PortfolioFrontier[[#This Row],[P51 HWM]]-1</f>
        <v>0</v>
      </c>
      <c r="GY71" s="28">
        <f>SUMPRODUCT(INDEX(PortfolioRef[[SPY]:[PE]],MATCH(GY$1,PortfolioRef[Reference '#]),0),AssetMonthlyReturns[[#This Row],[SPY]:[PE]])</f>
        <v>4.1885081663620288E-2</v>
      </c>
      <c r="GZ71" s="27">
        <f>IF(ISNUMBER(GZ70),GZ70*(1+PortfolioFrontier[[#This Row],[P52 Return]]),1+PortfolioFrontier[[#This Row],[P52 Return]])</f>
        <v>1.7802031417261526</v>
      </c>
      <c r="HA71" s="27">
        <f>MAX(HA70,PortfolioFrontier[[#This Row],[P52 Growth]])</f>
        <v>1.7802031417261526</v>
      </c>
      <c r="HB71" s="27">
        <f>PortfolioFrontier[[#This Row],[P52 Growth]]/PortfolioFrontier[[#This Row],[P52 HWM]]-1</f>
        <v>0</v>
      </c>
      <c r="HC71" s="28">
        <f>SUMPRODUCT(INDEX(PortfolioRef[[SPY]:[PE]],MATCH(HC$1,PortfolioRef[Reference '#]),0),AssetMonthlyReturns[[#This Row],[SPY]:[PE]])</f>
        <v>3.938078810937206E-2</v>
      </c>
      <c r="HD71" s="27">
        <f>IF(ISNUMBER(HD70),HD70*(1+PortfolioFrontier[[#This Row],[P53 Return]]),1+PortfolioFrontier[[#This Row],[P53 Return]])</f>
        <v>1.7471238825308339</v>
      </c>
      <c r="HE71" s="27">
        <f>MAX(HE70,PortfolioFrontier[[#This Row],[P53 Growth]])</f>
        <v>1.7471238825308339</v>
      </c>
      <c r="HF71" s="27">
        <f>PortfolioFrontier[[#This Row],[P53 Growth]]/PortfolioFrontier[[#This Row],[P53 HWM]]-1</f>
        <v>0</v>
      </c>
      <c r="HG71" s="28">
        <f>SUMPRODUCT(INDEX(PortfolioRef[[SPY]:[PE]],MATCH(HG$1,PortfolioRef[Reference '#]),0),AssetMonthlyReturns[[#This Row],[SPY]:[PE]])</f>
        <v>3.6876494555123832E-2</v>
      </c>
      <c r="HH71" s="27">
        <f>IF(ISNUMBER(HH70),HH70*(1+PortfolioFrontier[[#This Row],[P54 Return]]),1+PortfolioFrontier[[#This Row],[P54 Return]])</f>
        <v>1.7139140104060526</v>
      </c>
      <c r="HI71" s="27">
        <f>MAX(HI70,PortfolioFrontier[[#This Row],[P54 Growth]])</f>
        <v>1.7139140104060526</v>
      </c>
      <c r="HJ71" s="27">
        <f>PortfolioFrontier[[#This Row],[P54 Growth]]/PortfolioFrontier[[#This Row],[P54 HWM]]-1</f>
        <v>0</v>
      </c>
      <c r="HK71" s="28">
        <f>SUMPRODUCT(INDEX(PortfolioRef[[SPY]:[PE]],MATCH(HK$1,PortfolioRef[Reference '#]),0),AssetMonthlyReturns[[#This Row],[SPY]:[PE]])</f>
        <v>4.45778629614514E-2</v>
      </c>
      <c r="HL71" s="27">
        <f>IF(ISNUMBER(HL70),HL70*(1+PortfolioFrontier[[#This Row],[P55 Return]]),1+PortfolioFrontier[[#This Row],[P55 Return]])</f>
        <v>1.8002459621778737</v>
      </c>
      <c r="HM71" s="27">
        <f>MAX(HM70,PortfolioFrontier[[#This Row],[P55 Growth]])</f>
        <v>1.8002459621778737</v>
      </c>
      <c r="HN71" s="27">
        <f>PortfolioFrontier[[#This Row],[P55 Growth]]/PortfolioFrontier[[#This Row],[P55 HWM]]-1</f>
        <v>0</v>
      </c>
      <c r="HO71" s="28">
        <f>SUMPRODUCT(INDEX(PortfolioRef[[SPY]:[PE]],MATCH(HO$1,PortfolioRef[Reference '#]),0),AssetMonthlyReturns[[#This Row],[SPY]:[PE]])</f>
        <v>4.2073569407203172E-2</v>
      </c>
      <c r="HP71" s="27">
        <f>IF(ISNUMBER(HP70),HP70*(1+PortfolioFrontier[[#This Row],[P56 Return]]),1+PortfolioFrontier[[#This Row],[P56 Return]])</f>
        <v>1.767380839986993</v>
      </c>
      <c r="HQ71" s="27">
        <f>MAX(HQ70,PortfolioFrontier[[#This Row],[P56 Growth]])</f>
        <v>1.767380839986993</v>
      </c>
      <c r="HR71" s="27">
        <f>PortfolioFrontier[[#This Row],[P56 Growth]]/PortfolioFrontier[[#This Row],[P56 HWM]]-1</f>
        <v>0</v>
      </c>
      <c r="HS71" s="28">
        <f>SUMPRODUCT(INDEX(PortfolioRef[[SPY]:[PE]],MATCH(HS$1,PortfolioRef[Reference '#]),0),AssetMonthlyReturns[[#This Row],[SPY]:[PE]])</f>
        <v>3.9569275852954944E-2</v>
      </c>
      <c r="HT71" s="27">
        <f>IF(ISNUMBER(HT70),HT70*(1+PortfolioFrontier[[#This Row],[P57 Return]]),1+PortfolioFrontier[[#This Row],[P57 Return]])</f>
        <v>1.7343575628436463</v>
      </c>
      <c r="HU71" s="27">
        <f>MAX(HU70,PortfolioFrontier[[#This Row],[P57 Growth]])</f>
        <v>1.7343575628436463</v>
      </c>
      <c r="HV71" s="27">
        <f>PortfolioFrontier[[#This Row],[P57 Growth]]/PortfolioFrontier[[#This Row],[P57 HWM]]-1</f>
        <v>0</v>
      </c>
      <c r="HW71" s="28">
        <f>SUMPRODUCT(INDEX(PortfolioRef[[SPY]:[PE]],MATCH(HW$1,PortfolioRef[Reference '#]),0),AssetMonthlyReturns[[#This Row],[SPY]:[PE]])</f>
        <v>4.727064425928252E-2</v>
      </c>
      <c r="HX71" s="27">
        <f>IF(ISNUMBER(HX70),HX70*(1+PortfolioFrontier[[#This Row],[P58 Return]]),1+PortfolioFrontier[[#This Row],[P58 Return]])</f>
        <v>1.8195487359549802</v>
      </c>
      <c r="HY71" s="27">
        <f>MAX(HY70,PortfolioFrontier[[#This Row],[P58 Growth]])</f>
        <v>1.8195487359549802</v>
      </c>
      <c r="HZ71" s="27">
        <f>PortfolioFrontier[[#This Row],[P58 Growth]]/PortfolioFrontier[[#This Row],[P58 HWM]]-1</f>
        <v>0</v>
      </c>
      <c r="IA71" s="28">
        <f>SUMPRODUCT(INDEX(PortfolioRef[[SPY]:[PE]],MATCH(IA$1,PortfolioRef[Reference '#]),0),AssetMonthlyReturns[[#This Row],[SPY]:[PE]])</f>
        <v>4.4766350705034291E-2</v>
      </c>
      <c r="IB71" s="27">
        <f>IF(ISNUMBER(IB70),IB70*(1+PortfolioFrontier[[#This Row],[P59 Return]]),1+PortfolioFrontier[[#This Row],[P59 Return]])</f>
        <v>1.7869282396294996</v>
      </c>
      <c r="IC71" s="27">
        <f>MAX(IC70,PortfolioFrontier[[#This Row],[P59 Growth]])</f>
        <v>1.7869282396294996</v>
      </c>
      <c r="ID71" s="27">
        <f>PortfolioFrontier[[#This Row],[P59 Growth]]/PortfolioFrontier[[#This Row],[P59 HWM]]-1</f>
        <v>0</v>
      </c>
      <c r="IE71" s="28">
        <f>SUMPRODUCT(INDEX(PortfolioRef[[SPY]:[PE]],MATCH(IE$1,PortfolioRef[Reference '#]),0),AssetMonthlyReturns[[#This Row],[SPY]:[PE]])</f>
        <v>4.2262057150786063E-2</v>
      </c>
      <c r="IF71" s="27">
        <f>IF(ISNUMBER(IF70),IF70*(1+PortfolioFrontier[[#This Row],[P60 Return]]),1+PortfolioFrontier[[#This Row],[P60 Return]])</f>
        <v>1.7541215677111524</v>
      </c>
      <c r="IG71" s="27">
        <f>MAX(IG70,PortfolioFrontier[[#This Row],[P60 Growth]])</f>
        <v>1.7541215677111524</v>
      </c>
      <c r="IH71" s="27">
        <f>PortfolioFrontier[[#This Row],[P60 Growth]]/PortfolioFrontier[[#This Row],[P60 HWM]]-1</f>
        <v>0</v>
      </c>
      <c r="II71" s="28">
        <f>SUMPRODUCT(INDEX(PortfolioRef[[SPY]:[PE]],MATCH(II$1,PortfolioRef[Reference '#]),0),AssetMonthlyReturns[[#This Row],[SPY]:[PE]])</f>
        <v>2.6659253525264794E-2</v>
      </c>
      <c r="IJ71" s="27">
        <f>IF(ISNUMBER(IJ70),IJ70*(1+PortfolioFrontier[[#This Row],[P61 Return]]),1+PortfolioFrontier[[#This Row],[P61 Return]])</f>
        <v>1.6121264956964798</v>
      </c>
      <c r="IK71" s="27">
        <f>MAX(IK70,PortfolioFrontier[[#This Row],[P61 Growth]])</f>
        <v>1.6121264956964798</v>
      </c>
      <c r="IL71" s="27">
        <f>PortfolioFrontier[[#This Row],[P61 Growth]]/PortfolioFrontier[[#This Row],[P61 HWM]]-1</f>
        <v>0</v>
      </c>
      <c r="IM71" s="28">
        <f>SUMPRODUCT(INDEX(PortfolioRef[[SPY]:[PE]],MATCH(IM$1,PortfolioRef[Reference '#]),0),AssetMonthlyReturns[[#This Row],[SPY]:[PE]])</f>
        <v>2.8531249705606835E-2</v>
      </c>
      <c r="IN71" s="27">
        <f>IF(ISNUMBER(IN70),IN70*(1+PortfolioFrontier[[#This Row],[P62 Return]]),1+PortfolioFrontier[[#This Row],[P62 Return]])</f>
        <v>1.6272630311124299</v>
      </c>
      <c r="IO71" s="27">
        <f>MAX(IO70,PortfolioFrontier[[#This Row],[P62 Growth]])</f>
        <v>1.6272630311124299</v>
      </c>
      <c r="IP71" s="27">
        <f>PortfolioFrontier[[#This Row],[P62 Growth]]/PortfolioFrontier[[#This Row],[P62 HWM]]-1</f>
        <v>0</v>
      </c>
      <c r="IQ71" s="28">
        <f>SUMPRODUCT(INDEX(PortfolioRef[[SPY]:[PE]],MATCH(IQ$1,PortfolioRef[Reference '#]),0),AssetMonthlyReturns[[#This Row],[SPY]:[PE]])</f>
        <v>3.1224031003437954E-2</v>
      </c>
      <c r="IR71" s="27">
        <f>IF(ISNUMBER(IR70),IR70*(1+PortfolioFrontier[[#This Row],[P63 Return]]),1+PortfolioFrontier[[#This Row],[P63 Return]])</f>
        <v>1.646884909102555</v>
      </c>
      <c r="IS71" s="27">
        <f>MAX(IS70,PortfolioFrontier[[#This Row],[P63 Growth]])</f>
        <v>1.646884909102555</v>
      </c>
      <c r="IT71" s="27">
        <f>PortfolioFrontier[[#This Row],[P63 Growth]]/PortfolioFrontier[[#This Row],[P63 HWM]]-1</f>
        <v>0</v>
      </c>
      <c r="IU71" s="28">
        <f>SUMPRODUCT(INDEX(PortfolioRef[[SPY]:[PE]],MATCH(IU$1,PortfolioRef[Reference '#]),0),AssetMonthlyReturns[[#This Row],[SPY]:[PE]])</f>
        <v>2.8719737449189726E-2</v>
      </c>
      <c r="IV71" s="27">
        <f>IF(ISNUMBER(IV70),IV70*(1+PortfolioFrontier[[#This Row],[P64 Return]]),1+PortfolioFrontier[[#This Row],[P64 Return]])</f>
        <v>1.6151793879801097</v>
      </c>
      <c r="IW71" s="27">
        <f>MAX(IW70,PortfolioFrontier[[#This Row],[P64 Growth]])</f>
        <v>1.6151793879801097</v>
      </c>
      <c r="IX71" s="27">
        <f>PortfolioFrontier[[#This Row],[P64 Growth]]/PortfolioFrontier[[#This Row],[P64 HWM]]-1</f>
        <v>0</v>
      </c>
      <c r="IY71" s="28">
        <f>SUMPRODUCT(INDEX(PortfolioRef[[SPY]:[PE]],MATCH(IY$1,PortfolioRef[Reference '#]),0),AssetMonthlyReturns[[#This Row],[SPY]:[PE]])</f>
        <v>3.0403245885948883E-2</v>
      </c>
      <c r="IZ71" s="27">
        <f>IF(ISNUMBER(IZ70),IZ70*(1+PortfolioFrontier[[#This Row],[P65 Return]]),1+PortfolioFrontier[[#This Row],[P65 Return]])</f>
        <v>1.6422150953060746</v>
      </c>
      <c r="JA71" s="27">
        <f>MAX(JA70,PortfolioFrontier[[#This Row],[P65 Growth]])</f>
        <v>1.6422150953060746</v>
      </c>
      <c r="JB71" s="27">
        <f>PortfolioFrontier[[#This Row],[P65 Growth]]/PortfolioFrontier[[#This Row],[P65 HWM]]-1</f>
        <v>0</v>
      </c>
      <c r="JC71" s="28">
        <f>SUMPRODUCT(INDEX(PortfolioRef[[SPY]:[PE]],MATCH(JC$1,PortfolioRef[Reference '#]),0),AssetMonthlyReturns[[#This Row],[SPY]:[PE]])</f>
        <v>3.3096027183779998E-2</v>
      </c>
      <c r="JD71" s="27">
        <f>IF(ISNUMBER(JD70),JD70*(1+PortfolioFrontier[[#This Row],[P66 Return]]),1+PortfolioFrontier[[#This Row],[P66 Return]])</f>
        <v>1.6623077877531292</v>
      </c>
      <c r="JE71" s="27">
        <f>MAX(JE70,PortfolioFrontier[[#This Row],[P66 Growth]])</f>
        <v>1.6623077877531292</v>
      </c>
      <c r="JF71" s="27">
        <f>PortfolioFrontier[[#This Row],[P66 Growth]]/PortfolioFrontier[[#This Row],[P66 HWM]]-1</f>
        <v>0</v>
      </c>
      <c r="JG71" s="28">
        <f>SUMPRODUCT(INDEX(PortfolioRef[[SPY]:[PE]],MATCH(JG$1,PortfolioRef[Reference '#]),0),AssetMonthlyReturns[[#This Row],[SPY]:[PE]])</f>
        <v>3.0591733629531773E-2</v>
      </c>
      <c r="JH71" s="27">
        <f>IF(ISNUMBER(JH70),JH70*(1+PortfolioFrontier[[#This Row],[P67 Return]]),1+PortfolioFrontier[[#This Row],[P67 Return]])</f>
        <v>1.6303687537292939</v>
      </c>
      <c r="JI71" s="27">
        <f>MAX(JI70,PortfolioFrontier[[#This Row],[P67 Growth]])</f>
        <v>1.6303687537292939</v>
      </c>
      <c r="JJ71" s="27">
        <f>PortfolioFrontier[[#This Row],[P67 Growth]]/PortfolioFrontier[[#This Row],[P67 HWM]]-1</f>
        <v>0</v>
      </c>
      <c r="JK71" s="28">
        <f>SUMPRODUCT(INDEX(PortfolioRef[[SPY]:[PE]],MATCH(JK$1,PortfolioRef[Reference '#]),0),AssetMonthlyReturns[[#This Row],[SPY]:[PE]])</f>
        <v>3.5788808481611117E-2</v>
      </c>
      <c r="JL71" s="27">
        <f>IF(ISNUMBER(JL70),JL70*(1+PortfolioFrontier[[#This Row],[P68 Return]]),1+PortfolioFrontier[[#This Row],[P68 Return]])</f>
        <v>1.6817622542850994</v>
      </c>
      <c r="JM71" s="27">
        <f>MAX(JM70,PortfolioFrontier[[#This Row],[P68 Growth]])</f>
        <v>1.6817622542850994</v>
      </c>
      <c r="JN71" s="27">
        <f>PortfolioFrontier[[#This Row],[P68 Growth]]/PortfolioFrontier[[#This Row],[P68 HWM]]-1</f>
        <v>0</v>
      </c>
      <c r="JO71" s="28">
        <f>SUMPRODUCT(INDEX(PortfolioRef[[SPY]:[PE]],MATCH(JO$1,PortfolioRef[Reference '#]),0),AssetMonthlyReturns[[#This Row],[SPY]:[PE]])</f>
        <v>3.3284514927362882E-2</v>
      </c>
      <c r="JP71" s="27">
        <f>IF(ISNUMBER(JP70),JP70*(1+PortfolioFrontier[[#This Row],[P69 Return]]),1+PortfolioFrontier[[#This Row],[P69 Return]])</f>
        <v>1.6499912107010917</v>
      </c>
      <c r="JQ71" s="27">
        <f>MAX(JQ70,PortfolioFrontier[[#This Row],[P69 Growth]])</f>
        <v>1.6499912107010917</v>
      </c>
      <c r="JR71" s="27">
        <f>PortfolioFrontier[[#This Row],[P69 Growth]]/PortfolioFrontier[[#This Row],[P69 HWM]]-1</f>
        <v>0</v>
      </c>
      <c r="JS71" s="28">
        <f>SUMPRODUCT(INDEX(PortfolioRef[[SPY]:[PE]],MATCH(JS$1,PortfolioRef[Reference '#]),0),AssetMonthlyReturns[[#This Row],[SPY]:[PE]])</f>
        <v>3.0780221373114661E-2</v>
      </c>
      <c r="JT71" s="27">
        <f>IF(ISNUMBER(JT70),JT70*(1+PortfolioFrontier[[#This Row],[P70 Return]]),1+PortfolioFrontier[[#This Row],[P70 Return]])</f>
        <v>1.6181178918603722</v>
      </c>
      <c r="JU71" s="27">
        <f>MAX(JU70,PortfolioFrontier[[#This Row],[P70 Growth]])</f>
        <v>1.6181178918603722</v>
      </c>
      <c r="JV71" s="27">
        <f>PortfolioFrontier[[#This Row],[P70 Growth]]/PortfolioFrontier[[#This Row],[P70 HWM]]-1</f>
        <v>0</v>
      </c>
      <c r="JW71" s="28">
        <f>SUMPRODUCT(INDEX(PortfolioRef[[SPY]:[PE]],MATCH(JW$1,PortfolioRef[Reference '#]),0),AssetMonthlyReturns[[#This Row],[SPY]:[PE]])</f>
        <v>3.4968023364122046E-2</v>
      </c>
      <c r="JX71" s="27">
        <f>IF(ISNUMBER(JX70),JX70*(1+PortfolioFrontier[[#This Row],[P71 Return]]),1+PortfolioFrontier[[#This Row],[P71 Return]])</f>
        <v>1.6775420819631024</v>
      </c>
      <c r="JY71" s="27">
        <f>MAX(JY70,PortfolioFrontier[[#This Row],[P71 Growth]])</f>
        <v>1.6775420819631024</v>
      </c>
      <c r="JZ71" s="27">
        <f>PortfolioFrontier[[#This Row],[P71 Growth]]/PortfolioFrontier[[#This Row],[P71 HWM]]-1</f>
        <v>0</v>
      </c>
      <c r="KA71" s="28">
        <f>SUMPRODUCT(INDEX(PortfolioRef[[SPY]:[PE]],MATCH(KA$1,PortfolioRef[Reference '#]),0),AssetMonthlyReturns[[#This Row],[SPY]:[PE]])</f>
        <v>3.2463729809873811E-2</v>
      </c>
      <c r="KB71" s="27">
        <f>IF(ISNUMBER(KB70),KB70*(1+PortfolioFrontier[[#This Row],[P72 Return]]),1+PortfolioFrontier[[#This Row],[P72 Return]])</f>
        <v>1.6453738946019467</v>
      </c>
      <c r="KC71" s="27">
        <f>MAX(KC70,PortfolioFrontier[[#This Row],[P72 Growth]])</f>
        <v>1.6453738946019467</v>
      </c>
      <c r="KD71" s="27">
        <f>PortfolioFrontier[[#This Row],[P72 Growth]]/PortfolioFrontier[[#This Row],[P72 HWM]]-1</f>
        <v>0</v>
      </c>
      <c r="KE71" s="28">
        <f>SUMPRODUCT(INDEX(PortfolioRef[[SPY]:[PE]],MATCH(KE$1,PortfolioRef[Reference '#]),0),AssetMonthlyReturns[[#This Row],[SPY]:[PE]])</f>
        <v>3.7660804661953165E-2</v>
      </c>
      <c r="KF71" s="27">
        <f>IF(ISNUMBER(KF70),KF70*(1+PortfolioFrontier[[#This Row],[P73 Return]]),1+PortfolioFrontier[[#This Row],[P73 Return]])</f>
        <v>1.6974712283523181</v>
      </c>
      <c r="KG71" s="27">
        <f>MAX(KG70,PortfolioFrontier[[#This Row],[P73 Growth]])</f>
        <v>1.6974712283523181</v>
      </c>
      <c r="KH71" s="27">
        <f>PortfolioFrontier[[#This Row],[P73 Growth]]/PortfolioFrontier[[#This Row],[P73 HWM]]-1</f>
        <v>0</v>
      </c>
      <c r="KI71" s="28">
        <f>SUMPRODUCT(INDEX(PortfolioRef[[SPY]:[PE]],MATCH(KI$1,PortfolioRef[Reference '#]),0),AssetMonthlyReturns[[#This Row],[SPY]:[PE]])</f>
        <v>3.515651110770493E-2</v>
      </c>
      <c r="KJ71" s="27">
        <f>IF(ISNUMBER(KJ70),KJ70*(1+PortfolioFrontier[[#This Row],[P74 Return]]),1+PortfolioFrontier[[#This Row],[P74 Return]])</f>
        <v>1.6654678920548054</v>
      </c>
      <c r="KK71" s="27">
        <f>MAX(KK70,PortfolioFrontier[[#This Row],[P74 Growth]])</f>
        <v>1.6654678920548054</v>
      </c>
      <c r="KL71" s="27">
        <f>PortfolioFrontier[[#This Row],[P74 Growth]]/PortfolioFrontier[[#This Row],[P74 HWM]]-1</f>
        <v>0</v>
      </c>
      <c r="KM71" s="28">
        <f>SUMPRODUCT(INDEX(PortfolioRef[[SPY]:[PE]],MATCH(KM$1,PortfolioRef[Reference '#]),0),AssetMonthlyReturns[[#This Row],[SPY]:[PE]])</f>
        <v>3.2652217553456701E-2</v>
      </c>
      <c r="KN71" s="27">
        <f>IF(ISNUMBER(KN70),KN70*(1+PortfolioFrontier[[#This Row],[P75 Return]]),1+PortfolioFrontier[[#This Row],[P75 Return]])</f>
        <v>1.6333591346427441</v>
      </c>
      <c r="KO71" s="27">
        <f>MAX(KO70,PortfolioFrontier[[#This Row],[P75 Growth]])</f>
        <v>1.6333591346427441</v>
      </c>
      <c r="KP71" s="27">
        <f>PortfolioFrontier[[#This Row],[P75 Growth]]/PortfolioFrontier[[#This Row],[P75 HWM]]-1</f>
        <v>0</v>
      </c>
      <c r="KQ71" s="28">
        <f>SUMPRODUCT(INDEX(PortfolioRef[[SPY]:[PE]],MATCH(KQ$1,PortfolioRef[Reference '#]),0),AssetMonthlyReturns[[#This Row],[SPY]:[PE]])</f>
        <v>4.0353585959784277E-2</v>
      </c>
      <c r="KR71" s="27">
        <f>IF(ISNUMBER(KR70),KR70*(1+PortfolioFrontier[[#This Row],[P76 Return]]),1+PortfolioFrontier[[#This Row],[P76 Return]])</f>
        <v>1.7167314071133803</v>
      </c>
      <c r="KS71" s="27">
        <f>MAX(KS70,PortfolioFrontier[[#This Row],[P76 Growth]])</f>
        <v>1.7167314071133803</v>
      </c>
      <c r="KT71" s="27">
        <f>PortfolioFrontier[[#This Row],[P76 Growth]]/PortfolioFrontier[[#This Row],[P76 HWM]]-1</f>
        <v>0</v>
      </c>
      <c r="KU71" s="28">
        <f>SUMPRODUCT(INDEX(PortfolioRef[[SPY]:[PE]],MATCH(KU$1,PortfolioRef[Reference '#]),0),AssetMonthlyReturns[[#This Row],[SPY]:[PE]])</f>
        <v>3.7849292405536042E-2</v>
      </c>
      <c r="KV71" s="27">
        <f>IF(ISNUMBER(KV70),KV70*(1+PortfolioFrontier[[#This Row],[P77 Return]]),1+PortfolioFrontier[[#This Row],[P77 Return]])</f>
        <v>1.6849217747429484</v>
      </c>
      <c r="KW71" s="27">
        <f>MAX(KW70,PortfolioFrontier[[#This Row],[P77 Growth]])</f>
        <v>1.6849217747429484</v>
      </c>
      <c r="KX71" s="27">
        <f>PortfolioFrontier[[#This Row],[P77 Growth]]/PortfolioFrontier[[#This Row],[P77 HWM]]-1</f>
        <v>0</v>
      </c>
      <c r="KY71" s="28">
        <f>SUMPRODUCT(INDEX(PortfolioRef[[SPY]:[PE]],MATCH(KY$1,PortfolioRef[Reference '#]),0),AssetMonthlyReturns[[#This Row],[SPY]:[PE]])</f>
        <v>3.534499885128782E-2</v>
      </c>
      <c r="KZ71" s="27">
        <f>IF(ISNUMBER(KZ70),KZ70*(1+PortfolioFrontier[[#This Row],[P78 Return]]),1+PortfolioFrontier[[#This Row],[P78 Return]])</f>
        <v>1.6529805725839544</v>
      </c>
      <c r="LA71" s="27">
        <f>MAX(LA70,PortfolioFrontier[[#This Row],[P78 Growth]])</f>
        <v>1.6529805725839544</v>
      </c>
      <c r="LB71" s="27">
        <f>PortfolioFrontier[[#This Row],[P78 Growth]]/PortfolioFrontier[[#This Row],[P78 HWM]]-1</f>
        <v>0</v>
      </c>
      <c r="LC71" s="28">
        <f>SUMPRODUCT(INDEX(PortfolioRef[[SPY]:[PE]],MATCH(LC$1,PortfolioRef[Reference '#]),0),AssetMonthlyReturns[[#This Row],[SPY]:[PE]])</f>
        <v>3.9532800842295206E-2</v>
      </c>
      <c r="LD71" s="27">
        <f>IF(ISNUMBER(LD70),LD70*(1+PortfolioFrontier[[#This Row],[P79 Return]]),1+PortfolioFrontier[[#This Row],[P79 Return]])</f>
        <v>1.7129874860839263</v>
      </c>
      <c r="LE71" s="27">
        <f>MAX(LE70,PortfolioFrontier[[#This Row],[P79 Growth]])</f>
        <v>1.7129874860839263</v>
      </c>
      <c r="LF71" s="27">
        <f>PortfolioFrontier[[#This Row],[P79 Growth]]/PortfolioFrontier[[#This Row],[P79 HWM]]-1</f>
        <v>0</v>
      </c>
      <c r="LG71" s="28">
        <f>SUMPRODUCT(INDEX(PortfolioRef[[SPY]:[PE]],MATCH(LG$1,PortfolioRef[Reference '#]),0),AssetMonthlyReturns[[#This Row],[SPY]:[PE]])</f>
        <v>3.702850728804697E-2</v>
      </c>
      <c r="LH71" s="27">
        <f>IF(ISNUMBER(LH70),LH70*(1+PortfolioFrontier[[#This Row],[P80 Return]]),1+PortfolioFrontier[[#This Row],[P80 Return]])</f>
        <v>1.6807562405101484</v>
      </c>
      <c r="LI71" s="27">
        <f>MAX(LI70,PortfolioFrontier[[#This Row],[P80 Growth]])</f>
        <v>1.6807562405101484</v>
      </c>
      <c r="LJ71" s="27">
        <f>PortfolioFrontier[[#This Row],[P80 Growth]]/PortfolioFrontier[[#This Row],[P80 HWM]]-1</f>
        <v>0</v>
      </c>
      <c r="LK71" s="28">
        <f>SUMPRODUCT(INDEX(PortfolioRef[[SPY]:[PE]],MATCH(LK$1,PortfolioRef[Reference '#]),0),AssetMonthlyReturns[[#This Row],[SPY]:[PE]])</f>
        <v>3.4524213733798749E-2</v>
      </c>
      <c r="LL71" s="27">
        <f>IF(ISNUMBER(LL70),LL70*(1+PortfolioFrontier[[#This Row],[P81 Return]]),1+PortfolioFrontier[[#This Row],[P81 Return]])</f>
        <v>1.648416413491208</v>
      </c>
      <c r="LM71" s="27">
        <f>MAX(LM70,PortfolioFrontier[[#This Row],[P81 Growth]])</f>
        <v>1.648416413491208</v>
      </c>
      <c r="LN71" s="27">
        <f>PortfolioFrontier[[#This Row],[P81 Growth]]/PortfolioFrontier[[#This Row],[P81 HWM]]-1</f>
        <v>0</v>
      </c>
      <c r="LO71" s="28">
        <f>SUMPRODUCT(INDEX(PortfolioRef[[SPY]:[PE]],MATCH(LO$1,PortfolioRef[Reference '#]),0),AssetMonthlyReturns[[#This Row],[SPY]:[PE]])</f>
        <v>4.2225582140126325E-2</v>
      </c>
      <c r="LP71" s="27">
        <f>IF(ISNUMBER(LP70),LP70*(1+PortfolioFrontier[[#This Row],[P82 Return]]),1+PortfolioFrontier[[#This Row],[P82 Return]])</f>
        <v>1.7327259878391794</v>
      </c>
      <c r="LQ71" s="27">
        <f>MAX(LQ70,PortfolioFrontier[[#This Row],[P82 Growth]])</f>
        <v>1.7327259878391794</v>
      </c>
      <c r="LR71" s="27">
        <f>PortfolioFrontier[[#This Row],[P82 Growth]]/PortfolioFrontier[[#This Row],[P82 HWM]]-1</f>
        <v>0</v>
      </c>
      <c r="LS71" s="28">
        <f>SUMPRODUCT(INDEX(PortfolioRef[[SPY]:[PE]],MATCH(LS$1,PortfolioRef[Reference '#]),0),AssetMonthlyReturns[[#This Row],[SPY]:[PE]])</f>
        <v>3.972128858587809E-2</v>
      </c>
      <c r="LT71" s="27">
        <f>IF(ISNUMBER(LT70),LT70*(1+PortfolioFrontier[[#This Row],[P83 Return]]),1+PortfolioFrontier[[#This Row],[P83 Return]])</f>
        <v>1.7006855237848306</v>
      </c>
      <c r="LU71" s="27">
        <f>MAX(LU70,PortfolioFrontier[[#This Row],[P83 Growth]])</f>
        <v>1.7006855237848306</v>
      </c>
      <c r="LV71" s="27">
        <f>PortfolioFrontier[[#This Row],[P83 Growth]]/PortfolioFrontier[[#This Row],[P83 HWM]]-1</f>
        <v>0</v>
      </c>
      <c r="LW71" s="28">
        <f>SUMPRODUCT(INDEX(PortfolioRef[[SPY]:[PE]],MATCH(LW$1,PortfolioRef[Reference '#]),0),AssetMonthlyReturns[[#This Row],[SPY]:[PE]])</f>
        <v>3.7216995031629861E-2</v>
      </c>
      <c r="LX71" s="27">
        <f>IF(ISNUMBER(LX70),LX70*(1+PortfolioFrontier[[#This Row],[P84 Return]]),1+PortfolioFrontier[[#This Row],[P84 Return]])</f>
        <v>1.6685100840279028</v>
      </c>
      <c r="LY71" s="27">
        <f>MAX(LY70,PortfolioFrontier[[#This Row],[P84 Growth]])</f>
        <v>1.6685100840279028</v>
      </c>
      <c r="LZ71" s="27">
        <f>PortfolioFrontier[[#This Row],[P84 Growth]]/PortfolioFrontier[[#This Row],[P84 HWM]]-1</f>
        <v>0</v>
      </c>
      <c r="MA71" s="28">
        <f>SUMPRODUCT(INDEX(PortfolioRef[[SPY]:[PE]],MATCH(MA$1,PortfolioRef[Reference '#]),0),AssetMonthlyReturns[[#This Row],[SPY]:[PE]])</f>
        <v>4.4918363437957437E-2</v>
      </c>
      <c r="MB71" s="27">
        <f>IF(ISNUMBER(MB70),MB70*(1+PortfolioFrontier[[#This Row],[P85 Return]]),1+PortfolioFrontier[[#This Row],[P85 Return]])</f>
        <v>1.7517641950154219</v>
      </c>
      <c r="MC71" s="27">
        <f>MAX(MC70,PortfolioFrontier[[#This Row],[P85 Growth]])</f>
        <v>1.7517641950154219</v>
      </c>
      <c r="MD71" s="27">
        <f>PortfolioFrontier[[#This Row],[P85 Growth]]/PortfolioFrontier[[#This Row],[P85 HWM]]-1</f>
        <v>0</v>
      </c>
      <c r="ME71" s="28">
        <f>SUMPRODUCT(INDEX(PortfolioRef[[SPY]:[PE]],MATCH(ME$1,PortfolioRef[Reference '#]),0),AssetMonthlyReturns[[#This Row],[SPY]:[PE]])</f>
        <v>4.2414069883709202E-2</v>
      </c>
      <c r="MF71" s="27">
        <f>IF(ISNUMBER(MF70),MF70*(1+PortfolioFrontier[[#This Row],[P86 Return]]),1+PortfolioFrontier[[#This Row],[P86 Return]])</f>
        <v>1.7199439154573082</v>
      </c>
      <c r="MG71" s="27">
        <f>MAX(MG70,PortfolioFrontier[[#This Row],[P86 Growth]])</f>
        <v>1.7199439154573082</v>
      </c>
      <c r="MH71" s="27">
        <f>PortfolioFrontier[[#This Row],[P86 Growth]]/PortfolioFrontier[[#This Row],[P86 HWM]]-1</f>
        <v>0</v>
      </c>
      <c r="MI71" s="28">
        <f>SUMPRODUCT(INDEX(PortfolioRef[[SPY]:[PE]],MATCH(MI$1,PortfolioRef[Reference '#]),0),AssetMonthlyReturns[[#This Row],[SPY]:[PE]])</f>
        <v>3.990977632946098E-2</v>
      </c>
      <c r="MJ71" s="27">
        <f>IF(ISNUMBER(MJ70),MJ70*(1+PortfolioFrontier[[#This Row],[P87 Return]]),1+PortfolioFrontier[[#This Row],[P87 Return]])</f>
        <v>1.6879617873128629</v>
      </c>
      <c r="MK71" s="27">
        <f>MAX(MK70,PortfolioFrontier[[#This Row],[P87 Growth]])</f>
        <v>1.6879617873128629</v>
      </c>
      <c r="ML71" s="27">
        <f>PortfolioFrontier[[#This Row],[P87 Growth]]/PortfolioFrontier[[#This Row],[P87 HWM]]-1</f>
        <v>0</v>
      </c>
      <c r="MM71" s="28">
        <f>SUMPRODUCT(INDEX(PortfolioRef[[SPY]:[PE]],MATCH(MM$1,PortfolioRef[Reference '#]),0),AssetMonthlyReturns[[#This Row],[SPY]:[PE]])</f>
        <v>4.4097578320468366E-2</v>
      </c>
      <c r="MN71" s="27">
        <f>IF(ISNUMBER(MN70),MN70*(1+PortfolioFrontier[[#This Row],[P88 Return]]),1+PortfolioFrontier[[#This Row],[P88 Return]])</f>
        <v>1.7485237047822844</v>
      </c>
      <c r="MO71" s="27">
        <f>MAX(MO70,PortfolioFrontier[[#This Row],[P88 Growth]])</f>
        <v>1.7485237047822844</v>
      </c>
      <c r="MP71" s="27">
        <f>PortfolioFrontier[[#This Row],[P88 Growth]]/PortfolioFrontier[[#This Row],[P88 HWM]]-1</f>
        <v>0</v>
      </c>
      <c r="MQ71" s="28">
        <f>SUMPRODUCT(INDEX(PortfolioRef[[SPY]:[PE]],MATCH(MQ$1,PortfolioRef[Reference '#]),0),AssetMonthlyReturns[[#This Row],[SPY]:[PE]])</f>
        <v>4.1593284766220137E-2</v>
      </c>
      <c r="MR71" s="27">
        <f>IF(ISNUMBER(MR70),MR70*(1+PortfolioFrontier[[#This Row],[P89 Return]]),1+PortfolioFrontier[[#This Row],[P89 Return]])</f>
        <v>1.7162568132506029</v>
      </c>
      <c r="MS71" s="27">
        <f>MAX(MS70,PortfolioFrontier[[#This Row],[P89 Growth]])</f>
        <v>1.7162568132506029</v>
      </c>
      <c r="MT71" s="27">
        <f>PortfolioFrontier[[#This Row],[P89 Growth]]/PortfolioFrontier[[#This Row],[P89 HWM]]-1</f>
        <v>0</v>
      </c>
      <c r="MU71" s="28">
        <f>SUMPRODUCT(INDEX(PortfolioRef[[SPY]:[PE]],MATCH(MU$1,PortfolioRef[Reference '#]),0),AssetMonthlyReturns[[#This Row],[SPY]:[PE]])</f>
        <v>3.9088991211971909E-2</v>
      </c>
      <c r="MV71" s="27">
        <f>IF(ISNUMBER(MV70),MV70*(1+PortfolioFrontier[[#This Row],[P90 Return]]),1+PortfolioFrontier[[#This Row],[P90 Return]])</f>
        <v>1.6838515290273213</v>
      </c>
      <c r="MW71" s="27">
        <f>MAX(MW70,PortfolioFrontier[[#This Row],[P90 Growth]])</f>
        <v>1.6838515290273213</v>
      </c>
      <c r="MX71" s="27">
        <f>PortfolioFrontier[[#This Row],[P90 Growth]]/PortfolioFrontier[[#This Row],[P90 HWM]]-1</f>
        <v>0</v>
      </c>
      <c r="MY71" s="28">
        <f>SUMPRODUCT(INDEX(PortfolioRef[[SPY]:[PE]],MATCH(MY$1,PortfolioRef[Reference '#]),0),AssetMonthlyReturns[[#This Row],[SPY]:[PE]])</f>
        <v>4.6790359618299478E-2</v>
      </c>
      <c r="MZ71" s="27">
        <f>IF(ISNUMBER(MZ70),MZ70*(1+PortfolioFrontier[[#This Row],[P91 Return]]),1+PortfolioFrontier[[#This Row],[P91 Return]])</f>
        <v>1.7680436458517257</v>
      </c>
      <c r="NA71" s="27">
        <f>MAX(NA70,PortfolioFrontier[[#This Row],[P91 Growth]])</f>
        <v>1.7680436458517257</v>
      </c>
      <c r="NB71" s="27">
        <f>PortfolioFrontier[[#This Row],[P91 Growth]]/PortfolioFrontier[[#This Row],[P91 HWM]]-1</f>
        <v>0</v>
      </c>
      <c r="NC71" s="28">
        <f>SUMPRODUCT(INDEX(PortfolioRef[[SPY]:[PE]],MATCH(NC$1,PortfolioRef[Reference '#]),0),AssetMonthlyReturns[[#This Row],[SPY]:[PE]])</f>
        <v>4.4286066064051249E-2</v>
      </c>
      <c r="ND71" s="27">
        <f>IF(ISNUMBER(ND70),ND70*(1+PortfolioFrontier[[#This Row],[P92 Return]]),1+PortfolioFrontier[[#This Row],[P92 Return]])</f>
        <v>1.73599424265744</v>
      </c>
      <c r="NE71" s="27">
        <f>MAX(NE70,PortfolioFrontier[[#This Row],[P92 Growth]])</f>
        <v>1.73599424265744</v>
      </c>
      <c r="NF71" s="27">
        <f>PortfolioFrontier[[#This Row],[P92 Growth]]/PortfolioFrontier[[#This Row],[P92 HWM]]-1</f>
        <v>0</v>
      </c>
      <c r="NG71" s="28">
        <f>SUMPRODUCT(INDEX(PortfolioRef[[SPY]:[PE]],MATCH(NG$1,PortfolioRef[Reference '#]),0),AssetMonthlyReturns[[#This Row],[SPY]:[PE]])</f>
        <v>4.1781772509803021E-2</v>
      </c>
      <c r="NH71" s="27">
        <f>IF(ISNUMBER(NH70),NH70*(1+PortfolioFrontier[[#This Row],[P93 Return]]),1+PortfolioFrontier[[#This Row],[P93 Return]])</f>
        <v>1.7037793193389816</v>
      </c>
      <c r="NI71" s="27">
        <f>MAX(NI70,PortfolioFrontier[[#This Row],[P93 Growth]])</f>
        <v>1.7037793193389816</v>
      </c>
      <c r="NJ71" s="27">
        <f>PortfolioFrontier[[#This Row],[P93 Growth]]/PortfolioFrontier[[#This Row],[P93 HWM]]-1</f>
        <v>0</v>
      </c>
      <c r="NK71" s="28">
        <f>SUMPRODUCT(INDEX(PortfolioRef[[SPY]:[PE]],MATCH(NK$1,PortfolioRef[Reference '#]),0),AssetMonthlyReturns[[#This Row],[SPY]:[PE]])</f>
        <v>4.9483140916130597E-2</v>
      </c>
      <c r="NL71" s="27">
        <f>IF(ISNUMBER(NL70),NL70*(1+PortfolioFrontier[[#This Row],[P94 Return]]),1+PortfolioFrontier[[#This Row],[P94 Return]])</f>
        <v>1.7868313973018393</v>
      </c>
      <c r="NM71" s="27">
        <f>MAX(NM70,PortfolioFrontier[[#This Row],[P94 Growth]])</f>
        <v>1.7868313973018393</v>
      </c>
      <c r="NN71" s="27">
        <f>PortfolioFrontier[[#This Row],[P94 Growth]]/PortfolioFrontier[[#This Row],[P94 HWM]]-1</f>
        <v>0</v>
      </c>
      <c r="NO71" s="28">
        <f>SUMPRODUCT(INDEX(PortfolioRef[[SPY]:[PE]],MATCH(NO$1,PortfolioRef[Reference '#]),0),AssetMonthlyReturns[[#This Row],[SPY]:[PE]])</f>
        <v>4.6978847361882362E-2</v>
      </c>
      <c r="NP71" s="27">
        <f>IF(ISNUMBER(NP70),NP70*(1+PortfolioFrontier[[#This Row],[P95 Return]]),1+PortfolioFrontier[[#This Row],[P95 Return]])</f>
        <v>1.7550294195356591</v>
      </c>
      <c r="NQ71" s="27">
        <f>MAX(NQ70,PortfolioFrontier[[#This Row],[P95 Growth]])</f>
        <v>1.7550294195356591</v>
      </c>
      <c r="NR71" s="27">
        <f>PortfolioFrontier[[#This Row],[P95 Growth]]/PortfolioFrontier[[#This Row],[P95 HWM]]-1</f>
        <v>0</v>
      </c>
      <c r="NS71" s="28">
        <f>SUMPRODUCT(INDEX(PortfolioRef[[SPY]:[PE]],MATCH(NS$1,PortfolioRef[Reference '#]),0),AssetMonthlyReturns[[#This Row],[SPY]:[PE]])</f>
        <v>4.4474553807634133E-2</v>
      </c>
      <c r="NT71" s="27">
        <f>IF(ISNUMBER(NT70),NT70*(1+PortfolioFrontier[[#This Row],[P96 Return]]),1+PortfolioFrontier[[#This Row],[P96 Return]])</f>
        <v>1.7230343324336159</v>
      </c>
      <c r="NU71" s="27">
        <f>MAX(NU70,PortfolioFrontier[[#This Row],[P96 Growth]])</f>
        <v>1.7230343324336159</v>
      </c>
      <c r="NV71" s="27">
        <f>PortfolioFrontier[[#This Row],[P96 Growth]]/PortfolioFrontier[[#This Row],[P96 HWM]]-1</f>
        <v>0</v>
      </c>
      <c r="NW71" s="28">
        <f>SUMPRODUCT(INDEX(PortfolioRef[[SPY]:[PE]],MATCH(NW$1,PortfolioRef[Reference '#]),0),AssetMonthlyReturns[[#This Row],[SPY]:[PE]])</f>
        <v>2.4306972703939705E-2</v>
      </c>
      <c r="NX71" s="27">
        <f>IF(ISNUMBER(NX70),NX70*(1+PortfolioFrontier[[#This Row],[P97 Return]]),1+PortfolioFrontier[[#This Row],[P97 Return]])</f>
        <v>1.5498139523617234</v>
      </c>
      <c r="NY71" s="27">
        <f>MAX(NY70,PortfolioFrontier[[#This Row],[P97 Growth]])</f>
        <v>1.5498139523617234</v>
      </c>
      <c r="NZ71" s="27">
        <f>PortfolioFrontier[[#This Row],[P97 Growth]]/PortfolioFrontier[[#This Row],[P97 HWM]]-1</f>
        <v>0</v>
      </c>
      <c r="OA71" s="28">
        <f>SUMPRODUCT(INDEX(PortfolioRef[[SPY]:[PE]],MATCH(OA$1,PortfolioRef[Reference '#]),0),AssetMonthlyReturns[[#This Row],[SPY]:[PE]])</f>
        <v>2.6178968884281752E-2</v>
      </c>
      <c r="OB71" s="27">
        <f>IF(ISNUMBER(OB70),OB70*(1+PortfolioFrontier[[#This Row],[P98 Return]]),1+PortfolioFrontier[[#This Row],[P98 Return]])</f>
        <v>1.5643918723292729</v>
      </c>
      <c r="OC71" s="27">
        <f>MAX(OC70,PortfolioFrontier[[#This Row],[P98 Growth]])</f>
        <v>1.5643918723292729</v>
      </c>
      <c r="OD71" s="27">
        <f>PortfolioFrontier[[#This Row],[P98 Growth]]/PortfolioFrontier[[#This Row],[P98 HWM]]-1</f>
        <v>0</v>
      </c>
      <c r="OE71" s="28">
        <f>SUMPRODUCT(INDEX(PortfolioRef[[SPY]:[PE]],MATCH(OE$1,PortfolioRef[Reference '#]),0),AssetMonthlyReturns[[#This Row],[SPY]:[PE]])</f>
        <v>2.8871750182112865E-2</v>
      </c>
      <c r="OF71" s="27">
        <f>IF(ISNUMBER(OF70),OF70*(1+PortfolioFrontier[[#This Row],[P99 Return]]),1+PortfolioFrontier[[#This Row],[P99 Return]])</f>
        <v>1.5836627563813395</v>
      </c>
      <c r="OG71" s="27">
        <f>MAX(OG70,PortfolioFrontier[[#This Row],[P99 Growth]])</f>
        <v>1.5836627563813395</v>
      </c>
      <c r="OH71" s="27">
        <f>PortfolioFrontier[[#This Row],[P99 Growth]]/PortfolioFrontier[[#This Row],[P99 HWM]]-1</f>
        <v>0</v>
      </c>
      <c r="OI71" s="28">
        <f>SUMPRODUCT(INDEX(PortfolioRef[[SPY]:[PE]],MATCH(OI$1,PortfolioRef[Reference '#]),0),AssetMonthlyReturns[[#This Row],[SPY]:[PE]])</f>
        <v>2.636745662786464E-2</v>
      </c>
      <c r="OJ71" s="27">
        <f>IF(ISNUMBER(OJ70),OJ70*(1+PortfolioFrontier[[#This Row],[P100 Return]]),1+PortfolioFrontier[[#This Row],[P100 Return]])</f>
        <v>1.5528062347399851</v>
      </c>
      <c r="OK71" s="27">
        <f>MAX(OK70,PortfolioFrontier[[#This Row],[P100 Growth]])</f>
        <v>1.5528062347399851</v>
      </c>
      <c r="OL71" s="27">
        <f>PortfolioFrontier[[#This Row],[P100 Growth]]/PortfolioFrontier[[#This Row],[P100 HWM]]-1</f>
        <v>0</v>
      </c>
      <c r="OM71" s="28">
        <f>SUMPRODUCT(INDEX(PortfolioRef[[SPY]:[PE]],MATCH(OM$1,PortfolioRef[Reference '#]),0),AssetMonthlyReturns[[#This Row],[SPY]:[PE]])</f>
        <v>2.8050965064623793E-2</v>
      </c>
      <c r="ON71" s="27">
        <f>IF(ISNUMBER(ON70),ON70*(1+PortfolioFrontier[[#This Row],[P101 Return]]),1+PortfolioFrontier[[#This Row],[P101 Return]])</f>
        <v>1.5787921813488919</v>
      </c>
      <c r="OO71" s="27">
        <f>MAX(OO70,PortfolioFrontier[[#This Row],[P101 Growth]])</f>
        <v>1.5787921813488919</v>
      </c>
      <c r="OP71" s="27">
        <f>PortfolioFrontier[[#This Row],[P101 Growth]]/PortfolioFrontier[[#This Row],[P101 HWM]]-1</f>
        <v>0</v>
      </c>
      <c r="OQ71" s="28">
        <f>SUMPRODUCT(INDEX(PortfolioRef[[SPY]:[PE]],MATCH(OQ$1,PortfolioRef[Reference '#]),0),AssetMonthlyReturns[[#This Row],[SPY]:[PE]])</f>
        <v>3.0743746362454912E-2</v>
      </c>
      <c r="OR71" s="27">
        <f>IF(ISNUMBER(OR70),OR70*(1+PortfolioFrontier[[#This Row],[P102 Return]]),1+PortfolioFrontier[[#This Row],[P102 Return]])</f>
        <v>1.5985203886251573</v>
      </c>
      <c r="OS71" s="27">
        <f>MAX(OS70,PortfolioFrontier[[#This Row],[P102 Growth]])</f>
        <v>1.5985203886251573</v>
      </c>
      <c r="OT71" s="27">
        <f>PortfolioFrontier[[#This Row],[P102 Growth]]/PortfolioFrontier[[#This Row],[P102 HWM]]-1</f>
        <v>0</v>
      </c>
      <c r="OU71" s="28">
        <f>SUMPRODUCT(INDEX(PortfolioRef[[SPY]:[PE]],MATCH(OU$1,PortfolioRef[Reference '#]),0),AssetMonthlyReturns[[#This Row],[SPY]:[PE]])</f>
        <v>2.8239452808206684E-2</v>
      </c>
      <c r="OV71" s="27">
        <f>IF(ISNUMBER(OV70),OV70*(1+PortfolioFrontier[[#This Row],[P103 Return]]),1+PortfolioFrontier[[#This Row],[P103 Return]])</f>
        <v>1.5674355228105428</v>
      </c>
      <c r="OW71" s="27">
        <f>MAX(OW70,PortfolioFrontier[[#This Row],[P103 Growth]])</f>
        <v>1.5674355228105428</v>
      </c>
      <c r="OX71" s="27">
        <f>PortfolioFrontier[[#This Row],[P103 Growth]]/PortfolioFrontier[[#This Row],[P103 HWM]]-1</f>
        <v>0</v>
      </c>
      <c r="OY71" s="28">
        <f>SUMPRODUCT(INDEX(PortfolioRef[[SPY]:[PE]],MATCH(OY$1,PortfolioRef[Reference '#]),0),AssetMonthlyReturns[[#This Row],[SPY]:[PE]])</f>
        <v>3.3436527660286028E-2</v>
      </c>
      <c r="OZ71" s="27">
        <f>IF(ISNUMBER(OZ70),OZ70*(1+PortfolioFrontier[[#This Row],[P104 Return]]),1+PortfolioFrontier[[#This Row],[P104 Return]])</f>
        <v>1.6176462594840681</v>
      </c>
      <c r="PA71" s="27">
        <f>MAX(PA70,PortfolioFrontier[[#This Row],[P104 Growth]])</f>
        <v>1.6176462594840681</v>
      </c>
      <c r="PB71" s="27">
        <f>PortfolioFrontier[[#This Row],[P104 Growth]]/PortfolioFrontier[[#This Row],[P104 HWM]]-1</f>
        <v>0</v>
      </c>
      <c r="PC71" s="28">
        <f>SUMPRODUCT(INDEX(PortfolioRef[[SPY]:[PE]],MATCH(PC$1,PortfolioRef[Reference '#]),0),AssetMonthlyReturns[[#This Row],[SPY]:[PE]])</f>
        <v>3.0932234106037799E-2</v>
      </c>
      <c r="PD71" s="27">
        <f>IF(ISNUMBER(PD70),PD70*(1+PortfolioFrontier[[#This Row],[P105 Return]]),1+PortfolioFrontier[[#This Row],[P105 Return]])</f>
        <v>1.5867085542337835</v>
      </c>
      <c r="PE71" s="27">
        <f>MAX(PE70,PortfolioFrontier[[#This Row],[P105 Growth]])</f>
        <v>1.5867085542337835</v>
      </c>
      <c r="PF71" s="27">
        <f>PortfolioFrontier[[#This Row],[P105 Growth]]/PortfolioFrontier[[#This Row],[P105 HWM]]-1</f>
        <v>0</v>
      </c>
      <c r="PG71" s="28">
        <f>SUMPRODUCT(INDEX(PortfolioRef[[SPY]:[PE]],MATCH(PG$1,PortfolioRef[Reference '#]),0),AssetMonthlyReturns[[#This Row],[SPY]:[PE]])</f>
        <v>2.8427940551789571E-2</v>
      </c>
      <c r="PH71" s="27">
        <f>IF(ISNUMBER(PH70),PH70*(1+PortfolioFrontier[[#This Row],[P106 Return]]),1+PortfolioFrontier[[#This Row],[P106 Return]])</f>
        <v>1.5556887430167754</v>
      </c>
      <c r="PI71" s="27">
        <f>MAX(PI70,PortfolioFrontier[[#This Row],[P106 Growth]])</f>
        <v>1.5556887430167754</v>
      </c>
      <c r="PJ71" s="27">
        <f>PortfolioFrontier[[#This Row],[P106 Growth]]/PortfolioFrontier[[#This Row],[P106 HWM]]-1</f>
        <v>0</v>
      </c>
      <c r="PK71" s="28">
        <f>SUMPRODUCT(INDEX(PortfolioRef[[SPY]:[PE]],MATCH(PK$1,PortfolioRef[Reference '#]),0),AssetMonthlyReturns[[#This Row],[SPY]:[PE]])</f>
        <v>3.2615742542796956E-2</v>
      </c>
      <c r="PL71" s="27">
        <f>IF(ISNUMBER(PL70),PL70*(1+PortfolioFrontier[[#This Row],[P107 Return]]),1+PortfolioFrontier[[#This Row],[P107 Return]])</f>
        <v>1.6131964012798079</v>
      </c>
      <c r="PM71" s="27">
        <f>MAX(PM70,PortfolioFrontier[[#This Row],[P107 Growth]])</f>
        <v>1.6131964012798079</v>
      </c>
      <c r="PN71" s="27">
        <f>PortfolioFrontier[[#This Row],[P107 Growth]]/PortfolioFrontier[[#This Row],[P107 HWM]]-1</f>
        <v>0</v>
      </c>
      <c r="PO71" s="28">
        <f>SUMPRODUCT(INDEX(PortfolioRef[[SPY]:[PE]],MATCH(PO$1,PortfolioRef[Reference '#]),0),AssetMonthlyReturns[[#This Row],[SPY]:[PE]])</f>
        <v>3.0111448988548731E-2</v>
      </c>
      <c r="PP71" s="27">
        <f>IF(ISNUMBER(PP70),PP70*(1+PortfolioFrontier[[#This Row],[P108 Return]]),1+PortfolioFrontier[[#This Row],[P108 Return]])</f>
        <v>1.5818874318633449</v>
      </c>
      <c r="PQ71" s="27">
        <f>MAX(PQ70,PortfolioFrontier[[#This Row],[P108 Growth]])</f>
        <v>1.5818874318633449</v>
      </c>
      <c r="PR71" s="27">
        <f>PortfolioFrontier[[#This Row],[P108 Growth]]/PortfolioFrontier[[#This Row],[P108 HWM]]-1</f>
        <v>0</v>
      </c>
      <c r="PS71" s="28">
        <f>SUMPRODUCT(INDEX(PortfolioRef[[SPY]:[PE]],MATCH(PS$1,PortfolioRef[Reference '#]),0),AssetMonthlyReturns[[#This Row],[SPY]:[PE]])</f>
        <v>3.5308523840628075E-2</v>
      </c>
      <c r="PT71" s="27">
        <f>IF(ISNUMBER(PT70),PT70*(1+PortfolioFrontier[[#This Row],[P109 Return]]),1+PortfolioFrontier[[#This Row],[P109 Return]])</f>
        <v>1.6327835279326679</v>
      </c>
      <c r="PU71" s="27">
        <f>MAX(PU70,PortfolioFrontier[[#This Row],[P109 Growth]])</f>
        <v>1.6327835279326679</v>
      </c>
      <c r="PV71" s="27">
        <f>PortfolioFrontier[[#This Row],[P109 Growth]]/PortfolioFrontier[[#This Row],[P109 HWM]]-1</f>
        <v>0</v>
      </c>
      <c r="PW71" s="28">
        <f>SUMPRODUCT(INDEX(PortfolioRef[[SPY]:[PE]],MATCH(PW$1,PortfolioRef[Reference '#]),0),AssetMonthlyReturns[[#This Row],[SPY]:[PE]])</f>
        <v>3.280423028637984E-2</v>
      </c>
      <c r="PX71" s="27">
        <f>IF(ISNUMBER(PX70),PX70*(1+PortfolioFrontier[[#This Row],[P110 Return]]),1+PortfolioFrontier[[#This Row],[P110 Return]])</f>
        <v>1.6016185143364081</v>
      </c>
      <c r="PY71" s="27">
        <f>MAX(PY70,PortfolioFrontier[[#This Row],[P110 Growth]])</f>
        <v>1.6016185143364081</v>
      </c>
      <c r="PZ71" s="27">
        <f>PortfolioFrontier[[#This Row],[P110 Growth]]/PortfolioFrontier[[#This Row],[P110 HWM]]-1</f>
        <v>0</v>
      </c>
      <c r="QA71" s="28">
        <f>SUMPRODUCT(INDEX(PortfolioRef[[SPY]:[PE]],MATCH(QA$1,PortfolioRef[Reference '#]),0),AssetMonthlyReturns[[#This Row],[SPY]:[PE]])</f>
        <v>3.0299936732131612E-2</v>
      </c>
      <c r="QB71" s="27">
        <f>IF(ISNUMBER(QB70),QB70*(1+PortfolioFrontier[[#This Row],[P111 Return]]),1+PortfolioFrontier[[#This Row],[P111 Return]])</f>
        <v>1.5703684845094485</v>
      </c>
      <c r="QC71" s="27">
        <f>MAX(QC70,PortfolioFrontier[[#This Row],[P111 Growth]])</f>
        <v>1.5703684845094485</v>
      </c>
      <c r="QD71" s="27">
        <f>PortfolioFrontier[[#This Row],[P111 Growth]]/PortfolioFrontier[[#This Row],[P111 HWM]]-1</f>
        <v>0</v>
      </c>
      <c r="QE71" s="28">
        <f>SUMPRODUCT(INDEX(PortfolioRef[[SPY]:[PE]],MATCH(QE$1,PortfolioRef[Reference '#]),0),AssetMonthlyReturns[[#This Row],[SPY]:[PE]])</f>
        <v>3.8001305138459188E-2</v>
      </c>
      <c r="QF71" s="27">
        <f>IF(ISNUMBER(QF70),QF70*(1+PortfolioFrontier[[#This Row],[P112 Return]]),1+PortfolioFrontier[[#This Row],[P112 Return]])</f>
        <v>1.6517386955477045</v>
      </c>
      <c r="QG71" s="27">
        <f>MAX(QG70,PortfolioFrontier[[#This Row],[P112 Growth]])</f>
        <v>1.6517386955477045</v>
      </c>
      <c r="QH71" s="27">
        <f>PortfolioFrontier[[#This Row],[P112 Growth]]/PortfolioFrontier[[#This Row],[P112 HWM]]-1</f>
        <v>0</v>
      </c>
      <c r="QI71" s="28">
        <f>SUMPRODUCT(INDEX(PortfolioRef[[SPY]:[PE]],MATCH(QI$1,PortfolioRef[Reference '#]),0),AssetMonthlyReturns[[#This Row],[SPY]:[PE]])</f>
        <v>3.5497011584210959E-2</v>
      </c>
      <c r="QJ71" s="27">
        <f>IF(ISNUMBER(QJ70),QJ70*(1+PortfolioFrontier[[#This Row],[P113 Return]]),1+PortfolioFrontier[[#This Row],[P113 Return]])</f>
        <v>1.6207454292109018</v>
      </c>
      <c r="QK71" s="27">
        <f>MAX(QK70,PortfolioFrontier[[#This Row],[P113 Growth]])</f>
        <v>1.6207454292109018</v>
      </c>
      <c r="QL71" s="27">
        <f>PortfolioFrontier[[#This Row],[P113 Growth]]/PortfolioFrontier[[#This Row],[P113 HWM]]-1</f>
        <v>0</v>
      </c>
      <c r="QM71" s="28">
        <f>SUMPRODUCT(INDEX(PortfolioRef[[SPY]:[PE]],MATCH(QM$1,PortfolioRef[Reference '#]),0),AssetMonthlyReturns[[#This Row],[SPY]:[PE]])</f>
        <v>3.2992718029962731E-2</v>
      </c>
      <c r="QN71" s="27">
        <f>IF(ISNUMBER(QN70),QN70*(1+PortfolioFrontier[[#This Row],[P114 Return]]),1+PortfolioFrontier[[#This Row],[P114 Return]])</f>
        <v>1.5896421022161857</v>
      </c>
      <c r="QO71" s="27">
        <f>MAX(QO70,PortfolioFrontier[[#This Row],[P114 Growth]])</f>
        <v>1.5896421022161857</v>
      </c>
      <c r="QP71" s="27">
        <f>PortfolioFrontier[[#This Row],[P114 Growth]]/PortfolioFrontier[[#This Row],[P114 HWM]]-1</f>
        <v>0</v>
      </c>
      <c r="QQ71" s="28">
        <f>SUMPRODUCT(INDEX(PortfolioRef[[SPY]:[PE]],MATCH(QQ$1,PortfolioRef[Reference '#]),0),AssetMonthlyReturns[[#This Row],[SPY]:[PE]])</f>
        <v>3.7180520020970123E-2</v>
      </c>
      <c r="QR71" s="27">
        <f>IF(ISNUMBER(QR70),QR70*(1+PortfolioFrontier[[#This Row],[P115 Return]]),1+PortfolioFrontier[[#This Row],[P115 Return]])</f>
        <v>1.6477351477866757</v>
      </c>
      <c r="QS71" s="27">
        <f>MAX(QS70,PortfolioFrontier[[#This Row],[P115 Growth]])</f>
        <v>1.6477351477866757</v>
      </c>
      <c r="QT71" s="27">
        <f>PortfolioFrontier[[#This Row],[P115 Growth]]/PortfolioFrontier[[#This Row],[P115 HWM]]-1</f>
        <v>0</v>
      </c>
      <c r="QU71" s="28">
        <f>SUMPRODUCT(INDEX(PortfolioRef[[SPY]:[PE]],MATCH(QU$1,PortfolioRef[Reference '#]),0),AssetMonthlyReturns[[#This Row],[SPY]:[PE]])</f>
        <v>3.4676226466721888E-2</v>
      </c>
      <c r="QV71" s="27">
        <f>IF(ISNUMBER(QV70),QV70*(1+PortfolioFrontier[[#This Row],[P116 Return]]),1+PortfolioFrontier[[#This Row],[P116 Return]])</f>
        <v>1.6163470917094751</v>
      </c>
      <c r="QW71" s="27">
        <f>MAX(QW70,PortfolioFrontier[[#This Row],[P116 Growth]])</f>
        <v>1.6163470917094751</v>
      </c>
      <c r="QX71" s="27">
        <f>PortfolioFrontier[[#This Row],[P116 Growth]]/PortfolioFrontier[[#This Row],[P116 HWM]]-1</f>
        <v>0</v>
      </c>
      <c r="QY71" s="28">
        <f>SUMPRODUCT(INDEX(PortfolioRef[[SPY]:[PE]],MATCH(QY$1,PortfolioRef[Reference '#]),0),AssetMonthlyReturns[[#This Row],[SPY]:[PE]])</f>
        <v>3.2171932912473659E-2</v>
      </c>
      <c r="QZ71" s="27">
        <f>IF(ISNUMBER(QZ70),QZ70*(1+PortfolioFrontier[[#This Row],[P117 Return]]),1+PortfolioFrontier[[#This Row],[P117 Return]])</f>
        <v>1.5848710929942145</v>
      </c>
      <c r="RA71" s="27">
        <f>MAX(RA70,PortfolioFrontier[[#This Row],[P117 Growth]])</f>
        <v>1.5848710929942145</v>
      </c>
      <c r="RB71" s="27">
        <f>PortfolioFrontier[[#This Row],[P117 Growth]]/PortfolioFrontier[[#This Row],[P117 HWM]]-1</f>
        <v>0</v>
      </c>
      <c r="RC71" s="28">
        <f>SUMPRODUCT(INDEX(PortfolioRef[[SPY]:[PE]],MATCH(RC$1,PortfolioRef[Reference '#]),0),AssetMonthlyReturns[[#This Row],[SPY]:[PE]])</f>
        <v>3.9873301318801235E-2</v>
      </c>
      <c r="RD71" s="27">
        <f>IF(ISNUMBER(RD70),RD70*(1+PortfolioFrontier[[#This Row],[P118 Return]]),1+PortfolioFrontier[[#This Row],[P118 Return]])</f>
        <v>1.667155293527623</v>
      </c>
      <c r="RE71" s="27">
        <f>MAX(RE70,PortfolioFrontier[[#This Row],[P118 Growth]])</f>
        <v>1.667155293527623</v>
      </c>
      <c r="RF71" s="27">
        <f>PortfolioFrontier[[#This Row],[P118 Growth]]/PortfolioFrontier[[#This Row],[P118 HWM]]-1</f>
        <v>0</v>
      </c>
      <c r="RG71" s="28">
        <f>SUMPRODUCT(INDEX(PortfolioRef[[SPY]:[PE]],MATCH(RG$1,PortfolioRef[Reference '#]),0),AssetMonthlyReturns[[#This Row],[SPY]:[PE]])</f>
        <v>3.7369007764553E-2</v>
      </c>
      <c r="RH71" s="27">
        <f>IF(ISNUMBER(RH70),RH70*(1+PortfolioFrontier[[#This Row],[P119 Return]]),1+PortfolioFrontier[[#This Row],[P119 Return]])</f>
        <v>1.6359359857167841</v>
      </c>
      <c r="RI71" s="27">
        <f>MAX(RI70,PortfolioFrontier[[#This Row],[P119 Growth]])</f>
        <v>1.6359359857167841</v>
      </c>
      <c r="RJ71" s="27">
        <f>PortfolioFrontier[[#This Row],[P119 Growth]]/PortfolioFrontier[[#This Row],[P119 HWM]]-1</f>
        <v>0</v>
      </c>
      <c r="RK71" s="28">
        <f>SUMPRODUCT(INDEX(PortfolioRef[[SPY]:[PE]],MATCH(RK$1,PortfolioRef[Reference '#]),0),AssetMonthlyReturns[[#This Row],[SPY]:[PE]])</f>
        <v>3.4864714210304772E-2</v>
      </c>
      <c r="RL71" s="27">
        <f>IF(ISNUMBER(RL70),RL70*(1+PortfolioFrontier[[#This Row],[P120 Return]]),1+PortfolioFrontier[[#This Row],[P120 Return]])</f>
        <v>1.6046034567476111</v>
      </c>
      <c r="RM71" s="27">
        <f>MAX(RM70,PortfolioFrontier[[#This Row],[P120 Growth]])</f>
        <v>1.6046034567476111</v>
      </c>
      <c r="RN71" s="27">
        <f>PortfolioFrontier[[#This Row],[P120 Growth]]/PortfolioFrontier[[#This Row],[P120 HWM]]-1</f>
        <v>0</v>
      </c>
      <c r="RO71" s="28">
        <f>SUMPRODUCT(INDEX(PortfolioRef[[SPY]:[PE]],MATCH(RO$1,PortfolioRef[Reference '#]),0),AssetMonthlyReturns[[#This Row],[SPY]:[PE]])</f>
        <v>4.2566082616632347E-2</v>
      </c>
      <c r="RP71" s="27">
        <f>IF(ISNUMBER(RP70),RP70*(1+PortfolioFrontier[[#This Row],[P121 Return]]),1+PortfolioFrontier[[#This Row],[P121 Return]])</f>
        <v>1.6859132740659151</v>
      </c>
      <c r="RQ71" s="27">
        <f>MAX(RQ70,PortfolioFrontier[[#This Row],[P121 Growth]])</f>
        <v>1.6859132740659151</v>
      </c>
      <c r="RR71" s="27">
        <f>PortfolioFrontier[[#This Row],[P121 Growth]]/PortfolioFrontier[[#This Row],[P121 HWM]]-1</f>
        <v>0</v>
      </c>
      <c r="RS71" s="28">
        <f>SUMPRODUCT(INDEX(PortfolioRef[[SPY]:[PE]],MATCH(RS$1,PortfolioRef[Reference '#]),0),AssetMonthlyReturns[[#This Row],[SPY]:[PE]])</f>
        <v>4.0061789062384112E-2</v>
      </c>
      <c r="RT71" s="27">
        <f>IF(ISNUMBER(RT70),RT70*(1+PortfolioFrontier[[#This Row],[P122 Return]]),1+PortfolioFrontier[[#This Row],[P122 Return]])</f>
        <v>1.6548910536150563</v>
      </c>
      <c r="RU71" s="27">
        <f>MAX(RU70,PortfolioFrontier[[#This Row],[P122 Growth]])</f>
        <v>1.6548910536150563</v>
      </c>
      <c r="RV71" s="27">
        <f>PortfolioFrontier[[#This Row],[P122 Growth]]/PortfolioFrontier[[#This Row],[P122 HWM]]-1</f>
        <v>0</v>
      </c>
      <c r="RW71" s="28">
        <f>SUMPRODUCT(INDEX(PortfolioRef[[SPY]:[PE]],MATCH(RW$1,PortfolioRef[Reference '#]),0),AssetMonthlyReturns[[#This Row],[SPY]:[PE]])</f>
        <v>3.7557495508135891E-2</v>
      </c>
      <c r="RX71" s="27">
        <f>IF(ISNUMBER(RX70),RX70*(1+PortfolioFrontier[[#This Row],[P123 Return]]),1+PortfolioFrontier[[#This Row],[P123 Return]])</f>
        <v>1.6237298558231279</v>
      </c>
      <c r="RY71" s="27">
        <f>MAX(RY70,PortfolioFrontier[[#This Row],[P123 Growth]])</f>
        <v>1.6237298558231279</v>
      </c>
      <c r="RZ71" s="27">
        <f>PortfolioFrontier[[#This Row],[P123 Growth]]/PortfolioFrontier[[#This Row],[P123 HWM]]-1</f>
        <v>0</v>
      </c>
      <c r="SA71" s="28">
        <f>SUMPRODUCT(INDEX(PortfolioRef[[SPY]:[PE]],MATCH(SA$1,PortfolioRef[Reference '#]),0),AssetMonthlyReturns[[#This Row],[SPY]:[PE]])</f>
        <v>4.1745297499143283E-2</v>
      </c>
      <c r="SB71" s="27">
        <f>IF(ISNUMBER(SB70),SB70*(1+PortfolioFrontier[[#This Row],[P124 Return]]),1+PortfolioFrontier[[#This Row],[P124 Return]])</f>
        <v>1.6823821965094672</v>
      </c>
      <c r="SC71" s="27">
        <f>MAX(SC70,PortfolioFrontier[[#This Row],[P124 Growth]])</f>
        <v>1.6823821965094672</v>
      </c>
      <c r="SD71" s="27">
        <f>PortfolioFrontier[[#This Row],[P124 Growth]]/PortfolioFrontier[[#This Row],[P124 HWM]]-1</f>
        <v>0</v>
      </c>
      <c r="SE71" s="28">
        <f>SUMPRODUCT(INDEX(PortfolioRef[[SPY]:[PE]],MATCH(SE$1,PortfolioRef[Reference '#]),0),AssetMonthlyReturns[[#This Row],[SPY]:[PE]])</f>
        <v>3.9241003944895048E-2</v>
      </c>
      <c r="SF71" s="27">
        <f>IF(ISNUMBER(SF70),SF70*(1+PortfolioFrontier[[#This Row],[P125 Return]]),1+PortfolioFrontier[[#This Row],[P125 Return]])</f>
        <v>1.6509411354388694</v>
      </c>
      <c r="SG71" s="27">
        <f>MAX(SG70,PortfolioFrontier[[#This Row],[P125 Growth]])</f>
        <v>1.6509411354388694</v>
      </c>
      <c r="SH71" s="27">
        <f>PortfolioFrontier[[#This Row],[P125 Growth]]/PortfolioFrontier[[#This Row],[P125 HWM]]-1</f>
        <v>0</v>
      </c>
      <c r="SI71" s="28">
        <f>SUMPRODUCT(INDEX(PortfolioRef[[SPY]:[PE]],MATCH(SI$1,PortfolioRef[Reference '#]),0),AssetMonthlyReturns[[#This Row],[SPY]:[PE]])</f>
        <v>3.6736710390646819E-2</v>
      </c>
      <c r="SJ71" s="27">
        <f>IF(ISNUMBER(SJ70),SJ70*(1+PortfolioFrontier[[#This Row],[P126 Return]]),1+PortfolioFrontier[[#This Row],[P126 Return]])</f>
        <v>1.6193836797956254</v>
      </c>
      <c r="SK71" s="27">
        <f>MAX(SK70,PortfolioFrontier[[#This Row],[P126 Growth]])</f>
        <v>1.6193836797956254</v>
      </c>
      <c r="SL71" s="27">
        <f>PortfolioFrontier[[#This Row],[P126 Growth]]/PortfolioFrontier[[#This Row],[P126 HWM]]-1</f>
        <v>0</v>
      </c>
      <c r="SM71" s="28">
        <f>SUMPRODUCT(INDEX(PortfolioRef[[SPY]:[PE]],MATCH(SM$1,PortfolioRef[Reference '#]),0),AssetMonthlyReturns[[#This Row],[SPY]:[PE]])</f>
        <v>4.4438078796974395E-2</v>
      </c>
      <c r="SN71" s="27">
        <f>IF(ISNUMBER(SN70),SN70*(1+PortfolioFrontier[[#This Row],[P127 Return]]),1+PortfolioFrontier[[#This Row],[P127 Return]])</f>
        <v>1.7016086575400751</v>
      </c>
      <c r="SO71" s="27">
        <f>MAX(SO70,PortfolioFrontier[[#This Row],[P127 Growth]])</f>
        <v>1.7016086575400751</v>
      </c>
      <c r="SP71" s="27">
        <f>PortfolioFrontier[[#This Row],[P127 Growth]]/PortfolioFrontier[[#This Row],[P127 HWM]]-1</f>
        <v>0</v>
      </c>
      <c r="SQ71" s="28">
        <f>SUMPRODUCT(INDEX(PortfolioRef[[SPY]:[PE]],MATCH(SQ$1,PortfolioRef[Reference '#]),0),AssetMonthlyReturns[[#This Row],[SPY]:[PE]])</f>
        <v>4.193378524272616E-2</v>
      </c>
      <c r="SR71" s="27">
        <f>IF(ISNUMBER(SR70),SR70*(1+PortfolioFrontier[[#This Row],[P128 Return]]),1+PortfolioFrontier[[#This Row],[P128 Return]])</f>
        <v>1.6703618996398835</v>
      </c>
      <c r="SS71" s="27">
        <f>MAX(SS70,PortfolioFrontier[[#This Row],[P128 Growth]])</f>
        <v>1.6703618996398835</v>
      </c>
      <c r="ST71" s="27">
        <f>PortfolioFrontier[[#This Row],[P128 Growth]]/PortfolioFrontier[[#This Row],[P128 HWM]]-1</f>
        <v>0</v>
      </c>
      <c r="SU71" s="28">
        <f>SUMPRODUCT(INDEX(PortfolioRef[[SPY]:[PE]],MATCH(SU$1,PortfolioRef[Reference '#]),0),AssetMonthlyReturns[[#This Row],[SPY]:[PE]])</f>
        <v>3.9429491688477931E-2</v>
      </c>
      <c r="SV71" s="27">
        <f>IF(ISNUMBER(SV70),SV70*(1+PortfolioFrontier[[#This Row],[P129 Return]]),1+PortfolioFrontier[[#This Row],[P129 Return]])</f>
        <v>1.6389727481356613</v>
      </c>
      <c r="SW71" s="27">
        <f>MAX(SW70,PortfolioFrontier[[#This Row],[P129 Growth]])</f>
        <v>1.6389727481356613</v>
      </c>
      <c r="SX71" s="27">
        <f>PortfolioFrontier[[#This Row],[P129 Growth]]/PortfolioFrontier[[#This Row],[P129 HWM]]-1</f>
        <v>0</v>
      </c>
      <c r="SY71" s="28">
        <f>SUMPRODUCT(INDEX(PortfolioRef[[SPY]:[PE]],MATCH(SY$1,PortfolioRef[Reference '#]),0),AssetMonthlyReturns[[#This Row],[SPY]:[PE]])</f>
        <v>4.7130860094805507E-2</v>
      </c>
      <c r="SZ71" s="27">
        <f>IF(ISNUMBER(SZ70),SZ70*(1+PortfolioFrontier[[#This Row],[P130 Return]]),1+PortfolioFrontier[[#This Row],[P130 Return]])</f>
        <v>1.720142179322633</v>
      </c>
      <c r="TA71" s="27">
        <f>MAX(TA70,PortfolioFrontier[[#This Row],[P130 Growth]])</f>
        <v>1.720142179322633</v>
      </c>
      <c r="TB71" s="27">
        <f>PortfolioFrontier[[#This Row],[P130 Growth]]/PortfolioFrontier[[#This Row],[P130 HWM]]-1</f>
        <v>0</v>
      </c>
      <c r="TC71" s="28">
        <f>SUMPRODUCT(INDEX(PortfolioRef[[SPY]:[PE]],MATCH(TC$1,PortfolioRef[Reference '#]),0),AssetMonthlyReturns[[#This Row],[SPY]:[PE]])</f>
        <v>4.4626566540557272E-2</v>
      </c>
      <c r="TD71" s="27">
        <f>IF(ISNUMBER(TD70),TD70*(1+PortfolioFrontier[[#This Row],[P131 Return]]),1+PortfolioFrontier[[#This Row],[P131 Return]])</f>
        <v>1.6891185966988822</v>
      </c>
      <c r="TE71" s="27">
        <f>MAX(TE70,PortfolioFrontier[[#This Row],[P131 Growth]])</f>
        <v>1.6891185966988822</v>
      </c>
      <c r="TF71" s="27">
        <f>PortfolioFrontier[[#This Row],[P131 Growth]]/PortfolioFrontier[[#This Row],[P131 HWM]]-1</f>
        <v>0</v>
      </c>
      <c r="TG71" s="28">
        <f>SUMPRODUCT(INDEX(PortfolioRef[[SPY]:[PE]],MATCH(TG$1,PortfolioRef[Reference '#]),0),AssetMonthlyReturns[[#This Row],[SPY]:[PE]])</f>
        <v>4.2122272986309051E-2</v>
      </c>
      <c r="TH71" s="27">
        <f>IF(ISNUMBER(TH70),TH70*(1+PortfolioFrontier[[#This Row],[P132 Return]]),1+PortfolioFrontier[[#This Row],[P132 Return]])</f>
        <v>1.6579261593145806</v>
      </c>
      <c r="TI71" s="27">
        <f>MAX(TI70,PortfolioFrontier[[#This Row],[P132 Growth]])</f>
        <v>1.6579261593145806</v>
      </c>
      <c r="TJ71" s="27">
        <f>PortfolioFrontier[[#This Row],[P132 Growth]]/PortfolioFrontier[[#This Row],[P132 HWM]]-1</f>
        <v>0</v>
      </c>
      <c r="TK71" s="28">
        <f>SUMPRODUCT(INDEX(PortfolioRef[[SPY]:[PE]],MATCH(TK$1,PortfolioRef[Reference '#]),0),AssetMonthlyReturns[[#This Row],[SPY]:[PE]])</f>
        <v>4.6310074977316436E-2</v>
      </c>
      <c r="TL71" s="27">
        <f>IF(ISNUMBER(TL70),TL70*(1+PortfolioFrontier[[#This Row],[P133 Return]]),1+PortfolioFrontier[[#This Row],[P133 Return]])</f>
        <v>1.7171102853087914</v>
      </c>
      <c r="TM71" s="27">
        <f>MAX(TM70,PortfolioFrontier[[#This Row],[P133 Growth]])</f>
        <v>1.7171102853087914</v>
      </c>
      <c r="TN71" s="27">
        <f>PortfolioFrontier[[#This Row],[P133 Growth]]/PortfolioFrontier[[#This Row],[P133 HWM]]-1</f>
        <v>0</v>
      </c>
      <c r="TO71" s="28">
        <f>SUMPRODUCT(INDEX(PortfolioRef[[SPY]:[PE]],MATCH(TO$1,PortfolioRef[Reference '#]),0),AssetMonthlyReturns[[#This Row],[SPY]:[PE]])</f>
        <v>4.3805781423068207E-2</v>
      </c>
      <c r="TP71" s="27">
        <f>IF(ISNUMBER(TP70),TP70*(1+PortfolioFrontier[[#This Row],[P134 Return]]),1+PortfolioFrontier[[#This Row],[P134 Return]])</f>
        <v>1.6856432974461595</v>
      </c>
      <c r="TQ71" s="27">
        <f>MAX(TQ70,PortfolioFrontier[[#This Row],[P134 Growth]])</f>
        <v>1.6856432974461595</v>
      </c>
      <c r="TR71" s="27">
        <f>PortfolioFrontier[[#This Row],[P134 Growth]]/PortfolioFrontier[[#This Row],[P134 HWM]]-1</f>
        <v>0</v>
      </c>
      <c r="TS71" s="28">
        <f>SUMPRODUCT(INDEX(PortfolioRef[[SPY]:[PE]],MATCH(TS$1,PortfolioRef[Reference '#]),0),AssetMonthlyReturns[[#This Row],[SPY]:[PE]])</f>
        <v>4.1301487868819979E-2</v>
      </c>
      <c r="TT71" s="27">
        <f>IF(ISNUMBER(TT70),TT70*(1+PortfolioFrontier[[#This Row],[P135 Return]]),1+PortfolioFrontier[[#This Row],[P135 Return]])</f>
        <v>1.6540304901705998</v>
      </c>
      <c r="TU71" s="27">
        <f>MAX(TU70,PortfolioFrontier[[#This Row],[P135 Growth]])</f>
        <v>1.6540304901705998</v>
      </c>
      <c r="TV71" s="27">
        <f>PortfolioFrontier[[#This Row],[P135 Growth]]/PortfolioFrontier[[#This Row],[P135 HWM]]-1</f>
        <v>0</v>
      </c>
      <c r="TW71" s="28">
        <f>SUMPRODUCT(INDEX(PortfolioRef[[SPY]:[PE]],MATCH(TW$1,PortfolioRef[Reference '#]),0),AssetMonthlyReturns[[#This Row],[SPY]:[PE]])</f>
        <v>4.9002856275147555E-2</v>
      </c>
      <c r="TX71" s="27">
        <f>IF(ISNUMBER(TX70),TX70*(1+PortfolioFrontier[[#This Row],[P136 Return]]),1+PortfolioFrontier[[#This Row],[P136 Return]])</f>
        <v>1.7361155602147582</v>
      </c>
      <c r="TY71" s="27">
        <f>MAX(TY70,PortfolioFrontier[[#This Row],[P136 Growth]])</f>
        <v>1.7361155602147582</v>
      </c>
      <c r="TZ71" s="27">
        <f>PortfolioFrontier[[#This Row],[P136 Growth]]/PortfolioFrontier[[#This Row],[P136 HWM]]-1</f>
        <v>0</v>
      </c>
      <c r="UA71" s="28">
        <f>SUMPRODUCT(INDEX(PortfolioRef[[SPY]:[PE]],MATCH(UA$1,PortfolioRef[Reference '#]),0),AssetMonthlyReturns[[#This Row],[SPY]:[PE]])</f>
        <v>4.649856272089932E-2</v>
      </c>
      <c r="UB71" s="27">
        <f>IF(ISNUMBER(UB70),UB70*(1+PortfolioFrontier[[#This Row],[P137 Return]]),1+PortfolioFrontier[[#This Row],[P137 Return]])</f>
        <v>1.7048691873265751</v>
      </c>
      <c r="UC71" s="27">
        <f>MAX(UC70,PortfolioFrontier[[#This Row],[P137 Growth]])</f>
        <v>1.7048691873265751</v>
      </c>
      <c r="UD71" s="27">
        <f>PortfolioFrontier[[#This Row],[P137 Growth]]/PortfolioFrontier[[#This Row],[P137 HWM]]-1</f>
        <v>0</v>
      </c>
      <c r="UE71" s="28">
        <f>SUMPRODUCT(INDEX(PortfolioRef[[SPY]:[PE]],MATCH(UE$1,PortfolioRef[Reference '#]),0),AssetMonthlyReturns[[#This Row],[SPY]:[PE]])</f>
        <v>4.3994269166651091E-2</v>
      </c>
      <c r="UF71" s="27">
        <f>IF(ISNUMBER(UF70),UF70*(1+PortfolioFrontier[[#This Row],[P138 Return]]),1+PortfolioFrontier[[#This Row],[P138 Return]])</f>
        <v>1.6734502822541619</v>
      </c>
      <c r="UG71" s="27">
        <f>MAX(UG70,PortfolioFrontier[[#This Row],[P138 Growth]])</f>
        <v>1.6734502822541619</v>
      </c>
      <c r="UH71" s="27">
        <f>PortfolioFrontier[[#This Row],[P138 Growth]]/PortfolioFrontier[[#This Row],[P138 HWM]]-1</f>
        <v>0</v>
      </c>
      <c r="UI71" s="28">
        <f>SUMPRODUCT(INDEX(PortfolioRef[[SPY]:[PE]],MATCH(UI$1,PortfolioRef[Reference '#]),0),AssetMonthlyReturns[[#This Row],[SPY]:[PE]])</f>
        <v>5.1695637572978667E-2</v>
      </c>
      <c r="UJ71" s="27">
        <f>IF(ISNUMBER(UJ70),UJ70*(1+PortfolioFrontier[[#This Row],[P139 Return]]),1+PortfolioFrontier[[#This Row],[P139 Return]])</f>
        <v>1.7543965710992384</v>
      </c>
      <c r="UK71" s="27">
        <f>MAX(UK70,PortfolioFrontier[[#This Row],[P139 Growth]])</f>
        <v>1.7543965710992384</v>
      </c>
      <c r="UL71" s="27">
        <f>PortfolioFrontier[[#This Row],[P139 Growth]]/PortfolioFrontier[[#This Row],[P139 HWM]]-1</f>
        <v>0</v>
      </c>
      <c r="UM71" s="28">
        <f>SUMPRODUCT(INDEX(PortfolioRef[[SPY]:[PE]],MATCH(UM$1,PortfolioRef[Reference '#]),0),AssetMonthlyReturns[[#This Row],[SPY]:[PE]])</f>
        <v>4.9191344018730432E-2</v>
      </c>
      <c r="UN71" s="27">
        <f>IF(ISNUMBER(UN70),UN70*(1+PortfolioFrontier[[#This Row],[P140 Return]]),1+PortfolioFrontier[[#This Row],[P140 Return]])</f>
        <v>1.7234002022793458</v>
      </c>
      <c r="UO71" s="27">
        <f>MAX(UO70,PortfolioFrontier[[#This Row],[P140 Growth]])</f>
        <v>1.7234002022793458</v>
      </c>
      <c r="UP71" s="27">
        <f>PortfolioFrontier[[#This Row],[P140 Growth]]/PortfolioFrontier[[#This Row],[P140 HWM]]-1</f>
        <v>0</v>
      </c>
      <c r="UQ71" s="28">
        <f>SUMPRODUCT(INDEX(PortfolioRef[[SPY]:[PE]],MATCH(UQ$1,PortfolioRef[Reference '#]),0),AssetMonthlyReturns[[#This Row],[SPY]:[PE]])</f>
        <v>4.668705046448221E-2</v>
      </c>
      <c r="UR71" s="27">
        <f>IF(ISNUMBER(UR70),UR70*(1+PortfolioFrontier[[#This Row],[P141 Return]]),1+PortfolioFrontier[[#This Row],[P141 Return]])</f>
        <v>1.6922041432386774</v>
      </c>
      <c r="US71" s="27">
        <f>MAX(US70,PortfolioFrontier[[#This Row],[P141 Growth]])</f>
        <v>1.6922041432386774</v>
      </c>
      <c r="UT71" s="27">
        <f>PortfolioFrontier[[#This Row],[P141 Growth]]/PortfolioFrontier[[#This Row],[P141 HWM]]-1</f>
        <v>0</v>
      </c>
    </row>
    <row r="72" spans="2:566" x14ac:dyDescent="0.2">
      <c r="B72" s="41">
        <f>AssetMonthlyReturns[[#This Row],[Date]]</f>
        <v>44562</v>
      </c>
      <c r="C72" s="28">
        <f>SUMPRODUCT(INDEX(PortfolioRef[[SPY]:[PE]],MATCH(C$1,PortfolioRef[Reference '#]),0),AssetMonthlyReturns[[#This Row],[SPY]:[PE]])</f>
        <v>-3.8528418157172825E-2</v>
      </c>
      <c r="D72" s="29">
        <f>IF(ISNUMBER(D71),D71*(1+PortfolioFrontier[[#This Row],[P1 Return]]),1+PortfolioFrontier[[#This Row],[P1 Return]])</f>
        <v>1.8778731802379129</v>
      </c>
      <c r="E72" s="29">
        <f>MAX(E71,PortfolioFrontier[[#This Row],[P1 Growth]])</f>
        <v>1.9531239567566241</v>
      </c>
      <c r="F72" s="29">
        <f>PortfolioFrontier[[#This Row],[P1 Growth]]/PortfolioFrontier[[#This Row],[P1 HWM]]-1</f>
        <v>-3.8528418157172784E-2</v>
      </c>
      <c r="G72" s="28">
        <f>SUMPRODUCT(INDEX(PortfolioRef[[SPY]:[PE]],MATCH(G$1,PortfolioRef[Reference '#]),0),AssetMonthlyReturns[[#This Row],[SPY]:[PE]])</f>
        <v>-3.693753238870584E-2</v>
      </c>
      <c r="H72" s="27">
        <f>IF(ISNUMBER(H71),H71*(1+PortfolioFrontier[[#This Row],[P2 Return]]),1+PortfolioFrontier[[#This Row],[P2 Return]])</f>
        <v>1.8114267678802083</v>
      </c>
      <c r="I72" s="27">
        <f>MAX(I71,PortfolioFrontier[[#This Row],[P2 Growth]])</f>
        <v>1.880902671218339</v>
      </c>
      <c r="J72" s="27">
        <f>PortfolioFrontier[[#This Row],[P2 Growth]]/PortfolioFrontier[[#This Row],[P2 HWM]]-1</f>
        <v>-3.6937532388705785E-2</v>
      </c>
      <c r="K72" s="28">
        <f>SUMPRODUCT(INDEX(PortfolioRef[[SPY]:[PE]],MATCH(K$1,PortfolioRef[Reference '#]),0),AssetMonthlyReturns[[#This Row],[SPY]:[PE]])</f>
        <v>-3.6897140112782917E-2</v>
      </c>
      <c r="L72" s="27">
        <f>IF(ISNUMBER(L71),L71*(1+PortfolioFrontier[[#This Row],[P3 Return]]),1+PortfolioFrontier[[#This Row],[P3 Return]])</f>
        <v>1.8283924694715554</v>
      </c>
      <c r="M72" s="27">
        <f>MAX(M71,PortfolioFrontier[[#This Row],[P3 Growth]])</f>
        <v>1.8984394560781046</v>
      </c>
      <c r="N72" s="27">
        <f>PortfolioFrontier[[#This Row],[P3 Growth]]/PortfolioFrontier[[#This Row],[P3 HWM]]-1</f>
        <v>-3.6897140112782889E-2</v>
      </c>
      <c r="O72" s="28">
        <f>SUMPRODUCT(INDEX(PortfolioRef[[SPY]:[PE]],MATCH(O$1,PortfolioRef[Reference '#]),0),AssetMonthlyReturns[[#This Row],[SPY]:[PE]])</f>
        <v>-3.983847972098585E-2</v>
      </c>
      <c r="P72" s="27">
        <f>IF(ISNUMBER(P71),P71*(1+PortfolioFrontier[[#This Row],[P4 Return]]),1+PortfolioFrontier[[#This Row],[P4 Return]])</f>
        <v>1.8428733330683329</v>
      </c>
      <c r="Q72" s="27">
        <f>MAX(Q71,PortfolioFrontier[[#This Row],[P4 Growth]])</f>
        <v>1.9193367929729268</v>
      </c>
      <c r="R72" s="27">
        <f>PortfolioFrontier[[#This Row],[P4 Growth]]/PortfolioFrontier[[#This Row],[P4 HWM]]-1</f>
        <v>-3.9838479720985864E-2</v>
      </c>
      <c r="S72" s="28">
        <f>SUMPRODUCT(INDEX(PortfolioRef[[SPY]:[PE]],MATCH(S$1,PortfolioRef[Reference '#]),0),AssetMonthlyReturns[[#This Row],[SPY]:[PE]])</f>
        <v>-3.5793585515676227E-2</v>
      </c>
      <c r="T72" s="27">
        <f>IF(ISNUMBER(T71),T71*(1+PortfolioFrontier[[#This Row],[P5 Return]]),1+PortfolioFrontier[[#This Row],[P5 Return]])</f>
        <v>1.8167417709820219</v>
      </c>
      <c r="U72" s="27">
        <f>MAX(U71,PortfolioFrontier[[#This Row],[P5 Growth]])</f>
        <v>1.8841834525169079</v>
      </c>
      <c r="V72" s="27">
        <f>PortfolioFrontier[[#This Row],[P5 Growth]]/PortfolioFrontier[[#This Row],[P5 HWM]]-1</f>
        <v>-3.5793585515676241E-2</v>
      </c>
      <c r="W72" s="28">
        <f>SUMPRODUCT(INDEX(PortfolioRef[[SPY]:[PE]],MATCH(W$1,PortfolioRef[Reference '#]),0),AssetMonthlyReturns[[#This Row],[SPY]:[PE]])</f>
        <v>-3.5346646620238856E-2</v>
      </c>
      <c r="X72" s="27">
        <f>IF(ISNUMBER(X71),X71*(1+PortfolioFrontier[[#This Row],[P6 Return]]),1+PortfolioFrontier[[#This Row],[P6 Return]])</f>
        <v>1.7467174502465379</v>
      </c>
      <c r="Y72" s="27">
        <f>MAX(Y71,PortfolioFrontier[[#This Row],[P6 Growth]])</f>
        <v>1.8107203423144032</v>
      </c>
      <c r="Z72" s="27">
        <f>PortfolioFrontier[[#This Row],[P6 Growth]]/PortfolioFrontier[[#This Row],[P6 HWM]]-1</f>
        <v>-3.5346646620238897E-2</v>
      </c>
      <c r="AA72" s="28">
        <f>SUMPRODUCT(INDEX(PortfolioRef[[SPY]:[PE]],MATCH(AA$1,PortfolioRef[Reference '#]),0),AssetMonthlyReturns[[#This Row],[SPY]:[PE]])</f>
        <v>-3.5306254344315932E-2</v>
      </c>
      <c r="AB72" s="27">
        <f>IF(ISNUMBER(AB71),AB71*(1+PortfolioFrontier[[#This Row],[P7 Return]]),1+PortfolioFrontier[[#This Row],[P7 Return]])</f>
        <v>1.7631048991737768</v>
      </c>
      <c r="AC72" s="27">
        <f>MAX(AC71,PortfolioFrontier[[#This Row],[P7 Growth]])</f>
        <v>1.8276317298765399</v>
      </c>
      <c r="AD72" s="27">
        <f>PortfolioFrontier[[#This Row],[P7 Growth]]/PortfolioFrontier[[#This Row],[P7 HWM]]-1</f>
        <v>-3.530625434431589E-2</v>
      </c>
      <c r="AE72" s="28">
        <f>SUMPRODUCT(INDEX(PortfolioRef[[SPY]:[PE]],MATCH(AE$1,PortfolioRef[Reference '#]),0),AssetMonthlyReturns[[#This Row],[SPY]:[PE]])</f>
        <v>-3.8247593952518873E-2</v>
      </c>
      <c r="AF72" s="27">
        <f>IF(ISNUMBER(AF71),AF71*(1+PortfolioFrontier[[#This Row],[P8 Return]]),1+PortfolioFrontier[[#This Row],[P8 Return]])</f>
        <v>1.7775419878399754</v>
      </c>
      <c r="AG72" s="27">
        <f>MAX(AG71,PortfolioFrontier[[#This Row],[P8 Growth]])</f>
        <v>1.8482324314062795</v>
      </c>
      <c r="AH72" s="27">
        <f>PortfolioFrontier[[#This Row],[P8 Growth]]/PortfolioFrontier[[#This Row],[P8 HWM]]-1</f>
        <v>-3.8247593952518866E-2</v>
      </c>
      <c r="AI72" s="28">
        <f>SUMPRODUCT(INDEX(PortfolioRef[[SPY]:[PE]],MATCH(AI$1,PortfolioRef[Reference '#]),0),AssetMonthlyReturns[[#This Row],[SPY]:[PE]])</f>
        <v>-3.4202699747209242E-2</v>
      </c>
      <c r="AJ72" s="27">
        <f>IF(ISNUMBER(AJ71),AJ71*(1+PortfolioFrontier[[#This Row],[P9 Return]]),1+PortfolioFrontier[[#This Row],[P9 Return]])</f>
        <v>1.7519048509306125</v>
      </c>
      <c r="AK72" s="27">
        <f>MAX(AK71,PortfolioFrontier[[#This Row],[P9 Growth]])</f>
        <v>1.8139467261629987</v>
      </c>
      <c r="AL72" s="27">
        <f>PortfolioFrontier[[#This Row],[P9 Growth]]/PortfolioFrontier[[#This Row],[P9 HWM]]-1</f>
        <v>-3.4202699747209242E-2</v>
      </c>
      <c r="AM72" s="28">
        <f>SUMPRODUCT(INDEX(PortfolioRef[[SPY]:[PE]],MATCH(AM$1,PortfolioRef[Reference '#]),0),AssetMonthlyReturns[[#This Row],[SPY]:[PE]])</f>
        <v>-3.5265862068393009E-2</v>
      </c>
      <c r="AN72" s="27">
        <f>IF(ISNUMBER(AN71),AN71*(1+PortfolioFrontier[[#This Row],[P10 Return]]),1+PortfolioFrontier[[#This Row],[P10 Return]])</f>
        <v>1.7792947260179686</v>
      </c>
      <c r="AO72" s="27">
        <f>MAX(AO71,PortfolioFrontier[[#This Row],[P10 Growth]])</f>
        <v>1.8443368551596837</v>
      </c>
      <c r="AP72" s="27">
        <f>PortfolioFrontier[[#This Row],[P10 Growth]]/PortfolioFrontier[[#This Row],[P10 HWM]]-1</f>
        <v>-3.5265862068392995E-2</v>
      </c>
      <c r="AQ72" s="28">
        <f>SUMPRODUCT(INDEX(PortfolioRef[[SPY]:[PE]],MATCH(AQ$1,PortfolioRef[Reference '#]),0),AssetMonthlyReturns[[#This Row],[SPY]:[PE]])</f>
        <v>-3.8207201676595949E-2</v>
      </c>
      <c r="AR72" s="27">
        <f>IF(ISNUMBER(AR71),AR71*(1+PortfolioFrontier[[#This Row],[P11 Return]]),1+PortfolioFrontier[[#This Row],[P11 Return]])</f>
        <v>1.7941763604808807</v>
      </c>
      <c r="AS72" s="27">
        <f>MAX(AS71,PortfolioFrontier[[#This Row],[P11 Growth]])</f>
        <v>1.865449984246593</v>
      </c>
      <c r="AT72" s="27">
        <f>PortfolioFrontier[[#This Row],[P11 Growth]]/PortfolioFrontier[[#This Row],[P11 HWM]]-1</f>
        <v>-3.820720167659597E-2</v>
      </c>
      <c r="AU72" s="28">
        <f>SUMPRODUCT(INDEX(PortfolioRef[[SPY]:[PE]],MATCH(AU$1,PortfolioRef[Reference '#]),0),AssetMonthlyReturns[[#This Row],[SPY]:[PE]])</f>
        <v>-3.4162307471286318E-2</v>
      </c>
      <c r="AV72" s="27">
        <f>IF(ISNUMBER(AV71),AV71*(1+PortfolioFrontier[[#This Row],[P12 Return]]),1+PortfolioFrontier[[#This Row],[P12 Return]])</f>
        <v>1.7683671393670133</v>
      </c>
      <c r="AW72" s="27">
        <f>MAX(AW71,PortfolioFrontier[[#This Row],[P12 Growth]])</f>
        <v>1.8309154354259589</v>
      </c>
      <c r="AX72" s="27">
        <f>PortfolioFrontier[[#This Row],[P12 Growth]]/PortfolioFrontier[[#This Row],[P12 HWM]]-1</f>
        <v>-3.4162307471286346E-2</v>
      </c>
      <c r="AY72" s="28">
        <f>SUMPRODUCT(INDEX(PortfolioRef[[SPY]:[PE]],MATCH(AY$1,PortfolioRef[Reference '#]),0),AssetMonthlyReturns[[#This Row],[SPY]:[PE]])</f>
        <v>-4.1148541284798883E-2</v>
      </c>
      <c r="AZ72" s="27">
        <f>IF(ISNUMBER(AZ71),AZ71*(1+PortfolioFrontier[[#This Row],[P13 Return]]),1+PortfolioFrontier[[#This Row],[P13 Return]])</f>
        <v>1.808209344275806</v>
      </c>
      <c r="BA72" s="27">
        <f>MAX(BA71,PortfolioFrontier[[#This Row],[P13 Growth]])</f>
        <v>1.8858075751364967</v>
      </c>
      <c r="BB72" s="27">
        <f>PortfolioFrontier[[#This Row],[P13 Growth]]/PortfolioFrontier[[#This Row],[P13 HWM]]-1</f>
        <v>-4.1148541284798945E-2</v>
      </c>
      <c r="BC72" s="28">
        <f>SUMPRODUCT(INDEX(PortfolioRef[[SPY]:[PE]],MATCH(BC$1,PortfolioRef[Reference '#]),0),AssetMonthlyReturns[[#This Row],[SPY]:[PE]])</f>
        <v>-3.7103647079489259E-2</v>
      </c>
      <c r="BD72" s="27">
        <f>IF(ISNUMBER(BD71),BD71*(1+PortfolioFrontier[[#This Row],[P14 Return]]),1+PortfolioFrontier[[#This Row],[P14 Return]])</f>
        <v>1.7828135488746661</v>
      </c>
      <c r="BE72" s="27">
        <f>MAX(BE71,PortfolioFrontier[[#This Row],[P14 Growth]])</f>
        <v>1.8515113734383843</v>
      </c>
      <c r="BF72" s="27">
        <f>PortfolioFrontier[[#This Row],[P14 Growth]]/PortfolioFrontier[[#This Row],[P14 HWM]]-1</f>
        <v>-3.710364707948921E-2</v>
      </c>
      <c r="BG72" s="28">
        <f>SUMPRODUCT(INDEX(PortfolioRef[[SPY]:[PE]],MATCH(BG$1,PortfolioRef[Reference '#]),0),AssetMonthlyReturns[[#This Row],[SPY]:[PE]])</f>
        <v>-3.3058752874179621E-2</v>
      </c>
      <c r="BH72" s="27">
        <f>IF(ISNUMBER(BH71),BH71*(1+PortfolioFrontier[[#This Row],[P15 Return]]),1+PortfolioFrontier[[#This Row],[P15 Return]])</f>
        <v>1.7569747404935954</v>
      </c>
      <c r="BI72" s="27">
        <f>MAX(BI71,PortfolioFrontier[[#This Row],[P15 Growth]])</f>
        <v>1.8170439473092146</v>
      </c>
      <c r="BJ72" s="27">
        <f>PortfolioFrontier[[#This Row],[P15 Growth]]/PortfolioFrontier[[#This Row],[P15 HWM]]-1</f>
        <v>-3.3058752874179698E-2</v>
      </c>
      <c r="BK72" s="28">
        <f>SUMPRODUCT(INDEX(PortfolioRef[[SPY]:[PE]],MATCH(BK$1,PortfolioRef[Reference '#]),0),AssetMonthlyReturns[[#This Row],[SPY]:[PE]])</f>
        <v>-3.3755760851771878E-2</v>
      </c>
      <c r="BL72" s="27">
        <f>IF(ISNUMBER(BL71),BL71*(1+PortfolioFrontier[[#This Row],[P16 Return]]),1+PortfolioFrontier[[#This Row],[P16 Return]])</f>
        <v>1.6837283996181787</v>
      </c>
      <c r="BM72" s="27">
        <f>MAX(BM71,PortfolioFrontier[[#This Row],[P16 Growth]])</f>
        <v>1.7425494832470445</v>
      </c>
      <c r="BN72" s="27">
        <f>PortfolioFrontier[[#This Row],[P16 Growth]]/PortfolioFrontier[[#This Row],[P16 HWM]]-1</f>
        <v>-3.3755760851771899E-2</v>
      </c>
      <c r="BO72" s="28">
        <f>SUMPRODUCT(INDEX(PortfolioRef[[SPY]:[PE]],MATCH(BO$1,PortfolioRef[Reference '#]),0),AssetMonthlyReturns[[#This Row],[SPY]:[PE]])</f>
        <v>-3.3715368575848954E-2</v>
      </c>
      <c r="BP72" s="27">
        <f>IF(ISNUMBER(BP71),BP71*(1+PortfolioFrontier[[#This Row],[P17 Return]]),1+PortfolioFrontier[[#This Row],[P17 Return]])</f>
        <v>1.6995521540738341</v>
      </c>
      <c r="BQ72" s="27">
        <f>MAX(BQ71,PortfolioFrontier[[#This Row],[P17 Growth]])</f>
        <v>1.7588525148836969</v>
      </c>
      <c r="BR72" s="27">
        <f>PortfolioFrontier[[#This Row],[P17 Growth]]/PortfolioFrontier[[#This Row],[P17 HWM]]-1</f>
        <v>-3.3715368575849003E-2</v>
      </c>
      <c r="BS72" s="28">
        <f>SUMPRODUCT(INDEX(PortfolioRef[[SPY]:[PE]],MATCH(BS$1,PortfolioRef[Reference '#]),0),AssetMonthlyReturns[[#This Row],[SPY]:[PE]])</f>
        <v>-3.6656708184051888E-2</v>
      </c>
      <c r="BT72" s="27">
        <f>IF(ISNUMBER(BT71),BT71*(1+PortfolioFrontier[[#This Row],[P18 Return]]),1+PortfolioFrontier[[#This Row],[P18 Return]])</f>
        <v>1.7139233010710098</v>
      </c>
      <c r="BU72" s="27">
        <f>MAX(BU71,PortfolioFrontier[[#This Row],[P18 Growth]])</f>
        <v>1.7791407441475846</v>
      </c>
      <c r="BV72" s="27">
        <f>PortfolioFrontier[[#This Row],[P18 Growth]]/PortfolioFrontier[[#This Row],[P18 HWM]]-1</f>
        <v>-3.6656708184051867E-2</v>
      </c>
      <c r="BW72" s="28">
        <f>SUMPRODUCT(INDEX(PortfolioRef[[SPY]:[PE]],MATCH(BW$1,PortfolioRef[Reference '#]),0),AssetMonthlyReturns[[#This Row],[SPY]:[PE]])</f>
        <v>-3.2611813978742264E-2</v>
      </c>
      <c r="BX72" s="27">
        <f>IF(ISNUMBER(BX71),BX71*(1+PortfolioFrontier[[#This Row],[P19 Return]]),1+PortfolioFrontier[[#This Row],[P19 Return]])</f>
        <v>1.6887885346283285</v>
      </c>
      <c r="BY72" s="27">
        <f>MAX(BY71,PortfolioFrontier[[#This Row],[P19 Growth]])</f>
        <v>1.7457196180719312</v>
      </c>
      <c r="BZ72" s="27">
        <f>PortfolioFrontier[[#This Row],[P19 Growth]]/PortfolioFrontier[[#This Row],[P19 HWM]]-1</f>
        <v>-3.2611813978742243E-2</v>
      </c>
      <c r="CA72" s="28">
        <f>SUMPRODUCT(INDEX(PortfolioRef[[SPY]:[PE]],MATCH(CA$1,PortfolioRef[Reference '#]),0),AssetMonthlyReturns[[#This Row],[SPY]:[PE]])</f>
        <v>-3.3674976299926031E-2</v>
      </c>
      <c r="CB72" s="27">
        <f>IF(ISNUMBER(CB71),CB71*(1+PortfolioFrontier[[#This Row],[P20 Return]]),1+PortfolioFrontier[[#This Row],[P20 Return]])</f>
        <v>1.7151851256862858</v>
      </c>
      <c r="CC72" s="27">
        <f>MAX(CC71,PortfolioFrontier[[#This Row],[P20 Growth]])</f>
        <v>1.7749567522517573</v>
      </c>
      <c r="CD72" s="27">
        <f>PortfolioFrontier[[#This Row],[P20 Growth]]/PortfolioFrontier[[#This Row],[P20 HWM]]-1</f>
        <v>-3.3674976299925996E-2</v>
      </c>
      <c r="CE72" s="28">
        <f>SUMPRODUCT(INDEX(PortfolioRef[[SPY]:[PE]],MATCH(CE$1,PortfolioRef[Reference '#]),0),AssetMonthlyReturns[[#This Row],[SPY]:[PE]])</f>
        <v>-3.6616315908128964E-2</v>
      </c>
      <c r="CF72" s="27">
        <f>IF(ISNUMBER(CF71),CF71*(1+PortfolioFrontier[[#This Row],[P21 Return]]),1+PortfolioFrontier[[#This Row],[P21 Return]])</f>
        <v>1.7299898500172732</v>
      </c>
      <c r="CG72" s="27">
        <f>MAX(CG71,PortfolioFrontier[[#This Row],[P21 Growth]])</f>
        <v>1.795743356031652</v>
      </c>
      <c r="CH72" s="27">
        <f>PortfolioFrontier[[#This Row],[P21 Growth]]/PortfolioFrontier[[#This Row],[P21 HWM]]-1</f>
        <v>-3.6616315908129082E-2</v>
      </c>
      <c r="CI72" s="28">
        <f>SUMPRODUCT(INDEX(PortfolioRef[[SPY]:[PE]],MATCH(CI$1,PortfolioRef[Reference '#]),0),AssetMonthlyReturns[[#This Row],[SPY]:[PE]])</f>
        <v>-3.2571421702819341E-2</v>
      </c>
      <c r="CJ72" s="27">
        <f>IF(ISNUMBER(CJ71),CJ71*(1+PortfolioFrontier[[#This Row],[P22 Return]]),1+PortfolioFrontier[[#This Row],[P22 Return]])</f>
        <v>1.7046850573204468</v>
      </c>
      <c r="CK72" s="27">
        <f>MAX(CK71,PortfolioFrontier[[#This Row],[P22 Growth]])</f>
        <v>1.7620784578443487</v>
      </c>
      <c r="CL72" s="27">
        <f>PortfolioFrontier[[#This Row],[P22 Growth]]/PortfolioFrontier[[#This Row],[P22 HWM]]-1</f>
        <v>-3.2571421702819348E-2</v>
      </c>
      <c r="CM72" s="28">
        <f>SUMPRODUCT(INDEX(PortfolioRef[[SPY]:[PE]],MATCH(CM$1,PortfolioRef[Reference '#]),0),AssetMonthlyReturns[[#This Row],[SPY]:[PE]])</f>
        <v>-3.9557655516331905E-2</v>
      </c>
      <c r="CN72" s="27">
        <f>IF(ISNUMBER(CN71),CN71*(1+PortfolioFrontier[[#This Row],[P23 Return]]),1+PortfolioFrontier[[#This Row],[P23 Return]])</f>
        <v>1.743985784869893</v>
      </c>
      <c r="CO72" s="27">
        <f>MAX(CO71,PortfolioFrontier[[#This Row],[P23 Growth]])</f>
        <v>1.8158151760868648</v>
      </c>
      <c r="CP72" s="27">
        <f>PortfolioFrontier[[#This Row],[P23 Growth]]/PortfolioFrontier[[#This Row],[P23 HWM]]-1</f>
        <v>-3.9557655516331947E-2</v>
      </c>
      <c r="CQ72" s="28">
        <f>SUMPRODUCT(INDEX(PortfolioRef[[SPY]:[PE]],MATCH(CQ$1,PortfolioRef[Reference '#]),0),AssetMonthlyReturns[[#This Row],[SPY]:[PE]])</f>
        <v>-3.5512761311022274E-2</v>
      </c>
      <c r="CR72" s="27">
        <f>IF(ISNUMBER(CR71),CR71*(1+PortfolioFrontier[[#This Row],[P24 Return]]),1+PortfolioFrontier[[#This Row],[P24 Return]])</f>
        <v>1.7190671527946375</v>
      </c>
      <c r="CS72" s="27">
        <f>MAX(CS71,PortfolioFrontier[[#This Row],[P24 Growth]])</f>
        <v>1.7823638134718676</v>
      </c>
      <c r="CT72" s="27">
        <f>PortfolioFrontier[[#This Row],[P24 Growth]]/PortfolioFrontier[[#This Row],[P24 HWM]]-1</f>
        <v>-3.5512761311022434E-2</v>
      </c>
      <c r="CU72" s="28">
        <f>SUMPRODUCT(INDEX(PortfolioRef[[SPY]:[PE]],MATCH(CU$1,PortfolioRef[Reference '#]),0),AssetMonthlyReturns[[#This Row],[SPY]:[PE]])</f>
        <v>-3.1467867105712644E-2</v>
      </c>
      <c r="CV72" s="27">
        <f>IF(ISNUMBER(CV71),CV71*(1+PortfolioFrontier[[#This Row],[P25 Return]]),1+PortfolioFrontier[[#This Row],[P25 Return]])</f>
        <v>1.6937357474083565</v>
      </c>
      <c r="CW72" s="27">
        <f>MAX(CW71,PortfolioFrontier[[#This Row],[P25 Growth]])</f>
        <v>1.7487656732120247</v>
      </c>
      <c r="CX72" s="27">
        <f>PortfolioFrontier[[#This Row],[P25 Growth]]/PortfolioFrontier[[#This Row],[P25 HWM]]-1</f>
        <v>-3.1467867105712699E-2</v>
      </c>
      <c r="CY72" s="28">
        <f>SUMPRODUCT(INDEX(PortfolioRef[[SPY]:[PE]],MATCH(CY$1,PortfolioRef[Reference '#]),0),AssetMonthlyReturns[[#This Row],[SPY]:[PE]])</f>
        <v>-3.6575923632206041E-2</v>
      </c>
      <c r="CZ72" s="27">
        <f>IF(ISNUMBER(CZ71),CZ71*(1+PortfolioFrontier[[#This Row],[P26 Return]]),1+PortfolioFrontier[[#This Row],[P26 Return]])</f>
        <v>1.7458620514062024</v>
      </c>
      <c r="DA72" s="27">
        <f>MAX(DA71,PortfolioFrontier[[#This Row],[P26 Growth]])</f>
        <v>1.8121428498945955</v>
      </c>
      <c r="DB72" s="27">
        <f>PortfolioFrontier[[#This Row],[P26 Growth]]/PortfolioFrontier[[#This Row],[P26 HWM]]-1</f>
        <v>-3.6575923632206075E-2</v>
      </c>
      <c r="DC72" s="28">
        <f>SUMPRODUCT(INDEX(PortfolioRef[[SPY]:[PE]],MATCH(DC$1,PortfolioRef[Reference '#]),0),AssetMonthlyReturns[[#This Row],[SPY]:[PE]])</f>
        <v>-3.2531029426896417E-2</v>
      </c>
      <c r="DD72" s="27">
        <f>IF(ISNUMBER(DD71),DD71*(1+PortfolioFrontier[[#This Row],[P27 Return]]),1+PortfolioFrontier[[#This Row],[P27 Return]])</f>
        <v>1.7203908426283432</v>
      </c>
      <c r="DE72" s="27">
        <f>MAX(DE71,PortfolioFrontier[[#This Row],[P27 Growth]])</f>
        <v>1.7782387807323972</v>
      </c>
      <c r="DF72" s="27">
        <f>PortfolioFrontier[[#This Row],[P27 Growth]]/PortfolioFrontier[[#This Row],[P27 HWM]]-1</f>
        <v>-3.2531029426896341E-2</v>
      </c>
      <c r="DG72" s="28">
        <f>SUMPRODUCT(INDEX(PortfolioRef[[SPY]:[PE]],MATCH(DG$1,PortfolioRef[Reference '#]),0),AssetMonthlyReturns[[#This Row],[SPY]:[PE]])</f>
        <v>-3.9517263240408981E-2</v>
      </c>
      <c r="DH72" s="27">
        <f>IF(ISNUMBER(DH71),DH71*(1+PortfolioFrontier[[#This Row],[P28 Return]]),1+PortfolioFrontier[[#This Row],[P28 Return]])</f>
        <v>1.7602927918054609</v>
      </c>
      <c r="DI72" s="27">
        <f>MAX(DI71,PortfolioFrontier[[#This Row],[P28 Growth]])</f>
        <v>1.8327167417336543</v>
      </c>
      <c r="DJ72" s="27">
        <f>PortfolioFrontier[[#This Row],[P28 Growth]]/PortfolioFrontier[[#This Row],[P28 HWM]]-1</f>
        <v>-3.951726324040894E-2</v>
      </c>
      <c r="DK72" s="28">
        <f>SUMPRODUCT(INDEX(PortfolioRef[[SPY]:[PE]],MATCH(DK$1,PortfolioRef[Reference '#]),0),AssetMonthlyReturns[[#This Row],[SPY]:[PE]])</f>
        <v>-3.5472369035099351E-2</v>
      </c>
      <c r="DL72" s="27">
        <f>IF(ISNUMBER(DL71),DL71*(1+PortfolioFrontier[[#This Row],[P29 Return]]),1+PortfolioFrontier[[#This Row],[P29 Return]])</f>
        <v>1.735207613566256</v>
      </c>
      <c r="DM72" s="27">
        <f>MAX(DM71,PortfolioFrontier[[#This Row],[P29 Growth]])</f>
        <v>1.7990232294645383</v>
      </c>
      <c r="DN72" s="27">
        <f>PortfolioFrontier[[#This Row],[P29 Growth]]/PortfolioFrontier[[#This Row],[P29 HWM]]-1</f>
        <v>-3.5472369035099316E-2</v>
      </c>
      <c r="DO72" s="28">
        <f>SUMPRODUCT(INDEX(PortfolioRef[[SPY]:[PE]],MATCH(DO$1,PortfolioRef[Reference '#]),0),AssetMonthlyReturns[[#This Row],[SPY]:[PE]])</f>
        <v>-3.142747482978972E-2</v>
      </c>
      <c r="DP72" s="27">
        <f>IF(ISNUMBER(DP71),DP71*(1+PortfolioFrontier[[#This Row],[P30 Return]]),1+PortfolioFrontier[[#This Row],[P30 Return]])</f>
        <v>1.7097041590219766</v>
      </c>
      <c r="DQ72" s="27">
        <f>MAX(DQ71,PortfolioFrontier[[#This Row],[P30 Growth]])</f>
        <v>1.7651792866223672</v>
      </c>
      <c r="DR72" s="27">
        <f>PortfolioFrontier[[#This Row],[P30 Growth]]/PortfolioFrontier[[#This Row],[P30 HWM]]-1</f>
        <v>-3.1427474829789692E-2</v>
      </c>
      <c r="DS72" s="28">
        <f>SUMPRODUCT(INDEX(PortfolioRef[[SPY]:[PE]],MATCH(DS$1,PortfolioRef[Reference '#]),0),AssetMonthlyReturns[[#This Row],[SPY]:[PE]])</f>
        <v>-4.2458602848611915E-2</v>
      </c>
      <c r="DT72" s="27">
        <f>IF(ISNUMBER(DT71),DT71*(1+PortfolioFrontier[[#This Row],[P31 Return]]),1+PortfolioFrontier[[#This Row],[P31 Return]])</f>
        <v>1.7738864235043492</v>
      </c>
      <c r="DU72" s="27">
        <f>MAX(DU71,PortfolioFrontier[[#This Row],[P31 Growth]])</f>
        <v>1.8525428026208837</v>
      </c>
      <c r="DV72" s="27">
        <f>PortfolioFrontier[[#This Row],[P31 Growth]]/PortfolioFrontier[[#This Row],[P31 HWM]]-1</f>
        <v>-4.2458602848611804E-2</v>
      </c>
      <c r="DW72" s="28">
        <f>SUMPRODUCT(INDEX(PortfolioRef[[SPY]:[PE]],MATCH(DW$1,PortfolioRef[Reference '#]),0),AssetMonthlyReturns[[#This Row],[SPY]:[PE]])</f>
        <v>-3.8413708643302291E-2</v>
      </c>
      <c r="DX72" s="27">
        <f>IF(ISNUMBER(DX71),DX71*(1+PortfolioFrontier[[#This Row],[P32 Return]]),1+PortfolioFrontier[[#This Row],[P32 Return]])</f>
        <v>1.7492128640045914</v>
      </c>
      <c r="DY72" s="27">
        <f>MAX(DY71,PortfolioFrontier[[#This Row],[P32 Growth]])</f>
        <v>1.8190908915066115</v>
      </c>
      <c r="DZ72" s="27">
        <f>PortfolioFrontier[[#This Row],[P32 Growth]]/PortfolioFrontier[[#This Row],[P32 HWM]]-1</f>
        <v>-3.8413708643302402E-2</v>
      </c>
      <c r="EA72" s="28">
        <f>SUMPRODUCT(INDEX(PortfolioRef[[SPY]:[PE]],MATCH(EA$1,PortfolioRef[Reference '#]),0),AssetMonthlyReturns[[#This Row],[SPY]:[PE]])</f>
        <v>-3.4368814437992654E-2</v>
      </c>
      <c r="EB72" s="27">
        <f>IF(ISNUMBER(EB71),EB71*(1+PortfolioFrontier[[#This Row],[P33 Return]]),1+PortfolioFrontier[[#This Row],[P33 Return]])</f>
        <v>1.7240959509103908</v>
      </c>
      <c r="EC72" s="27">
        <f>MAX(EC71,PortfolioFrontier[[#This Row],[P33 Growth]])</f>
        <v>1.7854600976944932</v>
      </c>
      <c r="ED72" s="27">
        <f>PortfolioFrontier[[#This Row],[P33 Growth]]/PortfolioFrontier[[#This Row],[P33 HWM]]-1</f>
        <v>-3.4368814437992778E-2</v>
      </c>
      <c r="EE72" s="28">
        <f>SUMPRODUCT(INDEX(PortfolioRef[[SPY]:[PE]],MATCH(EE$1,PortfolioRef[Reference '#]),0),AssetMonthlyReturns[[#This Row],[SPY]:[PE]])</f>
        <v>-3.2164875083304893E-2</v>
      </c>
      <c r="EF72" s="27">
        <f>IF(ISNUMBER(EF71),EF71*(1+PortfolioFrontier[[#This Row],[P34 Return]]),1+PortfolioFrontier[[#This Row],[P34 Return]])</f>
        <v>1.6224414849593962</v>
      </c>
      <c r="EG72" s="27">
        <f>MAX(EG71,PortfolioFrontier[[#This Row],[P34 Growth]])</f>
        <v>1.6763614413137211</v>
      </c>
      <c r="EH72" s="27">
        <f>PortfolioFrontier[[#This Row],[P34 Growth]]/PortfolioFrontier[[#This Row],[P34 HWM]]-1</f>
        <v>-3.2164875083305011E-2</v>
      </c>
      <c r="EI72" s="28">
        <f>SUMPRODUCT(INDEX(PortfolioRef[[SPY]:[PE]],MATCH(EI$1,PortfolioRef[Reference '#]),0),AssetMonthlyReturns[[#This Row],[SPY]:[PE]])</f>
        <v>-3.212448280738197E-2</v>
      </c>
      <c r="EJ72" s="27">
        <f>IF(ISNUMBER(EJ71),EJ71*(1+PortfolioFrontier[[#This Row],[P35 Return]]),1+PortfolioFrontier[[#This Row],[P35 Return]])</f>
        <v>1.6377159655779219</v>
      </c>
      <c r="EK72" s="27">
        <f>MAX(EK71,PortfolioFrontier[[#This Row],[P35 Growth]])</f>
        <v>1.6920729334369538</v>
      </c>
      <c r="EL72" s="27">
        <f>PortfolioFrontier[[#This Row],[P35 Growth]]/PortfolioFrontier[[#This Row],[P35 HWM]]-1</f>
        <v>-3.2124482807382004E-2</v>
      </c>
      <c r="EM72" s="28">
        <f>SUMPRODUCT(INDEX(PortfolioRef[[SPY]:[PE]],MATCH(EM$1,PortfolioRef[Reference '#]),0),AssetMonthlyReturns[[#This Row],[SPY]:[PE]])</f>
        <v>-3.5065822415584903E-2</v>
      </c>
      <c r="EN72" s="27">
        <f>IF(ISNUMBER(EN71),EN71*(1+PortfolioFrontier[[#This Row],[P36 Return]]),1+PortfolioFrontier[[#This Row],[P36 Return]])</f>
        <v>1.652000502214126</v>
      </c>
      <c r="EO72" s="27">
        <f>MAX(EO71,PortfolioFrontier[[#This Row],[P36 Growth]])</f>
        <v>1.7120343963250326</v>
      </c>
      <c r="EP72" s="27">
        <f>PortfolioFrontier[[#This Row],[P36 Growth]]/PortfolioFrontier[[#This Row],[P36 HWM]]-1</f>
        <v>-3.5065822415584869E-2</v>
      </c>
      <c r="EQ72" s="28">
        <f>SUMPRODUCT(INDEX(PortfolioRef[[SPY]:[PE]],MATCH(EQ$1,PortfolioRef[Reference '#]),0),AssetMonthlyReturns[[#This Row],[SPY]:[PE]])</f>
        <v>-3.102092821027528E-2</v>
      </c>
      <c r="ER72" s="27">
        <f>IF(ISNUMBER(ER71),ER71*(1+PortfolioFrontier[[#This Row],[P37 Return]]),1+PortfolioFrontier[[#This Row],[P37 Return]])</f>
        <v>1.6273748477906247</v>
      </c>
      <c r="ES72" s="27">
        <f>MAX(ES71,PortfolioFrontier[[#This Row],[P37 Growth]])</f>
        <v>1.6794736802569215</v>
      </c>
      <c r="ET72" s="27">
        <f>PortfolioFrontier[[#This Row],[P37 Growth]]/PortfolioFrontier[[#This Row],[P37 HWM]]-1</f>
        <v>-3.1020928210275245E-2</v>
      </c>
      <c r="EU72" s="28">
        <f>SUMPRODUCT(INDEX(PortfolioRef[[SPY]:[PE]],MATCH(EU$1,PortfolioRef[Reference '#]),0),AssetMonthlyReturns[[#This Row],[SPY]:[PE]])</f>
        <v>-3.2084090531459046E-2</v>
      </c>
      <c r="EV72" s="27">
        <f>IF(ISNUMBER(EV71),EV71*(1+PortfolioFrontier[[#This Row],[P38 Return]]),1+PortfolioFrontier[[#This Row],[P38 Return]])</f>
        <v>1.6528063291190405</v>
      </c>
      <c r="EW72" s="27">
        <f>MAX(EW71,PortfolioFrontier[[#This Row],[P38 Growth]])</f>
        <v>1.7075928941250238</v>
      </c>
      <c r="EX72" s="27">
        <f>PortfolioFrontier[[#This Row],[P38 Growth]]/PortfolioFrontier[[#This Row],[P38 HWM]]-1</f>
        <v>-3.2084090531458997E-2</v>
      </c>
      <c r="EY72" s="28">
        <f>SUMPRODUCT(INDEX(PortfolioRef[[SPY]:[PE]],MATCH(EY$1,PortfolioRef[Reference '#]),0),AssetMonthlyReturns[[#This Row],[SPY]:[PE]])</f>
        <v>-3.502543013966198E-2</v>
      </c>
      <c r="EZ72" s="27">
        <f>IF(ISNUMBER(EZ71),EZ71*(1+PortfolioFrontier[[#This Row],[P39 Return]]),1+PortfolioFrontier[[#This Row],[P39 Return]])</f>
        <v>1.6675135534623557</v>
      </c>
      <c r="FA72" s="27">
        <f>MAX(FA71,PortfolioFrontier[[#This Row],[P39 Growth]])</f>
        <v>1.7280388577532122</v>
      </c>
      <c r="FB72" s="27">
        <f>PortfolioFrontier[[#This Row],[P39 Growth]]/PortfolioFrontier[[#This Row],[P39 HWM]]-1</f>
        <v>-3.5025430139661973E-2</v>
      </c>
      <c r="FC72" s="28">
        <f>SUMPRODUCT(INDEX(PortfolioRef[[SPY]:[PE]],MATCH(FC$1,PortfolioRef[Reference '#]),0),AssetMonthlyReturns[[#This Row],[SPY]:[PE]])</f>
        <v>-3.0980535934352356E-2</v>
      </c>
      <c r="FD72" s="27">
        <f>IF(ISNUMBER(FD71),FD71*(1+PortfolioFrontier[[#This Row],[P40 Return]]),1+PortfolioFrontier[[#This Row],[P40 Return]])</f>
        <v>1.6427200553249868</v>
      </c>
      <c r="FE72" s="27">
        <f>MAX(FE71,PortfolioFrontier[[#This Row],[P40 Growth]])</f>
        <v>1.6952394830468527</v>
      </c>
      <c r="FF72" s="27">
        <f>PortfolioFrontier[[#This Row],[P40 Growth]]/PortfolioFrontier[[#This Row],[P40 HWM]]-1</f>
        <v>-3.0980535934352349E-2</v>
      </c>
      <c r="FG72" s="28">
        <f>SUMPRODUCT(INDEX(PortfolioRef[[SPY]:[PE]],MATCH(FG$1,PortfolioRef[Reference '#]),0),AssetMonthlyReturns[[#This Row],[SPY]:[PE]])</f>
        <v>-3.796676974786492E-2</v>
      </c>
      <c r="FH72" s="27">
        <f>IF(ISNUMBER(FH71),FH71*(1+PortfolioFrontier[[#This Row],[P41 Return]]),1+PortfolioFrontier[[#This Row],[P41 Return]])</f>
        <v>1.6814504607198233</v>
      </c>
      <c r="FI72" s="27">
        <f>MAX(FI71,PortfolioFrontier[[#This Row],[P41 Growth]])</f>
        <v>1.7478091274239449</v>
      </c>
      <c r="FJ72" s="27">
        <f>PortfolioFrontier[[#This Row],[P41 Growth]]/PortfolioFrontier[[#This Row],[P41 HWM]]-1</f>
        <v>-3.7966769747864948E-2</v>
      </c>
      <c r="FK72" s="28">
        <f>SUMPRODUCT(INDEX(PortfolioRef[[SPY]:[PE]],MATCH(FK$1,PortfolioRef[Reference '#]),0),AssetMonthlyReturns[[#This Row],[SPY]:[PE]])</f>
        <v>-3.392187554255529E-2</v>
      </c>
      <c r="FL72" s="27">
        <f>IF(ISNUMBER(FL71),FL71*(1+PortfolioFrontier[[#This Row],[P42 Return]]),1+PortfolioFrontier[[#This Row],[P42 Return]])</f>
        <v>1.6570170562875024</v>
      </c>
      <c r="FM72" s="27">
        <f>MAX(FM71,PortfolioFrontier[[#This Row],[P42 Growth]])</f>
        <v>1.7151998522045959</v>
      </c>
      <c r="FN72" s="27">
        <f>PortfolioFrontier[[#This Row],[P42 Growth]]/PortfolioFrontier[[#This Row],[P42 HWM]]-1</f>
        <v>-3.3921875542555324E-2</v>
      </c>
      <c r="FO72" s="28">
        <f>SUMPRODUCT(INDEX(PortfolioRef[[SPY]:[PE]],MATCH(FO$1,PortfolioRef[Reference '#]),0),AssetMonthlyReturns[[#This Row],[SPY]:[PE]])</f>
        <v>-2.9876981337245662E-2</v>
      </c>
      <c r="FP72" s="27">
        <f>IF(ISNUMBER(FP71),FP71*(1+PortfolioFrontier[[#This Row],[P43 Return]]),1+PortfolioFrontier[[#This Row],[P43 Return]])</f>
        <v>1.6321997351954376</v>
      </c>
      <c r="FQ72" s="27">
        <f>MAX(FQ71,PortfolioFrontier[[#This Row],[P43 Growth]])</f>
        <v>1.6824667632825669</v>
      </c>
      <c r="FR72" s="27">
        <f>PortfolioFrontier[[#This Row],[P43 Growth]]/PortfolioFrontier[[#This Row],[P43 HWM]]-1</f>
        <v>-2.98769813372457E-2</v>
      </c>
      <c r="FS72" s="28">
        <f>SUMPRODUCT(INDEX(PortfolioRef[[SPY]:[PE]],MATCH(FS$1,PortfolioRef[Reference '#]),0),AssetMonthlyReturns[[#This Row],[SPY]:[PE]])</f>
        <v>-3.4985037863739056E-2</v>
      </c>
      <c r="FT72" s="27">
        <f>IF(ISNUMBER(FT71),FT71*(1+PortfolioFrontier[[#This Row],[P44 Return]]),1+PortfolioFrontier[[#This Row],[P44 Return]])</f>
        <v>1.6828389962014625</v>
      </c>
      <c r="FU72" s="27">
        <f>MAX(FU71,PortfolioFrontier[[#This Row],[P44 Growth]])</f>
        <v>1.7438475694471607</v>
      </c>
      <c r="FV72" s="27">
        <f>PortfolioFrontier[[#This Row],[P44 Growth]]/PortfolioFrontier[[#This Row],[P44 HWM]]-1</f>
        <v>-3.4985037863739077E-2</v>
      </c>
      <c r="FW72" s="28">
        <f>SUMPRODUCT(INDEX(PortfolioRef[[SPY]:[PE]],MATCH(FW$1,PortfolioRef[Reference '#]),0),AssetMonthlyReturns[[#This Row],[SPY]:[PE]])</f>
        <v>-3.0940143658429432E-2</v>
      </c>
      <c r="FX72" s="27">
        <f>IF(ISNUMBER(FX71),FX71*(1+PortfolioFrontier[[#This Row],[P45 Return]]),1+PortfolioFrontier[[#This Row],[P45 Return]])</f>
        <v>1.6578811844651662</v>
      </c>
      <c r="FY72" s="27">
        <f>MAX(FY71,PortfolioFrontier[[#This Row],[P45 Growth]])</f>
        <v>1.7108140158896465</v>
      </c>
      <c r="FZ72" s="27">
        <f>PortfolioFrontier[[#This Row],[P45 Growth]]/PortfolioFrontier[[#This Row],[P45 HWM]]-1</f>
        <v>-3.0940143658429453E-2</v>
      </c>
      <c r="GA72" s="28">
        <f>SUMPRODUCT(INDEX(PortfolioRef[[SPY]:[PE]],MATCH(GA$1,PortfolioRef[Reference '#]),0),AssetMonthlyReturns[[#This Row],[SPY]:[PE]])</f>
        <v>-3.7926377471941997E-2</v>
      </c>
      <c r="GB72" s="27">
        <f>IF(ISNUMBER(GB71),GB71*(1+PortfolioFrontier[[#This Row],[P46 Return]]),1+PortfolioFrontier[[#This Row],[P46 Return]])</f>
        <v>1.697199972135476</v>
      </c>
      <c r="GC72" s="27">
        <f>MAX(GC71,PortfolioFrontier[[#This Row],[P46 Growth]])</f>
        <v>1.7641061270089846</v>
      </c>
      <c r="GD72" s="27">
        <f>PortfolioFrontier[[#This Row],[P46 Growth]]/PortfolioFrontier[[#This Row],[P46 HWM]]-1</f>
        <v>-3.7926377471942052E-2</v>
      </c>
      <c r="GE72" s="28">
        <f>SUMPRODUCT(INDEX(PortfolioRef[[SPY]:[PE]],MATCH(GE$1,PortfolioRef[Reference '#]),0),AssetMonthlyReturns[[#This Row],[SPY]:[PE]])</f>
        <v>-3.3881483266632366E-2</v>
      </c>
      <c r="GF72" s="27">
        <f>IF(ISNUMBER(GF71),GF71*(1+PortfolioFrontier[[#This Row],[P47 Return]]),1+PortfolioFrontier[[#This Row],[P47 Return]])</f>
        <v>1.6726019652902639</v>
      </c>
      <c r="GG72" s="27">
        <f>MAX(GG71,PortfolioFrontier[[#This Row],[P47 Growth]])</f>
        <v>1.7312596087544752</v>
      </c>
      <c r="GH72" s="27">
        <f>PortfolioFrontier[[#This Row],[P47 Growth]]/PortfolioFrontier[[#This Row],[P47 HWM]]-1</f>
        <v>-3.3881483266632317E-2</v>
      </c>
      <c r="GI72" s="28">
        <f>SUMPRODUCT(INDEX(PortfolioRef[[SPY]:[PE]],MATCH(GI$1,PortfolioRef[Reference '#]),0),AssetMonthlyReturns[[#This Row],[SPY]:[PE]])</f>
        <v>-2.9836589061322739E-2</v>
      </c>
      <c r="GJ72" s="27">
        <f>IF(ISNUMBER(GJ71),GJ71*(1+PortfolioFrontier[[#This Row],[P48 Return]]),1+PortfolioFrontier[[#This Row],[P48 Return]])</f>
        <v>1.6476148254948597</v>
      </c>
      <c r="GK72" s="27">
        <f>MAX(GK71,PortfolioFrontier[[#This Row],[P48 Growth]])</f>
        <v>1.6982858835097865</v>
      </c>
      <c r="GL72" s="27">
        <f>PortfolioFrontier[[#This Row],[P48 Growth]]/PortfolioFrontier[[#This Row],[P48 HWM]]-1</f>
        <v>-2.9836589061322694E-2</v>
      </c>
      <c r="GM72" s="28">
        <f>SUMPRODUCT(INDEX(PortfolioRef[[SPY]:[PE]],MATCH(GM$1,PortfolioRef[Reference '#]),0),AssetMonthlyReturns[[#This Row],[SPY]:[PE]])</f>
        <v>-4.086771708014493E-2</v>
      </c>
      <c r="GN72" s="27">
        <f>IF(ISNUMBER(GN71),GN71*(1+PortfolioFrontier[[#This Row],[P49 Return]]),1+PortfolioFrontier[[#This Row],[P49 Return]])</f>
        <v>1.7107631131118444</v>
      </c>
      <c r="GO72" s="27">
        <f>MAX(GO71,PortfolioFrontier[[#This Row],[P49 Growth]])</f>
        <v>1.7836571071341945</v>
      </c>
      <c r="GP72" s="27">
        <f>PortfolioFrontier[[#This Row],[P49 Growth]]/PortfolioFrontier[[#This Row],[P49 HWM]]-1</f>
        <v>-4.0867717080144916E-2</v>
      </c>
      <c r="GQ72" s="28">
        <f>SUMPRODUCT(INDEX(PortfolioRef[[SPY]:[PE]],MATCH(GQ$1,PortfolioRef[Reference '#]),0),AssetMonthlyReturns[[#This Row],[SPY]:[PE]])</f>
        <v>-3.6822822874835306E-2</v>
      </c>
      <c r="GR72" s="27">
        <f>IF(ISNUMBER(GR71),GR71*(1+PortfolioFrontier[[#This Row],[P50 Return]]),1+PortfolioFrontier[[#This Row],[P50 Return]])</f>
        <v>1.6865497837438361</v>
      </c>
      <c r="GS72" s="27">
        <f>MAX(GS71,PortfolioFrontier[[#This Row],[P50 Growth]])</f>
        <v>1.7510275614895194</v>
      </c>
      <c r="GT72" s="27">
        <f>PortfolioFrontier[[#This Row],[P50 Growth]]/PortfolioFrontier[[#This Row],[P50 HWM]]-1</f>
        <v>-3.6822822874835293E-2</v>
      </c>
      <c r="GU72" s="28">
        <f>SUMPRODUCT(INDEX(PortfolioRef[[SPY]:[PE]],MATCH(GU$1,PortfolioRef[Reference '#]),0),AssetMonthlyReturns[[#This Row],[SPY]:[PE]])</f>
        <v>-3.2777928669525669E-2</v>
      </c>
      <c r="GV72" s="27">
        <f>IF(ISNUMBER(GV71),GV71*(1+PortfolioFrontier[[#This Row],[P51 Return]]),1+PortfolioFrontier[[#This Row],[P51 Return]])</f>
        <v>1.6619230606096418</v>
      </c>
      <c r="GW72" s="27">
        <f>MAX(GW71,PortfolioFrontier[[#This Row],[P51 Growth]])</f>
        <v>1.7182435242855478</v>
      </c>
      <c r="GX72" s="27">
        <f>PortfolioFrontier[[#This Row],[P51 Growth]]/PortfolioFrontier[[#This Row],[P51 HWM]]-1</f>
        <v>-3.2777928669525669E-2</v>
      </c>
      <c r="GY72" s="28">
        <f>SUMPRODUCT(INDEX(PortfolioRef[[SPY]:[PE]],MATCH(GY$1,PortfolioRef[Reference '#]),0),AssetMonthlyReturns[[#This Row],[SPY]:[PE]])</f>
        <v>-3.7885985196019073E-2</v>
      </c>
      <c r="GZ72" s="27">
        <f>IF(ISNUMBER(GZ71),GZ71*(1+PortfolioFrontier[[#This Row],[P52 Return]]),1+PortfolioFrontier[[#This Row],[P52 Return]])</f>
        <v>1.7127583918528089</v>
      </c>
      <c r="HA72" s="27">
        <f>MAX(HA71,PortfolioFrontier[[#This Row],[P52 Growth]])</f>
        <v>1.7802031417261526</v>
      </c>
      <c r="HB72" s="27">
        <f>PortfolioFrontier[[#This Row],[P52 Growth]]/PortfolioFrontier[[#This Row],[P52 HWM]]-1</f>
        <v>-3.7885985196019045E-2</v>
      </c>
      <c r="HC72" s="28">
        <f>SUMPRODUCT(INDEX(PortfolioRef[[SPY]:[PE]],MATCH(HC$1,PortfolioRef[Reference '#]),0),AssetMonthlyReturns[[#This Row],[SPY]:[PE]])</f>
        <v>-3.3841090990709442E-2</v>
      </c>
      <c r="HD72" s="27">
        <f>IF(ISNUMBER(HD71),HD71*(1+PortfolioFrontier[[#This Row],[P53 Return]]),1+PortfolioFrontier[[#This Row],[P53 Return]])</f>
        <v>1.6879993042500665</v>
      </c>
      <c r="HE72" s="27">
        <f>MAX(HE71,PortfolioFrontier[[#This Row],[P53 Growth]])</f>
        <v>1.7471238825308339</v>
      </c>
      <c r="HF72" s="27">
        <f>PortfolioFrontier[[#This Row],[P53 Growth]]/PortfolioFrontier[[#This Row],[P53 HWM]]-1</f>
        <v>-3.3841090990709422E-2</v>
      </c>
      <c r="HG72" s="28">
        <f>SUMPRODUCT(INDEX(PortfolioRef[[SPY]:[PE]],MATCH(HG$1,PortfolioRef[Reference '#]),0),AssetMonthlyReturns[[#This Row],[SPY]:[PE]])</f>
        <v>-2.9796196785399815E-2</v>
      </c>
      <c r="HH72" s="27">
        <f>IF(ISNUMBER(HH71),HH71*(1+PortfolioFrontier[[#This Row],[P54 Return]]),1+PortfolioFrontier[[#This Row],[P54 Return]])</f>
        <v>1.6628458912787401</v>
      </c>
      <c r="HI72" s="27">
        <f>MAX(HI71,PortfolioFrontier[[#This Row],[P54 Growth]])</f>
        <v>1.7139140104060526</v>
      </c>
      <c r="HJ72" s="27">
        <f>PortfolioFrontier[[#This Row],[P54 Growth]]/PortfolioFrontier[[#This Row],[P54 HWM]]-1</f>
        <v>-2.9796196785399798E-2</v>
      </c>
      <c r="HK72" s="28">
        <f>SUMPRODUCT(INDEX(PortfolioRef[[SPY]:[PE]],MATCH(HK$1,PortfolioRef[Reference '#]),0),AssetMonthlyReturns[[#This Row],[SPY]:[PE]])</f>
        <v>-4.0827324804222007E-2</v>
      </c>
      <c r="HL72" s="27">
        <f>IF(ISNUMBER(HL71),HL71*(1+PortfolioFrontier[[#This Row],[P55 Return]]),1+PortfolioFrontier[[#This Row],[P55 Return]])</f>
        <v>1.7267467355525485</v>
      </c>
      <c r="HM72" s="27">
        <f>MAX(HM71,PortfolioFrontier[[#This Row],[P55 Growth]])</f>
        <v>1.8002459621778737</v>
      </c>
      <c r="HN72" s="27">
        <f>PortfolioFrontier[[#This Row],[P55 Growth]]/PortfolioFrontier[[#This Row],[P55 HWM]]-1</f>
        <v>-4.082732480422202E-2</v>
      </c>
      <c r="HO72" s="28">
        <f>SUMPRODUCT(INDEX(PortfolioRef[[SPY]:[PE]],MATCH(HO$1,PortfolioRef[Reference '#]),0),AssetMonthlyReturns[[#This Row],[SPY]:[PE]])</f>
        <v>-3.6782430598912383E-2</v>
      </c>
      <c r="HP72" s="27">
        <f>IF(ISNUMBER(HP71),HP71*(1+PortfolioFrontier[[#This Row],[P56 Return]]),1+PortfolioFrontier[[#This Row],[P56 Return]])</f>
        <v>1.702372276898324</v>
      </c>
      <c r="HQ72" s="27">
        <f>MAX(HQ71,PortfolioFrontier[[#This Row],[P56 Growth]])</f>
        <v>1.767380839986993</v>
      </c>
      <c r="HR72" s="27">
        <f>PortfolioFrontier[[#This Row],[P56 Growth]]/PortfolioFrontier[[#This Row],[P56 HWM]]-1</f>
        <v>-3.6782430598912397E-2</v>
      </c>
      <c r="HS72" s="28">
        <f>SUMPRODUCT(INDEX(PortfolioRef[[SPY]:[PE]],MATCH(HS$1,PortfolioRef[Reference '#]),0),AssetMonthlyReturns[[#This Row],[SPY]:[PE]])</f>
        <v>-3.2737536393602745E-2</v>
      </c>
      <c r="HT72" s="27">
        <f>IF(ISNUMBER(HT71),HT71*(1+PortfolioFrontier[[#This Row],[P57 Return]]),1+PortfolioFrontier[[#This Row],[P57 Return]])</f>
        <v>1.6775789690105323</v>
      </c>
      <c r="HU72" s="27">
        <f>MAX(HU71,PortfolioFrontier[[#This Row],[P57 Growth]])</f>
        <v>1.7343575628436463</v>
      </c>
      <c r="HV72" s="27">
        <f>PortfolioFrontier[[#This Row],[P57 Growth]]/PortfolioFrontier[[#This Row],[P57 HWM]]-1</f>
        <v>-3.2737536393602773E-2</v>
      </c>
      <c r="HW72" s="28">
        <f>SUMPRODUCT(INDEX(PortfolioRef[[SPY]:[PE]],MATCH(HW$1,PortfolioRef[Reference '#]),0),AssetMonthlyReturns[[#This Row],[SPY]:[PE]])</f>
        <v>-4.3768664412424947E-2</v>
      </c>
      <c r="HX72" s="27">
        <f>IF(ISNUMBER(HX71),HX71*(1+PortfolioFrontier[[#This Row],[P58 Return]]),1+PortfolioFrontier[[#This Row],[P58 Return]])</f>
        <v>1.7399095179489146</v>
      </c>
      <c r="HY72" s="27">
        <f>MAX(HY71,PortfolioFrontier[[#This Row],[P58 Growth]])</f>
        <v>1.8195487359549802</v>
      </c>
      <c r="HZ72" s="27">
        <f>PortfolioFrontier[[#This Row],[P58 Growth]]/PortfolioFrontier[[#This Row],[P58 HWM]]-1</f>
        <v>-4.3768664412424996E-2</v>
      </c>
      <c r="IA72" s="28">
        <f>SUMPRODUCT(INDEX(PortfolioRef[[SPY]:[PE]],MATCH(IA$1,PortfolioRef[Reference '#]),0),AssetMonthlyReturns[[#This Row],[SPY]:[PE]])</f>
        <v>-3.9723770207115316E-2</v>
      </c>
      <c r="IB72" s="27">
        <f>IF(ISNUMBER(IB71),IB71*(1+PortfolioFrontier[[#This Row],[P59 Return]]),1+PortfolioFrontier[[#This Row],[P59 Return]])</f>
        <v>1.7159447128618521</v>
      </c>
      <c r="IC72" s="27">
        <f>MAX(IC71,PortfolioFrontier[[#This Row],[P59 Growth]])</f>
        <v>1.7869282396294996</v>
      </c>
      <c r="ID72" s="27">
        <f>PortfolioFrontier[[#This Row],[P59 Growth]]/PortfolioFrontier[[#This Row],[P59 HWM]]-1</f>
        <v>-3.9723770207115372E-2</v>
      </c>
      <c r="IE72" s="28">
        <f>SUMPRODUCT(INDEX(PortfolioRef[[SPY]:[PE]],MATCH(IE$1,PortfolioRef[Reference '#]),0),AssetMonthlyReturns[[#This Row],[SPY]:[PE]])</f>
        <v>-3.5678876001805686E-2</v>
      </c>
      <c r="IF72" s="27">
        <f>IF(ISNUMBER(IF71),IF71*(1+PortfolioFrontier[[#This Row],[P60 Return]]),1+PortfolioFrontier[[#This Row],[P60 Return]])</f>
        <v>1.6915364818046932</v>
      </c>
      <c r="IG72" s="27">
        <f>MAX(IG71,PortfolioFrontier[[#This Row],[P60 Growth]])</f>
        <v>1.7541215677111524</v>
      </c>
      <c r="IH72" s="27">
        <f>PortfolioFrontier[[#This Row],[P60 Growth]]/PortfolioFrontier[[#This Row],[P60 HWM]]-1</f>
        <v>-3.5678876001805637E-2</v>
      </c>
      <c r="II72" s="28">
        <f>SUMPRODUCT(INDEX(PortfolioRef[[SPY]:[PE]],MATCH(II$1,PortfolioRef[Reference '#]),0),AssetMonthlyReturns[[#This Row],[SPY]:[PE]])</f>
        <v>-3.0573989314837912E-2</v>
      </c>
      <c r="IJ72" s="27">
        <f>IF(ISNUMBER(IJ71),IJ71*(1+PortfolioFrontier[[#This Row],[P61 Return]]),1+PortfolioFrontier[[#This Row],[P61 Return]])</f>
        <v>1.5628373574428887</v>
      </c>
      <c r="IK72" s="27">
        <f>MAX(IK71,PortfolioFrontier[[#This Row],[P61 Growth]])</f>
        <v>1.6121264956964798</v>
      </c>
      <c r="IL72" s="27">
        <f>PortfolioFrontier[[#This Row],[P61 Growth]]/PortfolioFrontier[[#This Row],[P61 HWM]]-1</f>
        <v>-3.0573989314837902E-2</v>
      </c>
      <c r="IM72" s="28">
        <f>SUMPRODUCT(INDEX(PortfolioRef[[SPY]:[PE]],MATCH(IM$1,PortfolioRef[Reference '#]),0),AssetMonthlyReturns[[#This Row],[SPY]:[PE]])</f>
        <v>-3.0533597038914988E-2</v>
      </c>
      <c r="IN72" s="27">
        <f>IF(ISNUMBER(IN71),IN71*(1+PortfolioFrontier[[#This Row],[P62 Return]]),1+PortfolioFrontier[[#This Row],[P62 Return]])</f>
        <v>1.5775768374441195</v>
      </c>
      <c r="IO72" s="27">
        <f>MAX(IO71,PortfolioFrontier[[#This Row],[P62 Growth]])</f>
        <v>1.6272630311124299</v>
      </c>
      <c r="IP72" s="27">
        <f>PortfolioFrontier[[#This Row],[P62 Growth]]/PortfolioFrontier[[#This Row],[P62 HWM]]-1</f>
        <v>-3.0533597038915006E-2</v>
      </c>
      <c r="IQ72" s="28">
        <f>SUMPRODUCT(INDEX(PortfolioRef[[SPY]:[PE]],MATCH(IQ$1,PortfolioRef[Reference '#]),0),AssetMonthlyReturns[[#This Row],[SPY]:[PE]])</f>
        <v>-3.3474936647117925E-2</v>
      </c>
      <c r="IR72" s="27">
        <f>IF(ISNUMBER(IR71),IR71*(1+PortfolioFrontier[[#This Row],[P63 Return]]),1+PortfolioFrontier[[#This Row],[P63 Return]])</f>
        <v>1.5917555411052526</v>
      </c>
      <c r="IS72" s="27">
        <f>MAX(IS71,PortfolioFrontier[[#This Row],[P63 Growth]])</f>
        <v>1.646884909102555</v>
      </c>
      <c r="IT72" s="27">
        <f>PortfolioFrontier[[#This Row],[P63 Growth]]/PortfolioFrontier[[#This Row],[P63 HWM]]-1</f>
        <v>-3.3474936647117759E-2</v>
      </c>
      <c r="IU72" s="28">
        <f>SUMPRODUCT(INDEX(PortfolioRef[[SPY]:[PE]],MATCH(IU$1,PortfolioRef[Reference '#]),0),AssetMonthlyReturns[[#This Row],[SPY]:[PE]])</f>
        <v>-2.9430042441808298E-2</v>
      </c>
      <c r="IV72" s="27">
        <f>IF(ISNUMBER(IV71),IV71*(1+PortfolioFrontier[[#This Row],[P64 Return]]),1+PortfolioFrontier[[#This Row],[P64 Return]])</f>
        <v>1.5676445900407212</v>
      </c>
      <c r="IW72" s="27">
        <f>MAX(IW71,PortfolioFrontier[[#This Row],[P64 Growth]])</f>
        <v>1.6151793879801097</v>
      </c>
      <c r="IX72" s="27">
        <f>PortfolioFrontier[[#This Row],[P64 Growth]]/PortfolioFrontier[[#This Row],[P64 HWM]]-1</f>
        <v>-2.9430042441808246E-2</v>
      </c>
      <c r="IY72" s="28">
        <f>SUMPRODUCT(INDEX(PortfolioRef[[SPY]:[PE]],MATCH(IY$1,PortfolioRef[Reference '#]),0),AssetMonthlyReturns[[#This Row],[SPY]:[PE]])</f>
        <v>-3.0493204762992065E-2</v>
      </c>
      <c r="IZ72" s="27">
        <f>IF(ISNUMBER(IZ71),IZ71*(1+PortfolioFrontier[[#This Row],[P65 Return]]),1+PortfolioFrontier[[#This Row],[P65 Return]])</f>
        <v>1.5921386941400297</v>
      </c>
      <c r="JA72" s="27">
        <f>MAX(JA71,PortfolioFrontier[[#This Row],[P65 Growth]])</f>
        <v>1.6422150953060746</v>
      </c>
      <c r="JB72" s="27">
        <f>PortfolioFrontier[[#This Row],[P65 Growth]]/PortfolioFrontier[[#This Row],[P65 HWM]]-1</f>
        <v>-3.0493204762992221E-2</v>
      </c>
      <c r="JC72" s="28">
        <f>SUMPRODUCT(INDEX(PortfolioRef[[SPY]:[PE]],MATCH(JC$1,PortfolioRef[Reference '#]),0),AssetMonthlyReturns[[#This Row],[SPY]:[PE]])</f>
        <v>-3.3434544371195002E-2</v>
      </c>
      <c r="JD72" s="27">
        <f>IF(ISNUMBER(JD71),JD71*(1+PortfolioFrontier[[#This Row],[P66 Return]]),1+PortfolioFrontier[[#This Row],[P66 Return]])</f>
        <v>1.6067292842649141</v>
      </c>
      <c r="JE72" s="27">
        <f>MAX(JE71,PortfolioFrontier[[#This Row],[P66 Growth]])</f>
        <v>1.6623077877531292</v>
      </c>
      <c r="JF72" s="27">
        <f>PortfolioFrontier[[#This Row],[P66 Growth]]/PortfolioFrontier[[#This Row],[P66 HWM]]-1</f>
        <v>-3.3434544371194974E-2</v>
      </c>
      <c r="JG72" s="28">
        <f>SUMPRODUCT(INDEX(PortfolioRef[[SPY]:[PE]],MATCH(JG$1,PortfolioRef[Reference '#]),0),AssetMonthlyReturns[[#This Row],[SPY]:[PE]])</f>
        <v>-2.9389650165885375E-2</v>
      </c>
      <c r="JH72" s="27">
        <f>IF(ISNUMBER(JH71),JH71*(1+PortfolioFrontier[[#This Row],[P67 Return]]),1+PortfolioFrontier[[#This Row],[P67 Return]])</f>
        <v>1.5824527864157996</v>
      </c>
      <c r="JI72" s="27">
        <f>MAX(JI71,PortfolioFrontier[[#This Row],[P67 Growth]])</f>
        <v>1.6303687537292939</v>
      </c>
      <c r="JJ72" s="27">
        <f>PortfolioFrontier[[#This Row],[P67 Growth]]/PortfolioFrontier[[#This Row],[P67 HWM]]-1</f>
        <v>-2.938965016588535E-2</v>
      </c>
      <c r="JK72" s="28">
        <f>SUMPRODUCT(INDEX(PortfolioRef[[SPY]:[PE]],MATCH(JK$1,PortfolioRef[Reference '#]),0),AssetMonthlyReturns[[#This Row],[SPY]:[PE]])</f>
        <v>-3.6375883979397935E-2</v>
      </c>
      <c r="JL72" s="27">
        <f>IF(ISNUMBER(JL71),JL71*(1+PortfolioFrontier[[#This Row],[P68 Return]]),1+PortfolioFrontier[[#This Row],[P68 Return]])</f>
        <v>1.6205866656422938</v>
      </c>
      <c r="JM72" s="27">
        <f>MAX(JM71,PortfolioFrontier[[#This Row],[P68 Growth]])</f>
        <v>1.6817622542850994</v>
      </c>
      <c r="JN72" s="27">
        <f>PortfolioFrontier[[#This Row],[P68 Growth]]/PortfolioFrontier[[#This Row],[P68 HWM]]-1</f>
        <v>-3.6375883979397949E-2</v>
      </c>
      <c r="JO72" s="28">
        <f>SUMPRODUCT(INDEX(PortfolioRef[[SPY]:[PE]],MATCH(JO$1,PortfolioRef[Reference '#]),0),AssetMonthlyReturns[[#This Row],[SPY]:[PE]])</f>
        <v>-3.2330989774088312E-2</v>
      </c>
      <c r="JP72" s="27">
        <f>IF(ISNUMBER(JP71),JP71*(1+PortfolioFrontier[[#This Row],[P69 Return]]),1+PortfolioFrontier[[#This Row],[P69 Return]])</f>
        <v>1.5966453617405791</v>
      </c>
      <c r="JQ72" s="27">
        <f>MAX(JQ71,PortfolioFrontier[[#This Row],[P69 Growth]])</f>
        <v>1.6499912107010917</v>
      </c>
      <c r="JR72" s="27">
        <f>PortfolioFrontier[[#This Row],[P69 Growth]]/PortfolioFrontier[[#This Row],[P69 HWM]]-1</f>
        <v>-3.2330989774088326E-2</v>
      </c>
      <c r="JS72" s="28">
        <f>SUMPRODUCT(INDEX(PortfolioRef[[SPY]:[PE]],MATCH(JS$1,PortfolioRef[Reference '#]),0),AssetMonthlyReturns[[#This Row],[SPY]:[PE]])</f>
        <v>-2.8286095568778681E-2</v>
      </c>
      <c r="JT72" s="27">
        <f>IF(ISNUMBER(JT71),JT71*(1+PortfolioFrontier[[#This Row],[P70 Return]]),1+PortfolioFrontier[[#This Row],[P70 Return]])</f>
        <v>1.5723476545296591</v>
      </c>
      <c r="JU72" s="27">
        <f>MAX(JU71,PortfolioFrontier[[#This Row],[P70 Growth]])</f>
        <v>1.6181178918603722</v>
      </c>
      <c r="JV72" s="27">
        <f>PortfolioFrontier[[#This Row],[P70 Growth]]/PortfolioFrontier[[#This Row],[P70 HWM]]-1</f>
        <v>-2.8286095568778702E-2</v>
      </c>
      <c r="JW72" s="28">
        <f>SUMPRODUCT(INDEX(PortfolioRef[[SPY]:[PE]],MATCH(JW$1,PortfolioRef[Reference '#]),0),AssetMonthlyReturns[[#This Row],[SPY]:[PE]])</f>
        <v>-3.3394152095272078E-2</v>
      </c>
      <c r="JX72" s="27">
        <f>IF(ISNUMBER(JX71),JX71*(1+PortfolioFrontier[[#This Row],[P71 Return]]),1+PortfolioFrontier[[#This Row],[P71 Return]])</f>
        <v>1.6215219865318071</v>
      </c>
      <c r="JY72" s="27">
        <f>MAX(JY71,PortfolioFrontier[[#This Row],[P71 Growth]])</f>
        <v>1.6775420819631024</v>
      </c>
      <c r="JZ72" s="27">
        <f>PortfolioFrontier[[#This Row],[P71 Growth]]/PortfolioFrontier[[#This Row],[P71 HWM]]-1</f>
        <v>-3.3394152095272078E-2</v>
      </c>
      <c r="KA72" s="28">
        <f>SUMPRODUCT(INDEX(PortfolioRef[[SPY]:[PE]],MATCH(KA$1,PortfolioRef[Reference '#]),0),AssetMonthlyReturns[[#This Row],[SPY]:[PE]])</f>
        <v>-2.9349257889962451E-2</v>
      </c>
      <c r="KB72" s="27">
        <f>IF(ISNUMBER(KB71),KB71*(1+PortfolioFrontier[[#This Row],[P72 Return]]),1+PortfolioFrontier[[#This Row],[P72 Return]])</f>
        <v>1.5970833918438623</v>
      </c>
      <c r="KC72" s="27">
        <f>MAX(KC71,PortfolioFrontier[[#This Row],[P72 Growth]])</f>
        <v>1.6453738946019467</v>
      </c>
      <c r="KD72" s="27">
        <f>PortfolioFrontier[[#This Row],[P72 Growth]]/PortfolioFrontier[[#This Row],[P72 HWM]]-1</f>
        <v>-2.9349257889962455E-2</v>
      </c>
      <c r="KE72" s="28">
        <f>SUMPRODUCT(INDEX(PortfolioRef[[SPY]:[PE]],MATCH(KE$1,PortfolioRef[Reference '#]),0),AssetMonthlyReturns[[#This Row],[SPY]:[PE]])</f>
        <v>-3.6335491703475012E-2</v>
      </c>
      <c r="KF72" s="27">
        <f>IF(ISNUMBER(KF71),KF71*(1+PortfolioFrontier[[#This Row],[P73 Return]]),1+PortfolioFrontier[[#This Row],[P73 Return]])</f>
        <v>1.6357927766176348</v>
      </c>
      <c r="KG72" s="27">
        <f>MAX(KG71,PortfolioFrontier[[#This Row],[P73 Growth]])</f>
        <v>1.6974712283523181</v>
      </c>
      <c r="KH72" s="27">
        <f>PortfolioFrontier[[#This Row],[P73 Growth]]/PortfolioFrontier[[#This Row],[P73 HWM]]-1</f>
        <v>-3.6335491703475054E-2</v>
      </c>
      <c r="KI72" s="28">
        <f>SUMPRODUCT(INDEX(PortfolioRef[[SPY]:[PE]],MATCH(KI$1,PortfolioRef[Reference '#]),0),AssetMonthlyReturns[[#This Row],[SPY]:[PE]])</f>
        <v>-3.2290597498165388E-2</v>
      </c>
      <c r="KJ72" s="27">
        <f>IF(ISNUMBER(KJ71),KJ71*(1+PortfolioFrontier[[#This Row],[P74 Return]]),1+PortfolioFrontier[[#This Row],[P74 Return]])</f>
        <v>1.6116889387063456</v>
      </c>
      <c r="KK72" s="27">
        <f>MAX(KK71,PortfolioFrontier[[#This Row],[P74 Growth]])</f>
        <v>1.6654678920548054</v>
      </c>
      <c r="KL72" s="27">
        <f>PortfolioFrontier[[#This Row],[P74 Growth]]/PortfolioFrontier[[#This Row],[P74 HWM]]-1</f>
        <v>-3.229059749816543E-2</v>
      </c>
      <c r="KM72" s="28">
        <f>SUMPRODUCT(INDEX(PortfolioRef[[SPY]:[PE]],MATCH(KM$1,PortfolioRef[Reference '#]),0),AssetMonthlyReturns[[#This Row],[SPY]:[PE]])</f>
        <v>-2.8245703292855757E-2</v>
      </c>
      <c r="KN72" s="27">
        <f>IF(ISNUMBER(KN71),KN71*(1+PortfolioFrontier[[#This Row],[P75 Return]]),1+PortfolioFrontier[[#This Row],[P75 Return]])</f>
        <v>1.5872237571549495</v>
      </c>
      <c r="KO72" s="27">
        <f>MAX(KO71,PortfolioFrontier[[#This Row],[P75 Growth]])</f>
        <v>1.6333591346427441</v>
      </c>
      <c r="KP72" s="27">
        <f>PortfolioFrontier[[#This Row],[P75 Growth]]/PortfolioFrontier[[#This Row],[P75 HWM]]-1</f>
        <v>-2.8245703292855806E-2</v>
      </c>
      <c r="KQ72" s="28">
        <f>SUMPRODUCT(INDEX(PortfolioRef[[SPY]:[PE]],MATCH(KQ$1,PortfolioRef[Reference '#]),0),AssetMonthlyReturns[[#This Row],[SPY]:[PE]])</f>
        <v>-3.9276831311677952E-2</v>
      </c>
      <c r="KR72" s="27">
        <f>IF(ISNUMBER(KR71),KR71*(1+PortfolioFrontier[[#This Row],[P76 Return]]),1+PortfolioFrontier[[#This Row],[P76 Return]])</f>
        <v>1.6493036372287286</v>
      </c>
      <c r="KS72" s="27">
        <f>MAX(KS71,PortfolioFrontier[[#This Row],[P76 Growth]])</f>
        <v>1.7167314071133803</v>
      </c>
      <c r="KT72" s="27">
        <f>PortfolioFrontier[[#This Row],[P76 Growth]]/PortfolioFrontier[[#This Row],[P76 HWM]]-1</f>
        <v>-3.9276831311677918E-2</v>
      </c>
      <c r="KU72" s="28">
        <f>SUMPRODUCT(INDEX(PortfolioRef[[SPY]:[PE]],MATCH(KU$1,PortfolioRef[Reference '#]),0),AssetMonthlyReturns[[#This Row],[SPY]:[PE]])</f>
        <v>-3.5231937106368322E-2</v>
      </c>
      <c r="KV72" s="27">
        <f>IF(ISNUMBER(KV71),KV71*(1+PortfolioFrontier[[#This Row],[P77 Return]]),1+PortfolioFrontier[[#This Row],[P77 Return]])</f>
        <v>1.6255587167460543</v>
      </c>
      <c r="KW72" s="27">
        <f>MAX(KW71,PortfolioFrontier[[#This Row],[P77 Growth]])</f>
        <v>1.6849217747429484</v>
      </c>
      <c r="KX72" s="27">
        <f>PortfolioFrontier[[#This Row],[P77 Growth]]/PortfolioFrontier[[#This Row],[P77 HWM]]-1</f>
        <v>-3.5231937106368294E-2</v>
      </c>
      <c r="KY72" s="28">
        <f>SUMPRODUCT(INDEX(PortfolioRef[[SPY]:[PE]],MATCH(KY$1,PortfolioRef[Reference '#]),0),AssetMonthlyReturns[[#This Row],[SPY]:[PE]])</f>
        <v>-3.1187042901058695E-2</v>
      </c>
      <c r="KZ72" s="27">
        <f>IF(ISNUMBER(KZ71),KZ71*(1+PortfolioFrontier[[#This Row],[P78 Return]]),1+PortfolioFrontier[[#This Row],[P78 Return]])</f>
        <v>1.601428996552162</v>
      </c>
      <c r="LA72" s="27">
        <f>MAX(LA71,PortfolioFrontier[[#This Row],[P78 Growth]])</f>
        <v>1.6529805725839544</v>
      </c>
      <c r="LB72" s="27">
        <f>PortfolioFrontier[[#This Row],[P78 Growth]]/PortfolioFrontier[[#This Row],[P78 HWM]]-1</f>
        <v>-3.118704290105867E-2</v>
      </c>
      <c r="LC72" s="28">
        <f>SUMPRODUCT(INDEX(PortfolioRef[[SPY]:[PE]],MATCH(LC$1,PortfolioRef[Reference '#]),0),AssetMonthlyReturns[[#This Row],[SPY]:[PE]])</f>
        <v>-3.6295099427552088E-2</v>
      </c>
      <c r="LD72" s="27">
        <f>IF(ISNUMBER(LD71),LD71*(1+PortfolioFrontier[[#This Row],[P79 Return]]),1+PortfolioFrontier[[#This Row],[P79 Return]])</f>
        <v>1.6508144349583578</v>
      </c>
      <c r="LE72" s="27">
        <f>MAX(LE71,PortfolioFrontier[[#This Row],[P79 Growth]])</f>
        <v>1.7129874860839263</v>
      </c>
      <c r="LF72" s="27">
        <f>PortfolioFrontier[[#This Row],[P79 Growth]]/PortfolioFrontier[[#This Row],[P79 HWM]]-1</f>
        <v>-3.6295099427552047E-2</v>
      </c>
      <c r="LG72" s="28">
        <f>SUMPRODUCT(INDEX(PortfolioRef[[SPY]:[PE]],MATCH(LG$1,PortfolioRef[Reference '#]),0),AssetMonthlyReturns[[#This Row],[SPY]:[PE]])</f>
        <v>-3.2250205222242465E-2</v>
      </c>
      <c r="LH72" s="27">
        <f>IF(ISNUMBER(LH71),LH71*(1+PortfolioFrontier[[#This Row],[P80 Return]]),1+PortfolioFrontier[[#This Row],[P80 Return]])</f>
        <v>1.6265515068251315</v>
      </c>
      <c r="LI72" s="27">
        <f>MAX(LI71,PortfolioFrontier[[#This Row],[P80 Growth]])</f>
        <v>1.6807562405101484</v>
      </c>
      <c r="LJ72" s="27">
        <f>PortfolioFrontier[[#This Row],[P80 Growth]]/PortfolioFrontier[[#This Row],[P80 HWM]]-1</f>
        <v>-3.2250205222242423E-2</v>
      </c>
      <c r="LK72" s="28">
        <f>SUMPRODUCT(INDEX(PortfolioRef[[SPY]:[PE]],MATCH(LK$1,PortfolioRef[Reference '#]),0),AssetMonthlyReturns[[#This Row],[SPY]:[PE]])</f>
        <v>-2.8205311016932834E-2</v>
      </c>
      <c r="LL72" s="27">
        <f>IF(ISNUMBER(LL71),LL71*(1+PortfolioFrontier[[#This Row],[P81 Return]]),1+PortfolioFrontier[[#This Row],[P81 Return]])</f>
        <v>1.6019223158632716</v>
      </c>
      <c r="LM72" s="27">
        <f>MAX(LM71,PortfolioFrontier[[#This Row],[P81 Growth]])</f>
        <v>1.648416413491208</v>
      </c>
      <c r="LN72" s="27">
        <f>PortfolioFrontier[[#This Row],[P81 Growth]]/PortfolioFrontier[[#This Row],[P81 HWM]]-1</f>
        <v>-2.8205311016932799E-2</v>
      </c>
      <c r="LO72" s="28">
        <f>SUMPRODUCT(INDEX(PortfolioRef[[SPY]:[PE]],MATCH(LO$1,PortfolioRef[Reference '#]),0),AssetMonthlyReturns[[#This Row],[SPY]:[PE]])</f>
        <v>-3.9236439035755029E-2</v>
      </c>
      <c r="LP72" s="27">
        <f>IF(ISNUMBER(LP71),LP71*(1+PortfolioFrontier[[#This Row],[P82 Return]]),1+PortfolioFrontier[[#This Row],[P82 Return]])</f>
        <v>1.6647399902516591</v>
      </c>
      <c r="LQ72" s="27">
        <f>MAX(LQ71,PortfolioFrontier[[#This Row],[P82 Growth]])</f>
        <v>1.7327259878391794</v>
      </c>
      <c r="LR72" s="27">
        <f>PortfolioFrontier[[#This Row],[P82 Growth]]/PortfolioFrontier[[#This Row],[P82 HWM]]-1</f>
        <v>-3.9236439035755022E-2</v>
      </c>
      <c r="LS72" s="28">
        <f>SUMPRODUCT(INDEX(PortfolioRef[[SPY]:[PE]],MATCH(LS$1,PortfolioRef[Reference '#]),0),AssetMonthlyReturns[[#This Row],[SPY]:[PE]])</f>
        <v>-3.5191544830445398E-2</v>
      </c>
      <c r="LT72" s="27">
        <f>IF(ISNUMBER(LT71),LT71*(1+PortfolioFrontier[[#This Row],[P83 Return]]),1+PortfolioFrontier[[#This Row],[P83 Return]])</f>
        <v>1.6408357729320673</v>
      </c>
      <c r="LU72" s="27">
        <f>MAX(LU71,PortfolioFrontier[[#This Row],[P83 Growth]])</f>
        <v>1.7006855237848306</v>
      </c>
      <c r="LV72" s="27">
        <f>PortfolioFrontier[[#This Row],[P83 Growth]]/PortfolioFrontier[[#This Row],[P83 HWM]]-1</f>
        <v>-3.5191544830445398E-2</v>
      </c>
      <c r="LW72" s="28">
        <f>SUMPRODUCT(INDEX(PortfolioRef[[SPY]:[PE]],MATCH(LW$1,PortfolioRef[Reference '#]),0),AssetMonthlyReturns[[#This Row],[SPY]:[PE]])</f>
        <v>-3.1146650625135771E-2</v>
      </c>
      <c r="LX72" s="27">
        <f>IF(ISNUMBER(LX71),LX71*(1+PortfolioFrontier[[#This Row],[P84 Return]]),1+PortfolioFrontier[[#This Row],[P84 Return]])</f>
        <v>1.6165415833761698</v>
      </c>
      <c r="LY72" s="27">
        <f>MAX(LY71,PortfolioFrontier[[#This Row],[P84 Growth]])</f>
        <v>1.6685100840279028</v>
      </c>
      <c r="LZ72" s="27">
        <f>PortfolioFrontier[[#This Row],[P84 Growth]]/PortfolioFrontier[[#This Row],[P84 HWM]]-1</f>
        <v>-3.1146650625135774E-2</v>
      </c>
      <c r="MA72" s="28">
        <f>SUMPRODUCT(INDEX(PortfolioRef[[SPY]:[PE]],MATCH(MA$1,PortfolioRef[Reference '#]),0),AssetMonthlyReturns[[#This Row],[SPY]:[PE]])</f>
        <v>-4.2177778643957962E-2</v>
      </c>
      <c r="MB72" s="27">
        <f>IF(ISNUMBER(MB71),MB71*(1+PortfolioFrontier[[#This Row],[P85 Return]]),1+PortfolioFrontier[[#This Row],[P85 Return]])</f>
        <v>1.6778786725616501</v>
      </c>
      <c r="MC72" s="27">
        <f>MAX(MC71,PortfolioFrontier[[#This Row],[P85 Growth]])</f>
        <v>1.7517641950154219</v>
      </c>
      <c r="MD72" s="27">
        <f>PortfolioFrontier[[#This Row],[P85 Growth]]/PortfolioFrontier[[#This Row],[P85 HWM]]-1</f>
        <v>-4.2177778643957997E-2</v>
      </c>
      <c r="ME72" s="28">
        <f>SUMPRODUCT(INDEX(PortfolioRef[[SPY]:[PE]],MATCH(ME$1,PortfolioRef[Reference '#]),0),AssetMonthlyReturns[[#This Row],[SPY]:[PE]])</f>
        <v>-3.8132884438648339E-2</v>
      </c>
      <c r="MF72" s="27">
        <f>IF(ISNUMBER(MF71),MF71*(1+PortfolioFrontier[[#This Row],[P86 Return]]),1+PortfolioFrontier[[#This Row],[P86 Return]])</f>
        <v>1.6543574928882183</v>
      </c>
      <c r="MG72" s="27">
        <f>MAX(MG71,PortfolioFrontier[[#This Row],[P86 Growth]])</f>
        <v>1.7199439154573082</v>
      </c>
      <c r="MH72" s="27">
        <f>PortfolioFrontier[[#This Row],[P86 Growth]]/PortfolioFrontier[[#This Row],[P86 HWM]]-1</f>
        <v>-3.8132884438648373E-2</v>
      </c>
      <c r="MI72" s="28">
        <f>SUMPRODUCT(INDEX(PortfolioRef[[SPY]:[PE]],MATCH(MI$1,PortfolioRef[Reference '#]),0),AssetMonthlyReturns[[#This Row],[SPY]:[PE]])</f>
        <v>-3.4087990233338701E-2</v>
      </c>
      <c r="MJ72" s="27">
        <f>IF(ISNUMBER(MJ71),MJ71*(1+PortfolioFrontier[[#This Row],[P87 Return]]),1+PortfolioFrontier[[#This Row],[P87 Return]])</f>
        <v>1.6304225623926931</v>
      </c>
      <c r="MK72" s="27">
        <f>MAX(MK71,PortfolioFrontier[[#This Row],[P87 Growth]])</f>
        <v>1.6879617873128629</v>
      </c>
      <c r="ML72" s="27">
        <f>PortfolioFrontier[[#This Row],[P87 Growth]]/PortfolioFrontier[[#This Row],[P87 HWM]]-1</f>
        <v>-3.408799023333875E-2</v>
      </c>
      <c r="MM72" s="28">
        <f>SUMPRODUCT(INDEX(PortfolioRef[[SPY]:[PE]],MATCH(MM$1,PortfolioRef[Reference '#]),0),AssetMonthlyReturns[[#This Row],[SPY]:[PE]])</f>
        <v>-3.9196046759832105E-2</v>
      </c>
      <c r="MN72" s="27">
        <f>IF(ISNUMBER(MN71),MN71*(1+PortfolioFrontier[[#This Row],[P88 Return]]),1+PortfolioFrontier[[#This Row],[P88 Return]])</f>
        <v>1.679988487888963</v>
      </c>
      <c r="MO72" s="27">
        <f>MAX(MO71,PortfolioFrontier[[#This Row],[P88 Growth]])</f>
        <v>1.7485237047822844</v>
      </c>
      <c r="MP72" s="27">
        <f>PortfolioFrontier[[#This Row],[P88 Growth]]/PortfolioFrontier[[#This Row],[P88 HWM]]-1</f>
        <v>-3.9196046759832126E-2</v>
      </c>
      <c r="MQ72" s="28">
        <f>SUMPRODUCT(INDEX(PortfolioRef[[SPY]:[PE]],MATCH(MQ$1,PortfolioRef[Reference '#]),0),AssetMonthlyReturns[[#This Row],[SPY]:[PE]])</f>
        <v>-3.5151152554522475E-2</v>
      </c>
      <c r="MR72" s="27">
        <f>IF(ISNUMBER(MR71),MR71*(1+PortfolioFrontier[[#This Row],[P89 Return]]),1+PortfolioFrontier[[#This Row],[P89 Return]])</f>
        <v>1.6559284081852923</v>
      </c>
      <c r="MS72" s="27">
        <f>MAX(MS71,PortfolioFrontier[[#This Row],[P89 Growth]])</f>
        <v>1.7162568132506029</v>
      </c>
      <c r="MT72" s="27">
        <f>PortfolioFrontier[[#This Row],[P89 Growth]]/PortfolioFrontier[[#This Row],[P89 HWM]]-1</f>
        <v>-3.5151152554522502E-2</v>
      </c>
      <c r="MU72" s="28">
        <f>SUMPRODUCT(INDEX(PortfolioRef[[SPY]:[PE]],MATCH(MU$1,PortfolioRef[Reference '#]),0),AssetMonthlyReturns[[#This Row],[SPY]:[PE]])</f>
        <v>-3.1106258349212847E-2</v>
      </c>
      <c r="MV72" s="27">
        <f>IF(ISNUMBER(MV71),MV71*(1+PortfolioFrontier[[#This Row],[P90 Return]]),1+PortfolioFrontier[[#This Row],[P90 Return]])</f>
        <v>1.6314732083436803</v>
      </c>
      <c r="MW72" s="27">
        <f>MAX(MW71,PortfolioFrontier[[#This Row],[P90 Growth]])</f>
        <v>1.6838515290273213</v>
      </c>
      <c r="MX72" s="27">
        <f>PortfolioFrontier[[#This Row],[P90 Growth]]/PortfolioFrontier[[#This Row],[P90 HWM]]-1</f>
        <v>-3.1106258349212879E-2</v>
      </c>
      <c r="MY72" s="28">
        <f>SUMPRODUCT(INDEX(PortfolioRef[[SPY]:[PE]],MATCH(MY$1,PortfolioRef[Reference '#]),0),AssetMonthlyReturns[[#This Row],[SPY]:[PE]])</f>
        <v>-4.2137386368035039E-2</v>
      </c>
      <c r="MZ72" s="27">
        <f>IF(ISNUMBER(MZ71),MZ71*(1+PortfolioFrontier[[#This Row],[P91 Return]]),1+PortfolioFrontier[[#This Row],[P91 Return]])</f>
        <v>1.6935429076309223</v>
      </c>
      <c r="NA72" s="27">
        <f>MAX(NA71,PortfolioFrontier[[#This Row],[P91 Growth]])</f>
        <v>1.7680436458517257</v>
      </c>
      <c r="NB72" s="27">
        <f>PortfolioFrontier[[#This Row],[P91 Growth]]/PortfolioFrontier[[#This Row],[P91 HWM]]-1</f>
        <v>-4.213738636803499E-2</v>
      </c>
      <c r="NC72" s="28">
        <f>SUMPRODUCT(INDEX(PortfolioRef[[SPY]:[PE]],MATCH(NC$1,PortfolioRef[Reference '#]),0),AssetMonthlyReturns[[#This Row],[SPY]:[PE]])</f>
        <v>-3.8092492162725415E-2</v>
      </c>
      <c r="ND72" s="27">
        <f>IF(ISNUMBER(ND71),ND71*(1+PortfolioFrontier[[#This Row],[P92 Return]]),1+PortfolioFrontier[[#This Row],[P92 Return]])</f>
        <v>1.669865895574475</v>
      </c>
      <c r="NE72" s="27">
        <f>MAX(NE71,PortfolioFrontier[[#This Row],[P92 Growth]])</f>
        <v>1.73599424265744</v>
      </c>
      <c r="NF72" s="27">
        <f>PortfolioFrontier[[#This Row],[P92 Growth]]/PortfolioFrontier[[#This Row],[P92 HWM]]-1</f>
        <v>-3.8092492162725478E-2</v>
      </c>
      <c r="NG72" s="28">
        <f>SUMPRODUCT(INDEX(PortfolioRef[[SPY]:[PE]],MATCH(NG$1,PortfolioRef[Reference '#]),0),AssetMonthlyReturns[[#This Row],[SPY]:[PE]])</f>
        <v>-3.4047597957415777E-2</v>
      </c>
      <c r="NH72" s="27">
        <f>IF(ISNUMBER(NH71),NH71*(1+PortfolioFrontier[[#This Row],[P93 Return]]),1+PortfolioFrontier[[#This Row],[P93 Return]])</f>
        <v>1.6457697260659685</v>
      </c>
      <c r="NI72" s="27">
        <f>MAX(NI71,PortfolioFrontier[[#This Row],[P93 Growth]])</f>
        <v>1.7037793193389816</v>
      </c>
      <c r="NJ72" s="27">
        <f>PortfolioFrontier[[#This Row],[P93 Growth]]/PortfolioFrontier[[#This Row],[P93 HWM]]-1</f>
        <v>-3.4047597957415743E-2</v>
      </c>
      <c r="NK72" s="28">
        <f>SUMPRODUCT(INDEX(PortfolioRef[[SPY]:[PE]],MATCH(NK$1,PortfolioRef[Reference '#]),0),AssetMonthlyReturns[[#This Row],[SPY]:[PE]])</f>
        <v>-4.5078725976237972E-2</v>
      </c>
      <c r="NL72" s="27">
        <f>IF(ISNUMBER(NL71),NL71*(1+PortfolioFrontier[[#This Row],[P94 Return]]),1+PortfolioFrontier[[#This Row],[P94 Return]])</f>
        <v>1.7062833143771312</v>
      </c>
      <c r="NM72" s="27">
        <f>MAX(NM71,PortfolioFrontier[[#This Row],[P94 Growth]])</f>
        <v>1.7868313973018393</v>
      </c>
      <c r="NN72" s="27">
        <f>PortfolioFrontier[[#This Row],[P94 Growth]]/PortfolioFrontier[[#This Row],[P94 HWM]]-1</f>
        <v>-4.5078725976237966E-2</v>
      </c>
      <c r="NO72" s="28">
        <f>SUMPRODUCT(INDEX(PortfolioRef[[SPY]:[PE]],MATCH(NO$1,PortfolioRef[Reference '#]),0),AssetMonthlyReturns[[#This Row],[SPY]:[PE]])</f>
        <v>-4.1033831770928349E-2</v>
      </c>
      <c r="NP72" s="27">
        <f>IF(ISNUMBER(NP71),NP71*(1+PortfolioFrontier[[#This Row],[P95 Return]]),1+PortfolioFrontier[[#This Row],[P95 Return]])</f>
        <v>1.6830138375814028</v>
      </c>
      <c r="NQ72" s="27">
        <f>MAX(NQ71,PortfolioFrontier[[#This Row],[P95 Growth]])</f>
        <v>1.7550294195356591</v>
      </c>
      <c r="NR72" s="27">
        <f>PortfolioFrontier[[#This Row],[P95 Growth]]/PortfolioFrontier[[#This Row],[P95 HWM]]-1</f>
        <v>-4.1033831770928342E-2</v>
      </c>
      <c r="NS72" s="28">
        <f>SUMPRODUCT(INDEX(PortfolioRef[[SPY]:[PE]],MATCH(NS$1,PortfolioRef[Reference '#]),0),AssetMonthlyReturns[[#This Row],[SPY]:[PE]])</f>
        <v>-3.6988937565618718E-2</v>
      </c>
      <c r="NT72" s="27">
        <f>IF(ISNUMBER(NT71),NT71*(1+PortfolioFrontier[[#This Row],[P96 Return]]),1+PortfolioFrontier[[#This Row],[P96 Return]])</f>
        <v>1.6593011230878114</v>
      </c>
      <c r="NU72" s="27">
        <f>MAX(NU71,PortfolioFrontier[[#This Row],[P96 Growth]])</f>
        <v>1.7230343324336159</v>
      </c>
      <c r="NV72" s="27">
        <f>PortfolioFrontier[[#This Row],[P96 Growth]]/PortfolioFrontier[[#This Row],[P96 HWM]]-1</f>
        <v>-3.6988937565618718E-2</v>
      </c>
      <c r="NW72" s="28">
        <f>SUMPRODUCT(INDEX(PortfolioRef[[SPY]:[PE]],MATCH(NW$1,PortfolioRef[Reference '#]),0),AssetMonthlyReturns[[#This Row],[SPY]:[PE]])</f>
        <v>-2.8983103546370931E-2</v>
      </c>
      <c r="NX72" s="27">
        <f>IF(ISNUMBER(NX71),NX71*(1+PortfolioFrontier[[#This Row],[P97 Return]]),1+PortfolioFrontier[[#This Row],[P97 Return]])</f>
        <v>1.5048955341028132</v>
      </c>
      <c r="NY72" s="27">
        <f>MAX(NY71,PortfolioFrontier[[#This Row],[P97 Growth]])</f>
        <v>1.5498139523617234</v>
      </c>
      <c r="NZ72" s="27">
        <f>PortfolioFrontier[[#This Row],[P97 Growth]]/PortfolioFrontier[[#This Row],[P97 HWM]]-1</f>
        <v>-2.8983103546370903E-2</v>
      </c>
      <c r="OA72" s="28">
        <f>SUMPRODUCT(INDEX(PortfolioRef[[SPY]:[PE]],MATCH(OA$1,PortfolioRef[Reference '#]),0),AssetMonthlyReturns[[#This Row],[SPY]:[PE]])</f>
        <v>-2.8942711270448007E-2</v>
      </c>
      <c r="OB72" s="27">
        <f>IF(ISNUMBER(OB71),OB71*(1+PortfolioFrontier[[#This Row],[P98 Return]]),1+PortfolioFrontier[[#This Row],[P98 Return]])</f>
        <v>1.5191141300546112</v>
      </c>
      <c r="OC72" s="27">
        <f>MAX(OC71,PortfolioFrontier[[#This Row],[P98 Growth]])</f>
        <v>1.5643918723292729</v>
      </c>
      <c r="OD72" s="27">
        <f>PortfolioFrontier[[#This Row],[P98 Growth]]/PortfolioFrontier[[#This Row],[P98 HWM]]-1</f>
        <v>-2.8942711270448007E-2</v>
      </c>
      <c r="OE72" s="28">
        <f>SUMPRODUCT(INDEX(PortfolioRef[[SPY]:[PE]],MATCH(OE$1,PortfolioRef[Reference '#]),0),AssetMonthlyReturns[[#This Row],[SPY]:[PE]])</f>
        <v>-3.1884050878650941E-2</v>
      </c>
      <c r="OF72" s="27">
        <f>IF(ISNUMBER(OF71),OF71*(1+PortfolioFrontier[[#This Row],[P99 Return]]),1+PortfolioFrontier[[#This Row],[P99 Return]])</f>
        <v>1.5331691724822523</v>
      </c>
      <c r="OG72" s="27">
        <f>MAX(OG71,PortfolioFrontier[[#This Row],[P99 Growth]])</f>
        <v>1.5836627563813395</v>
      </c>
      <c r="OH72" s="27">
        <f>PortfolioFrontier[[#This Row],[P99 Growth]]/PortfolioFrontier[[#This Row],[P99 HWM]]-1</f>
        <v>-3.1884050878650982E-2</v>
      </c>
      <c r="OI72" s="28">
        <f>SUMPRODUCT(INDEX(PortfolioRef[[SPY]:[PE]],MATCH(OI$1,PortfolioRef[Reference '#]),0),AssetMonthlyReturns[[#This Row],[SPY]:[PE]])</f>
        <v>-2.7839156673341317E-2</v>
      </c>
      <c r="OJ72" s="27">
        <f>IF(ISNUMBER(OJ71),OJ71*(1+PortfolioFrontier[[#This Row],[P100 Return]]),1+PortfolioFrontier[[#This Row],[P100 Return]])</f>
        <v>1.5095774186877173</v>
      </c>
      <c r="OK72" s="27">
        <f>MAX(OK71,PortfolioFrontier[[#This Row],[P100 Growth]])</f>
        <v>1.5528062347399851</v>
      </c>
      <c r="OL72" s="27">
        <f>PortfolioFrontier[[#This Row],[P100 Growth]]/PortfolioFrontier[[#This Row],[P100 HWM]]-1</f>
        <v>-2.7839156673341359E-2</v>
      </c>
      <c r="OM72" s="28">
        <f>SUMPRODUCT(INDEX(PortfolioRef[[SPY]:[PE]],MATCH(OM$1,PortfolioRef[Reference '#]),0),AssetMonthlyReturns[[#This Row],[SPY]:[PE]])</f>
        <v>-2.8902318994525084E-2</v>
      </c>
      <c r="ON72" s="27">
        <f>IF(ISNUMBER(ON71),ON71*(1+PortfolioFrontier[[#This Row],[P101 Return]]),1+PortfolioFrontier[[#This Row],[P101 Return]])</f>
        <v>1.533161426097484</v>
      </c>
      <c r="OO72" s="27">
        <f>MAX(OO71,PortfolioFrontier[[#This Row],[P101 Growth]])</f>
        <v>1.5787921813488919</v>
      </c>
      <c r="OP72" s="27">
        <f>PortfolioFrontier[[#This Row],[P101 Growth]]/PortfolioFrontier[[#This Row],[P101 HWM]]-1</f>
        <v>-2.8902318994525222E-2</v>
      </c>
      <c r="OQ72" s="28">
        <f>SUMPRODUCT(INDEX(PortfolioRef[[SPY]:[PE]],MATCH(OQ$1,PortfolioRef[Reference '#]),0),AssetMonthlyReturns[[#This Row],[SPY]:[PE]])</f>
        <v>-3.1843658602728017E-2</v>
      </c>
      <c r="OR72" s="27">
        <f>IF(ISNUMBER(OR71),OR71*(1+PortfolioFrontier[[#This Row],[P102 Return]]),1+PortfolioFrontier[[#This Row],[P102 Return]])</f>
        <v>1.5476176511002777</v>
      </c>
      <c r="OS72" s="27">
        <f>MAX(OS71,PortfolioFrontier[[#This Row],[P102 Growth]])</f>
        <v>1.5985203886251573</v>
      </c>
      <c r="OT72" s="27">
        <f>PortfolioFrontier[[#This Row],[P102 Growth]]/PortfolioFrontier[[#This Row],[P102 HWM]]-1</f>
        <v>-3.1843658602727976E-2</v>
      </c>
      <c r="OU72" s="28">
        <f>SUMPRODUCT(INDEX(PortfolioRef[[SPY]:[PE]],MATCH(OU$1,PortfolioRef[Reference '#]),0),AssetMonthlyReturns[[#This Row],[SPY]:[PE]])</f>
        <v>-2.7798764397418393E-2</v>
      </c>
      <c r="OV72" s="27">
        <f>IF(ISNUMBER(OV71),OV71*(1+PortfolioFrontier[[#This Row],[P103 Return]]),1+PortfolioFrontier[[#This Row],[P103 Return]])</f>
        <v>1.5238627520037882</v>
      </c>
      <c r="OW72" s="27">
        <f>MAX(OW71,PortfolioFrontier[[#This Row],[P103 Growth]])</f>
        <v>1.5674355228105428</v>
      </c>
      <c r="OX72" s="27">
        <f>PortfolioFrontier[[#This Row],[P103 Growth]]/PortfolioFrontier[[#This Row],[P103 HWM]]-1</f>
        <v>-2.7798764397418352E-2</v>
      </c>
      <c r="OY72" s="28">
        <f>SUMPRODUCT(INDEX(PortfolioRef[[SPY]:[PE]],MATCH(OY$1,PortfolioRef[Reference '#]),0),AssetMonthlyReturns[[#This Row],[SPY]:[PE]])</f>
        <v>-3.4784998210930958E-2</v>
      </c>
      <c r="OZ72" s="27">
        <f>IF(ISNUMBER(OZ71),OZ71*(1+PortfolioFrontier[[#This Row],[P104 Return]]),1+PortfolioFrontier[[#This Row],[P104 Return]])</f>
        <v>1.5613764372419956</v>
      </c>
      <c r="PA72" s="27">
        <f>MAX(PA71,PortfolioFrontier[[#This Row],[P104 Growth]])</f>
        <v>1.6176462594840681</v>
      </c>
      <c r="PB72" s="27">
        <f>PortfolioFrontier[[#This Row],[P104 Growth]]/PortfolioFrontier[[#This Row],[P104 HWM]]-1</f>
        <v>-3.4784998210931062E-2</v>
      </c>
      <c r="PC72" s="28">
        <f>SUMPRODUCT(INDEX(PortfolioRef[[SPY]:[PE]],MATCH(PC$1,PortfolioRef[Reference '#]),0),AssetMonthlyReturns[[#This Row],[SPY]:[PE]])</f>
        <v>-3.0740104005621327E-2</v>
      </c>
      <c r="PD72" s="27">
        <f>IF(ISNUMBER(PD71),PD71*(1+PortfolioFrontier[[#This Row],[P105 Return]]),1+PortfolioFrontier[[#This Row],[P105 Return]])</f>
        <v>1.537932968250028</v>
      </c>
      <c r="PE72" s="27">
        <f>MAX(PE71,PortfolioFrontier[[#This Row],[P105 Growth]])</f>
        <v>1.5867085542337835</v>
      </c>
      <c r="PF72" s="27">
        <f>PortfolioFrontier[[#This Row],[P105 Growth]]/PortfolioFrontier[[#This Row],[P105 HWM]]-1</f>
        <v>-3.0740104005621327E-2</v>
      </c>
      <c r="PG72" s="28">
        <f>SUMPRODUCT(INDEX(PortfolioRef[[SPY]:[PE]],MATCH(PG$1,PortfolioRef[Reference '#]),0),AssetMonthlyReturns[[#This Row],[SPY]:[PE]])</f>
        <v>-2.66952098003117E-2</v>
      </c>
      <c r="PH72" s="27">
        <f>IF(ISNUMBER(PH71),PH71*(1+PortfolioFrontier[[#This Row],[P106 Return]]),1+PortfolioFrontier[[#This Row],[P106 Return]])</f>
        <v>1.5141593056379594</v>
      </c>
      <c r="PI72" s="27">
        <f>MAX(PI71,PortfolioFrontier[[#This Row],[P106 Growth]])</f>
        <v>1.5556887430167754</v>
      </c>
      <c r="PJ72" s="27">
        <f>PortfolioFrontier[[#This Row],[P106 Growth]]/PortfolioFrontier[[#This Row],[P106 HWM]]-1</f>
        <v>-2.6695209800311703E-2</v>
      </c>
      <c r="PK72" s="28">
        <f>SUMPRODUCT(INDEX(PortfolioRef[[SPY]:[PE]],MATCH(PK$1,PortfolioRef[Reference '#]),0),AssetMonthlyReturns[[#This Row],[SPY]:[PE]])</f>
        <v>-3.1803266326805094E-2</v>
      </c>
      <c r="PL72" s="27">
        <f>IF(ISNUMBER(PL71),PL71*(1+PortfolioFrontier[[#This Row],[P107 Return]]),1+PortfolioFrontier[[#This Row],[P107 Return]])</f>
        <v>1.5618914864924627</v>
      </c>
      <c r="PM72" s="27">
        <f>MAX(PM71,PortfolioFrontier[[#This Row],[P107 Growth]])</f>
        <v>1.6131964012798079</v>
      </c>
      <c r="PN72" s="27">
        <f>PortfolioFrontier[[#This Row],[P107 Growth]]/PortfolioFrontier[[#This Row],[P107 HWM]]-1</f>
        <v>-3.180326632680508E-2</v>
      </c>
      <c r="PO72" s="28">
        <f>SUMPRODUCT(INDEX(PortfolioRef[[SPY]:[PE]],MATCH(PO$1,PortfolioRef[Reference '#]),0),AssetMonthlyReturns[[#This Row],[SPY]:[PE]])</f>
        <v>-2.775837212149547E-2</v>
      </c>
      <c r="PP72" s="27">
        <f>IF(ISNUMBER(PP71),PP71*(1+PortfolioFrontier[[#This Row],[P108 Return]]),1+PortfolioFrontier[[#This Row],[P108 Return]])</f>
        <v>1.5379768118753654</v>
      </c>
      <c r="PQ72" s="27">
        <f>MAX(PQ71,PortfolioFrontier[[#This Row],[P108 Growth]])</f>
        <v>1.5818874318633449</v>
      </c>
      <c r="PR72" s="27">
        <f>PortfolioFrontier[[#This Row],[P108 Growth]]/PortfolioFrontier[[#This Row],[P108 HWM]]-1</f>
        <v>-2.7758372121495456E-2</v>
      </c>
      <c r="PS72" s="28">
        <f>SUMPRODUCT(INDEX(PortfolioRef[[SPY]:[PE]],MATCH(PS$1,PortfolioRef[Reference '#]),0),AssetMonthlyReturns[[#This Row],[SPY]:[PE]])</f>
        <v>-3.4744605935008034E-2</v>
      </c>
      <c r="PT72" s="27">
        <f>IF(ISNUMBER(PT71),PT71*(1+PortfolioFrontier[[#This Row],[P109 Return]]),1+PortfolioFrontier[[#This Row],[P109 Return]])</f>
        <v>1.5760531076774751</v>
      </c>
      <c r="PU72" s="27">
        <f>MAX(PU71,PortfolioFrontier[[#This Row],[P109 Growth]])</f>
        <v>1.6327835279326679</v>
      </c>
      <c r="PV72" s="27">
        <f>PortfolioFrontier[[#This Row],[P109 Growth]]/PortfolioFrontier[[#This Row],[P109 HWM]]-1</f>
        <v>-3.4744605935008055E-2</v>
      </c>
      <c r="PW72" s="28">
        <f>SUMPRODUCT(INDEX(PortfolioRef[[SPY]:[PE]],MATCH(PW$1,PortfolioRef[Reference '#]),0),AssetMonthlyReturns[[#This Row],[SPY]:[PE]])</f>
        <v>-3.0699711729698403E-2</v>
      </c>
      <c r="PX72" s="27">
        <f>IF(ISNUMBER(PX71),PX71*(1+PortfolioFrontier[[#This Row],[P110 Return]]),1+PortfolioFrontier[[#This Row],[P110 Return]])</f>
        <v>1.5524492876453324</v>
      </c>
      <c r="PY72" s="27">
        <f>MAX(PY71,PortfolioFrontier[[#This Row],[P110 Growth]])</f>
        <v>1.6016185143364081</v>
      </c>
      <c r="PZ72" s="27">
        <f>PortfolioFrontier[[#This Row],[P110 Growth]]/PortfolioFrontier[[#This Row],[P110 HWM]]-1</f>
        <v>-3.0699711729698542E-2</v>
      </c>
      <c r="QA72" s="28">
        <f>SUMPRODUCT(INDEX(PortfolioRef[[SPY]:[PE]],MATCH(QA$1,PortfolioRef[Reference '#]),0),AssetMonthlyReturns[[#This Row],[SPY]:[PE]])</f>
        <v>-2.6654817524388776E-2</v>
      </c>
      <c r="QB72" s="27">
        <f>IF(ISNUMBER(QB71),QB71*(1+PortfolioFrontier[[#This Row],[P111 Return]]),1+PortfolioFrontier[[#This Row],[P111 Return]])</f>
        <v>1.5285105991087982</v>
      </c>
      <c r="QC72" s="27">
        <f>MAX(QC71,PortfolioFrontier[[#This Row],[P111 Growth]])</f>
        <v>1.5703684845094485</v>
      </c>
      <c r="QD72" s="27">
        <f>PortfolioFrontier[[#This Row],[P111 Growth]]/PortfolioFrontier[[#This Row],[P111 HWM]]-1</f>
        <v>-2.6654817524388807E-2</v>
      </c>
      <c r="QE72" s="28">
        <f>SUMPRODUCT(INDEX(PortfolioRef[[SPY]:[PE]],MATCH(QE$1,PortfolioRef[Reference '#]),0),AssetMonthlyReturns[[#This Row],[SPY]:[PE]])</f>
        <v>-3.7685945543210968E-2</v>
      </c>
      <c r="QF72" s="27">
        <f>IF(ISNUMBER(QF71),QF71*(1+PortfolioFrontier[[#This Row],[P112 Return]]),1+PortfolioFrontier[[#This Row],[P112 Return]])</f>
        <v>1.5894913610156793</v>
      </c>
      <c r="QG72" s="27">
        <f>MAX(QG71,PortfolioFrontier[[#This Row],[P112 Growth]])</f>
        <v>1.6517386955477045</v>
      </c>
      <c r="QH72" s="27">
        <f>PortfolioFrontier[[#This Row],[P112 Growth]]/PortfolioFrontier[[#This Row],[P112 HWM]]-1</f>
        <v>-3.768594554321103E-2</v>
      </c>
      <c r="QI72" s="28">
        <f>SUMPRODUCT(INDEX(PortfolioRef[[SPY]:[PE]],MATCH(QI$1,PortfolioRef[Reference '#]),0),AssetMonthlyReturns[[#This Row],[SPY]:[PE]])</f>
        <v>-3.3641051337901344E-2</v>
      </c>
      <c r="QJ72" s="27">
        <f>IF(ISNUMBER(QJ71),QJ71*(1+PortfolioFrontier[[#This Row],[P113 Return]]),1+PortfolioFrontier[[#This Row],[P113 Return]])</f>
        <v>1.566221849021149</v>
      </c>
      <c r="QK72" s="27">
        <f>MAX(QK71,PortfolioFrontier[[#This Row],[P113 Growth]])</f>
        <v>1.6207454292109018</v>
      </c>
      <c r="QL72" s="27">
        <f>PortfolioFrontier[[#This Row],[P113 Growth]]/PortfolioFrontier[[#This Row],[P113 HWM]]-1</f>
        <v>-3.3641051337901295E-2</v>
      </c>
      <c r="QM72" s="28">
        <f>SUMPRODUCT(INDEX(PortfolioRef[[SPY]:[PE]],MATCH(QM$1,PortfolioRef[Reference '#]),0),AssetMonthlyReturns[[#This Row],[SPY]:[PE]])</f>
        <v>-2.959615713259171E-2</v>
      </c>
      <c r="QN72" s="27">
        <f>IF(ISNUMBER(QN71),QN71*(1+PortfolioFrontier[[#This Row],[P114 Return]]),1+PortfolioFrontier[[#This Row],[P114 Return]])</f>
        <v>1.5425948047744122</v>
      </c>
      <c r="QO72" s="27">
        <f>MAX(QO71,PortfolioFrontier[[#This Row],[P114 Growth]])</f>
        <v>1.5896421022161857</v>
      </c>
      <c r="QP72" s="27">
        <f>PortfolioFrontier[[#This Row],[P114 Growth]]/PortfolioFrontier[[#This Row],[P114 HWM]]-1</f>
        <v>-2.9596157132591561E-2</v>
      </c>
      <c r="QQ72" s="28">
        <f>SUMPRODUCT(INDEX(PortfolioRef[[SPY]:[PE]],MATCH(QQ$1,PortfolioRef[Reference '#]),0),AssetMonthlyReturns[[#This Row],[SPY]:[PE]])</f>
        <v>-3.4704213659085111E-2</v>
      </c>
      <c r="QR72" s="27">
        <f>IF(ISNUMBER(QR71),QR71*(1+PortfolioFrontier[[#This Row],[P115 Return]]),1+PortfolioFrontier[[#This Row],[P115 Return]])</f>
        <v>1.5905517951643027</v>
      </c>
      <c r="QS72" s="27">
        <f>MAX(QS71,PortfolioFrontier[[#This Row],[P115 Growth]])</f>
        <v>1.6477351477866757</v>
      </c>
      <c r="QT72" s="27">
        <f>PortfolioFrontier[[#This Row],[P115 Growth]]/PortfolioFrontier[[#This Row],[P115 HWM]]-1</f>
        <v>-3.4704213659085159E-2</v>
      </c>
      <c r="QU72" s="28">
        <f>SUMPRODUCT(INDEX(PortfolioRef[[SPY]:[PE]],MATCH(QU$1,PortfolioRef[Reference '#]),0),AssetMonthlyReturns[[#This Row],[SPY]:[PE]])</f>
        <v>-3.065931945377548E-2</v>
      </c>
      <c r="QV72" s="27">
        <f>IF(ISNUMBER(QV71),QV71*(1+PortfolioFrontier[[#This Row],[P116 Return]]),1+PortfolioFrontier[[#This Row],[P116 Return]])</f>
        <v>1.5667909898765735</v>
      </c>
      <c r="QW72" s="27">
        <f>MAX(QW71,PortfolioFrontier[[#This Row],[P116 Growth]])</f>
        <v>1.6163470917094751</v>
      </c>
      <c r="QX72" s="27">
        <f>PortfolioFrontier[[#This Row],[P116 Growth]]/PortfolioFrontier[[#This Row],[P116 HWM]]-1</f>
        <v>-3.0659319453775424E-2</v>
      </c>
      <c r="QY72" s="28">
        <f>SUMPRODUCT(INDEX(PortfolioRef[[SPY]:[PE]],MATCH(QY$1,PortfolioRef[Reference '#]),0),AssetMonthlyReturns[[#This Row],[SPY]:[PE]])</f>
        <v>-2.6614425248465853E-2</v>
      </c>
      <c r="QZ72" s="27">
        <f>IF(ISNUMBER(QZ71),QZ71*(1+PortfolioFrontier[[#This Row],[P117 Return]]),1+PortfolioFrontier[[#This Row],[P117 Return]])</f>
        <v>1.5426906597612657</v>
      </c>
      <c r="RA72" s="27">
        <f>MAX(RA71,PortfolioFrontier[[#This Row],[P117 Growth]])</f>
        <v>1.5848710929942145</v>
      </c>
      <c r="RB72" s="27">
        <f>PortfolioFrontier[[#This Row],[P117 Growth]]/PortfolioFrontier[[#This Row],[P117 HWM]]-1</f>
        <v>-2.6614425248465801E-2</v>
      </c>
      <c r="RC72" s="28">
        <f>SUMPRODUCT(INDEX(PortfolioRef[[SPY]:[PE]],MATCH(RC$1,PortfolioRef[Reference '#]),0),AssetMonthlyReturns[[#This Row],[SPY]:[PE]])</f>
        <v>-3.7645553267288044E-2</v>
      </c>
      <c r="RD72" s="27">
        <f>IF(ISNUMBER(RD71),RD71*(1+PortfolioFrontier[[#This Row],[P118 Return]]),1+PortfolioFrontier[[#This Row],[P118 Return]])</f>
        <v>1.6043943101202878</v>
      </c>
      <c r="RE72" s="27">
        <f>MAX(RE71,PortfolioFrontier[[#This Row],[P118 Growth]])</f>
        <v>1.667155293527623</v>
      </c>
      <c r="RF72" s="27">
        <f>PortfolioFrontier[[#This Row],[P118 Growth]]/PortfolioFrontier[[#This Row],[P118 HWM]]-1</f>
        <v>-3.7645553267288023E-2</v>
      </c>
      <c r="RG72" s="28">
        <f>SUMPRODUCT(INDEX(PortfolioRef[[SPY]:[PE]],MATCH(RG$1,PortfolioRef[Reference '#]),0),AssetMonthlyReturns[[#This Row],[SPY]:[PE]])</f>
        <v>-3.360065906197842E-2</v>
      </c>
      <c r="RH72" s="27">
        <f>IF(ISNUMBER(RH71),RH71*(1+PortfolioFrontier[[#This Row],[P119 Return]]),1+PortfolioFrontier[[#This Row],[P119 Return]])</f>
        <v>1.580967458413493</v>
      </c>
      <c r="RI72" s="27">
        <f>MAX(RI71,PortfolioFrontier[[#This Row],[P119 Growth]])</f>
        <v>1.6359359857167841</v>
      </c>
      <c r="RJ72" s="27">
        <f>PortfolioFrontier[[#This Row],[P119 Growth]]/PortfolioFrontier[[#This Row],[P119 HWM]]-1</f>
        <v>-3.36006590619784E-2</v>
      </c>
      <c r="RK72" s="28">
        <f>SUMPRODUCT(INDEX(PortfolioRef[[SPY]:[PE]],MATCH(RK$1,PortfolioRef[Reference '#]),0),AssetMonthlyReturns[[#This Row],[SPY]:[PE]])</f>
        <v>-2.9555764856668786E-2</v>
      </c>
      <c r="RL72" s="27">
        <f>IF(ISNUMBER(RL71),RL71*(1+PortfolioFrontier[[#This Row],[P120 Return]]),1+PortfolioFrontier[[#This Row],[P120 Return]])</f>
        <v>1.5571781742917807</v>
      </c>
      <c r="RM72" s="27">
        <f>MAX(RM71,PortfolioFrontier[[#This Row],[P120 Growth]])</f>
        <v>1.6046034567476111</v>
      </c>
      <c r="RN72" s="27">
        <f>PortfolioFrontier[[#This Row],[P120 Growth]]/PortfolioFrontier[[#This Row],[P120 HWM]]-1</f>
        <v>-2.9555764856668776E-2</v>
      </c>
      <c r="RO72" s="28">
        <f>SUMPRODUCT(INDEX(PortfolioRef[[SPY]:[PE]],MATCH(RO$1,PortfolioRef[Reference '#]),0),AssetMonthlyReturns[[#This Row],[SPY]:[PE]])</f>
        <v>-4.0586892875490978E-2</v>
      </c>
      <c r="RP72" s="27">
        <f>IF(ISNUMBER(RP71),RP71*(1+PortfolioFrontier[[#This Row],[P121 Return]]),1+PortfolioFrontier[[#This Row],[P121 Return]])</f>
        <v>1.6174872926140336</v>
      </c>
      <c r="RQ72" s="27">
        <f>MAX(RQ71,PortfolioFrontier[[#This Row],[P121 Growth]])</f>
        <v>1.6859132740659151</v>
      </c>
      <c r="RR72" s="27">
        <f>PortfolioFrontier[[#This Row],[P121 Growth]]/PortfolioFrontier[[#This Row],[P121 HWM]]-1</f>
        <v>-4.0586892875490999E-2</v>
      </c>
      <c r="RS72" s="28">
        <f>SUMPRODUCT(INDEX(PortfolioRef[[SPY]:[PE]],MATCH(RS$1,PortfolioRef[Reference '#]),0),AssetMonthlyReturns[[#This Row],[SPY]:[PE]])</f>
        <v>-3.6541998670181354E-2</v>
      </c>
      <c r="RT72" s="27">
        <f>IF(ISNUMBER(RT71),RT71*(1+PortfolioFrontier[[#This Row],[P122 Return]]),1+PortfolioFrontier[[#This Row],[P122 Return]])</f>
        <v>1.5944180269345598</v>
      </c>
      <c r="RU72" s="27">
        <f>MAX(RU71,PortfolioFrontier[[#This Row],[P122 Growth]])</f>
        <v>1.6548910536150563</v>
      </c>
      <c r="RV72" s="27">
        <f>PortfolioFrontier[[#This Row],[P122 Growth]]/PortfolioFrontier[[#This Row],[P122 HWM]]-1</f>
        <v>-3.6541998670181375E-2</v>
      </c>
      <c r="RW72" s="28">
        <f>SUMPRODUCT(INDEX(PortfolioRef[[SPY]:[PE]],MATCH(RW$1,PortfolioRef[Reference '#]),0),AssetMonthlyReturns[[#This Row],[SPY]:[PE]])</f>
        <v>-3.2497104464871723E-2</v>
      </c>
      <c r="RX72" s="27">
        <f>IF(ISNUMBER(RX71),RX71*(1+PortfolioFrontier[[#This Row],[P123 Return]]),1+PortfolioFrontier[[#This Row],[P123 Return]])</f>
        <v>1.5709633370757126</v>
      </c>
      <c r="RY72" s="27">
        <f>MAX(RY71,PortfolioFrontier[[#This Row],[P123 Growth]])</f>
        <v>1.6237298558231279</v>
      </c>
      <c r="RZ72" s="27">
        <f>PortfolioFrontier[[#This Row],[P123 Growth]]/PortfolioFrontier[[#This Row],[P123 HWM]]-1</f>
        <v>-3.2497104464871751E-2</v>
      </c>
      <c r="SA72" s="28">
        <f>SUMPRODUCT(INDEX(PortfolioRef[[SPY]:[PE]],MATCH(SA$1,PortfolioRef[Reference '#]),0),AssetMonthlyReturns[[#This Row],[SPY]:[PE]])</f>
        <v>-3.7605160991365121E-2</v>
      </c>
      <c r="SB72" s="27">
        <f>IF(ISNUMBER(SB71),SB71*(1+PortfolioFrontier[[#This Row],[P124 Return]]),1+PortfolioFrontier[[#This Row],[P124 Return]])</f>
        <v>1.6191159431607223</v>
      </c>
      <c r="SC72" s="27">
        <f>MAX(SC71,PortfolioFrontier[[#This Row],[P124 Growth]])</f>
        <v>1.6823821965094672</v>
      </c>
      <c r="SD72" s="27">
        <f>PortfolioFrontier[[#This Row],[P124 Growth]]/PortfolioFrontier[[#This Row],[P124 HWM]]-1</f>
        <v>-3.7605160991365127E-2</v>
      </c>
      <c r="SE72" s="28">
        <f>SUMPRODUCT(INDEX(PortfolioRef[[SPY]:[PE]],MATCH(SE$1,PortfolioRef[Reference '#]),0),AssetMonthlyReturns[[#This Row],[SPY]:[PE]])</f>
        <v>-3.3560266786055497E-2</v>
      </c>
      <c r="SF72" s="27">
        <f>IF(ISNUMBER(SF71),SF71*(1+PortfolioFrontier[[#This Row],[P125 Return]]),1+PortfolioFrontier[[#This Row],[P125 Return]])</f>
        <v>1.5955351104854676</v>
      </c>
      <c r="SG72" s="27">
        <f>MAX(SG71,PortfolioFrontier[[#This Row],[P125 Growth]])</f>
        <v>1.6509411354388694</v>
      </c>
      <c r="SH72" s="27">
        <f>PortfolioFrontier[[#This Row],[P125 Growth]]/PortfolioFrontier[[#This Row],[P125 HWM]]-1</f>
        <v>-3.3560266786055504E-2</v>
      </c>
      <c r="SI72" s="28">
        <f>SUMPRODUCT(INDEX(PortfolioRef[[SPY]:[PE]],MATCH(SI$1,PortfolioRef[Reference '#]),0),AssetMonthlyReturns[[#This Row],[SPY]:[PE]])</f>
        <v>-2.9515372580745863E-2</v>
      </c>
      <c r="SJ72" s="27">
        <f>IF(ISNUMBER(SJ71),SJ71*(1+PortfolioFrontier[[#This Row],[P126 Return]]),1+PortfolioFrontier[[#This Row],[P126 Return]])</f>
        <v>1.5715869671352782</v>
      </c>
      <c r="SK72" s="27">
        <f>MAX(SK71,PortfolioFrontier[[#This Row],[P126 Growth]])</f>
        <v>1.6193836797956254</v>
      </c>
      <c r="SL72" s="27">
        <f>PortfolioFrontier[[#This Row],[P126 Growth]]/PortfolioFrontier[[#This Row],[P126 HWM]]-1</f>
        <v>-2.951537258074588E-2</v>
      </c>
      <c r="SM72" s="28">
        <f>SUMPRODUCT(INDEX(PortfolioRef[[SPY]:[PE]],MATCH(SM$1,PortfolioRef[Reference '#]),0),AssetMonthlyReturns[[#This Row],[SPY]:[PE]])</f>
        <v>-4.0546500599568054E-2</v>
      </c>
      <c r="SN72" s="27">
        <f>IF(ISNUMBER(SN71),SN71*(1+PortfolioFrontier[[#This Row],[P127 Return]]),1+PortfolioFrontier[[#This Row],[P127 Return]])</f>
        <v>1.632614381086896</v>
      </c>
      <c r="SO72" s="27">
        <f>MAX(SO71,PortfolioFrontier[[#This Row],[P127 Growth]])</f>
        <v>1.7016086575400751</v>
      </c>
      <c r="SP72" s="27">
        <f>PortfolioFrontier[[#This Row],[P127 Growth]]/PortfolioFrontier[[#This Row],[P127 HWM]]-1</f>
        <v>-4.0546500599568103E-2</v>
      </c>
      <c r="SQ72" s="28">
        <f>SUMPRODUCT(INDEX(PortfolioRef[[SPY]:[PE]],MATCH(SQ$1,PortfolioRef[Reference '#]),0),AssetMonthlyReturns[[#This Row],[SPY]:[PE]])</f>
        <v>-3.650160639425843E-2</v>
      </c>
      <c r="SR72" s="27">
        <f>IF(ISNUMBER(SR71),SR71*(1+PortfolioFrontier[[#This Row],[P128 Return]]),1+PortfolioFrontier[[#This Row],[P128 Return]])</f>
        <v>1.6093910070432627</v>
      </c>
      <c r="SS72" s="27">
        <f>MAX(SS71,PortfolioFrontier[[#This Row],[P128 Growth]])</f>
        <v>1.6703618996398835</v>
      </c>
      <c r="ST72" s="27">
        <f>PortfolioFrontier[[#This Row],[P128 Growth]]/PortfolioFrontier[[#This Row],[P128 HWM]]-1</f>
        <v>-3.6501606394258368E-2</v>
      </c>
      <c r="SU72" s="28">
        <f>SUMPRODUCT(INDEX(PortfolioRef[[SPY]:[PE]],MATCH(SU$1,PortfolioRef[Reference '#]),0),AssetMonthlyReturns[[#This Row],[SPY]:[PE]])</f>
        <v>-3.24567121889488E-2</v>
      </c>
      <c r="SV72" s="27">
        <f>IF(ISNUMBER(SV71),SV71*(1+PortfolioFrontier[[#This Row],[P129 Return]]),1+PortfolioFrontier[[#This Row],[P129 Return]])</f>
        <v>1.5857770813638918</v>
      </c>
      <c r="SW72" s="27">
        <f>MAX(SW71,PortfolioFrontier[[#This Row],[P129 Growth]])</f>
        <v>1.6389727481356613</v>
      </c>
      <c r="SX72" s="27">
        <f>PortfolioFrontier[[#This Row],[P129 Growth]]/PortfolioFrontier[[#This Row],[P129 HWM]]-1</f>
        <v>-3.2456712188948744E-2</v>
      </c>
      <c r="SY72" s="28">
        <f>SUMPRODUCT(INDEX(PortfolioRef[[SPY]:[PE]],MATCH(SY$1,PortfolioRef[Reference '#]),0),AssetMonthlyReturns[[#This Row],[SPY]:[PE]])</f>
        <v>-4.3487840207770988E-2</v>
      </c>
      <c r="SZ72" s="27">
        <f>IF(ISNUMBER(SZ71),SZ71*(1+PortfolioFrontier[[#This Row],[P130 Return]]),1+PortfolioFrontier[[#This Row],[P130 Return]])</f>
        <v>1.6453369110936034</v>
      </c>
      <c r="TA72" s="27">
        <f>MAX(TA71,PortfolioFrontier[[#This Row],[P130 Growth]])</f>
        <v>1.720142179322633</v>
      </c>
      <c r="TB72" s="27">
        <f>PortfolioFrontier[[#This Row],[P130 Growth]]/PortfolioFrontier[[#This Row],[P130 HWM]]-1</f>
        <v>-4.3487840207770967E-2</v>
      </c>
      <c r="TC72" s="28">
        <f>SUMPRODUCT(INDEX(PortfolioRef[[SPY]:[PE]],MATCH(TC$1,PortfolioRef[Reference '#]),0),AssetMonthlyReturns[[#This Row],[SPY]:[PE]])</f>
        <v>-3.9442946002461364E-2</v>
      </c>
      <c r="TD72" s="27">
        <f>IF(ISNUMBER(TD71),TD71*(1+PortfolioFrontier[[#This Row],[P131 Return]]),1+PortfolioFrontier[[#This Row],[P131 Return]])</f>
        <v>1.6224947830975349</v>
      </c>
      <c r="TE72" s="27">
        <f>MAX(TE71,PortfolioFrontier[[#This Row],[P131 Growth]])</f>
        <v>1.6891185966988822</v>
      </c>
      <c r="TF72" s="27">
        <f>PortfolioFrontier[[#This Row],[P131 Growth]]/PortfolioFrontier[[#This Row],[P131 HWM]]-1</f>
        <v>-3.9442946002461343E-2</v>
      </c>
      <c r="TG72" s="28">
        <f>SUMPRODUCT(INDEX(PortfolioRef[[SPY]:[PE]],MATCH(TG$1,PortfolioRef[Reference '#]),0),AssetMonthlyReturns[[#This Row],[SPY]:[PE]])</f>
        <v>-3.5398051797151733E-2</v>
      </c>
      <c r="TH72" s="27">
        <f>IF(ISNUMBER(TH71),TH71*(1+PortfolioFrontier[[#This Row],[P132 Return]]),1+PortfolioFrontier[[#This Row],[P132 Return]])</f>
        <v>1.5992388032513103</v>
      </c>
      <c r="TI72" s="27">
        <f>MAX(TI71,PortfolioFrontier[[#This Row],[P132 Growth]])</f>
        <v>1.6579261593145806</v>
      </c>
      <c r="TJ72" s="27">
        <f>PortfolioFrontier[[#This Row],[P132 Growth]]/PortfolioFrontier[[#This Row],[P132 HWM]]-1</f>
        <v>-3.5398051797151719E-2</v>
      </c>
      <c r="TK72" s="28">
        <f>SUMPRODUCT(INDEX(PortfolioRef[[SPY]:[PE]],MATCH(TK$1,PortfolioRef[Reference '#]),0),AssetMonthlyReturns[[#This Row],[SPY]:[PE]])</f>
        <v>-4.0506108323645131E-2</v>
      </c>
      <c r="TL72" s="27">
        <f>IF(ISNUMBER(TL71),TL71*(1+PortfolioFrontier[[#This Row],[P133 Return]]),1+PortfolioFrontier[[#This Row],[P133 Return]])</f>
        <v>1.6475568300884285</v>
      </c>
      <c r="TM72" s="27">
        <f>MAX(TM71,PortfolioFrontier[[#This Row],[P133 Growth]])</f>
        <v>1.7171102853087914</v>
      </c>
      <c r="TN72" s="27">
        <f>PortfolioFrontier[[#This Row],[P133 Growth]]/PortfolioFrontier[[#This Row],[P133 HWM]]-1</f>
        <v>-4.0506108323644985E-2</v>
      </c>
      <c r="TO72" s="28">
        <f>SUMPRODUCT(INDEX(PortfolioRef[[SPY]:[PE]],MATCH(TO$1,PortfolioRef[Reference '#]),0),AssetMonthlyReturns[[#This Row],[SPY]:[PE]])</f>
        <v>-3.6461214118335507E-2</v>
      </c>
      <c r="TP72" s="27">
        <f>IF(ISNUMBER(TP71),TP71*(1+PortfolioFrontier[[#This Row],[P134 Return]]),1+PortfolioFrontier[[#This Row],[P134 Return]])</f>
        <v>1.6241826962508381</v>
      </c>
      <c r="TQ72" s="27">
        <f>MAX(TQ71,PortfolioFrontier[[#This Row],[P134 Growth]])</f>
        <v>1.6856432974461595</v>
      </c>
      <c r="TR72" s="27">
        <f>PortfolioFrontier[[#This Row],[P134 Growth]]/PortfolioFrontier[[#This Row],[P134 HWM]]-1</f>
        <v>-3.6461214118335361E-2</v>
      </c>
      <c r="TS72" s="28">
        <f>SUMPRODUCT(INDEX(PortfolioRef[[SPY]:[PE]],MATCH(TS$1,PortfolioRef[Reference '#]),0),AssetMonthlyReturns[[#This Row],[SPY]:[PE]])</f>
        <v>-3.2416319913025876E-2</v>
      </c>
      <c r="TT72" s="27">
        <f>IF(ISNUMBER(TT71),TT71*(1+PortfolioFrontier[[#This Row],[P135 Return]]),1+PortfolioFrontier[[#This Row],[P135 Return]])</f>
        <v>1.6004129086553307</v>
      </c>
      <c r="TU72" s="27">
        <f>MAX(TU71,PortfolioFrontier[[#This Row],[P135 Growth]])</f>
        <v>1.6540304901705998</v>
      </c>
      <c r="TV72" s="27">
        <f>PortfolioFrontier[[#This Row],[P135 Growth]]/PortfolioFrontier[[#This Row],[P135 HWM]]-1</f>
        <v>-3.2416319913025848E-2</v>
      </c>
      <c r="TW72" s="28">
        <f>SUMPRODUCT(INDEX(PortfolioRef[[SPY]:[PE]],MATCH(TW$1,PortfolioRef[Reference '#]),0),AssetMonthlyReturns[[#This Row],[SPY]:[PE]])</f>
        <v>-4.3447447931848064E-2</v>
      </c>
      <c r="TX72" s="27">
        <f>IF(ISNUMBER(TX71),TX71*(1+PortfolioFrontier[[#This Row],[P136 Return]]),1+PortfolioFrontier[[#This Row],[P136 Return]])</f>
        <v>1.6606857698086563</v>
      </c>
      <c r="TY72" s="27">
        <f>MAX(TY71,PortfolioFrontier[[#This Row],[P136 Growth]])</f>
        <v>1.7361155602147582</v>
      </c>
      <c r="TZ72" s="27">
        <f>PortfolioFrontier[[#This Row],[P136 Growth]]/PortfolioFrontier[[#This Row],[P136 HWM]]-1</f>
        <v>-4.3447447931848071E-2</v>
      </c>
      <c r="UA72" s="28">
        <f>SUMPRODUCT(INDEX(PortfolioRef[[SPY]:[PE]],MATCH(UA$1,PortfolioRef[Reference '#]),0),AssetMonthlyReturns[[#This Row],[SPY]:[PE]])</f>
        <v>-3.940255372653844E-2</v>
      </c>
      <c r="UB72" s="27">
        <f>IF(ISNUMBER(UB71),UB71*(1+PortfolioFrontier[[#This Row],[P137 Return]]),1+PortfolioFrontier[[#This Row],[P137 Return]])</f>
        <v>1.6376929875762198</v>
      </c>
      <c r="UC72" s="27">
        <f>MAX(UC71,PortfolioFrontier[[#This Row],[P137 Growth]])</f>
        <v>1.7048691873265751</v>
      </c>
      <c r="UD72" s="27">
        <f>PortfolioFrontier[[#This Row],[P137 Growth]]/PortfolioFrontier[[#This Row],[P137 HWM]]-1</f>
        <v>-3.9402553726538447E-2</v>
      </c>
      <c r="UE72" s="28">
        <f>SUMPRODUCT(INDEX(PortfolioRef[[SPY]:[PE]],MATCH(UE$1,PortfolioRef[Reference '#]),0),AssetMonthlyReturns[[#This Row],[SPY]:[PE]])</f>
        <v>-3.535765952122881E-2</v>
      </c>
      <c r="UF72" s="27">
        <f>IF(ISNUMBER(UF71),UF71*(1+PortfolioFrontier[[#This Row],[P138 Return]]),1+PortfolioFrontier[[#This Row],[P138 Return]])</f>
        <v>1.614280996948515</v>
      </c>
      <c r="UG72" s="27">
        <f>MAX(UG71,PortfolioFrontier[[#This Row],[P138 Growth]])</f>
        <v>1.6734502822541619</v>
      </c>
      <c r="UH72" s="27">
        <f>PortfolioFrontier[[#This Row],[P138 Growth]]/PortfolioFrontier[[#This Row],[P138 HWM]]-1</f>
        <v>-3.5357659521228824E-2</v>
      </c>
      <c r="UI72" s="28">
        <f>SUMPRODUCT(INDEX(PortfolioRef[[SPY]:[PE]],MATCH(UI$1,PortfolioRef[Reference '#]),0),AssetMonthlyReturns[[#This Row],[SPY]:[PE]])</f>
        <v>-4.6388787540051012E-2</v>
      </c>
      <c r="UJ72" s="27">
        <f>IF(ISNUMBER(UJ71),UJ71*(1+PortfolioFrontier[[#This Row],[P139 Return]]),1+PortfolioFrontier[[#This Row],[P139 Return]])</f>
        <v>1.6730122413015218</v>
      </c>
      <c r="UK72" s="27">
        <f>MAX(UK71,PortfolioFrontier[[#This Row],[P139 Growth]])</f>
        <v>1.7543965710992384</v>
      </c>
      <c r="UL72" s="27">
        <f>PortfolioFrontier[[#This Row],[P139 Growth]]/PortfolioFrontier[[#This Row],[P139 HWM]]-1</f>
        <v>-4.6388787540051046E-2</v>
      </c>
      <c r="UM72" s="28">
        <f>SUMPRODUCT(INDEX(PortfolioRef[[SPY]:[PE]],MATCH(UM$1,PortfolioRef[Reference '#]),0),AssetMonthlyReturns[[#This Row],[SPY]:[PE]])</f>
        <v>-4.2343893334741374E-2</v>
      </c>
      <c r="UN72" s="27">
        <f>IF(ISNUMBER(UN71),UN71*(1+PortfolioFrontier[[#This Row],[P140 Return]]),1+PortfolioFrontier[[#This Row],[P140 Return]])</f>
        <v>1.6504247279409574</v>
      </c>
      <c r="UO72" s="27">
        <f>MAX(UO71,PortfolioFrontier[[#This Row],[P140 Growth]])</f>
        <v>1.7234002022793458</v>
      </c>
      <c r="UP72" s="27">
        <f>PortfolioFrontier[[#This Row],[P140 Growth]]/PortfolioFrontier[[#This Row],[P140 HWM]]-1</f>
        <v>-4.2343893334741423E-2</v>
      </c>
      <c r="UQ72" s="28">
        <f>SUMPRODUCT(INDEX(PortfolioRef[[SPY]:[PE]],MATCH(UQ$1,PortfolioRef[Reference '#]),0),AssetMonthlyReturns[[#This Row],[SPY]:[PE]])</f>
        <v>-3.8298999129431743E-2</v>
      </c>
      <c r="UR72" s="27">
        <f>IF(ISNUMBER(UR71),UR71*(1+PortfolioFrontier[[#This Row],[P141 Return]]),1+PortfolioFrontier[[#This Row],[P141 Return]])</f>
        <v>1.6273944182299585</v>
      </c>
      <c r="US72" s="27">
        <f>MAX(US71,PortfolioFrontier[[#This Row],[P141 Growth]])</f>
        <v>1.6922041432386774</v>
      </c>
      <c r="UT72" s="27">
        <f>PortfolioFrontier[[#This Row],[P141 Growth]]/PortfolioFrontier[[#This Row],[P141 HWM]]-1</f>
        <v>-3.8298999129431799E-2</v>
      </c>
    </row>
    <row r="73" spans="2:566" x14ac:dyDescent="0.2">
      <c r="B73" s="41">
        <f>AssetMonthlyReturns[[#This Row],[Date]]</f>
        <v>44593</v>
      </c>
      <c r="C73" s="28">
        <f>SUMPRODUCT(INDEX(PortfolioRef[[SPY]:[PE]],MATCH(C$1,PortfolioRef[Reference '#]),0),AssetMonthlyReturns[[#This Row],[SPY]:[PE]])</f>
        <v>-1.1797955607101993E-2</v>
      </c>
      <c r="D73" s="29">
        <f>IF(ISNUMBER(D72),D72*(1+PortfolioFrontier[[#This Row],[P1 Return]]),1+PortfolioFrontier[[#This Row],[P1 Return]])</f>
        <v>1.8557181158216987</v>
      </c>
      <c r="E73" s="29">
        <f>MAX(E72,PortfolioFrontier[[#This Row],[P1 Growth]])</f>
        <v>1.9531239567566241</v>
      </c>
      <c r="F73" s="29">
        <f>PortfolioFrontier[[#This Row],[P1 Growth]]/PortfolioFrontier[[#This Row],[P1 HWM]]-1</f>
        <v>-4.987181719724465E-2</v>
      </c>
      <c r="G73" s="28">
        <f>SUMPRODUCT(INDEX(PortfolioRef[[SPY]:[PE]],MATCH(G$1,PortfolioRef[Reference '#]),0),AssetMonthlyReturns[[#This Row],[SPY]:[PE]])</f>
        <v>-1.0966105209223365E-2</v>
      </c>
      <c r="H73" s="27">
        <f>IF(ISNUMBER(H72),H72*(1+PortfolioFrontier[[#This Row],[P2 Return]]),1+PortfolioFrontier[[#This Row],[P2 Return]])</f>
        <v>1.7915624713648306</v>
      </c>
      <c r="I73" s="27">
        <f>MAX(I72,PortfolioFrontier[[#This Row],[P2 Growth]])</f>
        <v>1.880902671218339</v>
      </c>
      <c r="J73" s="27">
        <f>PortfolioFrontier[[#This Row],[P2 Growth]]/PortfolioFrontier[[#This Row],[P2 HWM]]-1</f>
        <v>-4.7498576731585529E-2</v>
      </c>
      <c r="K73" s="28">
        <f>SUMPRODUCT(INDEX(PortfolioRef[[SPY]:[PE]],MATCH(K$1,PortfolioRef[Reference '#]),0),AssetMonthlyReturns[[#This Row],[SPY]:[PE]])</f>
        <v>-7.261246704238656E-3</v>
      </c>
      <c r="L73" s="27">
        <f>IF(ISNUMBER(L72),L72*(1+PortfolioFrontier[[#This Row],[P3 Return]]),1+PortfolioFrontier[[#This Row],[P3 Return]])</f>
        <v>1.8151160606785504</v>
      </c>
      <c r="M73" s="27">
        <f>MAX(M72,PortfolioFrontier[[#This Row],[P3 Growth]])</f>
        <v>1.8984394560781046</v>
      </c>
      <c r="N73" s="27">
        <f>PortfolioFrontier[[#This Row],[P3 Growth]]/PortfolioFrontier[[#This Row],[P3 HWM]]-1</f>
        <v>-4.3890467579981718E-2</v>
      </c>
      <c r="O73" s="28">
        <f>SUMPRODUCT(INDEX(PortfolioRef[[SPY]:[PE]],MATCH(O$1,PortfolioRef[Reference '#]),0),AssetMonthlyReturns[[#This Row],[SPY]:[PE]])</f>
        <v>-1.2063447331464245E-2</v>
      </c>
      <c r="P73" s="27">
        <f>IF(ISNUMBER(P72),P72*(1+PortfolioFrontier[[#This Row],[P4 Return]]),1+PortfolioFrontier[[#This Row],[P4 Return]])</f>
        <v>1.8206419276763031</v>
      </c>
      <c r="Q73" s="27">
        <f>MAX(Q72,PortfolioFrontier[[#This Row],[P4 Growth]])</f>
        <v>1.9193367929729268</v>
      </c>
      <c r="R73" s="27">
        <f>PortfolioFrontier[[#This Row],[P4 Growth]]/PortfolioFrontier[[#This Row],[P4 HWM]]-1</f>
        <v>-5.1421337650570331E-2</v>
      </c>
      <c r="S73" s="28">
        <f>SUMPRODUCT(INDEX(PortfolioRef[[SPY]:[PE]],MATCH(S$1,PortfolioRef[Reference '#]),0),AssetMonthlyReturns[[#This Row],[SPY]:[PE]])</f>
        <v>-8.4574659469866427E-3</v>
      </c>
      <c r="T73" s="27">
        <f>IF(ISNUMBER(T72),T72*(1+PortfolioFrontier[[#This Row],[P5 Return]]),1+PortfolioFrontier[[#This Row],[P5 Return]])</f>
        <v>1.8013767393194733</v>
      </c>
      <c r="U73" s="27">
        <f>MAX(U72,PortfolioFrontier[[#This Row],[P5 Growth]])</f>
        <v>1.8841834525169079</v>
      </c>
      <c r="V73" s="27">
        <f>PortfolioFrontier[[#This Row],[P5 Growth]]/PortfolioFrontier[[#This Row],[P5 HWM]]-1</f>
        <v>-4.3948328432043438E-2</v>
      </c>
      <c r="W73" s="28">
        <f>SUMPRODUCT(INDEX(PortfolioRef[[SPY]:[PE]],MATCH(W$1,PortfolioRef[Reference '#]),0),AssetMonthlyReturns[[#This Row],[SPY]:[PE]])</f>
        <v>-1.013425481134474E-2</v>
      </c>
      <c r="X73" s="27">
        <f>IF(ISNUMBER(X72),X72*(1+PortfolioFrontier[[#This Row],[P6 Return]]),1+PortfolioFrontier[[#This Row],[P6 Return]])</f>
        <v>1.729015770522317</v>
      </c>
      <c r="Y73" s="27">
        <f>MAX(Y72,PortfolioFrontier[[#This Row],[P6 Growth]])</f>
        <v>1.8107203423144032</v>
      </c>
      <c r="Z73" s="27">
        <f>PortfolioFrontier[[#This Row],[P6 Growth]]/PortfolioFrontier[[#This Row],[P6 HWM]]-1</f>
        <v>-4.5122689508007685E-2</v>
      </c>
      <c r="AA73" s="28">
        <f>SUMPRODUCT(INDEX(PortfolioRef[[SPY]:[PE]],MATCH(AA$1,PortfolioRef[Reference '#]),0),AssetMonthlyReturns[[#This Row],[SPY]:[PE]])</f>
        <v>-6.4293963063600315E-3</v>
      </c>
      <c r="AB73" s="27">
        <f>IF(ISNUMBER(AB72),AB72*(1+PortfolioFrontier[[#This Row],[P7 Return]]),1+PortfolioFrontier[[#This Row],[P7 Return]])</f>
        <v>1.7517691990473034</v>
      </c>
      <c r="AC73" s="27">
        <f>MAX(AC72,PortfolioFrontier[[#This Row],[P7 Growth]])</f>
        <v>1.8276317298765399</v>
      </c>
      <c r="AD73" s="27">
        <f>PortfolioFrontier[[#This Row],[P7 Growth]]/PortfolioFrontier[[#This Row],[P7 HWM]]-1</f>
        <v>-4.1508652749403296E-2</v>
      </c>
      <c r="AE73" s="28">
        <f>SUMPRODUCT(INDEX(PortfolioRef[[SPY]:[PE]],MATCH(AE$1,PortfolioRef[Reference '#]),0),AssetMonthlyReturns[[#This Row],[SPY]:[PE]])</f>
        <v>-1.123159693358562E-2</v>
      </c>
      <c r="AF73" s="27">
        <f>IF(ISNUMBER(AF72),AF72*(1+PortfolioFrontier[[#This Row],[P8 Return]]),1+PortfolioFrontier[[#This Row],[P8 Return]])</f>
        <v>1.7575773527000322</v>
      </c>
      <c r="AG73" s="27">
        <f>MAX(AG72,PortfolioFrontier[[#This Row],[P8 Growth]])</f>
        <v>1.8482324314062795</v>
      </c>
      <c r="AH73" s="27">
        <f>PortfolioFrontier[[#This Row],[P8 Growth]]/PortfolioFrontier[[#This Row],[P8 HWM]]-1</f>
        <v>-4.9049609327150412E-2</v>
      </c>
      <c r="AI73" s="28">
        <f>SUMPRODUCT(INDEX(PortfolioRef[[SPY]:[PE]],MATCH(AI$1,PortfolioRef[Reference '#]),0),AssetMonthlyReturns[[#This Row],[SPY]:[PE]])</f>
        <v>-7.6256155491080183E-3</v>
      </c>
      <c r="AJ73" s="27">
        <f>IF(ISNUMBER(AJ72),AJ72*(1+PortfolioFrontier[[#This Row],[P9 Return]]),1+PortfolioFrontier[[#This Row],[P9 Return]])</f>
        <v>1.7385454980587982</v>
      </c>
      <c r="AK73" s="27">
        <f>MAX(AK72,PortfolioFrontier[[#This Row],[P9 Growth]])</f>
        <v>1.8139467261629987</v>
      </c>
      <c r="AL73" s="27">
        <f>PortfolioFrontier[[#This Row],[P9 Growth]]/PortfolioFrontier[[#This Row],[P9 HWM]]-1</f>
        <v>-4.156749865730347E-2</v>
      </c>
      <c r="AM73" s="28">
        <f>SUMPRODUCT(INDEX(PortfolioRef[[SPY]:[PE]],MATCH(AM$1,PortfolioRef[Reference '#]),0),AssetMonthlyReturns[[#This Row],[SPY]:[PE]])</f>
        <v>-2.7245378013753211E-3</v>
      </c>
      <c r="AN73" s="27">
        <f>IF(ISNUMBER(AN72),AN72*(1+PortfolioFrontier[[#This Row],[P10 Return]]),1+PortfolioFrontier[[#This Row],[P10 Return]])</f>
        <v>1.774446970277145</v>
      </c>
      <c r="AO73" s="27">
        <f>MAX(AO72,PortfolioFrontier[[#This Row],[P10 Growth]])</f>
        <v>1.8443368551596837</v>
      </c>
      <c r="AP73" s="27">
        <f>PortfolioFrontier[[#This Row],[P10 Growth]]/PortfolioFrontier[[#This Row],[P10 HWM]]-1</f>
        <v>-3.7894316695464836E-2</v>
      </c>
      <c r="AQ73" s="28">
        <f>SUMPRODUCT(INDEX(PortfolioRef[[SPY]:[PE]],MATCH(AQ$1,PortfolioRef[Reference '#]),0),AssetMonthlyReturns[[#This Row],[SPY]:[PE]])</f>
        <v>-7.5267384286009115E-3</v>
      </c>
      <c r="AR73" s="27">
        <f>IF(ISNUMBER(AR72),AR72*(1+PortfolioFrontier[[#This Row],[P11 Return]]),1+PortfolioFrontier[[#This Row],[P11 Return]])</f>
        <v>1.7806720643207619</v>
      </c>
      <c r="AS73" s="27">
        <f>MAX(AS72,PortfolioFrontier[[#This Row],[P11 Growth]])</f>
        <v>1.865449984246593</v>
      </c>
      <c r="AT73" s="27">
        <f>PortfolioFrontier[[#This Row],[P11 Growth]]/PortfolioFrontier[[#This Row],[P11 HWM]]-1</f>
        <v>-4.5446364492088387E-2</v>
      </c>
      <c r="AU73" s="28">
        <f>SUMPRODUCT(INDEX(PortfolioRef[[SPY]:[PE]],MATCH(AU$1,PortfolioRef[Reference '#]),0),AssetMonthlyReturns[[#This Row],[SPY]:[PE]])</f>
        <v>-3.9207570441233096E-3</v>
      </c>
      <c r="AV73" s="27">
        <f>IF(ISNUMBER(AV72),AV72*(1+PortfolioFrontier[[#This Row],[P12 Return]]),1+PortfolioFrontier[[#This Row],[P12 Return]])</f>
        <v>1.7614338014487438</v>
      </c>
      <c r="AW73" s="27">
        <f>MAX(AW72,PortfolioFrontier[[#This Row],[P12 Growth]])</f>
        <v>1.8309154354259589</v>
      </c>
      <c r="AX73" s="27">
        <f>PortfolioFrontier[[#This Row],[P12 Growth]]/PortfolioFrontier[[#This Row],[P12 HWM]]-1</f>
        <v>-3.7949122407748059E-2</v>
      </c>
      <c r="AY73" s="28">
        <f>SUMPRODUCT(INDEX(PortfolioRef[[SPY]:[PE]],MATCH(AY$1,PortfolioRef[Reference '#]),0),AssetMonthlyReturns[[#This Row],[SPY]:[PE]])</f>
        <v>-1.2328939055826499E-2</v>
      </c>
      <c r="AZ73" s="27">
        <f>IF(ISNUMBER(AZ72),AZ72*(1+PortfolioFrontier[[#This Row],[P13 Return]]),1+PortfolioFrontier[[#This Row],[P13 Return]])</f>
        <v>1.7859160414700535</v>
      </c>
      <c r="BA73" s="27">
        <f>MAX(BA72,PortfolioFrontier[[#This Row],[P13 Growth]])</f>
        <v>1.8858075751364967</v>
      </c>
      <c r="BB73" s="27">
        <f>PortfolioFrontier[[#This Row],[P13 Growth]]/PortfolioFrontier[[#This Row],[P13 HWM]]-1</f>
        <v>-5.2970162482888994E-2</v>
      </c>
      <c r="BC73" s="28">
        <f>SUMPRODUCT(INDEX(PortfolioRef[[SPY]:[PE]],MATCH(BC$1,PortfolioRef[Reference '#]),0),AssetMonthlyReturns[[#This Row],[SPY]:[PE]])</f>
        <v>-8.7229576713488983E-3</v>
      </c>
      <c r="BD73" s="27">
        <f>IF(ISNUMBER(BD72),BD72*(1+PortfolioFrontier[[#This Row],[P14 Return]]),1+PortfolioFrontier[[#This Row],[P14 Return]])</f>
        <v>1.7672621417519252</v>
      </c>
      <c r="BE73" s="27">
        <f>MAX(BE72,PortfolioFrontier[[#This Row],[P14 Growth]])</f>
        <v>1.8515113734383843</v>
      </c>
      <c r="BF73" s="27">
        <f>PortfolioFrontier[[#This Row],[P14 Growth]]/PortfolioFrontier[[#This Row],[P14 HWM]]-1</f>
        <v>-4.5502951207911035E-2</v>
      </c>
      <c r="BG73" s="28">
        <f>SUMPRODUCT(INDEX(PortfolioRef[[SPY]:[PE]],MATCH(BG$1,PortfolioRef[Reference '#]),0),AssetMonthlyReturns[[#This Row],[SPY]:[PE]])</f>
        <v>-5.1169762868712946E-3</v>
      </c>
      <c r="BH73" s="27">
        <f>IF(ISNUMBER(BH72),BH72*(1+PortfolioFrontier[[#This Row],[P15 Return]]),1+PortfolioFrontier[[#This Row],[P15 Return]])</f>
        <v>1.7479843424098578</v>
      </c>
      <c r="BI73" s="27">
        <f>MAX(BI72,PortfolioFrontier[[#This Row],[P15 Growth]])</f>
        <v>1.8170439473092146</v>
      </c>
      <c r="BJ73" s="27">
        <f>PortfolioFrontier[[#This Row],[P15 Growth]]/PortfolioFrontier[[#This Row],[P15 HWM]]-1</f>
        <v>-3.8006568306520272E-2</v>
      </c>
      <c r="BK73" s="28">
        <f>SUMPRODUCT(INDEX(PortfolioRef[[SPY]:[PE]],MATCH(BK$1,PortfolioRef[Reference '#]),0),AssetMonthlyReturns[[#This Row],[SPY]:[PE]])</f>
        <v>-9.3024044134661157E-3</v>
      </c>
      <c r="BL73" s="27">
        <f>IF(ISNUMBER(BL72),BL72*(1+PortfolioFrontier[[#This Row],[P16 Return]]),1+PortfolioFrontier[[#This Row],[P16 Return]])</f>
        <v>1.6680656771224924</v>
      </c>
      <c r="BM73" s="27">
        <f>MAX(BM72,PortfolioFrontier[[#This Row],[P16 Growth]])</f>
        <v>1.7425494832470445</v>
      </c>
      <c r="BN73" s="27">
        <f>PortfolioFrontier[[#This Row],[P16 Growth]]/PortfolioFrontier[[#This Row],[P16 HWM]]-1</f>
        <v>-4.2744155526510452E-2</v>
      </c>
      <c r="BO73" s="28">
        <f>SUMPRODUCT(INDEX(PortfolioRef[[SPY]:[PE]],MATCH(BO$1,PortfolioRef[Reference '#]),0),AssetMonthlyReturns[[#This Row],[SPY]:[PE]])</f>
        <v>-5.5975459084814071E-3</v>
      </c>
      <c r="BP73" s="27">
        <f>IF(ISNUMBER(BP72),BP72*(1+PortfolioFrontier[[#This Row],[P17 Return]]),1+PortfolioFrontier[[#This Row],[P17 Return]])</f>
        <v>1.6900388328675473</v>
      </c>
      <c r="BQ73" s="27">
        <f>MAX(BQ72,PortfolioFrontier[[#This Row],[P17 Growth]])</f>
        <v>1.7588525148836969</v>
      </c>
      <c r="BR73" s="27">
        <f>PortfolioFrontier[[#This Row],[P17 Growth]]/PortfolioFrontier[[#This Row],[P17 HWM]]-1</f>
        <v>-3.9124191160905708E-2</v>
      </c>
      <c r="BS73" s="28">
        <f>SUMPRODUCT(INDEX(PortfolioRef[[SPY]:[PE]],MATCH(BS$1,PortfolioRef[Reference '#]),0),AssetMonthlyReturns[[#This Row],[SPY]:[PE]])</f>
        <v>-1.0399746535706996E-2</v>
      </c>
      <c r="BT73" s="27">
        <f>IF(ISNUMBER(BT72),BT72*(1+PortfolioFrontier[[#This Row],[P18 Return]]),1+PortfolioFrontier[[#This Row],[P18 Return]])</f>
        <v>1.696098933158229</v>
      </c>
      <c r="BU73" s="27">
        <f>MAX(BU72,PortfolioFrontier[[#This Row],[P18 Growth]])</f>
        <v>1.7791407441475846</v>
      </c>
      <c r="BV73" s="27">
        <f>PortfolioFrontier[[#This Row],[P18 Growth]]/PortfolioFrontier[[#This Row],[P18 HWM]]-1</f>
        <v>-4.6675234245811326E-2</v>
      </c>
      <c r="BW73" s="28">
        <f>SUMPRODUCT(INDEX(PortfolioRef[[SPY]:[PE]],MATCH(BW$1,PortfolioRef[Reference '#]),0),AssetMonthlyReturns[[#This Row],[SPY]:[PE]])</f>
        <v>-6.7937651512293938E-3</v>
      </c>
      <c r="BX73" s="27">
        <f>IF(ISNUMBER(BX72),BX72*(1+PortfolioFrontier[[#This Row],[P19 Return]]),1+PortfolioFrontier[[#This Row],[P19 Return]])</f>
        <v>1.6773153019339746</v>
      </c>
      <c r="BY73" s="27">
        <f>MAX(BY72,PortfolioFrontier[[#This Row],[P19 Growth]])</f>
        <v>1.7457196180719312</v>
      </c>
      <c r="BZ73" s="27">
        <f>PortfolioFrontier[[#This Row],[P19 Growth]]/PortfolioFrontier[[#This Row],[P19 HWM]]-1</f>
        <v>-3.9184022124644557E-2</v>
      </c>
      <c r="CA73" s="28">
        <f>SUMPRODUCT(INDEX(PortfolioRef[[SPY]:[PE]],MATCH(CA$1,PortfolioRef[Reference '#]),0),AssetMonthlyReturns[[#This Row],[SPY]:[PE]])</f>
        <v>-1.8926874034966967E-3</v>
      </c>
      <c r="CB73" s="27">
        <f>IF(ISNUMBER(CB72),CB72*(1+PortfolioFrontier[[#This Row],[P20 Return]]),1+PortfolioFrontier[[#This Row],[P20 Return]])</f>
        <v>1.7119388164042344</v>
      </c>
      <c r="CC73" s="27">
        <f>MAX(CC72,PortfolioFrontier[[#This Row],[P20 Growth]])</f>
        <v>1.7749567522517573</v>
      </c>
      <c r="CD73" s="27">
        <f>PortfolioFrontier[[#This Row],[P20 Growth]]/PortfolioFrontier[[#This Row],[P20 HWM]]-1</f>
        <v>-3.5503927499966781E-2</v>
      </c>
      <c r="CE73" s="28">
        <f>SUMPRODUCT(INDEX(PortfolioRef[[SPY]:[PE]],MATCH(CE$1,PortfolioRef[Reference '#]),0),AssetMonthlyReturns[[#This Row],[SPY]:[PE]])</f>
        <v>-6.6948880307222871E-3</v>
      </c>
      <c r="CF73" s="27">
        <f>IF(ISNUMBER(CF72),CF72*(1+PortfolioFrontier[[#This Row],[P21 Return]]),1+PortfolioFrontier[[#This Row],[P21 Return]])</f>
        <v>1.7184077616771216</v>
      </c>
      <c r="CG73" s="27">
        <f>MAX(CG72,PortfolioFrontier[[#This Row],[P21 Growth]])</f>
        <v>1.795743356031652</v>
      </c>
      <c r="CH73" s="27">
        <f>PortfolioFrontier[[#This Row],[P21 Growth]]/PortfolioFrontier[[#This Row],[P21 HWM]]-1</f>
        <v>-4.3066061803748834E-2</v>
      </c>
      <c r="CI73" s="28">
        <f>SUMPRODUCT(INDEX(PortfolioRef[[SPY]:[PE]],MATCH(CI$1,PortfolioRef[Reference '#]),0),AssetMonthlyReturns[[#This Row],[SPY]:[PE]])</f>
        <v>-3.0889066462446851E-3</v>
      </c>
      <c r="CJ73" s="27">
        <f>IF(ISNUMBER(CJ72),CJ72*(1+PortfolioFrontier[[#This Row],[P22 Return]]),1+PortfolioFrontier[[#This Row],[P22 Return]])</f>
        <v>1.6994194443171355</v>
      </c>
      <c r="CK73" s="27">
        <f>MAX(CK72,PortfolioFrontier[[#This Row],[P22 Growth]])</f>
        <v>1.7620784578443487</v>
      </c>
      <c r="CL73" s="27">
        <f>PortfolioFrontier[[#This Row],[P22 Growth]]/PortfolioFrontier[[#This Row],[P22 HWM]]-1</f>
        <v>-3.555971826808868E-2</v>
      </c>
      <c r="CM73" s="28">
        <f>SUMPRODUCT(INDEX(PortfolioRef[[SPY]:[PE]],MATCH(CM$1,PortfolioRef[Reference '#]),0),AssetMonthlyReturns[[#This Row],[SPY]:[PE]])</f>
        <v>-1.1497088657947874E-2</v>
      </c>
      <c r="CN73" s="27">
        <f>IF(ISNUMBER(CN72),CN72*(1+PortfolioFrontier[[#This Row],[P23 Return]]),1+PortfolioFrontier[[#This Row],[P23 Return]])</f>
        <v>1.723935025683043</v>
      </c>
      <c r="CO73" s="27">
        <f>MAX(CO72,PortfolioFrontier[[#This Row],[P23 Growth]])</f>
        <v>1.8158151760868648</v>
      </c>
      <c r="CP73" s="27">
        <f>PortfolioFrontier[[#This Row],[P23 Growth]]/PortfolioFrontier[[#This Row],[P23 HWM]]-1</f>
        <v>-5.0599946301707943E-2</v>
      </c>
      <c r="CQ73" s="28">
        <f>SUMPRODUCT(INDEX(PortfolioRef[[SPY]:[PE]],MATCH(CQ$1,PortfolioRef[Reference '#]),0),AssetMonthlyReturns[[#This Row],[SPY]:[PE]])</f>
        <v>-7.8911072734702738E-3</v>
      </c>
      <c r="CR73" s="27">
        <f>IF(ISNUMBER(CR72),CR72*(1+PortfolioFrontier[[#This Row],[P24 Return]]),1+PortfolioFrontier[[#This Row],[P24 Return]])</f>
        <v>1.7055018094816359</v>
      </c>
      <c r="CS73" s="27">
        <f>MAX(CS72,PortfolioFrontier[[#This Row],[P24 Growth]])</f>
        <v>1.7823638134718676</v>
      </c>
      <c r="CT73" s="27">
        <f>PortfolioFrontier[[#This Row],[P24 Growth]]/PortfolioFrontier[[#This Row],[P24 HWM]]-1</f>
        <v>-4.312363357541027E-2</v>
      </c>
      <c r="CU73" s="28">
        <f>SUMPRODUCT(INDEX(PortfolioRef[[SPY]:[PE]],MATCH(CU$1,PortfolioRef[Reference '#]),0),AssetMonthlyReturns[[#This Row],[SPY]:[PE]])</f>
        <v>-4.2851258889926701E-3</v>
      </c>
      <c r="CV73" s="27">
        <f>IF(ISNUMBER(CV72),CV72*(1+PortfolioFrontier[[#This Row],[P25 Return]]),1+PortfolioFrontier[[#This Row],[P25 Return]])</f>
        <v>1.6864778765080246</v>
      </c>
      <c r="CW73" s="27">
        <f>MAX(CW72,PortfolioFrontier[[#This Row],[P25 Growth]])</f>
        <v>1.7487656732120247</v>
      </c>
      <c r="CX73" s="27">
        <f>PortfolioFrontier[[#This Row],[P25 Growth]]/PortfolioFrontier[[#This Row],[P25 HWM]]-1</f>
        <v>-3.5618149222699347E-2</v>
      </c>
      <c r="CY73" s="28">
        <f>SUMPRODUCT(INDEX(PortfolioRef[[SPY]:[PE]],MATCH(CY$1,PortfolioRef[Reference '#]),0),AssetMonthlyReturns[[#This Row],[SPY]:[PE]])</f>
        <v>-2.9900295257375758E-3</v>
      </c>
      <c r="CZ73" s="27">
        <f>IF(ISNUMBER(CZ72),CZ72*(1+PortfolioFrontier[[#This Row],[P26 Return]]),1+PortfolioFrontier[[#This Row],[P26 Return]])</f>
        <v>1.7406418723246331</v>
      </c>
      <c r="DA73" s="27">
        <f>MAX(DA72,PortfolioFrontier[[#This Row],[P26 Growth]])</f>
        <v>1.8121428498945955</v>
      </c>
      <c r="DB73" s="27">
        <f>PortfolioFrontier[[#This Row],[P26 Growth]]/PortfolioFrontier[[#This Row],[P26 HWM]]-1</f>
        <v>-3.9456590066352271E-2</v>
      </c>
      <c r="DC73" s="28">
        <f>SUMPRODUCT(INDEX(PortfolioRef[[SPY]:[PE]],MATCH(DC$1,PortfolioRef[Reference '#]),0),AssetMonthlyReturns[[#This Row],[SPY]:[PE]])</f>
        <v>6.1595185874002527E-4</v>
      </c>
      <c r="DD73" s="27">
        <f>IF(ISNUMBER(DD72),DD72*(1+PortfolioFrontier[[#This Row],[P27 Return]]),1+PortfolioFrontier[[#This Row],[P27 Return]])</f>
        <v>1.7214505205656194</v>
      </c>
      <c r="DE73" s="27">
        <f>MAX(DE72,PortfolioFrontier[[#This Row],[P27 Growth]])</f>
        <v>1.7782387807323972</v>
      </c>
      <c r="DF73" s="27">
        <f>PortfolioFrontier[[#This Row],[P27 Growth]]/PortfolioFrontier[[#This Row],[P27 HWM]]-1</f>
        <v>-3.193511511619862E-2</v>
      </c>
      <c r="DG73" s="28">
        <f>SUMPRODUCT(INDEX(PortfolioRef[[SPY]:[PE]],MATCH(DG$1,PortfolioRef[Reference '#]),0),AssetMonthlyReturns[[#This Row],[SPY]:[PE]])</f>
        <v>-7.7922301529631654E-3</v>
      </c>
      <c r="DH73" s="27">
        <f>IF(ISNUMBER(DH72),DH72*(1+PortfolioFrontier[[#This Row],[P28 Return]]),1+PortfolioFrontier[[#This Row],[P28 Return]])</f>
        <v>1.7465761852351107</v>
      </c>
      <c r="DI73" s="27">
        <f>MAX(DI72,PortfolioFrontier[[#This Row],[P28 Growth]])</f>
        <v>1.8327167417336543</v>
      </c>
      <c r="DJ73" s="27">
        <f>PortfolioFrontier[[#This Row],[P28 Growth]]/PortfolioFrontier[[#This Row],[P28 HWM]]-1</f>
        <v>-4.7001565783187593E-2</v>
      </c>
      <c r="DK73" s="28">
        <f>SUMPRODUCT(INDEX(PortfolioRef[[SPY]:[PE]],MATCH(DK$1,PortfolioRef[Reference '#]),0),AssetMonthlyReturns[[#This Row],[SPY]:[PE]])</f>
        <v>-4.1862487684855652E-3</v>
      </c>
      <c r="DL73" s="27">
        <f>IF(ISNUMBER(DL72),DL72*(1+PortfolioFrontier[[#This Row],[P29 Return]]),1+PortfolioFrontier[[#This Row],[P29 Return]])</f>
        <v>1.7279436028308974</v>
      </c>
      <c r="DM73" s="27">
        <f>MAX(DM72,PortfolioFrontier[[#This Row],[P29 Growth]])</f>
        <v>1.7990232294645383</v>
      </c>
      <c r="DN73" s="27">
        <f>PortfolioFrontier[[#This Row],[P29 Growth]]/PortfolioFrontier[[#This Row],[P29 HWM]]-1</f>
        <v>-3.9510121642396534E-2</v>
      </c>
      <c r="DO73" s="28">
        <f>SUMPRODUCT(INDEX(PortfolioRef[[SPY]:[PE]],MATCH(DO$1,PortfolioRef[Reference '#]),0),AssetMonthlyReturns[[#This Row],[SPY]:[PE]])</f>
        <v>-5.8026738400796148E-4</v>
      </c>
      <c r="DP73" s="27">
        <f>IF(ISNUMBER(DP72),DP72*(1+PortfolioFrontier[[#This Row],[P30 Return]]),1+PortfolioFrontier[[#This Row],[P30 Return]])</f>
        <v>1.7087120734621934</v>
      </c>
      <c r="DQ73" s="27">
        <f>MAX(DQ72,PortfolioFrontier[[#This Row],[P30 Growth]])</f>
        <v>1.7651792866223672</v>
      </c>
      <c r="DR73" s="27">
        <f>PortfolioFrontier[[#This Row],[P30 Growth]]/PortfolioFrontier[[#This Row],[P30 HWM]]-1</f>
        <v>-3.1989505875192226E-2</v>
      </c>
      <c r="DS73" s="28">
        <f>SUMPRODUCT(INDEX(PortfolioRef[[SPY]:[PE]],MATCH(DS$1,PortfolioRef[Reference '#]),0),AssetMonthlyReturns[[#This Row],[SPY]:[PE]])</f>
        <v>-1.2594430780188756E-2</v>
      </c>
      <c r="DT73" s="27">
        <f>IF(ISNUMBER(DT72),DT72*(1+PortfolioFrontier[[#This Row],[P31 Return]]),1+PortfolioFrontier[[#This Row],[P31 Return]])</f>
        <v>1.7515453337316071</v>
      </c>
      <c r="DU73" s="27">
        <f>MAX(DU72,PortfolioFrontier[[#This Row],[P31 Growth]])</f>
        <v>1.8525428026208837</v>
      </c>
      <c r="DV73" s="27">
        <f>PortfolioFrontier[[#This Row],[P31 Growth]]/PortfolioFrontier[[#This Row],[P31 HWM]]-1</f>
        <v>-5.4518291694200194E-2</v>
      </c>
      <c r="DW73" s="28">
        <f>SUMPRODUCT(INDEX(PortfolioRef[[SPY]:[PE]],MATCH(DW$1,PortfolioRef[Reference '#]),0),AssetMonthlyReturns[[#This Row],[SPY]:[PE]])</f>
        <v>-8.9884493957111521E-3</v>
      </c>
      <c r="DX73" s="27">
        <f>IF(ISNUMBER(DX72),DX72*(1+PortfolioFrontier[[#This Row],[P32 Return]]),1+PortfolioFrontier[[#This Row],[P32 Return]])</f>
        <v>1.7334901526941591</v>
      </c>
      <c r="DY73" s="27">
        <f>MAX(DY72,PortfolioFrontier[[#This Row],[P32 Growth]])</f>
        <v>1.8190908915066115</v>
      </c>
      <c r="DZ73" s="27">
        <f>PortfolioFrontier[[#This Row],[P32 Growth]]/PortfolioFrontier[[#This Row],[P32 HWM]]-1</f>
        <v>-4.7056878362771615E-2</v>
      </c>
      <c r="EA73" s="28">
        <f>SUMPRODUCT(INDEX(PortfolioRef[[SPY]:[PE]],MATCH(EA$1,PortfolioRef[Reference '#]),0),AssetMonthlyReturns[[#This Row],[SPY]:[PE]])</f>
        <v>-5.3824680112335502E-3</v>
      </c>
      <c r="EB73" s="27">
        <f>IF(ISNUMBER(EB72),EB72*(1+PortfolioFrontier[[#This Row],[P33 Return]]),1+PortfolioFrontier[[#This Row],[P33 Return]])</f>
        <v>1.7148160596063184</v>
      </c>
      <c r="EC73" s="27">
        <f>MAX(EC72,PortfolioFrontier[[#This Row],[P33 Growth]])</f>
        <v>1.7854600976944932</v>
      </c>
      <c r="ED73" s="27">
        <f>PortfolioFrontier[[#This Row],[P33 Growth]]/PortfolioFrontier[[#This Row],[P33 HWM]]-1</f>
        <v>-3.9566293404929676E-2</v>
      </c>
      <c r="EE73" s="28">
        <f>SUMPRODUCT(INDEX(PortfolioRef[[SPY]:[PE]],MATCH(EE$1,PortfolioRef[Reference '#]),0),AssetMonthlyReturns[[#This Row],[SPY]:[PE]])</f>
        <v>-8.4705540155874878E-3</v>
      </c>
      <c r="EF73" s="27">
        <f>IF(ISNUMBER(EF72),EF72*(1+PortfolioFrontier[[#This Row],[P34 Return]]),1+PortfolioFrontier[[#This Row],[P34 Return]])</f>
        <v>1.6086985067239177</v>
      </c>
      <c r="EG73" s="27">
        <f>MAX(EG72,PortfolioFrontier[[#This Row],[P34 Growth]])</f>
        <v>1.6763614413137211</v>
      </c>
      <c r="EH73" s="27">
        <f>PortfolioFrontier[[#This Row],[P34 Growth]]/PortfolioFrontier[[#This Row],[P34 HWM]]-1</f>
        <v>-4.0362974787094719E-2</v>
      </c>
      <c r="EI73" s="28">
        <f>SUMPRODUCT(INDEX(PortfolioRef[[SPY]:[PE]],MATCH(EI$1,PortfolioRef[Reference '#]),0),AssetMonthlyReturns[[#This Row],[SPY]:[PE]])</f>
        <v>-4.7656955106027792E-3</v>
      </c>
      <c r="EJ73" s="27">
        <f>IF(ISNUMBER(EJ72),EJ72*(1+PortfolioFrontier[[#This Row],[P35 Return]]),1+PortfolioFrontier[[#This Row],[P35 Return]])</f>
        <v>1.6299111099531247</v>
      </c>
      <c r="EK73" s="27">
        <f>MAX(EK72,PortfolioFrontier[[#This Row],[P35 Growth]])</f>
        <v>1.6920729334369538</v>
      </c>
      <c r="EL73" s="27">
        <f>PortfolioFrontier[[#This Row],[P35 Growth]]/PortfolioFrontier[[#This Row],[P35 HWM]]-1</f>
        <v>-3.6737082814489175E-2</v>
      </c>
      <c r="EM73" s="28">
        <f>SUMPRODUCT(INDEX(PortfolioRef[[SPY]:[PE]],MATCH(EM$1,PortfolioRef[Reference '#]),0),AssetMonthlyReturns[[#This Row],[SPY]:[PE]])</f>
        <v>-9.5678961378283679E-3</v>
      </c>
      <c r="EN73" s="27">
        <f>IF(ISNUMBER(EN72),EN72*(1+PortfolioFrontier[[#This Row],[P36 Return]]),1+PortfolioFrontier[[#This Row],[P36 Return]])</f>
        <v>1.6361943329893009</v>
      </c>
      <c r="EO73" s="27">
        <f>MAX(EO72,PortfolioFrontier[[#This Row],[P36 Growth]])</f>
        <v>1.7120343963250326</v>
      </c>
      <c r="EP73" s="27">
        <f>PortfolioFrontier[[#This Row],[P36 Growth]]/PortfolioFrontier[[#This Row],[P36 HWM]]-1</f>
        <v>-4.4298212406553406E-2</v>
      </c>
      <c r="EQ73" s="28">
        <f>SUMPRODUCT(INDEX(PortfolioRef[[SPY]:[PE]],MATCH(EQ$1,PortfolioRef[Reference '#]),0),AssetMonthlyReturns[[#This Row],[SPY]:[PE]])</f>
        <v>-5.9619147533507659E-3</v>
      </c>
      <c r="ER73" s="27">
        <f>IF(ISNUMBER(ER72),ER72*(1+PortfolioFrontier[[#This Row],[P37 Return]]),1+PortfolioFrontier[[#This Row],[P37 Return]])</f>
        <v>1.6176725776763499</v>
      </c>
      <c r="ES73" s="27">
        <f>MAX(ES72,PortfolioFrontier[[#This Row],[P37 Growth]])</f>
        <v>1.6794736802569215</v>
      </c>
      <c r="ET73" s="27">
        <f>PortfolioFrontier[[#This Row],[P37 Growth]]/PortfolioFrontier[[#This Row],[P37 HWM]]-1</f>
        <v>-3.6797898834066478E-2</v>
      </c>
      <c r="EU73" s="28">
        <f>SUMPRODUCT(INDEX(PortfolioRef[[SPY]:[PE]],MATCH(EU$1,PortfolioRef[Reference '#]),0),AssetMonthlyReturns[[#This Row],[SPY]:[PE]])</f>
        <v>-1.0608370056180687E-3</v>
      </c>
      <c r="EV73" s="27">
        <f>IF(ISNUMBER(EV72),EV72*(1+PortfolioFrontier[[#This Row],[P38 Return]]),1+PortfolioFrontier[[#This Row],[P38 Return]])</f>
        <v>1.6510529710019912</v>
      </c>
      <c r="EW73" s="27">
        <f>MAX(EW72,PortfolioFrontier[[#This Row],[P38 Growth]])</f>
        <v>1.7075928941250238</v>
      </c>
      <c r="EX73" s="27">
        <f>PortfolioFrontier[[#This Row],[P38 Growth]]/PortfolioFrontier[[#This Row],[P38 HWM]]-1</f>
        <v>-3.311089154654967E-2</v>
      </c>
      <c r="EY73" s="28">
        <f>SUMPRODUCT(INDEX(PortfolioRef[[SPY]:[PE]],MATCH(EY$1,PortfolioRef[Reference '#]),0),AssetMonthlyReturns[[#This Row],[SPY]:[PE]])</f>
        <v>-5.8630376328436592E-3</v>
      </c>
      <c r="EZ73" s="27">
        <f>IF(ISNUMBER(EZ72),EZ72*(1+PortfolioFrontier[[#This Row],[P39 Return]]),1+PortfolioFrontier[[#This Row],[P39 Return]])</f>
        <v>1.6577368587451291</v>
      </c>
      <c r="FA73" s="27">
        <f>MAX(FA72,PortfolioFrontier[[#This Row],[P39 Growth]])</f>
        <v>1.7280388577532122</v>
      </c>
      <c r="FB73" s="27">
        <f>PortfolioFrontier[[#This Row],[P39 Growth]]/PortfolioFrontier[[#This Row],[P39 HWM]]-1</f>
        <v>-4.0683112357490225E-2</v>
      </c>
      <c r="FC73" s="28">
        <f>SUMPRODUCT(INDEX(PortfolioRef[[SPY]:[PE]],MATCH(FC$1,PortfolioRef[Reference '#]),0),AssetMonthlyReturns[[#This Row],[SPY]:[PE]])</f>
        <v>-2.2570562483660572E-3</v>
      </c>
      <c r="FD73" s="27">
        <f>IF(ISNUMBER(FD72),FD72*(1+PortfolioFrontier[[#This Row],[P40 Return]]),1+PortfolioFrontier[[#This Row],[P40 Return]])</f>
        <v>1.6390123437597994</v>
      </c>
      <c r="FE73" s="27">
        <f>MAX(FE72,PortfolioFrontier[[#This Row],[P40 Growth]])</f>
        <v>1.6952394830468527</v>
      </c>
      <c r="FF73" s="27">
        <f>PortfolioFrontier[[#This Row],[P40 Growth]]/PortfolioFrontier[[#This Row],[P40 HWM]]-1</f>
        <v>-3.3167667370509912E-2</v>
      </c>
      <c r="FG73" s="28">
        <f>SUMPRODUCT(INDEX(PortfolioRef[[SPY]:[PE]],MATCH(FG$1,PortfolioRef[Reference '#]),0),AssetMonthlyReturns[[#This Row],[SPY]:[PE]])</f>
        <v>-1.0665238260069246E-2</v>
      </c>
      <c r="FH73" s="27">
        <f>IF(ISNUMBER(FH72),FH72*(1+PortfolioFrontier[[#This Row],[P41 Return]]),1+PortfolioFrontier[[#This Row],[P41 Return]])</f>
        <v>1.6635173909337431</v>
      </c>
      <c r="FI73" s="27">
        <f>MAX(FI72,PortfolioFrontier[[#This Row],[P41 Growth]])</f>
        <v>1.7478091274239449</v>
      </c>
      <c r="FJ73" s="27">
        <f>PortfolioFrontier[[#This Row],[P41 Growth]]/PortfolioFrontier[[#This Row],[P41 HWM]]-1</f>
        <v>-4.8227083362608059E-2</v>
      </c>
      <c r="FK73" s="28">
        <f>SUMPRODUCT(INDEX(PortfolioRef[[SPY]:[PE]],MATCH(FK$1,PortfolioRef[Reference '#]),0),AssetMonthlyReturns[[#This Row],[SPY]:[PE]])</f>
        <v>-7.0592568755916459E-3</v>
      </c>
      <c r="FL73" s="27">
        <f>IF(ISNUMBER(FL72),FL72*(1+PortfolioFrontier[[#This Row],[P42 Return]]),1+PortfolioFrontier[[#This Row],[P42 Return]])</f>
        <v>1.6453197472399324</v>
      </c>
      <c r="FM73" s="27">
        <f>MAX(FM72,PortfolioFrontier[[#This Row],[P42 Growth]])</f>
        <v>1.7151998522045959</v>
      </c>
      <c r="FN73" s="27">
        <f>PortfolioFrontier[[#This Row],[P42 Growth]]/PortfolioFrontier[[#This Row],[P42 HWM]]-1</f>
        <v>-4.0741669184990115E-2</v>
      </c>
      <c r="FO73" s="28">
        <f>SUMPRODUCT(INDEX(PortfolioRef[[SPY]:[PE]],MATCH(FO$1,PortfolioRef[Reference '#]),0),AssetMonthlyReturns[[#This Row],[SPY]:[PE]])</f>
        <v>-3.4532754911140422E-3</v>
      </c>
      <c r="FP73" s="27">
        <f>IF(ISNUMBER(FP72),FP72*(1+PortfolioFrontier[[#This Row],[P43 Return]]),1+PortfolioFrontier[[#This Row],[P43 Return]])</f>
        <v>1.6265632998532844</v>
      </c>
      <c r="FQ73" s="27">
        <f>MAX(FQ72,PortfolioFrontier[[#This Row],[P43 Growth]])</f>
        <v>1.6824667632825669</v>
      </c>
      <c r="FR73" s="27">
        <f>PortfolioFrontier[[#This Row],[P43 Growth]]/PortfolioFrontier[[#This Row],[P43 HWM]]-1</f>
        <v>-3.3227083380959255E-2</v>
      </c>
      <c r="FS73" s="28">
        <f>SUMPRODUCT(INDEX(PortfolioRef[[SPY]:[PE]],MATCH(FS$1,PortfolioRef[Reference '#]),0),AssetMonthlyReturns[[#This Row],[SPY]:[PE]])</f>
        <v>-2.1581791278589479E-3</v>
      </c>
      <c r="FT73" s="27">
        <f>IF(ISNUMBER(FT72),FT72*(1+PortfolioFrontier[[#This Row],[P44 Return]]),1+PortfolioFrontier[[#This Row],[P44 Return]])</f>
        <v>1.6792071282043133</v>
      </c>
      <c r="FU73" s="27">
        <f>MAX(FU72,PortfolioFrontier[[#This Row],[P44 Growth]])</f>
        <v>1.7438475694471607</v>
      </c>
      <c r="FV73" s="27">
        <f>PortfolioFrontier[[#This Row],[P44 Growth]]/PortfolioFrontier[[#This Row],[P44 HWM]]-1</f>
        <v>-3.7067713013093195E-2</v>
      </c>
      <c r="FW73" s="28">
        <f>SUMPRODUCT(INDEX(PortfolioRef[[SPY]:[PE]],MATCH(FW$1,PortfolioRef[Reference '#]),0),AssetMonthlyReturns[[#This Row],[SPY]:[PE]])</f>
        <v>1.4478022566186532E-3</v>
      </c>
      <c r="FX73" s="27">
        <f>IF(ISNUMBER(FX72),FX72*(1+PortfolioFrontier[[#This Row],[P45 Return]]),1+PortfolioFrontier[[#This Row],[P45 Return]])</f>
        <v>1.6602814685852405</v>
      </c>
      <c r="FY73" s="27">
        <f>MAX(FY72,PortfolioFrontier[[#This Row],[P45 Growth]])</f>
        <v>1.7108140158896465</v>
      </c>
      <c r="FZ73" s="27">
        <f>PortfolioFrontier[[#This Row],[P45 Growth]]/PortfolioFrontier[[#This Row],[P45 HWM]]-1</f>
        <v>-2.9537136611619608E-2</v>
      </c>
      <c r="GA73" s="28">
        <f>SUMPRODUCT(INDEX(PortfolioRef[[SPY]:[PE]],MATCH(GA$1,PortfolioRef[Reference '#]),0),AssetMonthlyReturns[[#This Row],[SPY]:[PE]])</f>
        <v>-6.9603797550845375E-3</v>
      </c>
      <c r="GB73" s="27">
        <f>IF(ISNUMBER(GB72),GB72*(1+PortfolioFrontier[[#This Row],[P46 Return]]),1+PortfolioFrontier[[#This Row],[P46 Return]])</f>
        <v>1.6853868158090941</v>
      </c>
      <c r="GC73" s="27">
        <f>MAX(GC72,PortfolioFrontier[[#This Row],[P46 Growth]])</f>
        <v>1.7641061270089846</v>
      </c>
      <c r="GD73" s="27">
        <f>PortfolioFrontier[[#This Row],[P46 Growth]]/PortfolioFrontier[[#This Row],[P46 HWM]]-1</f>
        <v>-4.4622775237087353E-2</v>
      </c>
      <c r="GE73" s="28">
        <f>SUMPRODUCT(INDEX(PortfolioRef[[SPY]:[PE]],MATCH(GE$1,PortfolioRef[Reference '#]),0),AssetMonthlyReturns[[#This Row],[SPY]:[PE]])</f>
        <v>-3.3543983706069373E-3</v>
      </c>
      <c r="GF73" s="27">
        <f>IF(ISNUMBER(GF72),GF72*(1+PortfolioFrontier[[#This Row],[P47 Return]]),1+PortfolioFrontier[[#This Row],[P47 Return]])</f>
        <v>1.6669913919832204</v>
      </c>
      <c r="GG73" s="27">
        <f>MAX(GG72,PortfolioFrontier[[#This Row],[P47 Growth]])</f>
        <v>1.7312596087544752</v>
      </c>
      <c r="GH73" s="27">
        <f>PortfolioFrontier[[#This Row],[P47 Growth]]/PortfolioFrontier[[#This Row],[P47 HWM]]-1</f>
        <v>-3.7122229644975913E-2</v>
      </c>
      <c r="GI73" s="28">
        <f>SUMPRODUCT(INDEX(PortfolioRef[[SPY]:[PE]],MATCH(GI$1,PortfolioRef[Reference '#]),0),AssetMonthlyReturns[[#This Row],[SPY]:[PE]])</f>
        <v>2.5158301387066644E-4</v>
      </c>
      <c r="GJ73" s="27">
        <f>IF(ISNUMBER(GJ72),GJ72*(1+PortfolioFrontier[[#This Row],[P48 Return]]),1+PortfolioFrontier[[#This Row],[P48 Return]])</f>
        <v>1.6480293373983559</v>
      </c>
      <c r="GK73" s="27">
        <f>MAX(GK72,PortfolioFrontier[[#This Row],[P48 Growth]])</f>
        <v>1.6982858835097865</v>
      </c>
      <c r="GL73" s="27">
        <f>PortfolioFrontier[[#This Row],[P48 Growth]]/PortfolioFrontier[[#This Row],[P48 HWM]]-1</f>
        <v>-2.9592512426451556E-2</v>
      </c>
      <c r="GM73" s="28">
        <f>SUMPRODUCT(INDEX(PortfolioRef[[SPY]:[PE]],MATCH(GM$1,PortfolioRef[Reference '#]),0),AssetMonthlyReturns[[#This Row],[SPY]:[PE]])</f>
        <v>-1.1762580382310126E-2</v>
      </c>
      <c r="GN73" s="27">
        <f>IF(ISNUMBER(GN72),GN72*(1+PortfolioFrontier[[#This Row],[P49 Return]]),1+PortfolioFrontier[[#This Row],[P49 Return]])</f>
        <v>1.6906401244787752</v>
      </c>
      <c r="GO73" s="27">
        <f>MAX(GO72,PortfolioFrontier[[#This Row],[P49 Growth]])</f>
        <v>1.7836571071341945</v>
      </c>
      <c r="GP73" s="27">
        <f>PortfolioFrontier[[#This Row],[P49 Growth]]/PortfolioFrontier[[#This Row],[P49 HWM]]-1</f>
        <v>-5.2149587655258345E-2</v>
      </c>
      <c r="GQ73" s="28">
        <f>SUMPRODUCT(INDEX(PortfolioRef[[SPY]:[PE]],MATCH(GQ$1,PortfolioRef[Reference '#]),0),AssetMonthlyReturns[[#This Row],[SPY]:[PE]])</f>
        <v>-8.1565989978325242E-3</v>
      </c>
      <c r="GR73" s="27">
        <f>IF(ISNUMBER(GR72),GR72*(1+PortfolioFrontier[[#This Row],[P50 Return]]),1+PortfolioFrontier[[#This Row],[P50 Return]])</f>
        <v>1.6727932734679565</v>
      </c>
      <c r="GS73" s="27">
        <f>MAX(GS72,PortfolioFrontier[[#This Row],[P50 Growth]])</f>
        <v>1.7510275614895194</v>
      </c>
      <c r="GT73" s="27">
        <f>PortfolioFrontier[[#This Row],[P50 Growth]]/PortfolioFrontier[[#This Row],[P50 HWM]]-1</f>
        <v>-4.4679072872509606E-2</v>
      </c>
      <c r="GU73" s="28">
        <f>SUMPRODUCT(INDEX(PortfolioRef[[SPY]:[PE]],MATCH(GU$1,PortfolioRef[Reference '#]),0),AssetMonthlyReturns[[#This Row],[SPY]:[PE]])</f>
        <v>-4.5506176133549223E-3</v>
      </c>
      <c r="GV73" s="27">
        <f>IF(ISNUMBER(GV72),GV72*(1+PortfolioFrontier[[#This Row],[P51 Return]]),1+PortfolioFrontier[[#This Row],[P51 Return]])</f>
        <v>1.6543602842579908</v>
      </c>
      <c r="GW73" s="27">
        <f>MAX(GW72,PortfolioFrontier[[#This Row],[P51 Growth]])</f>
        <v>1.7182435242855478</v>
      </c>
      <c r="GX73" s="27">
        <f>PortfolioFrontier[[#This Row],[P51 Growth]]/PortfolioFrontier[[#This Row],[P51 HWM]]-1</f>
        <v>-3.717938646334773E-2</v>
      </c>
      <c r="GY73" s="28">
        <f>SUMPRODUCT(INDEX(PortfolioRef[[SPY]:[PE]],MATCH(GY$1,PortfolioRef[Reference '#]),0),AssetMonthlyReturns[[#This Row],[SPY]:[PE]])</f>
        <v>-3.2555212500998279E-3</v>
      </c>
      <c r="GZ73" s="27">
        <f>IF(ISNUMBER(GZ72),GZ72*(1+PortfolioFrontier[[#This Row],[P52 Return]]),1+PortfolioFrontier[[#This Row],[P52 Return]])</f>
        <v>1.7071824705118452</v>
      </c>
      <c r="HA73" s="27">
        <f>MAX(HA72,PortfolioFrontier[[#This Row],[P52 Growth]])</f>
        <v>1.7802031417261526</v>
      </c>
      <c r="HB73" s="27">
        <f>PortfolioFrontier[[#This Row],[P52 Growth]]/PortfolioFrontier[[#This Row],[P52 HWM]]-1</f>
        <v>-4.1018167816232354E-2</v>
      </c>
      <c r="HC73" s="28">
        <f>SUMPRODUCT(INDEX(PortfolioRef[[SPY]:[PE]],MATCH(HC$1,PortfolioRef[Reference '#]),0),AssetMonthlyReturns[[#This Row],[SPY]:[PE]])</f>
        <v>3.5046013437777402E-4</v>
      </c>
      <c r="HD73" s="27">
        <f>IF(ISNUMBER(HD72),HD72*(1+PortfolioFrontier[[#This Row],[P53 Return]]),1+PortfolioFrontier[[#This Row],[P53 Return]])</f>
        <v>1.6885908807130636</v>
      </c>
      <c r="HE73" s="27">
        <f>MAX(HE72,PortfolioFrontier[[#This Row],[P53 Growth]])</f>
        <v>1.7471238825308339</v>
      </c>
      <c r="HF73" s="27">
        <f>PortfolioFrontier[[#This Row],[P53 Growth]]/PortfolioFrontier[[#This Row],[P53 HWM]]-1</f>
        <v>-3.350249080962775E-2</v>
      </c>
      <c r="HG73" s="28">
        <f>SUMPRODUCT(INDEX(PortfolioRef[[SPY]:[PE]],MATCH(HG$1,PortfolioRef[Reference '#]),0),AssetMonthlyReturns[[#This Row],[SPY]:[PE]])</f>
        <v>3.9564415188553768E-3</v>
      </c>
      <c r="HH73" s="27">
        <f>IF(ISNUMBER(HH72),HH72*(1+PortfolioFrontier[[#This Row],[P54 Return]]),1+PortfolioFrontier[[#This Row],[P54 Return]])</f>
        <v>1.6694248438024533</v>
      </c>
      <c r="HI73" s="27">
        <f>MAX(HI72,PortfolioFrontier[[#This Row],[P54 Growth]])</f>
        <v>1.7139140104060526</v>
      </c>
      <c r="HJ73" s="27">
        <f>PortfolioFrontier[[#This Row],[P54 Growth]]/PortfolioFrontier[[#This Row],[P54 HWM]]-1</f>
        <v>-2.5957642176610229E-2</v>
      </c>
      <c r="HK73" s="28">
        <f>SUMPRODUCT(INDEX(PortfolioRef[[SPY]:[PE]],MATCH(HK$1,PortfolioRef[Reference '#]),0),AssetMonthlyReturns[[#This Row],[SPY]:[PE]])</f>
        <v>-8.0577218773254175E-3</v>
      </c>
      <c r="HL73" s="27">
        <f>IF(ISNUMBER(HL72),HL72*(1+PortfolioFrontier[[#This Row],[P55 Return]]),1+PortfolioFrontier[[#This Row],[P55 Return]])</f>
        <v>1.7128330906048865</v>
      </c>
      <c r="HM73" s="27">
        <f>MAX(HM72,PortfolioFrontier[[#This Row],[P55 Growth]])</f>
        <v>1.8002459621778737</v>
      </c>
      <c r="HN73" s="27">
        <f>PortfolioFrontier[[#This Row],[P55 Growth]]/PortfolioFrontier[[#This Row],[P55 HWM]]-1</f>
        <v>-4.8556071453279781E-2</v>
      </c>
      <c r="HO73" s="28">
        <f>SUMPRODUCT(INDEX(PortfolioRef[[SPY]:[PE]],MATCH(HO$1,PortfolioRef[Reference '#]),0),AssetMonthlyReturns[[#This Row],[SPY]:[PE]])</f>
        <v>-4.4517404928478155E-3</v>
      </c>
      <c r="HP73" s="27">
        <f>IF(ISNUMBER(HP72),HP72*(1+PortfolioFrontier[[#This Row],[P56 Return]]),1+PortfolioFrontier[[#This Row],[P56 Return]])</f>
        <v>1.6947937572993543</v>
      </c>
      <c r="HQ73" s="27">
        <f>MAX(HQ72,PortfolioFrontier[[#This Row],[P56 Growth]])</f>
        <v>1.767380839986993</v>
      </c>
      <c r="HR73" s="27">
        <f>PortfolioFrontier[[#This Row],[P56 Growth]]/PortfolioFrontier[[#This Row],[P56 HWM]]-1</f>
        <v>-4.1070425256037546E-2</v>
      </c>
      <c r="HS73" s="28">
        <f>SUMPRODUCT(INDEX(PortfolioRef[[SPY]:[PE]],MATCH(HS$1,PortfolioRef[Reference '#]),0),AssetMonthlyReturns[[#This Row],[SPY]:[PE]])</f>
        <v>-8.4575910837021359E-4</v>
      </c>
      <c r="HT73" s="27">
        <f>IF(ISNUMBER(HT72),HT72*(1+PortfolioFrontier[[#This Row],[P57 Return]]),1+PortfolioFrontier[[#This Row],[P57 Return]])</f>
        <v>1.6761601413174811</v>
      </c>
      <c r="HU73" s="27">
        <f>MAX(HU72,PortfolioFrontier[[#This Row],[P57 Growth]])</f>
        <v>1.7343575628436463</v>
      </c>
      <c r="HV73" s="27">
        <f>PortfolioFrontier[[#This Row],[P57 Growth]]/PortfolioFrontier[[#This Row],[P57 HWM]]-1</f>
        <v>-3.3555607432382506E-2</v>
      </c>
      <c r="HW73" s="28">
        <f>SUMPRODUCT(INDEX(PortfolioRef[[SPY]:[PE]],MATCH(HW$1,PortfolioRef[Reference '#]),0),AssetMonthlyReturns[[#This Row],[SPY]:[PE]])</f>
        <v>-1.2859922504551006E-2</v>
      </c>
      <c r="HX73" s="27">
        <f>IF(ISNUMBER(HX72),HX72*(1+PortfolioFrontier[[#This Row],[P58 Return]]),1+PortfolioFrontier[[#This Row],[P58 Return]])</f>
        <v>1.7175344163831607</v>
      </c>
      <c r="HY73" s="27">
        <f>MAX(HY72,PortfolioFrontier[[#This Row],[P58 Growth]])</f>
        <v>1.8195487359549802</v>
      </c>
      <c r="HZ73" s="27">
        <f>PortfolioFrontier[[#This Row],[P58 Growth]]/PortfolioFrontier[[#This Row],[P58 HWM]]-1</f>
        <v>-5.6065725284504597E-2</v>
      </c>
      <c r="IA73" s="28">
        <f>SUMPRODUCT(INDEX(PortfolioRef[[SPY]:[PE]],MATCH(IA$1,PortfolioRef[Reference '#]),0),AssetMonthlyReturns[[#This Row],[SPY]:[PE]])</f>
        <v>-9.2539411200734042E-3</v>
      </c>
      <c r="IB73" s="27">
        <f>IF(ISNUMBER(IB72),IB72*(1+PortfolioFrontier[[#This Row],[P59 Return]]),1+PortfolioFrontier[[#This Row],[P59 Return]])</f>
        <v>1.7000654615237274</v>
      </c>
      <c r="IC73" s="27">
        <f>MAX(IC72,PortfolioFrontier[[#This Row],[P59 Growth]])</f>
        <v>1.7869282396294996</v>
      </c>
      <c r="ID73" s="27">
        <f>PortfolioFrontier[[#This Row],[P59 Growth]]/PortfolioFrontier[[#This Row],[P59 HWM]]-1</f>
        <v>-4.8610109896624842E-2</v>
      </c>
      <c r="IE73" s="28">
        <f>SUMPRODUCT(INDEX(PortfolioRef[[SPY]:[PE]],MATCH(IE$1,PortfolioRef[Reference '#]),0),AssetMonthlyReturns[[#This Row],[SPY]:[PE]])</f>
        <v>-5.6479597355958006E-3</v>
      </c>
      <c r="IF73" s="27">
        <f>IF(ISNUMBER(IF72),IF72*(1+PortfolioFrontier[[#This Row],[P60 Return]]),1+PortfolioFrontier[[#This Row],[P60 Return]])</f>
        <v>1.6819827518641688</v>
      </c>
      <c r="IG73" s="27">
        <f>MAX(IG72,PortfolioFrontier[[#This Row],[P60 Growth]])</f>
        <v>1.7541215677111524</v>
      </c>
      <c r="IH73" s="27">
        <f>PortfolioFrontier[[#This Row],[P60 Growth]]/PortfolioFrontier[[#This Row],[P60 HWM]]-1</f>
        <v>-4.112532288233206E-2</v>
      </c>
      <c r="II73" s="28">
        <f>SUMPRODUCT(INDEX(PortfolioRef[[SPY]:[PE]],MATCH(II$1,PortfolioRef[Reference '#]),0),AssetMonthlyReturns[[#This Row],[SPY]:[PE]])</f>
        <v>-7.6387036177088634E-3</v>
      </c>
      <c r="IJ73" s="27">
        <f>IF(ISNUMBER(IJ72),IJ72*(1+PortfolioFrontier[[#This Row],[P61 Return]]),1+PortfolioFrontier[[#This Row],[P61 Return]])</f>
        <v>1.5508993060666991</v>
      </c>
      <c r="IK73" s="27">
        <f>MAX(IK72,PortfolioFrontier[[#This Row],[P61 Growth]])</f>
        <v>1.6121264956964798</v>
      </c>
      <c r="IL73" s="27">
        <f>PortfolioFrontier[[#This Row],[P61 Growth]]/PortfolioFrontier[[#This Row],[P61 HWM]]-1</f>
        <v>-3.7979147289759707E-2</v>
      </c>
      <c r="IM73" s="28">
        <f>SUMPRODUCT(INDEX(PortfolioRef[[SPY]:[PE]],MATCH(IM$1,PortfolioRef[Reference '#]),0),AssetMonthlyReturns[[#This Row],[SPY]:[PE]])</f>
        <v>-3.9338451127241547E-3</v>
      </c>
      <c r="IN73" s="27">
        <f>IF(ISNUMBER(IN72),IN72*(1+PortfolioFrontier[[#This Row],[P62 Return]]),1+PortfolioFrontier[[#This Row],[P62 Return]])</f>
        <v>1.5713708945121929</v>
      </c>
      <c r="IO73" s="27">
        <f>MAX(IO72,PortfolioFrontier[[#This Row],[P62 Growth]])</f>
        <v>1.6272630311124299</v>
      </c>
      <c r="IP73" s="27">
        <f>PortfolioFrontier[[#This Row],[P62 Growth]]/PortfolioFrontier[[#This Row],[P62 HWM]]-1</f>
        <v>-3.4347327710153919E-2</v>
      </c>
      <c r="IQ73" s="28">
        <f>SUMPRODUCT(INDEX(PortfolioRef[[SPY]:[PE]],MATCH(IQ$1,PortfolioRef[Reference '#]),0),AssetMonthlyReturns[[#This Row],[SPY]:[PE]])</f>
        <v>-8.7360457399497434E-3</v>
      </c>
      <c r="IR73" s="27">
        <f>IF(ISNUMBER(IR72),IR72*(1+PortfolioFrontier[[#This Row],[P63 Return]]),1+PortfolioFrontier[[#This Row],[P63 Return]])</f>
        <v>1.5778498918913386</v>
      </c>
      <c r="IS73" s="27">
        <f>MAX(IS72,PortfolioFrontier[[#This Row],[P63 Growth]])</f>
        <v>1.646884909102555</v>
      </c>
      <c r="IT73" s="27">
        <f>PortfolioFrontier[[#This Row],[P63 Growth]]/PortfolioFrontier[[#This Row],[P63 HWM]]-1</f>
        <v>-4.191854380937643E-2</v>
      </c>
      <c r="IU73" s="28">
        <f>SUMPRODUCT(INDEX(PortfolioRef[[SPY]:[PE]],MATCH(IU$1,PortfolioRef[Reference '#]),0),AssetMonthlyReturns[[#This Row],[SPY]:[PE]])</f>
        <v>-5.1300643554721415E-3</v>
      </c>
      <c r="IV73" s="27">
        <f>IF(ISNUMBER(IV72),IV72*(1+PortfolioFrontier[[#This Row],[P64 Return]]),1+PortfolioFrontier[[#This Row],[P64 Return]])</f>
        <v>1.5596024724073045</v>
      </c>
      <c r="IW73" s="27">
        <f>MAX(IW72,PortfolioFrontier[[#This Row],[P64 Growth]])</f>
        <v>1.6151793879801097</v>
      </c>
      <c r="IX73" s="27">
        <f>PortfolioFrontier[[#This Row],[P64 Growth]]/PortfolioFrontier[[#This Row],[P64 HWM]]-1</f>
        <v>-3.4409128785569676E-2</v>
      </c>
      <c r="IY73" s="28">
        <f>SUMPRODUCT(INDEX(PortfolioRef[[SPY]:[PE]],MATCH(IY$1,PortfolioRef[Reference '#]),0),AssetMonthlyReturns[[#This Row],[SPY]:[PE]])</f>
        <v>-2.2898660773944431E-4</v>
      </c>
      <c r="IZ73" s="27">
        <f>IF(ISNUMBER(IZ72),IZ72*(1+PortfolioFrontier[[#This Row],[P65 Return]]),1+PortfolioFrontier[[#This Row],[P65 Return]])</f>
        <v>1.591774115701408</v>
      </c>
      <c r="JA73" s="27">
        <f>MAX(JA72,PortfolioFrontier[[#This Row],[P65 Growth]])</f>
        <v>1.6422150953060746</v>
      </c>
      <c r="JB73" s="27">
        <f>PortfolioFrontier[[#This Row],[P65 Growth]]/PortfolioFrontier[[#This Row],[P65 HWM]]-1</f>
        <v>-3.0715208835213725E-2</v>
      </c>
      <c r="JC73" s="28">
        <f>SUMPRODUCT(INDEX(PortfolioRef[[SPY]:[PE]],MATCH(JC$1,PortfolioRef[Reference '#]),0),AssetMonthlyReturns[[#This Row],[SPY]:[PE]])</f>
        <v>-5.0311872349650347E-3</v>
      </c>
      <c r="JD73" s="27">
        <f>IF(ISNUMBER(JD72),JD72*(1+PortfolioFrontier[[#This Row],[P66 Return]]),1+PortfolioFrontier[[#This Row],[P66 Return]])</f>
        <v>1.5986455283998762</v>
      </c>
      <c r="JE73" s="27">
        <f>MAX(JE72,PortfolioFrontier[[#This Row],[P66 Growth]])</f>
        <v>1.6623077877531292</v>
      </c>
      <c r="JF73" s="27">
        <f>PortfolioFrontier[[#This Row],[P66 Growth]]/PortfolioFrontier[[#This Row],[P66 HWM]]-1</f>
        <v>-3.8297516153312672E-2</v>
      </c>
      <c r="JG73" s="28">
        <f>SUMPRODUCT(INDEX(PortfolioRef[[SPY]:[PE]],MATCH(JG$1,PortfolioRef[Reference '#]),0),AssetMonthlyReturns[[#This Row],[SPY]:[PE]])</f>
        <v>-1.4252058504874328E-3</v>
      </c>
      <c r="JH73" s="27">
        <f>IF(ISNUMBER(JH72),JH72*(1+PortfolioFrontier[[#This Row],[P67 Return]]),1+PortfolioFrontier[[#This Row],[P67 Return]])</f>
        <v>1.5801974654464797</v>
      </c>
      <c r="JI73" s="27">
        <f>MAX(JI72,PortfolioFrontier[[#This Row],[P67 Growth]])</f>
        <v>1.6303687537292939</v>
      </c>
      <c r="JJ73" s="27">
        <f>PortfolioFrontier[[#This Row],[P67 Growth]]/PortfolioFrontier[[#This Row],[P67 HWM]]-1</f>
        <v>-3.0772969715012533E-2</v>
      </c>
      <c r="JK73" s="28">
        <f>SUMPRODUCT(INDEX(PortfolioRef[[SPY]:[PE]],MATCH(JK$1,PortfolioRef[Reference '#]),0),AssetMonthlyReturns[[#This Row],[SPY]:[PE]])</f>
        <v>-9.8333878621906217E-3</v>
      </c>
      <c r="JL73" s="27">
        <f>IF(ISNUMBER(JL72),JL72*(1+PortfolioFrontier[[#This Row],[P68 Return]]),1+PortfolioFrontier[[#This Row],[P68 Return]])</f>
        <v>1.6046508083947391</v>
      </c>
      <c r="JM73" s="27">
        <f>MAX(JM72,PortfolioFrontier[[#This Row],[P68 Growth]])</f>
        <v>1.6817622542850994</v>
      </c>
      <c r="JN73" s="27">
        <f>PortfolioFrontier[[#This Row],[P68 Growth]]/PortfolioFrontier[[#This Row],[P68 HWM]]-1</f>
        <v>-4.5851573665589007E-2</v>
      </c>
      <c r="JO73" s="28">
        <f>SUMPRODUCT(INDEX(PortfolioRef[[SPY]:[PE]],MATCH(JO$1,PortfolioRef[Reference '#]),0),AssetMonthlyReturns[[#This Row],[SPY]:[PE]])</f>
        <v>-6.2274064777130215E-3</v>
      </c>
      <c r="JP73" s="27">
        <f>IF(ISNUMBER(JP72),JP72*(1+PortfolioFrontier[[#This Row],[P69 Return]]),1+PortfolioFrontier[[#This Row],[P69 Return]])</f>
        <v>1.5867024020722653</v>
      </c>
      <c r="JQ73" s="27">
        <f>MAX(JQ72,PortfolioFrontier[[#This Row],[P69 Growth]])</f>
        <v>1.6499912107010917</v>
      </c>
      <c r="JR73" s="27">
        <f>PortfolioFrontier[[#This Row],[P69 Growth]]/PortfolioFrontier[[#This Row],[P69 HWM]]-1</f>
        <v>-3.8357058036651348E-2</v>
      </c>
      <c r="JS73" s="28">
        <f>SUMPRODUCT(INDEX(PortfolioRef[[SPY]:[PE]],MATCH(JS$1,PortfolioRef[Reference '#]),0),AssetMonthlyReturns[[#This Row],[SPY]:[PE]])</f>
        <v>-2.6214250932354178E-3</v>
      </c>
      <c r="JT73" s="27">
        <f>IF(ISNUMBER(JT72),JT72*(1+PortfolioFrontier[[#This Row],[P70 Return]]),1+PortfolioFrontier[[#This Row],[P70 Return]])</f>
        <v>1.5682258629327852</v>
      </c>
      <c r="JU73" s="27">
        <f>MAX(JU72,PortfolioFrontier[[#This Row],[P70 Growth]])</f>
        <v>1.6181178918603722</v>
      </c>
      <c r="JV73" s="27">
        <f>PortfolioFrontier[[#This Row],[P70 Growth]]/PortfolioFrontier[[#This Row],[P70 HWM]]-1</f>
        <v>-3.083337078130044E-2</v>
      </c>
      <c r="JW73" s="28">
        <f>SUMPRODUCT(INDEX(PortfolioRef[[SPY]:[PE]],MATCH(JW$1,PortfolioRef[Reference '#]),0),AssetMonthlyReturns[[#This Row],[SPY]:[PE]])</f>
        <v>-1.3263287299803235E-3</v>
      </c>
      <c r="JX73" s="27">
        <f>IF(ISNUMBER(JX72),JX72*(1+PortfolioFrontier[[#This Row],[P71 Return]]),1+PortfolioFrontier[[#This Row],[P71 Return]])</f>
        <v>1.6193713153347753</v>
      </c>
      <c r="JY73" s="27">
        <f>MAX(JY72,PortfolioFrontier[[#This Row],[P71 Growth]])</f>
        <v>1.6775420819631024</v>
      </c>
      <c r="JZ73" s="27">
        <f>PortfolioFrontier[[#This Row],[P71 Growth]]/PortfolioFrontier[[#This Row],[P71 HWM]]-1</f>
        <v>-3.4676189201915064E-2</v>
      </c>
      <c r="KA73" s="28">
        <f>SUMPRODUCT(INDEX(PortfolioRef[[SPY]:[PE]],MATCH(KA$1,PortfolioRef[Reference '#]),0),AssetMonthlyReturns[[#This Row],[SPY]:[PE]])</f>
        <v>2.2796526544972781E-3</v>
      </c>
      <c r="KB73" s="27">
        <f>IF(ISNUMBER(KB72),KB72*(1+PortfolioFrontier[[#This Row],[P72 Return]]),1+PortfolioFrontier[[#This Row],[P72 Return]])</f>
        <v>1.6007241872375326</v>
      </c>
      <c r="KC73" s="27">
        <f>MAX(KC72,PortfolioFrontier[[#This Row],[P72 Growth]])</f>
        <v>1.6453738946019467</v>
      </c>
      <c r="KD73" s="27">
        <f>PortfolioFrontier[[#This Row],[P72 Growth]]/PortfolioFrontier[[#This Row],[P72 HWM]]-1</f>
        <v>-2.7136511349121539E-2</v>
      </c>
      <c r="KE73" s="28">
        <f>SUMPRODUCT(INDEX(PortfolioRef[[SPY]:[PE]],MATCH(KE$1,PortfolioRef[Reference '#]),0),AssetMonthlyReturns[[#This Row],[SPY]:[PE]])</f>
        <v>-6.128529357205913E-3</v>
      </c>
      <c r="KF73" s="27">
        <f>IF(ISNUMBER(KF72),KF72*(1+PortfolioFrontier[[#This Row],[P73 Return]]),1+PortfolioFrontier[[#This Row],[P73 Return]])</f>
        <v>1.6257677725638282</v>
      </c>
      <c r="KG73" s="27">
        <f>MAX(KG72,PortfolioFrontier[[#This Row],[P73 Growth]])</f>
        <v>1.6974712283523181</v>
      </c>
      <c r="KH73" s="27">
        <f>PortfolioFrontier[[#This Row],[P73 Growth]]/PortfolioFrontier[[#This Row],[P73 HWM]]-1</f>
        <v>-4.2241337933067724E-2</v>
      </c>
      <c r="KI73" s="28">
        <f>SUMPRODUCT(INDEX(PortfolioRef[[SPY]:[PE]],MATCH(KI$1,PortfolioRef[Reference '#]),0),AssetMonthlyReturns[[#This Row],[SPY]:[PE]])</f>
        <v>-2.5225479727283128E-3</v>
      </c>
      <c r="KJ73" s="27">
        <f>IF(ISNUMBER(KJ72),KJ72*(1+PortfolioFrontier[[#This Row],[P74 Return]]),1+PortfolioFrontier[[#This Row],[P74 Return]])</f>
        <v>1.6076233760413432</v>
      </c>
      <c r="KK73" s="27">
        <f>MAX(KK72,PortfolioFrontier[[#This Row],[P74 Growth]])</f>
        <v>1.6654678920548054</v>
      </c>
      <c r="KL73" s="27">
        <f>PortfolioFrontier[[#This Row],[P74 Growth]]/PortfolioFrontier[[#This Row],[P74 HWM]]-1</f>
        <v>-3.4731690889636568E-2</v>
      </c>
      <c r="KM73" s="28">
        <f>SUMPRODUCT(INDEX(PortfolioRef[[SPY]:[PE]],MATCH(KM$1,PortfolioRef[Reference '#]),0),AssetMonthlyReturns[[#This Row],[SPY]:[PE]])</f>
        <v>1.0834334117492909E-3</v>
      </c>
      <c r="KN73" s="27">
        <f>IF(ISNUMBER(KN72),KN72*(1+PortfolioFrontier[[#This Row],[P75 Return]]),1+PortfolioFrontier[[#This Row],[P75 Return]])</f>
        <v>1.5889434084053735</v>
      </c>
      <c r="KO73" s="27">
        <f>MAX(KO72,PortfolioFrontier[[#This Row],[P75 Growth]])</f>
        <v>1.6333591346427441</v>
      </c>
      <c r="KP73" s="27">
        <f>PortfolioFrontier[[#This Row],[P75 Growth]]/PortfolioFrontier[[#This Row],[P75 HWM]]-1</f>
        <v>-2.7192872219792275E-2</v>
      </c>
      <c r="KQ73" s="28">
        <f>SUMPRODUCT(INDEX(PortfolioRef[[SPY]:[PE]],MATCH(KQ$1,PortfolioRef[Reference '#]),0),AssetMonthlyReturns[[#This Row],[SPY]:[PE]])</f>
        <v>-1.0930729984431502E-2</v>
      </c>
      <c r="KR73" s="27">
        <f>IF(ISNUMBER(KR72),KR72*(1+PortfolioFrontier[[#This Row],[P76 Return]]),1+PortfolioFrontier[[#This Row],[P76 Return]])</f>
        <v>1.6312755445078406</v>
      </c>
      <c r="KS73" s="27">
        <f>MAX(KS72,PortfolioFrontier[[#This Row],[P76 Growth]])</f>
        <v>1.7167314071133803</v>
      </c>
      <c r="KT73" s="27">
        <f>PortfolioFrontier[[#This Row],[P76 Growth]]/PortfolioFrontier[[#This Row],[P76 HWM]]-1</f>
        <v>-4.977823685839744E-2</v>
      </c>
      <c r="KU73" s="28">
        <f>SUMPRODUCT(INDEX(PortfolioRef[[SPY]:[PE]],MATCH(KU$1,PortfolioRef[Reference '#]),0),AssetMonthlyReturns[[#This Row],[SPY]:[PE]])</f>
        <v>-7.3247485999538998E-3</v>
      </c>
      <c r="KV73" s="27">
        <f>IF(ISNUMBER(KV72),KV72*(1+PortfolioFrontier[[#This Row],[P77 Return]]),1+PortfolioFrontier[[#This Row],[P77 Return]])</f>
        <v>1.6136519078114258</v>
      </c>
      <c r="KW73" s="27">
        <f>MAX(KW72,PortfolioFrontier[[#This Row],[P77 Growth]])</f>
        <v>1.6849217747429484</v>
      </c>
      <c r="KX73" s="27">
        <f>PortfolioFrontier[[#This Row],[P77 Growth]]/PortfolioFrontier[[#This Row],[P77 HWM]]-1</f>
        <v>-4.2298620624328653E-2</v>
      </c>
      <c r="KY73" s="28">
        <f>SUMPRODUCT(INDEX(PortfolioRef[[SPY]:[PE]],MATCH(KY$1,PortfolioRef[Reference '#]),0),AssetMonthlyReturns[[#This Row],[SPY]:[PE]])</f>
        <v>-3.7187672154762978E-3</v>
      </c>
      <c r="KZ73" s="27">
        <f>IF(ISNUMBER(KZ72),KZ72*(1+PortfolioFrontier[[#This Row],[P78 Return]]),1+PortfolioFrontier[[#This Row],[P78 Return]])</f>
        <v>1.5954736549018707</v>
      </c>
      <c r="LA73" s="27">
        <f>MAX(LA72,PortfolioFrontier[[#This Row],[P78 Growth]])</f>
        <v>1.6529805725839544</v>
      </c>
      <c r="LB73" s="27">
        <f>PortfolioFrontier[[#This Row],[P78 Growth]]/PortfolioFrontier[[#This Row],[P78 HWM]]-1</f>
        <v>-3.4789832763846951E-2</v>
      </c>
      <c r="LC73" s="28">
        <f>SUMPRODUCT(INDEX(PortfolioRef[[SPY]:[PE]],MATCH(LC$1,PortfolioRef[Reference '#]),0),AssetMonthlyReturns[[#This Row],[SPY]:[PE]])</f>
        <v>-2.4236708522212035E-3</v>
      </c>
      <c r="LD73" s="27">
        <f>IF(ISNUMBER(LD72),LD72*(1+PortfolioFrontier[[#This Row],[P79 Return]]),1+PortfolioFrontier[[#This Row],[P79 Return]])</f>
        <v>1.6468134041299232</v>
      </c>
      <c r="LE73" s="27">
        <f>MAX(LE72,PortfolioFrontier[[#This Row],[P79 Growth]])</f>
        <v>1.7129874860839263</v>
      </c>
      <c r="LF73" s="27">
        <f>PortfolioFrontier[[#This Row],[P79 Growth]]/PortfolioFrontier[[#This Row],[P79 HWM]]-1</f>
        <v>-3.8630802905212258E-2</v>
      </c>
      <c r="LG73" s="28">
        <f>SUMPRODUCT(INDEX(PortfolioRef[[SPY]:[PE]],MATCH(LG$1,PortfolioRef[Reference '#]),0),AssetMonthlyReturns[[#This Row],[SPY]:[PE]])</f>
        <v>1.1823105322563985E-3</v>
      </c>
      <c r="LH73" s="27">
        <f>IF(ISNUMBER(LH72),LH72*(1+PortfolioFrontier[[#This Row],[P80 Return]]),1+PortfolioFrontier[[#This Row],[P80 Return]])</f>
        <v>1.6284745958029083</v>
      </c>
      <c r="LI73" s="27">
        <f>MAX(LI72,PortfolioFrontier[[#This Row],[P80 Growth]])</f>
        <v>1.6807562405101484</v>
      </c>
      <c r="LJ73" s="27">
        <f>PortfolioFrontier[[#This Row],[P80 Growth]]/PortfolioFrontier[[#This Row],[P80 HWM]]-1</f>
        <v>-3.1106024447287717E-2</v>
      </c>
      <c r="LK73" s="28">
        <f>SUMPRODUCT(INDEX(PortfolioRef[[SPY]:[PE]],MATCH(LK$1,PortfolioRef[Reference '#]),0),AssetMonthlyReturns[[#This Row],[SPY]:[PE]])</f>
        <v>4.7882919167340013E-3</v>
      </c>
      <c r="LL73" s="27">
        <f>IF(ISNUMBER(LL72),LL72*(1+PortfolioFrontier[[#This Row],[P81 Return]]),1+PortfolioFrontier[[#This Row],[P81 Return]])</f>
        <v>1.6095927875395555</v>
      </c>
      <c r="LM73" s="27">
        <f>MAX(LM72,PortfolioFrontier[[#This Row],[P81 Growth]])</f>
        <v>1.648416413491208</v>
      </c>
      <c r="LN73" s="27">
        <f>PortfolioFrontier[[#This Row],[P81 Growth]]/PortfolioFrontier[[#This Row],[P81 HWM]]-1</f>
        <v>-2.3552074362950148E-2</v>
      </c>
      <c r="LO73" s="28">
        <f>SUMPRODUCT(INDEX(PortfolioRef[[SPY]:[PE]],MATCH(LO$1,PortfolioRef[Reference '#]),0),AssetMonthlyReturns[[#This Row],[SPY]:[PE]])</f>
        <v>-7.2258714794467931E-3</v>
      </c>
      <c r="LP73" s="27">
        <f>IF(ISNUMBER(LP72),LP72*(1+PortfolioFrontier[[#This Row],[P82 Return]]),1+PortfolioFrontier[[#This Row],[P82 Return]])</f>
        <v>1.6527107930354052</v>
      </c>
      <c r="LQ73" s="27">
        <f>MAX(LQ72,PortfolioFrontier[[#This Row],[P82 Growth]])</f>
        <v>1.7327259878391794</v>
      </c>
      <c r="LR73" s="27">
        <f>PortfolioFrontier[[#This Row],[P82 Growth]]/PortfolioFrontier[[#This Row],[P82 HWM]]-1</f>
        <v>-4.6178793049418188E-2</v>
      </c>
      <c r="LS73" s="28">
        <f>SUMPRODUCT(INDEX(PortfolioRef[[SPY]:[PE]],MATCH(LS$1,PortfolioRef[Reference '#]),0),AssetMonthlyReturns[[#This Row],[SPY]:[PE]])</f>
        <v>-3.6198900949691911E-3</v>
      </c>
      <c r="LT73" s="27">
        <f>IF(ISNUMBER(LT72),LT72*(1+PortfolioFrontier[[#This Row],[P83 Return]]),1+PortfolioFrontier[[#This Row],[P83 Return]])</f>
        <v>1.6348961277701592</v>
      </c>
      <c r="LU73" s="27">
        <f>MAX(LU72,PortfolioFrontier[[#This Row],[P83 Growth]])</f>
        <v>1.7006855237848306</v>
      </c>
      <c r="LV73" s="27">
        <f>PortfolioFrontier[[#This Row],[P83 Growth]]/PortfolioFrontier[[#This Row],[P83 HWM]]-1</f>
        <v>-3.8684045400856237E-2</v>
      </c>
      <c r="LW73" s="28">
        <f>SUMPRODUCT(INDEX(PortfolioRef[[SPY]:[PE]],MATCH(LW$1,PortfolioRef[Reference '#]),0),AssetMonthlyReturns[[#This Row],[SPY]:[PE]])</f>
        <v>-1.3908710491588282E-5</v>
      </c>
      <c r="LX73" s="27">
        <f>IF(ISNUMBER(LX72),LX72*(1+PortfolioFrontier[[#This Row],[P84 Return]]),1+PortfolioFrontier[[#This Row],[P84 Return]])</f>
        <v>1.6165190993672891</v>
      </c>
      <c r="LY73" s="27">
        <f>MAX(LY72,PortfolioFrontier[[#This Row],[P84 Growth]])</f>
        <v>1.6685100840279028</v>
      </c>
      <c r="LZ73" s="27">
        <f>PortfolioFrontier[[#This Row],[P84 Growth]]/PortfolioFrontier[[#This Row],[P84 HWM]]-1</f>
        <v>-3.1160126125880927E-2</v>
      </c>
      <c r="MA73" s="28">
        <f>SUMPRODUCT(INDEX(PortfolioRef[[SPY]:[PE]],MATCH(MA$1,PortfolioRef[Reference '#]),0),AssetMonthlyReturns[[#This Row],[SPY]:[PE]])</f>
        <v>-1.2028072106672382E-2</v>
      </c>
      <c r="MB73" s="27">
        <f>IF(ISNUMBER(MB72),MB72*(1+PortfolioFrontier[[#This Row],[P85 Return]]),1+PortfolioFrontier[[#This Row],[P85 Return]])</f>
        <v>1.657697026901831</v>
      </c>
      <c r="MC73" s="27">
        <f>MAX(MC72,PortfolioFrontier[[#This Row],[P85 Growth]])</f>
        <v>1.7517641950154219</v>
      </c>
      <c r="MD73" s="27">
        <f>PortfolioFrontier[[#This Row],[P85 Growth]]/PortfolioFrontier[[#This Row],[P85 HWM]]-1</f>
        <v>-5.3698533387801506E-2</v>
      </c>
      <c r="ME73" s="28">
        <f>SUMPRODUCT(INDEX(PortfolioRef[[SPY]:[PE]],MATCH(ME$1,PortfolioRef[Reference '#]),0),AssetMonthlyReturns[[#This Row],[SPY]:[PE]])</f>
        <v>-8.4220907221947798E-3</v>
      </c>
      <c r="MF73" s="27">
        <f>IF(ISNUMBER(MF72),MF72*(1+PortfolioFrontier[[#This Row],[P86 Return]]),1+PortfolioFrontier[[#This Row],[P86 Return]])</f>
        <v>1.640424343996171</v>
      </c>
      <c r="MG73" s="27">
        <f>MAX(MG72,PortfolioFrontier[[#This Row],[P86 Growth]])</f>
        <v>1.7199439154573082</v>
      </c>
      <c r="MH73" s="27">
        <f>PortfolioFrontier[[#This Row],[P86 Growth]]/PortfolioFrontier[[#This Row],[P86 HWM]]-1</f>
        <v>-4.6233816548601925E-2</v>
      </c>
      <c r="MI73" s="28">
        <f>SUMPRODUCT(INDEX(PortfolioRef[[SPY]:[PE]],MATCH(MI$1,PortfolioRef[Reference '#]),0),AssetMonthlyReturns[[#This Row],[SPY]:[PE]])</f>
        <v>-4.8161093377171761E-3</v>
      </c>
      <c r="MJ73" s="27">
        <f>IF(ISNUMBER(MJ72),MJ72*(1+PortfolioFrontier[[#This Row],[P87 Return]]),1+PortfolioFrontier[[#This Row],[P87 Return]])</f>
        <v>1.622570269065529</v>
      </c>
      <c r="MK73" s="27">
        <f>MAX(MK72,PortfolioFrontier[[#This Row],[P87 Growth]])</f>
        <v>1.6879617873128629</v>
      </c>
      <c r="ML73" s="27">
        <f>PortfolioFrontier[[#This Row],[P87 Growth]]/PortfolioFrontier[[#This Row],[P87 HWM]]-1</f>
        <v>-3.8739928082988984E-2</v>
      </c>
      <c r="MM73" s="28">
        <f>SUMPRODUCT(INDEX(PortfolioRef[[SPY]:[PE]],MATCH(MM$1,PortfolioRef[Reference '#]),0),AssetMonthlyReturns[[#This Row],[SPY]:[PE]])</f>
        <v>-3.5210129744620827E-3</v>
      </c>
      <c r="MN73" s="27">
        <f>IF(ISNUMBER(MN72),MN72*(1+PortfolioFrontier[[#This Row],[P88 Return]]),1+PortfolioFrontier[[#This Row],[P88 Return]])</f>
        <v>1.6740732266261591</v>
      </c>
      <c r="MO73" s="27">
        <f>MAX(MO72,PortfolioFrontier[[#This Row],[P88 Growth]])</f>
        <v>1.7485237047822844</v>
      </c>
      <c r="MP73" s="27">
        <f>PortfolioFrontier[[#This Row],[P88 Growth]]/PortfolioFrontier[[#This Row],[P88 HWM]]-1</f>
        <v>-4.2579049945105196E-2</v>
      </c>
      <c r="MQ73" s="28">
        <f>SUMPRODUCT(INDEX(PortfolioRef[[SPY]:[PE]],MATCH(MQ$1,PortfolioRef[Reference '#]),0),AssetMonthlyReturns[[#This Row],[SPY]:[PE]])</f>
        <v>8.4968410015518435E-5</v>
      </c>
      <c r="MR73" s="27">
        <f>IF(ISNUMBER(MR72),MR72*(1+PortfolioFrontier[[#This Row],[P89 Return]]),1+PortfolioFrontier[[#This Row],[P89 Return]])</f>
        <v>1.6560691097892353</v>
      </c>
      <c r="MS73" s="27">
        <f>MAX(MS72,PortfolioFrontier[[#This Row],[P89 Growth]])</f>
        <v>1.7162568132506029</v>
      </c>
      <c r="MT73" s="27">
        <f>PortfolioFrontier[[#This Row],[P89 Growth]]/PortfolioFrontier[[#This Row],[P89 HWM]]-1</f>
        <v>-3.5069170882049749E-2</v>
      </c>
      <c r="MU73" s="28">
        <f>SUMPRODUCT(INDEX(PortfolioRef[[SPY]:[PE]],MATCH(MU$1,PortfolioRef[Reference '#]),0),AssetMonthlyReturns[[#This Row],[SPY]:[PE]])</f>
        <v>3.6909497944931221E-3</v>
      </c>
      <c r="MV73" s="27">
        <f>IF(ISNUMBER(MV72),MV72*(1+PortfolioFrontier[[#This Row],[P90 Return]]),1+PortfolioFrontier[[#This Row],[P90 Return]])</f>
        <v>1.6374948940467373</v>
      </c>
      <c r="MW73" s="27">
        <f>MAX(MW72,PortfolioFrontier[[#This Row],[P90 Growth]])</f>
        <v>1.6838515290273213</v>
      </c>
      <c r="MX73" s="27">
        <f>PortfolioFrontier[[#This Row],[P90 Growth]]/PortfolioFrontier[[#This Row],[P90 HWM]]-1</f>
        <v>-2.7530120192581276E-2</v>
      </c>
      <c r="MY73" s="28">
        <f>SUMPRODUCT(INDEX(PortfolioRef[[SPY]:[PE]],MATCH(MY$1,PortfolioRef[Reference '#]),0),AssetMonthlyReturns[[#This Row],[SPY]:[PE]])</f>
        <v>-8.3232136016876731E-3</v>
      </c>
      <c r="MZ73" s="27">
        <f>IF(ISNUMBER(MZ72),MZ72*(1+PortfolioFrontier[[#This Row],[P91 Return]]),1+PortfolioFrontier[[#This Row],[P91 Return]])</f>
        <v>1.6794471882670869</v>
      </c>
      <c r="NA73" s="27">
        <f>MAX(NA72,PortfolioFrontier[[#This Row],[P91 Growth]])</f>
        <v>1.7680436458517257</v>
      </c>
      <c r="NB73" s="27">
        <f>PortfolioFrontier[[#This Row],[P91 Growth]]/PortfolioFrontier[[#This Row],[P91 HWM]]-1</f>
        <v>-5.0109881502364617E-2</v>
      </c>
      <c r="NC73" s="28">
        <f>SUMPRODUCT(INDEX(PortfolioRef[[SPY]:[PE]],MATCH(NC$1,PortfolioRef[Reference '#]),0),AssetMonthlyReturns[[#This Row],[SPY]:[PE]])</f>
        <v>-4.7172322172100711E-3</v>
      </c>
      <c r="ND73" s="27">
        <f>IF(ISNUMBER(ND72),ND72*(1+PortfolioFrontier[[#This Row],[P92 Return]]),1+PortfolioFrontier[[#This Row],[P92 Return]])</f>
        <v>1.6619887503734507</v>
      </c>
      <c r="NE73" s="27">
        <f>MAX(NE72,PortfolioFrontier[[#This Row],[P92 Growth]])</f>
        <v>1.73599424265744</v>
      </c>
      <c r="NF73" s="27">
        <f>PortfolioFrontier[[#This Row],[P92 Growth]]/PortfolioFrontier[[#This Row],[P92 HWM]]-1</f>
        <v>-4.263003324867165E-2</v>
      </c>
      <c r="NG73" s="28">
        <f>SUMPRODUCT(INDEX(PortfolioRef[[SPY]:[PE]],MATCH(NG$1,PortfolioRef[Reference '#]),0),AssetMonthlyReturns[[#This Row],[SPY]:[PE]])</f>
        <v>-1.1112508327324674E-3</v>
      </c>
      <c r="NH73" s="27">
        <f>IF(ISNUMBER(NH72),NH72*(1+PortfolioFrontier[[#This Row],[P93 Return]]),1+PortfolioFrontier[[#This Row],[P93 Return]])</f>
        <v>1.6439408630873917</v>
      </c>
      <c r="NI73" s="27">
        <f>MAX(NI72,PortfolioFrontier[[#This Row],[P93 Growth]])</f>
        <v>1.7037793193389816</v>
      </c>
      <c r="NJ73" s="27">
        <f>PortfolioFrontier[[#This Row],[P93 Growth]]/PortfolioFrontier[[#This Row],[P93 HWM]]-1</f>
        <v>-3.5121013368565546E-2</v>
      </c>
      <c r="NK73" s="28">
        <f>SUMPRODUCT(INDEX(PortfolioRef[[SPY]:[PE]],MATCH(NK$1,PortfolioRef[Reference '#]),0),AssetMonthlyReturns[[#This Row],[SPY]:[PE]])</f>
        <v>-1.312541422891326E-2</v>
      </c>
      <c r="NL73" s="27">
        <f>IF(ISNUMBER(NL72),NL72*(1+PortfolioFrontier[[#This Row],[P94 Return]]),1+PortfolioFrontier[[#This Row],[P94 Return]])</f>
        <v>1.6838876390840485</v>
      </c>
      <c r="NM73" s="27">
        <f>MAX(NM72,PortfolioFrontier[[#This Row],[P94 Growth]])</f>
        <v>1.7868313973018393</v>
      </c>
      <c r="NN73" s="27">
        <f>PortfolioFrontier[[#This Row],[P94 Growth]]/PortfolioFrontier[[#This Row],[P94 HWM]]-1</f>
        <v>-5.7612463253801427E-2</v>
      </c>
      <c r="NO73" s="28">
        <f>SUMPRODUCT(INDEX(PortfolioRef[[SPY]:[PE]],MATCH(NO$1,PortfolioRef[Reference '#]),0),AssetMonthlyReturns[[#This Row],[SPY]:[PE]])</f>
        <v>-9.5194328444356598E-3</v>
      </c>
      <c r="NP73" s="27">
        <f>IF(ISNUMBER(NP72),NP72*(1+PortfolioFrontier[[#This Row],[P95 Return]]),1+PortfolioFrontier[[#This Row],[P95 Return]])</f>
        <v>1.6669925003782906</v>
      </c>
      <c r="NQ73" s="27">
        <f>MAX(NQ72,PortfolioFrontier[[#This Row],[P95 Growth]])</f>
        <v>1.7550294195356591</v>
      </c>
      <c r="NR73" s="27">
        <f>PortfolioFrontier[[#This Row],[P95 Growth]]/PortfolioFrontier[[#This Row],[P95 HWM]]-1</f>
        <v>-5.0162645809470829E-2</v>
      </c>
      <c r="NS73" s="28">
        <f>SUMPRODUCT(INDEX(PortfolioRef[[SPY]:[PE]],MATCH(NS$1,PortfolioRef[Reference '#]),0),AssetMonthlyReturns[[#This Row],[SPY]:[PE]])</f>
        <v>-5.9134514599580561E-3</v>
      </c>
      <c r="NT73" s="27">
        <f>IF(ISNUMBER(NT72),NT72*(1+PortfolioFrontier[[#This Row],[P96 Return]]),1+PortfolioFrontier[[#This Row],[P96 Return]])</f>
        <v>1.6494889264389778</v>
      </c>
      <c r="NU73" s="27">
        <f>MAX(NU72,PortfolioFrontier[[#This Row],[P96 Growth]])</f>
        <v>1.7230343324336159</v>
      </c>
      <c r="NV73" s="27">
        <f>PortfolioFrontier[[#This Row],[P96 Growth]]/PortfolioFrontier[[#This Row],[P96 HWM]]-1</f>
        <v>-4.2683656738726983E-2</v>
      </c>
      <c r="NW73" s="28">
        <f>SUMPRODUCT(INDEX(PortfolioRef[[SPY]:[PE]],MATCH(NW$1,PortfolioRef[Reference '#]),0),AssetMonthlyReturns[[#This Row],[SPY]:[PE]])</f>
        <v>-6.8068532198302389E-3</v>
      </c>
      <c r="NX73" s="27">
        <f>IF(ISNUMBER(NX72),NX72*(1+PortfolioFrontier[[#This Row],[P97 Return]]),1+PortfolioFrontier[[#This Row],[P97 Return]])</f>
        <v>1.4946519310909974</v>
      </c>
      <c r="NY73" s="27">
        <f>MAX(NY72,PortfolioFrontier[[#This Row],[P97 Growth]])</f>
        <v>1.5498139523617234</v>
      </c>
      <c r="NZ73" s="27">
        <f>PortfolioFrontier[[#This Row],[P97 Growth]]/PortfolioFrontier[[#This Row],[P97 HWM]]-1</f>
        <v>-3.5592673034505862E-2</v>
      </c>
      <c r="OA73" s="28">
        <f>SUMPRODUCT(INDEX(PortfolioRef[[SPY]:[PE]],MATCH(OA$1,PortfolioRef[Reference '#]),0),AssetMonthlyReturns[[#This Row],[SPY]:[PE]])</f>
        <v>-3.1019947148455303E-3</v>
      </c>
      <c r="OB73" s="27">
        <f>IF(ISNUMBER(OB72),OB72*(1+PortfolioFrontier[[#This Row],[P98 Return]]),1+PortfolioFrontier[[#This Row],[P98 Return]])</f>
        <v>1.5144018460519346</v>
      </c>
      <c r="OC73" s="27">
        <f>MAX(OC72,PortfolioFrontier[[#This Row],[P98 Growth]])</f>
        <v>1.5643918723292729</v>
      </c>
      <c r="OD73" s="27">
        <f>PortfolioFrontier[[#This Row],[P98 Growth]]/PortfolioFrontier[[#This Row],[P98 HWM]]-1</f>
        <v>-3.1954925847899274E-2</v>
      </c>
      <c r="OE73" s="28">
        <f>SUMPRODUCT(INDEX(PortfolioRef[[SPY]:[PE]],MATCH(OE$1,PortfolioRef[Reference '#]),0),AssetMonthlyReturns[[#This Row],[SPY]:[PE]])</f>
        <v>-7.904195342071119E-3</v>
      </c>
      <c r="OF73" s="27">
        <f>IF(ISNUMBER(OF72),OF72*(1+PortfolioFrontier[[#This Row],[P99 Return]]),1+PortfolioFrontier[[#This Row],[P99 Return]])</f>
        <v>1.521050703850511</v>
      </c>
      <c r="OG73" s="27">
        <f>MAX(OG72,PortfolioFrontier[[#This Row],[P99 Growth]])</f>
        <v>1.5836627563813395</v>
      </c>
      <c r="OH73" s="27">
        <f>PortfolioFrontier[[#This Row],[P99 Growth]]/PortfolioFrontier[[#This Row],[P99 HWM]]-1</f>
        <v>-3.953622845428062E-2</v>
      </c>
      <c r="OI73" s="28">
        <f>SUMPRODUCT(INDEX(PortfolioRef[[SPY]:[PE]],MATCH(OI$1,PortfolioRef[Reference '#]),0),AssetMonthlyReturns[[#This Row],[SPY]:[PE]])</f>
        <v>-4.298213957593517E-3</v>
      </c>
      <c r="OJ73" s="27">
        <f>IF(ISNUMBER(OJ72),OJ72*(1+PortfolioFrontier[[#This Row],[P100 Return]]),1+PortfolioFrontier[[#This Row],[P100 Return]])</f>
        <v>1.5030889319566458</v>
      </c>
      <c r="OK73" s="27">
        <f>MAX(OK72,PortfolioFrontier[[#This Row],[P100 Growth]])</f>
        <v>1.5528062347399851</v>
      </c>
      <c r="OL73" s="27">
        <f>PortfolioFrontier[[#This Row],[P100 Growth]]/PortfolioFrontier[[#This Row],[P100 HWM]]-1</f>
        <v>-3.2017711979153929E-2</v>
      </c>
      <c r="OM73" s="28">
        <f>SUMPRODUCT(INDEX(PortfolioRef[[SPY]:[PE]],MATCH(OM$1,PortfolioRef[Reference '#]),0),AssetMonthlyReturns[[#This Row],[SPY]:[PE]])</f>
        <v>6.0286379013918057E-4</v>
      </c>
      <c r="ON73" s="27">
        <f>IF(ISNUMBER(ON72),ON72*(1+PortfolioFrontier[[#This Row],[P101 Return]]),1+PortfolioFrontier[[#This Row],[P101 Return]])</f>
        <v>1.5340857136057162</v>
      </c>
      <c r="OO73" s="27">
        <f>MAX(OO72,PortfolioFrontier[[#This Row],[P101 Growth]])</f>
        <v>1.5787921813488919</v>
      </c>
      <c r="OP73" s="27">
        <f>PortfolioFrontier[[#This Row],[P101 Growth]]/PortfolioFrontier[[#This Row],[P101 HWM]]-1</f>
        <v>-2.8316879365958836E-2</v>
      </c>
      <c r="OQ73" s="28">
        <f>SUMPRODUCT(INDEX(PortfolioRef[[SPY]:[PE]],MATCH(OQ$1,PortfolioRef[Reference '#]),0),AssetMonthlyReturns[[#This Row],[SPY]:[PE]])</f>
        <v>-4.1993368370864103E-3</v>
      </c>
      <c r="OR73" s="27">
        <f>IF(ISNUMBER(OR72),OR72*(1+PortfolioFrontier[[#This Row],[P102 Return]]),1+PortfolioFrontier[[#This Row],[P102 Return]])</f>
        <v>1.5411186832882873</v>
      </c>
      <c r="OS73" s="27">
        <f>MAX(OS72,PortfolioFrontier[[#This Row],[P102 Growth]])</f>
        <v>1.5985203886251573</v>
      </c>
      <c r="OT73" s="27">
        <f>PortfolioFrontier[[#This Row],[P102 Growth]]/PortfolioFrontier[[#This Row],[P102 HWM]]-1</f>
        <v>-3.5909273191216284E-2</v>
      </c>
      <c r="OU73" s="28">
        <f>SUMPRODUCT(INDEX(PortfolioRef[[SPY]:[PE]],MATCH(OU$1,PortfolioRef[Reference '#]),0),AssetMonthlyReturns[[#This Row],[SPY]:[PE]])</f>
        <v>-5.9335545260880834E-4</v>
      </c>
      <c r="OV73" s="27">
        <f>IF(ISNUMBER(OV72),OV72*(1+PortfolioFrontier[[#This Row],[P103 Return]]),1+PortfolioFrontier[[#This Row],[P103 Return]])</f>
        <v>1.5229585597308593</v>
      </c>
      <c r="OW73" s="27">
        <f>MAX(OW72,PortfolioFrontier[[#This Row],[P103 Growth]])</f>
        <v>1.5674355228105428</v>
      </c>
      <c r="OX73" s="27">
        <f>PortfolioFrontier[[#This Row],[P103 Growth]]/PortfolioFrontier[[#This Row],[P103 HWM]]-1</f>
        <v>-2.8375625301596208E-2</v>
      </c>
      <c r="OY73" s="28">
        <f>SUMPRODUCT(INDEX(PortfolioRef[[SPY]:[PE]],MATCH(OY$1,PortfolioRef[Reference '#]),0),AssetMonthlyReturns[[#This Row],[SPY]:[PE]])</f>
        <v>-9.0015374643119973E-3</v>
      </c>
      <c r="OZ73" s="27">
        <f>IF(ISNUMBER(OZ72),OZ72*(1+PortfolioFrontier[[#This Row],[P104 Return]]),1+PortfolioFrontier[[#This Row],[P104 Return]])</f>
        <v>1.5473216487462678</v>
      </c>
      <c r="PA73" s="27">
        <f>MAX(PA72,PortfolioFrontier[[#This Row],[P104 Growth]])</f>
        <v>1.6176462594840681</v>
      </c>
      <c r="PB73" s="27">
        <f>PortfolioFrontier[[#This Row],[P104 Growth]]/PortfolioFrontier[[#This Row],[P104 HWM]]-1</f>
        <v>-4.3473417210651344E-2</v>
      </c>
      <c r="PC73" s="28">
        <f>SUMPRODUCT(INDEX(PortfolioRef[[SPY]:[PE]],MATCH(PC$1,PortfolioRef[Reference '#]),0),AssetMonthlyReturns[[#This Row],[SPY]:[PE]])</f>
        <v>-5.395556079834397E-3</v>
      </c>
      <c r="PD73" s="27">
        <f>IF(ISNUMBER(PD72),PD72*(1+PortfolioFrontier[[#This Row],[P105 Return]]),1+PortfolioFrontier[[#This Row],[P105 Return]])</f>
        <v>1.5296349646728087</v>
      </c>
      <c r="PE73" s="27">
        <f>MAX(PE72,PortfolioFrontier[[#This Row],[P105 Growth]])</f>
        <v>1.5867085542337835</v>
      </c>
      <c r="PF73" s="27">
        <f>PortfolioFrontier[[#This Row],[P105 Growth]]/PortfolioFrontier[[#This Row],[P105 HWM]]-1</f>
        <v>-3.5969800130393526E-2</v>
      </c>
      <c r="PG73" s="28">
        <f>SUMPRODUCT(INDEX(PortfolioRef[[SPY]:[PE]],MATCH(PG$1,PortfolioRef[Reference '#]),0),AssetMonthlyReturns[[#This Row],[SPY]:[PE]])</f>
        <v>-1.7895746953567934E-3</v>
      </c>
      <c r="PH73" s="27">
        <f>IF(ISNUMBER(PH72),PH72*(1+PortfolioFrontier[[#This Row],[P106 Return]]),1+PortfolioFrontier[[#This Row],[P106 Return]])</f>
        <v>1.5114496044598507</v>
      </c>
      <c r="PI73" s="27">
        <f>MAX(PI72,PortfolioFrontier[[#This Row],[P106 Growth]])</f>
        <v>1.5556887430167754</v>
      </c>
      <c r="PJ73" s="27">
        <f>PortfolioFrontier[[#This Row],[P106 Growth]]/PortfolioFrontier[[#This Row],[P106 HWM]]-1</f>
        <v>-2.843701142372268E-2</v>
      </c>
      <c r="PK73" s="28">
        <f>SUMPRODUCT(INDEX(PortfolioRef[[SPY]:[PE]],MATCH(PK$1,PortfolioRef[Reference '#]),0),AssetMonthlyReturns[[#This Row],[SPY]:[PE]])</f>
        <v>-4.9447833210169902E-4</v>
      </c>
      <c r="PL73" s="27">
        <f>IF(ISNUMBER(PL72),PL72*(1+PortfolioFrontier[[#This Row],[P107 Return]]),1+PortfolioFrontier[[#This Row],[P107 Return]])</f>
        <v>1.561119164995298</v>
      </c>
      <c r="PM73" s="27">
        <f>MAX(PM72,PortfolioFrontier[[#This Row],[P107 Growth]])</f>
        <v>1.6131964012798079</v>
      </c>
      <c r="PN73" s="27">
        <f>PortfolioFrontier[[#This Row],[P107 Growth]]/PortfolioFrontier[[#This Row],[P107 HWM]]-1</f>
        <v>-3.2282018632818099E-2</v>
      </c>
      <c r="PO73" s="28">
        <f>SUMPRODUCT(INDEX(PortfolioRef[[SPY]:[PE]],MATCH(PO$1,PortfolioRef[Reference '#]),0),AssetMonthlyReturns[[#This Row],[SPY]:[PE]])</f>
        <v>3.1115030523759025E-3</v>
      </c>
      <c r="PP73" s="27">
        <f>IF(ISNUMBER(PP72),PP72*(1+PortfolioFrontier[[#This Row],[P108 Return]]),1+PortfolioFrontier[[#This Row],[P108 Return]])</f>
        <v>1.5427622314199989</v>
      </c>
      <c r="PQ73" s="27">
        <f>MAX(PQ72,PortfolioFrontier[[#This Row],[P108 Growth]])</f>
        <v>1.5818874318633449</v>
      </c>
      <c r="PR73" s="27">
        <f>PortfolioFrontier[[#This Row],[P108 Growth]]/PortfolioFrontier[[#This Row],[P108 HWM]]-1</f>
        <v>-2.4733239328704637E-2</v>
      </c>
      <c r="PS73" s="28">
        <f>SUMPRODUCT(INDEX(PortfolioRef[[SPY]:[PE]],MATCH(PS$1,PortfolioRef[Reference '#]),0),AssetMonthlyReturns[[#This Row],[SPY]:[PE]])</f>
        <v>-5.2966789593272886E-3</v>
      </c>
      <c r="PT73" s="27">
        <f>IF(ISNUMBER(PT72),PT72*(1+PortfolioFrontier[[#This Row],[P109 Return]]),1+PortfolioFrontier[[#This Row],[P109 Return]])</f>
        <v>1.5677052603432575</v>
      </c>
      <c r="PU73" s="27">
        <f>MAX(PU72,PortfolioFrontier[[#This Row],[P109 Growth]])</f>
        <v>1.6327835279326679</v>
      </c>
      <c r="PV73" s="27">
        <f>PortfolioFrontier[[#This Row],[P109 Growth]]/PortfolioFrontier[[#This Row],[P109 HWM]]-1</f>
        <v>-3.9857253871129261E-2</v>
      </c>
      <c r="PW73" s="28">
        <f>SUMPRODUCT(INDEX(PortfolioRef[[SPY]:[PE]],MATCH(PW$1,PortfolioRef[Reference '#]),0),AssetMonthlyReturns[[#This Row],[SPY]:[PE]])</f>
        <v>-1.6906975748496875E-3</v>
      </c>
      <c r="PX73" s="27">
        <f>IF(ISNUMBER(PX72),PX72*(1+PortfolioFrontier[[#This Row],[P110 Return]]),1+PortfolioFrontier[[#This Row],[P110 Return]])</f>
        <v>1.5498245653996332</v>
      </c>
      <c r="PY73" s="27">
        <f>MAX(PY72,PortfolioFrontier[[#This Row],[P110 Growth]])</f>
        <v>1.6016185143364081</v>
      </c>
      <c r="PZ73" s="27">
        <f>PortfolioFrontier[[#This Row],[P110 Growth]]/PortfolioFrontier[[#This Row],[P110 HWM]]-1</f>
        <v>-3.2338505376378279E-2</v>
      </c>
      <c r="QA73" s="28">
        <f>SUMPRODUCT(INDEX(PortfolioRef[[SPY]:[PE]],MATCH(QA$1,PortfolioRef[Reference '#]),0),AssetMonthlyReturns[[#This Row],[SPY]:[PE]])</f>
        <v>1.9152838096279153E-3</v>
      </c>
      <c r="QB73" s="27">
        <f>IF(ISNUMBER(QB72),QB72*(1+PortfolioFrontier[[#This Row],[P111 Return]]),1+PortfolioFrontier[[#This Row],[P111 Return]])</f>
        <v>1.5314381307121159</v>
      </c>
      <c r="QC73" s="27">
        <f>MAX(QC72,PortfolioFrontier[[#This Row],[P111 Growth]])</f>
        <v>1.5703684845094485</v>
      </c>
      <c r="QD73" s="27">
        <f>PortfolioFrontier[[#This Row],[P111 Growth]]/PortfolioFrontier[[#This Row],[P111 HWM]]-1</f>
        <v>-2.4790585255213937E-2</v>
      </c>
      <c r="QE73" s="28">
        <f>SUMPRODUCT(INDEX(PortfolioRef[[SPY]:[PE]],MATCH(QE$1,PortfolioRef[Reference '#]),0),AssetMonthlyReturns[[#This Row],[SPY]:[PE]])</f>
        <v>-1.0098879586552877E-2</v>
      </c>
      <c r="QF73" s="27">
        <f>IF(ISNUMBER(QF72),QF72*(1+PortfolioFrontier[[#This Row],[P112 Return]]),1+PortfolioFrontier[[#This Row],[P112 Return]])</f>
        <v>1.5734392791569161</v>
      </c>
      <c r="QG73" s="27">
        <f>MAX(QG72,PortfolioFrontier[[#This Row],[P112 Growth]])</f>
        <v>1.6517386955477045</v>
      </c>
      <c r="QH73" s="27">
        <f>PortfolioFrontier[[#This Row],[P112 Growth]]/PortfolioFrontier[[#This Row],[P112 HWM]]-1</f>
        <v>-4.7404239303617479E-2</v>
      </c>
      <c r="QI73" s="28">
        <f>SUMPRODUCT(INDEX(PortfolioRef[[SPY]:[PE]],MATCH(QI$1,PortfolioRef[Reference '#]),0),AssetMonthlyReturns[[#This Row],[SPY]:[PE]])</f>
        <v>-6.4928982020752753E-3</v>
      </c>
      <c r="QJ73" s="27">
        <f>IF(ISNUMBER(QJ72),QJ72*(1+PortfolioFrontier[[#This Row],[P113 Return]]),1+PortfolioFrontier[[#This Row],[P113 Return]])</f>
        <v>1.5560525299935886</v>
      </c>
      <c r="QK73" s="27">
        <f>MAX(QK72,PortfolioFrontier[[#This Row],[P113 Growth]])</f>
        <v>1.6207454292109018</v>
      </c>
      <c r="QL73" s="27">
        <f>PortfolioFrontier[[#This Row],[P113 Growth]]/PortfolioFrontier[[#This Row],[P113 HWM]]-1</f>
        <v>-3.9915521618228755E-2</v>
      </c>
      <c r="QM73" s="28">
        <f>SUMPRODUCT(INDEX(PortfolioRef[[SPY]:[PE]],MATCH(QM$1,PortfolioRef[Reference '#]),0),AssetMonthlyReturns[[#This Row],[SPY]:[PE]])</f>
        <v>-2.8869168175976734E-3</v>
      </c>
      <c r="QN73" s="27">
        <f>IF(ISNUMBER(QN72),QN72*(1+PortfolioFrontier[[#This Row],[P114 Return]]),1+PortfolioFrontier[[#This Row],[P114 Return]])</f>
        <v>1.5381414618897702</v>
      </c>
      <c r="QO73" s="27">
        <f>MAX(QO72,PortfolioFrontier[[#This Row],[P114 Growth]])</f>
        <v>1.5896421022161857</v>
      </c>
      <c r="QP73" s="27">
        <f>PortfolioFrontier[[#This Row],[P114 Growth]]/PortfolioFrontier[[#This Row],[P114 HWM]]-1</f>
        <v>-3.2397632306426893E-2</v>
      </c>
      <c r="QQ73" s="28">
        <f>SUMPRODUCT(INDEX(PortfolioRef[[SPY]:[PE]],MATCH(QQ$1,PortfolioRef[Reference '#]),0),AssetMonthlyReturns[[#This Row],[SPY]:[PE]])</f>
        <v>-1.5918204543425791E-3</v>
      </c>
      <c r="QR73" s="27">
        <f>IF(ISNUMBER(QR72),QR72*(1+PortfolioFrontier[[#This Row],[P115 Return]]),1+PortfolioFrontier[[#This Row],[P115 Return]])</f>
        <v>1.5880199222830689</v>
      </c>
      <c r="QS73" s="27">
        <f>MAX(QS72,PortfolioFrontier[[#This Row],[P115 Growth]])</f>
        <v>1.6477351477866757</v>
      </c>
      <c r="QT73" s="27">
        <f>PortfolioFrontier[[#This Row],[P115 Growth]]/PortfolioFrontier[[#This Row],[P115 HWM]]-1</f>
        <v>-3.6240791236273329E-2</v>
      </c>
      <c r="QU73" s="28">
        <f>SUMPRODUCT(INDEX(PortfolioRef[[SPY]:[PE]],MATCH(QU$1,PortfolioRef[Reference '#]),0),AssetMonthlyReturns[[#This Row],[SPY]:[PE]])</f>
        <v>2.0141609301350229E-3</v>
      </c>
      <c r="QV73" s="27">
        <f>IF(ISNUMBER(QV72),QV72*(1+PortfolioFrontier[[#This Row],[P116 Return]]),1+PortfolioFrontier[[#This Row],[P116 Return]])</f>
        <v>1.5699467590740703</v>
      </c>
      <c r="QW73" s="27">
        <f>MAX(QW72,PortfolioFrontier[[#This Row],[P116 Growth]])</f>
        <v>1.6163470917094751</v>
      </c>
      <c r="QX73" s="27">
        <f>PortfolioFrontier[[#This Row],[P116 Growth]]/PortfolioFrontier[[#This Row],[P116 HWM]]-1</f>
        <v>-2.8706911327028739E-2</v>
      </c>
      <c r="QY73" s="28">
        <f>SUMPRODUCT(INDEX(PortfolioRef[[SPY]:[PE]],MATCH(QY$1,PortfolioRef[Reference '#]),0),AssetMonthlyReturns[[#This Row],[SPY]:[PE]])</f>
        <v>5.6201423146126257E-3</v>
      </c>
      <c r="QZ73" s="27">
        <f>IF(ISNUMBER(QZ72),QZ72*(1+PortfolioFrontier[[#This Row],[P117 Return]]),1+PortfolioFrontier[[#This Row],[P117 Return]])</f>
        <v>1.5513608008165478</v>
      </c>
      <c r="RA73" s="27">
        <f>MAX(RA72,PortfolioFrontier[[#This Row],[P117 Growth]])</f>
        <v>1.5848710929942145</v>
      </c>
      <c r="RB73" s="27">
        <f>PortfolioFrontier[[#This Row],[P117 Growth]]/PortfolioFrontier[[#This Row],[P117 HWM]]-1</f>
        <v>-2.1143859791371011E-2</v>
      </c>
      <c r="RC73" s="28">
        <f>SUMPRODUCT(INDEX(PortfolioRef[[SPY]:[PE]],MATCH(RC$1,PortfolioRef[Reference '#]),0),AssetMonthlyReturns[[#This Row],[SPY]:[PE]])</f>
        <v>-6.3940210815681686E-3</v>
      </c>
      <c r="RD73" s="27">
        <f>IF(ISNUMBER(RD72),RD72*(1+PortfolioFrontier[[#This Row],[P118 Return]]),1+PortfolioFrontier[[#This Row],[P118 Return]])</f>
        <v>1.5941357790782307</v>
      </c>
      <c r="RE73" s="27">
        <f>MAX(RE72,PortfolioFrontier[[#This Row],[P118 Growth]])</f>
        <v>1.667155293527623</v>
      </c>
      <c r="RF73" s="27">
        <f>PortfolioFrontier[[#This Row],[P118 Growth]]/PortfolioFrontier[[#This Row],[P118 HWM]]-1</f>
        <v>-4.379886788763776E-2</v>
      </c>
      <c r="RG73" s="28">
        <f>SUMPRODUCT(INDEX(PortfolioRef[[SPY]:[PE]],MATCH(RG$1,PortfolioRef[Reference '#]),0),AssetMonthlyReturns[[#This Row],[SPY]:[PE]])</f>
        <v>-2.7880396970905667E-3</v>
      </c>
      <c r="RH73" s="27">
        <f>IF(ISNUMBER(RH72),RH72*(1+PortfolioFrontier[[#This Row],[P119 Return]]),1+PortfolioFrontier[[#This Row],[P119 Return]])</f>
        <v>1.5765596583796277</v>
      </c>
      <c r="RI73" s="27">
        <f>MAX(RI72,PortfolioFrontier[[#This Row],[P119 Growth]])</f>
        <v>1.6359359857167841</v>
      </c>
      <c r="RJ73" s="27">
        <f>PortfolioFrontier[[#This Row],[P119 Growth]]/PortfolioFrontier[[#This Row],[P119 HWM]]-1</f>
        <v>-3.6295018787755762E-2</v>
      </c>
      <c r="RK73" s="28">
        <f>SUMPRODUCT(INDEX(PortfolioRef[[SPY]:[PE]],MATCH(RK$1,PortfolioRef[Reference '#]),0),AssetMonthlyReturns[[#This Row],[SPY]:[PE]])</f>
        <v>8.1794168738703616E-4</v>
      </c>
      <c r="RL73" s="27">
        <f>IF(ISNUMBER(RL72),RL72*(1+PortfolioFrontier[[#This Row],[P120 Return]]),1+PortfolioFrontier[[#This Row],[P120 Return]])</f>
        <v>1.5584518552352231</v>
      </c>
      <c r="RM73" s="27">
        <f>MAX(RM72,PortfolioFrontier[[#This Row],[P120 Growth]])</f>
        <v>1.6046034567476111</v>
      </c>
      <c r="RN73" s="27">
        <f>PortfolioFrontier[[#This Row],[P120 Growth]]/PortfolioFrontier[[#This Row],[P120 HWM]]-1</f>
        <v>-2.8761998061460736E-2</v>
      </c>
      <c r="RO73" s="28">
        <f>SUMPRODUCT(INDEX(PortfolioRef[[SPY]:[PE]],MATCH(RO$1,PortfolioRef[Reference '#]),0),AssetMonthlyReturns[[#This Row],[SPY]:[PE]])</f>
        <v>-1.1196221708793757E-2</v>
      </c>
      <c r="RP73" s="27">
        <f>IF(ISNUMBER(RP72),RP72*(1+PortfolioFrontier[[#This Row],[P121 Return]]),1+PortfolioFrontier[[#This Row],[P121 Return]])</f>
        <v>1.5993775462747704</v>
      </c>
      <c r="RQ73" s="27">
        <f>MAX(RQ72,PortfolioFrontier[[#This Row],[P121 Growth]])</f>
        <v>1.6859132740659151</v>
      </c>
      <c r="RR73" s="27">
        <f>PortfolioFrontier[[#This Row],[P121 Growth]]/PortfolioFrontier[[#This Row],[P121 HWM]]-1</f>
        <v>-5.1328694733179581E-2</v>
      </c>
      <c r="RS73" s="28">
        <f>SUMPRODUCT(INDEX(PortfolioRef[[SPY]:[PE]],MATCH(RS$1,PortfolioRef[Reference '#]),0),AssetMonthlyReturns[[#This Row],[SPY]:[PE]])</f>
        <v>-7.5902403243161554E-3</v>
      </c>
      <c r="RT73" s="27">
        <f>IF(ISNUMBER(RT72),RT72*(1+PortfolioFrontier[[#This Row],[P122 Return]]),1+PortfolioFrontier[[#This Row],[P122 Return]])</f>
        <v>1.5823160109327044</v>
      </c>
      <c r="RU73" s="27">
        <f>MAX(RU72,PortfolioFrontier[[#This Row],[P122 Growth]])</f>
        <v>1.6548910536150563</v>
      </c>
      <c r="RV73" s="27">
        <f>PortfolioFrontier[[#This Row],[P122 Growth]]/PortfolioFrontier[[#This Row],[P122 HWM]]-1</f>
        <v>-4.3854876442660173E-2</v>
      </c>
      <c r="RW73" s="28">
        <f>SUMPRODUCT(INDEX(PortfolioRef[[SPY]:[PE]],MATCH(RW$1,PortfolioRef[Reference '#]),0),AssetMonthlyReturns[[#This Row],[SPY]:[PE]])</f>
        <v>-3.9842589398385517E-3</v>
      </c>
      <c r="RX73" s="27">
        <f>IF(ISNUMBER(RX72),RX72*(1+PortfolioFrontier[[#This Row],[P123 Return]]),1+PortfolioFrontier[[#This Row],[P123 Return]])</f>
        <v>1.5647042123558101</v>
      </c>
      <c r="RY73" s="27">
        <f>MAX(RY72,PortfolioFrontier[[#This Row],[P123 Growth]])</f>
        <v>1.6237298558231279</v>
      </c>
      <c r="RZ73" s="27">
        <f>PortfolioFrontier[[#This Row],[P123 Growth]]/PortfolioFrontier[[#This Row],[P123 HWM]]-1</f>
        <v>-3.6351886525727184E-2</v>
      </c>
      <c r="SA73" s="28">
        <f>SUMPRODUCT(INDEX(PortfolioRef[[SPY]:[PE]],MATCH(SA$1,PortfolioRef[Reference '#]),0),AssetMonthlyReturns[[#This Row],[SPY]:[PE]])</f>
        <v>-2.6891625765834582E-3</v>
      </c>
      <c r="SB73" s="27">
        <f>IF(ISNUMBER(SB72),SB72*(1+PortfolioFrontier[[#This Row],[P124 Return]]),1+PortfolioFrontier[[#This Row],[P124 Return]])</f>
        <v>1.6147618771592247</v>
      </c>
      <c r="SC73" s="27">
        <f>MAX(SC72,PortfolioFrontier[[#This Row],[P124 Growth]])</f>
        <v>1.6823821965094672</v>
      </c>
      <c r="SD73" s="27">
        <f>PortfolioFrontier[[#This Row],[P124 Growth]]/PortfolioFrontier[[#This Row],[P124 HWM]]-1</f>
        <v>-4.0193197176324191E-2</v>
      </c>
      <c r="SE73" s="28">
        <f>SUMPRODUCT(INDEX(PortfolioRef[[SPY]:[PE]],MATCH(SE$1,PortfolioRef[Reference '#]),0),AssetMonthlyReturns[[#This Row],[SPY]:[PE]])</f>
        <v>9.1681880789414288E-4</v>
      </c>
      <c r="SF73" s="27">
        <f>IF(ISNUMBER(SF72),SF72*(1+PortfolioFrontier[[#This Row],[P125 Return]]),1+PortfolioFrontier[[#This Row],[P125 Return]])</f>
        <v>1.596997927083416</v>
      </c>
      <c r="SG73" s="27">
        <f>MAX(SG72,PortfolioFrontier[[#This Row],[P125 Growth]])</f>
        <v>1.6509411354388694</v>
      </c>
      <c r="SH73" s="27">
        <f>PortfolioFrontier[[#This Row],[P125 Growth]]/PortfolioFrontier[[#This Row],[P125 HWM]]-1</f>
        <v>-3.2674216661948807E-2</v>
      </c>
      <c r="SI73" s="28">
        <f>SUMPRODUCT(INDEX(PortfolioRef[[SPY]:[PE]],MATCH(SI$1,PortfolioRef[Reference '#]),0),AssetMonthlyReturns[[#This Row],[SPY]:[PE]])</f>
        <v>4.5228001923717466E-3</v>
      </c>
      <c r="SJ73" s="27">
        <f>IF(ISNUMBER(SJ72),SJ72*(1+PortfolioFrontier[[#This Row],[P126 Return]]),1+PortfolioFrontier[[#This Row],[P126 Return]])</f>
        <v>1.5786949409725668</v>
      </c>
      <c r="SK73" s="27">
        <f>MAX(SK72,PortfolioFrontier[[#This Row],[P126 Growth]])</f>
        <v>1.6193836797956254</v>
      </c>
      <c r="SL73" s="27">
        <f>PortfolioFrontier[[#This Row],[P126 Growth]]/PortfolioFrontier[[#This Row],[P126 HWM]]-1</f>
        <v>-2.5126064521160063E-2</v>
      </c>
      <c r="SM73" s="28">
        <f>SUMPRODUCT(INDEX(PortfolioRef[[SPY]:[PE]],MATCH(SM$1,PortfolioRef[Reference '#]),0),AssetMonthlyReturns[[#This Row],[SPY]:[PE]])</f>
        <v>-7.4913632038090486E-3</v>
      </c>
      <c r="SN73" s="27">
        <f>IF(ISNUMBER(SN72),SN72*(1+PortfolioFrontier[[#This Row],[P127 Return]]),1+PortfolioFrontier[[#This Row],[P127 Return]])</f>
        <v>1.6203838737864122</v>
      </c>
      <c r="SO73" s="27">
        <f>MAX(SO72,PortfolioFrontier[[#This Row],[P127 Growth]])</f>
        <v>1.7016086575400751</v>
      </c>
      <c r="SP73" s="27">
        <f>PortfolioFrontier[[#This Row],[P127 Growth]]/PortfolioFrontier[[#This Row],[P127 HWM]]-1</f>
        <v>-4.7734115240742336E-2</v>
      </c>
      <c r="SQ73" s="28">
        <f>SUMPRODUCT(INDEX(PortfolioRef[[SPY]:[PE]],MATCH(SQ$1,PortfolioRef[Reference '#]),0),AssetMonthlyReturns[[#This Row],[SPY]:[PE]])</f>
        <v>-3.8853818193314467E-3</v>
      </c>
      <c r="SR73" s="27">
        <f>IF(ISNUMBER(SR72),SR72*(1+PortfolioFrontier[[#This Row],[P128 Return]]),1+PortfolioFrontier[[#This Row],[P128 Return]])</f>
        <v>1.6031379084843014</v>
      </c>
      <c r="SS73" s="27">
        <f>MAX(SS72,PortfolioFrontier[[#This Row],[P128 Growth]])</f>
        <v>1.6703618996398835</v>
      </c>
      <c r="ST73" s="27">
        <f>PortfolioFrontier[[#This Row],[P128 Growth]]/PortfolioFrontier[[#This Row],[P128 HWM]]-1</f>
        <v>-4.0245165535729099E-2</v>
      </c>
      <c r="SU73" s="28">
        <f>SUMPRODUCT(INDEX(PortfolioRef[[SPY]:[PE]],MATCH(SU$1,PortfolioRef[Reference '#]),0),AssetMonthlyReturns[[#This Row],[SPY]:[PE]])</f>
        <v>-2.7940043485384387E-4</v>
      </c>
      <c r="SV73" s="27">
        <f>IF(ISNUMBER(SV72),SV72*(1+PortfolioFrontier[[#This Row],[P129 Return]]),1+PortfolioFrontier[[#This Row],[P129 Return]])</f>
        <v>1.5853340145577774</v>
      </c>
      <c r="SW73" s="27">
        <f>MAX(SW72,PortfolioFrontier[[#This Row],[P129 Growth]])</f>
        <v>1.6389727481356613</v>
      </c>
      <c r="SX73" s="27">
        <f>PortfolioFrontier[[#This Row],[P129 Growth]]/PortfolioFrontier[[#This Row],[P129 HWM]]-1</f>
        <v>-3.2727044204303057E-2</v>
      </c>
      <c r="SY73" s="28">
        <f>SUMPRODUCT(INDEX(PortfolioRef[[SPY]:[PE]],MATCH(SY$1,PortfolioRef[Reference '#]),0),AssetMonthlyReturns[[#This Row],[SPY]:[PE]])</f>
        <v>-1.2293563831034636E-2</v>
      </c>
      <c r="SZ73" s="27">
        <f>IF(ISNUMBER(SZ72),SZ72*(1+PortfolioFrontier[[#This Row],[P130 Return]]),1+PortfolioFrontier[[#This Row],[P130 Return]])</f>
        <v>1.6251098567535167</v>
      </c>
      <c r="TA73" s="27">
        <f>MAX(TA72,PortfolioFrontier[[#This Row],[P130 Growth]])</f>
        <v>1.720142179322633</v>
      </c>
      <c r="TB73" s="27">
        <f>PortfolioFrontier[[#This Row],[P130 Growth]]/PortfolioFrontier[[#This Row],[P130 HWM]]-1</f>
        <v>-5.5246783499337648E-2</v>
      </c>
      <c r="TC73" s="28">
        <f>SUMPRODUCT(INDEX(PortfolioRef[[SPY]:[PE]],MATCH(TC$1,PortfolioRef[Reference '#]),0),AssetMonthlyReturns[[#This Row],[SPY]:[PE]])</f>
        <v>-8.6875824465570354E-3</v>
      </c>
      <c r="TD73" s="27">
        <f>IF(ISNUMBER(TD72),TD72*(1+PortfolioFrontier[[#This Row],[P131 Return]]),1+PortfolioFrontier[[#This Row],[P131 Return]])</f>
        <v>1.6083992259002664</v>
      </c>
      <c r="TE73" s="27">
        <f>MAX(TE72,PortfolioFrontier[[#This Row],[P131 Growth]])</f>
        <v>1.6891185966988822</v>
      </c>
      <c r="TF73" s="27">
        <f>PortfolioFrontier[[#This Row],[P131 Growth]]/PortfolioFrontier[[#This Row],[P131 HWM]]-1</f>
        <v>-4.7787864603686891E-2</v>
      </c>
      <c r="TG73" s="28">
        <f>SUMPRODUCT(INDEX(PortfolioRef[[SPY]:[PE]],MATCH(TG$1,PortfolioRef[Reference '#]),0),AssetMonthlyReturns[[#This Row],[SPY]:[PE]])</f>
        <v>-5.0816010620794317E-3</v>
      </c>
      <c r="TH73" s="27">
        <f>IF(ISNUMBER(TH72),TH72*(1+PortfolioFrontier[[#This Row],[P132 Return]]),1+PortfolioFrontier[[#This Row],[P132 Return]])</f>
        <v>1.5911121096501897</v>
      </c>
      <c r="TI73" s="27">
        <f>MAX(TI72,PortfolioFrontier[[#This Row],[P132 Growth]])</f>
        <v>1.6579261593145806</v>
      </c>
      <c r="TJ73" s="27">
        <f>PortfolioFrontier[[#This Row],[P132 Growth]]/PortfolioFrontier[[#This Row],[P132 HWM]]-1</f>
        <v>-4.029977408162333E-2</v>
      </c>
      <c r="TK73" s="28">
        <f>SUMPRODUCT(INDEX(PortfolioRef[[SPY]:[PE]],MATCH(TK$1,PortfolioRef[Reference '#]),0),AssetMonthlyReturns[[#This Row],[SPY]:[PE]])</f>
        <v>-3.7865046988243382E-3</v>
      </c>
      <c r="TL73" s="27">
        <f>IF(ISNUMBER(TL72),TL72*(1+PortfolioFrontier[[#This Row],[P133 Return]]),1+PortfolioFrontier[[#This Row],[P133 Return]])</f>
        <v>1.6413183484097185</v>
      </c>
      <c r="TM73" s="27">
        <f>MAX(TM72,PortfolioFrontier[[#This Row],[P133 Growth]])</f>
        <v>1.7171102853087914</v>
      </c>
      <c r="TN73" s="27">
        <f>PortfolioFrontier[[#This Row],[P133 Growth]]/PortfolioFrontier[[#This Row],[P133 HWM]]-1</f>
        <v>-4.4139236452970798E-2</v>
      </c>
      <c r="TO73" s="28">
        <f>SUMPRODUCT(INDEX(PortfolioRef[[SPY]:[PE]],MATCH(TO$1,PortfolioRef[Reference '#]),0),AssetMonthlyReturns[[#This Row],[SPY]:[PE]])</f>
        <v>-1.8052331434673628E-4</v>
      </c>
      <c r="TP73" s="27">
        <f>IF(ISNUMBER(TP72),TP72*(1+PortfolioFrontier[[#This Row],[P134 Return]]),1+PortfolioFrontier[[#This Row],[P134 Return]])</f>
        <v>1.6238894934074064</v>
      </c>
      <c r="TQ73" s="27">
        <f>MAX(TQ72,PortfolioFrontier[[#This Row],[P134 Growth]])</f>
        <v>1.6856432974461595</v>
      </c>
      <c r="TR73" s="27">
        <f>PortfolioFrontier[[#This Row],[P134 Growth]]/PortfolioFrontier[[#This Row],[P134 HWM]]-1</f>
        <v>-3.6635155333464287E-2</v>
      </c>
      <c r="TS73" s="28">
        <f>SUMPRODUCT(INDEX(PortfolioRef[[SPY]:[PE]],MATCH(TS$1,PortfolioRef[Reference '#]),0),AssetMonthlyReturns[[#This Row],[SPY]:[PE]])</f>
        <v>3.4254580701308665E-3</v>
      </c>
      <c r="TT73" s="27">
        <f>IF(ISNUMBER(TT72),TT72*(1+PortfolioFrontier[[#This Row],[P135 Return]]),1+PortfolioFrontier[[#This Row],[P135 Return]])</f>
        <v>1.6058950559688259</v>
      </c>
      <c r="TU73" s="27">
        <f>MAX(TU72,PortfolioFrontier[[#This Row],[P135 Growth]])</f>
        <v>1.6540304901705998</v>
      </c>
      <c r="TV73" s="27">
        <f>PortfolioFrontier[[#This Row],[P135 Growth]]/PortfolioFrontier[[#This Row],[P135 HWM]]-1</f>
        <v>-2.9101902587544859E-2</v>
      </c>
      <c r="TW73" s="28">
        <f>SUMPRODUCT(INDEX(PortfolioRef[[SPY]:[PE]],MATCH(TW$1,PortfolioRef[Reference '#]),0),AssetMonthlyReturns[[#This Row],[SPY]:[PE]])</f>
        <v>-8.5887053260499269E-3</v>
      </c>
      <c r="TX73" s="27">
        <f>IF(ISNUMBER(TX72),TX72*(1+PortfolioFrontier[[#This Row],[P136 Return]]),1+PortfolioFrontier[[#This Row],[P136 Return]])</f>
        <v>1.6464226290926054</v>
      </c>
      <c r="TY73" s="27">
        <f>MAX(TY72,PortfolioFrontier[[#This Row],[P136 Growth]])</f>
        <v>1.7361155602147582</v>
      </c>
      <c r="TZ73" s="27">
        <f>PortfolioFrontier[[#This Row],[P136 Growth]]/PortfolioFrontier[[#This Row],[P136 HWM]]-1</f>
        <v>-5.1662995930442435E-2</v>
      </c>
      <c r="UA73" s="28">
        <f>SUMPRODUCT(INDEX(PortfolioRef[[SPY]:[PE]],MATCH(UA$1,PortfolioRef[Reference '#]),0),AssetMonthlyReturns[[#This Row],[SPY]:[PE]])</f>
        <v>-4.9827239415723267E-3</v>
      </c>
      <c r="UB73" s="27">
        <f>IF(ISNUMBER(UB72),UB72*(1+PortfolioFrontier[[#This Row],[P137 Return]]),1+PortfolioFrontier[[#This Row],[P137 Return]])</f>
        <v>1.6295328155180788</v>
      </c>
      <c r="UC73" s="27">
        <f>MAX(UC72,PortfolioFrontier[[#This Row],[P137 Growth]])</f>
        <v>1.7048691873265751</v>
      </c>
      <c r="UD73" s="27">
        <f>PortfolioFrontier[[#This Row],[P137 Growth]]/PortfolioFrontier[[#This Row],[P137 HWM]]-1</f>
        <v>-4.4188945620298403E-2</v>
      </c>
      <c r="UE73" s="28">
        <f>SUMPRODUCT(INDEX(PortfolioRef[[SPY]:[PE]],MATCH(UE$1,PortfolioRef[Reference '#]),0),AssetMonthlyReturns[[#This Row],[SPY]:[PE]])</f>
        <v>-1.376742557094723E-3</v>
      </c>
      <c r="UF73" s="27">
        <f>IF(ISNUMBER(UF72),UF72*(1+PortfolioFrontier[[#This Row],[P138 Return]]),1+PortfolioFrontier[[#This Row],[P138 Return]])</f>
        <v>1.6120585476009066</v>
      </c>
      <c r="UG73" s="27">
        <f>MAX(UG72,PortfolioFrontier[[#This Row],[P138 Growth]])</f>
        <v>1.6734502822541619</v>
      </c>
      <c r="UH73" s="27">
        <f>PortfolioFrontier[[#This Row],[P138 Growth]]/PortfolioFrontier[[#This Row],[P138 HWM]]-1</f>
        <v>-3.6685723683741456E-2</v>
      </c>
      <c r="UI73" s="28">
        <f>SUMPRODUCT(INDEX(PortfolioRef[[SPY]:[PE]],MATCH(UI$1,PortfolioRef[Reference '#]),0),AssetMonthlyReturns[[#This Row],[SPY]:[PE]])</f>
        <v>-1.3390905953275517E-2</v>
      </c>
      <c r="UJ73" s="27">
        <f>IF(ISNUMBER(UJ72),UJ72*(1+PortfolioFrontier[[#This Row],[P139 Return]]),1+PortfolioFrontier[[#This Row],[P139 Return]])</f>
        <v>1.6506090917195744</v>
      </c>
      <c r="UK73" s="27">
        <f>MAX(UK72,PortfolioFrontier[[#This Row],[P139 Growth]])</f>
        <v>1.7543965710992384</v>
      </c>
      <c r="UL73" s="27">
        <f>PortfolioFrontier[[#This Row],[P139 Growth]]/PortfolioFrontier[[#This Row],[P139 HWM]]-1</f>
        <v>-5.9158505602091238E-2</v>
      </c>
      <c r="UM73" s="28">
        <f>SUMPRODUCT(INDEX(PortfolioRef[[SPY]:[PE]],MATCH(UM$1,PortfolioRef[Reference '#]),0),AssetMonthlyReturns[[#This Row],[SPY]:[PE]])</f>
        <v>-9.7849245687979137E-3</v>
      </c>
      <c r="UN73" s="27">
        <f>IF(ISNUMBER(UN72),UN72*(1+PortfolioFrontier[[#This Row],[P140 Return]]),1+PortfolioFrontier[[#This Row],[P140 Return]])</f>
        <v>1.6342754464715763</v>
      </c>
      <c r="UO73" s="27">
        <f>MAX(UO72,PortfolioFrontier[[#This Row],[P140 Growth]])</f>
        <v>1.7234002022793458</v>
      </c>
      <c r="UP73" s="27">
        <f>PortfolioFrontier[[#This Row],[P140 Growth]]/PortfolioFrontier[[#This Row],[P140 HWM]]-1</f>
        <v>-5.1714486101309687E-2</v>
      </c>
      <c r="UQ73" s="28">
        <f>SUMPRODUCT(INDEX(PortfolioRef[[SPY]:[PE]],MATCH(UQ$1,PortfolioRef[Reference '#]),0),AssetMonthlyReturns[[#This Row],[SPY]:[PE]])</f>
        <v>-6.1789431843203117E-3</v>
      </c>
      <c r="UR73" s="27">
        <f>IF(ISNUMBER(UR72),UR72*(1+PortfolioFrontier[[#This Row],[P141 Return]]),1+PortfolioFrontier[[#This Row],[P141 Return]])</f>
        <v>1.6173388405812354</v>
      </c>
      <c r="US73" s="27">
        <f>MAX(US72,PortfolioFrontier[[#This Row],[P141 Growth]])</f>
        <v>1.6922041432386774</v>
      </c>
      <c r="UT73" s="27">
        <f>PortfolioFrontier[[#This Row],[P141 Growth]]/PortfolioFrontier[[#This Row],[P141 HWM]]-1</f>
        <v>-4.4241294974114997E-2</v>
      </c>
    </row>
    <row r="74" spans="2:566" x14ac:dyDescent="0.2">
      <c r="B74" s="41">
        <f>AssetMonthlyReturns[[#This Row],[Date]]</f>
        <v>44621</v>
      </c>
      <c r="C74" s="28">
        <f>SUMPRODUCT(INDEX(PortfolioRef[[SPY]:[PE]],MATCH(C$1,PortfolioRef[Reference '#]),0),AssetMonthlyReturns[[#This Row],[SPY]:[PE]])</f>
        <v>1.700489866606952E-2</v>
      </c>
      <c r="D74" s="29">
        <f>IF(ISNUMBER(D73),D73*(1+PortfolioFrontier[[#This Row],[P1 Return]]),1+PortfolioFrontier[[#This Row],[P1 Return]])</f>
        <v>1.8872744143340363</v>
      </c>
      <c r="E74" s="29">
        <f>MAX(E73,PortfolioFrontier[[#This Row],[P1 Growth]])</f>
        <v>1.9531239567566241</v>
      </c>
      <c r="F74" s="29">
        <f>PortfolioFrontier[[#This Row],[P1 Growth]]/PortfolioFrontier[[#This Row],[P1 HWM]]-1</f>
        <v>-3.3714983728906911E-2</v>
      </c>
      <c r="G74" s="28">
        <f>SUMPRODUCT(INDEX(PortfolioRef[[SPY]:[PE]],MATCH(G$1,PortfolioRef[Reference '#]),0),AssetMonthlyReturns[[#This Row],[SPY]:[PE]])</f>
        <v>1.3879081004835325E-2</v>
      </c>
      <c r="H74" s="27">
        <f>IF(ISNUMBER(H73),H73*(1+PortfolioFrontier[[#This Row],[P2 Return]]),1+PortfolioFrontier[[#This Row],[P2 Return]])</f>
        <v>1.816427712030126</v>
      </c>
      <c r="I74" s="27">
        <f>MAX(I73,PortfolioFrontier[[#This Row],[P2 Growth]])</f>
        <v>1.880902671218339</v>
      </c>
      <c r="J74" s="27">
        <f>PortfolioFrontier[[#This Row],[P2 Growth]]/PortfolioFrontier[[#This Row],[P2 HWM]]-1</f>
        <v>-3.4278732320822236E-2</v>
      </c>
      <c r="K74" s="28">
        <f>SUMPRODUCT(INDEX(PortfolioRef[[SPY]:[PE]],MATCH(K$1,PortfolioRef[Reference '#]),0),AssetMonthlyReturns[[#This Row],[SPY]:[PE]])</f>
        <v>1.5922342871552059E-2</v>
      </c>
      <c r="L74" s="27">
        <f>IF(ISNUMBER(L73),L73*(1+PortfolioFrontier[[#This Row],[P3 Return]]),1+PortfolioFrontier[[#This Row],[P3 Return]])</f>
        <v>1.844016960948335</v>
      </c>
      <c r="M74" s="27">
        <f>MAX(M73,PortfolioFrontier[[#This Row],[P3 Growth]])</f>
        <v>1.8984394560781046</v>
      </c>
      <c r="N74" s="27">
        <f>PortfolioFrontier[[#This Row],[P3 Growth]]/PortfolioFrontier[[#This Row],[P3 HWM]]-1</f>
        <v>-2.866696378203093E-2</v>
      </c>
      <c r="O74" s="28">
        <f>SUMPRODUCT(INDEX(PortfolioRef[[SPY]:[PE]],MATCH(O$1,PortfolioRef[Reference '#]),0),AssetMonthlyReturns[[#This Row],[SPY]:[PE]])</f>
        <v>1.8128862277074248E-2</v>
      </c>
      <c r="P74" s="27">
        <f>IF(ISNUMBER(P73),P73*(1+PortfolioFrontier[[#This Row],[P4 Return]]),1+PortfolioFrontier[[#This Row],[P4 Return]])</f>
        <v>1.8536480944390139</v>
      </c>
      <c r="Q74" s="27">
        <f>MAX(Q73,PortfolioFrontier[[#This Row],[P4 Growth]])</f>
        <v>1.9193367929729268</v>
      </c>
      <c r="R74" s="27">
        <f>PortfolioFrontier[[#This Row],[P4 Growth]]/PortfolioFrontier[[#This Row],[P4 HWM]]-1</f>
        <v>-3.4224685721866099E-2</v>
      </c>
      <c r="S74" s="28">
        <f>SUMPRODUCT(INDEX(PortfolioRef[[SPY]:[PE]],MATCH(S$1,PortfolioRef[Reference '#]),0),AssetMonthlyReturns[[#This Row],[SPY]:[PE]])</f>
        <v>1.2966318793076956E-2</v>
      </c>
      <c r="T74" s="27">
        <f>IF(ISNUMBER(T73),T73*(1+PortfolioFrontier[[#This Row],[P5 Return]]),1+PortfolioFrontier[[#This Row],[P5 Return]])</f>
        <v>1.8247339643879228</v>
      </c>
      <c r="U74" s="27">
        <f>MAX(U73,PortfolioFrontier[[#This Row],[P5 Growth]])</f>
        <v>1.8841834525169079</v>
      </c>
      <c r="V74" s="27">
        <f>PortfolioFrontier[[#This Row],[P5 Growth]]/PortfolioFrontier[[#This Row],[P5 HWM]]-1</f>
        <v>-3.1551857675839345E-2</v>
      </c>
      <c r="W74" s="28">
        <f>SUMPRODUCT(INDEX(PortfolioRef[[SPY]:[PE]],MATCH(W$1,PortfolioRef[Reference '#]),0),AssetMonthlyReturns[[#This Row],[SPY]:[PE]])</f>
        <v>1.0753263343601133E-2</v>
      </c>
      <c r="X74" s="27">
        <f>IF(ISNUMBER(X73),X73*(1+PortfolioFrontier[[#This Row],[P6 Return]]),1+PortfolioFrontier[[#This Row],[P6 Return]])</f>
        <v>1.747608332427983</v>
      </c>
      <c r="Y74" s="27">
        <f>MAX(Y73,PortfolioFrontier[[#This Row],[P6 Growth]])</f>
        <v>1.8107203423144032</v>
      </c>
      <c r="Z74" s="27">
        <f>PortfolioFrontier[[#This Row],[P6 Growth]]/PortfolioFrontier[[#This Row],[P6 HWM]]-1</f>
        <v>-3.4854642327457608E-2</v>
      </c>
      <c r="AA74" s="28">
        <f>SUMPRODUCT(INDEX(PortfolioRef[[SPY]:[PE]],MATCH(AA$1,PortfolioRef[Reference '#]),0),AssetMonthlyReturns[[#This Row],[SPY]:[PE]])</f>
        <v>1.2796525210317863E-2</v>
      </c>
      <c r="AB74" s="27">
        <f>IF(ISNUMBER(AB73),AB73*(1+PortfolioFrontier[[#This Row],[P7 Return]]),1+PortfolioFrontier[[#This Row],[P7 Return]])</f>
        <v>1.7741857577655706</v>
      </c>
      <c r="AC74" s="27">
        <f>MAX(AC73,PortfolioFrontier[[#This Row],[P7 Growth]])</f>
        <v>1.8276317298765399</v>
      </c>
      <c r="AD74" s="27">
        <f>PortfolioFrontier[[#This Row],[P7 Growth]]/PortfolioFrontier[[#This Row],[P7 HWM]]-1</f>
        <v>-2.9243294060439462E-2</v>
      </c>
      <c r="AE74" s="28">
        <f>SUMPRODUCT(INDEX(PortfolioRef[[SPY]:[PE]],MATCH(AE$1,PortfolioRef[Reference '#]),0),AssetMonthlyReturns[[#This Row],[SPY]:[PE]])</f>
        <v>1.5003044615840053E-2</v>
      </c>
      <c r="AF74" s="27">
        <f>IF(ISNUMBER(AF73),AF73*(1+PortfolioFrontier[[#This Row],[P8 Return]]),1+PortfolioFrontier[[#This Row],[P8 Return]])</f>
        <v>1.7839463641383808</v>
      </c>
      <c r="AG74" s="27">
        <f>MAX(AG73,PortfolioFrontier[[#This Row],[P8 Growth]])</f>
        <v>1.8482324314062795</v>
      </c>
      <c r="AH74" s="27">
        <f>PortfolioFrontier[[#This Row],[P8 Growth]]/PortfolioFrontier[[#This Row],[P8 HWM]]-1</f>
        <v>-3.4782458188435061E-2</v>
      </c>
      <c r="AI74" s="28">
        <f>SUMPRODUCT(INDEX(PortfolioRef[[SPY]:[PE]],MATCH(AI$1,PortfolioRef[Reference '#]),0),AssetMonthlyReturns[[#This Row],[SPY]:[PE]])</f>
        <v>9.8405011318427604E-3</v>
      </c>
      <c r="AJ74" s="27">
        <f>IF(ISNUMBER(AJ73),AJ73*(1+PortfolioFrontier[[#This Row],[P9 Return]]),1+PortfolioFrontier[[#This Row],[P9 Return]])</f>
        <v>1.7556536570002059</v>
      </c>
      <c r="AK74" s="27">
        <f>MAX(AK73,PortfolioFrontier[[#This Row],[P9 Growth]])</f>
        <v>1.8139467261629987</v>
      </c>
      <c r="AL74" s="27">
        <f>PortfolioFrontier[[#This Row],[P9 Growth]]/PortfolioFrontier[[#This Row],[P9 HWM]]-1</f>
        <v>-3.2136042543045806E-2</v>
      </c>
      <c r="AM74" s="28">
        <f>SUMPRODUCT(INDEX(PortfolioRef[[SPY]:[PE]],MATCH(AM$1,PortfolioRef[Reference '#]),0),AssetMonthlyReturns[[#This Row],[SPY]:[PE]])</f>
        <v>1.4839787077034598E-2</v>
      </c>
      <c r="AN74" s="27">
        <f>IF(ISNUMBER(AN73),AN73*(1+PortfolioFrontier[[#This Row],[P10 Return]]),1+PortfolioFrontier[[#This Row],[P10 Return]])</f>
        <v>1.8007793854955472</v>
      </c>
      <c r="AO74" s="27">
        <f>MAX(AO73,PortfolioFrontier[[#This Row],[P10 Growth]])</f>
        <v>1.8443368551596837</v>
      </c>
      <c r="AP74" s="27">
        <f>PortfolioFrontier[[#This Row],[P10 Growth]]/PortfolioFrontier[[#This Row],[P10 HWM]]-1</f>
        <v>-2.3616873209620581E-2</v>
      </c>
      <c r="AQ74" s="28">
        <f>SUMPRODUCT(INDEX(PortfolioRef[[SPY]:[PE]],MATCH(AQ$1,PortfolioRef[Reference '#]),0),AssetMonthlyReturns[[#This Row],[SPY]:[PE]])</f>
        <v>1.7046306482556787E-2</v>
      </c>
      <c r="AR74" s="27">
        <f>IF(ISNUMBER(AR73),AR73*(1+PortfolioFrontier[[#This Row],[P11 Return]]),1+PortfolioFrontier[[#This Row],[P11 Return]])</f>
        <v>1.8110259460741007</v>
      </c>
      <c r="AS74" s="27">
        <f>MAX(AS73,PortfolioFrontier[[#This Row],[P11 Growth]])</f>
        <v>1.865449984246593</v>
      </c>
      <c r="AT74" s="27">
        <f>PortfolioFrontier[[#This Row],[P11 Growth]]/PortfolioFrontier[[#This Row],[P11 HWM]]-1</f>
        <v>-2.917475066718167E-2</v>
      </c>
      <c r="AU74" s="28">
        <f>SUMPRODUCT(INDEX(PortfolioRef[[SPY]:[PE]],MATCH(AU$1,PortfolioRef[Reference '#]),0),AssetMonthlyReturns[[#This Row],[SPY]:[PE]])</f>
        <v>1.1883762998559495E-2</v>
      </c>
      <c r="AV74" s="27">
        <f>IF(ISNUMBER(AV73),AV73*(1+PortfolioFrontier[[#This Row],[P12 Return]]),1+PortfolioFrontier[[#This Row],[P12 Return]])</f>
        <v>1.7823662632828126</v>
      </c>
      <c r="AW74" s="27">
        <f>MAX(AW73,PortfolioFrontier[[#This Row],[P12 Growth]])</f>
        <v>1.8309154354259589</v>
      </c>
      <c r="AX74" s="27">
        <f>PortfolioFrontier[[#This Row],[P12 Growth]]/PortfolioFrontier[[#This Row],[P12 HWM]]-1</f>
        <v>-2.6516337785885469E-2</v>
      </c>
      <c r="AY74" s="28">
        <f>SUMPRODUCT(INDEX(PortfolioRef[[SPY]:[PE]],MATCH(AY$1,PortfolioRef[Reference '#]),0),AssetMonthlyReturns[[#This Row],[SPY]:[PE]])</f>
        <v>1.9252825888078976E-2</v>
      </c>
      <c r="AZ74" s="27">
        <f>IF(ISNUMBER(AZ73),AZ73*(1+PortfolioFrontier[[#This Row],[P13 Return]]),1+PortfolioFrontier[[#This Row],[P13 Return]])</f>
        <v>1.8202999720672037</v>
      </c>
      <c r="BA74" s="27">
        <f>MAX(BA73,PortfolioFrontier[[#This Row],[P13 Growth]])</f>
        <v>1.8858075751364967</v>
      </c>
      <c r="BB74" s="27">
        <f>PortfolioFrontier[[#This Row],[P13 Growth]]/PortfolioFrontier[[#This Row],[P13 HWM]]-1</f>
        <v>-3.4737161910356362E-2</v>
      </c>
      <c r="BC74" s="28">
        <f>SUMPRODUCT(INDEX(PortfolioRef[[SPY]:[PE]],MATCH(BC$1,PortfolioRef[Reference '#]),0),AssetMonthlyReturns[[#This Row],[SPY]:[PE]])</f>
        <v>1.4090282404081684E-2</v>
      </c>
      <c r="BD74" s="27">
        <f>IF(ISNUMBER(BD73),BD73*(1+PortfolioFrontier[[#This Row],[P14 Return]]),1+PortfolioFrontier[[#This Row],[P14 Return]])</f>
        <v>1.792163364411252</v>
      </c>
      <c r="BE74" s="27">
        <f>MAX(BE73,PortfolioFrontier[[#This Row],[P14 Growth]])</f>
        <v>1.8515113734383843</v>
      </c>
      <c r="BF74" s="27">
        <f>PortfolioFrontier[[#This Row],[P14 Growth]]/PortfolioFrontier[[#This Row],[P14 HWM]]-1</f>
        <v>-3.2053818236567944E-2</v>
      </c>
      <c r="BG74" s="28">
        <f>SUMPRODUCT(INDEX(PortfolioRef[[SPY]:[PE]],MATCH(BG$1,PortfolioRef[Reference '#]),0),AssetMonthlyReturns[[#This Row],[SPY]:[PE]])</f>
        <v>8.9277389200843865E-3</v>
      </c>
      <c r="BH74" s="27">
        <f>IF(ISNUMBER(BH73),BH73*(1+PortfolioFrontier[[#This Row],[P15 Return]]),1+PortfolioFrontier[[#This Row],[P15 Return]])</f>
        <v>1.7635898902552882</v>
      </c>
      <c r="BI74" s="27">
        <f>MAX(BI73,PortfolioFrontier[[#This Row],[P15 Growth]])</f>
        <v>1.8170439473092146</v>
      </c>
      <c r="BJ74" s="27">
        <f>PortfolioFrontier[[#This Row],[P15 Growth]]/PortfolioFrontier[[#This Row],[P15 HWM]]-1</f>
        <v>-2.9418142105524847E-2</v>
      </c>
      <c r="BK74" s="28">
        <f>SUMPRODUCT(INDEX(PortfolioRef[[SPY]:[PE]],MATCH(BK$1,PortfolioRef[Reference '#]),0),AssetMonthlyReturns[[#This Row],[SPY]:[PE]])</f>
        <v>7.6274456823669417E-3</v>
      </c>
      <c r="BL74" s="27">
        <f>IF(ISNUMBER(BL73),BL73*(1+PortfolioFrontier[[#This Row],[P16 Return]]),1+PortfolioFrontier[[#This Row],[P16 Return]])</f>
        <v>1.6807887574693647</v>
      </c>
      <c r="BM74" s="27">
        <f>MAX(BM73,PortfolioFrontier[[#This Row],[P16 Growth]])</f>
        <v>1.7425494832470445</v>
      </c>
      <c r="BN74" s="27">
        <f>PortfolioFrontier[[#This Row],[P16 Growth]]/PortfolioFrontier[[#This Row],[P16 HWM]]-1</f>
        <v>-3.5442738568660648E-2</v>
      </c>
      <c r="BO74" s="28">
        <f>SUMPRODUCT(INDEX(PortfolioRef[[SPY]:[PE]],MATCH(BO$1,PortfolioRef[Reference '#]),0),AssetMonthlyReturns[[#This Row],[SPY]:[PE]])</f>
        <v>9.670707549083675E-3</v>
      </c>
      <c r="BP74" s="27">
        <f>IF(ISNUMBER(BP73),BP73*(1+PortfolioFrontier[[#This Row],[P17 Return]]),1+PortfolioFrontier[[#This Row],[P17 Return]])</f>
        <v>1.706382704166804</v>
      </c>
      <c r="BQ74" s="27">
        <f>MAX(BQ73,PortfolioFrontier[[#This Row],[P17 Growth]])</f>
        <v>1.7588525148836969</v>
      </c>
      <c r="BR74" s="27">
        <f>PortfolioFrontier[[#This Row],[P17 Growth]]/PortfolioFrontier[[#This Row],[P17 HWM]]-1</f>
        <v>-2.9831842222633687E-2</v>
      </c>
      <c r="BS74" s="28">
        <f>SUMPRODUCT(INDEX(PortfolioRef[[SPY]:[PE]],MATCH(BS$1,PortfolioRef[Reference '#]),0),AssetMonthlyReturns[[#This Row],[SPY]:[PE]])</f>
        <v>1.1877226954605864E-2</v>
      </c>
      <c r="BT74" s="27">
        <f>IF(ISNUMBER(BT73),BT73*(1+PortfolioFrontier[[#This Row],[P18 Return]]),1+PortfolioFrontier[[#This Row],[P18 Return]])</f>
        <v>1.7162438851248143</v>
      </c>
      <c r="BU74" s="27">
        <f>MAX(BU73,PortfolioFrontier[[#This Row],[P18 Growth]])</f>
        <v>1.7791407441475846</v>
      </c>
      <c r="BV74" s="27">
        <f>PortfolioFrontier[[#This Row],[P18 Growth]]/PortfolioFrontier[[#This Row],[P18 HWM]]-1</f>
        <v>-3.5352379641502285E-2</v>
      </c>
      <c r="BW74" s="28">
        <f>SUMPRODUCT(INDEX(PortfolioRef[[SPY]:[PE]],MATCH(BW$1,PortfolioRef[Reference '#]),0),AssetMonthlyReturns[[#This Row],[SPY]:[PE]])</f>
        <v>6.7146834706085694E-3</v>
      </c>
      <c r="BX74" s="27">
        <f>IF(ISNUMBER(BX73),BX73*(1+PortfolioFrontier[[#This Row],[P19 Return]]),1+PortfolioFrontier[[#This Row],[P19 Return]])</f>
        <v>1.6885779432668697</v>
      </c>
      <c r="BY74" s="27">
        <f>MAX(BY73,PortfolioFrontier[[#This Row],[P19 Growth]])</f>
        <v>1.7457196180719312</v>
      </c>
      <c r="BZ74" s="27">
        <f>PortfolioFrontier[[#This Row],[P19 Growth]]/PortfolioFrontier[[#This Row],[P19 HWM]]-1</f>
        <v>-3.2732446959708117E-2</v>
      </c>
      <c r="CA74" s="28">
        <f>SUMPRODUCT(INDEX(PortfolioRef[[SPY]:[PE]],MATCH(CA$1,PortfolioRef[Reference '#]),0),AssetMonthlyReturns[[#This Row],[SPY]:[PE]])</f>
        <v>1.1713969415800406E-2</v>
      </c>
      <c r="CB74" s="27">
        <f>IF(ISNUMBER(CB73),CB73*(1+PortfolioFrontier[[#This Row],[P20 Return]]),1+PortfolioFrontier[[#This Row],[P20 Return]])</f>
        <v>1.7319924153413151</v>
      </c>
      <c r="CC74" s="27">
        <f>MAX(CC73,PortfolioFrontier[[#This Row],[P20 Growth]])</f>
        <v>1.7749567522517573</v>
      </c>
      <c r="CD74" s="27">
        <f>PortfolioFrontier[[#This Row],[P20 Growth]]/PortfolioFrontier[[#This Row],[P20 HWM]]-1</f>
        <v>-2.4205850005041829E-2</v>
      </c>
      <c r="CE74" s="28">
        <f>SUMPRODUCT(INDEX(PortfolioRef[[SPY]:[PE]],MATCH(CE$1,PortfolioRef[Reference '#]),0),AssetMonthlyReturns[[#This Row],[SPY]:[PE]])</f>
        <v>1.3920488821322595E-2</v>
      </c>
      <c r="CF74" s="27">
        <f>IF(ISNUMBER(CF73),CF73*(1+PortfolioFrontier[[#This Row],[P21 Return]]),1+PortfolioFrontier[[#This Row],[P21 Return]])</f>
        <v>1.742328837714022</v>
      </c>
      <c r="CG74" s="27">
        <f>MAX(CG73,PortfolioFrontier[[#This Row],[P21 Growth]])</f>
        <v>1.795743356031652</v>
      </c>
      <c r="CH74" s="27">
        <f>PortfolioFrontier[[#This Row],[P21 Growth]]/PortfolioFrontier[[#This Row],[P21 HWM]]-1</f>
        <v>-2.9745073614343642E-2</v>
      </c>
      <c r="CI74" s="28">
        <f>SUMPRODUCT(INDEX(PortfolioRef[[SPY]:[PE]],MATCH(CI$1,PortfolioRef[Reference '#]),0),AssetMonthlyReturns[[#This Row],[SPY]:[PE]])</f>
        <v>8.7579453373253027E-3</v>
      </c>
      <c r="CJ74" s="27">
        <f>IF(ISNUMBER(CJ73),CJ73*(1+PortfolioFrontier[[#This Row],[P22 Return]]),1+PortfolioFrontier[[#This Row],[P22 Return]])</f>
        <v>1.7143028669156526</v>
      </c>
      <c r="CK74" s="27">
        <f>MAX(CK73,PortfolioFrontier[[#This Row],[P22 Growth]])</f>
        <v>1.7620784578443487</v>
      </c>
      <c r="CL74" s="27">
        <f>PortfolioFrontier[[#This Row],[P22 Growth]]/PortfolioFrontier[[#This Row],[P22 HWM]]-1</f>
        <v>-2.7113202999565988E-2</v>
      </c>
      <c r="CM74" s="28">
        <f>SUMPRODUCT(INDEX(PortfolioRef[[SPY]:[PE]],MATCH(CM$1,PortfolioRef[Reference '#]),0),AssetMonthlyReturns[[#This Row],[SPY]:[PE]])</f>
        <v>1.6127008226844784E-2</v>
      </c>
      <c r="CN74" s="27">
        <f>IF(ISNUMBER(CN73),CN73*(1+PortfolioFrontier[[#This Row],[P23 Return]]),1+PortfolioFrontier[[#This Row],[P23 Return]])</f>
        <v>1.7517369400247793</v>
      </c>
      <c r="CO74" s="27">
        <f>MAX(CO73,PortfolioFrontier[[#This Row],[P23 Growth]])</f>
        <v>1.8158151760868648</v>
      </c>
      <c r="CP74" s="27">
        <f>PortfolioFrontier[[#This Row],[P23 Growth]]/PortfolioFrontier[[#This Row],[P23 HWM]]-1</f>
        <v>-3.5288963825148789E-2</v>
      </c>
      <c r="CQ74" s="28">
        <f>SUMPRODUCT(INDEX(PortfolioRef[[SPY]:[PE]],MATCH(CQ$1,PortfolioRef[Reference '#]),0),AssetMonthlyReturns[[#This Row],[SPY]:[PE]])</f>
        <v>1.0964464742847492E-2</v>
      </c>
      <c r="CR74" s="27">
        <f>IF(ISNUMBER(CR73),CR73*(1+PortfolioFrontier[[#This Row],[P24 Return]]),1+PortfolioFrontier[[#This Row],[P24 Return]])</f>
        <v>1.7242017239405598</v>
      </c>
      <c r="CS74" s="27">
        <f>MAX(CS73,PortfolioFrontier[[#This Row],[P24 Growth]])</f>
        <v>1.7823638134718676</v>
      </c>
      <c r="CT74" s="27">
        <f>PortfolioFrontier[[#This Row],[P24 Growth]]/PortfolioFrontier[[#This Row],[P24 HWM]]-1</f>
        <v>-3.263199639248382E-2</v>
      </c>
      <c r="CU74" s="28">
        <f>SUMPRODUCT(INDEX(PortfolioRef[[SPY]:[PE]],MATCH(CU$1,PortfolioRef[Reference '#]),0),AssetMonthlyReturns[[#This Row],[SPY]:[PE]])</f>
        <v>5.8019212588501946E-3</v>
      </c>
      <c r="CV74" s="27">
        <f>IF(ISNUMBER(CV73),CV73*(1+PortfolioFrontier[[#This Row],[P25 Return]]),1+PortfolioFrontier[[#This Row],[P25 Return]])</f>
        <v>1.6962626883523171</v>
      </c>
      <c r="CW74" s="27">
        <f>MAX(CW73,PortfolioFrontier[[#This Row],[P25 Growth]])</f>
        <v>1.7487656732120247</v>
      </c>
      <c r="CX74" s="27">
        <f>PortfolioFrontier[[#This Row],[P25 Growth]]/PortfolioFrontier[[#This Row],[P25 HWM]]-1</f>
        <v>-3.002288166102518E-2</v>
      </c>
      <c r="CY74" s="28">
        <f>SUMPRODUCT(INDEX(PortfolioRef[[SPY]:[PE]],MATCH(CY$1,PortfolioRef[Reference '#]),0),AssetMonthlyReturns[[#This Row],[SPY]:[PE]])</f>
        <v>1.5963750688039329E-2</v>
      </c>
      <c r="CZ74" s="27">
        <f>IF(ISNUMBER(CZ73),CZ73*(1+PortfolioFrontier[[#This Row],[P26 Return]]),1+PortfolioFrontier[[#This Row],[P26 Return]])</f>
        <v>1.7684290452115854</v>
      </c>
      <c r="DA74" s="27">
        <f>MAX(DA73,PortfolioFrontier[[#This Row],[P26 Growth]])</f>
        <v>1.8121428498945955</v>
      </c>
      <c r="DB74" s="27">
        <f>PortfolioFrontier[[#This Row],[P26 Growth]]/PortfolioFrontier[[#This Row],[P26 HWM]]-1</f>
        <v>-2.4122714545132484E-2</v>
      </c>
      <c r="DC74" s="28">
        <f>SUMPRODUCT(INDEX(PortfolioRef[[SPY]:[PE]],MATCH(DC$1,PortfolioRef[Reference '#]),0),AssetMonthlyReturns[[#This Row],[SPY]:[PE]])</f>
        <v>1.0801207204042037E-2</v>
      </c>
      <c r="DD74" s="27">
        <f>IF(ISNUMBER(DD73),DD73*(1+PortfolioFrontier[[#This Row],[P27 Return]]),1+PortfolioFrontier[[#This Row],[P27 Return]])</f>
        <v>1.7400442643297547</v>
      </c>
      <c r="DE74" s="27">
        <f>MAX(DE73,PortfolioFrontier[[#This Row],[P27 Growth]])</f>
        <v>1.7782387807323972</v>
      </c>
      <c r="DF74" s="27">
        <f>PortfolioFrontier[[#This Row],[P27 Growth]]/PortfolioFrontier[[#This Row],[P27 HWM]]-1</f>
        <v>-2.1478845707611605E-2</v>
      </c>
      <c r="DG74" s="28">
        <f>SUMPRODUCT(INDEX(PortfolioRef[[SPY]:[PE]],MATCH(DG$1,PortfolioRef[Reference '#]),0),AssetMonthlyReturns[[#This Row],[SPY]:[PE]])</f>
        <v>1.8170270093561518E-2</v>
      </c>
      <c r="DH74" s="27">
        <f>IF(ISNUMBER(DH73),DH73*(1+PortfolioFrontier[[#This Row],[P28 Return]]),1+PortfolioFrontier[[#This Row],[P28 Return]])</f>
        <v>1.7783119462598151</v>
      </c>
      <c r="DI74" s="27">
        <f>MAX(DI73,PortfolioFrontier[[#This Row],[P28 Growth]])</f>
        <v>1.8327167417336543</v>
      </c>
      <c r="DJ74" s="27">
        <f>PortfolioFrontier[[#This Row],[P28 Growth]]/PortfolioFrontier[[#This Row],[P28 HWM]]-1</f>
        <v>-2.96853268347268E-2</v>
      </c>
      <c r="DK74" s="28">
        <f>SUMPRODUCT(INDEX(PortfolioRef[[SPY]:[PE]],MATCH(DK$1,PortfolioRef[Reference '#]),0),AssetMonthlyReturns[[#This Row],[SPY]:[PE]])</f>
        <v>1.3007726609564226E-2</v>
      </c>
      <c r="DL74" s="27">
        <f>IF(ISNUMBER(DL73),DL73*(1+PortfolioFrontier[[#This Row],[P29 Return]]),1+PortfolioFrontier[[#This Row],[P29 Return]])</f>
        <v>1.7504202208132673</v>
      </c>
      <c r="DM74" s="27">
        <f>MAX(DM73,PortfolioFrontier[[#This Row],[P29 Growth]])</f>
        <v>1.7990232294645383</v>
      </c>
      <c r="DN74" s="27">
        <f>PortfolioFrontier[[#This Row],[P29 Growth]]/PortfolioFrontier[[#This Row],[P29 HWM]]-1</f>
        <v>-2.7016331893467083E-2</v>
      </c>
      <c r="DO74" s="28">
        <f>SUMPRODUCT(INDEX(PortfolioRef[[SPY]:[PE]],MATCH(DO$1,PortfolioRef[Reference '#]),0),AssetMonthlyReturns[[#This Row],[SPY]:[PE]])</f>
        <v>7.8451831255669287E-3</v>
      </c>
      <c r="DP74" s="27">
        <f>IF(ISNUMBER(DP73),DP73*(1+PortfolioFrontier[[#This Row],[P30 Return]]),1+PortfolioFrontier[[#This Row],[P30 Return]])</f>
        <v>1.7221172325873717</v>
      </c>
      <c r="DQ74" s="27">
        <f>MAX(DQ73,PortfolioFrontier[[#This Row],[P30 Growth]])</f>
        <v>1.7651792866223672</v>
      </c>
      <c r="DR74" s="27">
        <f>PortfolioFrontier[[#This Row],[P30 Growth]]/PortfolioFrontier[[#This Row],[P30 HWM]]-1</f>
        <v>-2.4395286281312489E-2</v>
      </c>
      <c r="DS74" s="28">
        <f>SUMPRODUCT(INDEX(PortfolioRef[[SPY]:[PE]],MATCH(DS$1,PortfolioRef[Reference '#]),0),AssetMonthlyReturns[[#This Row],[SPY]:[PE]])</f>
        <v>2.0376789499083708E-2</v>
      </c>
      <c r="DT74" s="27">
        <f>IF(ISNUMBER(DT73),DT73*(1+PortfolioFrontier[[#This Row],[P31 Return]]),1+PortfolioFrontier[[#This Row],[P31 Return]])</f>
        <v>1.7872362042951582</v>
      </c>
      <c r="DU74" s="27">
        <f>MAX(DU73,PortfolioFrontier[[#This Row],[P31 Growth]])</f>
        <v>1.8525428026208837</v>
      </c>
      <c r="DV74" s="27">
        <f>PortfolioFrontier[[#This Row],[P31 Growth]]/PortfolioFrontier[[#This Row],[P31 HWM]]-1</f>
        <v>-3.5252409948819063E-2</v>
      </c>
      <c r="DW74" s="28">
        <f>SUMPRODUCT(INDEX(PortfolioRef[[SPY]:[PE]],MATCH(DW$1,PortfolioRef[Reference '#]),0),AssetMonthlyReturns[[#This Row],[SPY]:[PE]])</f>
        <v>1.5214246015086415E-2</v>
      </c>
      <c r="DX74" s="27">
        <f>IF(ISNUMBER(DX73),DX73*(1+PortfolioFrontier[[#This Row],[P32 Return]]),1+PortfolioFrontier[[#This Row],[P32 Return]])</f>
        <v>1.7598638983419777</v>
      </c>
      <c r="DY74" s="27">
        <f>MAX(DY73,PortfolioFrontier[[#This Row],[P32 Growth]])</f>
        <v>1.8190908915066115</v>
      </c>
      <c r="DZ74" s="27">
        <f>PortfolioFrontier[[#This Row],[P32 Growth]]/PortfolioFrontier[[#This Row],[P32 HWM]]-1</f>
        <v>-3.2558567271798511E-2</v>
      </c>
      <c r="EA74" s="28">
        <f>SUMPRODUCT(INDEX(PortfolioRef[[SPY]:[PE]],MATCH(EA$1,PortfolioRef[Reference '#]),0),AssetMonthlyReturns[[#This Row],[SPY]:[PE]])</f>
        <v>1.0051702531089118E-2</v>
      </c>
      <c r="EB74" s="27">
        <f>IF(ISNUMBER(EB73),EB73*(1+PortfolioFrontier[[#This Row],[P33 Return]]),1+PortfolioFrontier[[#This Row],[P33 Return]])</f>
        <v>1.7320528805330155</v>
      </c>
      <c r="EC74" s="27">
        <f>MAX(EC73,PortfolioFrontier[[#This Row],[P33 Growth]])</f>
        <v>1.7854600976944932</v>
      </c>
      <c r="ED74" s="27">
        <f>PortfolioFrontier[[#This Row],[P33 Growth]]/PortfolioFrontier[[#This Row],[P33 HWM]]-1</f>
        <v>-2.9912299485404747E-2</v>
      </c>
      <c r="EE74" s="28">
        <f>SUMPRODUCT(INDEX(PortfolioRef[[SPY]:[PE]],MATCH(EE$1,PortfolioRef[Reference '#]),0),AssetMonthlyReturns[[#This Row],[SPY]:[PE]])</f>
        <v>4.5016280211327463E-3</v>
      </c>
      <c r="EF74" s="27">
        <f>IF(ISNUMBER(EF73),EF73*(1+PortfolioFrontier[[#This Row],[P34 Return]]),1+PortfolioFrontier[[#This Row],[P34 Return]])</f>
        <v>1.6159402689993405</v>
      </c>
      <c r="EG74" s="27">
        <f>MAX(EG73,PortfolioFrontier[[#This Row],[P34 Growth]])</f>
        <v>1.6763614413137211</v>
      </c>
      <c r="EH74" s="27">
        <f>PortfolioFrontier[[#This Row],[P34 Growth]]/PortfolioFrontier[[#This Row],[P34 HWM]]-1</f>
        <v>-3.6043045864279755E-2</v>
      </c>
      <c r="EI74" s="28">
        <f>SUMPRODUCT(INDEX(PortfolioRef[[SPY]:[PE]],MATCH(EI$1,PortfolioRef[Reference '#]),0),AssetMonthlyReturns[[#This Row],[SPY]:[PE]])</f>
        <v>6.5448898878494805E-3</v>
      </c>
      <c r="EJ74" s="27">
        <f>IF(ISNUMBER(EJ73),EJ73*(1+PortfolioFrontier[[#This Row],[P35 Return]]),1+PortfolioFrontier[[#This Row],[P35 Return]])</f>
        <v>1.6405786986947506</v>
      </c>
      <c r="EK74" s="27">
        <f>MAX(EK73,PortfolioFrontier[[#This Row],[P35 Growth]])</f>
        <v>1.6920729334369538</v>
      </c>
      <c r="EL74" s="27">
        <f>PortfolioFrontier[[#This Row],[P35 Growth]]/PortfolioFrontier[[#This Row],[P35 HWM]]-1</f>
        <v>-3.0432633088461225E-2</v>
      </c>
      <c r="EM74" s="28">
        <f>SUMPRODUCT(INDEX(PortfolioRef[[SPY]:[PE]],MATCH(EM$1,PortfolioRef[Reference '#]),0),AssetMonthlyReturns[[#This Row],[SPY]:[PE]])</f>
        <v>8.7514092933716689E-3</v>
      </c>
      <c r="EN74" s="27">
        <f>IF(ISNUMBER(EN73),EN73*(1+PortfolioFrontier[[#This Row],[P36 Return]]),1+PortfolioFrontier[[#This Row],[P36 Return]])</f>
        <v>1.6505133392807854</v>
      </c>
      <c r="EO74" s="27">
        <f>MAX(EO73,PortfolioFrontier[[#This Row],[P36 Growth]])</f>
        <v>1.7120343963250326</v>
      </c>
      <c r="EP74" s="27">
        <f>PortfolioFrontier[[#This Row],[P36 Growth]]/PortfolioFrontier[[#This Row],[P36 HWM]]-1</f>
        <v>-3.593447490091628E-2</v>
      </c>
      <c r="EQ74" s="28">
        <f>SUMPRODUCT(INDEX(PortfolioRef[[SPY]:[PE]],MATCH(EQ$1,PortfolioRef[Reference '#]),0),AssetMonthlyReturns[[#This Row],[SPY]:[PE]])</f>
        <v>3.5888658093743758E-3</v>
      </c>
      <c r="ER74" s="27">
        <f>IF(ISNUMBER(ER73),ER73*(1+PortfolioFrontier[[#This Row],[P37 Return]]),1+PortfolioFrontier[[#This Row],[P37 Return]])</f>
        <v>1.623478187481135</v>
      </c>
      <c r="ES74" s="27">
        <f>MAX(ES73,PortfolioFrontier[[#This Row],[P37 Growth]])</f>
        <v>1.6794736802569215</v>
      </c>
      <c r="ET74" s="27">
        <f>PortfolioFrontier[[#This Row],[P37 Growth]]/PortfolioFrontier[[#This Row],[P37 HWM]]-1</f>
        <v>-3.3341095745674565E-2</v>
      </c>
      <c r="EU74" s="28">
        <f>SUMPRODUCT(INDEX(PortfolioRef[[SPY]:[PE]],MATCH(EU$1,PortfolioRef[Reference '#]),0),AssetMonthlyReturns[[#This Row],[SPY]:[PE]])</f>
        <v>8.5881517545662138E-3</v>
      </c>
      <c r="EV74" s="27">
        <f>IF(ISNUMBER(EV73),EV73*(1+PortfolioFrontier[[#This Row],[P38 Return]]),1+PortfolioFrontier[[#This Row],[P38 Return]])</f>
        <v>1.6652324644717837</v>
      </c>
      <c r="EW74" s="27">
        <f>MAX(EW73,PortfolioFrontier[[#This Row],[P38 Growth]])</f>
        <v>1.7075928941250238</v>
      </c>
      <c r="EX74" s="27">
        <f>PortfolioFrontier[[#This Row],[P38 Growth]]/PortfolioFrontier[[#This Row],[P38 HWM]]-1</f>
        <v>-2.4807101153314193E-2</v>
      </c>
      <c r="EY74" s="28">
        <f>SUMPRODUCT(INDEX(PortfolioRef[[SPY]:[PE]],MATCH(EY$1,PortfolioRef[Reference '#]),0),AssetMonthlyReturns[[#This Row],[SPY]:[PE]])</f>
        <v>1.0794671160088403E-2</v>
      </c>
      <c r="EZ74" s="27">
        <f>IF(ISNUMBER(EZ73),EZ73*(1+PortfolioFrontier[[#This Row],[P39 Return]]),1+PortfolioFrontier[[#This Row],[P39 Return]])</f>
        <v>1.6756315830052406</v>
      </c>
      <c r="FA74" s="27">
        <f>MAX(FA73,PortfolioFrontier[[#This Row],[P39 Growth]])</f>
        <v>1.7280388577532122</v>
      </c>
      <c r="FB74" s="27">
        <f>PortfolioFrontier[[#This Row],[P39 Growth]]/PortfolioFrontier[[#This Row],[P39 HWM]]-1</f>
        <v>-3.0327602017069966E-2</v>
      </c>
      <c r="FC74" s="28">
        <f>SUMPRODUCT(INDEX(PortfolioRef[[SPY]:[PE]],MATCH(FC$1,PortfolioRef[Reference '#]),0),AssetMonthlyReturns[[#This Row],[SPY]:[PE]])</f>
        <v>5.6321276760911082E-3</v>
      </c>
      <c r="FD74" s="27">
        <f>IF(ISNUMBER(FD73),FD73*(1+PortfolioFrontier[[#This Row],[P40 Return]]),1+PortfolioFrontier[[#This Row],[P40 Return]])</f>
        <v>1.6482434705425439</v>
      </c>
      <c r="FE74" s="27">
        <f>MAX(FE73,PortfolioFrontier[[#This Row],[P40 Growth]])</f>
        <v>1.6952394830468527</v>
      </c>
      <c r="FF74" s="27">
        <f>PortfolioFrontier[[#This Row],[P40 Growth]]/PortfolioFrontier[[#This Row],[P40 HWM]]-1</f>
        <v>-2.772234423176767E-2</v>
      </c>
      <c r="FG74" s="28">
        <f>SUMPRODUCT(INDEX(PortfolioRef[[SPY]:[PE]],MATCH(FG$1,PortfolioRef[Reference '#]),0),AssetMonthlyReturns[[#This Row],[SPY]:[PE]])</f>
        <v>1.3001190565610589E-2</v>
      </c>
      <c r="FH74" s="27">
        <f>IF(ISNUMBER(FH73),FH73*(1+PortfolioFrontier[[#This Row],[P41 Return]]),1+PortfolioFrontier[[#This Row],[P41 Return]])</f>
        <v>1.6851450975424802</v>
      </c>
      <c r="FI74" s="27">
        <f>MAX(FI73,PortfolioFrontier[[#This Row],[P41 Growth]])</f>
        <v>1.7478091274239449</v>
      </c>
      <c r="FJ74" s="27">
        <f>PortfolioFrontier[[#This Row],[P41 Growth]]/PortfolioFrontier[[#This Row],[P41 HWM]]-1</f>
        <v>-3.5852902298218248E-2</v>
      </c>
      <c r="FK74" s="28">
        <f>SUMPRODUCT(INDEX(PortfolioRef[[SPY]:[PE]],MATCH(FK$1,PortfolioRef[Reference '#]),0),AssetMonthlyReturns[[#This Row],[SPY]:[PE]])</f>
        <v>7.8386470816132967E-3</v>
      </c>
      <c r="FL74" s="27">
        <f>IF(ISNUMBER(FL73),FL73*(1+PortfolioFrontier[[#This Row],[P42 Return]]),1+PortfolioFrontier[[#This Row],[P42 Return]])</f>
        <v>1.6582168280749552</v>
      </c>
      <c r="FM74" s="27">
        <f>MAX(FM73,PortfolioFrontier[[#This Row],[P42 Growth]])</f>
        <v>1.7151998522045959</v>
      </c>
      <c r="FN74" s="27">
        <f>PortfolioFrontier[[#This Row],[P42 Growth]]/PortfolioFrontier[[#This Row],[P42 HWM]]-1</f>
        <v>-3.3222381669633871E-2</v>
      </c>
      <c r="FO74" s="28">
        <f>SUMPRODUCT(INDEX(PortfolioRef[[SPY]:[PE]],MATCH(FO$1,PortfolioRef[Reference '#]),0),AssetMonthlyReturns[[#This Row],[SPY]:[PE]])</f>
        <v>2.6761035976160009E-3</v>
      </c>
      <c r="FP74" s="27">
        <f>IF(ISNUMBER(FP73),FP73*(1+PortfolioFrontier[[#This Row],[P43 Return]]),1+PortfolioFrontier[[#This Row],[P43 Return]])</f>
        <v>1.6309161517517718</v>
      </c>
      <c r="FQ74" s="27">
        <f>MAX(FQ73,PortfolioFrontier[[#This Row],[P43 Growth]])</f>
        <v>1.6824667632825669</v>
      </c>
      <c r="FR74" s="27">
        <f>PortfolioFrontier[[#This Row],[P43 Growth]]/PortfolioFrontier[[#This Row],[P43 HWM]]-1</f>
        <v>-3.0639898900717388E-2</v>
      </c>
      <c r="FS74" s="28">
        <f>SUMPRODUCT(INDEX(PortfolioRef[[SPY]:[PE]],MATCH(FS$1,PortfolioRef[Reference '#]),0),AssetMonthlyReturns[[#This Row],[SPY]:[PE]])</f>
        <v>1.2837933026805134E-2</v>
      </c>
      <c r="FT74" s="27">
        <f>IF(ISNUMBER(FT73),FT73*(1+PortfolioFrontier[[#This Row],[P44 Return]]),1+PortfolioFrontier[[#This Row],[P44 Return]])</f>
        <v>1.7007646768543341</v>
      </c>
      <c r="FU74" s="27">
        <f>MAX(FU73,PortfolioFrontier[[#This Row],[P44 Growth]])</f>
        <v>1.7438475694471607</v>
      </c>
      <c r="FV74" s="27">
        <f>PortfolioFrontier[[#This Row],[P44 Growth]]/PortfolioFrontier[[#This Row],[P44 HWM]]-1</f>
        <v>-2.4705652803406974E-2</v>
      </c>
      <c r="FW74" s="28">
        <f>SUMPRODUCT(INDEX(PortfolioRef[[SPY]:[PE]],MATCH(FW$1,PortfolioRef[Reference '#]),0),AssetMonthlyReturns[[#This Row],[SPY]:[PE]])</f>
        <v>7.6753895428078407E-3</v>
      </c>
      <c r="FX74" s="27">
        <f>IF(ISNUMBER(FX73),FX73*(1+PortfolioFrontier[[#This Row],[P45 Return]]),1+PortfolioFrontier[[#This Row],[P45 Return]])</f>
        <v>1.6730247756073373</v>
      </c>
      <c r="FY74" s="27">
        <f>MAX(FY73,PortfolioFrontier[[#This Row],[P45 Growth]])</f>
        <v>1.7108140158896465</v>
      </c>
      <c r="FZ74" s="27">
        <f>PortfolioFrontier[[#This Row],[P45 Growth]]/PortfolioFrontier[[#This Row],[P45 HWM]]-1</f>
        <v>-2.2088456098285025E-2</v>
      </c>
      <c r="GA74" s="28">
        <f>SUMPRODUCT(INDEX(PortfolioRef[[SPY]:[PE]],MATCH(GA$1,PortfolioRef[Reference '#]),0),AssetMonthlyReturns[[#This Row],[SPY]:[PE]])</f>
        <v>1.5044452432327323E-2</v>
      </c>
      <c r="GB74" s="27">
        <f>IF(ISNUMBER(GB73),GB73*(1+PortfolioFrontier[[#This Row],[P46 Return]]),1+PortfolioFrontier[[#This Row],[P46 Return]])</f>
        <v>1.7107425375896055</v>
      </c>
      <c r="GC74" s="27">
        <f>MAX(GC73,PortfolioFrontier[[#This Row],[P46 Growth]])</f>
        <v>1.7641061270089846</v>
      </c>
      <c r="GD74" s="27">
        <f>PortfolioFrontier[[#This Row],[P46 Growth]]/PortfolioFrontier[[#This Row],[P46 HWM]]-1</f>
        <v>-3.0249648024212816E-2</v>
      </c>
      <c r="GE74" s="28">
        <f>SUMPRODUCT(INDEX(PortfolioRef[[SPY]:[PE]],MATCH(GE$1,PortfolioRef[Reference '#]),0),AssetMonthlyReturns[[#This Row],[SPY]:[PE]])</f>
        <v>9.8819089483300308E-3</v>
      </c>
      <c r="GF74" s="27">
        <f>IF(ISNUMBER(GF73),GF73*(1+PortfolioFrontier[[#This Row],[P47 Return]]),1+PortfolioFrontier[[#This Row],[P47 Return]])</f>
        <v>1.6834644491364485</v>
      </c>
      <c r="GG74" s="27">
        <f>MAX(GG73,PortfolioFrontier[[#This Row],[P47 Growth]])</f>
        <v>1.7312596087544752</v>
      </c>
      <c r="GH74" s="27">
        <f>PortfolioFrontier[[#This Row],[P47 Growth]]/PortfolioFrontier[[#This Row],[P47 HWM]]-1</f>
        <v>-2.7607159189956487E-2</v>
      </c>
      <c r="GI74" s="28">
        <f>SUMPRODUCT(INDEX(PortfolioRef[[SPY]:[PE]],MATCH(GI$1,PortfolioRef[Reference '#]),0),AssetMonthlyReturns[[#This Row],[SPY]:[PE]])</f>
        <v>4.7193654643327334E-3</v>
      </c>
      <c r="GJ74" s="27">
        <f>IF(ISNUMBER(GJ73),GJ73*(1+PortfolioFrontier[[#This Row],[P48 Return]]),1+PortfolioFrontier[[#This Row],[P48 Return]])</f>
        <v>1.6558069901374808</v>
      </c>
      <c r="GK74" s="27">
        <f>MAX(GK73,PortfolioFrontier[[#This Row],[P48 Growth]])</f>
        <v>1.6982858835097865</v>
      </c>
      <c r="GL74" s="27">
        <f>PortfolioFrontier[[#This Row],[P48 Growth]]/PortfolioFrontier[[#This Row],[P48 HWM]]-1</f>
        <v>-2.5012804843267067E-2</v>
      </c>
      <c r="GM74" s="28">
        <f>SUMPRODUCT(INDEX(PortfolioRef[[SPY]:[PE]],MATCH(GM$1,PortfolioRef[Reference '#]),0),AssetMonthlyReturns[[#This Row],[SPY]:[PE]])</f>
        <v>1.7250971837849512E-2</v>
      </c>
      <c r="GN74" s="27">
        <f>IF(ISNUMBER(GN73),GN73*(1+PortfolioFrontier[[#This Row],[P49 Return]]),1+PortfolioFrontier[[#This Row],[P49 Return]])</f>
        <v>1.7198053096540971</v>
      </c>
      <c r="GO74" s="27">
        <f>MAX(GO73,PortfolioFrontier[[#This Row],[P49 Growth]])</f>
        <v>1.7836571071341945</v>
      </c>
      <c r="GP74" s="27">
        <f>PortfolioFrontier[[#This Row],[P49 Growth]]/PortfolioFrontier[[#This Row],[P49 HWM]]-1</f>
        <v>-3.5798246885405116E-2</v>
      </c>
      <c r="GQ74" s="28">
        <f>SUMPRODUCT(INDEX(PortfolioRef[[SPY]:[PE]],MATCH(GQ$1,PortfolioRef[Reference '#]),0),AssetMonthlyReturns[[#This Row],[SPY]:[PE]])</f>
        <v>1.208842835385222E-2</v>
      </c>
      <c r="GR74" s="27">
        <f>IF(ISNUMBER(GR73),GR73*(1+PortfolioFrontier[[#This Row],[P50 Return]]),1+PortfolioFrontier[[#This Row],[P50 Return]])</f>
        <v>1.6930147151050798</v>
      </c>
      <c r="GS74" s="27">
        <f>MAX(GS73,PortfolioFrontier[[#This Row],[P50 Growth]])</f>
        <v>1.7510275614895194</v>
      </c>
      <c r="GT74" s="27">
        <f>PortfolioFrontier[[#This Row],[P50 Growth]]/PortfolioFrontier[[#This Row],[P50 HWM]]-1</f>
        <v>-3.3130744289993186E-2</v>
      </c>
      <c r="GU74" s="28">
        <f>SUMPRODUCT(INDEX(PortfolioRef[[SPY]:[PE]],MATCH(GU$1,PortfolioRef[Reference '#]),0),AssetMonthlyReturns[[#This Row],[SPY]:[PE]])</f>
        <v>6.9258848698549227E-3</v>
      </c>
      <c r="GV74" s="27">
        <f>IF(ISNUMBER(GV73),GV73*(1+PortfolioFrontier[[#This Row],[P51 Return]]),1+PortfolioFrontier[[#This Row],[P51 Return]])</f>
        <v>1.6658181931200222</v>
      </c>
      <c r="GW74" s="27">
        <f>MAX(GW73,PortfolioFrontier[[#This Row],[P51 Growth]])</f>
        <v>1.7182435242855478</v>
      </c>
      <c r="GX74" s="27">
        <f>PortfolioFrontier[[#This Row],[P51 Growth]]/PortfolioFrontier[[#This Row],[P51 HWM]]-1</f>
        <v>-3.0511001743669719E-2</v>
      </c>
      <c r="GY74" s="28">
        <f>SUMPRODUCT(INDEX(PortfolioRef[[SPY]:[PE]],MATCH(GY$1,PortfolioRef[Reference '#]),0),AssetMonthlyReturns[[#This Row],[SPY]:[PE]])</f>
        <v>1.7087714299044057E-2</v>
      </c>
      <c r="GZ74" s="27">
        <f>IF(ISNUMBER(GZ73),GZ73*(1+PortfolioFrontier[[#This Row],[P52 Return]]),1+PortfolioFrontier[[#This Row],[P52 Return]])</f>
        <v>1.7363543168242876</v>
      </c>
      <c r="HA74" s="27">
        <f>MAX(HA73,PortfolioFrontier[[#This Row],[P52 Growth]])</f>
        <v>1.7802031417261526</v>
      </c>
      <c r="HB74" s="27">
        <f>PortfolioFrontier[[#This Row],[P52 Growth]]/PortfolioFrontier[[#This Row],[P52 HWM]]-1</f>
        <v>-2.4631360249902423E-2</v>
      </c>
      <c r="HC74" s="28">
        <f>SUMPRODUCT(INDEX(PortfolioRef[[SPY]:[PE]],MATCH(HC$1,PortfolioRef[Reference '#]),0),AssetMonthlyReturns[[#This Row],[SPY]:[PE]])</f>
        <v>1.1925170815046765E-2</v>
      </c>
      <c r="HD74" s="27">
        <f>IF(ISNUMBER(HD73),HD73*(1+PortfolioFrontier[[#This Row],[P53 Return]]),1+PortfolioFrontier[[#This Row],[P53 Return]])</f>
        <v>1.708727615402297</v>
      </c>
      <c r="HE74" s="27">
        <f>MAX(HE73,PortfolioFrontier[[#This Row],[P53 Growth]])</f>
        <v>1.7471238825308339</v>
      </c>
      <c r="HF74" s="27">
        <f>PortfolioFrontier[[#This Row],[P53 Growth]]/PortfolioFrontier[[#This Row],[P53 HWM]]-1</f>
        <v>-2.19768429202154E-2</v>
      </c>
      <c r="HG74" s="28">
        <f>SUMPRODUCT(INDEX(PortfolioRef[[SPY]:[PE]],MATCH(HG$1,PortfolioRef[Reference '#]),0),AssetMonthlyReturns[[#This Row],[SPY]:[PE]])</f>
        <v>6.7626273310494676E-3</v>
      </c>
      <c r="HH74" s="27">
        <f>IF(ISNUMBER(HH73),HH73*(1+PortfolioFrontier[[#This Row],[P54 Return]]),1+PortfolioFrontier[[#This Row],[P54 Return]])</f>
        <v>1.6807145418782847</v>
      </c>
      <c r="HI74" s="27">
        <f>MAX(HI73,PortfolioFrontier[[#This Row],[P54 Growth]])</f>
        <v>1.7139140104060526</v>
      </c>
      <c r="HJ74" s="27">
        <f>PortfolioFrontier[[#This Row],[P54 Growth]]/PortfolioFrontier[[#This Row],[P54 HWM]]-1</f>
        <v>-1.9370556705993969E-2</v>
      </c>
      <c r="HK74" s="28">
        <f>SUMPRODUCT(INDEX(PortfolioRef[[SPY]:[PE]],MATCH(HK$1,PortfolioRef[Reference '#]),0),AssetMonthlyReturns[[#This Row],[SPY]:[PE]])</f>
        <v>1.9294233704566247E-2</v>
      </c>
      <c r="HL74" s="27">
        <f>IF(ISNUMBER(HL73),HL73*(1+PortfolioFrontier[[#This Row],[P55 Return]]),1+PortfolioFrontier[[#This Row],[P55 Return]])</f>
        <v>1.7458808925519318</v>
      </c>
      <c r="HM74" s="27">
        <f>MAX(HM73,PortfolioFrontier[[#This Row],[P55 Growth]])</f>
        <v>1.8002459621778737</v>
      </c>
      <c r="HN74" s="27">
        <f>PortfolioFrontier[[#This Row],[P55 Growth]]/PortfolioFrontier[[#This Row],[P55 HWM]]-1</f>
        <v>-3.019868993910868E-2</v>
      </c>
      <c r="HO74" s="28">
        <f>SUMPRODUCT(INDEX(PortfolioRef[[SPY]:[PE]],MATCH(HO$1,PortfolioRef[Reference '#]),0),AssetMonthlyReturns[[#This Row],[SPY]:[PE]])</f>
        <v>1.4131690220568954E-2</v>
      </c>
      <c r="HP74" s="27">
        <f>IF(ISNUMBER(HP73),HP73*(1+PortfolioFrontier[[#This Row],[P56 Return]]),1+PortfolioFrontier[[#This Row],[P56 Return]])</f>
        <v>1.7187440576652631</v>
      </c>
      <c r="HQ74" s="27">
        <f>MAX(HQ73,PortfolioFrontier[[#This Row],[P56 Growth]])</f>
        <v>1.767380839986993</v>
      </c>
      <c r="HR74" s="27">
        <f>PortfolioFrontier[[#This Row],[P56 Growth]]/PortfolioFrontier[[#This Row],[P56 HWM]]-1</f>
        <v>-2.7519129562413869E-2</v>
      </c>
      <c r="HS74" s="28">
        <f>SUMPRODUCT(INDEX(PortfolioRef[[SPY]:[PE]],MATCH(HS$1,PortfolioRef[Reference '#]),0),AssetMonthlyReturns[[#This Row],[SPY]:[PE]])</f>
        <v>8.9691467365716569E-3</v>
      </c>
      <c r="HT74" s="27">
        <f>IF(ISNUMBER(HT73),HT73*(1+PortfolioFrontier[[#This Row],[P57 Return]]),1+PortfolioFrontier[[#This Row],[P57 Return]])</f>
        <v>1.6911938675789502</v>
      </c>
      <c r="HU74" s="27">
        <f>MAX(HU73,PortfolioFrontier[[#This Row],[P57 Growth]])</f>
        <v>1.7343575628436463</v>
      </c>
      <c r="HV74" s="27">
        <f>PortfolioFrontier[[#This Row],[P57 Growth]]/PortfolioFrontier[[#This Row],[P57 HWM]]-1</f>
        <v>-2.4887425862706758E-2</v>
      </c>
      <c r="HW74" s="28">
        <f>SUMPRODUCT(INDEX(PortfolioRef[[SPY]:[PE]],MATCH(HW$1,PortfolioRef[Reference '#]),0),AssetMonthlyReturns[[#This Row],[SPY]:[PE]])</f>
        <v>2.1500753110088436E-2</v>
      </c>
      <c r="HX74" s="27">
        <f>IF(ISNUMBER(HX73),HX73*(1+PortfolioFrontier[[#This Row],[P58 Return]]),1+PortfolioFrontier[[#This Row],[P58 Return]])</f>
        <v>1.7544626998278947</v>
      </c>
      <c r="HY74" s="27">
        <f>MAX(HY73,PortfolioFrontier[[#This Row],[P58 Growth]])</f>
        <v>1.8195487359549802</v>
      </c>
      <c r="HZ74" s="27">
        <f>PortfolioFrontier[[#This Row],[P58 Growth]]/PortfolioFrontier[[#This Row],[P58 HWM]]-1</f>
        <v>-3.5770427491696455E-2</v>
      </c>
      <c r="IA74" s="28">
        <f>SUMPRODUCT(INDEX(PortfolioRef[[SPY]:[PE]],MATCH(IA$1,PortfolioRef[Reference '#]),0),AssetMonthlyReturns[[#This Row],[SPY]:[PE]])</f>
        <v>1.6338209626091144E-2</v>
      </c>
      <c r="IB74" s="27">
        <f>IF(ISNUMBER(IB73),IB73*(1+PortfolioFrontier[[#This Row],[P59 Return]]),1+PortfolioFrontier[[#This Row],[P59 Return]])</f>
        <v>1.7278414874121795</v>
      </c>
      <c r="IC74" s="27">
        <f>MAX(IC73,PortfolioFrontier[[#This Row],[P59 Growth]])</f>
        <v>1.7869282396294996</v>
      </c>
      <c r="ID74" s="27">
        <f>PortfolioFrontier[[#This Row],[P59 Growth]]/PortfolioFrontier[[#This Row],[P59 HWM]]-1</f>
        <v>-3.3066102435971967E-2</v>
      </c>
      <c r="IE74" s="28">
        <f>SUMPRODUCT(INDEX(PortfolioRef[[SPY]:[PE]],MATCH(IE$1,PortfolioRef[Reference '#]),0),AssetMonthlyReturns[[#This Row],[SPY]:[PE]])</f>
        <v>1.1175666142093846E-2</v>
      </c>
      <c r="IF74" s="27">
        <f>IF(ISNUMBER(IF73),IF73*(1+PortfolioFrontier[[#This Row],[P60 Return]]),1+PortfolioFrontier[[#This Row],[P60 Return]])</f>
        <v>1.7007800295557631</v>
      </c>
      <c r="IG74" s="27">
        <f>MAX(IG73,PortfolioFrontier[[#This Row],[P60 Growth]])</f>
        <v>1.7541215677111524</v>
      </c>
      <c r="IH74" s="27">
        <f>PortfolioFrontier[[#This Row],[P60 Growth]]/PortfolioFrontier[[#This Row],[P60 HWM]]-1</f>
        <v>-3.0409259618756845E-2</v>
      </c>
      <c r="II74" s="28">
        <f>SUMPRODUCT(INDEX(PortfolioRef[[SPY]:[PE]],MATCH(II$1,PortfolioRef[Reference '#]),0),AssetMonthlyReturns[[#This Row],[SPY]:[PE]])</f>
        <v>1.3758103598985544E-3</v>
      </c>
      <c r="IJ74" s="27">
        <f>IF(ISNUMBER(IJ73),IJ73*(1+PortfolioFrontier[[#This Row],[P61 Return]]),1+PortfolioFrontier[[#This Row],[P61 Return]])</f>
        <v>1.5530330493991453</v>
      </c>
      <c r="IK74" s="27">
        <f>MAX(IK73,PortfolioFrontier[[#This Row],[P61 Growth]])</f>
        <v>1.6121264956964798</v>
      </c>
      <c r="IL74" s="27">
        <f>PortfolioFrontier[[#This Row],[P61 Growth]]/PortfolioFrontier[[#This Row],[P61 HWM]]-1</f>
        <v>-3.6655589034162328E-2</v>
      </c>
      <c r="IM74" s="28">
        <f>SUMPRODUCT(INDEX(PortfolioRef[[SPY]:[PE]],MATCH(IM$1,PortfolioRef[Reference '#]),0),AssetMonthlyReturns[[#This Row],[SPY]:[PE]])</f>
        <v>3.4190722266152886E-3</v>
      </c>
      <c r="IN74" s="27">
        <f>IF(ISNUMBER(IN73),IN73*(1+PortfolioFrontier[[#This Row],[P62 Return]]),1+PortfolioFrontier[[#This Row],[P62 Return]])</f>
        <v>1.576743525095331</v>
      </c>
      <c r="IO74" s="27">
        <f>MAX(IO73,PortfolioFrontier[[#This Row],[P62 Growth]])</f>
        <v>1.6272630311124299</v>
      </c>
      <c r="IP74" s="27">
        <f>PortfolioFrontier[[#This Row],[P62 Growth]]/PortfolioFrontier[[#This Row],[P62 HWM]]-1</f>
        <v>-3.104569147777092E-2</v>
      </c>
      <c r="IQ74" s="28">
        <f>SUMPRODUCT(INDEX(PortfolioRef[[SPY]:[PE]],MATCH(IQ$1,PortfolioRef[Reference '#]),0),AssetMonthlyReturns[[#This Row],[SPY]:[PE]])</f>
        <v>5.6255916321374779E-3</v>
      </c>
      <c r="IR74" s="27">
        <f>IF(ISNUMBER(IR73),IR73*(1+PortfolioFrontier[[#This Row],[P63 Return]]),1+PortfolioFrontier[[#This Row],[P63 Return]])</f>
        <v>1.5867262310399315</v>
      </c>
      <c r="IS74" s="27">
        <f>MAX(IS73,PortfolioFrontier[[#This Row],[P63 Growth]])</f>
        <v>1.646884909102555</v>
      </c>
      <c r="IT74" s="27">
        <f>PortfolioFrontier[[#This Row],[P63 Growth]]/PortfolioFrontier[[#This Row],[P63 HWM]]-1</f>
        <v>-3.6528768786524446E-2</v>
      </c>
      <c r="IU74" s="28">
        <f>SUMPRODUCT(INDEX(PortfolioRef[[SPY]:[PE]],MATCH(IU$1,PortfolioRef[Reference '#]),0),AssetMonthlyReturns[[#This Row],[SPY]:[PE]])</f>
        <v>4.6304814814018391E-4</v>
      </c>
      <c r="IV74" s="27">
        <f>IF(ISNUMBER(IV73),IV73*(1+PortfolioFrontier[[#This Row],[P64 Return]]),1+PortfolioFrontier[[#This Row],[P64 Return]])</f>
        <v>1.5603246434439877</v>
      </c>
      <c r="IW74" s="27">
        <f>MAX(IW73,PortfolioFrontier[[#This Row],[P64 Growth]])</f>
        <v>1.6151793879801097</v>
      </c>
      <c r="IX74" s="27">
        <f>PortfolioFrontier[[#This Row],[P64 Growth]]/PortfolioFrontier[[#This Row],[P64 HWM]]-1</f>
        <v>-3.3962013720792661E-2</v>
      </c>
      <c r="IY74" s="28">
        <f>SUMPRODUCT(INDEX(PortfolioRef[[SPY]:[PE]],MATCH(IY$1,PortfolioRef[Reference '#]),0),AssetMonthlyReturns[[#This Row],[SPY]:[PE]])</f>
        <v>5.4623340933320228E-3</v>
      </c>
      <c r="IZ74" s="27">
        <f>IF(ISNUMBER(IZ73),IZ73*(1+PortfolioFrontier[[#This Row],[P65 Return]]),1+PortfolioFrontier[[#This Row],[P65 Return]])</f>
        <v>1.6004689177224871</v>
      </c>
      <c r="JA74" s="27">
        <f>MAX(JA73,PortfolioFrontier[[#This Row],[P65 Growth]])</f>
        <v>1.6422150953060746</v>
      </c>
      <c r="JB74" s="27">
        <f>PortfolioFrontier[[#This Row],[P65 Growth]]/PortfolioFrontier[[#This Row],[P65 HWM]]-1</f>
        <v>-2.5420651474286182E-2</v>
      </c>
      <c r="JC74" s="28">
        <f>SUMPRODUCT(INDEX(PortfolioRef[[SPY]:[PE]],MATCH(JC$1,PortfolioRef[Reference '#]),0),AssetMonthlyReturns[[#This Row],[SPY]:[PE]])</f>
        <v>7.6688534988542121E-3</v>
      </c>
      <c r="JD74" s="27">
        <f>IF(ISNUMBER(JD73),JD73*(1+PortfolioFrontier[[#This Row],[P66 Return]]),1+PortfolioFrontier[[#This Row],[P66 Return]])</f>
        <v>1.6109053067537733</v>
      </c>
      <c r="JE74" s="27">
        <f>MAX(JE73,PortfolioFrontier[[#This Row],[P66 Growth]])</f>
        <v>1.6623077877531292</v>
      </c>
      <c r="JF74" s="27">
        <f>PortfolioFrontier[[#This Row],[P66 Growth]]/PortfolioFrontier[[#This Row],[P66 HWM]]-1</f>
        <v>-3.0922360695208151E-2</v>
      </c>
      <c r="JG74" s="28">
        <f>SUMPRODUCT(INDEX(PortfolioRef[[SPY]:[PE]],MATCH(JG$1,PortfolioRef[Reference '#]),0),AssetMonthlyReturns[[#This Row],[SPY]:[PE]])</f>
        <v>2.5063100148569181E-3</v>
      </c>
      <c r="JH74" s="27">
        <f>IF(ISNUMBER(JH73),JH73*(1+PortfolioFrontier[[#This Row],[P67 Return]]),1+PortfolioFrontier[[#This Row],[P67 Return]])</f>
        <v>1.5841579301795798</v>
      </c>
      <c r="JI74" s="27">
        <f>MAX(JI73,PortfolioFrontier[[#This Row],[P67 Growth]])</f>
        <v>1.6303687537292939</v>
      </c>
      <c r="JJ74" s="27">
        <f>PortfolioFrontier[[#This Row],[P67 Growth]]/PortfolioFrontier[[#This Row],[P67 HWM]]-1</f>
        <v>-2.8343786302339136E-2</v>
      </c>
      <c r="JK74" s="28">
        <f>SUMPRODUCT(INDEX(PortfolioRef[[SPY]:[PE]],MATCH(JK$1,PortfolioRef[Reference '#]),0),AssetMonthlyReturns[[#This Row],[SPY]:[PE]])</f>
        <v>9.8753729043764005E-3</v>
      </c>
      <c r="JL74" s="27">
        <f>IF(ISNUMBER(JL73),JL73*(1+PortfolioFrontier[[#This Row],[P68 Return]]),1+PortfolioFrontier[[#This Row],[P68 Return]])</f>
        <v>1.6204973335089461</v>
      </c>
      <c r="JM74" s="27">
        <f>MAX(JM73,PortfolioFrontier[[#This Row],[P68 Growth]])</f>
        <v>1.6817622542850994</v>
      </c>
      <c r="JN74" s="27">
        <f>PortfolioFrontier[[#This Row],[P68 Growth]]/PortfolioFrontier[[#This Row],[P68 HWM]]-1</f>
        <v>-3.6429002149412915E-2</v>
      </c>
      <c r="JO74" s="28">
        <f>SUMPRODUCT(INDEX(PortfolioRef[[SPY]:[PE]],MATCH(JO$1,PortfolioRef[Reference '#]),0),AssetMonthlyReturns[[#This Row],[SPY]:[PE]])</f>
        <v>4.7128294203791074E-3</v>
      </c>
      <c r="JP74" s="27">
        <f>IF(ISNUMBER(JP73),JP73*(1+PortfolioFrontier[[#This Row],[P69 Return]]),1+PortfolioFrontier[[#This Row],[P69 Return]])</f>
        <v>1.5941802598341377</v>
      </c>
      <c r="JQ74" s="27">
        <f>MAX(JQ73,PortfolioFrontier[[#This Row],[P69 Growth]])</f>
        <v>1.6499912107010917</v>
      </c>
      <c r="JR74" s="27">
        <f>PortfolioFrontier[[#This Row],[P69 Growth]]/PortfolioFrontier[[#This Row],[P69 HWM]]-1</f>
        <v>-3.3824998887866498E-2</v>
      </c>
      <c r="JS74" s="28">
        <f>SUMPRODUCT(INDEX(PortfolioRef[[SPY]:[PE]],MATCH(JS$1,PortfolioRef[Reference '#]),0),AssetMonthlyReturns[[#This Row],[SPY]:[PE]])</f>
        <v>-4.4971406361818921E-4</v>
      </c>
      <c r="JT74" s="27">
        <f>IF(ISNUMBER(JT73),JT73*(1+PortfolioFrontier[[#This Row],[P70 Return]]),1+PortfolioFrontier[[#This Row],[P70 Return]])</f>
        <v>1.5675206097072947</v>
      </c>
      <c r="JU74" s="27">
        <f>MAX(JU73,PortfolioFrontier[[#This Row],[P70 Growth]])</f>
        <v>1.6181178918603722</v>
      </c>
      <c r="JV74" s="27">
        <f>PortfolioFrontier[[#This Row],[P70 Growth]]/PortfolioFrontier[[#This Row],[P70 HWM]]-1</f>
        <v>-3.1269218644449426E-2</v>
      </c>
      <c r="JW74" s="28">
        <f>SUMPRODUCT(INDEX(PortfolioRef[[SPY]:[PE]],MATCH(JW$1,PortfolioRef[Reference '#]),0),AssetMonthlyReturns[[#This Row],[SPY]:[PE]])</f>
        <v>9.7121153655709454E-3</v>
      </c>
      <c r="JX74" s="27">
        <f>IF(ISNUMBER(JX73),JX73*(1+PortfolioFrontier[[#This Row],[P71 Return]]),1+PortfolioFrontier[[#This Row],[P71 Return]])</f>
        <v>1.6350988363690031</v>
      </c>
      <c r="JY74" s="27">
        <f>MAX(JY73,PortfolioFrontier[[#This Row],[P71 Growth]])</f>
        <v>1.6775420819631024</v>
      </c>
      <c r="JZ74" s="27">
        <f>PortfolioFrontier[[#This Row],[P71 Growth]]/PortfolioFrontier[[#This Row],[P71 HWM]]-1</f>
        <v>-2.5300852986311462E-2</v>
      </c>
      <c r="KA74" s="28">
        <f>SUMPRODUCT(INDEX(PortfolioRef[[SPY]:[PE]],MATCH(KA$1,PortfolioRef[Reference '#]),0),AssetMonthlyReturns[[#This Row],[SPY]:[PE]])</f>
        <v>4.5495718815736505E-3</v>
      </c>
      <c r="KB74" s="27">
        <f>IF(ISNUMBER(KB73),KB73*(1+PortfolioFrontier[[#This Row],[P72 Return]]),1+PortfolioFrontier[[#This Row],[P72 Return]])</f>
        <v>1.6080067969899432</v>
      </c>
      <c r="KC74" s="27">
        <f>MAX(KC73,PortfolioFrontier[[#This Row],[P72 Growth]])</f>
        <v>1.6453738946019467</v>
      </c>
      <c r="KD74" s="27">
        <f>PortfolioFrontier[[#This Row],[P72 Growth]]/PortfolioFrontier[[#This Row],[P72 HWM]]-1</f>
        <v>-2.2710398976546031E-2</v>
      </c>
      <c r="KE74" s="28">
        <f>SUMPRODUCT(INDEX(PortfolioRef[[SPY]:[PE]],MATCH(KE$1,PortfolioRef[Reference '#]),0),AssetMonthlyReturns[[#This Row],[SPY]:[PE]])</f>
        <v>1.1918634771093131E-2</v>
      </c>
      <c r="KF74" s="27">
        <f>IF(ISNUMBER(KF73),KF73*(1+PortfolioFrontier[[#This Row],[P73 Return]]),1+PortfolioFrontier[[#This Row],[P73 Return]])</f>
        <v>1.64514470486763</v>
      </c>
      <c r="KG74" s="27">
        <f>MAX(KG73,PortfolioFrontier[[#This Row],[P73 Growth]])</f>
        <v>1.6974712283523181</v>
      </c>
      <c r="KH74" s="27">
        <f>PortfolioFrontier[[#This Row],[P73 Growth]]/PortfolioFrontier[[#This Row],[P73 HWM]]-1</f>
        <v>-3.0826162241041288E-2</v>
      </c>
      <c r="KI74" s="28">
        <f>SUMPRODUCT(INDEX(PortfolioRef[[SPY]:[PE]],MATCH(KI$1,PortfolioRef[Reference '#]),0),AssetMonthlyReturns[[#This Row],[SPY]:[PE]])</f>
        <v>6.7560912870958398E-3</v>
      </c>
      <c r="KJ74" s="27">
        <f>IF(ISNUMBER(KJ73),KJ73*(1+PortfolioFrontier[[#This Row],[P74 Return]]),1+PortfolioFrontier[[#This Row],[P74 Return]])</f>
        <v>1.6184846263251478</v>
      </c>
      <c r="KK74" s="27">
        <f>MAX(KK73,PortfolioFrontier[[#This Row],[P74 Growth]])</f>
        <v>1.6654678920548054</v>
      </c>
      <c r="KL74" s="27">
        <f>PortfolioFrontier[[#This Row],[P74 Growth]]/PortfolioFrontier[[#This Row],[P74 HWM]]-1</f>
        <v>-2.8210250076746268E-2</v>
      </c>
      <c r="KM74" s="28">
        <f>SUMPRODUCT(INDEX(PortfolioRef[[SPY]:[PE]],MATCH(KM$1,PortfolioRef[Reference '#]),0),AssetMonthlyReturns[[#This Row],[SPY]:[PE]])</f>
        <v>1.5935478030985432E-3</v>
      </c>
      <c r="KN74" s="27">
        <f>IF(ISNUMBER(KN73),KN73*(1+PortfolioFrontier[[#This Row],[P75 Return]]),1+PortfolioFrontier[[#This Row],[P75 Return]])</f>
        <v>1.5914754656830858</v>
      </c>
      <c r="KO74" s="27">
        <f>MAX(KO73,PortfolioFrontier[[#This Row],[P75 Growth]])</f>
        <v>1.6333591346427441</v>
      </c>
      <c r="KP74" s="27">
        <f>PortfolioFrontier[[#This Row],[P75 Growth]]/PortfolioFrontier[[#This Row],[P75 HWM]]-1</f>
        <v>-2.5642657558479498E-2</v>
      </c>
      <c r="KQ74" s="28">
        <f>SUMPRODUCT(INDEX(PortfolioRef[[SPY]:[PE]],MATCH(KQ$1,PortfolioRef[Reference '#]),0),AssetMonthlyReturns[[#This Row],[SPY]:[PE]])</f>
        <v>1.412515417661532E-2</v>
      </c>
      <c r="KR74" s="27">
        <f>IF(ISNUMBER(KR73),KR73*(1+PortfolioFrontier[[#This Row],[P76 Return]]),1+PortfolioFrontier[[#This Row],[P76 Return]])</f>
        <v>1.654317563078556</v>
      </c>
      <c r="KS74" s="27">
        <f>MAX(KS73,PortfolioFrontier[[#This Row],[P76 Growth]])</f>
        <v>1.7167314071133803</v>
      </c>
      <c r="KT74" s="27">
        <f>PortfolioFrontier[[#This Row],[P76 Growth]]/PortfolioFrontier[[#This Row],[P76 HWM]]-1</f>
        <v>-3.6356207952046971E-2</v>
      </c>
      <c r="KU74" s="28">
        <f>SUMPRODUCT(INDEX(PortfolioRef[[SPY]:[PE]],MATCH(KU$1,PortfolioRef[Reference '#]),0),AssetMonthlyReturns[[#This Row],[SPY]:[PE]])</f>
        <v>8.9626106926180282E-3</v>
      </c>
      <c r="KV74" s="27">
        <f>IF(ISNUMBER(KV73),KV73*(1+PortfolioFrontier[[#This Row],[P77 Return]]),1+PortfolioFrontier[[#This Row],[P77 Return]])</f>
        <v>1.6281144416545399</v>
      </c>
      <c r="KW74" s="27">
        <f>MAX(KW73,PortfolioFrontier[[#This Row],[P77 Growth]])</f>
        <v>1.6849217747429484</v>
      </c>
      <c r="KX74" s="27">
        <f>PortfolioFrontier[[#This Row],[P77 Growth]]/PortfolioFrontier[[#This Row],[P77 HWM]]-1</f>
        <v>-3.3715116001201251E-2</v>
      </c>
      <c r="KY74" s="28">
        <f>SUMPRODUCT(INDEX(PortfolioRef[[SPY]:[PE]],MATCH(KY$1,PortfolioRef[Reference '#]),0),AssetMonthlyReturns[[#This Row],[SPY]:[PE]])</f>
        <v>3.8000672086207325E-3</v>
      </c>
      <c r="KZ74" s="27">
        <f>IF(ISNUMBER(KZ73),KZ73*(1+PortfolioFrontier[[#This Row],[P78 Return]]),1+PortfolioFrontier[[#This Row],[P78 Return]])</f>
        <v>1.6015365620200814</v>
      </c>
      <c r="LA74" s="27">
        <f>MAX(LA73,PortfolioFrontier[[#This Row],[P78 Growth]])</f>
        <v>1.6529805725839544</v>
      </c>
      <c r="LB74" s="27">
        <f>PortfolioFrontier[[#This Row],[P78 Growth]]/PortfolioFrontier[[#This Row],[P78 HWM]]-1</f>
        <v>-3.1121969257905557E-2</v>
      </c>
      <c r="LC74" s="28">
        <f>SUMPRODUCT(INDEX(PortfolioRef[[SPY]:[PE]],MATCH(LC$1,PortfolioRef[Reference '#]),0),AssetMonthlyReturns[[#This Row],[SPY]:[PE]])</f>
        <v>1.3961896637809865E-2</v>
      </c>
      <c r="LD74" s="27">
        <f>IF(ISNUMBER(LD73),LD73*(1+PortfolioFrontier[[#This Row],[P79 Return]]),1+PortfolioFrontier[[#This Row],[P79 Return]])</f>
        <v>1.6698060426601451</v>
      </c>
      <c r="LE74" s="27">
        <f>MAX(LE73,PortfolioFrontier[[#This Row],[P79 Growth]])</f>
        <v>1.7129874860839263</v>
      </c>
      <c r="LF74" s="27">
        <f>PortfolioFrontier[[#This Row],[P79 Growth]]/PortfolioFrontier[[#This Row],[P79 HWM]]-1</f>
        <v>-2.5208265544600428E-2</v>
      </c>
      <c r="LG74" s="28">
        <f>SUMPRODUCT(INDEX(PortfolioRef[[SPY]:[PE]],MATCH(LG$1,PortfolioRef[Reference '#]),0),AssetMonthlyReturns[[#This Row],[SPY]:[PE]])</f>
        <v>8.7993531538125731E-3</v>
      </c>
      <c r="LH74" s="27">
        <f>IF(ISNUMBER(LH73),LH73*(1+PortfolioFrontier[[#This Row],[P80 Return]]),1+PortfolioFrontier[[#This Row],[P80 Return]])</f>
        <v>1.6428041188733904</v>
      </c>
      <c r="LI74" s="27">
        <f>MAX(LI73,PortfolioFrontier[[#This Row],[P80 Growth]])</f>
        <v>1.6807562405101484</v>
      </c>
      <c r="LJ74" s="27">
        <f>PortfolioFrontier[[#This Row],[P80 Growth]]/PortfolioFrontier[[#This Row],[P80 HWM]]-1</f>
        <v>-2.2580384187797842E-2</v>
      </c>
      <c r="LK74" s="28">
        <f>SUMPRODUCT(INDEX(PortfolioRef[[SPY]:[PE]],MATCH(LK$1,PortfolioRef[Reference '#]),0),AssetMonthlyReturns[[#This Row],[SPY]:[PE]])</f>
        <v>3.6368096698152757E-3</v>
      </c>
      <c r="LL74" s="27">
        <f>IF(ISNUMBER(LL73),LL73*(1+PortfolioFrontier[[#This Row],[P81 Return]]),1+PortfolioFrontier[[#This Row],[P81 Return]])</f>
        <v>1.6154465701537442</v>
      </c>
      <c r="LM74" s="27">
        <f>MAX(LM73,PortfolioFrontier[[#This Row],[P81 Growth]])</f>
        <v>1.648416413491208</v>
      </c>
      <c r="LN74" s="27">
        <f>PortfolioFrontier[[#This Row],[P81 Growth]]/PortfolioFrontier[[#This Row],[P81 HWM]]-1</f>
        <v>-2.0000919104922299E-2</v>
      </c>
      <c r="LO74" s="28">
        <f>SUMPRODUCT(INDEX(PortfolioRef[[SPY]:[PE]],MATCH(LO$1,PortfolioRef[Reference '#]),0),AssetMonthlyReturns[[#This Row],[SPY]:[PE]])</f>
        <v>1.6168416043332055E-2</v>
      </c>
      <c r="LP74" s="27">
        <f>IF(ISNUMBER(LP73),LP73*(1+PortfolioFrontier[[#This Row],[P82 Return]]),1+PortfolioFrontier[[#This Row],[P82 Return]])</f>
        <v>1.6794325087365067</v>
      </c>
      <c r="LQ74" s="27">
        <f>MAX(LQ73,PortfolioFrontier[[#This Row],[P82 Growth]])</f>
        <v>1.7327259878391794</v>
      </c>
      <c r="LR74" s="27">
        <f>PortfolioFrontier[[#This Row],[P82 Growth]]/PortfolioFrontier[[#This Row],[P82 HWM]]-1</f>
        <v>-3.0757014944488126E-2</v>
      </c>
      <c r="LS74" s="28">
        <f>SUMPRODUCT(INDEX(PortfolioRef[[SPY]:[PE]],MATCH(LS$1,PortfolioRef[Reference '#]),0),AssetMonthlyReturns[[#This Row],[SPY]:[PE]])</f>
        <v>1.1005872559334762E-2</v>
      </c>
      <c r="LT74" s="27">
        <f>IF(ISNUMBER(LT73),LT73*(1+PortfolioFrontier[[#This Row],[P83 Return]]),1+PortfolioFrontier[[#This Row],[P83 Return]])</f>
        <v>1.6528895862001474</v>
      </c>
      <c r="LU74" s="27">
        <f>MAX(LU73,PortfolioFrontier[[#This Row],[P83 Growth]])</f>
        <v>1.7006855237848306</v>
      </c>
      <c r="LV74" s="27">
        <f>PortfolioFrontier[[#This Row],[P83 Growth]]/PortfolioFrontier[[#This Row],[P83 HWM]]-1</f>
        <v>-2.8103924515282874E-2</v>
      </c>
      <c r="LW74" s="28">
        <f>SUMPRODUCT(INDEX(PortfolioRef[[SPY]:[PE]],MATCH(LW$1,PortfolioRef[Reference '#]),0),AssetMonthlyReturns[[#This Row],[SPY]:[PE]])</f>
        <v>5.843329075337465E-3</v>
      </c>
      <c r="LX74" s="27">
        <f>IF(ISNUMBER(LX73),LX73*(1+PortfolioFrontier[[#This Row],[P84 Return]]),1+PortfolioFrontier[[#This Row],[P84 Return]])</f>
        <v>1.6259649524214603</v>
      </c>
      <c r="LY74" s="27">
        <f>MAX(LY73,PortfolioFrontier[[#This Row],[P84 Growth]])</f>
        <v>1.6685100840279028</v>
      </c>
      <c r="LZ74" s="27">
        <f>PortfolioFrontier[[#This Row],[P84 Growth]]/PortfolioFrontier[[#This Row],[P84 HWM]]-1</f>
        <v>-2.5498875921525999E-2</v>
      </c>
      <c r="MA74" s="28">
        <f>SUMPRODUCT(INDEX(PortfolioRef[[SPY]:[PE]],MATCH(MA$1,PortfolioRef[Reference '#]),0),AssetMonthlyReturns[[#This Row],[SPY]:[PE]])</f>
        <v>1.8374935448854244E-2</v>
      </c>
      <c r="MB74" s="27">
        <f>IF(ISNUMBER(MB73),MB73*(1+PortfolioFrontier[[#This Row],[P85 Return]]),1+PortfolioFrontier[[#This Row],[P85 Return]])</f>
        <v>1.6881571027649098</v>
      </c>
      <c r="MC74" s="27">
        <f>MAX(MC73,PortfolioFrontier[[#This Row],[P85 Growth]])</f>
        <v>1.7517641950154219</v>
      </c>
      <c r="MD74" s="27">
        <f>PortfolioFrontier[[#This Row],[P85 Growth]]/PortfolioFrontier[[#This Row],[P85 HWM]]-1</f>
        <v>-3.6310305023646294E-2</v>
      </c>
      <c r="ME74" s="28">
        <f>SUMPRODUCT(INDEX(PortfolioRef[[SPY]:[PE]],MATCH(ME$1,PortfolioRef[Reference '#]),0),AssetMonthlyReturns[[#This Row],[SPY]:[PE]])</f>
        <v>1.3212391964856952E-2</v>
      </c>
      <c r="MF74" s="27">
        <f>IF(ISNUMBER(MF73),MF73*(1+PortfolioFrontier[[#This Row],[P86 Return]]),1+PortfolioFrontier[[#This Row],[P86 Return]])</f>
        <v>1.6620982734177419</v>
      </c>
      <c r="MG74" s="27">
        <f>MAX(MG73,PortfolioFrontier[[#This Row],[P86 Growth]])</f>
        <v>1.7199439154573082</v>
      </c>
      <c r="MH74" s="27">
        <f>PortfolioFrontier[[#This Row],[P86 Growth]]/PortfolioFrontier[[#This Row],[P86 HWM]]-1</f>
        <v>-3.3632283890016268E-2</v>
      </c>
      <c r="MI74" s="28">
        <f>SUMPRODUCT(INDEX(PortfolioRef[[SPY]:[PE]],MATCH(MI$1,PortfolioRef[Reference '#]),0),AssetMonthlyReturns[[#This Row],[SPY]:[PE]])</f>
        <v>8.0498484808596543E-3</v>
      </c>
      <c r="MJ74" s="27">
        <f>IF(ISNUMBER(MJ73),MJ73*(1+PortfolioFrontier[[#This Row],[P87 Return]]),1+PortfolioFrontier[[#This Row],[P87 Return]])</f>
        <v>1.6356317138810541</v>
      </c>
      <c r="MK74" s="27">
        <f>MAX(MK73,PortfolioFrontier[[#This Row],[P87 Growth]])</f>
        <v>1.6879617873128629</v>
      </c>
      <c r="ML74" s="27">
        <f>PortfolioFrontier[[#This Row],[P87 Growth]]/PortfolioFrontier[[#This Row],[P87 HWM]]-1</f>
        <v>-3.1001930153356949E-2</v>
      </c>
      <c r="MM74" s="28">
        <f>SUMPRODUCT(INDEX(PortfolioRef[[SPY]:[PE]],MATCH(MM$1,PortfolioRef[Reference '#]),0),AssetMonthlyReturns[[#This Row],[SPY]:[PE]])</f>
        <v>1.8211677910048789E-2</v>
      </c>
      <c r="MN74" s="27">
        <f>IF(ISNUMBER(MN73),MN73*(1+PortfolioFrontier[[#This Row],[P88 Return]]),1+PortfolioFrontier[[#This Row],[P88 Return]])</f>
        <v>1.7045609090273108</v>
      </c>
      <c r="MO74" s="27">
        <f>MAX(MO73,PortfolioFrontier[[#This Row],[P88 Growth]])</f>
        <v>1.7485237047822844</v>
      </c>
      <c r="MP74" s="27">
        <f>PortfolioFrontier[[#This Row],[P88 Growth]]/PortfolioFrontier[[#This Row],[P88 HWM]]-1</f>
        <v>-2.5142807978372539E-2</v>
      </c>
      <c r="MQ74" s="28">
        <f>SUMPRODUCT(INDEX(PortfolioRef[[SPY]:[PE]],MATCH(MQ$1,PortfolioRef[Reference '#]),0),AssetMonthlyReturns[[#This Row],[SPY]:[PE]])</f>
        <v>1.3049134426051497E-2</v>
      </c>
      <c r="MR74" s="27">
        <f>IF(ISNUMBER(MR73),MR73*(1+PortfolioFrontier[[#This Row],[P89 Return]]),1+PortfolioFrontier[[#This Row],[P89 Return]])</f>
        <v>1.6776793782217063</v>
      </c>
      <c r="MS74" s="27">
        <f>MAX(MS73,PortfolioFrontier[[#This Row],[P89 Growth]])</f>
        <v>1.7162568132506029</v>
      </c>
      <c r="MT74" s="27">
        <f>PortfolioFrontier[[#This Row],[P89 Growth]]/PortfolioFrontier[[#This Row],[P89 HWM]]-1</f>
        <v>-2.2477658781048349E-2</v>
      </c>
      <c r="MU74" s="28">
        <f>SUMPRODUCT(INDEX(PortfolioRef[[SPY]:[PE]],MATCH(MU$1,PortfolioRef[Reference '#]),0),AssetMonthlyReturns[[#This Row],[SPY]:[PE]])</f>
        <v>7.8865909420541992E-3</v>
      </c>
      <c r="MV74" s="27">
        <f>IF(ISNUMBER(MV73),MV73*(1+PortfolioFrontier[[#This Row],[P90 Return]]),1+PortfolioFrontier[[#This Row],[P90 Return]])</f>
        <v>1.6504091464457864</v>
      </c>
      <c r="MW74" s="27">
        <f>MAX(MW73,PortfolioFrontier[[#This Row],[P90 Growth]])</f>
        <v>1.6838515290273213</v>
      </c>
      <c r="MX74" s="27">
        <f>PortfolioFrontier[[#This Row],[P90 Growth]]/PortfolioFrontier[[#This Row],[P90 HWM]]-1</f>
        <v>-1.986064804707155E-2</v>
      </c>
      <c r="MY74" s="28">
        <f>SUMPRODUCT(INDEX(PortfolioRef[[SPY]:[PE]],MATCH(MY$1,PortfolioRef[Reference '#]),0),AssetMonthlyReturns[[#This Row],[SPY]:[PE]])</f>
        <v>2.0418197315570978E-2</v>
      </c>
      <c r="MZ74" s="27">
        <f>IF(ISNUMBER(MZ73),MZ73*(1+PortfolioFrontier[[#This Row],[P91 Return]]),1+PortfolioFrontier[[#This Row],[P91 Return]])</f>
        <v>1.7137384723382054</v>
      </c>
      <c r="NA74" s="27">
        <f>MAX(NA73,PortfolioFrontier[[#This Row],[P91 Growth]])</f>
        <v>1.7680436458517257</v>
      </c>
      <c r="NB74" s="27">
        <f>PortfolioFrontier[[#This Row],[P91 Growth]]/PortfolioFrontier[[#This Row],[P91 HWM]]-1</f>
        <v>-3.0714837634768677E-2</v>
      </c>
      <c r="NC74" s="28">
        <f>SUMPRODUCT(INDEX(PortfolioRef[[SPY]:[PE]],MATCH(NC$1,PortfolioRef[Reference '#]),0),AssetMonthlyReturns[[#This Row],[SPY]:[PE]])</f>
        <v>1.5255653831573686E-2</v>
      </c>
      <c r="ND74" s="27">
        <f>IF(ISNUMBER(ND73),ND73*(1+PortfolioFrontier[[#This Row],[P92 Return]]),1+PortfolioFrontier[[#This Row],[P92 Return]])</f>
        <v>1.6873434754211181</v>
      </c>
      <c r="NE74" s="27">
        <f>MAX(NE73,PortfolioFrontier[[#This Row],[P92 Growth]])</f>
        <v>1.73599424265744</v>
      </c>
      <c r="NF74" s="27">
        <f>PortfolioFrontier[[#This Row],[P92 Growth]]/PortfolioFrontier[[#This Row],[P92 HWM]]-1</f>
        <v>-2.8024728447168079E-2</v>
      </c>
      <c r="NG74" s="28">
        <f>SUMPRODUCT(INDEX(PortfolioRef[[SPY]:[PE]],MATCH(NG$1,PortfolioRef[Reference '#]),0),AssetMonthlyReturns[[#This Row],[SPY]:[PE]])</f>
        <v>1.0093110347576388E-2</v>
      </c>
      <c r="NH74" s="27">
        <f>IF(ISNUMBER(NH73),NH73*(1+PortfolioFrontier[[#This Row],[P93 Return]]),1+PortfolioFrontier[[#This Row],[P93 Return]])</f>
        <v>1.6605333396234225</v>
      </c>
      <c r="NI74" s="27">
        <f>MAX(NI73,PortfolioFrontier[[#This Row],[P93 Growth]])</f>
        <v>1.7037793193389816</v>
      </c>
      <c r="NJ74" s="27">
        <f>PortfolioFrontier[[#This Row],[P93 Growth]]/PortfolioFrontier[[#This Row],[P93 HWM]]-1</f>
        <v>-2.5382383284436982E-2</v>
      </c>
      <c r="NK74" s="28">
        <f>SUMPRODUCT(INDEX(PortfolioRef[[SPY]:[PE]],MATCH(NK$1,PortfolioRef[Reference '#]),0),AssetMonthlyReturns[[#This Row],[SPY]:[PE]])</f>
        <v>2.2624716721093167E-2</v>
      </c>
      <c r="NL74" s="27">
        <f>IF(ISNUMBER(NL73),NL73*(1+PortfolioFrontier[[#This Row],[P94 Return]]),1+PortfolioFrontier[[#This Row],[P94 Return]])</f>
        <v>1.7219851199084755</v>
      </c>
      <c r="NM74" s="27">
        <f>MAX(NM73,PortfolioFrontier[[#This Row],[P94 Growth]])</f>
        <v>1.7868313973018393</v>
      </c>
      <c r="NN74" s="27">
        <f>PortfolioFrontier[[#This Row],[P94 Growth]]/PortfolioFrontier[[#This Row],[P94 HWM]]-1</f>
        <v>-3.6291212193429789E-2</v>
      </c>
      <c r="NO74" s="28">
        <f>SUMPRODUCT(INDEX(PortfolioRef[[SPY]:[PE]],MATCH(NO$1,PortfolioRef[Reference '#]),0),AssetMonthlyReturns[[#This Row],[SPY]:[PE]])</f>
        <v>1.7462173237095875E-2</v>
      </c>
      <c r="NP74" s="27">
        <f>IF(ISNUMBER(NP73),NP73*(1+PortfolioFrontier[[#This Row],[P95 Return]]),1+PortfolioFrontier[[#This Row],[P95 Return]])</f>
        <v>1.6961018122048359</v>
      </c>
      <c r="NQ74" s="27">
        <f>MAX(NQ73,PortfolioFrontier[[#This Row],[P95 Growth]])</f>
        <v>1.7550294195356591</v>
      </c>
      <c r="NR74" s="27">
        <f>PortfolioFrontier[[#This Row],[P95 Growth]]/PortfolioFrontier[[#This Row],[P95 HWM]]-1</f>
        <v>-3.3576421383531008E-2</v>
      </c>
      <c r="NS74" s="28">
        <f>SUMPRODUCT(INDEX(PortfolioRef[[SPY]:[PE]],MATCH(NS$1,PortfolioRef[Reference '#]),0),AssetMonthlyReturns[[#This Row],[SPY]:[PE]])</f>
        <v>1.2299629753098578E-2</v>
      </c>
      <c r="NT74" s="27">
        <f>IF(ISNUMBER(NT73),NT73*(1+PortfolioFrontier[[#This Row],[P96 Return]]),1+PortfolioFrontier[[#This Row],[P96 Return]])</f>
        <v>1.6697770295160135</v>
      </c>
      <c r="NU74" s="27">
        <f>MAX(NU73,PortfolioFrontier[[#This Row],[P96 Growth]])</f>
        <v>1.7230343324336159</v>
      </c>
      <c r="NV74" s="27">
        <f>PortfolioFrontier[[#This Row],[P96 Growth]]/PortfolioFrontier[[#This Row],[P96 HWM]]-1</f>
        <v>-3.090902016002306E-2</v>
      </c>
      <c r="NW74" s="28">
        <f>SUMPRODUCT(INDEX(PortfolioRef[[SPY]:[PE]],MATCH(NW$1,PortfolioRef[Reference '#]),0),AssetMonthlyReturns[[#This Row],[SPY]:[PE]])</f>
        <v>-1.7500073013356392E-3</v>
      </c>
      <c r="NX74" s="27">
        <f>IF(ISNUMBER(NX73),NX73*(1+PortfolioFrontier[[#This Row],[P97 Return]]),1+PortfolioFrontier[[#This Row],[P97 Return]])</f>
        <v>1.4920362792986326</v>
      </c>
      <c r="NY74" s="27">
        <f>MAX(NY73,PortfolioFrontier[[#This Row],[P97 Growth]])</f>
        <v>1.5498139523617234</v>
      </c>
      <c r="NZ74" s="27">
        <f>PortfolioFrontier[[#This Row],[P97 Growth]]/PortfolioFrontier[[#This Row],[P97 HWM]]-1</f>
        <v>-3.72803928981571E-2</v>
      </c>
      <c r="OA74" s="28">
        <f>SUMPRODUCT(INDEX(PortfolioRef[[SPY]:[PE]],MATCH(OA$1,PortfolioRef[Reference '#]),0),AssetMonthlyReturns[[#This Row],[SPY]:[PE]])</f>
        <v>2.9325456538109498E-4</v>
      </c>
      <c r="OB74" s="27">
        <f>IF(ISNUMBER(OB73),OB73*(1+PortfolioFrontier[[#This Row],[P98 Return]]),1+PortfolioFrontier[[#This Row],[P98 Return]])</f>
        <v>1.5148459513071109</v>
      </c>
      <c r="OC74" s="27">
        <f>MAX(OC73,PortfolioFrontier[[#This Row],[P98 Growth]])</f>
        <v>1.5643918723292729</v>
      </c>
      <c r="OD74" s="27">
        <f>PortfolioFrontier[[#This Row],[P98 Growth]]/PortfolioFrontier[[#This Row],[P98 HWM]]-1</f>
        <v>-3.1671042210409506E-2</v>
      </c>
      <c r="OE74" s="28">
        <f>SUMPRODUCT(INDEX(PortfolioRef[[SPY]:[PE]],MATCH(OE$1,PortfolioRef[Reference '#]),0),AssetMonthlyReturns[[#This Row],[SPY]:[PE]])</f>
        <v>2.4997739709032843E-3</v>
      </c>
      <c r="OF74" s="27">
        <f>IF(ISNUMBER(OF73),OF73*(1+PortfolioFrontier[[#This Row],[P99 Return]]),1+PortfolioFrontier[[#This Row],[P99 Return]])</f>
        <v>1.5248529868084204</v>
      </c>
      <c r="OG74" s="27">
        <f>MAX(OG73,PortfolioFrontier[[#This Row],[P99 Growth]])</f>
        <v>1.5836627563813395</v>
      </c>
      <c r="OH74" s="27">
        <f>PortfolioFrontier[[#This Row],[P99 Growth]]/PortfolioFrontier[[#This Row],[P99 HWM]]-1</f>
        <v>-3.7135286118175181E-2</v>
      </c>
      <c r="OI74" s="28">
        <f>SUMPRODUCT(INDEX(PortfolioRef[[SPY]:[PE]],MATCH(OI$1,PortfolioRef[Reference '#]),0),AssetMonthlyReturns[[#This Row],[SPY]:[PE]])</f>
        <v>-2.6627695130940097E-3</v>
      </c>
      <c r="OJ74" s="27">
        <f>IF(ISNUMBER(OJ73),OJ73*(1+PortfolioFrontier[[#This Row],[P100 Return]]),1+PortfolioFrontier[[#This Row],[P100 Return]])</f>
        <v>1.4990865525731627</v>
      </c>
      <c r="OK74" s="27">
        <f>MAX(OK73,PortfolioFrontier[[#This Row],[P100 Growth]])</f>
        <v>1.5528062347399851</v>
      </c>
      <c r="OL74" s="27">
        <f>PortfolioFrontier[[#This Row],[P100 Growth]]/PortfolioFrontier[[#This Row],[P100 HWM]]-1</f>
        <v>-3.4595225704910804E-2</v>
      </c>
      <c r="OM74" s="28">
        <f>SUMPRODUCT(INDEX(PortfolioRef[[SPY]:[PE]],MATCH(OM$1,PortfolioRef[Reference '#]),0),AssetMonthlyReturns[[#This Row],[SPY]:[PE]])</f>
        <v>2.3365164320978292E-3</v>
      </c>
      <c r="ON74" s="27">
        <f>IF(ISNUMBER(ON73),ON73*(1+PortfolioFrontier[[#This Row],[P101 Return]]),1+PortfolioFrontier[[#This Row],[P101 Return]])</f>
        <v>1.5376701300838025</v>
      </c>
      <c r="OO74" s="27">
        <f>MAX(OO73,PortfolioFrontier[[#This Row],[P101 Growth]])</f>
        <v>1.5787921813488919</v>
      </c>
      <c r="OP74" s="27">
        <f>PortfolioFrontier[[#This Row],[P101 Growth]]/PortfolioFrontier[[#This Row],[P101 HWM]]-1</f>
        <v>-2.6046525787805308E-2</v>
      </c>
      <c r="OQ74" s="28">
        <f>SUMPRODUCT(INDEX(PortfolioRef[[SPY]:[PE]],MATCH(OQ$1,PortfolioRef[Reference '#]),0),AssetMonthlyReturns[[#This Row],[SPY]:[PE]])</f>
        <v>4.5430358376200184E-3</v>
      </c>
      <c r="OR74" s="27">
        <f>IF(ISNUMBER(OR73),OR73*(1+PortfolioFrontier[[#This Row],[P102 Return]]),1+PortfolioFrontier[[#This Row],[P102 Return]])</f>
        <v>1.5481200406964917</v>
      </c>
      <c r="OS74" s="27">
        <f>MAX(OS73,PortfolioFrontier[[#This Row],[P102 Growth]])</f>
        <v>1.5985203886251573</v>
      </c>
      <c r="OT74" s="27">
        <f>PortfolioFrontier[[#This Row],[P102 Growth]]/PortfolioFrontier[[#This Row],[P102 HWM]]-1</f>
        <v>-3.152937446860693E-2</v>
      </c>
      <c r="OU74" s="28">
        <f>SUMPRODUCT(INDEX(PortfolioRef[[SPY]:[PE]],MATCH(OU$1,PortfolioRef[Reference '#]),0),AssetMonthlyReturns[[#This Row],[SPY]:[PE]])</f>
        <v>-6.1950764637727553E-4</v>
      </c>
      <c r="OV74" s="27">
        <f>IF(ISNUMBER(OV73),OV73*(1+PortfolioFrontier[[#This Row],[P103 Return]]),1+PortfolioFrontier[[#This Row],[P103 Return]])</f>
        <v>1.5220150752579902</v>
      </c>
      <c r="OW74" s="27">
        <f>MAX(OW73,PortfolioFrontier[[#This Row],[P103 Growth]])</f>
        <v>1.5674355228105428</v>
      </c>
      <c r="OX74" s="27">
        <f>PortfolioFrontier[[#This Row],[P103 Growth]]/PortfolioFrontier[[#This Row],[P103 HWM]]-1</f>
        <v>-2.897755403112845E-2</v>
      </c>
      <c r="OY74" s="28">
        <f>SUMPRODUCT(INDEX(PortfolioRef[[SPY]:[PE]],MATCH(OY$1,PortfolioRef[Reference '#]),0),AssetMonthlyReturns[[#This Row],[SPY]:[PE]])</f>
        <v>6.7495552431422077E-3</v>
      </c>
      <c r="OZ74" s="27">
        <f>IF(ISNUMBER(OZ73),OZ73*(1+PortfolioFrontier[[#This Row],[P104 Return]]),1+PortfolioFrontier[[#This Row],[P104 Return]])</f>
        <v>1.5577653816933907</v>
      </c>
      <c r="PA74" s="27">
        <f>MAX(PA73,PortfolioFrontier[[#This Row],[P104 Growth]])</f>
        <v>1.6176462594840681</v>
      </c>
      <c r="PB74" s="27">
        <f>PortfolioFrontier[[#This Row],[P104 Growth]]/PortfolioFrontier[[#This Row],[P104 HWM]]-1</f>
        <v>-3.7017288198580411E-2</v>
      </c>
      <c r="PC74" s="28">
        <f>SUMPRODUCT(INDEX(PortfolioRef[[SPY]:[PE]],MATCH(PC$1,PortfolioRef[Reference '#]),0),AssetMonthlyReturns[[#This Row],[SPY]:[PE]])</f>
        <v>1.5870117591449137E-3</v>
      </c>
      <c r="PD74" s="27">
        <f>IF(ISNUMBER(PD73),PD73*(1+PortfolioFrontier[[#This Row],[P105 Return]]),1+PortfolioFrontier[[#This Row],[P105 Return]])</f>
        <v>1.5320625133489438</v>
      </c>
      <c r="PE74" s="27">
        <f>MAX(PE73,PortfolioFrontier[[#This Row],[P105 Growth]])</f>
        <v>1.5867085542337835</v>
      </c>
      <c r="PF74" s="27">
        <f>PortfolioFrontier[[#This Row],[P105 Growth]]/PortfolioFrontier[[#This Row],[P105 HWM]]-1</f>
        <v>-3.4439872867029542E-2</v>
      </c>
      <c r="PG74" s="28">
        <f>SUMPRODUCT(INDEX(PortfolioRef[[SPY]:[PE]],MATCH(PG$1,PortfolioRef[Reference '#]),0),AssetMonthlyReturns[[#This Row],[SPY]:[PE]])</f>
        <v>-3.5755317248523828E-3</v>
      </c>
      <c r="PH74" s="27">
        <f>IF(ISNUMBER(PH73),PH73*(1+PortfolioFrontier[[#This Row],[P106 Return]]),1+PortfolioFrontier[[#This Row],[P106 Return]])</f>
        <v>1.5060453684485888</v>
      </c>
      <c r="PI74" s="27">
        <f>MAX(PI73,PortfolioFrontier[[#This Row],[P106 Growth]])</f>
        <v>1.5556887430167754</v>
      </c>
      <c r="PJ74" s="27">
        <f>PortfolioFrontier[[#This Row],[P106 Growth]]/PortfolioFrontier[[#This Row],[P106 HWM]]-1</f>
        <v>-3.191086571206958E-2</v>
      </c>
      <c r="PK74" s="28">
        <f>SUMPRODUCT(INDEX(PortfolioRef[[SPY]:[PE]],MATCH(PK$1,PortfolioRef[Reference '#]),0),AssetMonthlyReturns[[#This Row],[SPY]:[PE]])</f>
        <v>6.5862977043367526E-3</v>
      </c>
      <c r="PL74" s="27">
        <f>IF(ISNUMBER(PL73),PL73*(1+PortfolioFrontier[[#This Row],[P107 Return]]),1+PortfolioFrontier[[#This Row],[P107 Return]])</f>
        <v>1.5714011605679026</v>
      </c>
      <c r="PM74" s="27">
        <f>MAX(PM73,PortfolioFrontier[[#This Row],[P107 Growth]])</f>
        <v>1.6131964012798079</v>
      </c>
      <c r="PN74" s="27">
        <f>PortfolioFrontier[[#This Row],[P107 Growth]]/PortfolioFrontier[[#This Row],[P107 HWM]]-1</f>
        <v>-2.5908339913694123E-2</v>
      </c>
      <c r="PO74" s="28">
        <f>SUMPRODUCT(INDEX(PortfolioRef[[SPY]:[PE]],MATCH(PO$1,PortfolioRef[Reference '#]),0),AssetMonthlyReturns[[#This Row],[SPY]:[PE]])</f>
        <v>1.4237542203394586E-3</v>
      </c>
      <c r="PP74" s="27">
        <f>IF(ISNUMBER(PP73),PP73*(1+PortfolioFrontier[[#This Row],[P108 Return]]),1+PortfolioFrontier[[#This Row],[P108 Return]])</f>
        <v>1.5449587456579634</v>
      </c>
      <c r="PQ74" s="27">
        <f>MAX(PQ73,PortfolioFrontier[[#This Row],[P108 Growth]])</f>
        <v>1.5818874318633449</v>
      </c>
      <c r="PR74" s="27">
        <f>PortfolioFrontier[[#This Row],[P108 Growth]]/PortfolioFrontier[[#This Row],[P108 HWM]]-1</f>
        <v>-2.3344699162242022E-2</v>
      </c>
      <c r="PS74" s="28">
        <f>SUMPRODUCT(INDEX(PortfolioRef[[SPY]:[PE]],MATCH(PS$1,PortfolioRef[Reference '#]),0),AssetMonthlyReturns[[#This Row],[SPY]:[PE]])</f>
        <v>8.7928171098589428E-3</v>
      </c>
      <c r="PT74" s="27">
        <f>IF(ISNUMBER(PT73),PT73*(1+PortfolioFrontier[[#This Row],[P109 Return]]),1+PortfolioFrontier[[#This Row],[P109 Return]])</f>
        <v>1.5814898059796196</v>
      </c>
      <c r="PU74" s="27">
        <f>MAX(PU73,PortfolioFrontier[[#This Row],[P109 Growth]])</f>
        <v>1.6327835279326679</v>
      </c>
      <c r="PV74" s="27">
        <f>PortfolioFrontier[[#This Row],[P109 Growth]]/PortfolioFrontier[[#This Row],[P109 HWM]]-1</f>
        <v>-3.1414894305060281E-2</v>
      </c>
      <c r="PW74" s="28">
        <f>SUMPRODUCT(INDEX(PortfolioRef[[SPY]:[PE]],MATCH(PW$1,PortfolioRef[Reference '#]),0),AssetMonthlyReturns[[#This Row],[SPY]:[PE]])</f>
        <v>3.6302736258616479E-3</v>
      </c>
      <c r="PX74" s="27">
        <f>IF(ISNUMBER(PX73),PX73*(1+PortfolioFrontier[[#This Row],[P110 Return]]),1+PortfolioFrontier[[#This Row],[P110 Return]])</f>
        <v>1.5554508526441158</v>
      </c>
      <c r="PY74" s="27">
        <f>MAX(PY73,PortfolioFrontier[[#This Row],[P110 Growth]])</f>
        <v>1.6016185143364081</v>
      </c>
      <c r="PZ74" s="27">
        <f>PortfolioFrontier[[#This Row],[P110 Growth]]/PortfolioFrontier[[#This Row],[P110 HWM]]-1</f>
        <v>-2.882562937368438E-2</v>
      </c>
      <c r="QA74" s="28">
        <f>SUMPRODUCT(INDEX(PortfolioRef[[SPY]:[PE]],MATCH(QA$1,PortfolioRef[Reference '#]),0),AssetMonthlyReturns[[#This Row],[SPY]:[PE]])</f>
        <v>-1.5322698581356486E-3</v>
      </c>
      <c r="QB74" s="27">
        <f>IF(ISNUMBER(QB73),QB73*(1+PortfolioFrontier[[#This Row],[P111 Return]]),1+PortfolioFrontier[[#This Row],[P111 Return]])</f>
        <v>1.529091554224826</v>
      </c>
      <c r="QC74" s="27">
        <f>MAX(QC73,PortfolioFrontier[[#This Row],[P111 Growth]])</f>
        <v>1.5703684845094485</v>
      </c>
      <c r="QD74" s="27">
        <f>PortfolioFrontier[[#This Row],[P111 Growth]]/PortfolioFrontier[[#This Row],[P111 HWM]]-1</f>
        <v>-2.6284869246797626E-2</v>
      </c>
      <c r="QE74" s="28">
        <f>SUMPRODUCT(INDEX(PortfolioRef[[SPY]:[PE]],MATCH(QE$1,PortfolioRef[Reference '#]),0),AssetMonthlyReturns[[#This Row],[SPY]:[PE]])</f>
        <v>1.0999336515381132E-2</v>
      </c>
      <c r="QF74" s="27">
        <f>IF(ISNUMBER(QF73),QF73*(1+PortfolioFrontier[[#This Row],[P112 Return]]),1+PortfolioFrontier[[#This Row],[P112 Return]])</f>
        <v>1.5907460672748817</v>
      </c>
      <c r="QG74" s="27">
        <f>MAX(QG73,PortfolioFrontier[[#This Row],[P112 Growth]])</f>
        <v>1.6517386955477045</v>
      </c>
      <c r="QH74" s="27">
        <f>PortfolioFrontier[[#This Row],[P112 Growth]]/PortfolioFrontier[[#This Row],[P112 HWM]]-1</f>
        <v>-3.6926317968592581E-2</v>
      </c>
      <c r="QI74" s="28">
        <f>SUMPRODUCT(INDEX(PortfolioRef[[SPY]:[PE]],MATCH(QI$1,PortfolioRef[Reference '#]),0),AssetMonthlyReturns[[#This Row],[SPY]:[PE]])</f>
        <v>5.8367930313838372E-3</v>
      </c>
      <c r="QJ74" s="27">
        <f>IF(ISNUMBER(QJ73),QJ73*(1+PortfolioFrontier[[#This Row],[P113 Return]]),1+PortfolioFrontier[[#This Row],[P113 Return]])</f>
        <v>1.5651348865571224</v>
      </c>
      <c r="QK74" s="27">
        <f>MAX(QK73,PortfolioFrontier[[#This Row],[P113 Growth]])</f>
        <v>1.6207454292109018</v>
      </c>
      <c r="QL74" s="27">
        <f>PortfolioFrontier[[#This Row],[P113 Growth]]/PortfolioFrontier[[#This Row],[P113 HWM]]-1</f>
        <v>-3.4311707225270216E-2</v>
      </c>
      <c r="QM74" s="28">
        <f>SUMPRODUCT(INDEX(PortfolioRef[[SPY]:[PE]],MATCH(QM$1,PortfolioRef[Reference '#]),0),AssetMonthlyReturns[[#This Row],[SPY]:[PE]])</f>
        <v>6.7424954738654064E-4</v>
      </c>
      <c r="QN74" s="27">
        <f>IF(ISNUMBER(QN73),QN73*(1+PortfolioFrontier[[#This Row],[P114 Return]]),1+PortfolioFrontier[[#This Row],[P114 Return]])</f>
        <v>1.5391785530742659</v>
      </c>
      <c r="QO74" s="27">
        <f>MAX(QO73,PortfolioFrontier[[#This Row],[P114 Growth]])</f>
        <v>1.5896421022161857</v>
      </c>
      <c r="QP74" s="27">
        <f>PortfolioFrontier[[#This Row],[P114 Growth]]/PortfolioFrontier[[#This Row],[P114 HWM]]-1</f>
        <v>-3.174522684795944E-2</v>
      </c>
      <c r="QQ74" s="28">
        <f>SUMPRODUCT(INDEX(PortfolioRef[[SPY]:[PE]],MATCH(QQ$1,PortfolioRef[Reference '#]),0),AssetMonthlyReturns[[#This Row],[SPY]:[PE]])</f>
        <v>1.0836078976575673E-2</v>
      </c>
      <c r="QR74" s="27">
        <f>IF(ISNUMBER(QR73),QR73*(1+PortfolioFrontier[[#This Row],[P115 Return]]),1+PortfolioFrontier[[#This Row],[P115 Return]])</f>
        <v>1.6052278315773036</v>
      </c>
      <c r="QS74" s="27">
        <f>MAX(QS73,PortfolioFrontier[[#This Row],[P115 Growth]])</f>
        <v>1.6477351477866757</v>
      </c>
      <c r="QT74" s="27">
        <f>PortfolioFrontier[[#This Row],[P115 Growth]]/PortfolioFrontier[[#This Row],[P115 HWM]]-1</f>
        <v>-2.5797420335707533E-2</v>
      </c>
      <c r="QU74" s="28">
        <f>SUMPRODUCT(INDEX(PortfolioRef[[SPY]:[PE]],MATCH(QU$1,PortfolioRef[Reference '#]),0),AssetMonthlyReturns[[#This Row],[SPY]:[PE]])</f>
        <v>5.6735354925783804E-3</v>
      </c>
      <c r="QV74" s="27">
        <f>IF(ISNUMBER(QV73),QV73*(1+PortfolioFrontier[[#This Row],[P116 Return]]),1+PortfolioFrontier[[#This Row],[P116 Return]])</f>
        <v>1.5788539077331354</v>
      </c>
      <c r="QW74" s="27">
        <f>MAX(QW73,PortfolioFrontier[[#This Row],[P116 Growth]])</f>
        <v>1.6163470917094751</v>
      </c>
      <c r="QX74" s="27">
        <f>PortfolioFrontier[[#This Row],[P116 Growth]]/PortfolioFrontier[[#This Row],[P116 HWM]]-1</f>
        <v>-2.3196245514746638E-2</v>
      </c>
      <c r="QY74" s="28">
        <f>SUMPRODUCT(INDEX(PortfolioRef[[SPY]:[PE]],MATCH(QY$1,PortfolioRef[Reference '#]),0),AssetMonthlyReturns[[#This Row],[SPY]:[PE]])</f>
        <v>5.109920085810838E-4</v>
      </c>
      <c r="QZ74" s="27">
        <f>IF(ISNUMBER(QZ73),QZ73*(1+PortfolioFrontier[[#This Row],[P117 Return]]),1+PortfolioFrontier[[#This Row],[P117 Return]])</f>
        <v>1.5521535337881911</v>
      </c>
      <c r="RA74" s="27">
        <f>MAX(RA73,PortfolioFrontier[[#This Row],[P117 Growth]])</f>
        <v>1.5848710929942145</v>
      </c>
      <c r="RB74" s="27">
        <f>PortfolioFrontier[[#This Row],[P117 Growth]]/PortfolioFrontier[[#This Row],[P117 HWM]]-1</f>
        <v>-2.0643672126173906E-2</v>
      </c>
      <c r="RC74" s="28">
        <f>SUMPRODUCT(INDEX(PortfolioRef[[SPY]:[PE]],MATCH(RC$1,PortfolioRef[Reference '#]),0),AssetMonthlyReturns[[#This Row],[SPY]:[PE]])</f>
        <v>1.3042598382097863E-2</v>
      </c>
      <c r="RD74" s="27">
        <f>IF(ISNUMBER(RD73),RD73*(1+PortfolioFrontier[[#This Row],[P118 Return]]),1+PortfolioFrontier[[#This Row],[P118 Return]])</f>
        <v>1.6149274518112808</v>
      </c>
      <c r="RE74" s="27">
        <f>MAX(RE73,PortfolioFrontier[[#This Row],[P118 Growth]])</f>
        <v>1.667155293527623</v>
      </c>
      <c r="RF74" s="27">
        <f>PortfolioFrontier[[#This Row],[P118 Growth]]/PortfolioFrontier[[#This Row],[P118 HWM]]-1</f>
        <v>-3.1327520548988907E-2</v>
      </c>
      <c r="RG74" s="28">
        <f>SUMPRODUCT(INDEX(PortfolioRef[[SPY]:[PE]],MATCH(RG$1,PortfolioRef[Reference '#]),0),AssetMonthlyReturns[[#This Row],[SPY]:[PE]])</f>
        <v>7.8800548981005705E-3</v>
      </c>
      <c r="RH74" s="27">
        <f>IF(ISNUMBER(RH73),RH73*(1+PortfolioFrontier[[#This Row],[P119 Return]]),1+PortfolioFrontier[[#This Row],[P119 Return]])</f>
        <v>1.58898303503779</v>
      </c>
      <c r="RI74" s="27">
        <f>MAX(RI73,PortfolioFrontier[[#This Row],[P119 Growth]])</f>
        <v>1.6359359857167841</v>
      </c>
      <c r="RJ74" s="27">
        <f>PortfolioFrontier[[#This Row],[P119 Growth]]/PortfolioFrontier[[#This Row],[P119 HWM]]-1</f>
        <v>-2.8700970630230138E-2</v>
      </c>
      <c r="RK74" s="28">
        <f>SUMPRODUCT(INDEX(PortfolioRef[[SPY]:[PE]],MATCH(RK$1,PortfolioRef[Reference '#]),0),AssetMonthlyReturns[[#This Row],[SPY]:[PE]])</f>
        <v>2.7175114141032731E-3</v>
      </c>
      <c r="RL74" s="27">
        <f>IF(ISNUMBER(RL73),RL73*(1+PortfolioFrontier[[#This Row],[P120 Return]]),1+PortfolioFrontier[[#This Row],[P120 Return]])</f>
        <v>1.5626869659401554</v>
      </c>
      <c r="RM74" s="27">
        <f>MAX(RM73,PortfolioFrontier[[#This Row],[P120 Growth]])</f>
        <v>1.6046034567476111</v>
      </c>
      <c r="RN74" s="27">
        <f>PortfolioFrontier[[#This Row],[P120 Growth]]/PortfolioFrontier[[#This Row],[P120 HWM]]-1</f>
        <v>-2.6122647705381752E-2</v>
      </c>
      <c r="RO74" s="28">
        <f>SUMPRODUCT(INDEX(PortfolioRef[[SPY]:[PE]],MATCH(RO$1,PortfolioRef[Reference '#]),0),AssetMonthlyReturns[[#This Row],[SPY]:[PE]])</f>
        <v>1.5249117787620052E-2</v>
      </c>
      <c r="RP74" s="27">
        <f>IF(ISNUMBER(RP73),RP73*(1+PortfolioFrontier[[#This Row],[P121 Return]]),1+PortfolioFrontier[[#This Row],[P121 Return]])</f>
        <v>1.623766642864789</v>
      </c>
      <c r="RQ74" s="27">
        <f>MAX(RQ73,PortfolioFrontier[[#This Row],[P121 Growth]])</f>
        <v>1.6859132740659151</v>
      </c>
      <c r="RR74" s="27">
        <f>PortfolioFrontier[[#This Row],[P121 Growth]]/PortfolioFrontier[[#This Row],[P121 HWM]]-1</f>
        <v>-3.6862294257430595E-2</v>
      </c>
      <c r="RS74" s="28">
        <f>SUMPRODUCT(INDEX(PortfolioRef[[SPY]:[PE]],MATCH(RS$1,PortfolioRef[Reference '#]),0),AssetMonthlyReturns[[#This Row],[SPY]:[PE]])</f>
        <v>1.008657430362276E-2</v>
      </c>
      <c r="RT74" s="27">
        <f>IF(ISNUMBER(RT73),RT73*(1+PortfolioFrontier[[#This Row],[P122 Return]]),1+PortfolioFrontier[[#This Row],[P122 Return]])</f>
        <v>1.598276158948789</v>
      </c>
      <c r="RU74" s="27">
        <f>MAX(RU73,PortfolioFrontier[[#This Row],[P122 Growth]])</f>
        <v>1.6548910536150563</v>
      </c>
      <c r="RV74" s="27">
        <f>PortfolioFrontier[[#This Row],[P122 Growth]]/PortfolioFrontier[[#This Row],[P122 HWM]]-1</f>
        <v>-3.4210647608852396E-2</v>
      </c>
      <c r="RW74" s="28">
        <f>SUMPRODUCT(INDEX(PortfolioRef[[SPY]:[PE]],MATCH(RW$1,PortfolioRef[Reference '#]),0),AssetMonthlyReturns[[#This Row],[SPY]:[PE]])</f>
        <v>4.9240308196254624E-3</v>
      </c>
      <c r="RX74" s="27">
        <f>IF(ISNUMBER(RX73),RX73*(1+PortfolioFrontier[[#This Row],[P123 Return]]),1+PortfolioFrontier[[#This Row],[P123 Return]])</f>
        <v>1.5724088641210479</v>
      </c>
      <c r="RY74" s="27">
        <f>MAX(RY73,PortfolioFrontier[[#This Row],[P123 Growth]])</f>
        <v>1.6237298558231279</v>
      </c>
      <c r="RZ74" s="27">
        <f>PortfolioFrontier[[#This Row],[P123 Growth]]/PortfolioFrontier[[#This Row],[P123 HWM]]-1</f>
        <v>-3.1606853515706024E-2</v>
      </c>
      <c r="SA74" s="28">
        <f>SUMPRODUCT(INDEX(PortfolioRef[[SPY]:[PE]],MATCH(SA$1,PortfolioRef[Reference '#]),0),AssetMonthlyReturns[[#This Row],[SPY]:[PE]])</f>
        <v>1.5085860248814597E-2</v>
      </c>
      <c r="SB74" s="27">
        <f>IF(ISNUMBER(SB73),SB73*(1+PortfolioFrontier[[#This Row],[P124 Return]]),1+PortfolioFrontier[[#This Row],[P124 Return]])</f>
        <v>1.6391219491731623</v>
      </c>
      <c r="SC74" s="27">
        <f>MAX(SC73,PortfolioFrontier[[#This Row],[P124 Growth]])</f>
        <v>1.6823821965094672</v>
      </c>
      <c r="SD74" s="27">
        <f>PortfolioFrontier[[#This Row],[P124 Growth]]/PortfolioFrontier[[#This Row],[P124 HWM]]-1</f>
        <v>-2.5713685883064663E-2</v>
      </c>
      <c r="SE74" s="28">
        <f>SUMPRODUCT(INDEX(PortfolioRef[[SPY]:[PE]],MATCH(SE$1,PortfolioRef[Reference '#]),0),AssetMonthlyReturns[[#This Row],[SPY]:[PE]])</f>
        <v>9.9233167648173047E-3</v>
      </c>
      <c r="SF74" s="27">
        <f>IF(ISNUMBER(SF73),SF73*(1+PortfolioFrontier[[#This Row],[P125 Return]]),1+PortfolioFrontier[[#This Row],[P125 Return]])</f>
        <v>1.6128454433866215</v>
      </c>
      <c r="SG74" s="27">
        <f>MAX(SG73,PortfolioFrontier[[#This Row],[P125 Growth]])</f>
        <v>1.6509411354388694</v>
      </c>
      <c r="SH74" s="27">
        <f>PortfolioFrontier[[#This Row],[P125 Growth]]/PortfolioFrontier[[#This Row],[P125 HWM]]-1</f>
        <v>-2.3075136499110194E-2</v>
      </c>
      <c r="SI74" s="28">
        <f>SUMPRODUCT(INDEX(PortfolioRef[[SPY]:[PE]],MATCH(SI$1,PortfolioRef[Reference '#]),0),AssetMonthlyReturns[[#This Row],[SPY]:[PE]])</f>
        <v>4.7607732808200073E-3</v>
      </c>
      <c r="SJ74" s="27">
        <f>IF(ISNUMBER(SJ73),SJ73*(1+PortfolioFrontier[[#This Row],[P126 Return]]),1+PortfolioFrontier[[#This Row],[P126 Return]])</f>
        <v>1.5862107496661146</v>
      </c>
      <c r="SK74" s="27">
        <f>MAX(SK73,PortfolioFrontier[[#This Row],[P126 Growth]])</f>
        <v>1.6193836797956254</v>
      </c>
      <c r="SL74" s="27">
        <f>PortfolioFrontier[[#This Row],[P126 Growth]]/PortfolioFrontier[[#This Row],[P126 HWM]]-1</f>
        <v>-2.0484910736964679E-2</v>
      </c>
      <c r="SM74" s="28">
        <f>SUMPRODUCT(INDEX(PortfolioRef[[SPY]:[PE]],MATCH(SM$1,PortfolioRef[Reference '#]),0),AssetMonthlyReturns[[#This Row],[SPY]:[PE]])</f>
        <v>1.7292379654336786E-2</v>
      </c>
      <c r="SN74" s="27">
        <f>IF(ISNUMBER(SN73),SN73*(1+PortfolioFrontier[[#This Row],[P127 Return]]),1+PortfolioFrontier[[#This Row],[P127 Return]])</f>
        <v>1.6484041669176916</v>
      </c>
      <c r="SO74" s="27">
        <f>MAX(SO73,PortfolioFrontier[[#This Row],[P127 Growth]])</f>
        <v>1.7016086575400751</v>
      </c>
      <c r="SP74" s="27">
        <f>PortfolioFrontier[[#This Row],[P127 Growth]]/PortfolioFrontier[[#This Row],[P127 HWM]]-1</f>
        <v>-3.1267172029612489E-2</v>
      </c>
      <c r="SQ74" s="28">
        <f>SUMPRODUCT(INDEX(PortfolioRef[[SPY]:[PE]],MATCH(SQ$1,PortfolioRef[Reference '#]),0),AssetMonthlyReturns[[#This Row],[SPY]:[PE]])</f>
        <v>1.2129836170339494E-2</v>
      </c>
      <c r="SR74" s="27">
        <f>IF(ISNUMBER(SR73),SR73*(1+PortfolioFrontier[[#This Row],[P128 Return]]),1+PortfolioFrontier[[#This Row],[P128 Return]])</f>
        <v>1.6225837086726767</v>
      </c>
      <c r="SS74" s="27">
        <f>MAX(SS73,PortfolioFrontier[[#This Row],[P128 Growth]])</f>
        <v>1.6703618996398835</v>
      </c>
      <c r="ST74" s="27">
        <f>PortfolioFrontier[[#This Row],[P128 Growth]]/PortfolioFrontier[[#This Row],[P128 HWM]]-1</f>
        <v>-2.860349662998618E-2</v>
      </c>
      <c r="SU74" s="28">
        <f>SUMPRODUCT(INDEX(PortfolioRef[[SPY]:[PE]],MATCH(SU$1,PortfolioRef[Reference '#]),0),AssetMonthlyReturns[[#This Row],[SPY]:[PE]])</f>
        <v>6.9672926863421965E-3</v>
      </c>
      <c r="SV74" s="27">
        <f>IF(ISNUMBER(SV73),SV73*(1+PortfolioFrontier[[#This Row],[P129 Return]]),1+PortfolioFrontier[[#This Row],[P129 Return]])</f>
        <v>1.5963795006428154</v>
      </c>
      <c r="SW74" s="27">
        <f>MAX(SW73,PortfolioFrontier[[#This Row],[P129 Growth]])</f>
        <v>1.6389727481356613</v>
      </c>
      <c r="SX74" s="27">
        <f>PortfolioFrontier[[#This Row],[P129 Growth]]/PortfolioFrontier[[#This Row],[P129 HWM]]-1</f>
        <v>-2.5987770413691047E-2</v>
      </c>
      <c r="SY74" s="28">
        <f>SUMPRODUCT(INDEX(PortfolioRef[[SPY]:[PE]],MATCH(SY$1,PortfolioRef[Reference '#]),0),AssetMonthlyReturns[[#This Row],[SPY]:[PE]])</f>
        <v>1.9498899059858976E-2</v>
      </c>
      <c r="SZ74" s="27">
        <f>IF(ISNUMBER(SZ73),SZ73*(1+PortfolioFrontier[[#This Row],[P130 Return]]),1+PortfolioFrontier[[#This Row],[P130 Return]])</f>
        <v>1.6567977098115354</v>
      </c>
      <c r="TA74" s="27">
        <f>MAX(TA73,PortfolioFrontier[[#This Row],[P130 Growth]])</f>
        <v>1.720142179322633</v>
      </c>
      <c r="TB74" s="27">
        <f>PortfolioFrontier[[#This Row],[P130 Growth]]/PortfolioFrontier[[#This Row],[P130 HWM]]-1</f>
        <v>-3.6825135894314132E-2</v>
      </c>
      <c r="TC74" s="28">
        <f>SUMPRODUCT(INDEX(PortfolioRef[[SPY]:[PE]],MATCH(TC$1,PortfolioRef[Reference '#]),0),AssetMonthlyReturns[[#This Row],[SPY]:[PE]])</f>
        <v>1.4336355575861683E-2</v>
      </c>
      <c r="TD74" s="27">
        <f>IF(ISNUMBER(TD73),TD73*(1+PortfolioFrontier[[#This Row],[P131 Return]]),1+PortfolioFrontier[[#This Row],[P131 Return]])</f>
        <v>1.6314578091107135</v>
      </c>
      <c r="TE74" s="27">
        <f>MAX(TE73,PortfolioFrontier[[#This Row],[P131 Growth]])</f>
        <v>1.6891185966988822</v>
      </c>
      <c r="TF74" s="27">
        <f>PortfolioFrontier[[#This Row],[P131 Growth]]/PortfolioFrontier[[#This Row],[P131 HWM]]-1</f>
        <v>-3.4136612846994652E-2</v>
      </c>
      <c r="TG74" s="28">
        <f>SUMPRODUCT(INDEX(PortfolioRef[[SPY]:[PE]],MATCH(TG$1,PortfolioRef[Reference '#]),0),AssetMonthlyReturns[[#This Row],[SPY]:[PE]])</f>
        <v>9.1738120918643858E-3</v>
      </c>
      <c r="TH74" s="27">
        <f>IF(ISNUMBER(TH73),TH73*(1+PortfolioFrontier[[#This Row],[P132 Return]]),1+PortfolioFrontier[[#This Row],[P132 Return]])</f>
        <v>1.6057086731612102</v>
      </c>
      <c r="TI74" s="27">
        <f>MAX(TI73,PortfolioFrontier[[#This Row],[P132 Growth]])</f>
        <v>1.6579261593145806</v>
      </c>
      <c r="TJ74" s="27">
        <f>PortfolioFrontier[[#This Row],[P132 Growth]]/PortfolioFrontier[[#This Row],[P132 HWM]]-1</f>
        <v>-3.1495664544528457E-2</v>
      </c>
      <c r="TK74" s="28">
        <f>SUMPRODUCT(INDEX(PortfolioRef[[SPY]:[PE]],MATCH(TK$1,PortfolioRef[Reference '#]),0),AssetMonthlyReturns[[#This Row],[SPY]:[PE]])</f>
        <v>1.933564152105352E-2</v>
      </c>
      <c r="TL74" s="27">
        <f>IF(ISNUMBER(TL73),TL73*(1+PortfolioFrontier[[#This Row],[P133 Return]]),1+PortfolioFrontier[[#This Row],[P133 Return]])</f>
        <v>1.6730542916164963</v>
      </c>
      <c r="TM74" s="27">
        <f>MAX(TM73,PortfolioFrontier[[#This Row],[P133 Growth]])</f>
        <v>1.7171102853087914</v>
      </c>
      <c r="TN74" s="27">
        <f>PortfolioFrontier[[#This Row],[P133 Growth]]/PortfolioFrontier[[#This Row],[P133 HWM]]-1</f>
        <v>-2.5657055384984973E-2</v>
      </c>
      <c r="TO74" s="28">
        <f>SUMPRODUCT(INDEX(PortfolioRef[[SPY]:[PE]],MATCH(TO$1,PortfolioRef[Reference '#]),0),AssetMonthlyReturns[[#This Row],[SPY]:[PE]])</f>
        <v>1.4173098037056228E-2</v>
      </c>
      <c r="TP74" s="27">
        <f>IF(ISNUMBER(TP73),TP73*(1+PortfolioFrontier[[#This Row],[P134 Return]]),1+PortfolioFrontier[[#This Row],[P134 Return]])</f>
        <v>1.6469050383988151</v>
      </c>
      <c r="TQ74" s="27">
        <f>MAX(TQ73,PortfolioFrontier[[#This Row],[P134 Growth]])</f>
        <v>1.6856432974461595</v>
      </c>
      <c r="TR74" s="27">
        <f>PortfolioFrontier[[#This Row],[P134 Growth]]/PortfolioFrontier[[#This Row],[P134 HWM]]-1</f>
        <v>-2.2981290944552146E-2</v>
      </c>
      <c r="TS74" s="28">
        <f>SUMPRODUCT(INDEX(PortfolioRef[[SPY]:[PE]],MATCH(TS$1,PortfolioRef[Reference '#]),0),AssetMonthlyReturns[[#This Row],[SPY]:[PE]])</f>
        <v>9.0105545530589307E-3</v>
      </c>
      <c r="TT74" s="27">
        <f>IF(ISNUMBER(TT73),TT73*(1+PortfolioFrontier[[#This Row],[P135 Return]]),1+PortfolioFrontier[[#This Row],[P135 Return]])</f>
        <v>1.6203650609771207</v>
      </c>
      <c r="TU74" s="27">
        <f>MAX(TU73,PortfolioFrontier[[#This Row],[P135 Growth]])</f>
        <v>1.6540304901705998</v>
      </c>
      <c r="TV74" s="27">
        <f>PortfolioFrontier[[#This Row],[P135 Growth]]/PortfolioFrontier[[#This Row],[P135 HWM]]-1</f>
        <v>-2.0353572315348734E-2</v>
      </c>
      <c r="TW74" s="28">
        <f>SUMPRODUCT(INDEX(PortfolioRef[[SPY]:[PE]],MATCH(TW$1,PortfolioRef[Reference '#]),0),AssetMonthlyReturns[[#This Row],[SPY]:[PE]])</f>
        <v>2.154216092657571E-2</v>
      </c>
      <c r="TX74" s="27">
        <f>IF(ISNUMBER(TX73),TX73*(1+PortfolioFrontier[[#This Row],[P136 Return]]),1+PortfolioFrontier[[#This Row],[P136 Return]])</f>
        <v>1.6818901303216742</v>
      </c>
      <c r="TY74" s="27">
        <f>MAX(TY73,PortfolioFrontier[[#This Row],[P136 Growth]])</f>
        <v>1.7361155602147582</v>
      </c>
      <c r="TZ74" s="27">
        <f>PortfolioFrontier[[#This Row],[P136 Growth]]/PortfolioFrontier[[#This Row],[P136 HWM]]-1</f>
        <v>-3.1233767576149263E-2</v>
      </c>
      <c r="UA74" s="28">
        <f>SUMPRODUCT(INDEX(PortfolioRef[[SPY]:[PE]],MATCH(UA$1,PortfolioRef[Reference '#]),0),AssetMonthlyReturns[[#This Row],[SPY]:[PE]])</f>
        <v>1.6379617442578417E-2</v>
      </c>
      <c r="UB74" s="27">
        <f>IF(ISNUMBER(UB73),UB73*(1+PortfolioFrontier[[#This Row],[P137 Return]]),1+PortfolioFrontier[[#This Row],[P137 Return]])</f>
        <v>1.6562239396463925</v>
      </c>
      <c r="UC74" s="27">
        <f>MAX(UC73,PortfolioFrontier[[#This Row],[P137 Growth]])</f>
        <v>1.7048691873265751</v>
      </c>
      <c r="UD74" s="27">
        <f>PortfolioFrontier[[#This Row],[P137 Growth]]/PortfolioFrontier[[#This Row],[P137 HWM]]-1</f>
        <v>-2.853312620217141E-2</v>
      </c>
      <c r="UE74" s="28">
        <f>SUMPRODUCT(INDEX(PortfolioRef[[SPY]:[PE]],MATCH(UE$1,PortfolioRef[Reference '#]),0),AssetMonthlyReturns[[#This Row],[SPY]:[PE]])</f>
        <v>1.121707395858112E-2</v>
      </c>
      <c r="UF74" s="27">
        <f>IF(ISNUMBER(UF73),UF73*(1+PortfolioFrontier[[#This Row],[P138 Return]]),1+PortfolioFrontier[[#This Row],[P138 Return]])</f>
        <v>1.6301411275549087</v>
      </c>
      <c r="UG74" s="27">
        <f>MAX(UG73,PortfolioFrontier[[#This Row],[P138 Growth]])</f>
        <v>1.6734502822541619</v>
      </c>
      <c r="UH74" s="27">
        <f>PortfolioFrontier[[#This Row],[P138 Growth]]/PortfolioFrontier[[#This Row],[P138 HWM]]-1</f>
        <v>-2.588015620094497E-2</v>
      </c>
      <c r="UI74" s="28">
        <f>SUMPRODUCT(INDEX(PortfolioRef[[SPY]:[PE]],MATCH(UI$1,PortfolioRef[Reference '#]),0),AssetMonthlyReturns[[#This Row],[SPY]:[PE]])</f>
        <v>2.3748680332097899E-2</v>
      </c>
      <c r="UJ74" s="27">
        <f>IF(ISNUMBER(UJ73),UJ73*(1+PortfolioFrontier[[#This Row],[P139 Return]]),1+PortfolioFrontier[[#This Row],[P139 Return]])</f>
        <v>1.6898088793920769</v>
      </c>
      <c r="UK74" s="27">
        <f>MAX(UK73,PortfolioFrontier[[#This Row],[P139 Growth]])</f>
        <v>1.7543965710992384</v>
      </c>
      <c r="UL74" s="27">
        <f>PortfolioFrontier[[#This Row],[P139 Growth]]/PortfolioFrontier[[#This Row],[P139 HWM]]-1</f>
        <v>-3.6814761708462096E-2</v>
      </c>
      <c r="UM74" s="28">
        <f>SUMPRODUCT(INDEX(PortfolioRef[[SPY]:[PE]],MATCH(UM$1,PortfolioRef[Reference '#]),0),AssetMonthlyReturns[[#This Row],[SPY]:[PE]])</f>
        <v>1.8586136848100607E-2</v>
      </c>
      <c r="UN74" s="27">
        <f>IF(ISNUMBER(UN73),UN73*(1+PortfolioFrontier[[#This Row],[P140 Return]]),1+PortfolioFrontier[[#This Row],[P140 Return]])</f>
        <v>1.6646503135671877</v>
      </c>
      <c r="UO74" s="27">
        <f>MAX(UO73,PortfolioFrontier[[#This Row],[P140 Growth]])</f>
        <v>1.7234002022793458</v>
      </c>
      <c r="UP74" s="27">
        <f>PortfolioFrontier[[#This Row],[P140 Growth]]/PortfolioFrontier[[#This Row],[P140 HWM]]-1</f>
        <v>-3.4089521768917219E-2</v>
      </c>
      <c r="UQ74" s="28">
        <f>SUMPRODUCT(INDEX(PortfolioRef[[SPY]:[PE]],MATCH(UQ$1,PortfolioRef[Reference '#]),0),AssetMonthlyReturns[[#This Row],[SPY]:[PE]])</f>
        <v>1.3423593364103309E-2</v>
      </c>
      <c r="UR74" s="27">
        <f>IF(ISNUMBER(UR73),UR73*(1+PortfolioFrontier[[#This Row],[P141 Return]]),1+PortfolioFrontier[[#This Row],[P141 Return]])</f>
        <v>1.6390493395091683</v>
      </c>
      <c r="US74" s="27">
        <f>MAX(US73,PortfolioFrontier[[#This Row],[P141 Growth]])</f>
        <v>1.6922041432386774</v>
      </c>
      <c r="UT74" s="27">
        <f>PortfolioFrontier[[#This Row],[P141 Growth]]/PortfolioFrontier[[#This Row],[P141 HWM]]-1</f>
        <v>-3.1411578763645531E-2</v>
      </c>
    </row>
    <row r="75" spans="2:566" x14ac:dyDescent="0.2">
      <c r="B75" s="41">
        <f>AssetMonthlyReturns[[#This Row],[Date]]</f>
        <v>44652</v>
      </c>
      <c r="C75" s="28">
        <f>SUMPRODUCT(INDEX(PortfolioRef[[SPY]:[PE]],MATCH(C$1,PortfolioRef[Reference '#]),0),AssetMonthlyReturns[[#This Row],[SPY]:[PE]])</f>
        <v>-5.5823825762435719E-2</v>
      </c>
      <c r="D75" s="29">
        <f>IF(ISNUMBER(D74),D74*(1+PortfolioFrontier[[#This Row],[P1 Return]]),1+PortfolioFrontier[[#This Row],[P1 Return]])</f>
        <v>1.7819195362623501</v>
      </c>
      <c r="E75" s="29">
        <f>MAX(E74,PortfolioFrontier[[#This Row],[P1 Growth]])</f>
        <v>1.9531239567566241</v>
      </c>
      <c r="F75" s="29">
        <f>PortfolioFrontier[[#This Row],[P1 Growth]]/PortfolioFrontier[[#This Row],[P1 HWM]]-1</f>
        <v>-8.7656710114076719E-2</v>
      </c>
      <c r="G75" s="28">
        <f>SUMPRODUCT(INDEX(PortfolioRef[[SPY]:[PE]],MATCH(G$1,PortfolioRef[Reference '#]),0),AssetMonthlyReturns[[#This Row],[SPY]:[PE]])</f>
        <v>-5.3481159962171232E-2</v>
      </c>
      <c r="H75" s="27">
        <f>IF(ISNUMBER(H74),H74*(1+PortfolioFrontier[[#This Row],[P2 Return]]),1+PortfolioFrontier[[#This Row],[P2 Return]])</f>
        <v>1.7192830510033221</v>
      </c>
      <c r="I75" s="27">
        <f>MAX(I74,PortfolioFrontier[[#This Row],[P2 Growth]])</f>
        <v>1.880902671218339</v>
      </c>
      <c r="J75" s="27">
        <f>PortfolioFrontier[[#This Row],[P2 Growth]]/PortfolioFrontier[[#This Row],[P2 HWM]]-1</f>
        <v>-8.5926625916443178E-2</v>
      </c>
      <c r="K75" s="28">
        <f>SUMPRODUCT(INDEX(PortfolioRef[[SPY]:[PE]],MATCH(K$1,PortfolioRef[Reference '#]),0),AssetMonthlyReturns[[#This Row],[SPY]:[PE]])</f>
        <v>-5.2611663843377607E-2</v>
      </c>
      <c r="L75" s="27">
        <f>IF(ISNUMBER(L74),L74*(1+PortfolioFrontier[[#This Row],[P3 Return]]),1+PortfolioFrontier[[#This Row],[P3 Return]])</f>
        <v>1.7470001604774346</v>
      </c>
      <c r="M75" s="27">
        <f>MAX(M74,PortfolioFrontier[[#This Row],[P3 Growth]])</f>
        <v>1.8984394560781046</v>
      </c>
      <c r="N75" s="27">
        <f>PortfolioFrontier[[#This Row],[P3 Growth]]/PortfolioFrontier[[#This Row],[P3 HWM]]-1</f>
        <v>-7.9770410963498017E-2</v>
      </c>
      <c r="O75" s="28">
        <f>SUMPRODUCT(INDEX(PortfolioRef[[SPY]:[PE]],MATCH(O$1,PortfolioRef[Reference '#]),0),AssetMonthlyReturns[[#This Row],[SPY]:[PE]])</f>
        <v>-5.3358010980533346E-2</v>
      </c>
      <c r="P75" s="27">
        <f>IF(ISNUMBER(P74),P74*(1+PortfolioFrontier[[#This Row],[P4 Return]]),1+PortfolioFrontier[[#This Row],[P4 Return]])</f>
        <v>1.7547411190618922</v>
      </c>
      <c r="Q75" s="27">
        <f>MAX(Q74,PortfolioFrontier[[#This Row],[P4 Growth]])</f>
        <v>1.9193367929729268</v>
      </c>
      <c r="R75" s="27">
        <f>PortfolioFrontier[[#This Row],[P4 Growth]]/PortfolioFrontier[[#This Row],[P4 HWM]]-1</f>
        <v>-8.5756535545846946E-2</v>
      </c>
      <c r="S75" s="28">
        <f>SUMPRODUCT(INDEX(PortfolioRef[[SPY]:[PE]],MATCH(S$1,PortfolioRef[Reference '#]),0),AssetMonthlyReturns[[#This Row],[SPY]:[PE]])</f>
        <v>-5.0454613187427055E-2</v>
      </c>
      <c r="T75" s="27">
        <f>IF(ISNUMBER(T74),T74*(1+PortfolioFrontier[[#This Row],[P5 Return]]),1+PortfolioFrontier[[#This Row],[P5 Return]])</f>
        <v>1.7326677180447698</v>
      </c>
      <c r="U75" s="27">
        <f>MAX(U74,PortfolioFrontier[[#This Row],[P5 Growth]])</f>
        <v>1.8841834525169079</v>
      </c>
      <c r="V75" s="27">
        <f>PortfolioFrontier[[#This Row],[P5 Growth]]/PortfolioFrontier[[#This Row],[P5 HWM]]-1</f>
        <v>-8.0414534088887213E-2</v>
      </c>
      <c r="W75" s="28">
        <f>SUMPRODUCT(INDEX(PortfolioRef[[SPY]:[PE]],MATCH(W$1,PortfolioRef[Reference '#]),0),AssetMonthlyReturns[[#This Row],[SPY]:[PE]])</f>
        <v>-5.1138494161906752E-2</v>
      </c>
      <c r="X75" s="27">
        <f>IF(ISNUMBER(X74),X74*(1+PortfolioFrontier[[#This Row],[P6 Return]]),1+PortfolioFrontier[[#This Row],[P6 Return]])</f>
        <v>1.658238273922815</v>
      </c>
      <c r="Y75" s="27">
        <f>MAX(Y74,PortfolioFrontier[[#This Row],[P6 Growth]])</f>
        <v>1.8107203423144032</v>
      </c>
      <c r="Z75" s="27">
        <f>PortfolioFrontier[[#This Row],[P6 Growth]]/PortfolioFrontier[[#This Row],[P6 HWM]]-1</f>
        <v>-8.4210722566186336E-2</v>
      </c>
      <c r="AA75" s="28">
        <f>SUMPRODUCT(INDEX(PortfolioRef[[SPY]:[PE]],MATCH(AA$1,PortfolioRef[Reference '#]),0),AssetMonthlyReturns[[#This Row],[SPY]:[PE]])</f>
        <v>-5.0268998043113126E-2</v>
      </c>
      <c r="AB75" s="27">
        <f>IF(ISNUMBER(AB74),AB74*(1+PortfolioFrontier[[#This Row],[P7 Return]]),1+PortfolioFrontier[[#This Row],[P7 Return]])</f>
        <v>1.6849992173803339</v>
      </c>
      <c r="AC75" s="27">
        <f>MAX(AC74,PortfolioFrontier[[#This Row],[P7 Growth]])</f>
        <v>1.8276317298765399</v>
      </c>
      <c r="AD75" s="27">
        <f>PortfolioFrontier[[#This Row],[P7 Growth]]/PortfolioFrontier[[#This Row],[P7 HWM]]-1</f>
        <v>-7.8042261011654235E-2</v>
      </c>
      <c r="AE75" s="28">
        <f>SUMPRODUCT(INDEX(PortfolioRef[[SPY]:[PE]],MATCH(AE$1,PortfolioRef[Reference '#]),0),AssetMonthlyReturns[[#This Row],[SPY]:[PE]])</f>
        <v>-5.1015345180268866E-2</v>
      </c>
      <c r="AF75" s="27">
        <f>IF(ISNUMBER(AF74),AF74*(1+PortfolioFrontier[[#This Row],[P8 Return]]),1+PortfolioFrontier[[#This Row],[P8 Return]])</f>
        <v>1.6929377245887758</v>
      </c>
      <c r="AG75" s="27">
        <f>MAX(AG74,PortfolioFrontier[[#This Row],[P8 Growth]])</f>
        <v>1.8482324314062795</v>
      </c>
      <c r="AH75" s="27">
        <f>PortfolioFrontier[[#This Row],[P8 Growth]]/PortfolioFrontier[[#This Row],[P8 HWM]]-1</f>
        <v>-8.4023364258002609E-2</v>
      </c>
      <c r="AI75" s="28">
        <f>SUMPRODUCT(INDEX(PortfolioRef[[SPY]:[PE]],MATCH(AI$1,PortfolioRef[Reference '#]),0),AssetMonthlyReturns[[#This Row],[SPY]:[PE]])</f>
        <v>-4.8111947387162575E-2</v>
      </c>
      <c r="AJ75" s="27">
        <f>IF(ISNUMBER(AJ74),AJ74*(1+PortfolioFrontier[[#This Row],[P9 Return]]),1+PortfolioFrontier[[#This Row],[P9 Return]])</f>
        <v>1.6711857406245323</v>
      </c>
      <c r="AK75" s="27">
        <f>MAX(AK74,PortfolioFrontier[[#This Row],[P9 Growth]])</f>
        <v>1.8139467261629987</v>
      </c>
      <c r="AL75" s="27">
        <f>PortfolioFrontier[[#This Row],[P9 Growth]]/PortfolioFrontier[[#This Row],[P9 HWM]]-1</f>
        <v>-7.8701862342145823E-2</v>
      </c>
      <c r="AM75" s="28">
        <f>SUMPRODUCT(INDEX(PortfolioRef[[SPY]:[PE]],MATCH(AM$1,PortfolioRef[Reference '#]),0),AssetMonthlyReturns[[#This Row],[SPY]:[PE]])</f>
        <v>-4.9399501924319508E-2</v>
      </c>
      <c r="AN75" s="27">
        <f>IF(ISNUMBER(AN74),AN74*(1+PortfolioFrontier[[#This Row],[P10 Return]]),1+PortfolioFrontier[[#This Row],[P10 Return]])</f>
        <v>1.7118217807764851</v>
      </c>
      <c r="AO75" s="27">
        <f>MAX(AO74,PortfolioFrontier[[#This Row],[P10 Growth]])</f>
        <v>1.8443368551596837</v>
      </c>
      <c r="AP75" s="27">
        <f>PortfolioFrontier[[#This Row],[P10 Growth]]/PortfolioFrontier[[#This Row],[P10 HWM]]-1</f>
        <v>-7.1849713360374934E-2</v>
      </c>
      <c r="AQ75" s="28">
        <f>SUMPRODUCT(INDEX(PortfolioRef[[SPY]:[PE]],MATCH(AQ$1,PortfolioRef[Reference '#]),0),AssetMonthlyReturns[[#This Row],[SPY]:[PE]])</f>
        <v>-5.0145849061475241E-2</v>
      </c>
      <c r="AR75" s="27">
        <f>IF(ISNUMBER(AR74),AR74*(1+PortfolioFrontier[[#This Row],[P11 Return]]),1+PortfolioFrontier[[#This Row],[P11 Return]])</f>
        <v>1.7202105123358535</v>
      </c>
      <c r="AS75" s="27">
        <f>MAX(AS74,PortfolioFrontier[[#This Row],[P11 Growth]])</f>
        <v>1.865449984246593</v>
      </c>
      <c r="AT75" s="27">
        <f>PortfolioFrontier[[#This Row],[P11 Growth]]/PortfolioFrontier[[#This Row],[P11 HWM]]-1</f>
        <v>-7.7857607085294211E-2</v>
      </c>
      <c r="AU75" s="28">
        <f>SUMPRODUCT(INDEX(PortfolioRef[[SPY]:[PE]],MATCH(AU$1,PortfolioRef[Reference '#]),0),AssetMonthlyReturns[[#This Row],[SPY]:[PE]])</f>
        <v>-4.724245126836895E-2</v>
      </c>
      <c r="AV75" s="27">
        <f>IF(ISNUMBER(AV74),AV74*(1+PortfolioFrontier[[#This Row],[P12 Return]]),1+PortfolioFrontier[[#This Row],[P12 Return]])</f>
        <v>1.6981629119472894</v>
      </c>
      <c r="AW75" s="27">
        <f>MAX(AW74,PortfolioFrontier[[#This Row],[P12 Growth]])</f>
        <v>1.8309154354259589</v>
      </c>
      <c r="AX75" s="27">
        <f>PortfolioFrontier[[#This Row],[P12 Growth]]/PortfolioFrontier[[#This Row],[P12 HWM]]-1</f>
        <v>-7.2506092258589172E-2</v>
      </c>
      <c r="AY75" s="28">
        <f>SUMPRODUCT(INDEX(PortfolioRef[[SPY]:[PE]],MATCH(AY$1,PortfolioRef[Reference '#]),0),AssetMonthlyReturns[[#This Row],[SPY]:[PE]])</f>
        <v>-5.0892196198630987E-2</v>
      </c>
      <c r="AZ75" s="27">
        <f>IF(ISNUMBER(AZ74),AZ74*(1+PortfolioFrontier[[#This Row],[P13 Return]]),1+PortfolioFrontier[[#This Row],[P13 Return]])</f>
        <v>1.7276609087483972</v>
      </c>
      <c r="BA75" s="27">
        <f>MAX(BA74,PortfolioFrontier[[#This Row],[P13 Growth]])</f>
        <v>1.8858075751364967</v>
      </c>
      <c r="BB75" s="27">
        <f>PortfolioFrontier[[#This Row],[P13 Growth]]/PortfolioFrontier[[#This Row],[P13 HWM]]-1</f>
        <v>-8.3861507649661826E-2</v>
      </c>
      <c r="BC75" s="28">
        <f>SUMPRODUCT(INDEX(PortfolioRef[[SPY]:[PE]],MATCH(BC$1,PortfolioRef[Reference '#]),0),AssetMonthlyReturns[[#This Row],[SPY]:[PE]])</f>
        <v>-4.7988798405524689E-2</v>
      </c>
      <c r="BD75" s="27">
        <f>IF(ISNUMBER(BD74),BD74*(1+PortfolioFrontier[[#This Row],[P14 Return]]),1+PortfolioFrontier[[#This Row],[P14 Return]])</f>
        <v>1.7061595980067534</v>
      </c>
      <c r="BE75" s="27">
        <f>MAX(BE74,PortfolioFrontier[[#This Row],[P14 Growth]])</f>
        <v>1.8515113734383843</v>
      </c>
      <c r="BF75" s="27">
        <f>PortfolioFrontier[[#This Row],[P14 Growth]]/PortfolioFrontier[[#This Row],[P14 HWM]]-1</f>
        <v>-7.8504392420610802E-2</v>
      </c>
      <c r="BG75" s="28">
        <f>SUMPRODUCT(INDEX(PortfolioRef[[SPY]:[PE]],MATCH(BG$1,PortfolioRef[Reference '#]),0),AssetMonthlyReturns[[#This Row],[SPY]:[PE]])</f>
        <v>-4.5085400612418391E-2</v>
      </c>
      <c r="BH75" s="27">
        <f>IF(ISNUMBER(BH74),BH74*(1+PortfolioFrontier[[#This Row],[P15 Return]]),1+PortfolioFrontier[[#This Row],[P15 Return]])</f>
        <v>1.6840777335371175</v>
      </c>
      <c r="BI75" s="27">
        <f>MAX(BI74,PortfolioFrontier[[#This Row],[P15 Growth]])</f>
        <v>1.8170439473092146</v>
      </c>
      <c r="BJ75" s="27">
        <f>PortfolioFrontier[[#This Row],[P15 Growth]]/PortfolioFrontier[[#This Row],[P15 HWM]]-1</f>
        <v>-7.3177213995842649E-2</v>
      </c>
      <c r="BK75" s="28">
        <f>SUMPRODUCT(INDEX(PortfolioRef[[SPY]:[PE]],MATCH(BK$1,PortfolioRef[Reference '#]),0),AssetMonthlyReturns[[#This Row],[SPY]:[PE]])</f>
        <v>-4.8795828361642271E-2</v>
      </c>
      <c r="BL75" s="27">
        <f>IF(ISNUMBER(BL74),BL74*(1+PortfolioFrontier[[#This Row],[P16 Return]]),1+PortfolioFrontier[[#This Row],[P16 Return]])</f>
        <v>1.5987732777477115</v>
      </c>
      <c r="BM75" s="27">
        <f>MAX(BM74,PortfolioFrontier[[#This Row],[P16 Growth]])</f>
        <v>1.7425494832470445</v>
      </c>
      <c r="BN75" s="27">
        <f>PortfolioFrontier[[#This Row],[P16 Growth]]/PortfolioFrontier[[#This Row],[P16 HWM]]-1</f>
        <v>-8.250910914244014E-2</v>
      </c>
      <c r="BO75" s="28">
        <f>SUMPRODUCT(INDEX(PortfolioRef[[SPY]:[PE]],MATCH(BO$1,PortfolioRef[Reference '#]),0),AssetMonthlyReturns[[#This Row],[SPY]:[PE]])</f>
        <v>-4.7926332242848646E-2</v>
      </c>
      <c r="BP75" s="27">
        <f>IF(ISNUMBER(BP74),BP74*(1+PortfolioFrontier[[#This Row],[P17 Return]]),1+PortfolioFrontier[[#This Row],[P17 Return]])</f>
        <v>1.6246020397534553</v>
      </c>
      <c r="BQ75" s="27">
        <f>MAX(BQ74,PortfolioFrontier[[#This Row],[P17 Growth]])</f>
        <v>1.7588525148836969</v>
      </c>
      <c r="BR75" s="27">
        <f>PortfolioFrontier[[#This Row],[P17 Growth]]/PortfolioFrontier[[#This Row],[P17 HWM]]-1</f>
        <v>-7.6328443683704061E-2</v>
      </c>
      <c r="BS75" s="28">
        <f>SUMPRODUCT(INDEX(PortfolioRef[[SPY]:[PE]],MATCH(BS$1,PortfolioRef[Reference '#]),0),AssetMonthlyReturns[[#This Row],[SPY]:[PE]])</f>
        <v>-4.8672679380004386E-2</v>
      </c>
      <c r="BT75" s="27">
        <f>IF(ISNUMBER(BT74),BT74*(1+PortfolioFrontier[[#This Row],[P18 Return]]),1+PortfolioFrontier[[#This Row],[P18 Return]])</f>
        <v>1.6327096967662411</v>
      </c>
      <c r="BU75" s="27">
        <f>MAX(BU74,PortfolioFrontier[[#This Row],[P18 Growth]])</f>
        <v>1.7791407441475846</v>
      </c>
      <c r="BV75" s="27">
        <f>PortfolioFrontier[[#This Row],[P18 Growth]]/PortfolioFrontier[[#This Row],[P18 HWM]]-1</f>
        <v>-8.2304363981895667E-2</v>
      </c>
      <c r="BW75" s="28">
        <f>SUMPRODUCT(INDEX(PortfolioRef[[SPY]:[PE]],MATCH(BW$1,PortfolioRef[Reference '#]),0),AssetMonthlyReturns[[#This Row],[SPY]:[PE]])</f>
        <v>-4.5769281586898095E-2</v>
      </c>
      <c r="BX75" s="27">
        <f>IF(ISNUMBER(BX74),BX74*(1+PortfolioFrontier[[#This Row],[P19 Return]]),1+PortfolioFrontier[[#This Row],[P19 Return]])</f>
        <v>1.6112929439000632</v>
      </c>
      <c r="BY75" s="27">
        <f>MAX(BY74,PortfolioFrontier[[#This Row],[P19 Growth]])</f>
        <v>1.7457196180719312</v>
      </c>
      <c r="BZ75" s="27">
        <f>PortfolioFrontier[[#This Row],[P19 Growth]]/PortfolioFrontier[[#This Row],[P19 HWM]]-1</f>
        <v>-7.7003587964679099E-2</v>
      </c>
      <c r="CA75" s="28">
        <f>SUMPRODUCT(INDEX(PortfolioRef[[SPY]:[PE]],MATCH(CA$1,PortfolioRef[Reference '#]),0),AssetMonthlyReturns[[#This Row],[SPY]:[PE]])</f>
        <v>-4.7056836124055028E-2</v>
      </c>
      <c r="CB75" s="27">
        <f>IF(ISNUMBER(CB74),CB74*(1+PortfolioFrontier[[#This Row],[P20 Return]]),1+PortfolioFrontier[[#This Row],[P20 Return]])</f>
        <v>1.6504903320844926</v>
      </c>
      <c r="CC75" s="27">
        <f>MAX(CC74,PortfolioFrontier[[#This Row],[P20 Growth]])</f>
        <v>1.7749567522517573</v>
      </c>
      <c r="CD75" s="27">
        <f>PortfolioFrontier[[#This Row],[P20 Growth]]/PortfolioFrontier[[#This Row],[P20 HWM]]-1</f>
        <v>-7.0123635412166152E-2</v>
      </c>
      <c r="CE75" s="28">
        <f>SUMPRODUCT(INDEX(PortfolioRef[[SPY]:[PE]],MATCH(CE$1,PortfolioRef[Reference '#]),0),AssetMonthlyReturns[[#This Row],[SPY]:[PE]])</f>
        <v>-4.780318326121076E-2</v>
      </c>
      <c r="CF75" s="27">
        <f>IF(ISNUMBER(CF74),CF74*(1+PortfolioFrontier[[#This Row],[P21 Return]]),1+PortfolioFrontier[[#This Row],[P21 Return]])</f>
        <v>1.6590399729834862</v>
      </c>
      <c r="CG75" s="27">
        <f>MAX(CG74,PortfolioFrontier[[#This Row],[P21 Growth]])</f>
        <v>1.795743356031652</v>
      </c>
      <c r="CH75" s="27">
        <f>PortfolioFrontier[[#This Row],[P21 Growth]]/PortfolioFrontier[[#This Row],[P21 HWM]]-1</f>
        <v>-7.612634767044979E-2</v>
      </c>
      <c r="CI75" s="28">
        <f>SUMPRODUCT(INDEX(PortfolioRef[[SPY]:[PE]],MATCH(CI$1,PortfolioRef[Reference '#]),0),AssetMonthlyReturns[[#This Row],[SPY]:[PE]])</f>
        <v>-4.4899785468104469E-2</v>
      </c>
      <c r="CJ75" s="27">
        <f>IF(ISNUMBER(CJ74),CJ74*(1+PortfolioFrontier[[#This Row],[P22 Return]]),1+PortfolioFrontier[[#This Row],[P22 Return]])</f>
        <v>1.6373310359637834</v>
      </c>
      <c r="CK75" s="27">
        <f>MAX(CK74,PortfolioFrontier[[#This Row],[P22 Growth]])</f>
        <v>1.7620784578443487</v>
      </c>
      <c r="CL75" s="27">
        <f>PortfolioFrontier[[#This Row],[P22 Growth]]/PortfolioFrontier[[#This Row],[P22 HWM]]-1</f>
        <v>-7.0795611469636754E-2</v>
      </c>
      <c r="CM75" s="28">
        <f>SUMPRODUCT(INDEX(PortfolioRef[[SPY]:[PE]],MATCH(CM$1,PortfolioRef[Reference '#]),0),AssetMonthlyReturns[[#This Row],[SPY]:[PE]])</f>
        <v>-4.8549530398366507E-2</v>
      </c>
      <c r="CN75" s="27">
        <f>IF(ISNUMBER(CN74),CN74*(1+PortfolioFrontier[[#This Row],[P23 Return]]),1+PortfolioFrontier[[#This Row],[P23 Return]])</f>
        <v>1.6666909342051048</v>
      </c>
      <c r="CO75" s="27">
        <f>MAX(CO74,PortfolioFrontier[[#This Row],[P23 Growth]])</f>
        <v>1.8158151760868648</v>
      </c>
      <c r="CP75" s="27">
        <f>PortfolioFrontier[[#This Row],[P23 Growth]]/PortfolioFrontier[[#This Row],[P23 HWM]]-1</f>
        <v>-8.2125231601559268E-2</v>
      </c>
      <c r="CQ75" s="28">
        <f>SUMPRODUCT(INDEX(PortfolioRef[[SPY]:[PE]],MATCH(CQ$1,PortfolioRef[Reference '#]),0),AssetMonthlyReturns[[#This Row],[SPY]:[PE]])</f>
        <v>-4.5646132605260209E-2</v>
      </c>
      <c r="CR75" s="27">
        <f>IF(ISNUMBER(CR74),CR74*(1+PortfolioFrontier[[#This Row],[P24 Return]]),1+PortfolioFrontier[[#This Row],[P24 Return]])</f>
        <v>1.6454985834113509</v>
      </c>
      <c r="CS75" s="27">
        <f>MAX(CS74,PortfolioFrontier[[#This Row],[P24 Growth]])</f>
        <v>1.7823638134718676</v>
      </c>
      <c r="CT75" s="27">
        <f>PortfolioFrontier[[#This Row],[P24 Growth]]/PortfolioFrontier[[#This Row],[P24 HWM]]-1</f>
        <v>-7.6788604563238327E-2</v>
      </c>
      <c r="CU75" s="28">
        <f>SUMPRODUCT(INDEX(PortfolioRef[[SPY]:[PE]],MATCH(CU$1,PortfolioRef[Reference '#]),0),AssetMonthlyReturns[[#This Row],[SPY]:[PE]])</f>
        <v>-4.2742734812153911E-2</v>
      </c>
      <c r="CV75" s="27">
        <f>IF(ISNUMBER(CV74),CV74*(1+PortfolioFrontier[[#This Row],[P25 Return]]),1+PortfolioFrontier[[#This Row],[P25 Return]])</f>
        <v>1.6237597820923226</v>
      </c>
      <c r="CW75" s="27">
        <f>MAX(CW74,PortfolioFrontier[[#This Row],[P25 Growth]])</f>
        <v>1.7487656732120247</v>
      </c>
      <c r="CX75" s="27">
        <f>PortfolioFrontier[[#This Row],[P25 Growth]]/PortfolioFrontier[[#This Row],[P25 HWM]]-1</f>
        <v>-7.1482356404045211E-2</v>
      </c>
      <c r="CY75" s="28">
        <f>SUMPRODUCT(INDEX(PortfolioRef[[SPY]:[PE]],MATCH(CY$1,PortfolioRef[Reference '#]),0),AssetMonthlyReturns[[#This Row],[SPY]:[PE]])</f>
        <v>-4.6933687142417142E-2</v>
      </c>
      <c r="CZ75" s="27">
        <f>IF(ISNUMBER(CZ74),CZ74*(1+PortfolioFrontier[[#This Row],[P26 Return]]),1+PortfolioFrontier[[#This Row],[P26 Return]])</f>
        <v>1.6854301496700612</v>
      </c>
      <c r="DA75" s="27">
        <f>MAX(DA74,PortfolioFrontier[[#This Row],[P26 Growth]])</f>
        <v>1.8121428498945955</v>
      </c>
      <c r="DB75" s="27">
        <f>PortfolioFrontier[[#This Row],[P26 Growth]]/PortfolioFrontier[[#This Row],[P26 HWM]]-1</f>
        <v>-6.9924233750062625E-2</v>
      </c>
      <c r="DC75" s="28">
        <f>SUMPRODUCT(INDEX(PortfolioRef[[SPY]:[PE]],MATCH(DC$1,PortfolioRef[Reference '#]),0),AssetMonthlyReturns[[#This Row],[SPY]:[PE]])</f>
        <v>-4.4030289349310851E-2</v>
      </c>
      <c r="DD75" s="27">
        <f>IF(ISNUMBER(DD74),DD74*(1+PortfolioFrontier[[#This Row],[P27 Return]]),1+PortfolioFrontier[[#This Row],[P27 Return]])</f>
        <v>1.6634296118907068</v>
      </c>
      <c r="DE75" s="27">
        <f>MAX(DE74,PortfolioFrontier[[#This Row],[P27 Growth]])</f>
        <v>1.7782387807323972</v>
      </c>
      <c r="DF75" s="27">
        <f>PortfolioFrontier[[#This Row],[P27 Growth]]/PortfolioFrontier[[#This Row],[P27 HWM]]-1</f>
        <v>-6.4563415265527113E-2</v>
      </c>
      <c r="DG75" s="28">
        <f>SUMPRODUCT(INDEX(PortfolioRef[[SPY]:[PE]],MATCH(DG$1,PortfolioRef[Reference '#]),0),AssetMonthlyReturns[[#This Row],[SPY]:[PE]])</f>
        <v>-4.7680034279572882E-2</v>
      </c>
      <c r="DH75" s="27">
        <f>IF(ISNUMBER(DH74),DH74*(1+PortfolioFrontier[[#This Row],[P28 Return]]),1+PortfolioFrontier[[#This Row],[P28 Return]])</f>
        <v>1.6935219717023731</v>
      </c>
      <c r="DI75" s="27">
        <f>MAX(DI74,PortfolioFrontier[[#This Row],[P28 Growth]])</f>
        <v>1.8327167417336543</v>
      </c>
      <c r="DJ75" s="27">
        <f>PortfolioFrontier[[#This Row],[P28 Growth]]/PortfolioFrontier[[#This Row],[P28 HWM]]-1</f>
        <v>-7.5949963713219715E-2</v>
      </c>
      <c r="DK75" s="28">
        <f>SUMPRODUCT(INDEX(PortfolioRef[[SPY]:[PE]],MATCH(DK$1,PortfolioRef[Reference '#]),0),AssetMonthlyReturns[[#This Row],[SPY]:[PE]])</f>
        <v>-4.4776636486466584E-2</v>
      </c>
      <c r="DL75" s="27">
        <f>IF(ISNUMBER(DL74),DL74*(1+PortfolioFrontier[[#This Row],[P29 Return]]),1+PortfolioFrontier[[#This Row],[P29 Return]])</f>
        <v>1.6720422908873511</v>
      </c>
      <c r="DM75" s="27">
        <f>MAX(DM74,PortfolioFrontier[[#This Row],[P29 Growth]])</f>
        <v>1.7990232294645383</v>
      </c>
      <c r="DN75" s="27">
        <f>PortfolioFrontier[[#This Row],[P29 Growth]]/PortfolioFrontier[[#This Row],[P29 HWM]]-1</f>
        <v>-7.0583267907542102E-2</v>
      </c>
      <c r="DO75" s="28">
        <f>SUMPRODUCT(INDEX(PortfolioRef[[SPY]:[PE]],MATCH(DO$1,PortfolioRef[Reference '#]),0),AssetMonthlyReturns[[#This Row],[SPY]:[PE]])</f>
        <v>-4.1873238693360286E-2</v>
      </c>
      <c r="DP75" s="27">
        <f>IF(ISNUMBER(DP74),DP74*(1+PortfolioFrontier[[#This Row],[P30 Return]]),1+PortfolioFrontier[[#This Row],[P30 Return]])</f>
        <v>1.6500066066492918</v>
      </c>
      <c r="DQ75" s="27">
        <f>MAX(DQ74,PortfolioFrontier[[#This Row],[P30 Growth]])</f>
        <v>1.7651792866223672</v>
      </c>
      <c r="DR75" s="27">
        <f>PortfolioFrontier[[#This Row],[P30 Growth]]/PortfolioFrontier[[#This Row],[P30 HWM]]-1</f>
        <v>-6.5247015329222391E-2</v>
      </c>
      <c r="DS75" s="28">
        <f>SUMPRODUCT(INDEX(PortfolioRef[[SPY]:[PE]],MATCH(DS$1,PortfolioRef[Reference '#]),0),AssetMonthlyReturns[[#This Row],[SPY]:[PE]])</f>
        <v>-4.8426381416728621E-2</v>
      </c>
      <c r="DT75" s="27">
        <f>IF(ISNUMBER(DT74),DT74*(1+PortfolioFrontier[[#This Row],[P31 Return]]),1+PortfolioFrontier[[#This Row],[P31 Return]])</f>
        <v>1.7006868221841744</v>
      </c>
      <c r="DU75" s="27">
        <f>MAX(DU74,PortfolioFrontier[[#This Row],[P31 Growth]])</f>
        <v>1.8525428026208837</v>
      </c>
      <c r="DV75" s="27">
        <f>PortfolioFrontier[[#This Row],[P31 Growth]]/PortfolioFrontier[[#This Row],[P31 HWM]]-1</f>
        <v>-8.197164471550733E-2</v>
      </c>
      <c r="DW75" s="28">
        <f>SUMPRODUCT(INDEX(PortfolioRef[[SPY]:[PE]],MATCH(DW$1,PortfolioRef[Reference '#]),0),AssetMonthlyReturns[[#This Row],[SPY]:[PE]])</f>
        <v>-4.552298362362233E-2</v>
      </c>
      <c r="DX75" s="27">
        <f>IF(ISNUMBER(DX74),DX74*(1+PortfolioFrontier[[#This Row],[P32 Return]]),1+PortfolioFrontier[[#This Row],[P32 Return]])</f>
        <v>1.6797496429179517</v>
      </c>
      <c r="DY75" s="27">
        <f>MAX(DY74,PortfolioFrontier[[#This Row],[P32 Growth]])</f>
        <v>1.8190908915066115</v>
      </c>
      <c r="DZ75" s="27">
        <f>PortfolioFrontier[[#This Row],[P32 Growth]]/PortfolioFrontier[[#This Row],[P32 HWM]]-1</f>
        <v>-7.659938777069808E-2</v>
      </c>
      <c r="EA75" s="28">
        <f>SUMPRODUCT(INDEX(PortfolioRef[[SPY]:[PE]],MATCH(EA$1,PortfolioRef[Reference '#]),0),AssetMonthlyReturns[[#This Row],[SPY]:[PE]])</f>
        <v>-4.2619585830516026E-2</v>
      </c>
      <c r="EB75" s="27">
        <f>IF(ISNUMBER(EB74),EB74*(1+PortfolioFrontier[[#This Row],[P33 Return]]),1+PortfolioFrontier[[#This Row],[P33 Return]])</f>
        <v>1.6582335041281462</v>
      </c>
      <c r="EC75" s="27">
        <f>MAX(EC74,PortfolioFrontier[[#This Row],[P33 Growth]])</f>
        <v>1.7854600976944932</v>
      </c>
      <c r="ED75" s="27">
        <f>PortfolioFrontier[[#This Row],[P33 Growth]]/PortfolioFrontier[[#This Row],[P33 HWM]]-1</f>
        <v>-7.1257035500614463E-2</v>
      </c>
      <c r="EE75" s="28">
        <f>SUMPRODUCT(INDEX(PortfolioRef[[SPY]:[PE]],MATCH(EE$1,PortfolioRef[Reference '#]),0),AssetMonthlyReturns[[#This Row],[SPY]:[PE]])</f>
        <v>-4.6453162561377784E-2</v>
      </c>
      <c r="EF75" s="27">
        <f>IF(ISNUMBER(EF74),EF74*(1+PortfolioFrontier[[#This Row],[P34 Return]]),1+PortfolioFrontier[[#This Row],[P34 Return]])</f>
        <v>1.5408747329940375</v>
      </c>
      <c r="EG75" s="27">
        <f>MAX(EG74,PortfolioFrontier[[#This Row],[P34 Growth]])</f>
        <v>1.6763614413137211</v>
      </c>
      <c r="EH75" s="27">
        <f>PortfolioFrontier[[#This Row],[P34 Growth]]/PortfolioFrontier[[#This Row],[P34 HWM]]-1</f>
        <v>-8.0821894956917051E-2</v>
      </c>
      <c r="EI75" s="28">
        <f>SUMPRODUCT(INDEX(PortfolioRef[[SPY]:[PE]],MATCH(EI$1,PortfolioRef[Reference '#]),0),AssetMonthlyReturns[[#This Row],[SPY]:[PE]])</f>
        <v>-4.5583666442584159E-2</v>
      </c>
      <c r="EJ75" s="27">
        <f>IF(ISNUMBER(EJ74),EJ74*(1+PortfolioFrontier[[#This Row],[P35 Return]]),1+PortfolioFrontier[[#This Row],[P35 Return]])</f>
        <v>1.5657951065206404</v>
      </c>
      <c r="EK75" s="27">
        <f>MAX(EK74,PortfolioFrontier[[#This Row],[P35 Growth]])</f>
        <v>1.6920729334369538</v>
      </c>
      <c r="EL75" s="27">
        <f>PortfolioFrontier[[#This Row],[P35 Growth]]/PortfolioFrontier[[#This Row],[P35 HWM]]-1</f>
        <v>-7.4629068535371434E-2</v>
      </c>
      <c r="EM75" s="28">
        <f>SUMPRODUCT(INDEX(PortfolioRef[[SPY]:[PE]],MATCH(EM$1,PortfolioRef[Reference '#]),0),AssetMonthlyReturns[[#This Row],[SPY]:[PE]])</f>
        <v>-4.6330013579739898E-2</v>
      </c>
      <c r="EN75" s="27">
        <f>IF(ISNUMBER(EN74),EN74*(1+PortfolioFrontier[[#This Row],[P36 Return]]),1+PortfolioFrontier[[#This Row],[P36 Return]])</f>
        <v>1.5740450338583647</v>
      </c>
      <c r="EO75" s="27">
        <f>MAX(EO74,PortfolioFrontier[[#This Row],[P36 Growth]])</f>
        <v>1.7120343963250326</v>
      </c>
      <c r="EP75" s="27">
        <f>PortfolioFrontier[[#This Row],[P36 Growth]]/PortfolioFrontier[[#This Row],[P36 HWM]]-1</f>
        <v>-8.0599643770515983E-2</v>
      </c>
      <c r="EQ75" s="28">
        <f>SUMPRODUCT(INDEX(PortfolioRef[[SPY]:[PE]],MATCH(EQ$1,PortfolioRef[Reference '#]),0),AssetMonthlyReturns[[#This Row],[SPY]:[PE]])</f>
        <v>-4.3426615786633607E-2</v>
      </c>
      <c r="ER75" s="27">
        <f>IF(ISNUMBER(ER74),ER74*(1+PortfolioFrontier[[#This Row],[P37 Return]]),1+PortfolioFrontier[[#This Row],[P37 Return]])</f>
        <v>1.5529760239954113</v>
      </c>
      <c r="ES75" s="27">
        <f>MAX(ES74,PortfolioFrontier[[#This Row],[P37 Growth]])</f>
        <v>1.6794736802569215</v>
      </c>
      <c r="ET75" s="27">
        <f>PortfolioFrontier[[#This Row],[P37 Growth]]/PortfolioFrontier[[#This Row],[P37 HWM]]-1</f>
        <v>-7.5319820577455454E-2</v>
      </c>
      <c r="EU75" s="28">
        <f>SUMPRODUCT(INDEX(PortfolioRef[[SPY]:[PE]],MATCH(EU$1,PortfolioRef[Reference '#]),0),AssetMonthlyReturns[[#This Row],[SPY]:[PE]])</f>
        <v>-4.4714170323790541E-2</v>
      </c>
      <c r="EV75" s="27">
        <f>IF(ISNUMBER(EV74),EV74*(1+PortfolioFrontier[[#This Row],[P38 Return]]),1+PortfolioFrontier[[#This Row],[P38 Return]])</f>
        <v>1.5907729764266869</v>
      </c>
      <c r="EW75" s="27">
        <f>MAX(EW74,PortfolioFrontier[[#This Row],[P38 Growth]])</f>
        <v>1.7075928941250238</v>
      </c>
      <c r="EX75" s="27">
        <f>PortfolioFrontier[[#This Row],[P38 Growth]]/PortfolioFrontier[[#This Row],[P38 HWM]]-1</f>
        <v>-6.8412042530895945E-2</v>
      </c>
      <c r="EY75" s="28">
        <f>SUMPRODUCT(INDEX(PortfolioRef[[SPY]:[PE]],MATCH(EY$1,PortfolioRef[Reference '#]),0),AssetMonthlyReturns[[#This Row],[SPY]:[PE]])</f>
        <v>-4.5460517460946273E-2</v>
      </c>
      <c r="EZ75" s="27">
        <f>IF(ISNUMBER(EZ74),EZ74*(1+PortfolioFrontier[[#This Row],[P39 Return]]),1+PortfolioFrontier[[#This Row],[P39 Return]])</f>
        <v>1.5994565041679178</v>
      </c>
      <c r="FA75" s="27">
        <f>MAX(FA74,PortfolioFrontier[[#This Row],[P39 Growth]])</f>
        <v>1.7280388577532122</v>
      </c>
      <c r="FB75" s="27">
        <f>PortfolioFrontier[[#This Row],[P39 Growth]]/PortfolioFrontier[[#This Row],[P39 HWM]]-1</f>
        <v>-7.4409410996970626E-2</v>
      </c>
      <c r="FC75" s="28">
        <f>SUMPRODUCT(INDEX(PortfolioRef[[SPY]:[PE]],MATCH(FC$1,PortfolioRef[Reference '#]),0),AssetMonthlyReturns[[#This Row],[SPY]:[PE]])</f>
        <v>-4.2557119667839982E-2</v>
      </c>
      <c r="FD75" s="27">
        <f>IF(ISNUMBER(FD74),FD74*(1+PortfolioFrontier[[#This Row],[P40 Return]]),1+PortfolioFrontier[[#This Row],[P40 Return]])</f>
        <v>1.5780989759249289</v>
      </c>
      <c r="FE75" s="27">
        <f>MAX(FE74,PortfolioFrontier[[#This Row],[P40 Growth]])</f>
        <v>1.6952394830468527</v>
      </c>
      <c r="FF75" s="27">
        <f>PortfolioFrontier[[#This Row],[P40 Growth]]/PortfolioFrontier[[#This Row],[P40 HWM]]-1</f>
        <v>-6.9099680778663353E-2</v>
      </c>
      <c r="FG75" s="28">
        <f>SUMPRODUCT(INDEX(PortfolioRef[[SPY]:[PE]],MATCH(FG$1,PortfolioRef[Reference '#]),0),AssetMonthlyReturns[[#This Row],[SPY]:[PE]])</f>
        <v>-4.620686459810202E-2</v>
      </c>
      <c r="FH75" s="27">
        <f>IF(ISNUMBER(FH74),FH74*(1+PortfolioFrontier[[#This Row],[P41 Return]]),1+PortfolioFrontier[[#This Row],[P41 Return]])</f>
        <v>1.6072798261921795</v>
      </c>
      <c r="FI75" s="27">
        <f>MAX(FI74,PortfolioFrontier[[#This Row],[P41 Growth]])</f>
        <v>1.7478091274239449</v>
      </c>
      <c r="FJ75" s="27">
        <f>PortfolioFrontier[[#This Row],[P41 Growth]]/PortfolioFrontier[[#This Row],[P41 HWM]]-1</f>
        <v>-8.0403116694377386E-2</v>
      </c>
      <c r="FK75" s="28">
        <f>SUMPRODUCT(INDEX(PortfolioRef[[SPY]:[PE]],MATCH(FK$1,PortfolioRef[Reference '#]),0),AssetMonthlyReturns[[#This Row],[SPY]:[PE]])</f>
        <v>-4.3303466804995722E-2</v>
      </c>
      <c r="FL75" s="27">
        <f>IF(ISNUMBER(FL74),FL74*(1+PortfolioFrontier[[#This Row],[P42 Return]]),1+PortfolioFrontier[[#This Row],[P42 Return]])</f>
        <v>1.586410290704926</v>
      </c>
      <c r="FM75" s="27">
        <f>MAX(FM74,PortfolioFrontier[[#This Row],[P42 Growth]])</f>
        <v>1.7151998522045959</v>
      </c>
      <c r="FN75" s="27">
        <f>PortfolioFrontier[[#This Row],[P42 Growth]]/PortfolioFrontier[[#This Row],[P42 HWM]]-1</f>
        <v>-7.508720417281578E-2</v>
      </c>
      <c r="FO75" s="28">
        <f>SUMPRODUCT(INDEX(PortfolioRef[[SPY]:[PE]],MATCH(FO$1,PortfolioRef[Reference '#]),0),AssetMonthlyReturns[[#This Row],[SPY]:[PE]])</f>
        <v>-4.0400069011889424E-2</v>
      </c>
      <c r="FP75" s="27">
        <f>IF(ISNUMBER(FP74),FP74*(1+PortfolioFrontier[[#This Row],[P43 Return]]),1+PortfolioFrontier[[#This Row],[P43 Return]])</f>
        <v>1.5650270266683952</v>
      </c>
      <c r="FQ75" s="27">
        <f>MAX(FQ74,PortfolioFrontier[[#This Row],[P43 Growth]])</f>
        <v>1.6824667632825669</v>
      </c>
      <c r="FR75" s="27">
        <f>PortfolioFrontier[[#This Row],[P43 Growth]]/PortfolioFrontier[[#This Row],[P43 HWM]]-1</f>
        <v>-6.9802113882500461E-2</v>
      </c>
      <c r="FS75" s="28">
        <f>SUMPRODUCT(INDEX(PortfolioRef[[SPY]:[PE]],MATCH(FS$1,PortfolioRef[Reference '#]),0),AssetMonthlyReturns[[#This Row],[SPY]:[PE]])</f>
        <v>-4.4591021342152655E-2</v>
      </c>
      <c r="FT75" s="27">
        <f>IF(ISNUMBER(FT74),FT74*(1+PortfolioFrontier[[#This Row],[P44 Return]]),1+PortfolioFrontier[[#This Row],[P44 Return]])</f>
        <v>1.6249258428507432</v>
      </c>
      <c r="FU75" s="27">
        <f>MAX(FU74,PortfolioFrontier[[#This Row],[P44 Growth]])</f>
        <v>1.7438475694471607</v>
      </c>
      <c r="FV75" s="27">
        <f>PortfolioFrontier[[#This Row],[P44 Growth]]/PortfolioFrontier[[#This Row],[P44 HWM]]-1</f>
        <v>-6.8195023854131009E-2</v>
      </c>
      <c r="FW75" s="28">
        <f>SUMPRODUCT(INDEX(PortfolioRef[[SPY]:[PE]],MATCH(FW$1,PortfolioRef[Reference '#]),0),AssetMonthlyReturns[[#This Row],[SPY]:[PE]])</f>
        <v>-4.1687623549046364E-2</v>
      </c>
      <c r="FX75" s="27">
        <f>IF(ISNUMBER(FX74),FX74*(1+PortfolioFrontier[[#This Row],[P45 Return]]),1+PortfolioFrontier[[#This Row],[P45 Return]])</f>
        <v>1.6032803485735909</v>
      </c>
      <c r="FY75" s="27">
        <f>MAX(FY74,PortfolioFrontier[[#This Row],[P45 Growth]])</f>
        <v>1.7108140158896465</v>
      </c>
      <c r="FZ75" s="27">
        <f>PortfolioFrontier[[#This Row],[P45 Growth]]/PortfolioFrontier[[#This Row],[P45 HWM]]-1</f>
        <v>-6.2855264404726441E-2</v>
      </c>
      <c r="GA75" s="28">
        <f>SUMPRODUCT(INDEX(PortfolioRef[[SPY]:[PE]],MATCH(GA$1,PortfolioRef[Reference '#]),0),AssetMonthlyReturns[[#This Row],[SPY]:[PE]])</f>
        <v>-4.5337368479308394E-2</v>
      </c>
      <c r="GB75" s="27">
        <f>IF(ISNUMBER(GB74),GB74*(1+PortfolioFrontier[[#This Row],[P46 Return]]),1+PortfolioFrontier[[#This Row],[P46 Return]])</f>
        <v>1.6331819727896786</v>
      </c>
      <c r="GC75" s="27">
        <f>MAX(GC74,PortfolioFrontier[[#This Row],[P46 Growth]])</f>
        <v>1.7641061270089846</v>
      </c>
      <c r="GD75" s="27">
        <f>PortfolioFrontier[[#This Row],[P46 Growth]]/PortfolioFrontier[[#This Row],[P46 HWM]]-1</f>
        <v>-7.4215577064678073E-2</v>
      </c>
      <c r="GE75" s="28">
        <f>SUMPRODUCT(INDEX(PortfolioRef[[SPY]:[PE]],MATCH(GE$1,PortfolioRef[Reference '#]),0),AssetMonthlyReturns[[#This Row],[SPY]:[PE]])</f>
        <v>-4.2433970686202097E-2</v>
      </c>
      <c r="GF75" s="27">
        <f>IF(ISNUMBER(GF74),GF74*(1+PortfolioFrontier[[#This Row],[P47 Return]]),1+PortfolioFrontier[[#This Row],[P47 Return]])</f>
        <v>1.612028368050529</v>
      </c>
      <c r="GG75" s="27">
        <f>MAX(GG74,PortfolioFrontier[[#This Row],[P47 Growth]])</f>
        <v>1.7312596087544752</v>
      </c>
      <c r="GH75" s="27">
        <f>PortfolioFrontier[[#This Row],[P47 Growth]]/PortfolioFrontier[[#This Row],[P47 HWM]]-1</f>
        <v>-6.8869648492362767E-2</v>
      </c>
      <c r="GI75" s="28">
        <f>SUMPRODUCT(INDEX(PortfolioRef[[SPY]:[PE]],MATCH(GI$1,PortfolioRef[Reference '#]),0),AssetMonthlyReturns[[#This Row],[SPY]:[PE]])</f>
        <v>-3.9530572893095799E-2</v>
      </c>
      <c r="GJ75" s="27">
        <f>IF(ISNUMBER(GJ74),GJ74*(1+PortfolioFrontier[[#This Row],[P48 Return]]),1+PortfolioFrontier[[#This Row],[P48 Return]])</f>
        <v>1.5903519912169535</v>
      </c>
      <c r="GK75" s="27">
        <f>MAX(GK74,PortfolioFrontier[[#This Row],[P48 Growth]])</f>
        <v>1.6982858835097865</v>
      </c>
      <c r="GL75" s="27">
        <f>PortfolioFrontier[[#This Row],[P48 Growth]]/PortfolioFrontier[[#This Row],[P48 HWM]]-1</f>
        <v>-6.3554607231245397E-2</v>
      </c>
      <c r="GM75" s="28">
        <f>SUMPRODUCT(INDEX(PortfolioRef[[SPY]:[PE]],MATCH(GM$1,PortfolioRef[Reference '#]),0),AssetMonthlyReturns[[#This Row],[SPY]:[PE]])</f>
        <v>-4.6083715616464134E-2</v>
      </c>
      <c r="GN75" s="27">
        <f>IF(ISNUMBER(GN74),GN74*(1+PortfolioFrontier[[#This Row],[P49 Return]]),1+PortfolioFrontier[[#This Row],[P49 Return]])</f>
        <v>1.6405502908483125</v>
      </c>
      <c r="GO75" s="27">
        <f>MAX(GO74,PortfolioFrontier[[#This Row],[P49 Growth]])</f>
        <v>1.7836571071341945</v>
      </c>
      <c r="GP75" s="27">
        <f>PortfolioFrontier[[#This Row],[P49 Growth]]/PortfolioFrontier[[#This Row],[P49 HWM]]-1</f>
        <v>-8.0232246272834318E-2</v>
      </c>
      <c r="GQ75" s="28">
        <f>SUMPRODUCT(INDEX(PortfolioRef[[SPY]:[PE]],MATCH(GQ$1,PortfolioRef[Reference '#]),0),AssetMonthlyReturns[[#This Row],[SPY]:[PE]])</f>
        <v>-4.3180317823357843E-2</v>
      </c>
      <c r="GR75" s="27">
        <f>IF(ISNUMBER(GR74),GR74*(1+PortfolioFrontier[[#This Row],[P50 Return]]),1+PortfolioFrontier[[#This Row],[P50 Return]])</f>
        <v>1.6199098016272209</v>
      </c>
      <c r="GS75" s="27">
        <f>MAX(GS74,PortfolioFrontier[[#This Row],[P50 Growth]])</f>
        <v>1.7510275614895194</v>
      </c>
      <c r="GT75" s="27">
        <f>PortfolioFrontier[[#This Row],[P50 Growth]]/PortfolioFrontier[[#This Row],[P50 HWM]]-1</f>
        <v>-7.4880466045184724E-2</v>
      </c>
      <c r="GU75" s="28">
        <f>SUMPRODUCT(INDEX(PortfolioRef[[SPY]:[PE]],MATCH(GU$1,PortfolioRef[Reference '#]),0),AssetMonthlyReturns[[#This Row],[SPY]:[PE]])</f>
        <v>-4.0276920030251538E-2</v>
      </c>
      <c r="GV75" s="27">
        <f>IF(ISNUMBER(GV74),GV74*(1+PortfolioFrontier[[#This Row],[P51 Return]]),1+PortfolioFrontier[[#This Row],[P51 Return]])</f>
        <v>1.598724166970789</v>
      </c>
      <c r="GW75" s="27">
        <f>MAX(GW74,PortfolioFrontier[[#This Row],[P51 Growth]])</f>
        <v>1.7182435242855478</v>
      </c>
      <c r="GX75" s="27">
        <f>PortfolioFrontier[[#This Row],[P51 Growth]]/PortfolioFrontier[[#This Row],[P51 HWM]]-1</f>
        <v>-6.955903259664864E-2</v>
      </c>
      <c r="GY75" s="28">
        <f>SUMPRODUCT(INDEX(PortfolioRef[[SPY]:[PE]],MATCH(GY$1,PortfolioRef[Reference '#]),0),AssetMonthlyReturns[[#This Row],[SPY]:[PE]])</f>
        <v>-4.4467872360514776E-2</v>
      </c>
      <c r="GZ75" s="27">
        <f>IF(ISNUMBER(GZ74),GZ74*(1+PortfolioFrontier[[#This Row],[P52 Return]]),1+PortfolioFrontier[[#This Row],[P52 Return]])</f>
        <v>1.6591423346911165</v>
      </c>
      <c r="HA75" s="27">
        <f>MAX(HA74,PortfolioFrontier[[#This Row],[P52 Growth]])</f>
        <v>1.7802031417261526</v>
      </c>
      <c r="HB75" s="27">
        <f>PortfolioFrontier[[#This Row],[P52 Growth]]/PortfolioFrontier[[#This Row],[P52 HWM]]-1</f>
        <v>-6.800392842675862E-2</v>
      </c>
      <c r="HC75" s="28">
        <f>SUMPRODUCT(INDEX(PortfolioRef[[SPY]:[PE]],MATCH(HC$1,PortfolioRef[Reference '#]),0),AssetMonthlyReturns[[#This Row],[SPY]:[PE]])</f>
        <v>-4.1564474567408478E-2</v>
      </c>
      <c r="HD75" s="27">
        <f>IF(ISNUMBER(HD74),HD74*(1+PortfolioFrontier[[#This Row],[P53 Return]]),1+PortfolioFrontier[[#This Row],[P53 Return]])</f>
        <v>1.6377052498892797</v>
      </c>
      <c r="HE75" s="27">
        <f>MAX(HE74,PortfolioFrontier[[#This Row],[P53 Growth]])</f>
        <v>1.7471238825308339</v>
      </c>
      <c r="HF75" s="27">
        <f>PortfolioFrontier[[#This Row],[P53 Growth]]/PortfolioFrontier[[#This Row],[P53 HWM]]-1</f>
        <v>-6.262786155899458E-2</v>
      </c>
      <c r="HG75" s="28">
        <f>SUMPRODUCT(INDEX(PortfolioRef[[SPY]:[PE]],MATCH(HG$1,PortfolioRef[Reference '#]),0),AssetMonthlyReturns[[#This Row],[SPY]:[PE]])</f>
        <v>-3.866107677430218E-2</v>
      </c>
      <c r="HH75" s="27">
        <f>IF(ISNUMBER(HH74),HH74*(1+PortfolioFrontier[[#This Row],[P54 Return]]),1+PortfolioFrontier[[#This Row],[P54 Return]])</f>
        <v>1.6157363079390423</v>
      </c>
      <c r="HI75" s="27">
        <f>MAX(HI74,PortfolioFrontier[[#This Row],[P54 Growth]])</f>
        <v>1.7139140104060526</v>
      </c>
      <c r="HJ75" s="27">
        <f>PortfolioFrontier[[#This Row],[P54 Growth]]/PortfolioFrontier[[#This Row],[P54 HWM]]-1</f>
        <v>-5.7282746900324644E-2</v>
      </c>
      <c r="HK75" s="28">
        <f>SUMPRODUCT(INDEX(PortfolioRef[[SPY]:[PE]],MATCH(HK$1,PortfolioRef[Reference '#]),0),AssetMonthlyReturns[[#This Row],[SPY]:[PE]])</f>
        <v>-4.5214219497670509E-2</v>
      </c>
      <c r="HL75" s="27">
        <f>IF(ISNUMBER(HL74),HL74*(1+PortfolioFrontier[[#This Row],[P55 Return]]),1+PortfolioFrontier[[#This Row],[P55 Return]])</f>
        <v>1.6669422506592999</v>
      </c>
      <c r="HM75" s="27">
        <f>MAX(HM74,PortfolioFrontier[[#This Row],[P55 Growth]])</f>
        <v>1.8002459621778737</v>
      </c>
      <c r="HN75" s="27">
        <f>PortfolioFrontier[[#This Row],[P55 Growth]]/PortfolioFrontier[[#This Row],[P55 HWM]]-1</f>
        <v>-7.4047499241330139E-2</v>
      </c>
      <c r="HO75" s="28">
        <f>SUMPRODUCT(INDEX(PortfolioRef[[SPY]:[PE]],MATCH(HO$1,PortfolioRef[Reference '#]),0),AssetMonthlyReturns[[#This Row],[SPY]:[PE]])</f>
        <v>-4.2310821704564218E-2</v>
      </c>
      <c r="HP75" s="27">
        <f>IF(ISNUMBER(HP74),HP74*(1+PortfolioFrontier[[#This Row],[P56 Return]]),1+PortfolioFrontier[[#This Row],[P56 Return]])</f>
        <v>1.6460225842856089</v>
      </c>
      <c r="HQ75" s="27">
        <f>MAX(HQ74,PortfolioFrontier[[#This Row],[P56 Growth]])</f>
        <v>1.767380839986993</v>
      </c>
      <c r="HR75" s="27">
        <f>PortfolioFrontier[[#This Row],[P56 Growth]]/PortfolioFrontier[[#This Row],[P56 HWM]]-1</f>
        <v>-6.8665594282597997E-2</v>
      </c>
      <c r="HS75" s="28">
        <f>SUMPRODUCT(INDEX(PortfolioRef[[SPY]:[PE]],MATCH(HS$1,PortfolioRef[Reference '#]),0),AssetMonthlyReturns[[#This Row],[SPY]:[PE]])</f>
        <v>-3.9407423911457913E-2</v>
      </c>
      <c r="HT75" s="27">
        <f>IF(ISNUMBER(HT74),HT74*(1+PortfolioFrontier[[#This Row],[P57 Return]]),1+PortfolioFrontier[[#This Row],[P57 Return]])</f>
        <v>1.6245482739228085</v>
      </c>
      <c r="HU75" s="27">
        <f>MAX(HU74,PortfolioFrontier[[#This Row],[P57 Growth]])</f>
        <v>1.7343575628436463</v>
      </c>
      <c r="HV75" s="27">
        <f>PortfolioFrontier[[#This Row],[P57 Growth]]/PortfolioFrontier[[#This Row],[P57 HWM]]-1</f>
        <v>-6.3314100433128018E-2</v>
      </c>
      <c r="HW75" s="28">
        <f>SUMPRODUCT(INDEX(PortfolioRef[[SPY]:[PE]],MATCH(HW$1,PortfolioRef[Reference '#]),0),AssetMonthlyReturns[[#This Row],[SPY]:[PE]])</f>
        <v>-4.5960566634826248E-2</v>
      </c>
      <c r="HX75" s="27">
        <f>IF(ISNUMBER(HX74),HX74*(1+PortfolioFrontier[[#This Row],[P58 Return]]),1+PortfolioFrontier[[#This Row],[P58 Return]])</f>
        <v>1.6738266000041375</v>
      </c>
      <c r="HY75" s="27">
        <f>MAX(HY74,PortfolioFrontier[[#This Row],[P58 Growth]])</f>
        <v>1.8195487359549802</v>
      </c>
      <c r="HZ75" s="27">
        <f>PortfolioFrontier[[#This Row],[P58 Growth]]/PortfolioFrontier[[#This Row],[P58 HWM]]-1</f>
        <v>-8.0086965010234379E-2</v>
      </c>
      <c r="IA75" s="28">
        <f>SUMPRODUCT(INDEX(PortfolioRef[[SPY]:[PE]],MATCH(IA$1,PortfolioRef[Reference '#]),0),AssetMonthlyReturns[[#This Row],[SPY]:[PE]])</f>
        <v>-4.3057168841719957E-2</v>
      </c>
      <c r="IB75" s="27">
        <f>IF(ISNUMBER(IB74),IB74*(1+PortfolioFrontier[[#This Row],[P59 Return]]),1+PortfolioFrontier[[#This Row],[P59 Return]])</f>
        <v>1.6534455247569446</v>
      </c>
      <c r="IC75" s="27">
        <f>MAX(IC74,PortfolioFrontier[[#This Row],[P59 Growth]])</f>
        <v>1.7869282396294996</v>
      </c>
      <c r="ID75" s="27">
        <f>PortfolioFrontier[[#This Row],[P59 Growth]]/PortfolioFrontier[[#This Row],[P59 HWM]]-1</f>
        <v>-7.4699538522168818E-2</v>
      </c>
      <c r="IE75" s="28">
        <f>SUMPRODUCT(INDEX(PortfolioRef[[SPY]:[PE]],MATCH(IE$1,PortfolioRef[Reference '#]),0),AssetMonthlyReturns[[#This Row],[SPY]:[PE]])</f>
        <v>-4.015377104861366E-2</v>
      </c>
      <c r="IF75" s="27">
        <f>IF(ISNUMBER(IF74),IF74*(1+PortfolioFrontier[[#This Row],[P60 Return]]),1+PortfolioFrontier[[#This Row],[P60 Return]])</f>
        <v>1.6324872976449267</v>
      </c>
      <c r="IG75" s="27">
        <f>MAX(IG74,PortfolioFrontier[[#This Row],[P60 Growth]])</f>
        <v>1.7541215677111524</v>
      </c>
      <c r="IH75" s="27">
        <f>PortfolioFrontier[[#This Row],[P60 Growth]]/PortfolioFrontier[[#This Row],[P60 HWM]]-1</f>
        <v>-6.9341984218881048E-2</v>
      </c>
      <c r="II75" s="28">
        <f>SUMPRODUCT(INDEX(PortfolioRef[[SPY]:[PE]],MATCH(II$1,PortfolioRef[Reference '#]),0),AssetMonthlyReturns[[#This Row],[SPY]:[PE]])</f>
        <v>-4.4110496761113303E-2</v>
      </c>
      <c r="IJ75" s="27">
        <f>IF(ISNUMBER(IJ74),IJ74*(1+PortfolioFrontier[[#This Row],[P61 Return]]),1+PortfolioFrontier[[#This Row],[P61 Return]])</f>
        <v>1.4845279901037223</v>
      </c>
      <c r="IK75" s="27">
        <f>MAX(IK74,PortfolioFrontier[[#This Row],[P61 Growth]])</f>
        <v>1.6121264956964798</v>
      </c>
      <c r="IL75" s="27">
        <f>PortfolioFrontier[[#This Row],[P61 Growth]]/PortfolioFrontier[[#This Row],[P61 HWM]]-1</f>
        <v>-7.9149189553907595E-2</v>
      </c>
      <c r="IM75" s="28">
        <f>SUMPRODUCT(INDEX(PortfolioRef[[SPY]:[PE]],MATCH(IM$1,PortfolioRef[Reference '#]),0),AssetMonthlyReturns[[#This Row],[SPY]:[PE]])</f>
        <v>-4.3241000642319678E-2</v>
      </c>
      <c r="IN75" s="27">
        <f>IF(ISNUMBER(IN74),IN74*(1+PortfolioFrontier[[#This Row],[P62 Return]]),1+PortfolioFrontier[[#This Row],[P62 Return]])</f>
        <v>1.5085635573139102</v>
      </c>
      <c r="IO75" s="27">
        <f>MAX(IO74,PortfolioFrontier[[#This Row],[P62 Growth]])</f>
        <v>1.6272630311124299</v>
      </c>
      <c r="IP75" s="27">
        <f>PortfolioFrontier[[#This Row],[P62 Growth]]/PortfolioFrontier[[#This Row],[P62 HWM]]-1</f>
        <v>-7.2944245354959136E-2</v>
      </c>
      <c r="IQ75" s="28">
        <f>SUMPRODUCT(INDEX(PortfolioRef[[SPY]:[PE]],MATCH(IQ$1,PortfolioRef[Reference '#]),0),AssetMonthlyReturns[[#This Row],[SPY]:[PE]])</f>
        <v>-4.3987347779475418E-2</v>
      </c>
      <c r="IR75" s="27">
        <f>IF(ISNUMBER(IR74),IR74*(1+PortfolioFrontier[[#This Row],[P63 Return]]),1+PortfolioFrontier[[#This Row],[P63 Return]])</f>
        <v>1.5169303524843618</v>
      </c>
      <c r="IS75" s="27">
        <f>MAX(IS74,PortfolioFrontier[[#This Row],[P63 Growth]])</f>
        <v>1.646884909102555</v>
      </c>
      <c r="IT75" s="27">
        <f>PortfolioFrontier[[#This Row],[P63 Growth]]/PortfolioFrontier[[#This Row],[P63 HWM]]-1</f>
        <v>-7.8909312909430929E-2</v>
      </c>
      <c r="IU75" s="28">
        <f>SUMPRODUCT(INDEX(PortfolioRef[[SPY]:[PE]],MATCH(IU$1,PortfolioRef[Reference '#]),0),AssetMonthlyReturns[[#This Row],[SPY]:[PE]])</f>
        <v>-4.1083949986369127E-2</v>
      </c>
      <c r="IV75" s="27">
        <f>IF(ISNUMBER(IV74),IV74*(1+PortfolioFrontier[[#This Row],[P64 Return]]),1+PortfolioFrontier[[#This Row],[P64 Return]])</f>
        <v>1.4962203438302357</v>
      </c>
      <c r="IW75" s="27">
        <f>MAX(IW74,PortfolioFrontier[[#This Row],[P64 Growth]])</f>
        <v>1.6151793879801097</v>
      </c>
      <c r="IX75" s="27">
        <f>PortfolioFrontier[[#This Row],[P64 Growth]]/PortfolioFrontier[[#This Row],[P64 HWM]]-1</f>
        <v>-7.3650670034020371E-2</v>
      </c>
      <c r="IY75" s="28">
        <f>SUMPRODUCT(INDEX(PortfolioRef[[SPY]:[PE]],MATCH(IY$1,PortfolioRef[Reference '#]),0),AssetMonthlyReturns[[#This Row],[SPY]:[PE]])</f>
        <v>-4.237150452352606E-2</v>
      </c>
      <c r="IZ75" s="27">
        <f>IF(ISNUMBER(IZ74),IZ74*(1+PortfolioFrontier[[#This Row],[P65 Return]]),1+PortfolioFrontier[[#This Row],[P65 Return]])</f>
        <v>1.5326546417354461</v>
      </c>
      <c r="JA75" s="27">
        <f>MAX(JA74,PortfolioFrontier[[#This Row],[P65 Growth]])</f>
        <v>1.6422150953060746</v>
      </c>
      <c r="JB75" s="27">
        <f>PortfolioFrontier[[#This Row],[P65 Growth]]/PortfolioFrontier[[#This Row],[P65 HWM]]-1</f>
        <v>-6.671504474887846E-2</v>
      </c>
      <c r="JC75" s="28">
        <f>SUMPRODUCT(INDEX(PortfolioRef[[SPY]:[PE]],MATCH(JC$1,PortfolioRef[Reference '#]),0),AssetMonthlyReturns[[#This Row],[SPY]:[PE]])</f>
        <v>-4.3117851660681793E-2</v>
      </c>
      <c r="JD75" s="27">
        <f>IF(ISNUMBER(JD74),JD74*(1+PortfolioFrontier[[#This Row],[P66 Return]]),1+PortfolioFrontier[[#This Row],[P66 Return]])</f>
        <v>1.5414465306977589</v>
      </c>
      <c r="JE75" s="27">
        <f>MAX(JE74,PortfolioFrontier[[#This Row],[P66 Growth]])</f>
        <v>1.6623077877531292</v>
      </c>
      <c r="JF75" s="27">
        <f>PortfolioFrontier[[#This Row],[P66 Growth]]/PortfolioFrontier[[#This Row],[P66 HWM]]-1</f>
        <v>-7.2706906594435905E-2</v>
      </c>
      <c r="JG75" s="28">
        <f>SUMPRODUCT(INDEX(PortfolioRef[[SPY]:[PE]],MATCH(JG$1,PortfolioRef[Reference '#]),0),AssetMonthlyReturns[[#This Row],[SPY]:[PE]])</f>
        <v>-4.0214453867575502E-2</v>
      </c>
      <c r="JH75" s="27">
        <f>IF(ISNUMBER(JH74),JH74*(1+PortfolioFrontier[[#This Row],[P67 Return]]),1+PortfolioFrontier[[#This Row],[P67 Return]])</f>
        <v>1.5204518841774193</v>
      </c>
      <c r="JI75" s="27">
        <f>MAX(JI74,PortfolioFrontier[[#This Row],[P67 Growth]])</f>
        <v>1.6303687537292939</v>
      </c>
      <c r="JJ75" s="27">
        <f>PortfolioFrontier[[#This Row],[P67 Growth]]/PortfolioFrontier[[#This Row],[P67 HWM]]-1</f>
        <v>-6.7418410283226815E-2</v>
      </c>
      <c r="JK75" s="28">
        <f>SUMPRODUCT(INDEX(PortfolioRef[[SPY]:[PE]],MATCH(JK$1,PortfolioRef[Reference '#]),0),AssetMonthlyReturns[[#This Row],[SPY]:[PE]])</f>
        <v>-4.3864198797837539E-2</v>
      </c>
      <c r="JL75" s="27">
        <f>IF(ISNUMBER(JL74),JL74*(1+PortfolioFrontier[[#This Row],[P68 Return]]),1+PortfolioFrontier[[#This Row],[P68 Return]])</f>
        <v>1.5494155163205441</v>
      </c>
      <c r="JM75" s="27">
        <f>MAX(JM74,PortfolioFrontier[[#This Row],[P68 Growth]])</f>
        <v>1.6817622542850994</v>
      </c>
      <c r="JN75" s="27">
        <f>PortfolioFrontier[[#This Row],[P68 Growth]]/PortfolioFrontier[[#This Row],[P68 HWM]]-1</f>
        <v>-7.8695271954961732E-2</v>
      </c>
      <c r="JO75" s="28">
        <f>SUMPRODUCT(INDEX(PortfolioRef[[SPY]:[PE]],MATCH(JO$1,PortfolioRef[Reference '#]),0),AssetMonthlyReturns[[#This Row],[SPY]:[PE]])</f>
        <v>-4.0960801004731241E-2</v>
      </c>
      <c r="JP75" s="27">
        <f>IF(ISNUMBER(JP74),JP74*(1+PortfolioFrontier[[#This Row],[P69 Return]]),1+PortfolioFrontier[[#This Row],[P69 Return]])</f>
        <v>1.5288813594454009</v>
      </c>
      <c r="JQ75" s="27">
        <f>MAX(JQ74,PortfolioFrontier[[#This Row],[P69 Growth]])</f>
        <v>1.6499912107010917</v>
      </c>
      <c r="JR75" s="27">
        <f>PortfolioFrontier[[#This Row],[P69 Growth]]/PortfolioFrontier[[#This Row],[P69 HWM]]-1</f>
        <v>-7.3400300844166599E-2</v>
      </c>
      <c r="JS75" s="28">
        <f>SUMPRODUCT(INDEX(PortfolioRef[[SPY]:[PE]],MATCH(JS$1,PortfolioRef[Reference '#]),0),AssetMonthlyReturns[[#This Row],[SPY]:[PE]])</f>
        <v>-3.8057403211624943E-2</v>
      </c>
      <c r="JT75" s="27">
        <f>IF(ISNUMBER(JT74),JT74*(1+PortfolioFrontier[[#This Row],[P70 Return]]),1+PortfolioFrontier[[#This Row],[P70 Return]])</f>
        <v>1.5078648458211319</v>
      </c>
      <c r="JU75" s="27">
        <f>MAX(JU74,PortfolioFrontier[[#This Row],[P70 Growth]])</f>
        <v>1.6181178918603722</v>
      </c>
      <c r="JV75" s="27">
        <f>PortfolioFrontier[[#This Row],[P70 Growth]]/PortfolioFrontier[[#This Row],[P70 HWM]]-1</f>
        <v>-6.8136596594010168E-2</v>
      </c>
      <c r="JW75" s="28">
        <f>SUMPRODUCT(INDEX(PortfolioRef[[SPY]:[PE]],MATCH(JW$1,PortfolioRef[Reference '#]),0),AssetMonthlyReturns[[#This Row],[SPY]:[PE]])</f>
        <v>-4.2248355541888175E-2</v>
      </c>
      <c r="JX75" s="27">
        <f>IF(ISNUMBER(JX74),JX74*(1+PortfolioFrontier[[#This Row],[P71 Return]]),1+PortfolioFrontier[[#This Row],[P71 Return]])</f>
        <v>1.5660185993839577</v>
      </c>
      <c r="JY75" s="27">
        <f>MAX(JY74,PortfolioFrontier[[#This Row],[P71 Growth]])</f>
        <v>1.6775420819631024</v>
      </c>
      <c r="JZ75" s="27">
        <f>PortfolioFrontier[[#This Row],[P71 Growth]]/PortfolioFrontier[[#This Row],[P71 HWM]]-1</f>
        <v>-6.6480289095721012E-2</v>
      </c>
      <c r="KA75" s="28">
        <f>SUMPRODUCT(INDEX(PortfolioRef[[SPY]:[PE]],MATCH(KA$1,PortfolioRef[Reference '#]),0),AssetMonthlyReturns[[#This Row],[SPY]:[PE]])</f>
        <v>-3.9344957748781884E-2</v>
      </c>
      <c r="KB75" s="27">
        <f>IF(ISNUMBER(KB74),KB74*(1+PortfolioFrontier[[#This Row],[P72 Return]]),1+PortfolioFrontier[[#This Row],[P72 Return]])</f>
        <v>1.5447398375026198</v>
      </c>
      <c r="KC75" s="27">
        <f>MAX(KC74,PortfolioFrontier[[#This Row],[P72 Growth]])</f>
        <v>1.6453738946019467</v>
      </c>
      <c r="KD75" s="27">
        <f>PortfolioFrontier[[#This Row],[P72 Growth]]/PortfolioFrontier[[#This Row],[P72 HWM]]-1</f>
        <v>-6.1161817037137634E-2</v>
      </c>
      <c r="KE75" s="28">
        <f>SUMPRODUCT(INDEX(PortfolioRef[[SPY]:[PE]],MATCH(KE$1,PortfolioRef[Reference '#]),0),AssetMonthlyReturns[[#This Row],[SPY]:[PE]])</f>
        <v>-4.2994702679043914E-2</v>
      </c>
      <c r="KF75" s="27">
        <f>IF(ISNUMBER(KF74),KF74*(1+PortfolioFrontier[[#This Row],[P73 Return]]),1+PortfolioFrontier[[#This Row],[P73 Return]])</f>
        <v>1.5744121974178427</v>
      </c>
      <c r="KG75" s="27">
        <f>MAX(KG74,PortfolioFrontier[[#This Row],[P73 Growth]])</f>
        <v>1.6974712283523181</v>
      </c>
      <c r="KH75" s="27">
        <f>PortfolioFrontier[[#This Row],[P73 Growth]]/PortfolioFrontier[[#This Row],[P73 HWM]]-1</f>
        <v>-7.24955032397957E-2</v>
      </c>
      <c r="KI75" s="28">
        <f>SUMPRODUCT(INDEX(PortfolioRef[[SPY]:[PE]],MATCH(KI$1,PortfolioRef[Reference '#]),0),AssetMonthlyReturns[[#This Row],[SPY]:[PE]])</f>
        <v>-4.0091304885937616E-2</v>
      </c>
      <c r="KJ75" s="27">
        <f>IF(ISNUMBER(KJ74),KJ74*(1+PortfolioFrontier[[#This Row],[P74 Return]]),1+PortfolioFrontier[[#This Row],[P74 Return]])</f>
        <v>1.5535974657179434</v>
      </c>
      <c r="KK75" s="27">
        <f>MAX(KK74,PortfolioFrontier[[#This Row],[P74 Growth]])</f>
        <v>1.6654678920548054</v>
      </c>
      <c r="KL75" s="27">
        <f>PortfolioFrontier[[#This Row],[P74 Growth]]/PortfolioFrontier[[#This Row],[P74 HWM]]-1</f>
        <v>-6.7170569225948551E-2</v>
      </c>
      <c r="KM75" s="28">
        <f>SUMPRODUCT(INDEX(PortfolioRef[[SPY]:[PE]],MATCH(KM$1,PortfolioRef[Reference '#]),0),AssetMonthlyReturns[[#This Row],[SPY]:[PE]])</f>
        <v>-3.7187907092831318E-2</v>
      </c>
      <c r="KN75" s="27">
        <f>IF(ISNUMBER(KN74),KN74*(1+PortfolioFrontier[[#This Row],[P75 Return]]),1+PortfolioFrontier[[#This Row],[P75 Return]])</f>
        <v>1.5322918239247427</v>
      </c>
      <c r="KO75" s="27">
        <f>MAX(KO74,PortfolioFrontier[[#This Row],[P75 Growth]])</f>
        <v>1.6333591346427441</v>
      </c>
      <c r="KP75" s="27">
        <f>PortfolioFrontier[[#This Row],[P75 Growth]]/PortfolioFrontier[[#This Row],[P75 HWM]]-1</f>
        <v>-6.187696788441277E-2</v>
      </c>
      <c r="KQ75" s="28">
        <f>SUMPRODUCT(INDEX(PortfolioRef[[SPY]:[PE]],MATCH(KQ$1,PortfolioRef[Reference '#]),0),AssetMonthlyReturns[[#This Row],[SPY]:[PE]])</f>
        <v>-4.3741049816199654E-2</v>
      </c>
      <c r="KR75" s="27">
        <f>IF(ISNUMBER(KR74),KR74*(1+PortfolioFrontier[[#This Row],[P76 Return]]),1+PortfolioFrontier[[#This Row],[P76 Return]])</f>
        <v>1.581955976140123</v>
      </c>
      <c r="KS75" s="27">
        <f>MAX(KS74,PortfolioFrontier[[#This Row],[P76 Growth]])</f>
        <v>1.7167314071133803</v>
      </c>
      <c r="KT75" s="27">
        <f>PortfolioFrontier[[#This Row],[P76 Growth]]/PortfolioFrontier[[#This Row],[P76 HWM]]-1</f>
        <v>-7.8506999065088068E-2</v>
      </c>
      <c r="KU75" s="28">
        <f>SUMPRODUCT(INDEX(PortfolioRef[[SPY]:[PE]],MATCH(KU$1,PortfolioRef[Reference '#]),0),AssetMonthlyReturns[[#This Row],[SPY]:[PE]])</f>
        <v>-4.0837652023093363E-2</v>
      </c>
      <c r="KV75" s="27">
        <f>IF(ISNUMBER(KV74),KV74*(1+PortfolioFrontier[[#This Row],[P77 Return]]),1+PortfolioFrontier[[#This Row],[P77 Return]])</f>
        <v>1.5616260706324789</v>
      </c>
      <c r="KW75" s="27">
        <f>MAX(KW74,PortfolioFrontier[[#This Row],[P77 Growth]])</f>
        <v>1.6849217747429484</v>
      </c>
      <c r="KX75" s="27">
        <f>PortfolioFrontier[[#This Row],[P77 Growth]]/PortfolioFrontier[[#This Row],[P77 HWM]]-1</f>
        <v>-7.3175921849119363E-2</v>
      </c>
      <c r="KY75" s="28">
        <f>SUMPRODUCT(INDEX(PortfolioRef[[SPY]:[PE]],MATCH(KY$1,PortfolioRef[Reference '#]),0),AssetMonthlyReturns[[#This Row],[SPY]:[PE]])</f>
        <v>-3.7934254229987058E-2</v>
      </c>
      <c r="KZ75" s="27">
        <f>IF(ISNUMBER(KZ74),KZ74*(1+PortfolioFrontier[[#This Row],[P78 Return]]),1+PortfolioFrontier[[#This Row],[P78 Return]])</f>
        <v>1.5407834669177922</v>
      </c>
      <c r="LA75" s="27">
        <f>MAX(LA74,PortfolioFrontier[[#This Row],[P78 Growth]])</f>
        <v>1.6529805725839544</v>
      </c>
      <c r="LB75" s="27">
        <f>PortfolioFrontier[[#This Row],[P78 Growth]]/PortfolioFrontier[[#This Row],[P78 HWM]]-1</f>
        <v>-6.7875634793925332E-2</v>
      </c>
      <c r="LC75" s="28">
        <f>SUMPRODUCT(INDEX(PortfolioRef[[SPY]:[PE]],MATCH(LC$1,PortfolioRef[Reference '#]),0),AssetMonthlyReturns[[#This Row],[SPY]:[PE]])</f>
        <v>-4.2125206560250296E-2</v>
      </c>
      <c r="LD75" s="27">
        <f>IF(ISNUMBER(LD74),LD74*(1+PortfolioFrontier[[#This Row],[P79 Return]]),1+PortfolioFrontier[[#This Row],[P79 Return]])</f>
        <v>1.5994651181975323</v>
      </c>
      <c r="LE75" s="27">
        <f>MAX(LE74,PortfolioFrontier[[#This Row],[P79 Growth]])</f>
        <v>1.7129874860839263</v>
      </c>
      <c r="LF75" s="27">
        <f>PortfolioFrontier[[#This Row],[P79 Growth]]/PortfolioFrontier[[#This Row],[P79 HWM]]-1</f>
        <v>-6.6271568711758766E-2</v>
      </c>
      <c r="LG75" s="28">
        <f>SUMPRODUCT(INDEX(PortfolioRef[[SPY]:[PE]],MATCH(LG$1,PortfolioRef[Reference '#]),0),AssetMonthlyReturns[[#This Row],[SPY]:[PE]])</f>
        <v>-3.9221808767143998E-2</v>
      </c>
      <c r="LH75" s="27">
        <f>IF(ISNUMBER(LH74),LH74*(1+PortfolioFrontier[[#This Row],[P80 Return]]),1+PortfolioFrontier[[#This Row],[P80 Return]])</f>
        <v>1.5783703698810618</v>
      </c>
      <c r="LI75" s="27">
        <f>MAX(LI74,PortfolioFrontier[[#This Row],[P80 Growth]])</f>
        <v>1.6807562405101484</v>
      </c>
      <c r="LJ75" s="27">
        <f>PortfolioFrontier[[#This Row],[P80 Growth]]/PortfolioFrontier[[#This Row],[P80 HWM]]-1</f>
        <v>-6.0916549444439361E-2</v>
      </c>
      <c r="LK75" s="28">
        <f>SUMPRODUCT(INDEX(PortfolioRef[[SPY]:[PE]],MATCH(LK$1,PortfolioRef[Reference '#]),0),AssetMonthlyReturns[[#This Row],[SPY]:[PE]])</f>
        <v>-3.63184109740377E-2</v>
      </c>
      <c r="LL75" s="27">
        <f>IF(ISNUMBER(LL74),LL74*(1+PortfolioFrontier[[#This Row],[P81 Return]]),1+PortfolioFrontier[[#This Row],[P81 Return]])</f>
        <v>1.556776117712301</v>
      </c>
      <c r="LM75" s="27">
        <f>MAX(LM74,PortfolioFrontier[[#This Row],[P81 Growth]])</f>
        <v>1.648416413491208</v>
      </c>
      <c r="LN75" s="27">
        <f>PortfolioFrontier[[#This Row],[P81 Growth]]/PortfolioFrontier[[#This Row],[P81 HWM]]-1</f>
        <v>-5.5592928479048953E-2</v>
      </c>
      <c r="LO75" s="28">
        <f>SUMPRODUCT(INDEX(PortfolioRef[[SPY]:[PE]],MATCH(LO$1,PortfolioRef[Reference '#]),0),AssetMonthlyReturns[[#This Row],[SPY]:[PE]])</f>
        <v>-4.2871553697406029E-2</v>
      </c>
      <c r="LP75" s="27">
        <f>IF(ISNUMBER(LP74),LP74*(1+PortfolioFrontier[[#This Row],[P82 Return]]),1+PortfolioFrontier[[#This Row],[P82 Return]])</f>
        <v>1.6074326277570403</v>
      </c>
      <c r="LQ75" s="27">
        <f>MAX(LQ74,PortfolioFrontier[[#This Row],[P82 Growth]])</f>
        <v>1.7327259878391794</v>
      </c>
      <c r="LR75" s="27">
        <f>PortfolioFrontier[[#This Row],[P82 Growth]]/PortfolioFrontier[[#This Row],[P82 HWM]]-1</f>
        <v>-7.2309967624129667E-2</v>
      </c>
      <c r="LS75" s="28">
        <f>SUMPRODUCT(INDEX(PortfolioRef[[SPY]:[PE]],MATCH(LS$1,PortfolioRef[Reference '#]),0),AssetMonthlyReturns[[#This Row],[SPY]:[PE]])</f>
        <v>-3.9968155904299738E-2</v>
      </c>
      <c r="LT75" s="27">
        <f>IF(ISNUMBER(LT74),LT74*(1+PortfolioFrontier[[#This Row],[P83 Return]]),1+PortfolioFrontier[[#This Row],[P83 Return]])</f>
        <v>1.5868266375263065</v>
      </c>
      <c r="LU75" s="27">
        <f>MAX(LU74,PortfolioFrontier[[#This Row],[P83 Growth]])</f>
        <v>1.7006855237848306</v>
      </c>
      <c r="LV75" s="27">
        <f>PortfolioFrontier[[#This Row],[P83 Growth]]/PortfolioFrontier[[#This Row],[P83 HWM]]-1</f>
        <v>-6.6948818383033126E-2</v>
      </c>
      <c r="LW75" s="28">
        <f>SUMPRODUCT(INDEX(PortfolioRef[[SPY]:[PE]],MATCH(LW$1,PortfolioRef[Reference '#]),0),AssetMonthlyReturns[[#This Row],[SPY]:[PE]])</f>
        <v>-3.7064758111193433E-2</v>
      </c>
      <c r="LX75" s="27">
        <f>IF(ISNUMBER(LX74),LX74*(1+PortfolioFrontier[[#This Row],[P84 Return]]),1+PortfolioFrontier[[#This Row],[P84 Return]])</f>
        <v>1.5656989547626807</v>
      </c>
      <c r="LY75" s="27">
        <f>MAX(LY74,PortfolioFrontier[[#This Row],[P84 Growth]])</f>
        <v>1.6685100840279028</v>
      </c>
      <c r="LZ75" s="27">
        <f>PortfolioFrontier[[#This Row],[P84 Growth]]/PortfolioFrontier[[#This Row],[P84 HWM]]-1</f>
        <v>-6.1618524364580818E-2</v>
      </c>
      <c r="MA75" s="28">
        <f>SUMPRODUCT(INDEX(PortfolioRef[[SPY]:[PE]],MATCH(MA$1,PortfolioRef[Reference '#]),0),AssetMonthlyReturns[[#This Row],[SPY]:[PE]])</f>
        <v>-4.3617900834561768E-2</v>
      </c>
      <c r="MB75" s="27">
        <f>IF(ISNUMBER(MB74),MB74*(1+PortfolioFrontier[[#This Row],[P85 Return]]),1+PortfolioFrontier[[#This Row],[P85 Return]])</f>
        <v>1.6145232336633488</v>
      </c>
      <c r="MC75" s="27">
        <f>MAX(MC74,PortfolioFrontier[[#This Row],[P85 Growth]])</f>
        <v>1.7517641950154219</v>
      </c>
      <c r="MD75" s="27">
        <f>PortfolioFrontier[[#This Row],[P85 Growth]]/PortfolioFrontier[[#This Row],[P85 HWM]]-1</f>
        <v>-7.8344426574413983E-2</v>
      </c>
      <c r="ME75" s="28">
        <f>SUMPRODUCT(INDEX(PortfolioRef[[SPY]:[PE]],MATCH(ME$1,PortfolioRef[Reference '#]),0),AssetMonthlyReturns[[#This Row],[SPY]:[PE]])</f>
        <v>-4.0714503041455477E-2</v>
      </c>
      <c r="MF75" s="27">
        <f>IF(ISNUMBER(MF74),MF74*(1+PortfolioFrontier[[#This Row],[P86 Return]]),1+PortfolioFrontier[[#This Row],[P86 Return]])</f>
        <v>1.5944267682094773</v>
      </c>
      <c r="MG75" s="27">
        <f>MAX(MG74,PortfolioFrontier[[#This Row],[P86 Growth]])</f>
        <v>1.7199439154573082</v>
      </c>
      <c r="MH75" s="27">
        <f>PortfolioFrontier[[#This Row],[P86 Growth]]/PortfolioFrontier[[#This Row],[P86 HWM]]-1</f>
        <v>-7.2977465206740644E-2</v>
      </c>
      <c r="MI75" s="28">
        <f>SUMPRODUCT(INDEX(PortfolioRef[[SPY]:[PE]],MATCH(MI$1,PortfolioRef[Reference '#]),0),AssetMonthlyReturns[[#This Row],[SPY]:[PE]])</f>
        <v>-3.7811105248349179E-2</v>
      </c>
      <c r="MJ75" s="27">
        <f>IF(ISNUMBER(MJ74),MJ74*(1+PortfolioFrontier[[#This Row],[P87 Return]]),1+PortfolioFrontier[[#This Row],[P87 Return]])</f>
        <v>1.5737866709999597</v>
      </c>
      <c r="MK75" s="27">
        <f>MAX(MK74,PortfolioFrontier[[#This Row],[P87 Growth]])</f>
        <v>1.6879617873128629</v>
      </c>
      <c r="ML75" s="27">
        <f>PortfolioFrontier[[#This Row],[P87 Growth]]/PortfolioFrontier[[#This Row],[P87 HWM]]-1</f>
        <v>-6.7640818157775562E-2</v>
      </c>
      <c r="MM75" s="28">
        <f>SUMPRODUCT(INDEX(PortfolioRef[[SPY]:[PE]],MATCH(MM$1,PortfolioRef[Reference '#]),0),AssetMonthlyReturns[[#This Row],[SPY]:[PE]])</f>
        <v>-4.200205757861241E-2</v>
      </c>
      <c r="MN75" s="27">
        <f>IF(ISNUMBER(MN74),MN74*(1+PortfolioFrontier[[#This Row],[P88 Return]]),1+PortfolioFrontier[[#This Row],[P88 Return]])</f>
        <v>1.6329658435800938</v>
      </c>
      <c r="MO75" s="27">
        <f>MAX(MO74,PortfolioFrontier[[#This Row],[P88 Growth]])</f>
        <v>1.7485237047822844</v>
      </c>
      <c r="MP75" s="27">
        <f>PortfolioFrontier[[#This Row],[P88 Growth]]/PortfolioFrontier[[#This Row],[P88 HWM]]-1</f>
        <v>-6.6088815888589392E-2</v>
      </c>
      <c r="MQ75" s="28">
        <f>SUMPRODUCT(INDEX(PortfolioRef[[SPY]:[PE]],MATCH(MQ$1,PortfolioRef[Reference '#]),0),AssetMonthlyReturns[[#This Row],[SPY]:[PE]])</f>
        <v>-3.9098659785506119E-2</v>
      </c>
      <c r="MR75" s="27">
        <f>IF(ISNUMBER(MR74),MR74*(1+PortfolioFrontier[[#This Row],[P89 Return]]),1+PortfolioFrontier[[#This Row],[P89 Return]])</f>
        <v>1.6120843629834565</v>
      </c>
      <c r="MS75" s="27">
        <f>MAX(MS74,PortfolioFrontier[[#This Row],[P89 Growth]])</f>
        <v>1.7162568132506029</v>
      </c>
      <c r="MT75" s="27">
        <f>PortfolioFrontier[[#This Row],[P89 Growth]]/PortfolioFrontier[[#This Row],[P89 HWM]]-1</f>
        <v>-6.0697472233099514E-2</v>
      </c>
      <c r="MU75" s="28">
        <f>SUMPRODUCT(INDEX(PortfolioRef[[SPY]:[PE]],MATCH(MU$1,PortfolioRef[Reference '#]),0),AssetMonthlyReturns[[#This Row],[SPY]:[PE]])</f>
        <v>-3.6195261992399815E-2</v>
      </c>
      <c r="MV75" s="27">
        <f>IF(ISNUMBER(MV74),MV74*(1+PortfolioFrontier[[#This Row],[P90 Return]]),1+PortfolioFrontier[[#This Row],[P90 Return]])</f>
        <v>1.5906721549955281</v>
      </c>
      <c r="MW75" s="27">
        <f>MAX(MW74,PortfolioFrontier[[#This Row],[P90 Growth]])</f>
        <v>1.6838515290273213</v>
      </c>
      <c r="MX75" s="27">
        <f>PortfolioFrontier[[#This Row],[P90 Growth]]/PortfolioFrontier[[#This Row],[P90 HWM]]-1</f>
        <v>-5.5337048680068834E-2</v>
      </c>
      <c r="MY75" s="28">
        <f>SUMPRODUCT(INDEX(PortfolioRef[[SPY]:[PE]],MATCH(MY$1,PortfolioRef[Reference '#]),0),AssetMonthlyReturns[[#This Row],[SPY]:[PE]])</f>
        <v>-4.2748404715768143E-2</v>
      </c>
      <c r="MZ75" s="27">
        <f>IF(ISNUMBER(MZ74),MZ74*(1+PortfolioFrontier[[#This Row],[P91 Return]]),1+PortfolioFrontier[[#This Row],[P91 Return]])</f>
        <v>1.6404788865457096</v>
      </c>
      <c r="NA75" s="27">
        <f>MAX(NA74,PortfolioFrontier[[#This Row],[P91 Growth]])</f>
        <v>1.7680436458517257</v>
      </c>
      <c r="NB75" s="27">
        <f>PortfolioFrontier[[#This Row],[P91 Growth]]/PortfolioFrontier[[#This Row],[P91 HWM]]-1</f>
        <v>-7.2150232040546602E-2</v>
      </c>
      <c r="NC75" s="28">
        <f>SUMPRODUCT(INDEX(PortfolioRef[[SPY]:[PE]],MATCH(NC$1,PortfolioRef[Reference '#]),0),AssetMonthlyReturns[[#This Row],[SPY]:[PE]])</f>
        <v>-3.9845006922661852E-2</v>
      </c>
      <c r="ND75" s="27">
        <f>IF(ISNUMBER(ND74),ND74*(1+PortfolioFrontier[[#This Row],[P92 Return]]),1+PortfolioFrontier[[#This Row],[P92 Return]])</f>
        <v>1.6201112629620553</v>
      </c>
      <c r="NE75" s="27">
        <f>MAX(NE74,PortfolioFrontier[[#This Row],[P92 Growth]])</f>
        <v>1.73599424265744</v>
      </c>
      <c r="NF75" s="27">
        <f>PortfolioFrontier[[#This Row],[P92 Growth]]/PortfolioFrontier[[#This Row],[P92 HWM]]-1</f>
        <v>-6.6753089870846716E-2</v>
      </c>
      <c r="NG75" s="28">
        <f>SUMPRODUCT(INDEX(PortfolioRef[[SPY]:[PE]],MATCH(NG$1,PortfolioRef[Reference '#]),0),AssetMonthlyReturns[[#This Row],[SPY]:[PE]])</f>
        <v>-3.6941609129555554E-2</v>
      </c>
      <c r="NH75" s="27">
        <f>IF(ISNUMBER(NH74),NH74*(1+PortfolioFrontier[[#This Row],[P93 Return]]),1+PortfolioFrontier[[#This Row],[P93 Return]])</f>
        <v>1.5991905660444585</v>
      </c>
      <c r="NI75" s="27">
        <f>MAX(NI74,PortfolioFrontier[[#This Row],[P93 Growth]])</f>
        <v>1.7037793193389816</v>
      </c>
      <c r="NJ75" s="27">
        <f>PortfolioFrontier[[#This Row],[P93 Growth]]/PortfolioFrontier[[#This Row],[P93 HWM]]-1</f>
        <v>-6.1386326331922203E-2</v>
      </c>
      <c r="NK75" s="28">
        <f>SUMPRODUCT(INDEX(PortfolioRef[[SPY]:[PE]],MATCH(NK$1,PortfolioRef[Reference '#]),0),AssetMonthlyReturns[[#This Row],[SPY]:[PE]])</f>
        <v>-4.3494751852923889E-2</v>
      </c>
      <c r="NL75" s="27">
        <f>IF(ISNUMBER(NL74),NL74*(1+PortfolioFrontier[[#This Row],[P94 Return]]),1+PortfolioFrontier[[#This Row],[P94 Return]])</f>
        <v>1.647087804423629</v>
      </c>
      <c r="NM75" s="27">
        <f>MAX(NM74,PortfolioFrontier[[#This Row],[P94 Growth]])</f>
        <v>1.7868313973018393</v>
      </c>
      <c r="NN75" s="27">
        <f>PortfolioFrontier[[#This Row],[P94 Growth]]/PortfolioFrontier[[#This Row],[P94 HWM]]-1</f>
        <v>-7.8207486777558621E-2</v>
      </c>
      <c r="NO75" s="28">
        <f>SUMPRODUCT(INDEX(PortfolioRef[[SPY]:[PE]],MATCH(NO$1,PortfolioRef[Reference '#]),0),AssetMonthlyReturns[[#This Row],[SPY]:[PE]])</f>
        <v>-4.0591354059817591E-2</v>
      </c>
      <c r="NP75" s="27">
        <f>IF(ISNUMBER(NP74),NP74*(1+PortfolioFrontier[[#This Row],[P95 Return]]),1+PortfolioFrontier[[#This Row],[P95 Return]])</f>
        <v>1.6272547430241311</v>
      </c>
      <c r="NQ75" s="27">
        <f>MAX(NQ74,PortfolioFrontier[[#This Row],[P95 Growth]])</f>
        <v>1.7550294195356591</v>
      </c>
      <c r="NR75" s="27">
        <f>PortfolioFrontier[[#This Row],[P95 Growth]]/PortfolioFrontier[[#This Row],[P95 HWM]]-1</f>
        <v>-7.2804863034908074E-2</v>
      </c>
      <c r="NS75" s="28">
        <f>SUMPRODUCT(INDEX(PortfolioRef[[SPY]:[PE]],MATCH(NS$1,PortfolioRef[Reference '#]),0),AssetMonthlyReturns[[#This Row],[SPY]:[PE]])</f>
        <v>-3.7687956266711294E-2</v>
      </c>
      <c r="NT75" s="27">
        <f>IF(ISNUMBER(NT74),NT74*(1+PortfolioFrontier[[#This Row],[P96 Return]]),1+PortfolioFrontier[[#This Row],[P96 Return]])</f>
        <v>1.6068465458524548</v>
      </c>
      <c r="NU75" s="27">
        <f>MAX(NU74,PortfolioFrontier[[#This Row],[P96 Growth]])</f>
        <v>1.7230343324336159</v>
      </c>
      <c r="NV75" s="27">
        <f>PortfolioFrontier[[#This Row],[P96 Growth]]/PortfolioFrontier[[#This Row],[P96 HWM]]-1</f>
        <v>-6.7432078626696534E-2</v>
      </c>
      <c r="NW75" s="28">
        <f>SUMPRODUCT(INDEX(PortfolioRef[[SPY]:[PE]],MATCH(NW$1,PortfolioRef[Reference '#]),0),AssetMonthlyReturns[[#This Row],[SPY]:[PE]])</f>
        <v>-4.1767830960848823E-2</v>
      </c>
      <c r="NX75" s="27">
        <f>IF(ISNUMBER(NX74),NX74*(1+PortfolioFrontier[[#This Row],[P97 Return]]),1+PortfolioFrontier[[#This Row],[P97 Return]])</f>
        <v>1.4297171601974334</v>
      </c>
      <c r="NY75" s="27">
        <f>MAX(NY74,PortfolioFrontier[[#This Row],[P97 Growth]])</f>
        <v>1.5498139523617234</v>
      </c>
      <c r="NZ75" s="27">
        <f>PortfolioFrontier[[#This Row],[P97 Growth]]/PortfolioFrontier[[#This Row],[P97 HWM]]-1</f>
        <v>-7.7491102710281701E-2</v>
      </c>
      <c r="OA75" s="28">
        <f>SUMPRODUCT(INDEX(PortfolioRef[[SPY]:[PE]],MATCH(OA$1,PortfolioRef[Reference '#]),0),AssetMonthlyReturns[[#This Row],[SPY]:[PE]])</f>
        <v>-4.0898334842055198E-2</v>
      </c>
      <c r="OB75" s="27">
        <f>IF(ISNUMBER(OB74),OB74*(1+PortfolioFrontier[[#This Row],[P98 Return]]),1+PortfolioFrontier[[#This Row],[P98 Return]])</f>
        <v>1.4528912743564211</v>
      </c>
      <c r="OC75" s="27">
        <f>MAX(OC74,PortfolioFrontier[[#This Row],[P98 Growth]])</f>
        <v>1.5643918723292729</v>
      </c>
      <c r="OD75" s="27">
        <f>PortfolioFrontier[[#This Row],[P98 Growth]]/PortfolioFrontier[[#This Row],[P98 HWM]]-1</f>
        <v>-7.1274084163346463E-2</v>
      </c>
      <c r="OE75" s="28">
        <f>SUMPRODUCT(INDEX(PortfolioRef[[SPY]:[PE]],MATCH(OE$1,PortfolioRef[Reference '#]),0),AssetMonthlyReturns[[#This Row],[SPY]:[PE]])</f>
        <v>-4.1644681979210937E-2</v>
      </c>
      <c r="OF75" s="27">
        <f>IF(ISNUMBER(OF74),OF74*(1+PortfolioFrontier[[#This Row],[P99 Return]]),1+PortfolioFrontier[[#This Row],[P99 Return]])</f>
        <v>1.4613509691077338</v>
      </c>
      <c r="OG75" s="27">
        <f>MAX(OG74,PortfolioFrontier[[#This Row],[P99 Growth]])</f>
        <v>1.5836627563813395</v>
      </c>
      <c r="OH75" s="27">
        <f>PortfolioFrontier[[#This Row],[P99 Growth]]/PortfolioFrontier[[#This Row],[P99 HWM]]-1</f>
        <v>-7.7233480916787722E-2</v>
      </c>
      <c r="OI75" s="28">
        <f>SUMPRODUCT(INDEX(PortfolioRef[[SPY]:[PE]],MATCH(OI$1,PortfolioRef[Reference '#]),0),AssetMonthlyReturns[[#This Row],[SPY]:[PE]])</f>
        <v>-3.8741284186104646E-2</v>
      </c>
      <c r="OJ75" s="27">
        <f>IF(ISNUMBER(OJ74),OJ74*(1+PortfolioFrontier[[#This Row],[P100 Return]]),1+PortfolioFrontier[[#This Row],[P100 Return]])</f>
        <v>1.4410100144203579</v>
      </c>
      <c r="OK75" s="27">
        <f>MAX(OK74,PortfolioFrontier[[#This Row],[P100 Growth]])</f>
        <v>1.5528062347399851</v>
      </c>
      <c r="OL75" s="27">
        <f>PortfolioFrontier[[#This Row],[P100 Growth]]/PortfolioFrontier[[#This Row],[P100 HWM]]-1</f>
        <v>-7.1996246420499066E-2</v>
      </c>
      <c r="OM75" s="28">
        <f>SUMPRODUCT(INDEX(PortfolioRef[[SPY]:[PE]],MATCH(OM$1,PortfolioRef[Reference '#]),0),AssetMonthlyReturns[[#This Row],[SPY]:[PE]])</f>
        <v>-4.002883872326158E-2</v>
      </c>
      <c r="ON75" s="27">
        <f>IF(ISNUMBER(ON74),ON74*(1+PortfolioFrontier[[#This Row],[P101 Return]]),1+PortfolioFrontier[[#This Row],[P101 Return]])</f>
        <v>1.4761189804371013</v>
      </c>
      <c r="OO75" s="27">
        <f>MAX(OO74,PortfolioFrontier[[#This Row],[P101 Growth]])</f>
        <v>1.5787921813488919</v>
      </c>
      <c r="OP75" s="27">
        <f>PortfolioFrontier[[#This Row],[P101 Growth]]/PortfolioFrontier[[#This Row],[P101 HWM]]-1</f>
        <v>-6.5032752331005583E-2</v>
      </c>
      <c r="OQ75" s="28">
        <f>SUMPRODUCT(INDEX(PortfolioRef[[SPY]:[PE]],MATCH(OQ$1,PortfolioRef[Reference '#]),0),AssetMonthlyReturns[[#This Row],[SPY]:[PE]])</f>
        <v>-4.0775185860417312E-2</v>
      </c>
      <c r="OR75" s="27">
        <f>IF(ISNUMBER(OR74),OR74*(1+PortfolioFrontier[[#This Row],[P102 Return]]),1+PortfolioFrontier[[#This Row],[P102 Return]])</f>
        <v>1.4849951583028556</v>
      </c>
      <c r="OS75" s="27">
        <f>MAX(OS74,PortfolioFrontier[[#This Row],[P102 Growth]])</f>
        <v>1.5985203886251573</v>
      </c>
      <c r="OT75" s="27">
        <f>PortfolioFrontier[[#This Row],[P102 Growth]]/PortfolioFrontier[[#This Row],[P102 HWM]]-1</f>
        <v>-7.1018944225003988E-2</v>
      </c>
      <c r="OU75" s="28">
        <f>SUMPRODUCT(INDEX(PortfolioRef[[SPY]:[PE]],MATCH(OU$1,PortfolioRef[Reference '#]),0),AssetMonthlyReturns[[#This Row],[SPY]:[PE]])</f>
        <v>-3.7871788067311021E-2</v>
      </c>
      <c r="OV75" s="27">
        <f>IF(ISNUMBER(OV74),OV74*(1+PortfolioFrontier[[#This Row],[P103 Return]]),1+PortfolioFrontier[[#This Row],[P103 Return]])</f>
        <v>1.4643736428925671</v>
      </c>
      <c r="OW75" s="27">
        <f>MAX(OW74,PortfolioFrontier[[#This Row],[P103 Growth]])</f>
        <v>1.5674355228105428</v>
      </c>
      <c r="OX75" s="27">
        <f>PortfolioFrontier[[#This Row],[P103 Growth]]/PortfolioFrontier[[#This Row],[P103 HWM]]-1</f>
        <v>-6.5751910313463502E-2</v>
      </c>
      <c r="OY75" s="28">
        <f>SUMPRODUCT(INDEX(PortfolioRef[[SPY]:[PE]],MATCH(OY$1,PortfolioRef[Reference '#]),0),AssetMonthlyReturns[[#This Row],[SPY]:[PE]])</f>
        <v>-4.1521532997573059E-2</v>
      </c>
      <c r="OZ75" s="27">
        <f>IF(ISNUMBER(OZ74),OZ74*(1+PortfolioFrontier[[#This Row],[P104 Return]]),1+PortfolioFrontier[[#This Row],[P104 Return]])</f>
        <v>1.4930845749949315</v>
      </c>
      <c r="PA75" s="27">
        <f>MAX(PA74,PortfolioFrontier[[#This Row],[P104 Growth]])</f>
        <v>1.6176462594840681</v>
      </c>
      <c r="PB75" s="27">
        <f>PortfolioFrontier[[#This Row],[P104 Growth]]/PortfolioFrontier[[#This Row],[P104 HWM]]-1</f>
        <v>-7.7001806642735593E-2</v>
      </c>
      <c r="PC75" s="28">
        <f>SUMPRODUCT(INDEX(PortfolioRef[[SPY]:[PE]],MATCH(PC$1,PortfolioRef[Reference '#]),0),AssetMonthlyReturns[[#This Row],[SPY]:[PE]])</f>
        <v>-3.8618135204466761E-2</v>
      </c>
      <c r="PD75" s="27">
        <f>IF(ISNUMBER(PD74),PD74*(1+PortfolioFrontier[[#This Row],[P105 Return]]),1+PortfolioFrontier[[#This Row],[P105 Return]])</f>
        <v>1.4728971160667392</v>
      </c>
      <c r="PE75" s="27">
        <f>MAX(PE74,PortfolioFrontier[[#This Row],[P105 Growth]])</f>
        <v>1.5867085542337835</v>
      </c>
      <c r="PF75" s="27">
        <f>PortfolioFrontier[[#This Row],[P105 Growth]]/PortfolioFrontier[[#This Row],[P105 HWM]]-1</f>
        <v>-7.1728004404692625E-2</v>
      </c>
      <c r="PG75" s="28">
        <f>SUMPRODUCT(INDEX(PortfolioRef[[SPY]:[PE]],MATCH(PG$1,PortfolioRef[Reference '#]),0),AssetMonthlyReturns[[#This Row],[SPY]:[PE]])</f>
        <v>-3.5714737411360463E-2</v>
      </c>
      <c r="PH75" s="27">
        <f>IF(ISNUMBER(PH74),PH74*(1+PortfolioFrontier[[#This Row],[P106 Return]]),1+PortfolioFrontier[[#This Row],[P106 Return]])</f>
        <v>1.452257353584852</v>
      </c>
      <c r="PI75" s="27">
        <f>MAX(PI74,PortfolioFrontier[[#This Row],[P106 Growth]])</f>
        <v>1.5556887430167754</v>
      </c>
      <c r="PJ75" s="27">
        <f>PortfolioFrontier[[#This Row],[P106 Growth]]/PortfolioFrontier[[#This Row],[P106 HWM]]-1</f>
        <v>-6.6485914933954171E-2</v>
      </c>
      <c r="PK75" s="28">
        <f>SUMPRODUCT(INDEX(PortfolioRef[[SPY]:[PE]],MATCH(PK$1,PortfolioRef[Reference '#]),0),AssetMonthlyReturns[[#This Row],[SPY]:[PE]])</f>
        <v>-3.9905689741623694E-2</v>
      </c>
      <c r="PL75" s="27">
        <f>IF(ISNUMBER(PL74),PL74*(1+PortfolioFrontier[[#This Row],[P107 Return]]),1+PortfolioFrontier[[#This Row],[P107 Return]])</f>
        <v>1.5086933133946525</v>
      </c>
      <c r="PM75" s="27">
        <f>MAX(PM74,PortfolioFrontier[[#This Row],[P107 Growth]])</f>
        <v>1.6131964012798079</v>
      </c>
      <c r="PN75" s="27">
        <f>PortfolioFrontier[[#This Row],[P107 Growth]]/PortfolioFrontier[[#This Row],[P107 HWM]]-1</f>
        <v>-6.4780139481001364E-2</v>
      </c>
      <c r="PO75" s="28">
        <f>SUMPRODUCT(INDEX(PortfolioRef[[SPY]:[PE]],MATCH(PO$1,PortfolioRef[Reference '#]),0),AssetMonthlyReturns[[#This Row],[SPY]:[PE]])</f>
        <v>-3.7002291948517403E-2</v>
      </c>
      <c r="PP75" s="27">
        <f>IF(ISNUMBER(PP74),PP74*(1+PortfolioFrontier[[#This Row],[P108 Return]]),1+PortfolioFrontier[[#This Row],[P108 Return]])</f>
        <v>1.4877917311027122</v>
      </c>
      <c r="PQ75" s="27">
        <f>MAX(PQ74,PortfolioFrontier[[#This Row],[P108 Growth]])</f>
        <v>1.5818874318633449</v>
      </c>
      <c r="PR75" s="27">
        <f>PortfolioFrontier[[#This Row],[P108 Growth]]/PortfolioFrontier[[#This Row],[P108 HWM]]-1</f>
        <v>-5.9483183736907863E-2</v>
      </c>
      <c r="PS75" s="28">
        <f>SUMPRODUCT(INDEX(PortfolioRef[[SPY]:[PE]],MATCH(PS$1,PortfolioRef[Reference '#]),0),AssetMonthlyReturns[[#This Row],[SPY]:[PE]])</f>
        <v>-4.0652036878779434E-2</v>
      </c>
      <c r="PT75" s="27">
        <f>IF(ISNUMBER(PT74),PT74*(1+PortfolioFrontier[[#This Row],[P109 Return]]),1+PortfolioFrontier[[#This Row],[P109 Return]])</f>
        <v>1.5171990240635225</v>
      </c>
      <c r="PU75" s="27">
        <f>MAX(PU74,PortfolioFrontier[[#This Row],[P109 Growth]])</f>
        <v>1.6327835279326679</v>
      </c>
      <c r="PV75" s="27">
        <f>PortfolioFrontier[[#This Row],[P109 Growth]]/PortfolioFrontier[[#This Row],[P109 HWM]]-1</f>
        <v>-7.078985174200747E-2</v>
      </c>
      <c r="PW75" s="28">
        <f>SUMPRODUCT(INDEX(PortfolioRef[[SPY]:[PE]],MATCH(PW$1,PortfolioRef[Reference '#]),0),AssetMonthlyReturns[[#This Row],[SPY]:[PE]])</f>
        <v>-3.7748639085673136E-2</v>
      </c>
      <c r="PX75" s="27">
        <f>IF(ISNUMBER(PX74),PX74*(1+PortfolioFrontier[[#This Row],[P110 Return]]),1+PortfolioFrontier[[#This Row],[P110 Return]])</f>
        <v>1.4967346997921505</v>
      </c>
      <c r="PY75" s="27">
        <f>MAX(PY74,PortfolioFrontier[[#This Row],[P110 Growth]])</f>
        <v>1.6016185143364081</v>
      </c>
      <c r="PZ75" s="27">
        <f>PortfolioFrontier[[#This Row],[P110 Growth]]/PortfolioFrontier[[#This Row],[P110 HWM]]-1</f>
        <v>-6.5486140179712993E-2</v>
      </c>
      <c r="QA75" s="28">
        <f>SUMPRODUCT(INDEX(PortfolioRef[[SPY]:[PE]],MATCH(QA$1,PortfolioRef[Reference '#]),0),AssetMonthlyReturns[[#This Row],[SPY]:[PE]])</f>
        <v>-3.4845241292566838E-2</v>
      </c>
      <c r="QB75" s="27">
        <f>IF(ISNUMBER(QB74),QB74*(1+PortfolioFrontier[[#This Row],[P111 Return]]),1+PortfolioFrontier[[#This Row],[P111 Return]])</f>
        <v>1.4758099900594359</v>
      </c>
      <c r="QC75" s="27">
        <f>MAX(QC74,PortfolioFrontier[[#This Row],[P111 Growth]])</f>
        <v>1.5703684845094485</v>
      </c>
      <c r="QD75" s="27">
        <f>PortfolioFrontier[[#This Row],[P111 Growth]]/PortfolioFrontier[[#This Row],[P111 HWM]]-1</f>
        <v>-6.0214207928116159E-2</v>
      </c>
      <c r="QE75" s="28">
        <f>SUMPRODUCT(INDEX(PortfolioRef[[SPY]:[PE]],MATCH(QE$1,PortfolioRef[Reference '#]),0),AssetMonthlyReturns[[#This Row],[SPY]:[PE]])</f>
        <v>-4.1398384015935173E-2</v>
      </c>
      <c r="QF75" s="27">
        <f>IF(ISNUMBER(QF74),QF74*(1+PortfolioFrontier[[#This Row],[P112 Return]]),1+PortfolioFrontier[[#This Row],[P112 Return]])</f>
        <v>1.5248917507099975</v>
      </c>
      <c r="QG75" s="27">
        <f>MAX(QG74,PortfolioFrontier[[#This Row],[P112 Growth]])</f>
        <v>1.6517386955477045</v>
      </c>
      <c r="QH75" s="27">
        <f>PortfolioFrontier[[#This Row],[P112 Growth]]/PortfolioFrontier[[#This Row],[P112 HWM]]-1</f>
        <v>-7.6796012092969379E-2</v>
      </c>
      <c r="QI75" s="28">
        <f>SUMPRODUCT(INDEX(PortfolioRef[[SPY]:[PE]],MATCH(QI$1,PortfolioRef[Reference '#]),0),AssetMonthlyReturns[[#This Row],[SPY]:[PE]])</f>
        <v>-3.8494986222828882E-2</v>
      </c>
      <c r="QJ75" s="27">
        <f>IF(ISNUMBER(QJ74),QJ74*(1+PortfolioFrontier[[#This Row],[P113 Return]]),1+PortfolioFrontier[[#This Row],[P113 Return]])</f>
        <v>1.5048850406622372</v>
      </c>
      <c r="QK75" s="27">
        <f>MAX(QK74,PortfolioFrontier[[#This Row],[P113 Growth]])</f>
        <v>1.6207454292109018</v>
      </c>
      <c r="QL75" s="27">
        <f>PortfolioFrontier[[#This Row],[P113 Growth]]/PortfolioFrontier[[#This Row],[P113 HWM]]-1</f>
        <v>-7.1485864751180572E-2</v>
      </c>
      <c r="QM75" s="28">
        <f>SUMPRODUCT(INDEX(PortfolioRef[[SPY]:[PE]],MATCH(QM$1,PortfolioRef[Reference '#]),0),AssetMonthlyReturns[[#This Row],[SPY]:[PE]])</f>
        <v>-3.5591588429722577E-2</v>
      </c>
      <c r="QN75" s="27">
        <f>IF(ISNUMBER(QN74),QN74*(1+PortfolioFrontier[[#This Row],[P114 Return]]),1+PortfolioFrontier[[#This Row],[P114 Return]])</f>
        <v>1.4843967434933907</v>
      </c>
      <c r="QO75" s="27">
        <f>MAX(QO74,PortfolioFrontier[[#This Row],[P114 Growth]])</f>
        <v>1.5896421022161857</v>
      </c>
      <c r="QP75" s="27">
        <f>PortfolioFrontier[[#This Row],[P114 Growth]]/PortfolioFrontier[[#This Row],[P114 HWM]]-1</f>
        <v>-6.6206952229101224E-2</v>
      </c>
      <c r="QQ75" s="28">
        <f>SUMPRODUCT(INDEX(PortfolioRef[[SPY]:[PE]],MATCH(QQ$1,PortfolioRef[Reference '#]),0),AssetMonthlyReturns[[#This Row],[SPY]:[PE]])</f>
        <v>-3.9782540759985816E-2</v>
      </c>
      <c r="QR75" s="27">
        <f>IF(ISNUMBER(QR74),QR74*(1+PortfolioFrontier[[#This Row],[P115 Return]]),1+PortfolioFrontier[[#This Row],[P115 Return]])</f>
        <v>1.5413677899385161</v>
      </c>
      <c r="QS75" s="27">
        <f>MAX(QS74,PortfolioFrontier[[#This Row],[P115 Growth]])</f>
        <v>1.6477351477866757</v>
      </c>
      <c r="QT75" s="27">
        <f>PortfolioFrontier[[#This Row],[P115 Growth]]/PortfolioFrontier[[#This Row],[P115 HWM]]-1</f>
        <v>-6.4553674169685493E-2</v>
      </c>
      <c r="QU75" s="28">
        <f>SUMPRODUCT(INDEX(PortfolioRef[[SPY]:[PE]],MATCH(QU$1,PortfolioRef[Reference '#]),0),AssetMonthlyReturns[[#This Row],[SPY]:[PE]])</f>
        <v>-3.6879142966879518E-2</v>
      </c>
      <c r="QV75" s="27">
        <f>IF(ISNUMBER(QV74),QV74*(1+PortfolioFrontier[[#This Row],[P116 Return]]),1+PortfolioFrontier[[#This Row],[P116 Return]])</f>
        <v>1.5206271287460287</v>
      </c>
      <c r="QW75" s="27">
        <f>MAX(QW74,PortfolioFrontier[[#This Row],[P116 Growth]])</f>
        <v>1.6163470917094751</v>
      </c>
      <c r="QX75" s="27">
        <f>PortfolioFrontier[[#This Row],[P116 Growth]]/PortfolioFrontier[[#This Row],[P116 HWM]]-1</f>
        <v>-5.921993082699295E-2</v>
      </c>
      <c r="QY75" s="28">
        <f>SUMPRODUCT(INDEX(PortfolioRef[[SPY]:[PE]],MATCH(QY$1,PortfolioRef[Reference '#]),0),AssetMonthlyReturns[[#This Row],[SPY]:[PE]])</f>
        <v>-3.397574517377322E-2</v>
      </c>
      <c r="QZ75" s="27">
        <f>IF(ISNUMBER(QZ74),QZ74*(1+PortfolioFrontier[[#This Row],[P117 Return]]),1+PortfolioFrontier[[#This Row],[P117 Return]])</f>
        <v>1.499417960853632</v>
      </c>
      <c r="RA75" s="27">
        <f>MAX(RA74,PortfolioFrontier[[#This Row],[P117 Growth]])</f>
        <v>1.5848710929942145</v>
      </c>
      <c r="RB75" s="27">
        <f>PortfolioFrontier[[#This Row],[P117 Growth]]/PortfolioFrontier[[#This Row],[P117 HWM]]-1</f>
        <v>-5.3918033156337253E-2</v>
      </c>
      <c r="RC75" s="28">
        <f>SUMPRODUCT(INDEX(PortfolioRef[[SPY]:[PE]],MATCH(RC$1,PortfolioRef[Reference '#]),0),AssetMonthlyReturns[[#This Row],[SPY]:[PE]])</f>
        <v>-4.0528887897141548E-2</v>
      </c>
      <c r="RD75" s="27">
        <f>IF(ISNUMBER(RD74),RD74*(1+PortfolioFrontier[[#This Row],[P118 Return]]),1+PortfolioFrontier[[#This Row],[P118 Return]])</f>
        <v>1.5494762381548048</v>
      </c>
      <c r="RE75" s="27">
        <f>MAX(RE74,PortfolioFrontier[[#This Row],[P118 Growth]])</f>
        <v>1.667155293527623</v>
      </c>
      <c r="RF75" s="27">
        <f>PortfolioFrontier[[#This Row],[P118 Growth]]/PortfolioFrontier[[#This Row],[P118 HWM]]-1</f>
        <v>-7.0586738877705169E-2</v>
      </c>
      <c r="RG75" s="28">
        <f>SUMPRODUCT(INDEX(PortfolioRef[[SPY]:[PE]],MATCH(RG$1,PortfolioRef[Reference '#]),0),AssetMonthlyReturns[[#This Row],[SPY]:[PE]])</f>
        <v>-3.7625490104035257E-2</v>
      </c>
      <c r="RH75" s="27">
        <f>IF(ISNUMBER(RH74),RH74*(1+PortfolioFrontier[[#This Row],[P119 Return]]),1+PortfolioFrontier[[#This Row],[P119 Return]])</f>
        <v>1.5291967695774957</v>
      </c>
      <c r="RI75" s="27">
        <f>MAX(RI74,PortfolioFrontier[[#This Row],[P119 Growth]])</f>
        <v>1.6359359857167841</v>
      </c>
      <c r="RJ75" s="27">
        <f>PortfolioFrontier[[#This Row],[P119 Growth]]/PortfolioFrontier[[#This Row],[P119 HWM]]-1</f>
        <v>-6.5246572647841505E-2</v>
      </c>
      <c r="RK75" s="28">
        <f>SUMPRODUCT(INDEX(PortfolioRef[[SPY]:[PE]],MATCH(RK$1,PortfolioRef[Reference '#]),0),AssetMonthlyReturns[[#This Row],[SPY]:[PE]])</f>
        <v>-3.4722092310928952E-2</v>
      </c>
      <c r="RL75" s="27">
        <f>IF(ISNUMBER(RL74),RL74*(1+PortfolioFrontier[[#This Row],[P120 Return]]),1+PortfolioFrontier[[#This Row],[P120 Return]])</f>
        <v>1.5084272048556959</v>
      </c>
      <c r="RM75" s="27">
        <f>MAX(RM74,PortfolioFrontier[[#This Row],[P120 Growth]])</f>
        <v>1.6046034567476111</v>
      </c>
      <c r="RN75" s="27">
        <f>PortfolioFrontier[[#This Row],[P120 Growth]]/PortfolioFrontier[[#This Row],[P120 HWM]]-1</f>
        <v>-5.9937707031278542E-2</v>
      </c>
      <c r="RO75" s="28">
        <f>SUMPRODUCT(INDEX(PortfolioRef[[SPY]:[PE]],MATCH(RO$1,PortfolioRef[Reference '#]),0),AssetMonthlyReturns[[#This Row],[SPY]:[PE]])</f>
        <v>-4.1275235034297288E-2</v>
      </c>
      <c r="RP75" s="27">
        <f>IF(ISNUMBER(RP74),RP74*(1+PortfolioFrontier[[#This Row],[P121 Return]]),1+PortfolioFrontier[[#This Row],[P121 Return]])</f>
        <v>1.556745293039693</v>
      </c>
      <c r="RQ75" s="27">
        <f>MAX(RQ74,PortfolioFrontier[[#This Row],[P121 Growth]])</f>
        <v>1.6859132740659151</v>
      </c>
      <c r="RR75" s="27">
        <f>PortfolioFrontier[[#This Row],[P121 Growth]]/PortfolioFrontier[[#This Row],[P121 HWM]]-1</f>
        <v>-7.661602943234902E-2</v>
      </c>
      <c r="RS75" s="28">
        <f>SUMPRODUCT(INDEX(PortfolioRef[[SPY]:[PE]],MATCH(RS$1,PortfolioRef[Reference '#]),0),AssetMonthlyReturns[[#This Row],[SPY]:[PE]])</f>
        <v>-3.8371837241190997E-2</v>
      </c>
      <c r="RT75" s="27">
        <f>IF(ISNUMBER(RT74),RT74*(1+PortfolioFrontier[[#This Row],[P122 Return]]),1+PortfolioFrontier[[#This Row],[P122 Return]])</f>
        <v>1.5369473663111302</v>
      </c>
      <c r="RU75" s="27">
        <f>MAX(RU74,PortfolioFrontier[[#This Row],[P122 Growth]])</f>
        <v>1.6548910536150563</v>
      </c>
      <c r="RV75" s="27">
        <f>PortfolioFrontier[[#This Row],[P122 Growth]]/PortfolioFrontier[[#This Row],[P122 HWM]]-1</f>
        <v>-7.1269759448080894E-2</v>
      </c>
      <c r="RW75" s="28">
        <f>SUMPRODUCT(INDEX(PortfolioRef[[SPY]:[PE]],MATCH(RW$1,PortfolioRef[Reference '#]),0),AssetMonthlyReturns[[#This Row],[SPY]:[PE]])</f>
        <v>-3.5468439448084699E-2</v>
      </c>
      <c r="RX75" s="27">
        <f>IF(ISNUMBER(RX74),RX74*(1+PortfolioFrontier[[#This Row],[P123 Return]]),1+PortfolioFrontier[[#This Row],[P123 Return]])</f>
        <v>1.5166379755363388</v>
      </c>
      <c r="RY75" s="27">
        <f>MAX(RY74,PortfolioFrontier[[#This Row],[P123 Growth]])</f>
        <v>1.6237298558231279</v>
      </c>
      <c r="RZ75" s="27">
        <f>PortfolioFrontier[[#This Row],[P123 Growth]]/PortfolioFrontier[[#This Row],[P123 HWM]]-1</f>
        <v>-6.5954247193724447E-2</v>
      </c>
      <c r="SA75" s="28">
        <f>SUMPRODUCT(INDEX(PortfolioRef[[SPY]:[PE]],MATCH(SA$1,PortfolioRef[Reference '#]),0),AssetMonthlyReturns[[#This Row],[SPY]:[PE]])</f>
        <v>-3.965939177834793E-2</v>
      </c>
      <c r="SB75" s="27">
        <f>IF(ISNUMBER(SB74),SB74*(1+PortfolioFrontier[[#This Row],[P124 Return]]),1+PortfolioFrontier[[#This Row],[P124 Return]])</f>
        <v>1.5741153696184147</v>
      </c>
      <c r="SC75" s="27">
        <f>MAX(SC74,PortfolioFrontier[[#This Row],[P124 Growth]])</f>
        <v>1.6823821965094672</v>
      </c>
      <c r="SD75" s="27">
        <f>PortfolioFrontier[[#This Row],[P124 Growth]]/PortfolioFrontier[[#This Row],[P124 HWM]]-1</f>
        <v>-6.4353288518910756E-2</v>
      </c>
      <c r="SE75" s="28">
        <f>SUMPRODUCT(INDEX(PortfolioRef[[SPY]:[PE]],MATCH(SE$1,PortfolioRef[Reference '#]),0),AssetMonthlyReturns[[#This Row],[SPY]:[PE]])</f>
        <v>-3.6755993985241639E-2</v>
      </c>
      <c r="SF75" s="27">
        <f>IF(ISNUMBER(SF74),SF74*(1+PortfolioFrontier[[#This Row],[P125 Return]]),1+PortfolioFrontier[[#This Row],[P125 Return]])</f>
        <v>1.5535637059703784</v>
      </c>
      <c r="SG75" s="27">
        <f>MAX(SG74,PortfolioFrontier[[#This Row],[P125 Growth]])</f>
        <v>1.6509411354388694</v>
      </c>
      <c r="SH75" s="27">
        <f>PortfolioFrontier[[#This Row],[P125 Growth]]/PortfolioFrontier[[#This Row],[P125 HWM]]-1</f>
        <v>-5.8982980905981974E-2</v>
      </c>
      <c r="SI75" s="28">
        <f>SUMPRODUCT(INDEX(PortfolioRef[[SPY]:[PE]],MATCH(SI$1,PortfolioRef[Reference '#]),0),AssetMonthlyReturns[[#This Row],[SPY]:[PE]])</f>
        <v>-3.3852596192135334E-2</v>
      </c>
      <c r="SJ75" s="27">
        <f>IF(ISNUMBER(SJ74),SJ74*(1+PortfolioFrontier[[#This Row],[P126 Return]]),1+PortfolioFrontier[[#This Row],[P126 Return]])</f>
        <v>1.5325133976820433</v>
      </c>
      <c r="SK75" s="27">
        <f>MAX(SK74,PortfolioFrontier[[#This Row],[P126 Growth]])</f>
        <v>1.6193836797956254</v>
      </c>
      <c r="SL75" s="27">
        <f>PortfolioFrontier[[#This Row],[P126 Growth]]/PortfolioFrontier[[#This Row],[P126 HWM]]-1</f>
        <v>-5.3644039517889652E-2</v>
      </c>
      <c r="SM75" s="28">
        <f>SUMPRODUCT(INDEX(PortfolioRef[[SPY]:[PE]],MATCH(SM$1,PortfolioRef[Reference '#]),0),AssetMonthlyReturns[[#This Row],[SPY]:[PE]])</f>
        <v>-4.0405738915503663E-2</v>
      </c>
      <c r="SN75" s="27">
        <f>IF(ISNUMBER(SN74),SN74*(1+PortfolioFrontier[[#This Row],[P127 Return]]),1+PortfolioFrontier[[#This Row],[P127 Return]])</f>
        <v>1.5817991785219869</v>
      </c>
      <c r="SO75" s="27">
        <f>MAX(SO74,PortfolioFrontier[[#This Row],[P127 Growth]])</f>
        <v>1.7016086575400751</v>
      </c>
      <c r="SP75" s="27">
        <f>PortfolioFrontier[[#This Row],[P127 Growth]]/PortfolioFrontier[[#This Row],[P127 HWM]]-1</f>
        <v>-7.0409537755461549E-2</v>
      </c>
      <c r="SQ75" s="28">
        <f>SUMPRODUCT(INDEX(PortfolioRef[[SPY]:[PE]],MATCH(SQ$1,PortfolioRef[Reference '#]),0),AssetMonthlyReturns[[#This Row],[SPY]:[PE]])</f>
        <v>-3.7502341122397372E-2</v>
      </c>
      <c r="SR75" s="27">
        <f>IF(ISNUMBER(SR74),SR74*(1+PortfolioFrontier[[#This Row],[P128 Return]]),1+PortfolioFrontier[[#This Row],[P128 Return]])</f>
        <v>1.5617330209303892</v>
      </c>
      <c r="SS75" s="27">
        <f>MAX(SS74,PortfolioFrontier[[#This Row],[P128 Growth]])</f>
        <v>1.6703618996398835</v>
      </c>
      <c r="ST75" s="27">
        <f>PortfolioFrontier[[#This Row],[P128 Growth]]/PortfolioFrontier[[#This Row],[P128 HWM]]-1</f>
        <v>-6.503313966447255E-2</v>
      </c>
      <c r="SU75" s="28">
        <f>SUMPRODUCT(INDEX(PortfolioRef[[SPY]:[PE]],MATCH(SU$1,PortfolioRef[Reference '#]),0),AssetMonthlyReturns[[#This Row],[SPY]:[PE]])</f>
        <v>-3.4598943329291074E-2</v>
      </c>
      <c r="SV75" s="27">
        <f>IF(ISNUMBER(SV74),SV74*(1+PortfolioFrontier[[#This Row],[P129 Return]]),1+PortfolioFrontier[[#This Row],[P129 Return]])</f>
        <v>1.5411464567680326</v>
      </c>
      <c r="SW75" s="27">
        <f>MAX(SW74,PortfolioFrontier[[#This Row],[P129 Growth]])</f>
        <v>1.6389727481356613</v>
      </c>
      <c r="SX75" s="27">
        <f>PortfolioFrontier[[#This Row],[P129 Growth]]/PortfolioFrontier[[#This Row],[P129 HWM]]-1</f>
        <v>-5.9687564347184252E-2</v>
      </c>
      <c r="SY75" s="28">
        <f>SUMPRODUCT(INDEX(PortfolioRef[[SPY]:[PE]],MATCH(SY$1,PortfolioRef[Reference '#]),0),AssetMonthlyReturns[[#This Row],[SPY]:[PE]])</f>
        <v>-4.1152086052659409E-2</v>
      </c>
      <c r="SZ75" s="27">
        <f>IF(ISNUMBER(SZ74),SZ74*(1+PortfolioFrontier[[#This Row],[P130 Return]]),1+PortfolioFrontier[[#This Row],[P130 Return]])</f>
        <v>1.5886170278855221</v>
      </c>
      <c r="TA75" s="27">
        <f>MAX(TA74,PortfolioFrontier[[#This Row],[P130 Growth]])</f>
        <v>1.720142179322633</v>
      </c>
      <c r="TB75" s="27">
        <f>PortfolioFrontier[[#This Row],[P130 Growth]]/PortfolioFrontier[[#This Row],[P130 HWM]]-1</f>
        <v>-7.6461790785749884E-2</v>
      </c>
      <c r="TC75" s="28">
        <f>SUMPRODUCT(INDEX(PortfolioRef[[SPY]:[PE]],MATCH(TC$1,PortfolioRef[Reference '#]),0),AssetMonthlyReturns[[#This Row],[SPY]:[PE]])</f>
        <v>-3.8248688259553111E-2</v>
      </c>
      <c r="TD75" s="27">
        <f>IF(ISNUMBER(TD74),TD74*(1+PortfolioFrontier[[#This Row],[P131 Return]]),1+PortfolioFrontier[[#This Row],[P131 Return]])</f>
        <v>1.5690566879614243</v>
      </c>
      <c r="TE75" s="27">
        <f>MAX(TE74,PortfolioFrontier[[#This Row],[P131 Growth]])</f>
        <v>1.6891185966988822</v>
      </c>
      <c r="TF75" s="27">
        <f>PortfolioFrontier[[#This Row],[P131 Growth]]/PortfolioFrontier[[#This Row],[P131 HWM]]-1</f>
        <v>-7.1079620443526115E-2</v>
      </c>
      <c r="TG75" s="28">
        <f>SUMPRODUCT(INDEX(PortfolioRef[[SPY]:[PE]],MATCH(TG$1,PortfolioRef[Reference '#]),0),AssetMonthlyReturns[[#This Row],[SPY]:[PE]])</f>
        <v>-3.5345290466446813E-2</v>
      </c>
      <c r="TH75" s="27">
        <f>IF(ISNUMBER(TH74),TH74*(1+PortfolioFrontier[[#This Row],[P132 Return]]),1+PortfolioFrontier[[#This Row],[P132 Return]])</f>
        <v>1.5489544337038343</v>
      </c>
      <c r="TI75" s="27">
        <f>MAX(TI74,PortfolioFrontier[[#This Row],[P132 Growth]])</f>
        <v>1.6579261593145806</v>
      </c>
      <c r="TJ75" s="27">
        <f>PortfolioFrontier[[#This Row],[P132 Growth]]/PortfolioFrontier[[#This Row],[P132 HWM]]-1</f>
        <v>-6.5727731599215078E-2</v>
      </c>
      <c r="TK75" s="28">
        <f>SUMPRODUCT(INDEX(PortfolioRef[[SPY]:[PE]],MATCH(TK$1,PortfolioRef[Reference '#]),0),AssetMonthlyReturns[[#This Row],[SPY]:[PE]])</f>
        <v>-3.9536242796710044E-2</v>
      </c>
      <c r="TL75" s="27">
        <f>IF(ISNUMBER(TL74),TL74*(1+PortfolioFrontier[[#This Row],[P133 Return]]),1+PortfolioFrontier[[#This Row],[P133 Return]])</f>
        <v>1.6069080109310687</v>
      </c>
      <c r="TM75" s="27">
        <f>MAX(TM74,PortfolioFrontier[[#This Row],[P133 Growth]])</f>
        <v>1.7171102853087914</v>
      </c>
      <c r="TN75" s="27">
        <f>PortfolioFrontier[[#This Row],[P133 Growth]]/PortfolioFrontier[[#This Row],[P133 HWM]]-1</f>
        <v>-6.4178914610545701E-2</v>
      </c>
      <c r="TO75" s="28">
        <f>SUMPRODUCT(INDEX(PortfolioRef[[SPY]:[PE]],MATCH(TO$1,PortfolioRef[Reference '#]),0),AssetMonthlyReturns[[#This Row],[SPY]:[PE]])</f>
        <v>-3.6632845003603753E-2</v>
      </c>
      <c r="TP75" s="27">
        <f>IF(ISNUMBER(TP74),TP74*(1+PortfolioFrontier[[#This Row],[P134 Return]]),1+PortfolioFrontier[[#This Row],[P134 Return]])</f>
        <v>1.5865742213914973</v>
      </c>
      <c r="TQ75" s="27">
        <f>MAX(TQ74,PortfolioFrontier[[#This Row],[P134 Growth]])</f>
        <v>1.6856432974461595</v>
      </c>
      <c r="TR75" s="27">
        <f>PortfolioFrontier[[#This Row],[P134 Growth]]/PortfolioFrontier[[#This Row],[P134 HWM]]-1</f>
        <v>-5.8772265879001306E-2</v>
      </c>
      <c r="TS75" s="28">
        <f>SUMPRODUCT(INDEX(PortfolioRef[[SPY]:[PE]],MATCH(TS$1,PortfolioRef[Reference '#]),0),AssetMonthlyReturns[[#This Row],[SPY]:[PE]])</f>
        <v>-3.3729447210497449E-2</v>
      </c>
      <c r="TT75" s="27">
        <f>IF(ISNUMBER(TT74),TT74*(1+PortfolioFrontier[[#This Row],[P135 Return]]),1+PortfolioFrontier[[#This Row],[P135 Return]])</f>
        <v>1.5657110431911585</v>
      </c>
      <c r="TU75" s="27">
        <f>MAX(TU74,PortfolioFrontier[[#This Row],[P135 Growth]])</f>
        <v>1.6540304901705998</v>
      </c>
      <c r="TV75" s="27">
        <f>PortfolioFrontier[[#This Row],[P135 Growth]]/PortfolioFrontier[[#This Row],[P135 HWM]]-1</f>
        <v>-5.3396504782890597E-2</v>
      </c>
      <c r="TW75" s="28">
        <f>SUMPRODUCT(INDEX(PortfolioRef[[SPY]:[PE]],MATCH(TW$1,PortfolioRef[Reference '#]),0),AssetMonthlyReturns[[#This Row],[SPY]:[PE]])</f>
        <v>-4.0282589933865784E-2</v>
      </c>
      <c r="TX75" s="27">
        <f>IF(ISNUMBER(TX74),TX74*(1+PortfolioFrontier[[#This Row],[P136 Return]]),1+PortfolioFrontier[[#This Row],[P136 Return]])</f>
        <v>1.61413923988811</v>
      </c>
      <c r="TY75" s="27">
        <f>MAX(TY74,PortfolioFrontier[[#This Row],[P136 Growth]])</f>
        <v>1.7361155602147582</v>
      </c>
      <c r="TZ75" s="27">
        <f>PortfolioFrontier[[#This Row],[P136 Growth]]/PortfolioFrontier[[#This Row],[P136 HWM]]-1</f>
        <v>-7.0258180458655395E-2</v>
      </c>
      <c r="UA75" s="28">
        <f>SUMPRODUCT(INDEX(PortfolioRef[[SPY]:[PE]],MATCH(UA$1,PortfolioRef[Reference '#]),0),AssetMonthlyReturns[[#This Row],[SPY]:[PE]])</f>
        <v>-3.7379192140759486E-2</v>
      </c>
      <c r="UB75" s="27">
        <f>IF(ISNUMBER(UB74),UB74*(1+PortfolioFrontier[[#This Row],[P137 Return]]),1+PortfolioFrontier[[#This Row],[P137 Return]])</f>
        <v>1.5943156267782244</v>
      </c>
      <c r="UC75" s="27">
        <f>MAX(UC74,PortfolioFrontier[[#This Row],[P137 Growth]])</f>
        <v>1.7048691873265751</v>
      </c>
      <c r="UD75" s="27">
        <f>PortfolioFrontier[[#This Row],[P137 Growth]]/PortfolioFrontier[[#This Row],[P137 HWM]]-1</f>
        <v>-6.4845773136243401E-2</v>
      </c>
      <c r="UE75" s="28">
        <f>SUMPRODUCT(INDEX(PortfolioRef[[SPY]:[PE]],MATCH(UE$1,PortfolioRef[Reference '#]),0),AssetMonthlyReturns[[#This Row],[SPY]:[PE]])</f>
        <v>-3.4475794347653188E-2</v>
      </c>
      <c r="UF75" s="27">
        <f>IF(ISNUMBER(UF74),UF74*(1+PortfolioFrontier[[#This Row],[P138 Return]]),1+PortfolioFrontier[[#This Row],[P138 Return]])</f>
        <v>1.5739407172836741</v>
      </c>
      <c r="UG75" s="27">
        <f>MAX(UG74,PortfolioFrontier[[#This Row],[P138 Growth]])</f>
        <v>1.6734502822541619</v>
      </c>
      <c r="UH75" s="27">
        <f>PortfolioFrontier[[#This Row],[P138 Growth]]/PortfolioFrontier[[#This Row],[P138 HWM]]-1</f>
        <v>-5.9463711605729275E-2</v>
      </c>
      <c r="UI75" s="28">
        <f>SUMPRODUCT(INDEX(PortfolioRef[[SPY]:[PE]],MATCH(UI$1,PortfolioRef[Reference '#]),0),AssetMonthlyReturns[[#This Row],[SPY]:[PE]])</f>
        <v>-4.1028937071021523E-2</v>
      </c>
      <c r="UJ75" s="27">
        <f>IF(ISNUMBER(UJ74),UJ74*(1+PortfolioFrontier[[#This Row],[P139 Return]]),1+PortfolioFrontier[[#This Row],[P139 Return]])</f>
        <v>1.6204778172174461</v>
      </c>
      <c r="UK75" s="27">
        <f>MAX(UK74,PortfolioFrontier[[#This Row],[P139 Growth]])</f>
        <v>1.7543965710992384</v>
      </c>
      <c r="UL75" s="27">
        <f>PortfolioFrontier[[#This Row],[P139 Growth]]/PortfolioFrontier[[#This Row],[P139 HWM]]-1</f>
        <v>-7.6333228238062434E-2</v>
      </c>
      <c r="UM75" s="28">
        <f>SUMPRODUCT(INDEX(PortfolioRef[[SPY]:[PE]],MATCH(UM$1,PortfolioRef[Reference '#]),0),AssetMonthlyReturns[[#This Row],[SPY]:[PE]])</f>
        <v>-3.8125539277915232E-2</v>
      </c>
      <c r="UN75" s="27">
        <f>IF(ISNUMBER(UN74),UN74*(1+PortfolioFrontier[[#This Row],[P140 Return]]),1+PortfolioFrontier[[#This Row],[P140 Return]])</f>
        <v>1.6011846226532882</v>
      </c>
      <c r="UO75" s="27">
        <f>MAX(UO74,PortfolioFrontier[[#This Row],[P140 Growth]])</f>
        <v>1.7234002022793458</v>
      </c>
      <c r="UP75" s="27">
        <f>PortfolioFrontier[[#This Row],[P140 Growth]]/PortfolioFrontier[[#This Row],[P140 HWM]]-1</f>
        <v>-7.0915379645666077E-2</v>
      </c>
      <c r="UQ75" s="28">
        <f>SUMPRODUCT(INDEX(PortfolioRef[[SPY]:[PE]],MATCH(UQ$1,PortfolioRef[Reference '#]),0),AssetMonthlyReturns[[#This Row],[SPY]:[PE]])</f>
        <v>-3.5222141484808928E-2</v>
      </c>
      <c r="UR75" s="27">
        <f>IF(ISNUMBER(UR74),UR74*(1+PortfolioFrontier[[#This Row],[P141 Return]]),1+PortfolioFrontier[[#This Row],[P141 Return]])</f>
        <v>1.5813185117723938</v>
      </c>
      <c r="US75" s="27">
        <f>MAX(US74,PortfolioFrontier[[#This Row],[P141 Growth]])</f>
        <v>1.6922041432386774</v>
      </c>
      <c r="UT75" s="27">
        <f>PortfolioFrontier[[#This Row],[P141 Growth]]/PortfolioFrontier[[#This Row],[P141 HWM]]-1</f>
        <v>-6.5527337176980116E-2</v>
      </c>
    </row>
    <row r="76" spans="2:566" x14ac:dyDescent="0.2">
      <c r="B76" s="41">
        <f>AssetMonthlyReturns[[#This Row],[Date]]</f>
        <v>44682</v>
      </c>
      <c r="C76" s="28">
        <f>SUMPRODUCT(INDEX(PortfolioRef[[SPY]:[PE]],MATCH(C$1,PortfolioRef[Reference '#]),0),AssetMonthlyReturns[[#This Row],[SPY]:[PE]])</f>
        <v>-4.82396700559361E-3</v>
      </c>
      <c r="D76" s="29">
        <f>IF(ISNUMBER(D75),D75*(1+PortfolioFrontier[[#This Row],[P1 Return]]),1+PortfolioFrontier[[#This Row],[P1 Return]])</f>
        <v>1.7733236152127978</v>
      </c>
      <c r="E76" s="29">
        <f>MAX(E75,PortfolioFrontier[[#This Row],[P1 Growth]])</f>
        <v>1.9531239567566241</v>
      </c>
      <c r="F76" s="29">
        <f>PortfolioFrontier[[#This Row],[P1 Growth]]/PortfolioFrontier[[#This Row],[P1 HWM]]-1</f>
        <v>-9.205782404226126E-2</v>
      </c>
      <c r="G76" s="28">
        <f>SUMPRODUCT(INDEX(PortfolioRef[[SPY]:[PE]],MATCH(G$1,PortfolioRef[Reference '#]),0),AssetMonthlyReturns[[#This Row],[SPY]:[PE]])</f>
        <v>-4.5705652442591506E-3</v>
      </c>
      <c r="H76" s="27">
        <f>IF(ISNUMBER(H75),H75*(1+PortfolioFrontier[[#This Row],[P2 Return]]),1+PortfolioFrontier[[#This Row],[P2 Return]])</f>
        <v>1.7114249556453625</v>
      </c>
      <c r="I76" s="27">
        <f>MAX(I75,PortfolioFrontier[[#This Row],[P2 Growth]])</f>
        <v>1.880902671218339</v>
      </c>
      <c r="J76" s="27">
        <f>PortfolioFrontier[[#This Row],[P2 Growth]]/PortfolioFrontier[[#This Row],[P2 HWM]]-1</f>
        <v>-9.0104457910732183E-2</v>
      </c>
      <c r="K76" s="28">
        <f>SUMPRODUCT(INDEX(PortfolioRef[[SPY]:[PE]],MATCH(K$1,PortfolioRef[Reference '#]),0),AssetMonthlyReturns[[#This Row],[SPY]:[PE]])</f>
        <v>-6.5682190692353867E-3</v>
      </c>
      <c r="L76" s="27">
        <f>IF(ISNUMBER(L75),L75*(1+PortfolioFrontier[[#This Row],[P3 Return]]),1+PortfolioFrontier[[#This Row],[P3 Return]])</f>
        <v>1.7355254807094294</v>
      </c>
      <c r="M76" s="27">
        <f>MAX(M75,PortfolioFrontier[[#This Row],[P3 Growth]])</f>
        <v>1.8984394560781046</v>
      </c>
      <c r="N76" s="27">
        <f>PortfolioFrontier[[#This Row],[P3 Growth]]/PortfolioFrontier[[#This Row],[P3 HWM]]-1</f>
        <v>-8.5814680498282225E-2</v>
      </c>
      <c r="O76" s="28">
        <f>SUMPRODUCT(INDEX(PortfolioRef[[SPY]:[PE]],MATCH(O$1,PortfolioRef[Reference '#]),0),AssetMonthlyReturns[[#This Row],[SPY]:[PE]])</f>
        <v>-7.2801517152625067E-3</v>
      </c>
      <c r="P76" s="27">
        <f>IF(ISNUMBER(P75),P75*(1+PortfolioFrontier[[#This Row],[P4 Return]]),1+PortfolioFrontier[[#This Row],[P4 Return]])</f>
        <v>1.7419663374941121</v>
      </c>
      <c r="Q76" s="27">
        <f>MAX(Q75,PortfolioFrontier[[#This Row],[P4 Growth]])</f>
        <v>1.9193367929729268</v>
      </c>
      <c r="R76" s="27">
        <f>PortfolioFrontier[[#This Row],[P4 Growth]]/PortfolioFrontier[[#This Row],[P4 HWM]]-1</f>
        <v>-9.2412366671760338E-2</v>
      </c>
      <c r="S76" s="28">
        <f>SUMPRODUCT(INDEX(PortfolioRef[[SPY]:[PE]],MATCH(S$1,PortfolioRef[Reference '#]),0),AssetMonthlyReturns[[#This Row],[SPY]:[PE]])</f>
        <v>-4.5503981086245648E-3</v>
      </c>
      <c r="T76" s="27">
        <f>IF(ISNUMBER(T75),T75*(1+PortfolioFrontier[[#This Row],[P5 Return]]),1+PortfolioFrontier[[#This Row],[P5 Return]])</f>
        <v>1.7247833901377041</v>
      </c>
      <c r="U76" s="27">
        <f>MAX(U75,PortfolioFrontier[[#This Row],[P5 Growth]])</f>
        <v>1.8841834525169079</v>
      </c>
      <c r="V76" s="27">
        <f>PortfolioFrontier[[#This Row],[P5 Growth]]/PortfolioFrontier[[#This Row],[P5 HWM]]-1</f>
        <v>-8.4599014053687749E-2</v>
      </c>
      <c r="W76" s="28">
        <f>SUMPRODUCT(INDEX(PortfolioRef[[SPY]:[PE]],MATCH(W$1,PortfolioRef[Reference '#]),0),AssetMonthlyReturns[[#This Row],[SPY]:[PE]])</f>
        <v>-4.3171634829246904E-3</v>
      </c>
      <c r="X76" s="27">
        <f>IF(ISNUMBER(X75),X75*(1+PortfolioFrontier[[#This Row],[P6 Return]]),1+PortfolioFrontier[[#This Row],[P6 Return]])</f>
        <v>1.6510793882006474</v>
      </c>
      <c r="Y76" s="27">
        <f>MAX(Y75,PortfolioFrontier[[#This Row],[P6 Growth]])</f>
        <v>1.8107203423144032</v>
      </c>
      <c r="Z76" s="27">
        <f>PortfolioFrontier[[#This Row],[P6 Growth]]/PortfolioFrontier[[#This Row],[P6 HWM]]-1</f>
        <v>-8.8164334592777616E-2</v>
      </c>
      <c r="AA76" s="28">
        <f>SUMPRODUCT(INDEX(PortfolioRef[[SPY]:[PE]],MATCH(AA$1,PortfolioRef[Reference '#]),0),AssetMonthlyReturns[[#This Row],[SPY]:[PE]])</f>
        <v>-6.3148173079009273E-3</v>
      </c>
      <c r="AB76" s="27">
        <f>IF(ISNUMBER(AB75),AB75*(1+PortfolioFrontier[[#This Row],[P7 Return]]),1+PortfolioFrontier[[#This Row],[P7 Return]])</f>
        <v>1.674358755158621</v>
      </c>
      <c r="AC76" s="27">
        <f>MAX(AC75,PortfolioFrontier[[#This Row],[P7 Growth]])</f>
        <v>1.8276317298765399</v>
      </c>
      <c r="AD76" s="27">
        <f>PortfolioFrontier[[#This Row],[P7 Growth]]/PortfolioFrontier[[#This Row],[P7 HWM]]-1</f>
        <v>-8.3864255698971046E-2</v>
      </c>
      <c r="AE76" s="28">
        <f>SUMPRODUCT(INDEX(PortfolioRef[[SPY]:[PE]],MATCH(AE$1,PortfolioRef[Reference '#]),0),AssetMonthlyReturns[[#This Row],[SPY]:[PE]])</f>
        <v>-7.0267499539280465E-3</v>
      </c>
      <c r="AF76" s="27">
        <f>IF(ISNUMBER(AF75),AF75*(1+PortfolioFrontier[[#This Row],[P8 Return]]),1+PortfolioFrontier[[#This Row],[P8 Return]])</f>
        <v>1.6810418745105185</v>
      </c>
      <c r="AG76" s="27">
        <f>MAX(AG75,PortfolioFrontier[[#This Row],[P8 Growth]])</f>
        <v>1.8482324314062795</v>
      </c>
      <c r="AH76" s="27">
        <f>PortfolioFrontier[[#This Row],[P8 Growth]]/PortfolioFrontier[[#This Row],[P8 HWM]]-1</f>
        <v>-9.0459703041001926E-2</v>
      </c>
      <c r="AI76" s="28">
        <f>SUMPRODUCT(INDEX(PortfolioRef[[SPY]:[PE]],MATCH(AI$1,PortfolioRef[Reference '#]),0),AssetMonthlyReturns[[#This Row],[SPY]:[PE]])</f>
        <v>-4.2969963472901055E-3</v>
      </c>
      <c r="AJ76" s="27">
        <f>IF(ISNUMBER(AJ75),AJ75*(1+PortfolioFrontier[[#This Row],[P9 Return]]),1+PortfolioFrontier[[#This Row],[P9 Return]])</f>
        <v>1.6640046616014255</v>
      </c>
      <c r="AK76" s="27">
        <f>MAX(AK75,PortfolioFrontier[[#This Row],[P9 Growth]])</f>
        <v>1.8139467261629987</v>
      </c>
      <c r="AL76" s="27">
        <f>PortfolioFrontier[[#This Row],[P9 Growth]]/PortfolioFrontier[[#This Row],[P9 HWM]]-1</f>
        <v>-8.2660677074426703E-2</v>
      </c>
      <c r="AM76" s="28">
        <f>SUMPRODUCT(INDEX(PortfolioRef[[SPY]:[PE]],MATCH(AM$1,PortfolioRef[Reference '#]),0),AssetMonthlyReturns[[#This Row],[SPY]:[PE]])</f>
        <v>-8.3124711328771642E-3</v>
      </c>
      <c r="AN76" s="27">
        <f>IF(ISNUMBER(AN75),AN75*(1+PortfolioFrontier[[#This Row],[P10 Return]]),1+PortfolioFrontier[[#This Row],[P10 Return]])</f>
        <v>1.6975923116391503</v>
      </c>
      <c r="AO76" s="27">
        <f>MAX(AO75,PortfolioFrontier[[#This Row],[P10 Growth]])</f>
        <v>1.8443368551596837</v>
      </c>
      <c r="AP76" s="27">
        <f>PortfolioFrontier[[#This Row],[P10 Growth]]/PortfolioFrontier[[#This Row],[P10 HWM]]-1</f>
        <v>-7.956493582503843E-2</v>
      </c>
      <c r="AQ76" s="28">
        <f>SUMPRODUCT(INDEX(PortfolioRef[[SPY]:[PE]],MATCH(AQ$1,PortfolioRef[Reference '#]),0),AssetMonthlyReturns[[#This Row],[SPY]:[PE]])</f>
        <v>-9.0244037789042834E-3</v>
      </c>
      <c r="AR76" s="27">
        <f>IF(ISNUMBER(AR75),AR75*(1+PortfolioFrontier[[#This Row],[P11 Return]]),1+PortfolioFrontier[[#This Row],[P11 Return]])</f>
        <v>1.7046866380878192</v>
      </c>
      <c r="AS76" s="27">
        <f>MAX(AS75,PortfolioFrontier[[#This Row],[P11 Growth]])</f>
        <v>1.865449984246593</v>
      </c>
      <c r="AT76" s="27">
        <f>PortfolioFrontier[[#This Row],[P11 Growth]]/PortfolioFrontier[[#This Row],[P11 HWM]]-1</f>
        <v>-8.6179392380601461E-2</v>
      </c>
      <c r="AU76" s="28">
        <f>SUMPRODUCT(INDEX(PortfolioRef[[SPY]:[PE]],MATCH(AU$1,PortfolioRef[Reference '#]),0),AssetMonthlyReturns[[#This Row],[SPY]:[PE]])</f>
        <v>-6.2946501722663415E-3</v>
      </c>
      <c r="AV76" s="27">
        <f>IF(ISNUMBER(AV75),AV75*(1+PortfolioFrontier[[#This Row],[P12 Return]]),1+PortfolioFrontier[[#This Row],[P12 Return]])</f>
        <v>1.6874735704810639</v>
      </c>
      <c r="AW76" s="27">
        <f>MAX(AW75,PortfolioFrontier[[#This Row],[P12 Growth]])</f>
        <v>1.8309154354259589</v>
      </c>
      <c r="AX76" s="27">
        <f>PortfolioFrontier[[#This Row],[P12 Growth]]/PortfolioFrontier[[#This Row],[P12 HWM]]-1</f>
        <v>-7.8344341944729723E-2</v>
      </c>
      <c r="AY76" s="28">
        <f>SUMPRODUCT(INDEX(PortfolioRef[[SPY]:[PE]],MATCH(AY$1,PortfolioRef[Reference '#]),0),AssetMonthlyReturns[[#This Row],[SPY]:[PE]])</f>
        <v>-9.7363364249314025E-3</v>
      </c>
      <c r="AZ76" s="27">
        <f>IF(ISNUMBER(AZ75),AZ75*(1+PortfolioFrontier[[#This Row],[P13 Return]]),1+PortfolioFrontier[[#This Row],[P13 Return]])</f>
        <v>1.7108398209126201</v>
      </c>
      <c r="BA76" s="27">
        <f>MAX(BA75,PortfolioFrontier[[#This Row],[P13 Growth]])</f>
        <v>1.8858075751364967</v>
      </c>
      <c r="BB76" s="27">
        <f>PortfolioFrontier[[#This Row],[P13 Growth]]/PortfolioFrontier[[#This Row],[P13 HWM]]-1</f>
        <v>-9.2781340223014097E-2</v>
      </c>
      <c r="BC76" s="28">
        <f>SUMPRODUCT(INDEX(PortfolioRef[[SPY]:[PE]],MATCH(BC$1,PortfolioRef[Reference '#]),0),AssetMonthlyReturns[[#This Row],[SPY]:[PE]])</f>
        <v>-7.0065828182934607E-3</v>
      </c>
      <c r="BD76" s="27">
        <f>IF(ISNUMBER(BD75),BD75*(1+PortfolioFrontier[[#This Row],[P14 Return]]),1+PortfolioFrontier[[#This Row],[P14 Return]])</f>
        <v>1.6942052494820927</v>
      </c>
      <c r="BE76" s="27">
        <f>MAX(BE75,PortfolioFrontier[[#This Row],[P14 Growth]])</f>
        <v>1.8515113734383843</v>
      </c>
      <c r="BF76" s="27">
        <f>PortfolioFrontier[[#This Row],[P14 Growth]]/PortfolioFrontier[[#This Row],[P14 HWM]]-1</f>
        <v>-8.4960927711809409E-2</v>
      </c>
      <c r="BG76" s="28">
        <f>SUMPRODUCT(INDEX(PortfolioRef[[SPY]:[PE]],MATCH(BG$1,PortfolioRef[Reference '#]),0),AssetMonthlyReturns[[#This Row],[SPY]:[PE]])</f>
        <v>-4.2768292116555189E-3</v>
      </c>
      <c r="BH76" s="27">
        <f>IF(ISNUMBER(BH75),BH75*(1+PortfolioFrontier[[#This Row],[P15 Return]]),1+PortfolioFrontier[[#This Row],[P15 Return]])</f>
        <v>1.6768752206916273</v>
      </c>
      <c r="BI76" s="27">
        <f>MAX(BI75,PortfolioFrontier[[#This Row],[P15 Growth]])</f>
        <v>1.8170439473092146</v>
      </c>
      <c r="BJ76" s="27">
        <f>PortfolioFrontier[[#This Row],[P15 Growth]]/PortfolioFrontier[[#This Row],[P15 HWM]]-1</f>
        <v>-7.7141076761053196E-2</v>
      </c>
      <c r="BK76" s="28">
        <f>SUMPRODUCT(INDEX(PortfolioRef[[SPY]:[PE]],MATCH(BK$1,PortfolioRef[Reference '#]),0),AssetMonthlyReturns[[#This Row],[SPY]:[PE]])</f>
        <v>-4.0637617215902311E-3</v>
      </c>
      <c r="BL76" s="27">
        <f>IF(ISNUMBER(BL75),BL75*(1+PortfolioFrontier[[#This Row],[P16 Return]]),1+PortfolioFrontier[[#This Row],[P16 Return]])</f>
        <v>1.592276244100099</v>
      </c>
      <c r="BM76" s="27">
        <f>MAX(BM75,PortfolioFrontier[[#This Row],[P16 Growth]])</f>
        <v>1.7425494832470445</v>
      </c>
      <c r="BN76" s="27">
        <f>PortfolioFrontier[[#This Row],[P16 Growth]]/PortfolioFrontier[[#This Row],[P16 HWM]]-1</f>
        <v>-8.6237573504614806E-2</v>
      </c>
      <c r="BO76" s="28">
        <f>SUMPRODUCT(INDEX(PortfolioRef[[SPY]:[PE]],MATCH(BO$1,PortfolioRef[Reference '#]),0),AssetMonthlyReturns[[#This Row],[SPY]:[PE]])</f>
        <v>-6.0614155465664671E-3</v>
      </c>
      <c r="BP76" s="27">
        <f>IF(ISNUMBER(BP75),BP75*(1+PortfolioFrontier[[#This Row],[P17 Return]]),1+PortfolioFrontier[[#This Row],[P17 Return]])</f>
        <v>1.61475465169271</v>
      </c>
      <c r="BQ76" s="27">
        <f>MAX(BQ75,PortfolioFrontier[[#This Row],[P17 Growth]])</f>
        <v>1.7588525148836969</v>
      </c>
      <c r="BR76" s="27">
        <f>PortfolioFrontier[[#This Row],[P17 Growth]]/PortfolioFrontier[[#This Row],[P17 HWM]]-1</f>
        <v>-8.1927200815080981E-2</v>
      </c>
      <c r="BS76" s="28">
        <f>SUMPRODUCT(INDEX(PortfolioRef[[SPY]:[PE]],MATCH(BS$1,PortfolioRef[Reference '#]),0),AssetMonthlyReturns[[#This Row],[SPY]:[PE]])</f>
        <v>-6.7733481925935863E-3</v>
      </c>
      <c r="BT76" s="27">
        <f>IF(ISNUMBER(BT75),BT75*(1+PortfolioFrontier[[#This Row],[P18 Return]]),1+PortfolioFrontier[[#This Row],[P18 Return]])</f>
        <v>1.6216507854926194</v>
      </c>
      <c r="BU76" s="27">
        <f>MAX(BU75,PortfolioFrontier[[#This Row],[P18 Growth]])</f>
        <v>1.7791407441475846</v>
      </c>
      <c r="BV76" s="27">
        <f>PortfolioFrontier[[#This Row],[P18 Growth]]/PortfolioFrontier[[#This Row],[P18 HWM]]-1</f>
        <v>-8.8520236059469903E-2</v>
      </c>
      <c r="BW76" s="28">
        <f>SUMPRODUCT(INDEX(PortfolioRef[[SPY]:[PE]],MATCH(BW$1,PortfolioRef[Reference '#]),0),AssetMonthlyReturns[[#This Row],[SPY]:[PE]])</f>
        <v>-4.0435945859556453E-3</v>
      </c>
      <c r="BX76" s="27">
        <f>IF(ISNUMBER(BX75),BX75*(1+PortfolioFrontier[[#This Row],[P19 Return]]),1+PortfolioFrontier[[#This Row],[P19 Return]])</f>
        <v>1.6047775284757204</v>
      </c>
      <c r="BY76" s="27">
        <f>MAX(BY75,PortfolioFrontier[[#This Row],[P19 Growth]])</f>
        <v>1.7457196180719312</v>
      </c>
      <c r="BZ76" s="27">
        <f>PortfolioFrontier[[#This Row],[P19 Growth]]/PortfolioFrontier[[#This Row],[P19 HWM]]-1</f>
        <v>-8.0735811259241563E-2</v>
      </c>
      <c r="CA76" s="28">
        <f>SUMPRODUCT(INDEX(PortfolioRef[[SPY]:[PE]],MATCH(CA$1,PortfolioRef[Reference '#]),0),AssetMonthlyReturns[[#This Row],[SPY]:[PE]])</f>
        <v>-8.0590693715427049E-3</v>
      </c>
      <c r="CB76" s="27">
        <f>IF(ISNUMBER(CB75),CB75*(1+PortfolioFrontier[[#This Row],[P20 Return]]),1+PortfolioFrontier[[#This Row],[P20 Return]])</f>
        <v>1.6371889160011632</v>
      </c>
      <c r="CC76" s="27">
        <f>MAX(CC75,PortfolioFrontier[[#This Row],[P20 Growth]])</f>
        <v>1.7749567522517573</v>
      </c>
      <c r="CD76" s="27">
        <f>PortfolioFrontier[[#This Row],[P20 Growth]]/PortfolioFrontier[[#This Row],[P20 HWM]]-1</f>
        <v>-7.7617573541337359E-2</v>
      </c>
      <c r="CE76" s="28">
        <f>SUMPRODUCT(INDEX(PortfolioRef[[SPY]:[PE]],MATCH(CE$1,PortfolioRef[Reference '#]),0),AssetMonthlyReturns[[#This Row],[SPY]:[PE]])</f>
        <v>-8.771002017569824E-3</v>
      </c>
      <c r="CF76" s="27">
        <f>IF(ISNUMBER(CF75),CF75*(1+PortfolioFrontier[[#This Row],[P21 Return]]),1+PortfolioFrontier[[#This Row],[P21 Return]])</f>
        <v>1.644488530033219</v>
      </c>
      <c r="CG76" s="27">
        <f>MAX(CG75,PortfolioFrontier[[#This Row],[P21 Growth]])</f>
        <v>1.795743356031652</v>
      </c>
      <c r="CH76" s="27">
        <f>PortfolioFrontier[[#This Row],[P21 Growth]]/PortfolioFrontier[[#This Row],[P21 HWM]]-1</f>
        <v>-8.4229645339011894E-2</v>
      </c>
      <c r="CI76" s="28">
        <f>SUMPRODUCT(INDEX(PortfolioRef[[SPY]:[PE]],MATCH(CI$1,PortfolioRef[Reference '#]),0),AssetMonthlyReturns[[#This Row],[SPY]:[PE]])</f>
        <v>-6.0412484109318822E-3</v>
      </c>
      <c r="CJ76" s="27">
        <f>IF(ISNUMBER(CJ75),CJ75*(1+PortfolioFrontier[[#This Row],[P22 Return]]),1+PortfolioFrontier[[#This Row],[P22 Return]])</f>
        <v>1.6274395124445977</v>
      </c>
      <c r="CK76" s="27">
        <f>MAX(CK75,PortfolioFrontier[[#This Row],[P22 Growth]])</f>
        <v>1.7620784578443487</v>
      </c>
      <c r="CL76" s="27">
        <f>PortfolioFrontier[[#This Row],[P22 Growth]]/PortfolioFrontier[[#This Row],[P22 HWM]]-1</f>
        <v>-7.6409166005276807E-2</v>
      </c>
      <c r="CM76" s="28">
        <f>SUMPRODUCT(INDEX(PortfolioRef[[SPY]:[PE]],MATCH(CM$1,PortfolioRef[Reference '#]),0),AssetMonthlyReturns[[#This Row],[SPY]:[PE]])</f>
        <v>-9.4829346635969432E-3</v>
      </c>
      <c r="CN76" s="27">
        <f>IF(ISNUMBER(CN75),CN75*(1+PortfolioFrontier[[#This Row],[P23 Return]]),1+PortfolioFrontier[[#This Row],[P23 Return]])</f>
        <v>1.6508858129716284</v>
      </c>
      <c r="CO76" s="27">
        <f>MAX(CO75,PortfolioFrontier[[#This Row],[P23 Growth]])</f>
        <v>1.8158151760868648</v>
      </c>
      <c r="CP76" s="27">
        <f>PortfolioFrontier[[#This Row],[P23 Growth]]/PortfolioFrontier[[#This Row],[P23 HWM]]-1</f>
        <v>-9.0829378059645971E-2</v>
      </c>
      <c r="CQ76" s="28">
        <f>SUMPRODUCT(INDEX(PortfolioRef[[SPY]:[PE]],MATCH(CQ$1,PortfolioRef[Reference '#]),0),AssetMonthlyReturns[[#This Row],[SPY]:[PE]])</f>
        <v>-6.7531810569590013E-3</v>
      </c>
      <c r="CR76" s="27">
        <f>IF(ISNUMBER(CR75),CR75*(1+PortfolioFrontier[[#This Row],[P24 Return]]),1+PortfolioFrontier[[#This Row],[P24 Return]])</f>
        <v>1.6343862335486046</v>
      </c>
      <c r="CS76" s="27">
        <f>MAX(CS75,PortfolioFrontier[[#This Row],[P24 Growth]])</f>
        <v>1.7823638134718676</v>
      </c>
      <c r="CT76" s="27">
        <f>PortfolioFrontier[[#This Row],[P24 Growth]]/PortfolioFrontier[[#This Row],[P24 HWM]]-1</f>
        <v>-8.3023218270470434E-2</v>
      </c>
      <c r="CU76" s="28">
        <f>SUMPRODUCT(INDEX(PortfolioRef[[SPY]:[PE]],MATCH(CU$1,PortfolioRef[Reference '#]),0),AssetMonthlyReturns[[#This Row],[SPY]:[PE]])</f>
        <v>-4.0234274503210595E-3</v>
      </c>
      <c r="CV76" s="27">
        <f>IF(ISNUMBER(CV75),CV75*(1+PortfolioFrontier[[#This Row],[P25 Return]]),1+PortfolioFrontier[[#This Row],[P25 Return]])</f>
        <v>1.617226702412325</v>
      </c>
      <c r="CW76" s="27">
        <f>MAX(CW75,PortfolioFrontier[[#This Row],[P25 Growth]])</f>
        <v>1.7487656732120247</v>
      </c>
      <c r="CX76" s="27">
        <f>PortfolioFrontier[[#This Row],[P25 Growth]]/PortfolioFrontier[[#This Row],[P25 HWM]]-1</f>
        <v>-7.5218179779396599E-2</v>
      </c>
      <c r="CY76" s="28">
        <f>SUMPRODUCT(INDEX(PortfolioRef[[SPY]:[PE]],MATCH(CY$1,PortfolioRef[Reference '#]),0),AssetMonthlyReturns[[#This Row],[SPY]:[PE]])</f>
        <v>-1.0768655842546061E-2</v>
      </c>
      <c r="CZ76" s="27">
        <f>IF(ISNUMBER(CZ75),CZ75*(1+PortfolioFrontier[[#This Row],[P26 Return]]),1+PortfolioFrontier[[#This Row],[P26 Return]])</f>
        <v>1.6672803324416134</v>
      </c>
      <c r="DA76" s="27">
        <f>MAX(DA75,PortfolioFrontier[[#This Row],[P26 Growth]])</f>
        <v>1.8121428498945955</v>
      </c>
      <c r="DB76" s="27">
        <f>PortfolioFrontier[[#This Row],[P26 Growth]]/PortfolioFrontier[[#This Row],[P26 HWM]]-1</f>
        <v>-7.9939899584300478E-2</v>
      </c>
      <c r="DC76" s="28">
        <f>SUMPRODUCT(INDEX(PortfolioRef[[SPY]:[PE]],MATCH(DC$1,PortfolioRef[Reference '#]),0),AssetMonthlyReturns[[#This Row],[SPY]:[PE]])</f>
        <v>-8.0389022359081182E-3</v>
      </c>
      <c r="DD76" s="27">
        <f>IF(ISNUMBER(DD75),DD75*(1+PortfolioFrontier[[#This Row],[P27 Return]]),1+PortfolioFrontier[[#This Row],[P27 Return]])</f>
        <v>1.650057463864403</v>
      </c>
      <c r="DE76" s="27">
        <f>MAX(DE75,PortfolioFrontier[[#This Row],[P27 Growth]])</f>
        <v>1.7782387807323972</v>
      </c>
      <c r="DF76" s="27">
        <f>PortfolioFrontier[[#This Row],[P27 Growth]]/PortfolioFrontier[[#This Row],[P27 HWM]]-1</f>
        <v>-7.2083298518099248E-2</v>
      </c>
      <c r="DG76" s="28">
        <f>SUMPRODUCT(INDEX(PortfolioRef[[SPY]:[PE]],MATCH(DG$1,PortfolioRef[Reference '#]),0),AssetMonthlyReturns[[#This Row],[SPY]:[PE]])</f>
        <v>-1.148058848857318E-2</v>
      </c>
      <c r="DH76" s="27">
        <f>IF(ISNUMBER(DH75),DH75*(1+PortfolioFrontier[[#This Row],[P28 Return]]),1+PortfolioFrontier[[#This Row],[P28 Return]])</f>
        <v>1.6740793428489011</v>
      </c>
      <c r="DI76" s="27">
        <f>MAX(DI75,PortfolioFrontier[[#This Row],[P28 Growth]])</f>
        <v>1.8327167417336543</v>
      </c>
      <c r="DJ76" s="27">
        <f>PortfolioFrontier[[#This Row],[P28 Growth]]/PortfolioFrontier[[#This Row],[P28 HWM]]-1</f>
        <v>-8.6558601922679279E-2</v>
      </c>
      <c r="DK76" s="28">
        <f>SUMPRODUCT(INDEX(PortfolioRef[[SPY]:[PE]],MATCH(DK$1,PortfolioRef[Reference '#]),0),AssetMonthlyReturns[[#This Row],[SPY]:[PE]])</f>
        <v>-8.7508348819352374E-3</v>
      </c>
      <c r="DL76" s="27">
        <f>IF(ISNUMBER(DL75),DL75*(1+PortfolioFrontier[[#This Row],[P29 Return]]),1+PortfolioFrontier[[#This Row],[P29 Return]])</f>
        <v>1.6574105248841831</v>
      </c>
      <c r="DM76" s="27">
        <f>MAX(DM75,PortfolioFrontier[[#This Row],[P29 Growth]])</f>
        <v>1.7990232294645383</v>
      </c>
      <c r="DN76" s="27">
        <f>PortfolioFrontier[[#This Row],[P29 Growth]]/PortfolioFrontier[[#This Row],[P29 HWM]]-1</f>
        <v>-7.8716440266591192E-2</v>
      </c>
      <c r="DO76" s="28">
        <f>SUMPRODUCT(INDEX(PortfolioRef[[SPY]:[PE]],MATCH(DO$1,PortfolioRef[Reference '#]),0),AssetMonthlyReturns[[#This Row],[SPY]:[PE]])</f>
        <v>-6.0210812752972964E-3</v>
      </c>
      <c r="DP76" s="27">
        <f>IF(ISNUMBER(DP75),DP75*(1+PortfolioFrontier[[#This Row],[P30 Return]]),1+PortfolioFrontier[[#This Row],[P30 Return]])</f>
        <v>1.6400717827658788</v>
      </c>
      <c r="DQ76" s="27">
        <f>MAX(DQ75,PortfolioFrontier[[#This Row],[P30 Growth]])</f>
        <v>1.7651792866223672</v>
      </c>
      <c r="DR76" s="27">
        <f>PortfolioFrontier[[#This Row],[P30 Growth]]/PortfolioFrontier[[#This Row],[P30 HWM]]-1</f>
        <v>-7.0875239022251901E-2</v>
      </c>
      <c r="DS76" s="28">
        <f>SUMPRODUCT(INDEX(PortfolioRef[[SPY]:[PE]],MATCH(DS$1,PortfolioRef[Reference '#]),0),AssetMonthlyReturns[[#This Row],[SPY]:[PE]])</f>
        <v>-1.2192521134600299E-2</v>
      </c>
      <c r="DT76" s="27">
        <f>IF(ISNUMBER(DT75),DT75*(1+PortfolioFrontier[[#This Row],[P31 Return]]),1+PortfolioFrontier[[#This Row],[P31 Return]])</f>
        <v>1.6799511621613576</v>
      </c>
      <c r="DU76" s="27">
        <f>MAX(DU75,PortfolioFrontier[[#This Row],[P31 Growth]])</f>
        <v>1.8525428026208837</v>
      </c>
      <c r="DV76" s="27">
        <f>PortfolioFrontier[[#This Row],[P31 Growth]]/PortfolioFrontier[[#This Row],[P31 HWM]]-1</f>
        <v>-9.3164724839475799E-2</v>
      </c>
      <c r="DW76" s="28">
        <f>SUMPRODUCT(INDEX(PortfolioRef[[SPY]:[PE]],MATCH(DW$1,PortfolioRef[Reference '#]),0),AssetMonthlyReturns[[#This Row],[SPY]:[PE]])</f>
        <v>-9.4627675279623565E-3</v>
      </c>
      <c r="DX76" s="27">
        <f>IF(ISNUMBER(DX75),DX75*(1+PortfolioFrontier[[#This Row],[P32 Return]]),1+PortfolioFrontier[[#This Row],[P32 Return]])</f>
        <v>1.6638545625418413</v>
      </c>
      <c r="DY76" s="27">
        <f>MAX(DY75,PortfolioFrontier[[#This Row],[P32 Growth]])</f>
        <v>1.8190908915066115</v>
      </c>
      <c r="DZ76" s="27">
        <f>PortfolioFrontier[[#This Row],[P32 Growth]]/PortfolioFrontier[[#This Row],[P32 HWM]]-1</f>
        <v>-8.5337313099402068E-2</v>
      </c>
      <c r="EA76" s="28">
        <f>SUMPRODUCT(INDEX(PortfolioRef[[SPY]:[PE]],MATCH(EA$1,PortfolioRef[Reference '#]),0),AssetMonthlyReturns[[#This Row],[SPY]:[PE]])</f>
        <v>-6.7330139213244156E-3</v>
      </c>
      <c r="EB76" s="27">
        <f>IF(ISNUMBER(EB75),EB75*(1+PortfolioFrontier[[#This Row],[P33 Return]]),1+PortfolioFrontier[[#This Row],[P33 Return]])</f>
        <v>1.6470685948600448</v>
      </c>
      <c r="EC76" s="27">
        <f>MAX(EC75,PortfolioFrontier[[#This Row],[P33 Growth]])</f>
        <v>1.7854600976944932</v>
      </c>
      <c r="ED76" s="27">
        <f>PortfolioFrontier[[#This Row],[P33 Growth]]/PortfolioFrontier[[#This Row],[P33 HWM]]-1</f>
        <v>-7.7510274809920898E-2</v>
      </c>
      <c r="EE76" s="28">
        <f>SUMPRODUCT(INDEX(PortfolioRef[[SPY]:[PE]],MATCH(EE$1,PortfolioRef[Reference '#]),0),AssetMonthlyReturns[[#This Row],[SPY]:[PE]])</f>
        <v>-3.8103599602557709E-3</v>
      </c>
      <c r="EF76" s="27">
        <f>IF(ISNUMBER(EF75),EF75*(1+PortfolioFrontier[[#This Row],[P34 Return]]),1+PortfolioFrontier[[#This Row],[P34 Return]])</f>
        <v>1.5350034456076671</v>
      </c>
      <c r="EG76" s="27">
        <f>MAX(EG75,PortfolioFrontier[[#This Row],[P34 Growth]])</f>
        <v>1.6763614413137211</v>
      </c>
      <c r="EH76" s="27">
        <f>PortfolioFrontier[[#This Row],[P34 Growth]]/PortfolioFrontier[[#This Row],[P34 HWM]]-1</f>
        <v>-8.4324294404717004E-2</v>
      </c>
      <c r="EI76" s="28">
        <f>SUMPRODUCT(INDEX(PortfolioRef[[SPY]:[PE]],MATCH(EI$1,PortfolioRef[Reference '#]),0),AssetMonthlyReturns[[#This Row],[SPY]:[PE]])</f>
        <v>-5.8080137852320078E-3</v>
      </c>
      <c r="EJ76" s="27">
        <f>IF(ISNUMBER(EJ75),EJ75*(1+PortfolioFrontier[[#This Row],[P35 Return]]),1+PortfolioFrontier[[#This Row],[P35 Return]])</f>
        <v>1.5567009469571196</v>
      </c>
      <c r="EK76" s="27">
        <f>MAX(EK75,PortfolioFrontier[[#This Row],[P35 Growth]])</f>
        <v>1.6920729334369538</v>
      </c>
      <c r="EL76" s="27">
        <f>PortfolioFrontier[[#This Row],[P35 Growth]]/PortfolioFrontier[[#This Row],[P35 HWM]]-1</f>
        <v>-8.0003635661771044E-2</v>
      </c>
      <c r="EM76" s="28">
        <f>SUMPRODUCT(INDEX(PortfolioRef[[SPY]:[PE]],MATCH(EM$1,PortfolioRef[Reference '#]),0),AssetMonthlyReturns[[#This Row],[SPY]:[PE]])</f>
        <v>-6.5199464312591269E-3</v>
      </c>
      <c r="EN76" s="27">
        <f>IF(ISNUMBER(EN75),EN75*(1+PortfolioFrontier[[#This Row],[P36 Return]]),1+PortfolioFrontier[[#This Row],[P36 Return]])</f>
        <v>1.5637823445572188</v>
      </c>
      <c r="EO76" s="27">
        <f>MAX(EO75,PortfolioFrontier[[#This Row],[P36 Growth]])</f>
        <v>1.7120343963250326</v>
      </c>
      <c r="EP76" s="27">
        <f>PortfolioFrontier[[#This Row],[P36 Growth]]/PortfolioFrontier[[#This Row],[P36 HWM]]-1</f>
        <v>-8.6594084842012697E-2</v>
      </c>
      <c r="EQ76" s="28">
        <f>SUMPRODUCT(INDEX(PortfolioRef[[SPY]:[PE]],MATCH(EQ$1,PortfolioRef[Reference '#]),0),AssetMonthlyReturns[[#This Row],[SPY]:[PE]])</f>
        <v>-3.790192824621186E-3</v>
      </c>
      <c r="ER76" s="27">
        <f>IF(ISNUMBER(ER75),ER75*(1+PortfolioFrontier[[#This Row],[P37 Return]]),1+PortfolioFrontier[[#This Row],[P37 Return]])</f>
        <v>1.5470899454124551</v>
      </c>
      <c r="ES76" s="27">
        <f>MAX(ES75,PortfolioFrontier[[#This Row],[P37 Growth]])</f>
        <v>1.6794736802569215</v>
      </c>
      <c r="ET76" s="27">
        <f>PortfolioFrontier[[#This Row],[P37 Growth]]/PortfolioFrontier[[#This Row],[P37 HWM]]-1</f>
        <v>-7.8824536758572261E-2</v>
      </c>
      <c r="EU76" s="28">
        <f>SUMPRODUCT(INDEX(PortfolioRef[[SPY]:[PE]],MATCH(EU$1,PortfolioRef[Reference '#]),0),AssetMonthlyReturns[[#This Row],[SPY]:[PE]])</f>
        <v>-7.8056676102082447E-3</v>
      </c>
      <c r="EV76" s="27">
        <f>IF(ISNUMBER(EV75),EV75*(1+PortfolioFrontier[[#This Row],[P38 Return]]),1+PortfolioFrontier[[#This Row],[P38 Return]])</f>
        <v>1.5783559313293984</v>
      </c>
      <c r="EW76" s="27">
        <f>MAX(EW75,PortfolioFrontier[[#This Row],[P38 Growth]])</f>
        <v>1.7075928941250238</v>
      </c>
      <c r="EX76" s="27">
        <f>PortfolioFrontier[[#This Row],[P38 Growth]]/PortfolioFrontier[[#This Row],[P38 HWM]]-1</f>
        <v>-7.5683708476572686E-2</v>
      </c>
      <c r="EY76" s="28">
        <f>SUMPRODUCT(INDEX(PortfolioRef[[SPY]:[PE]],MATCH(EY$1,PortfolioRef[Reference '#]),0),AssetMonthlyReturns[[#This Row],[SPY]:[PE]])</f>
        <v>-8.5176002562353647E-3</v>
      </c>
      <c r="EZ76" s="27">
        <f>IF(ISNUMBER(EZ75),EZ75*(1+PortfolioFrontier[[#This Row],[P39 Return]]),1+PortfolioFrontier[[#This Row],[P39 Return]])</f>
        <v>1.5858329730381799</v>
      </c>
      <c r="FA76" s="27">
        <f>MAX(FA75,PortfolioFrontier[[#This Row],[P39 Growth]])</f>
        <v>1.7280388577532122</v>
      </c>
      <c r="FB76" s="27">
        <f>PortfolioFrontier[[#This Row],[P39 Growth]]/PortfolioFrontier[[#This Row],[P39 HWM]]-1</f>
        <v>-8.2293221635031832E-2</v>
      </c>
      <c r="FC76" s="28">
        <f>SUMPRODUCT(INDEX(PortfolioRef[[SPY]:[PE]],MATCH(FC$1,PortfolioRef[Reference '#]),0),AssetMonthlyReturns[[#This Row],[SPY]:[PE]])</f>
        <v>-5.7878466495974229E-3</v>
      </c>
      <c r="FD76" s="27">
        <f>IF(ISNUMBER(FD75),FD75*(1+PortfolioFrontier[[#This Row],[P40 Return]]),1+PortfolioFrontier[[#This Row],[P40 Return]])</f>
        <v>1.5689651810543888</v>
      </c>
      <c r="FE76" s="27">
        <f>MAX(FE75,PortfolioFrontier[[#This Row],[P40 Growth]])</f>
        <v>1.6952394830468527</v>
      </c>
      <c r="FF76" s="27">
        <f>PortfolioFrontier[[#This Row],[P40 Growth]]/PortfolioFrontier[[#This Row],[P40 HWM]]-1</f>
        <v>-7.4487589072377625E-2</v>
      </c>
      <c r="FG76" s="28">
        <f>SUMPRODUCT(INDEX(PortfolioRef[[SPY]:[PE]],MATCH(FG$1,PortfolioRef[Reference '#]),0),AssetMonthlyReturns[[#This Row],[SPY]:[PE]])</f>
        <v>-9.2295329022624838E-3</v>
      </c>
      <c r="FH76" s="27">
        <f>IF(ISNUMBER(FH75),FH75*(1+PortfolioFrontier[[#This Row],[P41 Return]]),1+PortfolioFrontier[[#This Row],[P41 Return]])</f>
        <v>1.592445384153196</v>
      </c>
      <c r="FI76" s="27">
        <f>MAX(FI75,PortfolioFrontier[[#This Row],[P41 Growth]])</f>
        <v>1.7478091274239449</v>
      </c>
      <c r="FJ76" s="27">
        <f>PortfolioFrontier[[#This Row],[P41 Growth]]/PortfolioFrontier[[#This Row],[P41 HWM]]-1</f>
        <v>-8.8890566385664727E-2</v>
      </c>
      <c r="FK76" s="28">
        <f>SUMPRODUCT(INDEX(PortfolioRef[[SPY]:[PE]],MATCH(FK$1,PortfolioRef[Reference '#]),0),AssetMonthlyReturns[[#This Row],[SPY]:[PE]])</f>
        <v>-6.499779295624542E-3</v>
      </c>
      <c r="FL76" s="27">
        <f>IF(ISNUMBER(FL75),FL75*(1+PortfolioFrontier[[#This Row],[P42 Return]]),1+PortfolioFrontier[[#This Row],[P42 Return]])</f>
        <v>1.5760989739430364</v>
      </c>
      <c r="FM76" s="27">
        <f>MAX(FM75,PortfolioFrontier[[#This Row],[P42 Growth]])</f>
        <v>1.7151998522045959</v>
      </c>
      <c r="FN76" s="27">
        <f>PortfolioFrontier[[#This Row],[P42 Growth]]/PortfolioFrontier[[#This Row],[P42 HWM]]-1</f>
        <v>-8.1098933213391455E-2</v>
      </c>
      <c r="FO76" s="28">
        <f>SUMPRODUCT(INDEX(PortfolioRef[[SPY]:[PE]],MATCH(FO$1,PortfolioRef[Reference '#]),0),AssetMonthlyReturns[[#This Row],[SPY]:[PE]])</f>
        <v>-3.7700256889866002E-3</v>
      </c>
      <c r="FP76" s="27">
        <f>IF(ISNUMBER(FP75),FP75*(1+PortfolioFrontier[[#This Row],[P43 Return]]),1+PortfolioFrontier[[#This Row],[P43 Return]])</f>
        <v>1.5591268345738971</v>
      </c>
      <c r="FQ76" s="27">
        <f>MAX(FQ75,PortfolioFrontier[[#This Row],[P43 Growth]])</f>
        <v>1.6824667632825669</v>
      </c>
      <c r="FR76" s="27">
        <f>PortfolioFrontier[[#This Row],[P43 Growth]]/PortfolioFrontier[[#This Row],[P43 HWM]]-1</f>
        <v>-7.3308983809004413E-2</v>
      </c>
      <c r="FS76" s="28">
        <f>SUMPRODUCT(INDEX(PortfolioRef[[SPY]:[PE]],MATCH(FS$1,PortfolioRef[Reference '#]),0),AssetMonthlyReturns[[#This Row],[SPY]:[PE]])</f>
        <v>-1.0515254081211602E-2</v>
      </c>
      <c r="FT76" s="27">
        <f>IF(ISNUMBER(FT75),FT75*(1+PortfolioFrontier[[#This Row],[P44 Return]]),1+PortfolioFrontier[[#This Row],[P44 Return]])</f>
        <v>1.6078393347500408</v>
      </c>
      <c r="FU76" s="27">
        <f>MAX(FU75,PortfolioFrontier[[#This Row],[P44 Growth]])</f>
        <v>1.7438475694471607</v>
      </c>
      <c r="FV76" s="27">
        <f>PortfolioFrontier[[#This Row],[P44 Growth]]/PortfolioFrontier[[#This Row],[P44 HWM]]-1</f>
        <v>-7.7993189932442086E-2</v>
      </c>
      <c r="FW76" s="28">
        <f>SUMPRODUCT(INDEX(PortfolioRef[[SPY]:[PE]],MATCH(FW$1,PortfolioRef[Reference '#]),0),AssetMonthlyReturns[[#This Row],[SPY]:[PE]])</f>
        <v>-7.7855004745736598E-3</v>
      </c>
      <c r="FX76" s="27">
        <f>IF(ISNUMBER(FX75),FX75*(1+PortfolioFrontier[[#This Row],[P45 Return]]),1+PortfolioFrontier[[#This Row],[P45 Return]])</f>
        <v>1.5907980086588964</v>
      </c>
      <c r="FY76" s="27">
        <f>MAX(FY75,PortfolioFrontier[[#This Row],[P45 Growth]])</f>
        <v>1.7108140158896465</v>
      </c>
      <c r="FZ76" s="27">
        <f>PortfolioFrontier[[#This Row],[P45 Growth]]/PortfolioFrontier[[#This Row],[P45 HWM]]-1</f>
        <v>-7.0151405188447757E-2</v>
      </c>
      <c r="GA76" s="28">
        <f>SUMPRODUCT(INDEX(PortfolioRef[[SPY]:[PE]],MATCH(GA$1,PortfolioRef[Reference '#]),0),AssetMonthlyReturns[[#This Row],[SPY]:[PE]])</f>
        <v>-1.1227186727238721E-2</v>
      </c>
      <c r="GB76" s="27">
        <f>IF(ISNUMBER(GB75),GB75*(1+PortfolioFrontier[[#This Row],[P46 Return]]),1+PortfolioFrontier[[#This Row],[P46 Return]])</f>
        <v>1.6148459338216086</v>
      </c>
      <c r="GC76" s="27">
        <f>MAX(GC75,PortfolioFrontier[[#This Row],[P46 Growth]])</f>
        <v>1.7641061270089846</v>
      </c>
      <c r="GD76" s="27">
        <f>PortfolioFrontier[[#This Row],[P46 Growth]]/PortfolioFrontier[[#This Row],[P46 HWM]]-1</f>
        <v>-8.4609531650141956E-2</v>
      </c>
      <c r="GE76" s="28">
        <f>SUMPRODUCT(INDEX(PortfolioRef[[SPY]:[PE]],MATCH(GE$1,PortfolioRef[Reference '#]),0),AssetMonthlyReturns[[#This Row],[SPY]:[PE]])</f>
        <v>-8.497433120600778E-3</v>
      </c>
      <c r="GF76" s="27">
        <f>IF(ISNUMBER(GF75),GF75*(1+PortfolioFrontier[[#This Row],[P47 Return]]),1+PortfolioFrontier[[#This Row],[P47 Return]])</f>
        <v>1.5983302648045083</v>
      </c>
      <c r="GG76" s="27">
        <f>MAX(GG75,PortfolioFrontier[[#This Row],[P47 Growth]])</f>
        <v>1.7312596087544752</v>
      </c>
      <c r="GH76" s="27">
        <f>PortfolioFrontier[[#This Row],[P47 Growth]]/PortfolioFrontier[[#This Row],[P47 HWM]]-1</f>
        <v>-7.6781866380860375E-2</v>
      </c>
      <c r="GI76" s="28">
        <f>SUMPRODUCT(INDEX(PortfolioRef[[SPY]:[PE]],MATCH(GI$1,PortfolioRef[Reference '#]),0),AssetMonthlyReturns[[#This Row],[SPY]:[PE]])</f>
        <v>-5.7676795139628362E-3</v>
      </c>
      <c r="GJ76" s="27">
        <f>IF(ISNUMBER(GJ75),GJ75*(1+PortfolioFrontier[[#This Row],[P48 Return]]),1+PortfolioFrontier[[#This Row],[P48 Return]])</f>
        <v>1.5811793506172214</v>
      </c>
      <c r="GK76" s="27">
        <f>MAX(GK75,PortfolioFrontier[[#This Row],[P48 Growth]])</f>
        <v>1.6982858835097865</v>
      </c>
      <c r="GL76" s="27">
        <f>PortfolioFrontier[[#This Row],[P48 Growth]]/PortfolioFrontier[[#This Row],[P48 HWM]]-1</f>
        <v>-6.8955724139062702E-2</v>
      </c>
      <c r="GM76" s="28">
        <f>SUMPRODUCT(INDEX(PortfolioRef[[SPY]:[PE]],MATCH(GM$1,PortfolioRef[Reference '#]),0),AssetMonthlyReturns[[#This Row],[SPY]:[PE]])</f>
        <v>-1.193911937326584E-2</v>
      </c>
      <c r="GN76" s="27">
        <f>IF(ISNUMBER(GN75),GN75*(1+PortfolioFrontier[[#This Row],[P49 Return]]),1+PortfolioFrontier[[#This Row],[P49 Return]])</f>
        <v>1.6209635650880285</v>
      </c>
      <c r="GO76" s="27">
        <f>MAX(GO75,PortfolioFrontier[[#This Row],[P49 Growth]])</f>
        <v>1.7836571071341945</v>
      </c>
      <c r="GP76" s="27">
        <f>PortfolioFrontier[[#This Row],[P49 Growth]]/PortfolioFrontier[[#This Row],[P49 HWM]]-1</f>
        <v>-9.1213463280263585E-2</v>
      </c>
      <c r="GQ76" s="28">
        <f>SUMPRODUCT(INDEX(PortfolioRef[[SPY]:[PE]],MATCH(GQ$1,PortfolioRef[Reference '#]),0),AssetMonthlyReturns[[#This Row],[SPY]:[PE]])</f>
        <v>-9.2093657666278972E-3</v>
      </c>
      <c r="GR76" s="27">
        <f>IF(ISNUMBER(GR75),GR75*(1+PortfolioFrontier[[#This Row],[P50 Return]]),1+PortfolioFrontier[[#This Row],[P50 Return]])</f>
        <v>1.6049914597550901</v>
      </c>
      <c r="GS76" s="27">
        <f>MAX(GS75,PortfolioFrontier[[#This Row],[P50 Growth]])</f>
        <v>1.7510275614895194</v>
      </c>
      <c r="GT76" s="27">
        <f>PortfolioFrontier[[#This Row],[P50 Growth]]/PortfolioFrontier[[#This Row],[P50 HWM]]-1</f>
        <v>-8.3400230211227E-2</v>
      </c>
      <c r="GU76" s="28">
        <f>SUMPRODUCT(INDEX(PortfolioRef[[SPY]:[PE]],MATCH(GU$1,PortfolioRef[Reference '#]),0),AssetMonthlyReturns[[#This Row],[SPY]:[PE]])</f>
        <v>-6.4796121599899562E-3</v>
      </c>
      <c r="GV76" s="27">
        <f>IF(ISNUMBER(GV75),GV75*(1+PortfolioFrontier[[#This Row],[P51 Return]]),1+PortfolioFrontier[[#This Row],[P51 Return]])</f>
        <v>1.5883650544180152</v>
      </c>
      <c r="GW76" s="27">
        <f>MAX(GW75,PortfolioFrontier[[#This Row],[P51 Growth]])</f>
        <v>1.7182435242855478</v>
      </c>
      <c r="GX76" s="27">
        <f>PortfolioFrontier[[#This Row],[P51 Growth]]/PortfolioFrontier[[#This Row],[P51 HWM]]-1</f>
        <v>-7.5587929203188242E-2</v>
      </c>
      <c r="GY76" s="28">
        <f>SUMPRODUCT(INDEX(PortfolioRef[[SPY]:[PE]],MATCH(GY$1,PortfolioRef[Reference '#]),0),AssetMonthlyReturns[[#This Row],[SPY]:[PE]])</f>
        <v>-1.3224840552214956E-2</v>
      </c>
      <c r="GZ76" s="27">
        <f>IF(ISNUMBER(GZ75),GZ75*(1+PortfolioFrontier[[#This Row],[P52 Return]]),1+PortfolioFrontier[[#This Row],[P52 Return]])</f>
        <v>1.6372004418613968</v>
      </c>
      <c r="HA76" s="27">
        <f>MAX(HA75,PortfolioFrontier[[#This Row],[P52 Growth]])</f>
        <v>1.7802031417261526</v>
      </c>
      <c r="HB76" s="27">
        <f>PortfolioFrontier[[#This Row],[P52 Growth]]/PortfolioFrontier[[#This Row],[P52 HWM]]-1</f>
        <v>-8.0329427868605419E-2</v>
      </c>
      <c r="HC76" s="28">
        <f>SUMPRODUCT(INDEX(PortfolioRef[[SPY]:[PE]],MATCH(HC$1,PortfolioRef[Reference '#]),0),AssetMonthlyReturns[[#This Row],[SPY]:[PE]])</f>
        <v>-1.0495086945577013E-2</v>
      </c>
      <c r="HD76" s="27">
        <f>IF(ISNUMBER(HD75),HD75*(1+PortfolioFrontier[[#This Row],[P53 Return]]),1+PortfolioFrontier[[#This Row],[P53 Return]])</f>
        <v>1.6205173909004638</v>
      </c>
      <c r="HE76" s="27">
        <f>MAX(HE75,PortfolioFrontier[[#This Row],[P53 Growth]])</f>
        <v>1.7471238825308339</v>
      </c>
      <c r="HF76" s="27">
        <f>PortfolioFrontier[[#This Row],[P53 Growth]]/PortfolioFrontier[[#This Row],[P53 HWM]]-1</f>
        <v>-7.2465663652294454E-2</v>
      </c>
      <c r="HG76" s="28">
        <f>SUMPRODUCT(INDEX(PortfolioRef[[SPY]:[PE]],MATCH(HG$1,PortfolioRef[Reference '#]),0),AssetMonthlyReturns[[#This Row],[SPY]:[PE]])</f>
        <v>-7.7653333389390723E-3</v>
      </c>
      <c r="HH76" s="27">
        <f>IF(ISNUMBER(HH75),HH75*(1+PortfolioFrontier[[#This Row],[P54 Return]]),1+PortfolioFrontier[[#This Row],[P54 Return]])</f>
        <v>1.603189576920069</v>
      </c>
      <c r="HI76" s="27">
        <f>MAX(HI75,PortfolioFrontier[[#This Row],[P54 Growth]])</f>
        <v>1.7139140104060526</v>
      </c>
      <c r="HJ76" s="27">
        <f>PortfolioFrontier[[#This Row],[P54 Growth]]/PortfolioFrontier[[#This Row],[P54 HWM]]-1</f>
        <v>-6.4603260615012537E-2</v>
      </c>
      <c r="HK76" s="28">
        <f>SUMPRODUCT(INDEX(PortfolioRef[[SPY]:[PE]],MATCH(HK$1,PortfolioRef[Reference '#]),0),AssetMonthlyReturns[[#This Row],[SPY]:[PE]])</f>
        <v>-1.3936773198242075E-2</v>
      </c>
      <c r="HL76" s="27">
        <f>IF(ISNUMBER(HL75),HL75*(1+PortfolioFrontier[[#This Row],[P55 Return]]),1+PortfolioFrontier[[#This Row],[P55 Return]])</f>
        <v>1.643710454577294</v>
      </c>
      <c r="HM76" s="27">
        <f>MAX(HM75,PortfolioFrontier[[#This Row],[P55 Growth]])</f>
        <v>1.8002459621778737</v>
      </c>
      <c r="HN76" s="27">
        <f>PortfolioFrontier[[#This Row],[P55 Growth]]/PortfolioFrontier[[#This Row],[P55 HWM]]-1</f>
        <v>-8.6952289236748803E-2</v>
      </c>
      <c r="HO76" s="28">
        <f>SUMPRODUCT(INDEX(PortfolioRef[[SPY]:[PE]],MATCH(HO$1,PortfolioRef[Reference '#]),0),AssetMonthlyReturns[[#This Row],[SPY]:[PE]])</f>
        <v>-1.1207019591604132E-2</v>
      </c>
      <c r="HP76" s="27">
        <f>IF(ISNUMBER(HP75),HP75*(1+PortfolioFrontier[[#This Row],[P56 Return]]),1+PortfolioFrontier[[#This Row],[P56 Return]])</f>
        <v>1.6275755769352973</v>
      </c>
      <c r="HQ76" s="27">
        <f>MAX(HQ75,PortfolioFrontier[[#This Row],[P56 Growth]])</f>
        <v>1.767380839986993</v>
      </c>
      <c r="HR76" s="27">
        <f>PortfolioFrontier[[#This Row],[P56 Growth]]/PortfolioFrontier[[#This Row],[P56 HWM]]-1</f>
        <v>-7.9103077213807826E-2</v>
      </c>
      <c r="HS76" s="28">
        <f>SUMPRODUCT(INDEX(PortfolioRef[[SPY]:[PE]],MATCH(HS$1,PortfolioRef[Reference '#]),0),AssetMonthlyReturns[[#This Row],[SPY]:[PE]])</f>
        <v>-8.4772659849661914E-3</v>
      </c>
      <c r="HT76" s="27">
        <f>IF(ISNUMBER(HT75),HT75*(1+PortfolioFrontier[[#This Row],[P57 Return]]),1+PortfolioFrontier[[#This Row],[P57 Return]])</f>
        <v>1.6107765460993471</v>
      </c>
      <c r="HU76" s="27">
        <f>MAX(HU75,PortfolioFrontier[[#This Row],[P57 Growth]])</f>
        <v>1.7343575628436463</v>
      </c>
      <c r="HV76" s="27">
        <f>PortfolioFrontier[[#This Row],[P57 Growth]]/PortfolioFrontier[[#This Row],[P57 HWM]]-1</f>
        <v>-7.1254635948123757E-2</v>
      </c>
      <c r="HW76" s="28">
        <f>SUMPRODUCT(INDEX(PortfolioRef[[SPY]:[PE]],MATCH(HW$1,PortfolioRef[Reference '#]),0),AssetMonthlyReturns[[#This Row],[SPY]:[PE]])</f>
        <v>-1.4648705844269194E-2</v>
      </c>
      <c r="HX76" s="27">
        <f>IF(ISNUMBER(HX75),HX75*(1+PortfolioFrontier[[#This Row],[P58 Return]]),1+PortfolioFrontier[[#This Row],[P58 Return]])</f>
        <v>1.6493072065063636</v>
      </c>
      <c r="HY76" s="27">
        <f>MAX(HY75,PortfolioFrontier[[#This Row],[P58 Growth]])</f>
        <v>1.8195487359549802</v>
      </c>
      <c r="HZ76" s="27">
        <f>PortfolioFrontier[[#This Row],[P58 Growth]]/PortfolioFrontier[[#This Row],[P58 HWM]]-1</f>
        <v>-9.3562500462108344E-2</v>
      </c>
      <c r="IA76" s="28">
        <f>SUMPRODUCT(INDEX(PortfolioRef[[SPY]:[PE]],MATCH(IA$1,PortfolioRef[Reference '#]),0),AssetMonthlyReturns[[#This Row],[SPY]:[PE]])</f>
        <v>-1.1918952237631252E-2</v>
      </c>
      <c r="IB76" s="27">
        <f>IF(ISNUMBER(IB75),IB75*(1+PortfolioFrontier[[#This Row],[P59 Return]]),1+PortfolioFrontier[[#This Row],[P59 Return]])</f>
        <v>1.6337381865198415</v>
      </c>
      <c r="IC76" s="27">
        <f>MAX(IC75,PortfolioFrontier[[#This Row],[P59 Growth]])</f>
        <v>1.7869282396294996</v>
      </c>
      <c r="ID76" s="27">
        <f>PortfolioFrontier[[#This Row],[P59 Growth]]/PortfolioFrontier[[#This Row],[P59 HWM]]-1</f>
        <v>-8.5728150527981217E-2</v>
      </c>
      <c r="IE76" s="28">
        <f>SUMPRODUCT(INDEX(PortfolioRef[[SPY]:[PE]],MATCH(IE$1,PortfolioRef[Reference '#]),0),AssetMonthlyReturns[[#This Row],[SPY]:[PE]])</f>
        <v>-9.1891986309933105E-3</v>
      </c>
      <c r="IF76" s="27">
        <f>IF(ISNUMBER(IF75),IF75*(1+PortfolioFrontier[[#This Row],[P60 Return]]),1+PortfolioFrontier[[#This Row],[P60 Return]])</f>
        <v>1.617486047604294</v>
      </c>
      <c r="IG76" s="27">
        <f>MAX(IG75,PortfolioFrontier[[#This Row],[P60 Growth]])</f>
        <v>1.7541215677111524</v>
      </c>
      <c r="IH76" s="27">
        <f>PortfolioFrontier[[#This Row],[P60 Growth]]/PortfolioFrontier[[#This Row],[P60 HWM]]-1</f>
        <v>-7.7893985583419867E-2</v>
      </c>
      <c r="II76" s="28">
        <f>SUMPRODUCT(INDEX(PortfolioRef[[SPY]:[PE]],MATCH(II$1,PortfolioRef[Reference '#]),0),AssetMonthlyReturns[[#This Row],[SPY]:[PE]])</f>
        <v>-3.5569581989213115E-3</v>
      </c>
      <c r="IJ76" s="27">
        <f>IF(ISNUMBER(IJ75),IJ75*(1+PortfolioFrontier[[#This Row],[P61 Return]]),1+PortfolioFrontier[[#This Row],[P61 Return]])</f>
        <v>1.4792475860977947</v>
      </c>
      <c r="IK76" s="27">
        <f>MAX(IK75,PortfolioFrontier[[#This Row],[P61 Growth]])</f>
        <v>1.6121264956964798</v>
      </c>
      <c r="IL76" s="27">
        <f>PortfolioFrontier[[#This Row],[P61 Growth]]/PortfolioFrontier[[#This Row],[P61 HWM]]-1</f>
        <v>-8.2424617394107114E-2</v>
      </c>
      <c r="IM76" s="28">
        <f>SUMPRODUCT(INDEX(PortfolioRef[[SPY]:[PE]],MATCH(IM$1,PortfolioRef[Reference '#]),0),AssetMonthlyReturns[[#This Row],[SPY]:[PE]])</f>
        <v>-5.5546120238975484E-3</v>
      </c>
      <c r="IN76" s="27">
        <f>IF(ISNUMBER(IN75),IN75*(1+PortfolioFrontier[[#This Row],[P62 Return]]),1+PortfolioFrontier[[#This Row],[P62 Return]])</f>
        <v>1.5001840720396409</v>
      </c>
      <c r="IO76" s="27">
        <f>MAX(IO75,PortfolioFrontier[[#This Row],[P62 Growth]])</f>
        <v>1.6272630311124299</v>
      </c>
      <c r="IP76" s="27">
        <f>PortfolioFrontier[[#This Row],[P62 Growth]]/PortfolioFrontier[[#This Row],[P62 HWM]]-1</f>
        <v>-7.809368039653386E-2</v>
      </c>
      <c r="IQ76" s="28">
        <f>SUMPRODUCT(INDEX(PortfolioRef[[SPY]:[PE]],MATCH(IQ$1,PortfolioRef[Reference '#]),0),AssetMonthlyReturns[[#This Row],[SPY]:[PE]])</f>
        <v>-6.2665446699246676E-3</v>
      </c>
      <c r="IR76" s="27">
        <f>IF(ISNUMBER(IR75),IR75*(1+PortfolioFrontier[[#This Row],[P63 Return]]),1+PortfolioFrontier[[#This Row],[P63 Return]])</f>
        <v>1.507424440669354</v>
      </c>
      <c r="IS76" s="27">
        <f>MAX(IS75,PortfolioFrontier[[#This Row],[P63 Growth]])</f>
        <v>1.646884909102555</v>
      </c>
      <c r="IT76" s="27">
        <f>PortfolioFrontier[[#This Row],[P63 Growth]]/PortfolioFrontier[[#This Row],[P63 HWM]]-1</f>
        <v>-8.4681368845135552E-2</v>
      </c>
      <c r="IU76" s="28">
        <f>SUMPRODUCT(INDEX(PortfolioRef[[SPY]:[PE]],MATCH(IU$1,PortfolioRef[Reference '#]),0),AssetMonthlyReturns[[#This Row],[SPY]:[PE]])</f>
        <v>-3.5367910632867266E-3</v>
      </c>
      <c r="IV76" s="27">
        <f>IF(ISNUMBER(IV75),IV75*(1+PortfolioFrontier[[#This Row],[P64 Return]]),1+PortfolioFrontier[[#This Row],[P64 Return]])</f>
        <v>1.490928525089469</v>
      </c>
      <c r="IW76" s="27">
        <f>MAX(IW75,PortfolioFrontier[[#This Row],[P64 Growth]])</f>
        <v>1.6151793879801097</v>
      </c>
      <c r="IX76" s="27">
        <f>PortfolioFrontier[[#This Row],[P64 Growth]]/PortfolioFrontier[[#This Row],[P64 HWM]]-1</f>
        <v>-7.6926974065725795E-2</v>
      </c>
      <c r="IY76" s="28">
        <f>SUMPRODUCT(INDEX(PortfolioRef[[SPY]:[PE]],MATCH(IY$1,PortfolioRef[Reference '#]),0),AssetMonthlyReturns[[#This Row],[SPY]:[PE]])</f>
        <v>-7.5522658488737853E-3</v>
      </c>
      <c r="IZ76" s="27">
        <f>IF(ISNUMBER(IZ75),IZ75*(1+PortfolioFrontier[[#This Row],[P65 Return]]),1+PortfolioFrontier[[#This Row],[P65 Return]])</f>
        <v>1.5210796264265496</v>
      </c>
      <c r="JA76" s="27">
        <f>MAX(JA75,PortfolioFrontier[[#This Row],[P65 Growth]])</f>
        <v>1.6422150953060746</v>
      </c>
      <c r="JB76" s="27">
        <f>PortfolioFrontier[[#This Row],[P65 Growth]]/PortfolioFrontier[[#This Row],[P65 HWM]]-1</f>
        <v>-7.3763460843689233E-2</v>
      </c>
      <c r="JC76" s="28">
        <f>SUMPRODUCT(INDEX(PortfolioRef[[SPY]:[PE]],MATCH(JC$1,PortfolioRef[Reference '#]),0),AssetMonthlyReturns[[#This Row],[SPY]:[PE]])</f>
        <v>-8.2641984949009054E-3</v>
      </c>
      <c r="JD76" s="27">
        <f>IF(ISNUMBER(JD75),JD75*(1+PortfolioFrontier[[#This Row],[P66 Return]]),1+PortfolioFrontier[[#This Row],[P66 Return]])</f>
        <v>1.5287077105987963</v>
      </c>
      <c r="JE76" s="27">
        <f>MAX(JE75,PortfolioFrontier[[#This Row],[P66 Growth]])</f>
        <v>1.6623077877531292</v>
      </c>
      <c r="JF76" s="27">
        <f>PortfolioFrontier[[#This Row],[P66 Growth]]/PortfolioFrontier[[#This Row],[P66 HWM]]-1</f>
        <v>-8.0370240781290181E-2</v>
      </c>
      <c r="JG76" s="28">
        <f>SUMPRODUCT(INDEX(PortfolioRef[[SPY]:[PE]],MATCH(JG$1,PortfolioRef[Reference '#]),0),AssetMonthlyReturns[[#This Row],[SPY]:[PE]])</f>
        <v>-5.5344448882629635E-3</v>
      </c>
      <c r="JH76" s="27">
        <f>IF(ISNUMBER(JH75),JH75*(1+PortfolioFrontier[[#This Row],[P67 Return]]),1+PortfolioFrontier[[#This Row],[P67 Return]])</f>
        <v>1.5120370270191839</v>
      </c>
      <c r="JI76" s="27">
        <f>MAX(JI75,PortfolioFrontier[[#This Row],[P67 Growth]])</f>
        <v>1.6303687537292939</v>
      </c>
      <c r="JJ76" s="27">
        <f>PortfolioFrontier[[#This Row],[P67 Growth]]/PortfolioFrontier[[#This Row],[P67 HWM]]-1</f>
        <v>-7.2579731695322836E-2</v>
      </c>
      <c r="JK76" s="28">
        <f>SUMPRODUCT(INDEX(PortfolioRef[[SPY]:[PE]],MATCH(JK$1,PortfolioRef[Reference '#]),0),AssetMonthlyReturns[[#This Row],[SPY]:[PE]])</f>
        <v>-8.9761311409280245E-3</v>
      </c>
      <c r="JL76" s="27">
        <f>IF(ISNUMBER(JL75),JL75*(1+PortfolioFrontier[[#This Row],[P68 Return]]),1+PortfolioFrontier[[#This Row],[P68 Return]])</f>
        <v>1.5355077594542623</v>
      </c>
      <c r="JM76" s="27">
        <f>MAX(JM75,PortfolioFrontier[[#This Row],[P68 Growth]])</f>
        <v>1.6817622542850994</v>
      </c>
      <c r="JN76" s="27">
        <f>PortfolioFrontier[[#This Row],[P68 Growth]]/PortfolioFrontier[[#This Row],[P68 HWM]]-1</f>
        <v>-8.6965024014650893E-2</v>
      </c>
      <c r="JO76" s="28">
        <f>SUMPRODUCT(INDEX(PortfolioRef[[SPY]:[PE]],MATCH(JO$1,PortfolioRef[Reference '#]),0),AssetMonthlyReturns[[#This Row],[SPY]:[PE]])</f>
        <v>-6.2463775342900827E-3</v>
      </c>
      <c r="JP76" s="27">
        <f>IF(ISNUMBER(JP75),JP75*(1+PortfolioFrontier[[#This Row],[P69 Return]]),1+PortfolioFrontier[[#This Row],[P69 Return]])</f>
        <v>1.5193313892691662</v>
      </c>
      <c r="JQ76" s="27">
        <f>MAX(JQ75,PortfolioFrontier[[#This Row],[P69 Growth]])</f>
        <v>1.6499912107010917</v>
      </c>
      <c r="JR76" s="27">
        <f>PortfolioFrontier[[#This Row],[P69 Growth]]/PortfolioFrontier[[#This Row],[P69 HWM]]-1</f>
        <v>-7.9188192388253587E-2</v>
      </c>
      <c r="JS76" s="28">
        <f>SUMPRODUCT(INDEX(PortfolioRef[[SPY]:[PE]],MATCH(JS$1,PortfolioRef[Reference '#]),0),AssetMonthlyReturns[[#This Row],[SPY]:[PE]])</f>
        <v>-3.5166239276521408E-3</v>
      </c>
      <c r="JT76" s="27">
        <f>IF(ISNUMBER(JT75),JT75*(1+PortfolioFrontier[[#This Row],[P70 Return]]),1+PortfolioFrontier[[#This Row],[P70 Return]])</f>
        <v>1.5025622522246518</v>
      </c>
      <c r="JU76" s="27">
        <f>MAX(JU75,PortfolioFrontier[[#This Row],[P70 Growth]])</f>
        <v>1.6181178918603722</v>
      </c>
      <c r="JV76" s="27">
        <f>PortfolioFrontier[[#This Row],[P70 Growth]]/PortfolioFrontier[[#This Row],[P70 HWM]]-1</f>
        <v>-7.1413609735731076E-2</v>
      </c>
      <c r="JW76" s="28">
        <f>SUMPRODUCT(INDEX(PortfolioRef[[SPY]:[PE]],MATCH(JW$1,PortfolioRef[Reference '#]),0),AssetMonthlyReturns[[#This Row],[SPY]:[PE]])</f>
        <v>-1.0261852319877141E-2</v>
      </c>
      <c r="JX76" s="27">
        <f>IF(ISNUMBER(JX75),JX75*(1+PortfolioFrontier[[#This Row],[P71 Return]]),1+PortfolioFrontier[[#This Row],[P71 Return]])</f>
        <v>1.5499483477868987</v>
      </c>
      <c r="JY76" s="27">
        <f>MAX(JY75,PortfolioFrontier[[#This Row],[P71 Growth]])</f>
        <v>1.6775420819631024</v>
      </c>
      <c r="JZ76" s="27">
        <f>PortfolioFrontier[[#This Row],[P71 Growth]]/PortfolioFrontier[[#This Row],[P71 HWM]]-1</f>
        <v>-7.6059930506715112E-2</v>
      </c>
      <c r="KA76" s="28">
        <f>SUMPRODUCT(INDEX(PortfolioRef[[SPY]:[PE]],MATCH(KA$1,PortfolioRef[Reference '#]),0),AssetMonthlyReturns[[#This Row],[SPY]:[PE]])</f>
        <v>-7.5320987132391987E-3</v>
      </c>
      <c r="KB76" s="27">
        <f>IF(ISNUMBER(KB75),KB75*(1+PortfolioFrontier[[#This Row],[P72 Return]]),1+PortfolioFrontier[[#This Row],[P72 Return]])</f>
        <v>1.5331047045602768</v>
      </c>
      <c r="KC76" s="27">
        <f>MAX(KC75,PortfolioFrontier[[#This Row],[P72 Growth]])</f>
        <v>1.6453738946019467</v>
      </c>
      <c r="KD76" s="27">
        <f>PortfolioFrontier[[#This Row],[P72 Growth]]/PortfolioFrontier[[#This Row],[P72 HWM]]-1</f>
        <v>-6.8233238906972193E-2</v>
      </c>
      <c r="KE76" s="28">
        <f>SUMPRODUCT(INDEX(PortfolioRef[[SPY]:[PE]],MATCH(KE$1,PortfolioRef[Reference '#]),0),AssetMonthlyReturns[[#This Row],[SPY]:[PE]])</f>
        <v>-1.097378496590426E-2</v>
      </c>
      <c r="KF76" s="27">
        <f>IF(ISNUMBER(KF75),KF75*(1+PortfolioFrontier[[#This Row],[P73 Return]]),1+PortfolioFrontier[[#This Row],[P73 Return]])</f>
        <v>1.5571349365156824</v>
      </c>
      <c r="KG76" s="27">
        <f>MAX(KG75,PortfolioFrontier[[#This Row],[P73 Growth]])</f>
        <v>1.6974712283523181</v>
      </c>
      <c r="KH76" s="27">
        <f>PortfolioFrontier[[#This Row],[P73 Growth]]/PortfolioFrontier[[#This Row],[P73 HWM]]-1</f>
        <v>-8.2673738142151509E-2</v>
      </c>
      <c r="KI76" s="28">
        <f>SUMPRODUCT(INDEX(PortfolioRef[[SPY]:[PE]],MATCH(KI$1,PortfolioRef[Reference '#]),0),AssetMonthlyReturns[[#This Row],[SPY]:[PE]])</f>
        <v>-8.244031359266317E-3</v>
      </c>
      <c r="KJ76" s="27">
        <f>IF(ISNUMBER(KJ75),KJ75*(1+PortfolioFrontier[[#This Row],[P74 Return]]),1+PortfolioFrontier[[#This Row],[P74 Return]])</f>
        <v>1.540789559490888</v>
      </c>
      <c r="KK76" s="27">
        <f>MAX(KK75,PortfolioFrontier[[#This Row],[P74 Growth]])</f>
        <v>1.6654678920548054</v>
      </c>
      <c r="KL76" s="27">
        <f>PortfolioFrontier[[#This Row],[P74 Growth]]/PortfolioFrontier[[#This Row],[P74 HWM]]-1</f>
        <v>-7.4860844306096408E-2</v>
      </c>
      <c r="KM76" s="28">
        <f>SUMPRODUCT(INDEX(PortfolioRef[[SPY]:[PE]],MATCH(KM$1,PortfolioRef[Reference '#]),0),AssetMonthlyReturns[[#This Row],[SPY]:[PE]])</f>
        <v>-5.5142777526283769E-3</v>
      </c>
      <c r="KN76" s="27">
        <f>IF(ISNUMBER(KN75),KN75*(1+PortfolioFrontier[[#This Row],[P75 Return]]),1+PortfolioFrontier[[#This Row],[P75 Return]])</f>
        <v>1.5238423412095401</v>
      </c>
      <c r="KO76" s="27">
        <f>MAX(KO75,PortfolioFrontier[[#This Row],[P75 Growth]])</f>
        <v>1.6333591346427441</v>
      </c>
      <c r="KP76" s="27">
        <f>PortfolioFrontier[[#This Row],[P75 Growth]]/PortfolioFrontier[[#This Row],[P75 HWM]]-1</f>
        <v>-6.7050038849636118E-2</v>
      </c>
      <c r="KQ76" s="28">
        <f>SUMPRODUCT(INDEX(PortfolioRef[[SPY]:[PE]],MATCH(KQ$1,PortfolioRef[Reference '#]),0),AssetMonthlyReturns[[#This Row],[SPY]:[PE]])</f>
        <v>-1.1685717611931379E-2</v>
      </c>
      <c r="KR76" s="27">
        <f>IF(ISNUMBER(KR75),KR75*(1+PortfolioFrontier[[#This Row],[P76 Return]]),1+PortfolioFrontier[[#This Row],[P76 Return]])</f>
        <v>1.5634696853284422</v>
      </c>
      <c r="KS76" s="27">
        <f>MAX(KS75,PortfolioFrontier[[#This Row],[P76 Growth]])</f>
        <v>1.7167314071133803</v>
      </c>
      <c r="KT76" s="27">
        <f>PortfolioFrontier[[#This Row],[P76 Growth]]/PortfolioFrontier[[#This Row],[P76 HWM]]-1</f>
        <v>-8.9275306055384585E-2</v>
      </c>
      <c r="KU76" s="28">
        <f>SUMPRODUCT(INDEX(PortfolioRef[[SPY]:[PE]],MATCH(KU$1,PortfolioRef[Reference '#]),0),AssetMonthlyReturns[[#This Row],[SPY]:[PE]])</f>
        <v>-8.9559640052934361E-3</v>
      </c>
      <c r="KV76" s="27">
        <f>IF(ISNUMBER(KV75),KV75*(1+PortfolioFrontier[[#This Row],[P77 Return]]),1+PortfolioFrontier[[#This Row],[P77 Return]])</f>
        <v>1.5476402037541666</v>
      </c>
      <c r="KW76" s="27">
        <f>MAX(KW75,PortfolioFrontier[[#This Row],[P77 Growth]])</f>
        <v>1.6849217747429484</v>
      </c>
      <c r="KX76" s="27">
        <f>PortfolioFrontier[[#This Row],[P77 Growth]]/PortfolioFrontier[[#This Row],[P77 HWM]]-1</f>
        <v>-8.1476524932277972E-2</v>
      </c>
      <c r="KY76" s="28">
        <f>SUMPRODUCT(INDEX(PortfolioRef[[SPY]:[PE]],MATCH(KY$1,PortfolioRef[Reference '#]),0),AssetMonthlyReturns[[#This Row],[SPY]:[PE]])</f>
        <v>-6.226210398655496E-3</v>
      </c>
      <c r="KZ76" s="27">
        <f>IF(ISNUMBER(KZ75),KZ75*(1+PortfolioFrontier[[#This Row],[P78 Return]]),1+PortfolioFrontier[[#This Row],[P78 Return]])</f>
        <v>1.5311902248739924</v>
      </c>
      <c r="LA76" s="27">
        <f>MAX(LA75,PortfolioFrontier[[#This Row],[P78 Growth]])</f>
        <v>1.6529805725839544</v>
      </c>
      <c r="LB76" s="27">
        <f>PortfolioFrontier[[#This Row],[P78 Growth]]/PortfolioFrontier[[#This Row],[P78 HWM]]-1</f>
        <v>-7.3679237209411497E-2</v>
      </c>
      <c r="LC76" s="28">
        <f>SUMPRODUCT(INDEX(PortfolioRef[[SPY]:[PE]],MATCH(LC$1,PortfolioRef[Reference '#]),0),AssetMonthlyReturns[[#This Row],[SPY]:[PE]])</f>
        <v>-1.2971438790880497E-2</v>
      </c>
      <c r="LD76" s="27">
        <f>IF(ISNUMBER(LD75),LD75*(1+PortfolioFrontier[[#This Row],[P79 Return]]),1+PortfolioFrontier[[#This Row],[P79 Return]])</f>
        <v>1.5787177543186846</v>
      </c>
      <c r="LE76" s="27">
        <f>MAX(LE75,PortfolioFrontier[[#This Row],[P79 Growth]])</f>
        <v>1.7129874860839263</v>
      </c>
      <c r="LF76" s="27">
        <f>PortfolioFrontier[[#This Row],[P79 Growth]]/PortfolioFrontier[[#This Row],[P79 HWM]]-1</f>
        <v>-7.8383369905519085E-2</v>
      </c>
      <c r="LG76" s="28">
        <f>SUMPRODUCT(INDEX(PortfolioRef[[SPY]:[PE]],MATCH(LG$1,PortfolioRef[Reference '#]),0),AssetMonthlyReturns[[#This Row],[SPY]:[PE]])</f>
        <v>-1.0241685184242554E-2</v>
      </c>
      <c r="LH76" s="27">
        <f>IF(ISNUMBER(LH75),LH75*(1+PortfolioFrontier[[#This Row],[P80 Return]]),1+PortfolioFrontier[[#This Row],[P80 Return]])</f>
        <v>1.5622051974486035</v>
      </c>
      <c r="LI76" s="27">
        <f>MAX(LI75,PortfolioFrontier[[#This Row],[P80 Growth]])</f>
        <v>1.6807562405101484</v>
      </c>
      <c r="LJ76" s="27">
        <f>PortfolioFrontier[[#This Row],[P80 Growth]]/PortfolioFrontier[[#This Row],[P80 HWM]]-1</f>
        <v>-7.0534346506761714E-2</v>
      </c>
      <c r="LK76" s="28">
        <f>SUMPRODUCT(INDEX(PortfolioRef[[SPY]:[PE]],MATCH(LK$1,PortfolioRef[Reference '#]),0),AssetMonthlyReturns[[#This Row],[SPY]:[PE]])</f>
        <v>-7.5119315776046129E-3</v>
      </c>
      <c r="LL76" s="27">
        <f>IF(ISNUMBER(LL75),LL75*(1+PortfolioFrontier[[#This Row],[P81 Return]]),1+PortfolioFrontier[[#This Row],[P81 Return]])</f>
        <v>1.5450817220343971</v>
      </c>
      <c r="LM76" s="27">
        <f>MAX(LM75,PortfolioFrontier[[#This Row],[P81 Growth]])</f>
        <v>1.648416413491208</v>
      </c>
      <c r="LN76" s="27">
        <f>PortfolioFrontier[[#This Row],[P81 Growth]]/PortfolioFrontier[[#This Row],[P81 HWM]]-1</f>
        <v>-6.2687249781720356E-2</v>
      </c>
      <c r="LO76" s="28">
        <f>SUMPRODUCT(INDEX(PortfolioRef[[SPY]:[PE]],MATCH(LO$1,PortfolioRef[Reference '#]),0),AssetMonthlyReturns[[#This Row],[SPY]:[PE]])</f>
        <v>-1.3683371436907616E-2</v>
      </c>
      <c r="LP76" s="27">
        <f>IF(ISNUMBER(LP75),LP75*(1+PortfolioFrontier[[#This Row],[P82 Return]]),1+PortfolioFrontier[[#This Row],[P82 Return]])</f>
        <v>1.5854375300516363</v>
      </c>
      <c r="LQ76" s="27">
        <f>MAX(LQ75,PortfolioFrontier[[#This Row],[P82 Growth]])</f>
        <v>1.7327259878391794</v>
      </c>
      <c r="LR76" s="27">
        <f>PortfolioFrontier[[#This Row],[P82 Growth]]/PortfolioFrontier[[#This Row],[P82 HWM]]-1</f>
        <v>-8.5003894915445466E-2</v>
      </c>
      <c r="LS76" s="28">
        <f>SUMPRODUCT(INDEX(PortfolioRef[[SPY]:[PE]],MATCH(LS$1,PortfolioRef[Reference '#]),0),AssetMonthlyReturns[[#This Row],[SPY]:[PE]])</f>
        <v>-1.0953617830269673E-2</v>
      </c>
      <c r="LT76" s="27">
        <f>IF(ISNUMBER(LT75),LT75*(1+PortfolioFrontier[[#This Row],[P83 Return]]),1+PortfolioFrontier[[#This Row],[P83 Return]])</f>
        <v>1.5694451449759514</v>
      </c>
      <c r="LU76" s="27">
        <f>MAX(LU75,PortfolioFrontier[[#This Row],[P83 Growth]])</f>
        <v>1.7006855237848306</v>
      </c>
      <c r="LV76" s="27">
        <f>PortfolioFrontier[[#This Row],[P83 Growth]]/PortfolioFrontier[[#This Row],[P83 HWM]]-1</f>
        <v>-7.7169104442546876E-2</v>
      </c>
      <c r="LW76" s="28">
        <f>SUMPRODUCT(INDEX(PortfolioRef[[SPY]:[PE]],MATCH(LW$1,PortfolioRef[Reference '#]),0),AssetMonthlyReturns[[#This Row],[SPY]:[PE]])</f>
        <v>-8.2238642236317321E-3</v>
      </c>
      <c r="LX76" s="27">
        <f>IF(ISNUMBER(LX75),LX75*(1+PortfolioFrontier[[#This Row],[P84 Return]]),1+PortfolioFrontier[[#This Row],[P84 Return]])</f>
        <v>1.5528228591436304</v>
      </c>
      <c r="LY76" s="27">
        <f>MAX(LY75,PortfolioFrontier[[#This Row],[P84 Growth]])</f>
        <v>1.6685100840279028</v>
      </c>
      <c r="LZ76" s="27">
        <f>PortfolioFrontier[[#This Row],[P84 Growth]]/PortfolioFrontier[[#This Row],[P84 HWM]]-1</f>
        <v>-6.9335646210177626E-2</v>
      </c>
      <c r="MA76" s="28">
        <f>SUMPRODUCT(INDEX(PortfolioRef[[SPY]:[PE]],MATCH(MA$1,PortfolioRef[Reference '#]),0),AssetMonthlyReturns[[#This Row],[SPY]:[PE]])</f>
        <v>-1.4395304082934735E-2</v>
      </c>
      <c r="MB76" s="27">
        <f>IF(ISNUMBER(MB75),MB75*(1+PortfolioFrontier[[#This Row],[P85 Return]]),1+PortfolioFrontier[[#This Row],[P85 Return]])</f>
        <v>1.5912816807658017</v>
      </c>
      <c r="MC76" s="27">
        <f>MAX(MC75,PortfolioFrontier[[#This Row],[P85 Growth]])</f>
        <v>1.7517641950154219</v>
      </c>
      <c r="MD76" s="27">
        <f>PortfolioFrontier[[#This Row],[P85 Growth]]/PortfolioFrontier[[#This Row],[P85 HWM]]-1</f>
        <v>-9.1611938813606963E-2</v>
      </c>
      <c r="ME76" s="28">
        <f>SUMPRODUCT(INDEX(PortfolioRef[[SPY]:[PE]],MATCH(ME$1,PortfolioRef[Reference '#]),0),AssetMonthlyReturns[[#This Row],[SPY]:[PE]])</f>
        <v>-1.1665550476296792E-2</v>
      </c>
      <c r="MF76" s="27">
        <f>IF(ISNUMBER(MF75),MF75*(1+PortfolioFrontier[[#This Row],[P86 Return]]),1+PortfolioFrontier[[#This Row],[P86 Return]])</f>
        <v>1.5758269022641709</v>
      </c>
      <c r="MG76" s="27">
        <f>MAX(MG75,PortfolioFrontier[[#This Row],[P86 Growth]])</f>
        <v>1.7199439154573082</v>
      </c>
      <c r="MH76" s="27">
        <f>PortfolioFrontier[[#This Row],[P86 Growth]]/PortfolioFrontier[[#This Row],[P86 HWM]]-1</f>
        <v>-8.3791693379035914E-2</v>
      </c>
      <c r="MI76" s="28">
        <f>SUMPRODUCT(INDEX(PortfolioRef[[SPY]:[PE]],MATCH(MI$1,PortfolioRef[Reference '#]),0),AssetMonthlyReturns[[#This Row],[SPY]:[PE]])</f>
        <v>-8.9357968696588512E-3</v>
      </c>
      <c r="MJ76" s="27">
        <f>IF(ISNUMBER(MJ75),MJ75*(1+PortfolioFrontier[[#This Row],[P87 Return]]),1+PortfolioFrontier[[#This Row],[P87 Return]])</f>
        <v>1.5597236329917274</v>
      </c>
      <c r="MK76" s="27">
        <f>MAX(MK75,PortfolioFrontier[[#This Row],[P87 Growth]])</f>
        <v>1.6879617873128629</v>
      </c>
      <c r="ML76" s="27">
        <f>PortfolioFrontier[[#This Row],[P87 Growth]]/PortfolioFrontier[[#This Row],[P87 HWM]]-1</f>
        <v>-7.5972190416279006E-2</v>
      </c>
      <c r="MM76" s="28">
        <f>SUMPRODUCT(INDEX(PortfolioRef[[SPY]:[PE]],MATCH(MM$1,PortfolioRef[Reference '#]),0),AssetMonthlyReturns[[#This Row],[SPY]:[PE]])</f>
        <v>-1.5681025261883853E-2</v>
      </c>
      <c r="MN76" s="27">
        <f>IF(ISNUMBER(MN75),MN75*(1+PortfolioFrontier[[#This Row],[P88 Return]]),1+PortfolioFrontier[[#This Row],[P88 Return]])</f>
        <v>1.6073592649351209</v>
      </c>
      <c r="MO76" s="27">
        <f>MAX(MO75,PortfolioFrontier[[#This Row],[P88 Growth]])</f>
        <v>1.7485237047822844</v>
      </c>
      <c r="MP76" s="27">
        <f>PortfolioFrontier[[#This Row],[P88 Growth]]/PortfolioFrontier[[#This Row],[P88 HWM]]-1</f>
        <v>-8.0733500758996213E-2</v>
      </c>
      <c r="MQ76" s="28">
        <f>SUMPRODUCT(INDEX(PortfolioRef[[SPY]:[PE]],MATCH(MQ$1,PortfolioRef[Reference '#]),0),AssetMonthlyReturns[[#This Row],[SPY]:[PE]])</f>
        <v>-1.295127165524591E-2</v>
      </c>
      <c r="MR76" s="27">
        <f>IF(ISNUMBER(MR75),MR75*(1+PortfolioFrontier[[#This Row],[P89 Return]]),1+PortfolioFrontier[[#This Row],[P89 Return]])</f>
        <v>1.5912058204672836</v>
      </c>
      <c r="MS76" s="27">
        <f>MAX(MS75,PortfolioFrontier[[#This Row],[P89 Growth]])</f>
        <v>1.7162568132506029</v>
      </c>
      <c r="MT76" s="27">
        <f>PortfolioFrontier[[#This Row],[P89 Growth]]/PortfolioFrontier[[#This Row],[P89 HWM]]-1</f>
        <v>-7.286263443666785E-2</v>
      </c>
      <c r="MU76" s="28">
        <f>SUMPRODUCT(INDEX(PortfolioRef[[SPY]:[PE]],MATCH(MU$1,PortfolioRef[Reference '#]),0),AssetMonthlyReturns[[#This Row],[SPY]:[PE]])</f>
        <v>-1.0221518048607969E-2</v>
      </c>
      <c r="MV76" s="27">
        <f>IF(ISNUMBER(MV75),MV75*(1+PortfolioFrontier[[#This Row],[P90 Return]]),1+PortfolioFrontier[[#This Row],[P90 Return]])</f>
        <v>1.5744130708538231</v>
      </c>
      <c r="MW76" s="27">
        <f>MAX(MW75,PortfolioFrontier[[#This Row],[P90 Growth]])</f>
        <v>1.6838515290273213</v>
      </c>
      <c r="MX76" s="27">
        <f>PortfolioFrontier[[#This Row],[P90 Growth]]/PortfolioFrontier[[#This Row],[P90 HWM]]-1</f>
        <v>-6.4992938086836816E-2</v>
      </c>
      <c r="MY76" s="28">
        <f>SUMPRODUCT(INDEX(PortfolioRef[[SPY]:[PE]],MATCH(MY$1,PortfolioRef[Reference '#]),0),AssetMonthlyReturns[[#This Row],[SPY]:[PE]])</f>
        <v>-1.6392957907910972E-2</v>
      </c>
      <c r="MZ76" s="27">
        <f>IF(ISNUMBER(MZ75),MZ75*(1+PortfolioFrontier[[#This Row],[P91 Return]]),1+PortfolioFrontier[[#This Row],[P91 Return]])</f>
        <v>1.6135865852097491</v>
      </c>
      <c r="NA76" s="27">
        <f>MAX(NA75,PortfolioFrontier[[#This Row],[P91 Growth]])</f>
        <v>1.7680436458517257</v>
      </c>
      <c r="NB76" s="27">
        <f>PortfolioFrontier[[#This Row],[P91 Growth]]/PortfolioFrontier[[#This Row],[P91 HWM]]-1</f>
        <v>-8.7360434231570916E-2</v>
      </c>
      <c r="NC76" s="28">
        <f>SUMPRODUCT(INDEX(PortfolioRef[[SPY]:[PE]],MATCH(NC$1,PortfolioRef[Reference '#]),0),AssetMonthlyReturns[[#This Row],[SPY]:[PE]])</f>
        <v>-1.3663204301273029E-2</v>
      </c>
      <c r="ND76" s="27">
        <f>IF(ISNUMBER(ND75),ND75*(1+PortfolioFrontier[[#This Row],[P92 Return]]),1+PortfolioFrontier[[#This Row],[P92 Return]])</f>
        <v>1.5979753517854114</v>
      </c>
      <c r="NE76" s="27">
        <f>MAX(NE75,PortfolioFrontier[[#This Row],[P92 Growth]])</f>
        <v>1.73599424265744</v>
      </c>
      <c r="NF76" s="27">
        <f>PortfolioFrontier[[#This Row],[P92 Growth]]/PortfolioFrontier[[#This Row],[P92 HWM]]-1</f>
        <v>-7.9504233067473118E-2</v>
      </c>
      <c r="NG76" s="28">
        <f>SUMPRODUCT(INDEX(PortfolioRef[[SPY]:[PE]],MATCH(NG$1,PortfolioRef[Reference '#]),0),AssetMonthlyReturns[[#This Row],[SPY]:[PE]])</f>
        <v>-1.0933450694635088E-2</v>
      </c>
      <c r="NH76" s="27">
        <f>IF(ISNUMBER(NH75),NH75*(1+PortfolioFrontier[[#This Row],[P93 Return]]),1+PortfolioFrontier[[#This Row],[P93 Return]])</f>
        <v>1.5817058948392857</v>
      </c>
      <c r="NI76" s="27">
        <f>MAX(NI75,PortfolioFrontier[[#This Row],[P93 Growth]])</f>
        <v>1.7037793193389816</v>
      </c>
      <c r="NJ76" s="27">
        <f>PortfolioFrontier[[#This Row],[P93 Growth]]/PortfolioFrontier[[#This Row],[P93 HWM]]-1</f>
        <v>-7.1648612654282573E-2</v>
      </c>
      <c r="NK76" s="28">
        <f>SUMPRODUCT(INDEX(PortfolioRef[[SPY]:[PE]],MATCH(NK$1,PortfolioRef[Reference '#]),0),AssetMonthlyReturns[[#This Row],[SPY]:[PE]])</f>
        <v>-1.7104890553938091E-2</v>
      </c>
      <c r="NL76" s="27">
        <f>IF(ISNUMBER(NL75),NL75*(1+PortfolioFrontier[[#This Row],[P94 Return]]),1+PortfolioFrontier[[#This Row],[P94 Return]])</f>
        <v>1.6189145477962368</v>
      </c>
      <c r="NM76" s="27">
        <f>MAX(NM75,PortfolioFrontier[[#This Row],[P94 Growth]])</f>
        <v>1.7868313973018393</v>
      </c>
      <c r="NN76" s="27">
        <f>PortfolioFrontier[[#This Row],[P94 Growth]]/PortfolioFrontier[[#This Row],[P94 HWM]]-1</f>
        <v>-9.397464682966794E-2</v>
      </c>
      <c r="NO76" s="28">
        <f>SUMPRODUCT(INDEX(PortfolioRef[[SPY]:[PE]],MATCH(NO$1,PortfolioRef[Reference '#]),0),AssetMonthlyReturns[[#This Row],[SPY]:[PE]])</f>
        <v>-1.4375136947300148E-2</v>
      </c>
      <c r="NP76" s="27">
        <f>IF(ISNUMBER(NP75),NP75*(1+PortfolioFrontier[[#This Row],[P95 Return]]),1+PortfolioFrontier[[#This Row],[P95 Return]])</f>
        <v>1.6038627332450155</v>
      </c>
      <c r="NQ76" s="27">
        <f>MAX(NQ75,PortfolioFrontier[[#This Row],[P95 Growth]])</f>
        <v>1.7550294195356591</v>
      </c>
      <c r="NR76" s="27">
        <f>PortfolioFrontier[[#This Row],[P95 Growth]]/PortfolioFrontier[[#This Row],[P95 HWM]]-1</f>
        <v>-8.6133420105652059E-2</v>
      </c>
      <c r="NS76" s="28">
        <f>SUMPRODUCT(INDEX(PortfolioRef[[SPY]:[PE]],MATCH(NS$1,PortfolioRef[Reference '#]),0),AssetMonthlyReturns[[#This Row],[SPY]:[PE]])</f>
        <v>-1.1645383340662207E-2</v>
      </c>
      <c r="NT76" s="27">
        <f>IF(ISNUMBER(NT75),NT75*(1+PortfolioFrontier[[#This Row],[P96 Return]]),1+PortfolioFrontier[[#This Row],[P96 Return]])</f>
        <v>1.588134201856384</v>
      </c>
      <c r="NU76" s="27">
        <f>MAX(NU75,PortfolioFrontier[[#This Row],[P96 Growth]])</f>
        <v>1.7230343324336159</v>
      </c>
      <c r="NV76" s="27">
        <f>PortfolioFrontier[[#This Row],[P96 Growth]]/PortfolioFrontier[[#This Row],[P96 HWM]]-1</f>
        <v>-7.8292189562293224E-2</v>
      </c>
      <c r="NW76" s="28">
        <f>SUMPRODUCT(INDEX(PortfolioRef[[SPY]:[PE]],MATCH(NW$1,PortfolioRef[Reference '#]),0),AssetMonthlyReturns[[#This Row],[SPY]:[PE]])</f>
        <v>-3.3035564375868522E-3</v>
      </c>
      <c r="NX76" s="27">
        <f>IF(ISNUMBER(NX75),NX75*(1+PortfolioFrontier[[#This Row],[P97 Return]]),1+PortfolioFrontier[[#This Row],[P97 Return]])</f>
        <v>1.4249940088689348</v>
      </c>
      <c r="NY76" s="27">
        <f>MAX(NY75,PortfolioFrontier[[#This Row],[P97 Growth]])</f>
        <v>1.5498139523617234</v>
      </c>
      <c r="NZ76" s="27">
        <f>PortfolioFrontier[[#This Row],[P97 Growth]]/PortfolioFrontier[[#This Row],[P97 HWM]]-1</f>
        <v>-8.0538662916654347E-2</v>
      </c>
      <c r="OA76" s="28">
        <f>SUMPRODUCT(INDEX(PortfolioRef[[SPY]:[PE]],MATCH(OA$1,PortfolioRef[Reference '#]),0),AssetMonthlyReturns[[#This Row],[SPY]:[PE]])</f>
        <v>-5.3012102625630882E-3</v>
      </c>
      <c r="OB76" s="27">
        <f>IF(ISNUMBER(OB75),OB75*(1+PortfolioFrontier[[#This Row],[P98 Return]]),1+PortfolioFrontier[[#This Row],[P98 Return]])</f>
        <v>1.4451891922224143</v>
      </c>
      <c r="OC76" s="27">
        <f>MAX(OC75,PortfolioFrontier[[#This Row],[P98 Growth]])</f>
        <v>1.5643918723292729</v>
      </c>
      <c r="OD76" s="27">
        <f>PortfolioFrontier[[#This Row],[P98 Growth]]/PortfolioFrontier[[#This Row],[P98 HWM]]-1</f>
        <v>-7.61974555194882E-2</v>
      </c>
      <c r="OE76" s="28">
        <f>SUMPRODUCT(INDEX(PortfolioRef[[SPY]:[PE]],MATCH(OE$1,PortfolioRef[Reference '#]),0),AssetMonthlyReturns[[#This Row],[SPY]:[PE]])</f>
        <v>-6.0131429085902074E-3</v>
      </c>
      <c r="OF76" s="27">
        <f>IF(ISNUMBER(OF75),OF75*(1+PortfolioFrontier[[#This Row],[P99 Return]]),1+PortfolioFrontier[[#This Row],[P99 Return]])</f>
        <v>1.4525636568908822</v>
      </c>
      <c r="OG76" s="27">
        <f>MAX(OG75,PortfolioFrontier[[#This Row],[P99 Growth]])</f>
        <v>1.5836627563813395</v>
      </c>
      <c r="OH76" s="27">
        <f>PortfolioFrontier[[#This Row],[P99 Growth]]/PortfolioFrontier[[#This Row],[P99 HWM]]-1</f>
        <v>-8.2782207867297397E-2</v>
      </c>
      <c r="OI76" s="28">
        <f>SUMPRODUCT(INDEX(PortfolioRef[[SPY]:[PE]],MATCH(OI$1,PortfolioRef[Reference '#]),0),AssetMonthlyReturns[[#This Row],[SPY]:[PE]])</f>
        <v>-3.2833893019522664E-3</v>
      </c>
      <c r="OJ76" s="27">
        <f>IF(ISNUMBER(OJ75),OJ75*(1+PortfolioFrontier[[#This Row],[P100 Return]]),1+PortfolioFrontier[[#This Row],[P100 Return]])</f>
        <v>1.436278617555004</v>
      </c>
      <c r="OK76" s="27">
        <f>MAX(OK75,PortfolioFrontier[[#This Row],[P100 Growth]])</f>
        <v>1.5528062347399851</v>
      </c>
      <c r="OL76" s="27">
        <f>PortfolioFrontier[[#This Row],[P100 Growth]]/PortfolioFrontier[[#This Row],[P100 HWM]]-1</f>
        <v>-7.5043244017173549E-2</v>
      </c>
      <c r="OM76" s="28">
        <f>SUMPRODUCT(INDEX(PortfolioRef[[SPY]:[PE]],MATCH(OM$1,PortfolioRef[Reference '#]),0),AssetMonthlyReturns[[#This Row],[SPY]:[PE]])</f>
        <v>-7.2988640875393243E-3</v>
      </c>
      <c r="ON76" s="27">
        <f>IF(ISNUMBER(ON75),ON75*(1+PortfolioFrontier[[#This Row],[P101 Return]]),1+PortfolioFrontier[[#This Row],[P101 Return]])</f>
        <v>1.4653449886218537</v>
      </c>
      <c r="OO76" s="27">
        <f>MAX(OO75,PortfolioFrontier[[#This Row],[P101 Growth]])</f>
        <v>1.5787921813488919</v>
      </c>
      <c r="OP76" s="27">
        <f>PortfolioFrontier[[#This Row],[P101 Growth]]/PortfolioFrontier[[#This Row],[P101 HWM]]-1</f>
        <v>-7.1856951198042363E-2</v>
      </c>
      <c r="OQ76" s="28">
        <f>SUMPRODUCT(INDEX(PortfolioRef[[SPY]:[PE]],MATCH(OQ$1,PortfolioRef[Reference '#]),0),AssetMonthlyReturns[[#This Row],[SPY]:[PE]])</f>
        <v>-8.0107967335664443E-3</v>
      </c>
      <c r="OR76" s="27">
        <f>IF(ISNUMBER(OR75),OR75*(1+PortfolioFrontier[[#This Row],[P102 Return]]),1+PortfolioFrontier[[#This Row],[P102 Return]])</f>
        <v>1.4730991639393611</v>
      </c>
      <c r="OS76" s="27">
        <f>MAX(OS75,PortfolioFrontier[[#This Row],[P102 Growth]])</f>
        <v>1.5985203886251573</v>
      </c>
      <c r="OT76" s="27">
        <f>PortfolioFrontier[[#This Row],[P102 Growth]]/PortfolioFrontier[[#This Row],[P102 HWM]]-1</f>
        <v>-7.8460822632151372E-2</v>
      </c>
      <c r="OU76" s="28">
        <f>SUMPRODUCT(INDEX(PortfolioRef[[SPY]:[PE]],MATCH(OU$1,PortfolioRef[Reference '#]),0),AssetMonthlyReturns[[#This Row],[SPY]:[PE]])</f>
        <v>-5.2810431269285033E-3</v>
      </c>
      <c r="OV76" s="27">
        <f>IF(ISNUMBER(OV75),OV75*(1+PortfolioFrontier[[#This Row],[P103 Return]]),1+PortfolioFrontier[[#This Row],[P103 Return]])</f>
        <v>1.4566402225305142</v>
      </c>
      <c r="OW76" s="27">
        <f>MAX(OW75,PortfolioFrontier[[#This Row],[P103 Growth]])</f>
        <v>1.5674355228105428</v>
      </c>
      <c r="OX76" s="27">
        <f>PortfolioFrontier[[#This Row],[P103 Growth]]/PortfolioFrontier[[#This Row],[P103 HWM]]-1</f>
        <v>-7.0685714766348662E-2</v>
      </c>
      <c r="OY76" s="28">
        <f>SUMPRODUCT(INDEX(PortfolioRef[[SPY]:[PE]],MATCH(OY$1,PortfolioRef[Reference '#]),0),AssetMonthlyReturns[[#This Row],[SPY]:[PE]])</f>
        <v>-8.7227293795935634E-3</v>
      </c>
      <c r="OZ76" s="27">
        <f>IF(ISNUMBER(OZ75),OZ75*(1+PortfolioFrontier[[#This Row],[P104 Return]]),1+PortfolioFrontier[[#This Row],[P104 Return]])</f>
        <v>1.4800608023064052</v>
      </c>
      <c r="PA76" s="27">
        <f>MAX(PA75,PortfolioFrontier[[#This Row],[P104 Growth]])</f>
        <v>1.6176462594840681</v>
      </c>
      <c r="PB76" s="27">
        <f>PortfolioFrontier[[#This Row],[P104 Growth]]/PortfolioFrontier[[#This Row],[P104 HWM]]-1</f>
        <v>-8.5052870101244737E-2</v>
      </c>
      <c r="PC76" s="28">
        <f>SUMPRODUCT(INDEX(PortfolioRef[[SPY]:[PE]],MATCH(PC$1,PortfolioRef[Reference '#]),0),AssetMonthlyReturns[[#This Row],[SPY]:[PE]])</f>
        <v>-5.9929757729556225E-3</v>
      </c>
      <c r="PD76" s="27">
        <f>IF(ISNUMBER(PD75),PD75*(1+PortfolioFrontier[[#This Row],[P105 Return]]),1+PortfolioFrontier[[#This Row],[P105 Return]])</f>
        <v>1.4640700793340951</v>
      </c>
      <c r="PE76" s="27">
        <f>MAX(PE75,PortfolioFrontier[[#This Row],[P105 Growth]])</f>
        <v>1.5867085542337835</v>
      </c>
      <c r="PF76" s="27">
        <f>PortfolioFrontier[[#This Row],[P105 Growth]]/PortfolioFrontier[[#This Row],[P105 HWM]]-1</f>
        <v>-7.7291115985008485E-2</v>
      </c>
      <c r="PG76" s="28">
        <f>SUMPRODUCT(INDEX(PortfolioRef[[SPY]:[PE]],MATCH(PG$1,PortfolioRef[Reference '#]),0),AssetMonthlyReturns[[#This Row],[SPY]:[PE]])</f>
        <v>-3.2632221663176806E-3</v>
      </c>
      <c r="PH76" s="27">
        <f>IF(ISNUMBER(PH75),PH75*(1+PortfolioFrontier[[#This Row],[P106 Return]]),1+PortfolioFrontier[[#This Row],[P106 Return]])</f>
        <v>1.447518315197436</v>
      </c>
      <c r="PI76" s="27">
        <f>MAX(PI75,PortfolioFrontier[[#This Row],[P106 Growth]])</f>
        <v>1.5556887430167754</v>
      </c>
      <c r="PJ76" s="27">
        <f>PortfolioFrontier[[#This Row],[P106 Growth]]/PortfolioFrontier[[#This Row],[P106 HWM]]-1</f>
        <v>-6.9532178788911492E-2</v>
      </c>
      <c r="PK76" s="28">
        <f>SUMPRODUCT(INDEX(PortfolioRef[[SPY]:[PE]],MATCH(PK$1,PortfolioRef[Reference '#]),0),AssetMonthlyReturns[[#This Row],[SPY]:[PE]])</f>
        <v>-1.0008450558542681E-2</v>
      </c>
      <c r="PL76" s="27">
        <f>IF(ISNUMBER(PL75),PL75*(1+PortfolioFrontier[[#This Row],[P107 Return]]),1+PortfolioFrontier[[#This Row],[P107 Return]])</f>
        <v>1.4935936309595381</v>
      </c>
      <c r="PM76" s="27">
        <f>MAX(PM75,PortfolioFrontier[[#This Row],[P107 Growth]])</f>
        <v>1.6131964012798079</v>
      </c>
      <c r="PN76" s="27">
        <f>PortfolioFrontier[[#This Row],[P107 Growth]]/PortfolioFrontier[[#This Row],[P107 HWM]]-1</f>
        <v>-7.4140241216372971E-2</v>
      </c>
      <c r="PO76" s="28">
        <f>SUMPRODUCT(INDEX(PortfolioRef[[SPY]:[PE]],MATCH(PO$1,PortfolioRef[Reference '#]),0),AssetMonthlyReturns[[#This Row],[SPY]:[PE]])</f>
        <v>-7.2786969519047394E-3</v>
      </c>
      <c r="PP76" s="27">
        <f>IF(ISNUMBER(PP75),PP75*(1+PortfolioFrontier[[#This Row],[P108 Return]]),1+PortfolioFrontier[[#This Row],[P108 Return]])</f>
        <v>1.4769625459644657</v>
      </c>
      <c r="PQ76" s="27">
        <f>MAX(PQ75,PortfolioFrontier[[#This Row],[P108 Growth]])</f>
        <v>1.5818874318633449</v>
      </c>
      <c r="PR76" s="27">
        <f>PortfolioFrontier[[#This Row],[P108 Growth]]/PortfolioFrontier[[#This Row],[P108 HWM]]-1</f>
        <v>-6.6328920620657206E-2</v>
      </c>
      <c r="PS76" s="28">
        <f>SUMPRODUCT(INDEX(PortfolioRef[[SPY]:[PE]],MATCH(PS$1,PortfolioRef[Reference '#]),0),AssetMonthlyReturns[[#This Row],[SPY]:[PE]])</f>
        <v>-1.07203832045698E-2</v>
      </c>
      <c r="PT76" s="27">
        <f>IF(ISNUMBER(PT75),PT75*(1+PortfolioFrontier[[#This Row],[P109 Return]]),1+PortfolioFrontier[[#This Row],[P109 Return]])</f>
        <v>1.5009340691279622</v>
      </c>
      <c r="PU76" s="27">
        <f>MAX(PU75,PortfolioFrontier[[#This Row],[P109 Growth]])</f>
        <v>1.6327835279326679</v>
      </c>
      <c r="PV76" s="27">
        <f>PortfolioFrontier[[#This Row],[P109 Growth]]/PortfolioFrontier[[#This Row],[P109 HWM]]-1</f>
        <v>-8.0751340608908206E-2</v>
      </c>
      <c r="PW76" s="28">
        <f>SUMPRODUCT(INDEX(PortfolioRef[[SPY]:[PE]],MATCH(PW$1,PortfolioRef[Reference '#]),0),AssetMonthlyReturns[[#This Row],[SPY]:[PE]])</f>
        <v>-7.9906295979318576E-3</v>
      </c>
      <c r="PX76" s="27">
        <f>IF(ISNUMBER(PX75),PX75*(1+PortfolioFrontier[[#This Row],[P110 Return]]),1+PortfolioFrontier[[#This Row],[P110 Return]])</f>
        <v>1.4847748471997397</v>
      </c>
      <c r="PY76" s="27">
        <f>MAX(PY75,PortfolioFrontier[[#This Row],[P110 Growth]])</f>
        <v>1.6016185143364081</v>
      </c>
      <c r="PZ76" s="27">
        <f>PortfolioFrontier[[#This Row],[P110 Growth]]/PortfolioFrontier[[#This Row],[P110 HWM]]-1</f>
        <v>-7.2953494287670395E-2</v>
      </c>
      <c r="QA76" s="28">
        <f>SUMPRODUCT(INDEX(PortfolioRef[[SPY]:[PE]],MATCH(QA$1,PortfolioRef[Reference '#]),0),AssetMonthlyReturns[[#This Row],[SPY]:[PE]])</f>
        <v>-5.2608759912939167E-3</v>
      </c>
      <c r="QB76" s="27">
        <f>IF(ISNUMBER(QB75),QB75*(1+PortfolioFrontier[[#This Row],[P111 Return]]),1+PortfolioFrontier[[#This Row],[P111 Return]])</f>
        <v>1.4680459367150205</v>
      </c>
      <c r="QC76" s="27">
        <f>MAX(QC75,PortfolioFrontier[[#This Row],[P111 Growth]])</f>
        <v>1.5703684845094485</v>
      </c>
      <c r="QD76" s="27">
        <f>PortfolioFrontier[[#This Row],[P111 Growth]]/PortfolioFrontier[[#This Row],[P111 HWM]]-1</f>
        <v>-6.5158304438586279E-2</v>
      </c>
      <c r="QE76" s="28">
        <f>SUMPRODUCT(INDEX(PortfolioRef[[SPY]:[PE]],MATCH(QE$1,PortfolioRef[Reference '#]),0),AssetMonthlyReturns[[#This Row],[SPY]:[PE]])</f>
        <v>-1.1432315850596919E-2</v>
      </c>
      <c r="QF76" s="27">
        <f>IF(ISNUMBER(QF75),QF75*(1+PortfolioFrontier[[#This Row],[P112 Return]]),1+PortfolioFrontier[[#This Row],[P112 Return]])</f>
        <v>1.507458706577911</v>
      </c>
      <c r="QG76" s="27">
        <f>MAX(QG75,PortfolioFrontier[[#This Row],[P112 Growth]])</f>
        <v>1.6517386955477045</v>
      </c>
      <c r="QH76" s="27">
        <f>PortfolioFrontier[[#This Row],[P112 Growth]]/PortfolioFrontier[[#This Row],[P112 HWM]]-1</f>
        <v>-8.7350371677253236E-2</v>
      </c>
      <c r="QI76" s="28">
        <f>SUMPRODUCT(INDEX(PortfolioRef[[SPY]:[PE]],MATCH(QI$1,PortfolioRef[Reference '#]),0),AssetMonthlyReturns[[#This Row],[SPY]:[PE]])</f>
        <v>-8.7025622439589768E-3</v>
      </c>
      <c r="QJ76" s="27">
        <f>IF(ISNUMBER(QJ75),QJ75*(1+PortfolioFrontier[[#This Row],[P113 Return]]),1+PortfolioFrontier[[#This Row],[P113 Return]])</f>
        <v>1.4917886849258715</v>
      </c>
      <c r="QK76" s="27">
        <f>MAX(QK75,PortfolioFrontier[[#This Row],[P113 Growth]])</f>
        <v>1.6207454292109018</v>
      </c>
      <c r="QL76" s="27">
        <f>PortfolioFrontier[[#This Row],[P113 Growth]]/PortfolioFrontier[[#This Row],[P113 HWM]]-1</f>
        <v>-7.9566316807579085E-2</v>
      </c>
      <c r="QM76" s="28">
        <f>SUMPRODUCT(INDEX(PortfolioRef[[SPY]:[PE]],MATCH(QM$1,PortfolioRef[Reference '#]),0),AssetMonthlyReturns[[#This Row],[SPY]:[PE]])</f>
        <v>-5.9728086373210358E-3</v>
      </c>
      <c r="QN76" s="27">
        <f>IF(ISNUMBER(QN75),QN75*(1+PortfolioFrontier[[#This Row],[P114 Return]]),1+PortfolioFrontier[[#This Row],[P114 Return]])</f>
        <v>1.475530725802642</v>
      </c>
      <c r="QO76" s="27">
        <f>MAX(QO75,PortfolioFrontier[[#This Row],[P114 Growth]])</f>
        <v>1.5896421022161857</v>
      </c>
      <c r="QP76" s="27">
        <f>PortfolioFrontier[[#This Row],[P114 Growth]]/PortfolioFrontier[[#This Row],[P114 HWM]]-1</f>
        <v>-7.1784319410297726E-2</v>
      </c>
      <c r="QQ76" s="28">
        <f>SUMPRODUCT(INDEX(PortfolioRef[[SPY]:[PE]],MATCH(QQ$1,PortfolioRef[Reference '#]),0),AssetMonthlyReturns[[#This Row],[SPY]:[PE]])</f>
        <v>-1.2718037029546037E-2</v>
      </c>
      <c r="QR76" s="27">
        <f>IF(ISNUMBER(QR75),QR75*(1+PortfolioFrontier[[#This Row],[P115 Return]]),1+PortfolioFrontier[[#This Row],[P115 Return]])</f>
        <v>1.5217646173099286</v>
      </c>
      <c r="QS76" s="27">
        <f>MAX(QS75,PortfolioFrontier[[#This Row],[P115 Growth]])</f>
        <v>1.6477351477866757</v>
      </c>
      <c r="QT76" s="27">
        <f>PortfolioFrontier[[#This Row],[P115 Growth]]/PortfolioFrontier[[#This Row],[P115 HWM]]-1</f>
        <v>-7.6450715180748197E-2</v>
      </c>
      <c r="QU76" s="28">
        <f>SUMPRODUCT(INDEX(PortfolioRef[[SPY]:[PE]],MATCH(QU$1,PortfolioRef[Reference '#]),0),AssetMonthlyReturns[[#This Row],[SPY]:[PE]])</f>
        <v>-9.9882834229080945E-3</v>
      </c>
      <c r="QV76" s="27">
        <f>IF(ISNUMBER(QV75),QV75*(1+PortfolioFrontier[[#This Row],[P116 Return]]),1+PortfolioFrontier[[#This Row],[P116 Return]])</f>
        <v>1.5054386740035504</v>
      </c>
      <c r="QW76" s="27">
        <f>MAX(QW75,PortfolioFrontier[[#This Row],[P116 Growth]])</f>
        <v>1.6163470917094751</v>
      </c>
      <c r="QX76" s="27">
        <f>PortfolioFrontier[[#This Row],[P116 Growth]]/PortfolioFrontier[[#This Row],[P116 HWM]]-1</f>
        <v>-6.8616708796516046E-2</v>
      </c>
      <c r="QY76" s="28">
        <f>SUMPRODUCT(INDEX(PortfolioRef[[SPY]:[PE]],MATCH(QY$1,PortfolioRef[Reference '#]),0),AssetMonthlyReturns[[#This Row],[SPY]:[PE]])</f>
        <v>-7.2585298162701536E-3</v>
      </c>
      <c r="QZ76" s="27">
        <f>IF(ISNUMBER(QZ75),QZ75*(1+PortfolioFrontier[[#This Row],[P117 Return]]),1+PortfolioFrontier[[#This Row],[P117 Return]])</f>
        <v>1.4885343908777249</v>
      </c>
      <c r="RA76" s="27">
        <f>MAX(RA75,PortfolioFrontier[[#This Row],[P117 Growth]])</f>
        <v>1.5848710929942145</v>
      </c>
      <c r="RB76" s="27">
        <f>PortfolioFrontier[[#This Row],[P117 Growth]]/PortfolioFrontier[[#This Row],[P117 HWM]]-1</f>
        <v>-6.0785197321307494E-2</v>
      </c>
      <c r="RC76" s="28">
        <f>SUMPRODUCT(INDEX(PortfolioRef[[SPY]:[PE]],MATCH(RC$1,PortfolioRef[Reference '#]),0),AssetMonthlyReturns[[#This Row],[SPY]:[PE]])</f>
        <v>-1.3429969675573156E-2</v>
      </c>
      <c r="RD76" s="27">
        <f>IF(ISNUMBER(RD75),RD75*(1+PortfolioFrontier[[#This Row],[P118 Return]]),1+PortfolioFrontier[[#This Row],[P118 Return]])</f>
        <v>1.5286668192633646</v>
      </c>
      <c r="RE76" s="27">
        <f>MAX(RE75,PortfolioFrontier[[#This Row],[P118 Growth]])</f>
        <v>1.667155293527623</v>
      </c>
      <c r="RF76" s="27">
        <f>PortfolioFrontier[[#This Row],[P118 Growth]]/PortfolioFrontier[[#This Row],[P118 HWM]]-1</f>
        <v>-8.3068730790653134E-2</v>
      </c>
      <c r="RG76" s="28">
        <f>SUMPRODUCT(INDEX(PortfolioRef[[SPY]:[PE]],MATCH(RG$1,PortfolioRef[Reference '#]),0),AssetMonthlyReturns[[#This Row],[SPY]:[PE]])</f>
        <v>-1.0700216068935214E-2</v>
      </c>
      <c r="RH76" s="27">
        <f>IF(ISNUMBER(RH75),RH75*(1+PortfolioFrontier[[#This Row],[P119 Return]]),1+PortfolioFrontier[[#This Row],[P119 Return]])</f>
        <v>1.5128340337310988</v>
      </c>
      <c r="RI76" s="27">
        <f>MAX(RI75,PortfolioFrontier[[#This Row],[P119 Growth]])</f>
        <v>1.6359359857167841</v>
      </c>
      <c r="RJ76" s="27">
        <f>PortfolioFrontier[[#This Row],[P119 Growth]]/PortfolioFrontier[[#This Row],[P119 HWM]]-1</f>
        <v>-7.5248636291687321E-2</v>
      </c>
      <c r="RK76" s="28">
        <f>SUMPRODUCT(INDEX(PortfolioRef[[SPY]:[PE]],MATCH(RK$1,PortfolioRef[Reference '#]),0),AssetMonthlyReturns[[#This Row],[SPY]:[PE]])</f>
        <v>-7.9704624622972727E-3</v>
      </c>
      <c r="RL76" s="27">
        <f>IF(ISNUMBER(RL75),RL75*(1+PortfolioFrontier[[#This Row],[P120 Return]]),1+PortfolioFrontier[[#This Row],[P120 Return]])</f>
        <v>1.4964043424422857</v>
      </c>
      <c r="RM76" s="27">
        <f>MAX(RM75,PortfolioFrontier[[#This Row],[P120 Growth]])</f>
        <v>1.6046034567476111</v>
      </c>
      <c r="RN76" s="27">
        <f>PortfolioFrontier[[#This Row],[P120 Growth]]/PortfolioFrontier[[#This Row],[P120 HWM]]-1</f>
        <v>-6.7430438249606817E-2</v>
      </c>
      <c r="RO76" s="28">
        <f>SUMPRODUCT(INDEX(PortfolioRef[[SPY]:[PE]],MATCH(RO$1,PortfolioRef[Reference '#]),0),AssetMonthlyReturns[[#This Row],[SPY]:[PE]])</f>
        <v>-1.4141902321600276E-2</v>
      </c>
      <c r="RP76" s="27">
        <f>IF(ISNUMBER(RP75),RP75*(1+PortfolioFrontier[[#This Row],[P121 Return]]),1+PortfolioFrontier[[#This Row],[P121 Return]])</f>
        <v>1.5347299531659147</v>
      </c>
      <c r="RQ76" s="27">
        <f>MAX(RQ75,PortfolioFrontier[[#This Row],[P121 Growth]])</f>
        <v>1.6859132740659151</v>
      </c>
      <c r="RR76" s="27">
        <f>PortfolioFrontier[[#This Row],[P121 Growth]]/PortfolioFrontier[[#This Row],[P121 HWM]]-1</f>
        <v>-8.9674435349448189E-2</v>
      </c>
      <c r="RS76" s="28">
        <f>SUMPRODUCT(INDEX(PortfolioRef[[SPY]:[PE]],MATCH(RS$1,PortfolioRef[Reference '#]),0),AssetMonthlyReturns[[#This Row],[SPY]:[PE]])</f>
        <v>-1.1412148714962333E-2</v>
      </c>
      <c r="RT76" s="27">
        <f>IF(ISNUMBER(RT75),RT75*(1+PortfolioFrontier[[#This Row],[P122 Return]]),1+PortfolioFrontier[[#This Row],[P122 Return]])</f>
        <v>1.5194074943997178</v>
      </c>
      <c r="RU76" s="27">
        <f>MAX(RU75,PortfolioFrontier[[#This Row],[P122 Growth]])</f>
        <v>1.6548910536150563</v>
      </c>
      <c r="RV76" s="27">
        <f>PortfolioFrontier[[#This Row],[P122 Growth]]/PortfolioFrontier[[#This Row],[P122 HWM]]-1</f>
        <v>-8.1868567069342091E-2</v>
      </c>
      <c r="RW76" s="28">
        <f>SUMPRODUCT(INDEX(PortfolioRef[[SPY]:[PE]],MATCH(RW$1,PortfolioRef[Reference '#]),0),AssetMonthlyReturns[[#This Row],[SPY]:[PE]])</f>
        <v>-8.6823951083243919E-3</v>
      </c>
      <c r="RX76" s="27">
        <f>IF(ISNUMBER(RX75),RX75*(1+PortfolioFrontier[[#This Row],[P123 Return]]),1+PortfolioFrontier[[#This Row],[P123 Return]])</f>
        <v>1.5034699253964432</v>
      </c>
      <c r="RY76" s="27">
        <f>MAX(RY75,PortfolioFrontier[[#This Row],[P123 Growth]])</f>
        <v>1.6237298558231279</v>
      </c>
      <c r="RZ76" s="27">
        <f>PortfolioFrontier[[#This Row],[P123 Growth]]/PortfolioFrontier[[#This Row],[P123 HWM]]-1</f>
        <v>-7.4064001468840734E-2</v>
      </c>
      <c r="SA76" s="28">
        <f>SUMPRODUCT(INDEX(PortfolioRef[[SPY]:[PE]],MATCH(SA$1,PortfolioRef[Reference '#]),0),AssetMonthlyReturns[[#This Row],[SPY]:[PE]])</f>
        <v>-1.5427623500549392E-2</v>
      </c>
      <c r="SB76" s="27">
        <f>IF(ISNUMBER(SB75),SB75*(1+PortfolioFrontier[[#This Row],[P124 Return]]),1+PortfolioFrontier[[#This Row],[P124 Return]])</f>
        <v>1.5498305103495136</v>
      </c>
      <c r="SC76" s="27">
        <f>MAX(SC75,PortfolioFrontier[[#This Row],[P124 Growth]])</f>
        <v>1.6823821965094672</v>
      </c>
      <c r="SD76" s="27">
        <f>PortfolioFrontier[[#This Row],[P124 Growth]]/PortfolioFrontier[[#This Row],[P124 HWM]]-1</f>
        <v>-7.8788093713168195E-2</v>
      </c>
      <c r="SE76" s="28">
        <f>SUMPRODUCT(INDEX(PortfolioRef[[SPY]:[PE]],MATCH(SE$1,PortfolioRef[Reference '#]),0),AssetMonthlyReturns[[#This Row],[SPY]:[PE]])</f>
        <v>-1.2697869893911451E-2</v>
      </c>
      <c r="SF76" s="27">
        <f>IF(ISNUMBER(SF75),SF75*(1+PortfolioFrontier[[#This Row],[P125 Return]]),1+PortfolioFrontier[[#This Row],[P125 Return]])</f>
        <v>1.5338367561600637</v>
      </c>
      <c r="SG76" s="27">
        <f>MAX(SG75,PortfolioFrontier[[#This Row],[P125 Growth]])</f>
        <v>1.6509411354388694</v>
      </c>
      <c r="SH76" s="27">
        <f>PortfolioFrontier[[#This Row],[P125 Growth]]/PortfolioFrontier[[#This Row],[P125 HWM]]-1</f>
        <v>-7.0931892582394185E-2</v>
      </c>
      <c r="SI76" s="28">
        <f>SUMPRODUCT(INDEX(PortfolioRef[[SPY]:[PE]],MATCH(SI$1,PortfolioRef[Reference '#]),0),AssetMonthlyReturns[[#This Row],[SPY]:[PE]])</f>
        <v>-9.9681162872735096E-3</v>
      </c>
      <c r="SJ76" s="27">
        <f>IF(ISNUMBER(SJ75),SJ75*(1+PortfolioFrontier[[#This Row],[P126 Return]]),1+PortfolioFrontier[[#This Row],[P126 Return]])</f>
        <v>1.517237125922144</v>
      </c>
      <c r="SK76" s="27">
        <f>MAX(SK75,PortfolioFrontier[[#This Row],[P126 Growth]])</f>
        <v>1.6193836797956254</v>
      </c>
      <c r="SL76" s="27">
        <f>PortfolioFrontier[[#This Row],[P126 Growth]]/PortfolioFrontier[[#This Row],[P126 HWM]]-1</f>
        <v>-6.3077425781129737E-2</v>
      </c>
      <c r="SM76" s="28">
        <f>SUMPRODUCT(INDEX(PortfolioRef[[SPY]:[PE]],MATCH(SM$1,PortfolioRef[Reference '#]),0),AssetMonthlyReturns[[#This Row],[SPY]:[PE]])</f>
        <v>-1.6139556146576511E-2</v>
      </c>
      <c r="SN76" s="27">
        <f>IF(ISNUMBER(SN75),SN75*(1+PortfolioFrontier[[#This Row],[P127 Return]]),1+PortfolioFrontier[[#This Row],[P127 Return]])</f>
        <v>1.5562696418676227</v>
      </c>
      <c r="SO76" s="27">
        <f>MAX(SO75,PortfolioFrontier[[#This Row],[P127 Growth]])</f>
        <v>1.7016086575400751</v>
      </c>
      <c r="SP76" s="27">
        <f>PortfolioFrontier[[#This Row],[P127 Growth]]/PortfolioFrontier[[#This Row],[P127 HWM]]-1</f>
        <v>-8.5412715214179258E-2</v>
      </c>
      <c r="SQ76" s="28">
        <f>SUMPRODUCT(INDEX(PortfolioRef[[SPY]:[PE]],MATCH(SQ$1,PortfolioRef[Reference '#]),0),AssetMonthlyReturns[[#This Row],[SPY]:[PE]])</f>
        <v>-1.340980253993857E-2</v>
      </c>
      <c r="SR76" s="27">
        <f>IF(ISNUMBER(SR75),SR75*(1+PortfolioFrontier[[#This Row],[P128 Return]]),1+PortfolioFrontier[[#This Row],[P128 Return]])</f>
        <v>1.5407904894996109</v>
      </c>
      <c r="SS76" s="27">
        <f>MAX(SS75,PortfolioFrontier[[#This Row],[P128 Growth]])</f>
        <v>1.6703618996398835</v>
      </c>
      <c r="ST76" s="27">
        <f>PortfolioFrontier[[#This Row],[P128 Growth]]/PortfolioFrontier[[#This Row],[P128 HWM]]-1</f>
        <v>-7.7570860642958261E-2</v>
      </c>
      <c r="SU76" s="28">
        <f>SUMPRODUCT(INDEX(PortfolioRef[[SPY]:[PE]],MATCH(SU$1,PortfolioRef[Reference '#]),0),AssetMonthlyReturns[[#This Row],[SPY]:[PE]])</f>
        <v>-1.0680048933300629E-2</v>
      </c>
      <c r="SV76" s="27">
        <f>IF(ISNUMBER(SV75),SV75*(1+PortfolioFrontier[[#This Row],[P129 Return]]),1+PortfolioFrontier[[#This Row],[P129 Return]])</f>
        <v>1.5246869371963672</v>
      </c>
      <c r="SW76" s="27">
        <f>MAX(SW75,PortfolioFrontier[[#This Row],[P129 Growth]])</f>
        <v>1.6389727481356613</v>
      </c>
      <c r="SX76" s="27">
        <f>PortfolioFrontier[[#This Row],[P129 Growth]]/PortfolioFrontier[[#This Row],[P129 HWM]]-1</f>
        <v>-6.9730147172547441E-2</v>
      </c>
      <c r="SY76" s="28">
        <f>SUMPRODUCT(INDEX(PortfolioRef[[SPY]:[PE]],MATCH(SY$1,PortfolioRef[Reference '#]),0),AssetMonthlyReturns[[#This Row],[SPY]:[PE]])</f>
        <v>-1.685148879260363E-2</v>
      </c>
      <c r="SZ76" s="27">
        <f>IF(ISNUMBER(SZ75),SZ75*(1+PortfolioFrontier[[#This Row],[P130 Return]]),1+PortfolioFrontier[[#This Row],[P130 Return]])</f>
        <v>1.5618464658443698</v>
      </c>
      <c r="TA76" s="27">
        <f>MAX(TA75,PortfolioFrontier[[#This Row],[P130 Growth]])</f>
        <v>1.720142179322633</v>
      </c>
      <c r="TB76" s="27">
        <f>PortfolioFrontier[[#This Row],[P130 Growth]]/PortfolioFrontier[[#This Row],[P130 HWM]]-1</f>
        <v>-9.2024784567865114E-2</v>
      </c>
      <c r="TC76" s="28">
        <f>SUMPRODUCT(INDEX(PortfolioRef[[SPY]:[PE]],MATCH(TC$1,PortfolioRef[Reference '#]),0),AssetMonthlyReturns[[#This Row],[SPY]:[PE]])</f>
        <v>-1.4121735185965689E-2</v>
      </c>
      <c r="TD76" s="27">
        <f>IF(ISNUMBER(TD75),TD75*(1+PortfolioFrontier[[#This Row],[P131 Return]]),1+PortfolioFrontier[[#This Row],[P131 Return]])</f>
        <v>1.5468988849222647</v>
      </c>
      <c r="TE76" s="27">
        <f>MAX(TE75,PortfolioFrontier[[#This Row],[P131 Growth]])</f>
        <v>1.6891185966988822</v>
      </c>
      <c r="TF76" s="27">
        <f>PortfolioFrontier[[#This Row],[P131 Growth]]/PortfolioFrontier[[#This Row],[P131 HWM]]-1</f>
        <v>-8.4197588052469352E-2</v>
      </c>
      <c r="TG76" s="28">
        <f>SUMPRODUCT(INDEX(PortfolioRef[[SPY]:[PE]],MATCH(TG$1,PortfolioRef[Reference '#]),0),AssetMonthlyReturns[[#This Row],[SPY]:[PE]])</f>
        <v>-1.1391981579327748E-2</v>
      </c>
      <c r="TH76" s="27">
        <f>IF(ISNUMBER(TH75),TH75*(1+PortfolioFrontier[[#This Row],[P132 Return]]),1+PortfolioFrontier[[#This Row],[P132 Return]])</f>
        <v>1.5313087733278623</v>
      </c>
      <c r="TI76" s="27">
        <f>MAX(TI75,PortfolioFrontier[[#This Row],[P132 Growth]])</f>
        <v>1.6579261593145806</v>
      </c>
      <c r="TJ76" s="27">
        <f>PortfolioFrontier[[#This Row],[P132 Growth]]/PortfolioFrontier[[#This Row],[P132 HWM]]-1</f>
        <v>-7.6370944070913493E-2</v>
      </c>
      <c r="TK76" s="28">
        <f>SUMPRODUCT(INDEX(PortfolioRef[[SPY]:[PE]],MATCH(TK$1,PortfolioRef[Reference '#]),0),AssetMonthlyReturns[[#This Row],[SPY]:[PE]])</f>
        <v>-1.8137209971552749E-2</v>
      </c>
      <c r="TL76" s="27">
        <f>IF(ISNUMBER(TL75),TL75*(1+PortfolioFrontier[[#This Row],[P133 Return]]),1+PortfolioFrontier[[#This Row],[P133 Return]])</f>
        <v>1.5777631829318417</v>
      </c>
      <c r="TM76" s="27">
        <f>MAX(TM75,PortfolioFrontier[[#This Row],[P133 Growth]])</f>
        <v>1.7171102853087914</v>
      </c>
      <c r="TN76" s="27">
        <f>PortfolioFrontier[[#This Row],[P133 Growth]]/PortfolioFrontier[[#This Row],[P133 HWM]]-1</f>
        <v>-8.1152098132060702E-2</v>
      </c>
      <c r="TO76" s="28">
        <f>SUMPRODUCT(INDEX(PortfolioRef[[SPY]:[PE]],MATCH(TO$1,PortfolioRef[Reference '#]),0),AssetMonthlyReturns[[#This Row],[SPY]:[PE]])</f>
        <v>-1.5407456364914807E-2</v>
      </c>
      <c r="TP76" s="27">
        <f>IF(ISNUMBER(TP75),TP75*(1+PortfolioFrontier[[#This Row],[P134 Return]]),1+PortfolioFrontier[[#This Row],[P134 Return]])</f>
        <v>1.5621291483057091</v>
      </c>
      <c r="TQ76" s="27">
        <f>MAX(TQ75,PortfolioFrontier[[#This Row],[P134 Growth]])</f>
        <v>1.6856432974461595</v>
      </c>
      <c r="TR76" s="27">
        <f>PortfolioFrontier[[#This Row],[P134 Growth]]/PortfolioFrontier[[#This Row],[P134 HWM]]-1</f>
        <v>-7.3274191121918242E-2</v>
      </c>
      <c r="TS76" s="28">
        <f>SUMPRODUCT(INDEX(PortfolioRef[[SPY]:[PE]],MATCH(TS$1,PortfolioRef[Reference '#]),0),AssetMonthlyReturns[[#This Row],[SPY]:[PE]])</f>
        <v>-1.2677702758276866E-2</v>
      </c>
      <c r="TT76" s="27">
        <f>IF(ISNUMBER(TT75),TT75*(1+PortfolioFrontier[[#This Row],[P135 Return]]),1+PortfolioFrontier[[#This Row],[P135 Return]])</f>
        <v>1.5458614239802295</v>
      </c>
      <c r="TU76" s="27">
        <f>MAX(TU75,PortfolioFrontier[[#This Row],[P135 Growth]])</f>
        <v>1.6540304901705998</v>
      </c>
      <c r="TV76" s="27">
        <f>PortfolioFrontier[[#This Row],[P135 Growth]]/PortfolioFrontier[[#This Row],[P135 HWM]]-1</f>
        <v>-6.5397262525198951E-2</v>
      </c>
      <c r="TW76" s="28">
        <f>SUMPRODUCT(INDEX(PortfolioRef[[SPY]:[PE]],MATCH(TW$1,PortfolioRef[Reference '#]),0),AssetMonthlyReturns[[#This Row],[SPY]:[PE]])</f>
        <v>-1.8849142617579868E-2</v>
      </c>
      <c r="TX76" s="27">
        <f>IF(ISNUMBER(TX75),TX75*(1+PortfolioFrontier[[#This Row],[P136 Return]]),1+PortfolioFrontier[[#This Row],[P136 Return]])</f>
        <v>1.5837140991508272</v>
      </c>
      <c r="TY76" s="27">
        <f>MAX(TY75,PortfolioFrontier[[#This Row],[P136 Growth]])</f>
        <v>1.7361155602147582</v>
      </c>
      <c r="TZ76" s="27">
        <f>PortfolioFrontier[[#This Row],[P136 Growth]]/PortfolioFrontier[[#This Row],[P136 HWM]]-1</f>
        <v>-8.7783016612718368E-2</v>
      </c>
      <c r="UA76" s="28">
        <f>SUMPRODUCT(INDEX(PortfolioRef[[SPY]:[PE]],MATCH(UA$1,PortfolioRef[Reference '#]),0),AssetMonthlyReturns[[#This Row],[SPY]:[PE]])</f>
        <v>-1.6119389010941926E-2</v>
      </c>
      <c r="UB76" s="27">
        <f>IF(ISNUMBER(UB75),UB75*(1+PortfolioFrontier[[#This Row],[P137 Return]]),1+PortfolioFrontier[[#This Row],[P137 Return]])</f>
        <v>1.5686162329839626</v>
      </c>
      <c r="UC76" s="27">
        <f>MAX(UC75,PortfolioFrontier[[#This Row],[P137 Growth]])</f>
        <v>1.7048691873265751</v>
      </c>
      <c r="UD76" s="27">
        <f>PortfolioFrontier[[#This Row],[P137 Growth]]/PortfolioFrontier[[#This Row],[P137 HWM]]-1</f>
        <v>-7.9919887904286835E-2</v>
      </c>
      <c r="UE76" s="28">
        <f>SUMPRODUCT(INDEX(PortfolioRef[[SPY]:[PE]],MATCH(UE$1,PortfolioRef[Reference '#]),0),AssetMonthlyReturns[[#This Row],[SPY]:[PE]])</f>
        <v>-1.3389635404303985E-2</v>
      </c>
      <c r="UF76" s="27">
        <f>IF(ISNUMBER(UF75),UF75*(1+PortfolioFrontier[[#This Row],[P138 Return]]),1+PortfolioFrontier[[#This Row],[P138 Return]])</f>
        <v>1.552866224931257</v>
      </c>
      <c r="UG76" s="27">
        <f>MAX(UG75,PortfolioFrontier[[#This Row],[P138 Growth]])</f>
        <v>1.6734502822541619</v>
      </c>
      <c r="UH76" s="27">
        <f>PortfolioFrontier[[#This Row],[P138 Growth]]/PortfolioFrontier[[#This Row],[P138 HWM]]-1</f>
        <v>-7.2057149591845948E-2</v>
      </c>
      <c r="UI76" s="28">
        <f>SUMPRODUCT(INDEX(PortfolioRef[[SPY]:[PE]],MATCH(UI$1,PortfolioRef[Reference '#]),0),AssetMonthlyReturns[[#This Row],[SPY]:[PE]])</f>
        <v>-1.9561075263606988E-2</v>
      </c>
      <c r="UJ76" s="27">
        <f>IF(ISNUMBER(UJ75),UJ75*(1+PortfolioFrontier[[#This Row],[P139 Return]]),1+PortfolioFrontier[[#This Row],[P139 Return]])</f>
        <v>1.5887795286718502</v>
      </c>
      <c r="UK76" s="27">
        <f>MAX(UK75,PortfolioFrontier[[#This Row],[P139 Growth]])</f>
        <v>1.7543965710992384</v>
      </c>
      <c r="UL76" s="27">
        <f>PortfolioFrontier[[#This Row],[P139 Growth]]/PortfolioFrontier[[#This Row],[P139 HWM]]-1</f>
        <v>-9.4401143478990535E-2</v>
      </c>
      <c r="UM76" s="28">
        <f>SUMPRODUCT(INDEX(PortfolioRef[[SPY]:[PE]],MATCH(UM$1,PortfolioRef[Reference '#]),0),AssetMonthlyReturns[[#This Row],[SPY]:[PE]])</f>
        <v>-1.6831321656969045E-2</v>
      </c>
      <c r="UN76" s="27">
        <f>IF(ISNUMBER(UN75),UN75*(1+PortfolioFrontier[[#This Row],[P140 Return]]),1+PortfolioFrontier[[#This Row],[P140 Return]])</f>
        <v>1.5742345692372179</v>
      </c>
      <c r="UO76" s="27">
        <f>MAX(UO75,PortfolioFrontier[[#This Row],[P140 Growth]])</f>
        <v>1.7234002022793458</v>
      </c>
      <c r="UP76" s="27">
        <f>PortfolioFrontier[[#This Row],[P140 Growth]]/PortfolioFrontier[[#This Row],[P140 HWM]]-1</f>
        <v>-8.6553101737392946E-2</v>
      </c>
      <c r="UQ76" s="28">
        <f>SUMPRODUCT(INDEX(PortfolioRef[[SPY]:[PE]],MATCH(UQ$1,PortfolioRef[Reference '#]),0),AssetMonthlyReturns[[#This Row],[SPY]:[PE]])</f>
        <v>-1.4101568050331104E-2</v>
      </c>
      <c r="UR76" s="27">
        <f>IF(ISNUMBER(UR75),UR75*(1+PortfolioFrontier[[#This Row],[P141 Return]]),1+PortfolioFrontier[[#This Row],[P141 Return]])</f>
        <v>1.559019441169387</v>
      </c>
      <c r="US76" s="27">
        <f>MAX(US75,PortfolioFrontier[[#This Row],[P141 Growth]])</f>
        <v>1.6922041432386774</v>
      </c>
      <c r="UT76" s="27">
        <f>PortfolioFrontier[[#This Row],[P141 Growth]]/PortfolioFrontier[[#This Row],[P141 HWM]]-1</f>
        <v>-7.8704867022953096E-2</v>
      </c>
    </row>
    <row r="77" spans="2:566" x14ac:dyDescent="0.2">
      <c r="B77" s="41">
        <f>AssetMonthlyReturns[[#This Row],[Date]]</f>
        <v>44713</v>
      </c>
      <c r="C77" s="28">
        <f>SUMPRODUCT(INDEX(PortfolioRef[[SPY]:[PE]],MATCH(C$1,PortfolioRef[Reference '#]),0),AssetMonthlyReturns[[#This Row],[SPY]:[PE]])</f>
        <v>-5.9457727998579908E-2</v>
      </c>
      <c r="D77" s="29">
        <f>IF(ISNUMBER(D76),D76*(1+PortfolioFrontier[[#This Row],[P1 Return]]),1+PortfolioFrontier[[#This Row],[P1 Return]])</f>
        <v>1.6678858220460169</v>
      </c>
      <c r="E77" s="29">
        <f>MAX(E76,PortfolioFrontier[[#This Row],[P1 Growth]])</f>
        <v>1.9531239567566241</v>
      </c>
      <c r="F77" s="29">
        <f>PortfolioFrontier[[#This Row],[P1 Growth]]/PortfolioFrontier[[#This Row],[P1 HWM]]-1</f>
        <v>-0.14604200297879522</v>
      </c>
      <c r="G77" s="28">
        <f>SUMPRODUCT(INDEX(PortfolioRef[[SPY]:[PE]],MATCH(G$1,PortfolioRef[Reference '#]),0),AssetMonthlyReturns[[#This Row],[SPY]:[PE]])</f>
        <v>-5.5915768457805687E-2</v>
      </c>
      <c r="H77" s="27">
        <f>IF(ISNUMBER(H76),H76*(1+PortfolioFrontier[[#This Row],[P2 Return]]),1+PortfolioFrontier[[#This Row],[P2 Return]])</f>
        <v>1.6157293140925861</v>
      </c>
      <c r="I77" s="27">
        <f>MAX(I76,PortfolioFrontier[[#This Row],[P2 Growth]])</f>
        <v>1.880902671218339</v>
      </c>
      <c r="J77" s="27">
        <f>PortfolioFrontier[[#This Row],[P2 Growth]]/PortfolioFrontier[[#This Row],[P2 HWM]]-1</f>
        <v>-0.14098196636298521</v>
      </c>
      <c r="K77" s="28">
        <f>SUMPRODUCT(INDEX(PortfolioRef[[SPY]:[PE]],MATCH(K$1,PortfolioRef[Reference '#]),0),AssetMonthlyReturns[[#This Row],[SPY]:[PE]])</f>
        <v>-5.5920359910765015E-2</v>
      </c>
      <c r="L77" s="27">
        <f>IF(ISNUMBER(L76),L76*(1+PortfolioFrontier[[#This Row],[P3 Return]]),1+PortfolioFrontier[[#This Row],[P3 Return]])</f>
        <v>1.6384742711938545</v>
      </c>
      <c r="M77" s="27">
        <f>MAX(M76,PortfolioFrontier[[#This Row],[P3 Growth]])</f>
        <v>1.8984394560781046</v>
      </c>
      <c r="N77" s="27">
        <f>PortfolioFrontier[[#This Row],[P3 Growth]]/PortfolioFrontier[[#This Row],[P3 HWM]]-1</f>
        <v>-0.13693625258995601</v>
      </c>
      <c r="O77" s="28">
        <f>SUMPRODUCT(INDEX(PortfolioRef[[SPY]:[PE]],MATCH(O$1,PortfolioRef[Reference '#]),0),AssetMonthlyReturns[[#This Row],[SPY]:[PE]])</f>
        <v>-5.9154736202818102E-2</v>
      </c>
      <c r="P77" s="27">
        <f>IF(ISNUMBER(P76),P76*(1+PortfolioFrontier[[#This Row],[P4 Return]]),1+PortfolioFrontier[[#This Row],[P4 Return]])</f>
        <v>1.6389207783254587</v>
      </c>
      <c r="Q77" s="27">
        <f>MAX(Q76,PortfolioFrontier[[#This Row],[P4 Growth]])</f>
        <v>1.9193367929729268</v>
      </c>
      <c r="R77" s="27">
        <f>PortfolioFrontier[[#This Row],[P4 Growth]]/PortfolioFrontier[[#This Row],[P4 HWM]]-1</f>
        <v>-0.14610047370223234</v>
      </c>
      <c r="S77" s="28">
        <f>SUMPRODUCT(INDEX(PortfolioRef[[SPY]:[PE]],MATCH(S$1,PortfolioRef[Reference '#]),0),AssetMonthlyReturns[[#This Row],[SPY]:[PE]])</f>
        <v>-5.5136384705613085E-2</v>
      </c>
      <c r="T77" s="27">
        <f>IF(ISNUMBER(T76),T76*(1+PortfolioFrontier[[#This Row],[P5 Return]]),1+PortfolioFrontier[[#This Row],[P5 Return]])</f>
        <v>1.6296850696052201</v>
      </c>
      <c r="U77" s="27">
        <f>MAX(U76,PortfolioFrontier[[#This Row],[P5 Growth]])</f>
        <v>1.8841834525169079</v>
      </c>
      <c r="V77" s="27">
        <f>PortfolioFrontier[[#This Row],[P5 Growth]]/PortfolioFrontier[[#This Row],[P5 HWM]]-1</f>
        <v>-0.13507091497472112</v>
      </c>
      <c r="W77" s="28">
        <f>SUMPRODUCT(INDEX(PortfolioRef[[SPY]:[PE]],MATCH(W$1,PortfolioRef[Reference '#]),0),AssetMonthlyReturns[[#This Row],[SPY]:[PE]])</f>
        <v>-5.2373808917031466E-2</v>
      </c>
      <c r="X77" s="27">
        <f>IF(ISNUMBER(X76),X76*(1+PortfolioFrontier[[#This Row],[P6 Return]]),1+PortfolioFrontier[[#This Row],[P6 Return]])</f>
        <v>1.5646060718161774</v>
      </c>
      <c r="Y77" s="27">
        <f>MAX(Y76,PortfolioFrontier[[#This Row],[P6 Growth]])</f>
        <v>1.8107203423144032</v>
      </c>
      <c r="Z77" s="27">
        <f>PortfolioFrontier[[#This Row],[P6 Growth]]/PortfolioFrontier[[#This Row],[P6 HWM]]-1</f>
        <v>-0.1359206414965497</v>
      </c>
      <c r="AA77" s="28">
        <f>SUMPRODUCT(INDEX(PortfolioRef[[SPY]:[PE]],MATCH(AA$1,PortfolioRef[Reference '#]),0),AssetMonthlyReturns[[#This Row],[SPY]:[PE]])</f>
        <v>-5.23784003699908E-2</v>
      </c>
      <c r="AB77" s="27">
        <f>IF(ISNUMBER(AB76),AB76*(1+PortfolioFrontier[[#This Row],[P7 Return]]),1+PortfolioFrontier[[#This Row],[P7 Return]])</f>
        <v>1.5866585219179234</v>
      </c>
      <c r="AC77" s="27">
        <f>MAX(AC76,PortfolioFrontier[[#This Row],[P7 Growth]])</f>
        <v>1.8276317298765399</v>
      </c>
      <c r="AD77" s="27">
        <f>PortfolioFrontier[[#This Row],[P7 Growth]]/PortfolioFrontier[[#This Row],[P7 HWM]]-1</f>
        <v>-0.13184998050722974</v>
      </c>
      <c r="AE77" s="28">
        <f>SUMPRODUCT(INDEX(PortfolioRef[[SPY]:[PE]],MATCH(AE$1,PortfolioRef[Reference '#]),0),AssetMonthlyReturns[[#This Row],[SPY]:[PE]])</f>
        <v>-5.5612776662043888E-2</v>
      </c>
      <c r="AF77" s="27">
        <f>IF(ISNUMBER(AF76),AF76*(1+PortfolioFrontier[[#This Row],[P8 Return]]),1+PortfolioFrontier[[#This Row],[P8 Return]])</f>
        <v>1.5875544681838214</v>
      </c>
      <c r="AG77" s="27">
        <f>MAX(AG76,PortfolioFrontier[[#This Row],[P8 Growth]])</f>
        <v>1.8482324314062795</v>
      </c>
      <c r="AH77" s="27">
        <f>PortfolioFrontier[[#This Row],[P8 Growth]]/PortfolioFrontier[[#This Row],[P8 HWM]]-1</f>
        <v>-0.14104176444091177</v>
      </c>
      <c r="AI77" s="28">
        <f>SUMPRODUCT(INDEX(PortfolioRef[[SPY]:[PE]],MATCH(AI$1,PortfolioRef[Reference '#]),0),AssetMonthlyReturns[[#This Row],[SPY]:[PE]])</f>
        <v>-5.1594425164838871E-2</v>
      </c>
      <c r="AJ77" s="27">
        <f>IF(ISNUMBER(AJ76),AJ76*(1+PortfolioFrontier[[#This Row],[P9 Return]]),1+PortfolioFrontier[[#This Row],[P9 Return]])</f>
        <v>1.5781512976144876</v>
      </c>
      <c r="AK77" s="27">
        <f>MAX(AK76,PortfolioFrontier[[#This Row],[P9 Growth]])</f>
        <v>1.8139467261629987</v>
      </c>
      <c r="AL77" s="27">
        <f>PortfolioFrontier[[#This Row],[P9 Growth]]/PortfolioFrontier[[#This Row],[P9 HWM]]-1</f>
        <v>-0.1299902721218742</v>
      </c>
      <c r="AM77" s="28">
        <f>SUMPRODUCT(INDEX(PortfolioRef[[SPY]:[PE]],MATCH(AM$1,PortfolioRef[Reference '#]),0),AssetMonthlyReturns[[#This Row],[SPY]:[PE]])</f>
        <v>-5.2382991822950135E-2</v>
      </c>
      <c r="AN77" s="27">
        <f>IF(ISNUMBER(AN76),AN76*(1+PortfolioFrontier[[#This Row],[P10 Return]]),1+PortfolioFrontier[[#This Row],[P10 Return]])</f>
        <v>1.6086673474598536</v>
      </c>
      <c r="AO77" s="27">
        <f>MAX(AO76,PortfolioFrontier[[#This Row],[P10 Growth]])</f>
        <v>1.8443368551596837</v>
      </c>
      <c r="AP77" s="27">
        <f>PortfolioFrontier[[#This Row],[P10 Growth]]/PortfolioFrontier[[#This Row],[P10 HWM]]-1</f>
        <v>-0.12778007826527205</v>
      </c>
      <c r="AQ77" s="28">
        <f>SUMPRODUCT(INDEX(PortfolioRef[[SPY]:[PE]],MATCH(AQ$1,PortfolioRef[Reference '#]),0),AssetMonthlyReturns[[#This Row],[SPY]:[PE]])</f>
        <v>-5.5617368115003216E-2</v>
      </c>
      <c r="AR77" s="27">
        <f>IF(ISNUMBER(AR76),AR76*(1+PortfolioFrontier[[#This Row],[P11 Return]]),1+PortfolioFrontier[[#This Row],[P11 Return]])</f>
        <v>1.6098764538165617</v>
      </c>
      <c r="AS77" s="27">
        <f>MAX(AS76,PortfolioFrontier[[#This Row],[P11 Growth]])</f>
        <v>1.865449984246593</v>
      </c>
      <c r="AT77" s="27">
        <f>PortfolioFrontier[[#This Row],[P11 Growth]]/PortfolioFrontier[[#This Row],[P11 HWM]]-1</f>
        <v>-0.13700368950564534</v>
      </c>
      <c r="AU77" s="28">
        <f>SUMPRODUCT(INDEX(PortfolioRef[[SPY]:[PE]],MATCH(AU$1,PortfolioRef[Reference '#]),0),AssetMonthlyReturns[[#This Row],[SPY]:[PE]])</f>
        <v>-5.1599016617798199E-2</v>
      </c>
      <c r="AV77" s="27">
        <f>IF(ISNUMBER(AV76),AV76*(1+PortfolioFrontier[[#This Row],[P12 Return]]),1+PortfolioFrontier[[#This Row],[P12 Return]])</f>
        <v>1.6004015936757163</v>
      </c>
      <c r="AW77" s="27">
        <f>MAX(AW76,PortfolioFrontier[[#This Row],[P12 Growth]])</f>
        <v>1.8309154354259589</v>
      </c>
      <c r="AX77" s="27">
        <f>PortfolioFrontier[[#This Row],[P12 Growth]]/PortfolioFrontier[[#This Row],[P12 HWM]]-1</f>
        <v>-0.12590086756061125</v>
      </c>
      <c r="AY77" s="28">
        <f>SUMPRODUCT(INDEX(PortfolioRef[[SPY]:[PE]],MATCH(AY$1,PortfolioRef[Reference '#]),0),AssetMonthlyReturns[[#This Row],[SPY]:[PE]])</f>
        <v>-5.8851744407056303E-2</v>
      </c>
      <c r="AZ77" s="27">
        <f>IF(ISNUMBER(AZ76),AZ76*(1+PortfolioFrontier[[#This Row],[P13 Return]]),1+PortfolioFrontier[[#This Row],[P13 Return]])</f>
        <v>1.6101539130508566</v>
      </c>
      <c r="BA77" s="27">
        <f>MAX(BA76,PortfolioFrontier[[#This Row],[P13 Growth]])</f>
        <v>1.8858075751364967</v>
      </c>
      <c r="BB77" s="27">
        <f>PortfolioFrontier[[#This Row],[P13 Growth]]/PortfolioFrontier[[#This Row],[P13 HWM]]-1</f>
        <v>-0.14617274090952148</v>
      </c>
      <c r="BC77" s="28">
        <f>SUMPRODUCT(INDEX(PortfolioRef[[SPY]:[PE]],MATCH(BC$1,PortfolioRef[Reference '#]),0),AssetMonthlyReturns[[#This Row],[SPY]:[PE]])</f>
        <v>-5.4833392909851286E-2</v>
      </c>
      <c r="BD77" s="27">
        <f>IF(ISNUMBER(BD76),BD76*(1+PortfolioFrontier[[#This Row],[P14 Return]]),1+PortfolioFrontier[[#This Row],[P14 Return]])</f>
        <v>1.6013062273673087</v>
      </c>
      <c r="BE77" s="27">
        <f>MAX(BE76,PortfolioFrontier[[#This Row],[P14 Growth]])</f>
        <v>1.8515113734383843</v>
      </c>
      <c r="BF77" s="27">
        <f>PortfolioFrontier[[#This Row],[P14 Growth]]/PortfolioFrontier[[#This Row],[P14 HWM]]-1</f>
        <v>-0.13513562469045359</v>
      </c>
      <c r="BG77" s="28">
        <f>SUMPRODUCT(INDEX(PortfolioRef[[SPY]:[PE]],MATCH(BG$1,PortfolioRef[Reference '#]),0),AssetMonthlyReturns[[#This Row],[SPY]:[PE]])</f>
        <v>-5.081504141264627E-2</v>
      </c>
      <c r="BH77" s="27">
        <f>IF(ISNUMBER(BH76),BH76*(1+PortfolioFrontier[[#This Row],[P15 Return]]),1+PortfolioFrontier[[#This Row],[P15 Return]])</f>
        <v>1.5916647369083419</v>
      </c>
      <c r="BI77" s="27">
        <f>MAX(BI76,PortfolioFrontier[[#This Row],[P15 Growth]])</f>
        <v>1.8170439473092146</v>
      </c>
      <c r="BJ77" s="27">
        <f>PortfolioFrontier[[#This Row],[P15 Growth]]/PortfolioFrontier[[#This Row],[P15 HWM]]-1</f>
        <v>-0.12403619116347053</v>
      </c>
      <c r="BK77" s="28">
        <f>SUMPRODUCT(INDEX(PortfolioRef[[SPY]:[PE]],MATCH(BK$1,PortfolioRef[Reference '#]),0),AssetMonthlyReturns[[#This Row],[SPY]:[PE]])</f>
        <v>-4.8831849376257244E-2</v>
      </c>
      <c r="BL77" s="27">
        <f>IF(ISNUMBER(BL76),BL76*(1+PortfolioFrontier[[#This Row],[P16 Return]]),1+PortfolioFrontier[[#This Row],[P16 Return]])</f>
        <v>1.5145224503828103</v>
      </c>
      <c r="BM77" s="27">
        <f>MAX(BM76,PortfolioFrontier[[#This Row],[P16 Growth]])</f>
        <v>1.7425494832470445</v>
      </c>
      <c r="BN77" s="27">
        <f>PortfolioFrontier[[#This Row],[P16 Growth]]/PortfolioFrontier[[#This Row],[P16 HWM]]-1</f>
        <v>-0.13085828268092081</v>
      </c>
      <c r="BO77" s="28">
        <f>SUMPRODUCT(INDEX(PortfolioRef[[SPY]:[PE]],MATCH(BO$1,PortfolioRef[Reference '#]),0),AssetMonthlyReturns[[#This Row],[SPY]:[PE]])</f>
        <v>-4.8836440829216579E-2</v>
      </c>
      <c r="BP77" s="27">
        <f>IF(ISNUMBER(BP76),BP76*(1+PortfolioFrontier[[#This Row],[P17 Return]]),1+PortfolioFrontier[[#This Row],[P17 Return]])</f>
        <v>1.5358957816916168</v>
      </c>
      <c r="BQ77" s="27">
        <f>MAX(BQ76,PortfolioFrontier[[#This Row],[P17 Growth]])</f>
        <v>1.7588525148836969</v>
      </c>
      <c r="BR77" s="27">
        <f>PortfolioFrontier[[#This Row],[P17 Growth]]/PortfolioFrontier[[#This Row],[P17 HWM]]-1</f>
        <v>-0.12676260874938849</v>
      </c>
      <c r="BS77" s="28">
        <f>SUMPRODUCT(INDEX(PortfolioRef[[SPY]:[PE]],MATCH(BS$1,PortfolioRef[Reference '#]),0),AssetMonthlyReturns[[#This Row],[SPY]:[PE]])</f>
        <v>-5.2070817121269666E-2</v>
      </c>
      <c r="BT77" s="27">
        <f>IF(ISNUMBER(BT76),BT76*(1+PortfolioFrontier[[#This Row],[P18 Return]]),1+PortfolioFrontier[[#This Row],[P18 Return]])</f>
        <v>1.5372101040066699</v>
      </c>
      <c r="BU77" s="27">
        <f>MAX(BU76,PortfolioFrontier[[#This Row],[P18 Growth]])</f>
        <v>1.7791407441475846</v>
      </c>
      <c r="BV77" s="27">
        <f>PortfolioFrontier[[#This Row],[P18 Growth]]/PortfolioFrontier[[#This Row],[P18 HWM]]-1</f>
        <v>-0.13598173215735532</v>
      </c>
      <c r="BW77" s="28">
        <f>SUMPRODUCT(INDEX(PortfolioRef[[SPY]:[PE]],MATCH(BW$1,PortfolioRef[Reference '#]),0),AssetMonthlyReturns[[#This Row],[SPY]:[PE]])</f>
        <v>-4.805246562406465E-2</v>
      </c>
      <c r="BX77" s="27">
        <f>IF(ISNUMBER(BX76),BX76*(1+PortfolioFrontier[[#This Row],[P19 Return]]),1+PortfolioFrontier[[#This Row],[P19 Return]])</f>
        <v>1.5276640114543696</v>
      </c>
      <c r="BY77" s="27">
        <f>MAX(BY76,PortfolioFrontier[[#This Row],[P19 Growth]])</f>
        <v>1.7457196180719312</v>
      </c>
      <c r="BZ77" s="27">
        <f>PortfolioFrontier[[#This Row],[P19 Growth]]/PortfolioFrontier[[#This Row],[P19 HWM]]-1</f>
        <v>-0.12490872208814052</v>
      </c>
      <c r="CA77" s="28">
        <f>SUMPRODUCT(INDEX(PortfolioRef[[SPY]:[PE]],MATCH(CA$1,PortfolioRef[Reference '#]),0),AssetMonthlyReturns[[#This Row],[SPY]:[PE]])</f>
        <v>-4.8841032282175921E-2</v>
      </c>
      <c r="CB77" s="27">
        <f>IF(ISNUMBER(CB76),CB76*(1+PortfolioFrontier[[#This Row],[P20 Return]]),1+PortfolioFrontier[[#This Row],[P20 Return]])</f>
        <v>1.5572269193027297</v>
      </c>
      <c r="CC77" s="27">
        <f>MAX(CC76,PortfolioFrontier[[#This Row],[P20 Growth]])</f>
        <v>1.7749567522517573</v>
      </c>
      <c r="CD77" s="27">
        <f>PortfolioFrontier[[#This Row],[P20 Growth]]/PortfolioFrontier[[#This Row],[P20 HWM]]-1</f>
        <v>-0.12266768340851675</v>
      </c>
      <c r="CE77" s="28">
        <f>SUMPRODUCT(INDEX(PortfolioRef[[SPY]:[PE]],MATCH(CE$1,PortfolioRef[Reference '#]),0),AssetMonthlyReturns[[#This Row],[SPY]:[PE]])</f>
        <v>-5.2075408574229001E-2</v>
      </c>
      <c r="CF77" s="27">
        <f>IF(ISNUMBER(CF76),CF76*(1+PortfolioFrontier[[#This Row],[P21 Return]]),1+PortfolioFrontier[[#This Row],[P21 Return]])</f>
        <v>1.558851117936106</v>
      </c>
      <c r="CG77" s="27">
        <f>MAX(CG76,PortfolioFrontier[[#This Row],[P21 Growth]])</f>
        <v>1.795743356031652</v>
      </c>
      <c r="CH77" s="27">
        <f>PortfolioFrontier[[#This Row],[P21 Growth]]/PortfolioFrontier[[#This Row],[P21 HWM]]-1</f>
        <v>-0.13191876071814934</v>
      </c>
      <c r="CI77" s="28">
        <f>SUMPRODUCT(INDEX(PortfolioRef[[SPY]:[PE]],MATCH(CI$1,PortfolioRef[Reference '#]),0),AssetMonthlyReturns[[#This Row],[SPY]:[PE]])</f>
        <v>-4.8057057077023985E-2</v>
      </c>
      <c r="CJ77" s="27">
        <f>IF(ISNUMBER(CJ76),CJ76*(1+PortfolioFrontier[[#This Row],[P22 Return]]),1+PortfolioFrontier[[#This Row],[P22 Return]])</f>
        <v>1.5492295589056435</v>
      </c>
      <c r="CK77" s="27">
        <f>MAX(CK76,PortfolioFrontier[[#This Row],[P22 Growth]])</f>
        <v>1.7620784578443487</v>
      </c>
      <c r="CL77" s="27">
        <f>PortfolioFrontier[[#This Row],[P22 Growth]]/PortfolioFrontier[[#This Row],[P22 HWM]]-1</f>
        <v>-0.12079422343037749</v>
      </c>
      <c r="CM77" s="28">
        <f>SUMPRODUCT(INDEX(PortfolioRef[[SPY]:[PE]],MATCH(CM$1,PortfolioRef[Reference '#]),0),AssetMonthlyReturns[[#This Row],[SPY]:[PE]])</f>
        <v>-5.5309784866282088E-2</v>
      </c>
      <c r="CN77" s="27">
        <f>IF(ISNUMBER(CN76),CN76*(1+PortfolioFrontier[[#This Row],[P23 Return]]),1+PortfolioFrontier[[#This Row],[P23 Return]])</f>
        <v>1.5595756738173703</v>
      </c>
      <c r="CO77" s="27">
        <f>MAX(CO76,PortfolioFrontier[[#This Row],[P23 Growth]])</f>
        <v>1.8158151760868648</v>
      </c>
      <c r="CP77" s="27">
        <f>PortfolioFrontier[[#This Row],[P23 Growth]]/PortfolioFrontier[[#This Row],[P23 HWM]]-1</f>
        <v>-0.14111540956591084</v>
      </c>
      <c r="CQ77" s="28">
        <f>SUMPRODUCT(INDEX(PortfolioRef[[SPY]:[PE]],MATCH(CQ$1,PortfolioRef[Reference '#]),0),AssetMonthlyReturns[[#This Row],[SPY]:[PE]])</f>
        <v>-5.1291433369077072E-2</v>
      </c>
      <c r="CR77" s="27">
        <f>IF(ISNUMBER(CR76),CR76*(1+PortfolioFrontier[[#This Row],[P24 Return]]),1+PortfolioFrontier[[#This Row],[P24 Return]])</f>
        <v>1.5505562209512096</v>
      </c>
      <c r="CS77" s="27">
        <f>MAX(CS76,PortfolioFrontier[[#This Row],[P24 Growth]])</f>
        <v>1.7823638134718676</v>
      </c>
      <c r="CT77" s="27">
        <f>PortfolioFrontier[[#This Row],[P24 Growth]]/PortfolioFrontier[[#This Row],[P24 HWM]]-1</f>
        <v>-0.13005627177154133</v>
      </c>
      <c r="CU77" s="28">
        <f>SUMPRODUCT(INDEX(PortfolioRef[[SPY]:[PE]],MATCH(CU$1,PortfolioRef[Reference '#]),0),AssetMonthlyReturns[[#This Row],[SPY]:[PE]])</f>
        <v>-4.7273081871872055E-2</v>
      </c>
      <c r="CV77" s="27">
        <f>IF(ISNUMBER(CV76),CV76*(1+PortfolioFrontier[[#This Row],[P25 Return]]),1+PortfolioFrontier[[#This Row],[P25 Return]])</f>
        <v>1.5407754121038095</v>
      </c>
      <c r="CW77" s="27">
        <f>MAX(CW76,PortfolioFrontier[[#This Row],[P25 Growth]])</f>
        <v>1.7487656732120247</v>
      </c>
      <c r="CX77" s="27">
        <f>PortfolioFrontier[[#This Row],[P25 Growth]]/PortfolioFrontier[[#This Row],[P25 HWM]]-1</f>
        <v>-0.11893546648030406</v>
      </c>
      <c r="CY77" s="28">
        <f>SUMPRODUCT(INDEX(PortfolioRef[[SPY]:[PE]],MATCH(CY$1,PortfolioRef[Reference '#]),0),AssetMonthlyReturns[[#This Row],[SPY]:[PE]])</f>
        <v>-5.2080000027188336E-2</v>
      </c>
      <c r="CZ77" s="27">
        <f>IF(ISNUMBER(CZ76),CZ76*(1+PortfolioFrontier[[#This Row],[P26 Return]]),1+PortfolioFrontier[[#This Row],[P26 Return]])</f>
        <v>1.5804483726827236</v>
      </c>
      <c r="DA77" s="27">
        <f>MAX(DA76,PortfolioFrontier[[#This Row],[P26 Growth]])</f>
        <v>1.8121428498945955</v>
      </c>
      <c r="DB77" s="27">
        <f>PortfolioFrontier[[#This Row],[P26 Growth]]/PortfolioFrontier[[#This Row],[P26 HWM]]-1</f>
        <v>-0.12785662963896505</v>
      </c>
      <c r="DC77" s="28">
        <f>SUMPRODUCT(INDEX(PortfolioRef[[SPY]:[PE]],MATCH(DC$1,PortfolioRef[Reference '#]),0),AssetMonthlyReturns[[#This Row],[SPY]:[PE]])</f>
        <v>-4.806164852998332E-2</v>
      </c>
      <c r="DD77" s="27">
        <f>IF(ISNUMBER(DD76),DD76*(1+PortfolioFrontier[[#This Row],[P27 Return]]),1+PortfolioFrontier[[#This Row],[P27 Return]])</f>
        <v>1.5707529819818764</v>
      </c>
      <c r="DE77" s="27">
        <f>MAX(DE76,PortfolioFrontier[[#This Row],[P27 Growth]])</f>
        <v>1.7782387807323972</v>
      </c>
      <c r="DF77" s="27">
        <f>PortfolioFrontier[[#This Row],[P27 Growth]]/PortfolioFrontier[[#This Row],[P27 HWM]]-1</f>
        <v>-0.11668050488982373</v>
      </c>
      <c r="DG77" s="28">
        <f>SUMPRODUCT(INDEX(PortfolioRef[[SPY]:[PE]],MATCH(DG$1,PortfolioRef[Reference '#]),0),AssetMonthlyReturns[[#This Row],[SPY]:[PE]])</f>
        <v>-5.5314376319241423E-2</v>
      </c>
      <c r="DH77" s="27">
        <f>IF(ISNUMBER(DH76),DH76*(1+PortfolioFrontier[[#This Row],[P28 Return]]),1+PortfolioFrontier[[#This Row],[P28 Return]])</f>
        <v>1.5814786880902887</v>
      </c>
      <c r="DI77" s="27">
        <f>MAX(DI76,PortfolioFrontier[[#This Row],[P28 Growth]])</f>
        <v>1.8327167417336543</v>
      </c>
      <c r="DJ77" s="27">
        <f>PortfolioFrontier[[#This Row],[P28 Growth]]/PortfolioFrontier[[#This Row],[P28 HWM]]-1</f>
        <v>-0.13708504316150216</v>
      </c>
      <c r="DK77" s="28">
        <f>SUMPRODUCT(INDEX(PortfolioRef[[SPY]:[PE]],MATCH(DK$1,PortfolioRef[Reference '#]),0),AssetMonthlyReturns[[#This Row],[SPY]:[PE]])</f>
        <v>-5.12960248220364E-2</v>
      </c>
      <c r="DL77" s="27">
        <f>IF(ISNUMBER(DL76),DL76*(1+PortfolioFrontier[[#This Row],[P29 Return]]),1+PortfolioFrontier[[#This Row],[P29 Return]])</f>
        <v>1.5723919534594195</v>
      </c>
      <c r="DM77" s="27">
        <f>MAX(DM76,PortfolioFrontier[[#This Row],[P29 Growth]])</f>
        <v>1.7990232294645383</v>
      </c>
      <c r="DN77" s="27">
        <f>PortfolioFrontier[[#This Row],[P29 Growth]]/PortfolioFrontier[[#This Row],[P29 HWM]]-1</f>
        <v>-0.12597462461481024</v>
      </c>
      <c r="DO77" s="28">
        <f>SUMPRODUCT(INDEX(PortfolioRef[[SPY]:[PE]],MATCH(DO$1,PortfolioRef[Reference '#]),0),AssetMonthlyReturns[[#This Row],[SPY]:[PE]])</f>
        <v>-4.7277673324831383E-2</v>
      </c>
      <c r="DP77" s="27">
        <f>IF(ISNUMBER(DP76),DP76*(1+PortfolioFrontier[[#This Row],[P30 Return]]),1+PortfolioFrontier[[#This Row],[P30 Return]])</f>
        <v>1.5625330047909998</v>
      </c>
      <c r="DQ77" s="27">
        <f>MAX(DQ76,PortfolioFrontier[[#This Row],[P30 Growth]])</f>
        <v>1.7651792866223672</v>
      </c>
      <c r="DR77" s="27">
        <f>PortfolioFrontier[[#This Row],[P30 Growth]]/PortfolioFrontier[[#This Row],[P30 HWM]]-1</f>
        <v>-0.11480209594976998</v>
      </c>
      <c r="DS77" s="28">
        <f>SUMPRODUCT(INDEX(PortfolioRef[[SPY]:[PE]],MATCH(DS$1,PortfolioRef[Reference '#]),0),AssetMonthlyReturns[[#This Row],[SPY]:[PE]])</f>
        <v>-5.8548752611294511E-2</v>
      </c>
      <c r="DT77" s="27">
        <f>IF(ISNUMBER(DT76),DT76*(1+PortfolioFrontier[[#This Row],[P31 Return]]),1+PortfolioFrontier[[#This Row],[P31 Return]])</f>
        <v>1.5815921171689156</v>
      </c>
      <c r="DU77" s="27">
        <f>MAX(DU76,PortfolioFrontier[[#This Row],[P31 Growth]])</f>
        <v>1.8525428026208837</v>
      </c>
      <c r="DV77" s="27">
        <f>PortfolioFrontier[[#This Row],[P31 Growth]]/PortfolioFrontier[[#This Row],[P31 HWM]]-1</f>
        <v>-0.14625879902404459</v>
      </c>
      <c r="DW77" s="28">
        <f>SUMPRODUCT(INDEX(PortfolioRef[[SPY]:[PE]],MATCH(DW$1,PortfolioRef[Reference '#]),0),AssetMonthlyReturns[[#This Row],[SPY]:[PE]])</f>
        <v>-5.4530401114089494E-2</v>
      </c>
      <c r="DX77" s="27">
        <f>IF(ISNUMBER(DX76),DX76*(1+PortfolioFrontier[[#This Row],[P32 Return]]),1+PortfolioFrontier[[#This Row],[P32 Return]])</f>
        <v>1.5731239058509268</v>
      </c>
      <c r="DY77" s="27">
        <f>MAX(DY76,PortfolioFrontier[[#This Row],[P32 Growth]])</f>
        <v>1.8190908915066115</v>
      </c>
      <c r="DZ77" s="27">
        <f>PortfolioFrontier[[#This Row],[P32 Growth]]/PortfolioFrontier[[#This Row],[P32 HWM]]-1</f>
        <v>-0.13521423630018259</v>
      </c>
      <c r="EA77" s="28">
        <f>SUMPRODUCT(INDEX(PortfolioRef[[SPY]:[PE]],MATCH(EA$1,PortfolioRef[Reference '#]),0),AssetMonthlyReturns[[#This Row],[SPY]:[PE]])</f>
        <v>-5.051204961688447E-2</v>
      </c>
      <c r="EB77" s="27">
        <f>IF(ISNUMBER(EB76),EB76*(1+PortfolioFrontier[[#This Row],[P33 Return]]),1+PortfolioFrontier[[#This Row],[P33 Return]])</f>
        <v>1.5638717842740619</v>
      </c>
      <c r="EC77" s="27">
        <f>MAX(EC76,PortfolioFrontier[[#This Row],[P33 Growth]])</f>
        <v>1.7854600976944932</v>
      </c>
      <c r="ED77" s="27">
        <f>PortfolioFrontier[[#This Row],[P33 Growth]]/PortfolioFrontier[[#This Row],[P33 HWM]]-1</f>
        <v>-0.12410712157978832</v>
      </c>
      <c r="EE77" s="28">
        <f>SUMPRODUCT(INDEX(PortfolioRef[[SPY]:[PE]],MATCH(EE$1,PortfolioRef[Reference '#]),0),AssetMonthlyReturns[[#This Row],[SPY]:[PE]])</f>
        <v>-4.5289889835483023E-2</v>
      </c>
      <c r="EF77" s="27">
        <f>IF(ISNUMBER(EF76),EF76*(1+PortfolioFrontier[[#This Row],[P34 Return]]),1+PortfolioFrontier[[#This Row],[P34 Return]])</f>
        <v>1.4654833086590091</v>
      </c>
      <c r="EG77" s="27">
        <f>MAX(EG76,PortfolioFrontier[[#This Row],[P34 Growth]])</f>
        <v>1.6763614413137211</v>
      </c>
      <c r="EH77" s="27">
        <f>PortfolioFrontier[[#This Row],[P34 Growth]]/PortfolioFrontier[[#This Row],[P34 HWM]]-1</f>
        <v>-0.12579514623615551</v>
      </c>
      <c r="EI77" s="28">
        <f>SUMPRODUCT(INDEX(PortfolioRef[[SPY]:[PE]],MATCH(EI$1,PortfolioRef[Reference '#]),0),AssetMonthlyReturns[[#This Row],[SPY]:[PE]])</f>
        <v>-4.5294481288442351E-2</v>
      </c>
      <c r="EJ77" s="27">
        <f>IF(ISNUMBER(EJ76),EJ76*(1+PortfolioFrontier[[#This Row],[P35 Return]]),1+PortfolioFrontier[[#This Row],[P35 Return]])</f>
        <v>1.4861909850434698</v>
      </c>
      <c r="EK77" s="27">
        <f>MAX(EK76,PortfolioFrontier[[#This Row],[P35 Growth]])</f>
        <v>1.6920729334369538</v>
      </c>
      <c r="EL77" s="27">
        <f>PortfolioFrontier[[#This Row],[P35 Growth]]/PortfolioFrontier[[#This Row],[P35 HWM]]-1</f>
        <v>-0.12167439377172395</v>
      </c>
      <c r="EM77" s="28">
        <f>SUMPRODUCT(INDEX(PortfolioRef[[SPY]:[PE]],MATCH(EM$1,PortfolioRef[Reference '#]),0),AssetMonthlyReturns[[#This Row],[SPY]:[PE]])</f>
        <v>-4.8528857580495438E-2</v>
      </c>
      <c r="EN77" s="27">
        <f>IF(ISNUMBER(EN76),EN76*(1+PortfolioFrontier[[#This Row],[P36 Return]]),1+PortfolioFrontier[[#This Row],[P36 Return]])</f>
        <v>1.4878937738713083</v>
      </c>
      <c r="EO77" s="27">
        <f>MAX(EO76,PortfolioFrontier[[#This Row],[P36 Growth]])</f>
        <v>1.7120343963250326</v>
      </c>
      <c r="EP77" s="27">
        <f>PortfolioFrontier[[#This Row],[P36 Growth]]/PortfolioFrontier[[#This Row],[P36 HWM]]-1</f>
        <v>-0.13092063041189672</v>
      </c>
      <c r="EQ77" s="28">
        <f>SUMPRODUCT(INDEX(PortfolioRef[[SPY]:[PE]],MATCH(EQ$1,PortfolioRef[Reference '#]),0),AssetMonthlyReturns[[#This Row],[SPY]:[PE]])</f>
        <v>-4.4510506083290421E-2</v>
      </c>
      <c r="ER77" s="27">
        <f>IF(ISNUMBER(ER76),ER76*(1+PortfolioFrontier[[#This Row],[P37 Return]]),1+PortfolioFrontier[[#This Row],[P37 Return]])</f>
        <v>1.4782281889857767</v>
      </c>
      <c r="ES77" s="27">
        <f>MAX(ES76,PortfolioFrontier[[#This Row],[P37 Growth]])</f>
        <v>1.6794736802569215</v>
      </c>
      <c r="ET77" s="27">
        <f>PortfolioFrontier[[#This Row],[P37 Growth]]/PortfolioFrontier[[#This Row],[P37 HWM]]-1</f>
        <v>-0.11982652281895767</v>
      </c>
      <c r="EU77" s="28">
        <f>SUMPRODUCT(INDEX(PortfolioRef[[SPY]:[PE]],MATCH(EU$1,PortfolioRef[Reference '#]),0),AssetMonthlyReturns[[#This Row],[SPY]:[PE]])</f>
        <v>-4.5299072741401693E-2</v>
      </c>
      <c r="EV77" s="27">
        <f>IF(ISNUMBER(EV76),EV76*(1+PortfolioFrontier[[#This Row],[P38 Return]]),1+PortfolioFrontier[[#This Row],[P38 Return]])</f>
        <v>1.5068578711842853</v>
      </c>
      <c r="EW77" s="27">
        <f>MAX(EW76,PortfolioFrontier[[#This Row],[P38 Growth]])</f>
        <v>1.7075928941250238</v>
      </c>
      <c r="EX77" s="27">
        <f>PortfolioFrontier[[#This Row],[P38 Growth]]/PortfolioFrontier[[#This Row],[P38 HWM]]-1</f>
        <v>-0.11755437940235502</v>
      </c>
      <c r="EY77" s="28">
        <f>SUMPRODUCT(INDEX(PortfolioRef[[SPY]:[PE]],MATCH(EY$1,PortfolioRef[Reference '#]),0),AssetMonthlyReturns[[#This Row],[SPY]:[PE]])</f>
        <v>-4.8533449033454773E-2</v>
      </c>
      <c r="EZ77" s="27">
        <f>IF(ISNUMBER(EZ76),EZ76*(1+PortfolioFrontier[[#This Row],[P39 Return]]),1+PortfolioFrontier[[#This Row],[P39 Return]])</f>
        <v>1.5088670292656594</v>
      </c>
      <c r="FA77" s="27">
        <f>MAX(FA76,PortfolioFrontier[[#This Row],[P39 Growth]])</f>
        <v>1.7280388577532122</v>
      </c>
      <c r="FB77" s="27">
        <f>PortfolioFrontier[[#This Row],[P39 Growth]]/PortfolioFrontier[[#This Row],[P39 HWM]]-1</f>
        <v>-0.12683269679046394</v>
      </c>
      <c r="FC77" s="28">
        <f>SUMPRODUCT(INDEX(PortfolioRef[[SPY]:[PE]],MATCH(FC$1,PortfolioRef[Reference '#]),0),AssetMonthlyReturns[[#This Row],[SPY]:[PE]])</f>
        <v>-4.4515097536249756E-2</v>
      </c>
      <c r="FD77" s="27">
        <f>IF(ISNUMBER(FD76),FD76*(1+PortfolioFrontier[[#This Row],[P40 Return]]),1+PortfolioFrontier[[#This Row],[P40 Return]])</f>
        <v>1.4991225429887729</v>
      </c>
      <c r="FE77" s="27">
        <f>MAX(FE76,PortfolioFrontier[[#This Row],[P40 Growth]])</f>
        <v>1.6952394830468527</v>
      </c>
      <c r="FF77" s="27">
        <f>PortfolioFrontier[[#This Row],[P40 Growth]]/PortfolioFrontier[[#This Row],[P40 HWM]]-1</f>
        <v>-0.11568686431583042</v>
      </c>
      <c r="FG77" s="28">
        <f>SUMPRODUCT(INDEX(PortfolioRef[[SPY]:[PE]],MATCH(FG$1,PortfolioRef[Reference '#]),0),AssetMonthlyReturns[[#This Row],[SPY]:[PE]])</f>
        <v>-5.176782532550786E-2</v>
      </c>
      <c r="FH77" s="27">
        <f>IF(ISNUMBER(FH76),FH76*(1+PortfolioFrontier[[#This Row],[P41 Return]]),1+PortfolioFrontier[[#This Row],[P41 Return]])</f>
        <v>1.5100079496659422</v>
      </c>
      <c r="FI77" s="27">
        <f>MAX(FI76,PortfolioFrontier[[#This Row],[P41 Growth]])</f>
        <v>1.7478091274239449</v>
      </c>
      <c r="FJ77" s="27">
        <f>PortfolioFrontier[[#This Row],[P41 Growth]]/PortfolioFrontier[[#This Row],[P41 HWM]]-1</f>
        <v>-0.13605672039743399</v>
      </c>
      <c r="FK77" s="28">
        <f>SUMPRODUCT(INDEX(PortfolioRef[[SPY]:[PE]],MATCH(FK$1,PortfolioRef[Reference '#]),0),AssetMonthlyReturns[[#This Row],[SPY]:[PE]])</f>
        <v>-4.7749473828302844E-2</v>
      </c>
      <c r="FL77" s="27">
        <f>IF(ISNUMBER(FL76),FL76*(1+PortfolioFrontier[[#This Row],[P42 Return]]),1+PortfolioFrontier[[#This Row],[P42 Return]])</f>
        <v>1.5008410772359284</v>
      </c>
      <c r="FM77" s="27">
        <f>MAX(FM76,PortfolioFrontier[[#This Row],[P42 Growth]])</f>
        <v>1.7151998522045959</v>
      </c>
      <c r="FN77" s="27">
        <f>PortfolioFrontier[[#This Row],[P42 Growth]]/PortfolioFrontier[[#This Row],[P42 HWM]]-1</f>
        <v>-0.12497597565271823</v>
      </c>
      <c r="FO77" s="28">
        <f>SUMPRODUCT(INDEX(PortfolioRef[[SPY]:[PE]],MATCH(FO$1,PortfolioRef[Reference '#]),0),AssetMonthlyReturns[[#This Row],[SPY]:[PE]])</f>
        <v>-4.3731122331097827E-2</v>
      </c>
      <c r="FP77" s="27">
        <f>IF(ISNUMBER(FP76),FP76*(1+PortfolioFrontier[[#This Row],[P43 Return]]),1+PortfolioFrontier[[#This Row],[P43 Return]])</f>
        <v>1.4909444682414486</v>
      </c>
      <c r="FQ77" s="27">
        <f>MAX(FQ76,PortfolioFrontier[[#This Row],[P43 Growth]])</f>
        <v>1.6824667632825669</v>
      </c>
      <c r="FR77" s="27">
        <f>PortfolioFrontier[[#This Row],[P43 Growth]]/PortfolioFrontier[[#This Row],[P43 HWM]]-1</f>
        <v>-0.11383422200118232</v>
      </c>
      <c r="FS77" s="28">
        <f>SUMPRODUCT(INDEX(PortfolioRef[[SPY]:[PE]],MATCH(FS$1,PortfolioRef[Reference '#]),0),AssetMonthlyReturns[[#This Row],[SPY]:[PE]])</f>
        <v>-4.8538040486414115E-2</v>
      </c>
      <c r="FT77" s="27">
        <f>IF(ISNUMBER(FT76),FT76*(1+PortfolioFrontier[[#This Row],[P44 Return]]),1+PortfolioFrontier[[#This Row],[P44 Return]])</f>
        <v>1.5297979640242942</v>
      </c>
      <c r="FU77" s="27">
        <f>MAX(FU76,PortfolioFrontier[[#This Row],[P44 Growth]])</f>
        <v>1.7438475694471607</v>
      </c>
      <c r="FV77" s="27">
        <f>PortfolioFrontier[[#This Row],[P44 Growth]]/PortfolioFrontier[[#This Row],[P44 HWM]]-1</f>
        <v>-0.12274559380825067</v>
      </c>
      <c r="FW77" s="28">
        <f>SUMPRODUCT(INDEX(PortfolioRef[[SPY]:[PE]],MATCH(FW$1,PortfolioRef[Reference '#]),0),AssetMonthlyReturns[[#This Row],[SPY]:[PE]])</f>
        <v>-4.4519688989209098E-2</v>
      </c>
      <c r="FX77" s="27">
        <f>IF(ISNUMBER(FX76),FX76*(1+PortfolioFrontier[[#This Row],[P45 Return]]),1+PortfolioFrontier[[#This Row],[P45 Return]])</f>
        <v>1.5199761760687491</v>
      </c>
      <c r="FY77" s="27">
        <f>MAX(FY76,PortfolioFrontier[[#This Row],[P45 Growth]])</f>
        <v>1.7108140158896465</v>
      </c>
      <c r="FZ77" s="27">
        <f>PortfolioFrontier[[#This Row],[P45 Growth]]/PortfolioFrontier[[#This Row],[P45 HWM]]-1</f>
        <v>-0.11154797543651118</v>
      </c>
      <c r="GA77" s="28">
        <f>SUMPRODUCT(INDEX(PortfolioRef[[SPY]:[PE]],MATCH(GA$1,PortfolioRef[Reference '#]),0),AssetMonthlyReturns[[#This Row],[SPY]:[PE]])</f>
        <v>-5.1772416778467195E-2</v>
      </c>
      <c r="GB77" s="27">
        <f>IF(ISNUMBER(GB76),GB76*(1+PortfolioFrontier[[#This Row],[P46 Return]]),1+PortfolioFrontier[[#This Row],[P46 Return]])</f>
        <v>1.5312414571027833</v>
      </c>
      <c r="GC77" s="27">
        <f>MAX(GC76,PortfolioFrontier[[#This Row],[P46 Growth]])</f>
        <v>1.7641061270089846</v>
      </c>
      <c r="GD77" s="27">
        <f>PortfolioFrontier[[#This Row],[P46 Growth]]/PortfolioFrontier[[#This Row],[P46 HWM]]-1</f>
        <v>-0.13200150849258707</v>
      </c>
      <c r="GE77" s="28">
        <f>SUMPRODUCT(INDEX(PortfolioRef[[SPY]:[PE]],MATCH(GE$1,PortfolioRef[Reference '#]),0),AssetMonthlyReturns[[#This Row],[SPY]:[PE]])</f>
        <v>-4.7754065281262179E-2</v>
      </c>
      <c r="GF77" s="27">
        <f>IF(ISNUMBER(GF76),GF76*(1+PortfolioFrontier[[#This Row],[P47 Return]]),1+PortfolioFrontier[[#This Row],[P47 Return]])</f>
        <v>1.522003496998017</v>
      </c>
      <c r="GG77" s="27">
        <f>MAX(GG76,PortfolioFrontier[[#This Row],[P47 Growth]])</f>
        <v>1.7312596087544752</v>
      </c>
      <c r="GH77" s="27">
        <f>PortfolioFrontier[[#This Row],[P47 Growth]]/PortfolioFrontier[[#This Row],[P47 HWM]]-1</f>
        <v>-0.12086928540255371</v>
      </c>
      <c r="GI77" s="28">
        <f>SUMPRODUCT(INDEX(PortfolioRef[[SPY]:[PE]],MATCH(GI$1,PortfolioRef[Reference '#]),0),AssetMonthlyReturns[[#This Row],[SPY]:[PE]])</f>
        <v>-4.3735713784057162E-2</v>
      </c>
      <c r="GJ77" s="27">
        <f>IF(ISNUMBER(GJ76),GJ76*(1+PortfolioFrontier[[#This Row],[P48 Return]]),1+PortfolioFrontier[[#This Row],[P48 Return]])</f>
        <v>1.5120253430973651</v>
      </c>
      <c r="GK77" s="27">
        <f>MAX(GK76,PortfolioFrontier[[#This Row],[P48 Growth]])</f>
        <v>1.6982858835097865</v>
      </c>
      <c r="GL77" s="27">
        <f>PortfolioFrontier[[#This Row],[P48 Growth]]/PortfolioFrontier[[#This Row],[P48 HWM]]-1</f>
        <v>-0.10967561010840143</v>
      </c>
      <c r="GM77" s="28">
        <f>SUMPRODUCT(INDEX(PortfolioRef[[SPY]:[PE]],MATCH(GM$1,PortfolioRef[Reference '#]),0),AssetMonthlyReturns[[#This Row],[SPY]:[PE]])</f>
        <v>-5.5006793070520289E-2</v>
      </c>
      <c r="GN77" s="27">
        <f>IF(ISNUMBER(GN76),GN76*(1+PortfolioFrontier[[#This Row],[P49 Return]]),1+PortfolioFrontier[[#This Row],[P49 Return]])</f>
        <v>1.5317995576883785</v>
      </c>
      <c r="GO77" s="27">
        <f>MAX(GO76,PortfolioFrontier[[#This Row],[P49 Growth]])</f>
        <v>1.7836571071341945</v>
      </c>
      <c r="GP77" s="27">
        <f>PortfolioFrontier[[#This Row],[P49 Growth]]/PortfolioFrontier[[#This Row],[P49 HWM]]-1</f>
        <v>-0.14120289625088089</v>
      </c>
      <c r="GQ77" s="28">
        <f>SUMPRODUCT(INDEX(PortfolioRef[[SPY]:[PE]],MATCH(GQ$1,PortfolioRef[Reference '#]),0),AssetMonthlyReturns[[#This Row],[SPY]:[PE]])</f>
        <v>-5.0988441573315266E-2</v>
      </c>
      <c r="GR77" s="27">
        <f>IF(ISNUMBER(GR76),GR76*(1+PortfolioFrontier[[#This Row],[P50 Return]]),1+PortfolioFrontier[[#This Row],[P50 Return]])</f>
        <v>1.5231554464836976</v>
      </c>
      <c r="GS77" s="27">
        <f>MAX(GS76,PortfolioFrontier[[#This Row],[P50 Growth]])</f>
        <v>1.7510275614895194</v>
      </c>
      <c r="GT77" s="27">
        <f>PortfolioFrontier[[#This Row],[P50 Growth]]/PortfolioFrontier[[#This Row],[P50 HWM]]-1</f>
        <v>-0.1301362240192161</v>
      </c>
      <c r="GU77" s="28">
        <f>SUMPRODUCT(INDEX(PortfolioRef[[SPY]:[PE]],MATCH(GU$1,PortfolioRef[Reference '#]),0),AssetMonthlyReturns[[#This Row],[SPY]:[PE]])</f>
        <v>-4.6970090076110249E-2</v>
      </c>
      <c r="GV77" s="27">
        <f>IF(ISNUMBER(GV76),GV76*(1+PortfolioFrontier[[#This Row],[P51 Return]]),1+PortfolioFrontier[[#This Row],[P51 Return]])</f>
        <v>1.5137594047382552</v>
      </c>
      <c r="GW77" s="27">
        <f>MAX(GW76,PortfolioFrontier[[#This Row],[P51 Growth]])</f>
        <v>1.7182435242855478</v>
      </c>
      <c r="GX77" s="27">
        <f>PortfolioFrontier[[#This Row],[P51 Growth]]/PortfolioFrontier[[#This Row],[P51 HWM]]-1</f>
        <v>-0.11900764743595815</v>
      </c>
      <c r="GY77" s="28">
        <f>SUMPRODUCT(INDEX(PortfolioRef[[SPY]:[PE]],MATCH(GY$1,PortfolioRef[Reference '#]),0),AssetMonthlyReturns[[#This Row],[SPY]:[PE]])</f>
        <v>-5.177700823142653E-2</v>
      </c>
      <c r="GZ77" s="27">
        <f>IF(ISNUMBER(GZ76),GZ76*(1+PortfolioFrontier[[#This Row],[P52 Return]]),1+PortfolioFrontier[[#This Row],[P52 Return]])</f>
        <v>1.5524311011066441</v>
      </c>
      <c r="HA77" s="27">
        <f>MAX(HA76,PortfolioFrontier[[#This Row],[P52 Growth]])</f>
        <v>1.7802031417261526</v>
      </c>
      <c r="HB77" s="27">
        <f>PortfolioFrontier[[#This Row],[P52 Growth]]/PortfolioFrontier[[#This Row],[P52 HWM]]-1</f>
        <v>-0.12794721865205338</v>
      </c>
      <c r="HC77" s="28">
        <f>SUMPRODUCT(INDEX(PortfolioRef[[SPY]:[PE]],MATCH(HC$1,PortfolioRef[Reference '#]),0),AssetMonthlyReturns[[#This Row],[SPY]:[PE]])</f>
        <v>-4.7758656734221513E-2</v>
      </c>
      <c r="HD77" s="27">
        <f>IF(ISNUMBER(HD76),HD76*(1+PortfolioFrontier[[#This Row],[P53 Return]]),1+PortfolioFrontier[[#This Row],[P53 Return]])</f>
        <v>1.5431236570966123</v>
      </c>
      <c r="HE77" s="27">
        <f>MAX(HE76,PortfolioFrontier[[#This Row],[P53 Growth]])</f>
        <v>1.7471238825308339</v>
      </c>
      <c r="HF77" s="27">
        <f>PortfolioFrontier[[#This Row],[P53 Growth]]/PortfolioFrontier[[#This Row],[P53 HWM]]-1</f>
        <v>-0.1167634576311285</v>
      </c>
      <c r="HG77" s="28">
        <f>SUMPRODUCT(INDEX(PortfolioRef[[SPY]:[PE]],MATCH(HG$1,PortfolioRef[Reference '#]),0),AssetMonthlyReturns[[#This Row],[SPY]:[PE]])</f>
        <v>-4.3740305237016497E-2</v>
      </c>
      <c r="HH77" s="27">
        <f>IF(ISNUMBER(HH76),HH76*(1+PortfolioFrontier[[#This Row],[P54 Return]]),1+PortfolioFrontier[[#This Row],[P54 Return]])</f>
        <v>1.533065575472782</v>
      </c>
      <c r="HI77" s="27">
        <f>MAX(HI76,PortfolioFrontier[[#This Row],[P54 Growth]])</f>
        <v>1.7139140104060526</v>
      </c>
      <c r="HJ77" s="27">
        <f>PortfolioFrontier[[#This Row],[P54 Growth]]/PortfolioFrontier[[#This Row],[P54 HWM]]-1</f>
        <v>-0.10551779951342177</v>
      </c>
      <c r="HK77" s="28">
        <f>SUMPRODUCT(INDEX(PortfolioRef[[SPY]:[PE]],MATCH(HK$1,PortfolioRef[Reference '#]),0),AssetMonthlyReturns[[#This Row],[SPY]:[PE]])</f>
        <v>-5.5011384523479617E-2</v>
      </c>
      <c r="HL77" s="27">
        <f>IF(ISNUMBER(HL76),HL76*(1+PortfolioFrontier[[#This Row],[P55 Return]]),1+PortfolioFrontier[[#This Row],[P55 Return]])</f>
        <v>1.5532876667152791</v>
      </c>
      <c r="HM77" s="27">
        <f>MAX(HM76,PortfolioFrontier[[#This Row],[P55 Growth]])</f>
        <v>1.8002459621778737</v>
      </c>
      <c r="HN77" s="27">
        <f>PortfolioFrontier[[#This Row],[P55 Growth]]/PortfolioFrontier[[#This Row],[P55 HWM]]-1</f>
        <v>-0.13718030794182878</v>
      </c>
      <c r="HO77" s="28">
        <f>SUMPRODUCT(INDEX(PortfolioRef[[SPY]:[PE]],MATCH(HO$1,PortfolioRef[Reference '#]),0),AssetMonthlyReturns[[#This Row],[SPY]:[PE]])</f>
        <v>-5.0993033026274601E-2</v>
      </c>
      <c r="HP77" s="27">
        <f>IF(ISNUMBER(HP76),HP76*(1+PortfolioFrontier[[#This Row],[P56 Return]]),1+PortfolioFrontier[[#This Row],[P56 Return]])</f>
        <v>1.5445805617878778</v>
      </c>
      <c r="HQ77" s="27">
        <f>MAX(HQ76,PortfolioFrontier[[#This Row],[P56 Growth]])</f>
        <v>1.767380839986993</v>
      </c>
      <c r="HR77" s="27">
        <f>PortfolioFrontier[[#This Row],[P56 Growth]]/PortfolioFrontier[[#This Row],[P56 HWM]]-1</f>
        <v>-0.12606240441123873</v>
      </c>
      <c r="HS77" s="28">
        <f>SUMPRODUCT(INDEX(PortfolioRef[[SPY]:[PE]],MATCH(HS$1,PortfolioRef[Reference '#]),0),AssetMonthlyReturns[[#This Row],[SPY]:[PE]])</f>
        <v>-4.6974681529069577E-2</v>
      </c>
      <c r="HT77" s="27">
        <f>IF(ISNUMBER(HT76),HT76*(1+PortfolioFrontier[[#This Row],[P57 Return]]),1+PortfolioFrontier[[#This Row],[P57 Return]])</f>
        <v>1.5351108308318355</v>
      </c>
      <c r="HU77" s="27">
        <f>MAX(HU76,PortfolioFrontier[[#This Row],[P57 Growth]])</f>
        <v>1.7343575628436463</v>
      </c>
      <c r="HV77" s="27">
        <f>PortfolioFrontier[[#This Row],[P57 Growth]]/PortfolioFrontier[[#This Row],[P57 HWM]]-1</f>
        <v>-0.11488215364606047</v>
      </c>
      <c r="HW77" s="28">
        <f>SUMPRODUCT(INDEX(PortfolioRef[[SPY]:[PE]],MATCH(HW$1,PortfolioRef[Reference '#]),0),AssetMonthlyReturns[[#This Row],[SPY]:[PE]])</f>
        <v>-5.8245760815532704E-2</v>
      </c>
      <c r="HX77" s="27">
        <f>IF(ISNUMBER(HX76),HX76*(1+PortfolioFrontier[[#This Row],[P58 Return]]),1+PortfolioFrontier[[#This Row],[P58 Return]])</f>
        <v>1.5532420534448597</v>
      </c>
      <c r="HY77" s="27">
        <f>MAX(HY76,PortfolioFrontier[[#This Row],[P58 Growth]])</f>
        <v>1.8195487359549802</v>
      </c>
      <c r="HZ77" s="27">
        <f>PortfolioFrontier[[#This Row],[P58 Growth]]/PortfolioFrontier[[#This Row],[P58 HWM]]-1</f>
        <v>-0.14635864225442197</v>
      </c>
      <c r="IA77" s="28">
        <f>SUMPRODUCT(INDEX(PortfolioRef[[SPY]:[PE]],MATCH(IA$1,PortfolioRef[Reference '#]),0),AssetMonthlyReturns[[#This Row],[SPY]:[PE]])</f>
        <v>-5.4227409318327688E-2</v>
      </c>
      <c r="IB77" s="27">
        <f>IF(ISNUMBER(IB76),IB76*(1+PortfolioFrontier[[#This Row],[P59 Return]]),1+PortfolioFrontier[[#This Row],[P59 Return]])</f>
        <v>1.5451447971604477</v>
      </c>
      <c r="IC77" s="27">
        <f>MAX(IC76,PortfolioFrontier[[#This Row],[P59 Growth]])</f>
        <v>1.7869282396294996</v>
      </c>
      <c r="ID77" s="27">
        <f>PortfolioFrontier[[#This Row],[P59 Growth]]/PortfolioFrontier[[#This Row],[P59 HWM]]-1</f>
        <v>-0.13530674433752476</v>
      </c>
      <c r="IE77" s="28">
        <f>SUMPRODUCT(INDEX(PortfolioRef[[SPY]:[PE]],MATCH(IE$1,PortfolioRef[Reference '#]),0),AssetMonthlyReturns[[#This Row],[SPY]:[PE]])</f>
        <v>-5.0209057821122671E-2</v>
      </c>
      <c r="IF77" s="27">
        <f>IF(ISNUMBER(IF76),IF76*(1+PortfolioFrontier[[#This Row],[P60 Return]]),1+PortfolioFrontier[[#This Row],[P60 Return]])</f>
        <v>1.5362735971152708</v>
      </c>
      <c r="IG77" s="27">
        <f>MAX(IG76,PortfolioFrontier[[#This Row],[P60 Growth]])</f>
        <v>1.7541215677111524</v>
      </c>
      <c r="IH77" s="27">
        <f>PortfolioFrontier[[#This Row],[P60 Growth]]/PortfolioFrontier[[#This Row],[P60 HWM]]-1</f>
        <v>-0.12419205977846692</v>
      </c>
      <c r="II77" s="28">
        <f>SUMPRODUCT(INDEX(PortfolioRef[[SPY]:[PE]],MATCH(II$1,PortfolioRef[Reference '#]),0),AssetMonthlyReturns[[#This Row],[SPY]:[PE]])</f>
        <v>-4.1747930294708802E-2</v>
      </c>
      <c r="IJ77" s="27">
        <f>IF(ISNUMBER(IJ76),IJ76*(1+PortfolioFrontier[[#This Row],[P61 Return]]),1+PortfolioFrontier[[#This Row],[P61 Return]])</f>
        <v>1.4174920609847677</v>
      </c>
      <c r="IK77" s="27">
        <f>MAX(IK76,PortfolioFrontier[[#This Row],[P61 Growth]])</f>
        <v>1.6121264956964798</v>
      </c>
      <c r="IL77" s="27">
        <f>PortfolioFrontier[[#This Row],[P61 Growth]]/PortfolioFrontier[[#This Row],[P61 HWM]]-1</f>
        <v>-0.12073149050727883</v>
      </c>
      <c r="IM77" s="28">
        <f>SUMPRODUCT(INDEX(PortfolioRef[[SPY]:[PE]],MATCH(IM$1,PortfolioRef[Reference '#]),0),AssetMonthlyReturns[[#This Row],[SPY]:[PE]])</f>
        <v>-4.1752521747668137E-2</v>
      </c>
      <c r="IN77" s="27">
        <f>IF(ISNUMBER(IN76),IN76*(1+PortfolioFrontier[[#This Row],[P62 Return]]),1+PortfolioFrontier[[#This Row],[P62 Return]])</f>
        <v>1.4375476039463004</v>
      </c>
      <c r="IO77" s="27">
        <f>MAX(IO76,PortfolioFrontier[[#This Row],[P62 Growth]])</f>
        <v>1.6272630311124299</v>
      </c>
      <c r="IP77" s="27">
        <f>PortfolioFrontier[[#This Row],[P62 Growth]]/PortfolioFrontier[[#This Row],[P62 HWM]]-1</f>
        <v>-0.11658559405509028</v>
      </c>
      <c r="IQ77" s="28">
        <f>SUMPRODUCT(INDEX(PortfolioRef[[SPY]:[PE]],MATCH(IQ$1,PortfolioRef[Reference '#]),0),AssetMonthlyReturns[[#This Row],[SPY]:[PE]])</f>
        <v>-4.4986898039721224E-2</v>
      </c>
      <c r="IR77" s="27">
        <f>IF(ISNUMBER(IR76),IR76*(1+PortfolioFrontier[[#This Row],[P63 Return]]),1+PortfolioFrontier[[#This Row],[P63 Return]])</f>
        <v>1.4396100910543779</v>
      </c>
      <c r="IS77" s="27">
        <f>MAX(IS76,PortfolioFrontier[[#This Row],[P63 Growth]])</f>
        <v>1.646884909102555</v>
      </c>
      <c r="IT77" s="27">
        <f>PortfolioFrontier[[#This Row],[P63 Growth]]/PortfolioFrontier[[#This Row],[P63 HWM]]-1</f>
        <v>-0.12585871477875676</v>
      </c>
      <c r="IU77" s="28">
        <f>SUMPRODUCT(INDEX(PortfolioRef[[SPY]:[PE]],MATCH(IU$1,PortfolioRef[Reference '#]),0),AssetMonthlyReturns[[#This Row],[SPY]:[PE]])</f>
        <v>-4.0968546542516207E-2</v>
      </c>
      <c r="IV77" s="27">
        <f>IF(ISNUMBER(IV76),IV76*(1+PortfolioFrontier[[#This Row],[P64 Return]]),1+PortfolioFrontier[[#This Row],[P64 Return]])</f>
        <v>1.429847350417776</v>
      </c>
      <c r="IW77" s="27">
        <f>MAX(IW76,PortfolioFrontier[[#This Row],[P64 Growth]])</f>
        <v>1.6151793879801097</v>
      </c>
      <c r="IX77" s="27">
        <f>PortfolioFrontier[[#This Row],[P64 Growth]]/PortfolioFrontier[[#This Row],[P64 HWM]]-1</f>
        <v>-0.11474393429085539</v>
      </c>
      <c r="IY77" s="28">
        <f>SUMPRODUCT(INDEX(PortfolioRef[[SPY]:[PE]],MATCH(IY$1,PortfolioRef[Reference '#]),0),AssetMonthlyReturns[[#This Row],[SPY]:[PE]])</f>
        <v>-4.1757113200627471E-2</v>
      </c>
      <c r="IZ77" s="27">
        <f>IF(ISNUMBER(IZ76),IZ76*(1+PortfolioFrontier[[#This Row],[P65 Return]]),1+PortfolioFrontier[[#This Row],[P65 Return]])</f>
        <v>1.4575637322786881</v>
      </c>
      <c r="JA77" s="27">
        <f>MAX(JA76,PortfolioFrontier[[#This Row],[P65 Growth]])</f>
        <v>1.6422150953060746</v>
      </c>
      <c r="JB77" s="27">
        <f>PortfolioFrontier[[#This Row],[P65 Growth]]/PortfolioFrontier[[#This Row],[P65 HWM]]-1</f>
        <v>-0.11244042485979666</v>
      </c>
      <c r="JC77" s="28">
        <f>SUMPRODUCT(INDEX(PortfolioRef[[SPY]:[PE]],MATCH(JC$1,PortfolioRef[Reference '#]),0),AssetMonthlyReturns[[#This Row],[SPY]:[PE]])</f>
        <v>-4.4991489492680559E-2</v>
      </c>
      <c r="JD77" s="27">
        <f>IF(ISNUMBER(JD76),JD76*(1+PortfolioFrontier[[#This Row],[P66 Return]]),1+PortfolioFrontier[[#This Row],[P66 Return]])</f>
        <v>1.4599288737000107</v>
      </c>
      <c r="JE77" s="27">
        <f>MAX(JE76,PortfolioFrontier[[#This Row],[P66 Growth]])</f>
        <v>1.6623077877531292</v>
      </c>
      <c r="JF77" s="27">
        <f>PortfolioFrontier[[#This Row],[P66 Growth]]/PortfolioFrontier[[#This Row],[P66 HWM]]-1</f>
        <v>-0.12174575343033522</v>
      </c>
      <c r="JG77" s="28">
        <f>SUMPRODUCT(INDEX(PortfolioRef[[SPY]:[PE]],MATCH(JG$1,PortfolioRef[Reference '#]),0),AssetMonthlyReturns[[#This Row],[SPY]:[PE]])</f>
        <v>-4.0973137995475542E-2</v>
      </c>
      <c r="JH77" s="27">
        <f>IF(ISNUMBER(JH76),JH76*(1+PortfolioFrontier[[#This Row],[P67 Return]]),1+PortfolioFrontier[[#This Row],[P67 Return]])</f>
        <v>1.4500841252568584</v>
      </c>
      <c r="JI77" s="27">
        <f>MAX(JI76,PortfolioFrontier[[#This Row],[P67 Growth]])</f>
        <v>1.6303687537292939</v>
      </c>
      <c r="JJ77" s="27">
        <f>PortfolioFrontier[[#This Row],[P67 Growth]]/PortfolioFrontier[[#This Row],[P67 HWM]]-1</f>
        <v>-0.11057905032837123</v>
      </c>
      <c r="JK77" s="28">
        <f>SUMPRODUCT(INDEX(PortfolioRef[[SPY]:[PE]],MATCH(JK$1,PortfolioRef[Reference '#]),0),AssetMonthlyReturns[[#This Row],[SPY]:[PE]])</f>
        <v>-4.8225865784733646E-2</v>
      </c>
      <c r="JL77" s="27">
        <f>IF(ISNUMBER(JL76),JL76*(1+PortfolioFrontier[[#This Row],[P68 Return]]),1+PortfolioFrontier[[#This Row],[P68 Return]])</f>
        <v>1.4614565683354039</v>
      </c>
      <c r="JM77" s="27">
        <f>MAX(JM76,PortfolioFrontier[[#This Row],[P68 Growth]])</f>
        <v>1.6817622542850994</v>
      </c>
      <c r="JN77" s="27">
        <f>PortfolioFrontier[[#This Row],[P68 Growth]]/PortfolioFrontier[[#This Row],[P68 HWM]]-1</f>
        <v>-0.13099692622328785</v>
      </c>
      <c r="JO77" s="28">
        <f>SUMPRODUCT(INDEX(PortfolioRef[[SPY]:[PE]],MATCH(JO$1,PortfolioRef[Reference '#]),0),AssetMonthlyReturns[[#This Row],[SPY]:[PE]])</f>
        <v>-4.4207514287528622E-2</v>
      </c>
      <c r="JP77" s="27">
        <f>IF(ISNUMBER(JP76),JP76*(1+PortfolioFrontier[[#This Row],[P69 Return]]),1+PortfolioFrontier[[#This Row],[P69 Return]])</f>
        <v>1.4521655251705587</v>
      </c>
      <c r="JQ77" s="27">
        <f>MAX(JQ76,PortfolioFrontier[[#This Row],[P69 Growth]])</f>
        <v>1.6499912107010917</v>
      </c>
      <c r="JR77" s="27">
        <f>PortfolioFrontier[[#This Row],[P69 Growth]]/PortfolioFrontier[[#This Row],[P69 HWM]]-1</f>
        <v>-0.11989499352937494</v>
      </c>
      <c r="JS77" s="28">
        <f>SUMPRODUCT(INDEX(PortfolioRef[[SPY]:[PE]],MATCH(JS$1,PortfolioRef[Reference '#]),0),AssetMonthlyReturns[[#This Row],[SPY]:[PE]])</f>
        <v>-4.0189162790323606E-2</v>
      </c>
      <c r="JT77" s="27">
        <f>IF(ISNUMBER(JT76),JT76*(1+PortfolioFrontier[[#This Row],[P70 Return]]),1+PortfolioFrontier[[#This Row],[P70 Return]])</f>
        <v>1.4421755332674</v>
      </c>
      <c r="JU77" s="27">
        <f>MAX(JU76,PortfolioFrontier[[#This Row],[P70 Growth]])</f>
        <v>1.6181178918603722</v>
      </c>
      <c r="JV77" s="27">
        <f>PortfolioFrontier[[#This Row],[P70 Growth]]/PortfolioFrontier[[#This Row],[P70 HWM]]-1</f>
        <v>-0.10873271933894069</v>
      </c>
      <c r="JW77" s="28">
        <f>SUMPRODUCT(INDEX(PortfolioRef[[SPY]:[PE]],MATCH(JW$1,PortfolioRef[Reference '#]),0),AssetMonthlyReturns[[#This Row],[SPY]:[PE]])</f>
        <v>-4.4996080945639894E-2</v>
      </c>
      <c r="JX77" s="27">
        <f>IF(ISNUMBER(JX76),JX76*(1+PortfolioFrontier[[#This Row],[P71 Return]]),1+PortfolioFrontier[[#This Row],[P71 Return]])</f>
        <v>1.4802067464683186</v>
      </c>
      <c r="JY77" s="27">
        <f>MAX(JY76,PortfolioFrontier[[#This Row],[P71 Growth]])</f>
        <v>1.6775420819631024</v>
      </c>
      <c r="JZ77" s="27">
        <f>PortfolioFrontier[[#This Row],[P71 Growth]]/PortfolioFrontier[[#This Row],[P71 HWM]]-1</f>
        <v>-0.11763361266255501</v>
      </c>
      <c r="KA77" s="28">
        <f>SUMPRODUCT(INDEX(PortfolioRef[[SPY]:[PE]],MATCH(KA$1,PortfolioRef[Reference '#]),0),AssetMonthlyReturns[[#This Row],[SPY]:[PE]])</f>
        <v>-4.0977729448434877E-2</v>
      </c>
      <c r="KB77" s="27">
        <f>IF(ISNUMBER(KB76),KB76*(1+PortfolioFrontier[[#This Row],[P72 Return]]),1+PortfolioFrontier[[#This Row],[P72 Return]])</f>
        <v>1.4702815547606831</v>
      </c>
      <c r="KC77" s="27">
        <f>MAX(KC76,PortfolioFrontier[[#This Row],[P72 Growth]])</f>
        <v>1.6453738946019467</v>
      </c>
      <c r="KD77" s="27">
        <f>PortfolioFrontier[[#This Row],[P72 Growth]]/PortfolioFrontier[[#This Row],[P72 HWM]]-1</f>
        <v>-0.10641492515208673</v>
      </c>
      <c r="KE77" s="28">
        <f>SUMPRODUCT(INDEX(PortfolioRef[[SPY]:[PE]],MATCH(KE$1,PortfolioRef[Reference '#]),0),AssetMonthlyReturns[[#This Row],[SPY]:[PE]])</f>
        <v>-4.8230457237692981E-2</v>
      </c>
      <c r="KF77" s="27">
        <f>IF(ISNUMBER(KF76),KF76*(1+PortfolioFrontier[[#This Row],[P73 Return]]),1+PortfolioFrontier[[#This Row],[P73 Return]])</f>
        <v>1.482033606546745</v>
      </c>
      <c r="KG77" s="27">
        <f>MAX(KG76,PortfolioFrontier[[#This Row],[P73 Growth]])</f>
        <v>1.6974712283523181</v>
      </c>
      <c r="KH77" s="27">
        <f>PortfolioFrontier[[#This Row],[P73 Growth]]/PortfolioFrontier[[#This Row],[P73 HWM]]-1</f>
        <v>-0.12691680318769916</v>
      </c>
      <c r="KI77" s="28">
        <f>SUMPRODUCT(INDEX(PortfolioRef[[SPY]:[PE]],MATCH(KI$1,PortfolioRef[Reference '#]),0),AssetMonthlyReturns[[#This Row],[SPY]:[PE]])</f>
        <v>-4.4212105740487957E-2</v>
      </c>
      <c r="KJ77" s="27">
        <f>IF(ISNUMBER(KJ76),KJ76*(1+PortfolioFrontier[[#This Row],[P74 Return]]),1+PortfolioFrontier[[#This Row],[P74 Return]])</f>
        <v>1.472668008562837</v>
      </c>
      <c r="KK77" s="27">
        <f>MAX(KK76,PortfolioFrontier[[#This Row],[P74 Growth]])</f>
        <v>1.6654678920548054</v>
      </c>
      <c r="KL77" s="27">
        <f>PortfolioFrontier[[#This Row],[P74 Growth]]/PortfolioFrontier[[#This Row],[P74 HWM]]-1</f>
        <v>-0.1157631944823011</v>
      </c>
      <c r="KM77" s="28">
        <f>SUMPRODUCT(INDEX(PortfolioRef[[SPY]:[PE]],MATCH(KM$1,PortfolioRef[Reference '#]),0),AssetMonthlyReturns[[#This Row],[SPY]:[PE]])</f>
        <v>-4.0193754243282941E-2</v>
      </c>
      <c r="KN77" s="27">
        <f>IF(ISNUMBER(KN76),KN76*(1+PortfolioFrontier[[#This Row],[P75 Return]]),1+PortfolioFrontier[[#This Row],[P75 Return]])</f>
        <v>1.4625933966414548</v>
      </c>
      <c r="KO77" s="27">
        <f>MAX(KO76,PortfolioFrontier[[#This Row],[P75 Growth]])</f>
        <v>1.6333591346427441</v>
      </c>
      <c r="KP77" s="27">
        <f>PortfolioFrontier[[#This Row],[P75 Growth]]/PortfolioFrontier[[#This Row],[P75 HWM]]-1</f>
        <v>-0.10454880030939429</v>
      </c>
      <c r="KQ77" s="28">
        <f>SUMPRODUCT(INDEX(PortfolioRef[[SPY]:[PE]],MATCH(KQ$1,PortfolioRef[Reference '#]),0),AssetMonthlyReturns[[#This Row],[SPY]:[PE]])</f>
        <v>-5.1464833529746068E-2</v>
      </c>
      <c r="KR77" s="27">
        <f>IF(ISNUMBER(KR76),KR76*(1+PortfolioFrontier[[#This Row],[P76 Return]]),1+PortfolioFrontier[[#This Row],[P76 Return]])</f>
        <v>1.4830059782442095</v>
      </c>
      <c r="KS77" s="27">
        <f>MAX(KS76,PortfolioFrontier[[#This Row],[P76 Growth]])</f>
        <v>1.7167314071133803</v>
      </c>
      <c r="KT77" s="27">
        <f>PortfolioFrontier[[#This Row],[P76 Growth]]/PortfolioFrontier[[#This Row],[P76 HWM]]-1</f>
        <v>-0.13614560082067317</v>
      </c>
      <c r="KU77" s="28">
        <f>SUMPRODUCT(INDEX(PortfolioRef[[SPY]:[PE]],MATCH(KU$1,PortfolioRef[Reference '#]),0),AssetMonthlyReturns[[#This Row],[SPY]:[PE]])</f>
        <v>-4.7446482032541051E-2</v>
      </c>
      <c r="KV77" s="27">
        <f>IF(ISNUMBER(KV76),KV76*(1+PortfolioFrontier[[#This Row],[P77 Return]]),1+PortfolioFrontier[[#This Row],[P77 Return]])</f>
        <v>1.4742101206339062</v>
      </c>
      <c r="KW77" s="27">
        <f>MAX(KW76,PortfolioFrontier[[#This Row],[P77 Growth]])</f>
        <v>1.6849217747429484</v>
      </c>
      <c r="KX77" s="27">
        <f>PortfolioFrontier[[#This Row],[P77 Growth]]/PortfolioFrontier[[#This Row],[P77 HWM]]-1</f>
        <v>-0.12505723248854583</v>
      </c>
      <c r="KY77" s="28">
        <f>SUMPRODUCT(INDEX(PortfolioRef[[SPY]:[PE]],MATCH(KY$1,PortfolioRef[Reference '#]),0),AssetMonthlyReturns[[#This Row],[SPY]:[PE]])</f>
        <v>-4.3428130535336028E-2</v>
      </c>
      <c r="KZ77" s="27">
        <f>IF(ISNUMBER(KZ76),KZ76*(1+PortfolioFrontier[[#This Row],[P78 Return]]),1+PortfolioFrontier[[#This Row],[P78 Return]])</f>
        <v>1.4646934959137341</v>
      </c>
      <c r="LA77" s="27">
        <f>MAX(LA76,PortfolioFrontier[[#This Row],[P78 Growth]])</f>
        <v>1.6529805725839544</v>
      </c>
      <c r="LB77" s="27">
        <f>PortfolioFrontier[[#This Row],[P78 Growth]]/PortfolioFrontier[[#This Row],[P78 HWM]]-1</f>
        <v>-0.11390761621347323</v>
      </c>
      <c r="LC77" s="28">
        <f>SUMPRODUCT(INDEX(PortfolioRef[[SPY]:[PE]],MATCH(LC$1,PortfolioRef[Reference '#]),0),AssetMonthlyReturns[[#This Row],[SPY]:[PE]])</f>
        <v>-4.8235048690652316E-2</v>
      </c>
      <c r="LD77" s="27">
        <f>IF(ISNUMBER(LD76),LD76*(1+PortfolioFrontier[[#This Row],[P79 Return]]),1+PortfolioFrontier[[#This Row],[P79 Return]])</f>
        <v>1.5025682265703255</v>
      </c>
      <c r="LE77" s="27">
        <f>MAX(LE76,PortfolioFrontier[[#This Row],[P79 Growth]])</f>
        <v>1.7129874860839263</v>
      </c>
      <c r="LF77" s="27">
        <f>PortfolioFrontier[[#This Row],[P79 Growth]]/PortfolioFrontier[[#This Row],[P79 HWM]]-1</f>
        <v>-0.12283759293224128</v>
      </c>
      <c r="LG77" s="28">
        <f>SUMPRODUCT(INDEX(PortfolioRef[[SPY]:[PE]],MATCH(LG$1,PortfolioRef[Reference '#]),0),AssetMonthlyReturns[[#This Row],[SPY]:[PE]])</f>
        <v>-4.4216697193447292E-2</v>
      </c>
      <c r="LH77" s="27">
        <f>IF(ISNUMBER(LH76),LH76*(1+PortfolioFrontier[[#This Row],[P80 Return]]),1+PortfolioFrontier[[#This Row],[P80 Return]])</f>
        <v>1.4931296432789891</v>
      </c>
      <c r="LI77" s="27">
        <f>MAX(LI76,PortfolioFrontier[[#This Row],[P80 Growth]])</f>
        <v>1.6807562405101484</v>
      </c>
      <c r="LJ77" s="27">
        <f>PortfolioFrontier[[#This Row],[P80 Growth]]/PortfolioFrontier[[#This Row],[P80 HWM]]-1</f>
        <v>-0.11163224785898174</v>
      </c>
      <c r="LK77" s="28">
        <f>SUMPRODUCT(INDEX(PortfolioRef[[SPY]:[PE]],MATCH(LK$1,PortfolioRef[Reference '#]),0),AssetMonthlyReturns[[#This Row],[SPY]:[PE]])</f>
        <v>-4.0198345696242276E-2</v>
      </c>
      <c r="LL77" s="27">
        <f>IF(ISNUMBER(LL76),LL76*(1+PortfolioFrontier[[#This Row],[P81 Return]]),1+PortfolioFrontier[[#This Row],[P81 Return]])</f>
        <v>1.4829719928431131</v>
      </c>
      <c r="LM77" s="27">
        <f>MAX(LM76,PortfolioFrontier[[#This Row],[P81 Growth]])</f>
        <v>1.648416413491208</v>
      </c>
      <c r="LN77" s="27">
        <f>PortfolioFrontier[[#This Row],[P81 Growth]]/PortfolioFrontier[[#This Row],[P81 HWM]]-1</f>
        <v>-0.10036567174049027</v>
      </c>
      <c r="LO77" s="28">
        <f>SUMPRODUCT(INDEX(PortfolioRef[[SPY]:[PE]],MATCH(LO$1,PortfolioRef[Reference '#]),0),AssetMonthlyReturns[[#This Row],[SPY]:[PE]])</f>
        <v>-5.1469424982705403E-2</v>
      </c>
      <c r="LP77" s="27">
        <f>IF(ISNUMBER(LP76),LP76*(1+PortfolioFrontier[[#This Row],[P82 Return]]),1+PortfolioFrontier[[#This Row],[P82 Return]])</f>
        <v>1.5038359720338779</v>
      </c>
      <c r="LQ77" s="27">
        <f>MAX(LQ76,PortfolioFrontier[[#This Row],[P82 Growth]])</f>
        <v>1.7327259878391794</v>
      </c>
      <c r="LR77" s="27">
        <f>PortfolioFrontier[[#This Row],[P82 Growth]]/PortfolioFrontier[[#This Row],[P82 HWM]]-1</f>
        <v>-0.13209821830556256</v>
      </c>
      <c r="LS77" s="28">
        <f>SUMPRODUCT(INDEX(PortfolioRef[[SPY]:[PE]],MATCH(LS$1,PortfolioRef[Reference '#]),0),AssetMonthlyReturns[[#This Row],[SPY]:[PE]])</f>
        <v>-4.7451073485500386E-2</v>
      </c>
      <c r="LT77" s="27">
        <f>IF(ISNUMBER(LT76),LT76*(1+PortfolioFrontier[[#This Row],[P83 Return]]),1+PortfolioFrontier[[#This Row],[P83 Return]])</f>
        <v>1.4949732880702358</v>
      </c>
      <c r="LU77" s="27">
        <f>MAX(LU76,PortfolioFrontier[[#This Row],[P83 Growth]])</f>
        <v>1.7006855237848306</v>
      </c>
      <c r="LV77" s="27">
        <f>PortfolioFrontier[[#This Row],[P83 Growth]]/PortfolioFrontier[[#This Row],[P83 HWM]]-1</f>
        <v>-0.12095842108233379</v>
      </c>
      <c r="LW77" s="28">
        <f>SUMPRODUCT(INDEX(PortfolioRef[[SPY]:[PE]],MATCH(LW$1,PortfolioRef[Reference '#]),0),AssetMonthlyReturns[[#This Row],[SPY]:[PE]])</f>
        <v>-4.3432721988295363E-2</v>
      </c>
      <c r="LX77" s="27">
        <f>IF(ISNUMBER(LX76),LX76*(1+PortfolioFrontier[[#This Row],[P84 Return]]),1+PortfolioFrontier[[#This Row],[P84 Return]])</f>
        <v>1.4853795356053752</v>
      </c>
      <c r="LY77" s="27">
        <f>MAX(LY76,PortfolioFrontier[[#This Row],[P84 Growth]])</f>
        <v>1.6685100840279028</v>
      </c>
      <c r="LZ77" s="27">
        <f>PortfolioFrontier[[#This Row],[P84 Growth]]/PortfolioFrontier[[#This Row],[P84 HWM]]-1</f>
        <v>-0.10975693235274753</v>
      </c>
      <c r="MA77" s="28">
        <f>SUMPRODUCT(INDEX(PortfolioRef[[SPY]:[PE]],MATCH(MA$1,PortfolioRef[Reference '#]),0),AssetMonthlyReturns[[#This Row],[SPY]:[PE]])</f>
        <v>-5.470380127475849E-2</v>
      </c>
      <c r="MB77" s="27">
        <f>IF(ISNUMBER(MB76),MB76*(1+PortfolioFrontier[[#This Row],[P85 Return]]),1+PortfolioFrontier[[#This Row],[P85 Return]])</f>
        <v>1.5042325239290255</v>
      </c>
      <c r="MC77" s="27">
        <f>MAX(MC76,PortfolioFrontier[[#This Row],[P85 Growth]])</f>
        <v>1.7517641950154219</v>
      </c>
      <c r="MD77" s="27">
        <f>PortfolioFrontier[[#This Row],[P85 Growth]]/PortfolioFrontier[[#This Row],[P85 HWM]]-1</f>
        <v>-0.14130421879311061</v>
      </c>
      <c r="ME77" s="28">
        <f>SUMPRODUCT(INDEX(PortfolioRef[[SPY]:[PE]],MATCH(ME$1,PortfolioRef[Reference '#]),0),AssetMonthlyReturns[[#This Row],[SPY]:[PE]])</f>
        <v>-5.0685449777553473E-2</v>
      </c>
      <c r="MF77" s="27">
        <f>IF(ISNUMBER(MF76),MF76*(1+PortfolioFrontier[[#This Row],[P86 Return]]),1+PortfolioFrontier[[#This Row],[P86 Return]])</f>
        <v>1.4959554069513425</v>
      </c>
      <c r="MG77" s="27">
        <f>MAX(MG76,PortfolioFrontier[[#This Row],[P86 Growth]])</f>
        <v>1.7199439154573082</v>
      </c>
      <c r="MH77" s="27">
        <f>PortfolioFrontier[[#This Row],[P86 Growth]]/PortfolioFrontier[[#This Row],[P86 HWM]]-1</f>
        <v>-0.13023012349005014</v>
      </c>
      <c r="MI77" s="28">
        <f>SUMPRODUCT(INDEX(PortfolioRef[[SPY]:[PE]],MATCH(MI$1,PortfolioRef[Reference '#]),0),AssetMonthlyReturns[[#This Row],[SPY]:[PE]])</f>
        <v>-4.666709828034845E-2</v>
      </c>
      <c r="MJ77" s="27">
        <f>IF(ISNUMBER(MJ76),MJ76*(1+PortfolioFrontier[[#This Row],[P87 Return]]),1+PortfolioFrontier[[#This Row],[P87 Return]])</f>
        <v>1.4869358569207205</v>
      </c>
      <c r="MK77" s="27">
        <f>MAX(MK76,PortfolioFrontier[[#This Row],[P87 Growth]])</f>
        <v>1.6879617873128629</v>
      </c>
      <c r="ML77" s="27">
        <f>PortfolioFrontier[[#This Row],[P87 Growth]]/PortfolioFrontier[[#This Row],[P87 HWM]]-1</f>
        <v>-0.11909388701989754</v>
      </c>
      <c r="MM77" s="28">
        <f>SUMPRODUCT(INDEX(PortfolioRef[[SPY]:[PE]],MATCH(MM$1,PortfolioRef[Reference '#]),0),AssetMonthlyReturns[[#This Row],[SPY]:[PE]])</f>
        <v>-5.1474016435664738E-2</v>
      </c>
      <c r="MN77" s="27">
        <f>IF(ISNUMBER(MN76),MN76*(1+PortfolioFrontier[[#This Row],[P88 Return]]),1+PortfolioFrontier[[#This Row],[P88 Return]])</f>
        <v>1.5246220277138325</v>
      </c>
      <c r="MO77" s="27">
        <f>MAX(MO76,PortfolioFrontier[[#This Row],[P88 Growth]])</f>
        <v>1.7485237047822844</v>
      </c>
      <c r="MP77" s="27">
        <f>PortfolioFrontier[[#This Row],[P88 Growth]]/PortfolioFrontier[[#This Row],[P88 HWM]]-1</f>
        <v>-0.1280518396496837</v>
      </c>
      <c r="MQ77" s="28">
        <f>SUMPRODUCT(INDEX(PortfolioRef[[SPY]:[PE]],MATCH(MQ$1,PortfolioRef[Reference '#]),0),AssetMonthlyReturns[[#This Row],[SPY]:[PE]])</f>
        <v>-4.7455664938459721E-2</v>
      </c>
      <c r="MR77" s="27">
        <f>IF(ISNUMBER(MR76),MR76*(1+PortfolioFrontier[[#This Row],[P89 Return]]),1+PortfolioFrontier[[#This Row],[P89 Return]])</f>
        <v>1.5156940902030613</v>
      </c>
      <c r="MS77" s="27">
        <f>MAX(MS76,PortfolioFrontier[[#This Row],[P89 Growth]])</f>
        <v>1.7162568132506029</v>
      </c>
      <c r="MT77" s="27">
        <f>PortfolioFrontier[[#This Row],[P89 Growth]]/PortfolioFrontier[[#This Row],[P89 HWM]]-1</f>
        <v>-0.11686055460876754</v>
      </c>
      <c r="MU77" s="28">
        <f>SUMPRODUCT(INDEX(PortfolioRef[[SPY]:[PE]],MATCH(MU$1,PortfolioRef[Reference '#]),0),AssetMonthlyReturns[[#This Row],[SPY]:[PE]])</f>
        <v>-4.3437313441254698E-2</v>
      </c>
      <c r="MV77" s="27">
        <f>IF(ISNUMBER(MV76),MV76*(1+PortfolioFrontier[[#This Row],[P90 Return]]),1+PortfolioFrontier[[#This Row],[P90 Return]])</f>
        <v>1.5060247968091374</v>
      </c>
      <c r="MW77" s="27">
        <f>MAX(MW76,PortfolioFrontier[[#This Row],[P90 Growth]])</f>
        <v>1.6838515290273213</v>
      </c>
      <c r="MX77" s="27">
        <f>PortfolioFrontier[[#This Row],[P90 Growth]]/PortfolioFrontier[[#This Row],[P90 HWM]]-1</f>
        <v>-0.10560713290494539</v>
      </c>
      <c r="MY77" s="28">
        <f>SUMPRODUCT(INDEX(PortfolioRef[[SPY]:[PE]],MATCH(MY$1,PortfolioRef[Reference '#]),0),AssetMonthlyReturns[[#This Row],[SPY]:[PE]])</f>
        <v>-5.4708392727717825E-2</v>
      </c>
      <c r="MZ77" s="27">
        <f>IF(ISNUMBER(MZ76),MZ76*(1+PortfolioFrontier[[#This Row],[P91 Return]]),1+PortfolioFrontier[[#This Row],[P91 Return]])</f>
        <v>1.5253098566059169</v>
      </c>
      <c r="NA77" s="27">
        <f>MAX(NA76,PortfolioFrontier[[#This Row],[P91 Growth]])</f>
        <v>1.7680436458517257</v>
      </c>
      <c r="NB77" s="27">
        <f>PortfolioFrontier[[#This Row],[P91 Growth]]/PortfolioFrontier[[#This Row],[P91 HWM]]-1</f>
        <v>-0.1372894780144841</v>
      </c>
      <c r="NC77" s="28">
        <f>SUMPRODUCT(INDEX(PortfolioRef[[SPY]:[PE]],MATCH(NC$1,PortfolioRef[Reference '#]),0),AssetMonthlyReturns[[#This Row],[SPY]:[PE]])</f>
        <v>-5.0690041230512801E-2</v>
      </c>
      <c r="ND77" s="27">
        <f>IF(ISNUMBER(ND76),ND76*(1+PortfolioFrontier[[#This Row],[P92 Return]]),1+PortfolioFrontier[[#This Row],[P92 Return]])</f>
        <v>1.5169739153180657</v>
      </c>
      <c r="NE77" s="27">
        <f>MAX(NE76,PortfolioFrontier[[#This Row],[P92 Growth]])</f>
        <v>1.73599424265744</v>
      </c>
      <c r="NF77" s="27">
        <f>PortfolioFrontier[[#This Row],[P92 Growth]]/PortfolioFrontier[[#This Row],[P92 HWM]]-1</f>
        <v>-0.12616420144579543</v>
      </c>
      <c r="NG77" s="28">
        <f>SUMPRODUCT(INDEX(PortfolioRef[[SPY]:[PE]],MATCH(NG$1,PortfolioRef[Reference '#]),0),AssetMonthlyReturns[[#This Row],[SPY]:[PE]])</f>
        <v>-4.6671689733307778E-2</v>
      </c>
      <c r="NH77" s="27">
        <f>IF(ISNUMBER(NH76),NH76*(1+PortfolioFrontier[[#This Row],[P93 Return]]),1+PortfolioFrontier[[#This Row],[P93 Return]])</f>
        <v>1.5078850080660025</v>
      </c>
      <c r="NI77" s="27">
        <f>MAX(NI76,PortfolioFrontier[[#This Row],[P93 Growth]])</f>
        <v>1.7037793193389816</v>
      </c>
      <c r="NJ77" s="27">
        <f>PortfolioFrontier[[#This Row],[P93 Growth]]/PortfolioFrontier[[#This Row],[P93 HWM]]-1</f>
        <v>-0.11497634056796779</v>
      </c>
      <c r="NK77" s="28">
        <f>SUMPRODUCT(INDEX(PortfolioRef[[SPY]:[PE]],MATCH(NK$1,PortfolioRef[Reference '#]),0),AssetMonthlyReturns[[#This Row],[SPY]:[PE]])</f>
        <v>-5.7942769019770912E-2</v>
      </c>
      <c r="NL77" s="27">
        <f>IF(ISNUMBER(NL76),NL76*(1+PortfolioFrontier[[#This Row],[P94 Return]]),1+PortfolioFrontier[[#This Row],[P94 Return]])</f>
        <v>1.5251101560905325</v>
      </c>
      <c r="NM77" s="27">
        <f>MAX(NM76,PortfolioFrontier[[#This Row],[P94 Growth]])</f>
        <v>1.7868313973018393</v>
      </c>
      <c r="NN77" s="27">
        <f>PortfolioFrontier[[#This Row],[P94 Growth]]/PortfolioFrontier[[#This Row],[P94 HWM]]-1</f>
        <v>-0.14647226459447293</v>
      </c>
      <c r="NO77" s="28">
        <f>SUMPRODUCT(INDEX(PortfolioRef[[SPY]:[PE]],MATCH(NO$1,PortfolioRef[Reference '#]),0),AssetMonthlyReturns[[#This Row],[SPY]:[PE]])</f>
        <v>-5.3924417522565896E-2</v>
      </c>
      <c r="NP77" s="27">
        <f>IF(ISNUMBER(NP76),NP76*(1+PortfolioFrontier[[#This Row],[P95 Return]]),1+PortfolioFrontier[[#This Row],[P95 Return]])</f>
        <v>1.5173753695686274</v>
      </c>
      <c r="NQ77" s="27">
        <f>MAX(NQ76,PortfolioFrontier[[#This Row],[P95 Growth]])</f>
        <v>1.7550294195356591</v>
      </c>
      <c r="NR77" s="27">
        <f>PortfolioFrontier[[#This Row],[P95 Growth]]/PortfolioFrontier[[#This Row],[P95 HWM]]-1</f>
        <v>-0.13541314311979424</v>
      </c>
      <c r="NS77" s="28">
        <f>SUMPRODUCT(INDEX(PortfolioRef[[SPY]:[PE]],MATCH(NS$1,PortfolioRef[Reference '#]),0),AssetMonthlyReturns[[#This Row],[SPY]:[PE]])</f>
        <v>-4.9906066025360872E-2</v>
      </c>
      <c r="NT77" s="27">
        <f>IF(ISNUMBER(NT76),NT76*(1+PortfolioFrontier[[#This Row],[P96 Return]]),1+PortfolioFrontier[[#This Row],[P96 Return]])</f>
        <v>1.5088766715214055</v>
      </c>
      <c r="NU77" s="27">
        <f>MAX(NU76,PortfolioFrontier[[#This Row],[P96 Growth]])</f>
        <v>1.7230343324336159</v>
      </c>
      <c r="NV77" s="27">
        <f>PortfolioFrontier[[#This Row],[P96 Growth]]/PortfolioFrontier[[#This Row],[P96 HWM]]-1</f>
        <v>-0.1242910004060882</v>
      </c>
      <c r="NW77" s="28">
        <f>SUMPRODUCT(INDEX(PortfolioRef[[SPY]:[PE]],MATCH(NW$1,PortfolioRef[Reference '#]),0),AssetMonthlyReturns[[#This Row],[SPY]:[PE]])</f>
        <v>-3.820597075393458E-2</v>
      </c>
      <c r="NX77" s="27">
        <f>IF(ISNUMBER(NX76),NX76*(1+PortfolioFrontier[[#This Row],[P97 Return]]),1+PortfolioFrontier[[#This Row],[P97 Return]])</f>
        <v>1.3705507294415562</v>
      </c>
      <c r="NY77" s="27">
        <f>MAX(NY76,PortfolioFrontier[[#This Row],[P97 Growth]])</f>
        <v>1.5498139523617234</v>
      </c>
      <c r="NZ77" s="27">
        <f>PortfolioFrontier[[#This Row],[P97 Growth]]/PortfolioFrontier[[#This Row],[P97 HWM]]-1</f>
        <v>-0.11566757587063425</v>
      </c>
      <c r="OA77" s="28">
        <f>SUMPRODUCT(INDEX(PortfolioRef[[SPY]:[PE]],MATCH(OA$1,PortfolioRef[Reference '#]),0),AssetMonthlyReturns[[#This Row],[SPY]:[PE]])</f>
        <v>-3.8210562206893915E-2</v>
      </c>
      <c r="OB77" s="27">
        <f>IF(ISNUMBER(OB76),OB76*(1+PortfolioFrontier[[#This Row],[P98 Return]]),1+PortfolioFrontier[[#This Row],[P98 Return]])</f>
        <v>1.389967700692269</v>
      </c>
      <c r="OC77" s="27">
        <f>MAX(OC76,PortfolioFrontier[[#This Row],[P98 Growth]])</f>
        <v>1.5643918723292729</v>
      </c>
      <c r="OD77" s="27">
        <f>PortfolioFrontier[[#This Row],[P98 Growth]]/PortfolioFrontier[[#This Row],[P98 HWM]]-1</f>
        <v>-0.11149647011224761</v>
      </c>
      <c r="OE77" s="28">
        <f>SUMPRODUCT(INDEX(PortfolioRef[[SPY]:[PE]],MATCH(OE$1,PortfolioRef[Reference '#]),0),AssetMonthlyReturns[[#This Row],[SPY]:[PE]])</f>
        <v>-4.1444938498947002E-2</v>
      </c>
      <c r="OF77" s="27">
        <f>IF(ISNUMBER(OF76),OF76*(1+PortfolioFrontier[[#This Row],[P99 Return]]),1+PortfolioFrontier[[#This Row],[P99 Return]])</f>
        <v>1.392362245465234</v>
      </c>
      <c r="OG77" s="27">
        <f>MAX(OG76,PortfolioFrontier[[#This Row],[P99 Growth]])</f>
        <v>1.5836627563813395</v>
      </c>
      <c r="OH77" s="27">
        <f>PortfolioFrontier[[#This Row],[P99 Growth]]/PortfolioFrontier[[#This Row],[P99 HWM]]-1</f>
        <v>-0.12079624285237722</v>
      </c>
      <c r="OI77" s="28">
        <f>SUMPRODUCT(INDEX(PortfolioRef[[SPY]:[PE]],MATCH(OI$1,PortfolioRef[Reference '#]),0),AssetMonthlyReturns[[#This Row],[SPY]:[PE]])</f>
        <v>-3.7426587001741986E-2</v>
      </c>
      <c r="OJ77" s="27">
        <f>IF(ISNUMBER(OJ76),OJ76*(1+PortfolioFrontier[[#This Row],[P100 Return]]),1+PortfolioFrontier[[#This Row],[P100 Return]])</f>
        <v>1.3825236109163399</v>
      </c>
      <c r="OK77" s="27">
        <f>MAX(OK76,PortfolioFrontier[[#This Row],[P100 Growth]])</f>
        <v>1.5528062347399851</v>
      </c>
      <c r="OL77" s="27">
        <f>PortfolioFrontier[[#This Row],[P100 Growth]]/PortfolioFrontier[[#This Row],[P100 HWM]]-1</f>
        <v>-0.10966121851781385</v>
      </c>
      <c r="OM77" s="28">
        <f>SUMPRODUCT(INDEX(PortfolioRef[[SPY]:[PE]],MATCH(OM$1,PortfolioRef[Reference '#]),0),AssetMonthlyReturns[[#This Row],[SPY]:[PE]])</f>
        <v>-3.821515365985325E-2</v>
      </c>
      <c r="ON77" s="27">
        <f>IF(ISNUMBER(ON76),ON76*(1+PortfolioFrontier[[#This Row],[P101 Return]]),1+PortfolioFrontier[[#This Row],[P101 Return]])</f>
        <v>1.4093466047169736</v>
      </c>
      <c r="OO77" s="27">
        <f>MAX(OO76,PortfolioFrontier[[#This Row],[P101 Growth]])</f>
        <v>1.5787921813488919</v>
      </c>
      <c r="OP77" s="27">
        <f>PortfolioFrontier[[#This Row],[P101 Growth]]/PortfolioFrontier[[#This Row],[P101 HWM]]-1</f>
        <v>-0.10732608042633385</v>
      </c>
      <c r="OQ77" s="28">
        <f>SUMPRODUCT(INDEX(PortfolioRef[[SPY]:[PE]],MATCH(OQ$1,PortfolioRef[Reference '#]),0),AssetMonthlyReturns[[#This Row],[SPY]:[PE]])</f>
        <v>-4.1449529951906337E-2</v>
      </c>
      <c r="OR77" s="27">
        <f>IF(ISNUMBER(OR76),OR76*(1+PortfolioFrontier[[#This Row],[P102 Return]]),1+PortfolioFrontier[[#This Row],[P102 Return]])</f>
        <v>1.4120398960215284</v>
      </c>
      <c r="OS77" s="27">
        <f>MAX(OS76,PortfolioFrontier[[#This Row],[P102 Growth]])</f>
        <v>1.5985203886251573</v>
      </c>
      <c r="OT77" s="27">
        <f>PortfolioFrontier[[#This Row],[P102 Growth]]/PortfolioFrontier[[#This Row],[P102 HWM]]-1</f>
        <v>-0.11665818836631525</v>
      </c>
      <c r="OU77" s="28">
        <f>SUMPRODUCT(INDEX(PortfolioRef[[SPY]:[PE]],MATCH(OU$1,PortfolioRef[Reference '#]),0),AssetMonthlyReturns[[#This Row],[SPY]:[PE]])</f>
        <v>-3.7431178454701321E-2</v>
      </c>
      <c r="OV77" s="27">
        <f>IF(ISNUMBER(OV76),OV76*(1+PortfolioFrontier[[#This Row],[P103 Return]]),1+PortfolioFrontier[[#This Row],[P103 Return]])</f>
        <v>1.4021164624166786</v>
      </c>
      <c r="OW77" s="27">
        <f>MAX(OW76,PortfolioFrontier[[#This Row],[P103 Growth]])</f>
        <v>1.5674355228105428</v>
      </c>
      <c r="OX77" s="27">
        <f>PortfolioFrontier[[#This Row],[P103 Growth]]/PortfolioFrontier[[#This Row],[P103 HWM]]-1</f>
        <v>-0.10547104361743265</v>
      </c>
      <c r="OY77" s="28">
        <f>SUMPRODUCT(INDEX(PortfolioRef[[SPY]:[PE]],MATCH(OY$1,PortfolioRef[Reference '#]),0),AssetMonthlyReturns[[#This Row],[SPY]:[PE]])</f>
        <v>-4.4683906243959431E-2</v>
      </c>
      <c r="OZ77" s="27">
        <f>IF(ISNUMBER(OZ76),OZ76*(1+PortfolioFrontier[[#This Row],[P104 Return]]),1+PortfolioFrontier[[#This Row],[P104 Return]])</f>
        <v>1.4139259041807863</v>
      </c>
      <c r="PA77" s="27">
        <f>MAX(PA76,PortfolioFrontier[[#This Row],[P104 Growth]])</f>
        <v>1.6176462594840681</v>
      </c>
      <c r="PB77" s="27">
        <f>PortfolioFrontier[[#This Row],[P104 Growth]]/PortfolioFrontier[[#This Row],[P104 HWM]]-1</f>
        <v>-0.1259362818718206</v>
      </c>
      <c r="PC77" s="28">
        <f>SUMPRODUCT(INDEX(PortfolioRef[[SPY]:[PE]],MATCH(PC$1,PortfolioRef[Reference '#]),0),AssetMonthlyReturns[[#This Row],[SPY]:[PE]])</f>
        <v>-4.0665554746754408E-2</v>
      </c>
      <c r="PD77" s="27">
        <f>IF(ISNUMBER(PD76),PD76*(1+PortfolioFrontier[[#This Row],[P105 Return]]),1+PortfolioFrontier[[#This Row],[P105 Return]])</f>
        <v>1.4045328573698495</v>
      </c>
      <c r="PE77" s="27">
        <f>MAX(PE76,PortfolioFrontier[[#This Row],[P105 Growth]])</f>
        <v>1.5867085542337835</v>
      </c>
      <c r="PF77" s="27">
        <f>PortfolioFrontier[[#This Row],[P105 Growth]]/PortfolioFrontier[[#This Row],[P105 HWM]]-1</f>
        <v>-0.11481358462323676</v>
      </c>
      <c r="PG77" s="28">
        <f>SUMPRODUCT(INDEX(PortfolioRef[[SPY]:[PE]],MATCH(PG$1,PortfolioRef[Reference '#]),0),AssetMonthlyReturns[[#This Row],[SPY]:[PE]])</f>
        <v>-3.6647203249549391E-2</v>
      </c>
      <c r="PH77" s="27">
        <f>IF(ISNUMBER(PH76),PH76*(1+PortfolioFrontier[[#This Row],[P106 Return]]),1+PortfolioFrontier[[#This Row],[P106 Return]])</f>
        <v>1.3944708172929503</v>
      </c>
      <c r="PI77" s="27">
        <f>MAX(PI76,PortfolioFrontier[[#This Row],[P106 Growth]])</f>
        <v>1.5556887430167754</v>
      </c>
      <c r="PJ77" s="27">
        <f>PortfolioFrontier[[#This Row],[P106 Growth]]/PortfolioFrontier[[#This Row],[P106 HWM]]-1</f>
        <v>-0.10363122214999965</v>
      </c>
      <c r="PK77" s="28">
        <f>SUMPRODUCT(INDEX(PortfolioRef[[SPY]:[PE]],MATCH(PK$1,PortfolioRef[Reference '#]),0),AssetMonthlyReturns[[#This Row],[SPY]:[PE]])</f>
        <v>-4.1454121404865672E-2</v>
      </c>
      <c r="PL77" s="27">
        <f>IF(ISNUMBER(PL76),PL76*(1+PortfolioFrontier[[#This Row],[P107 Return]]),1+PortfolioFrontier[[#This Row],[P107 Return]])</f>
        <v>1.4316780192522072</v>
      </c>
      <c r="PM77" s="27">
        <f>MAX(PM76,PortfolioFrontier[[#This Row],[P107 Growth]])</f>
        <v>1.6131964012798079</v>
      </c>
      <c r="PN77" s="27">
        <f>PortfolioFrontier[[#This Row],[P107 Growth]]/PortfolioFrontier[[#This Row],[P107 HWM]]-1</f>
        <v>-0.11252094406086921</v>
      </c>
      <c r="PO77" s="28">
        <f>SUMPRODUCT(INDEX(PortfolioRef[[SPY]:[PE]],MATCH(PO$1,PortfolioRef[Reference '#]),0),AssetMonthlyReturns[[#This Row],[SPY]:[PE]])</f>
        <v>-3.7435769907660656E-2</v>
      </c>
      <c r="PP77" s="27">
        <f>IF(ISNUMBER(PP76),PP76*(1+PortfolioFrontier[[#This Row],[P108 Return]]),1+PortfolioFrontier[[#This Row],[P108 Return]])</f>
        <v>1.4216713159315073</v>
      </c>
      <c r="PQ77" s="27">
        <f>MAX(PQ76,PortfolioFrontier[[#This Row],[P108 Growth]])</f>
        <v>1.5818874318633449</v>
      </c>
      <c r="PR77" s="27">
        <f>PortfolioFrontier[[#This Row],[P108 Growth]]/PortfolioFrontier[[#This Row],[P108 HWM]]-1</f>
        <v>-0.10128161631773946</v>
      </c>
      <c r="PS77" s="28">
        <f>SUMPRODUCT(INDEX(PortfolioRef[[SPY]:[PE]],MATCH(PS$1,PortfolioRef[Reference '#]),0),AssetMonthlyReturns[[#This Row],[SPY]:[PE]])</f>
        <v>-4.4688497696918759E-2</v>
      </c>
      <c r="PT77" s="27">
        <f>IF(ISNUMBER(PT76),PT76*(1+PortfolioFrontier[[#This Row],[P109 Return]]),1+PortfolioFrontier[[#This Row],[P109 Return]])</f>
        <v>1.4338595804365104</v>
      </c>
      <c r="PU77" s="27">
        <f>MAX(PU76,PortfolioFrontier[[#This Row],[P109 Growth]])</f>
        <v>1.6327835279326679</v>
      </c>
      <c r="PV77" s="27">
        <f>PortfolioFrontier[[#This Row],[P109 Growth]]/PortfolioFrontier[[#This Row],[P109 HWM]]-1</f>
        <v>-0.12183118220700262</v>
      </c>
      <c r="PW77" s="28">
        <f>SUMPRODUCT(INDEX(PortfolioRef[[SPY]:[PE]],MATCH(PW$1,PortfolioRef[Reference '#]),0),AssetMonthlyReturns[[#This Row],[SPY]:[PE]])</f>
        <v>-4.0670146199713743E-2</v>
      </c>
      <c r="PX77" s="27">
        <f>IF(ISNUMBER(PX76),PX76*(1+PortfolioFrontier[[#This Row],[P110 Return]]),1+PortfolioFrontier[[#This Row],[P110 Return]])</f>
        <v>1.4243888370904687</v>
      </c>
      <c r="PY77" s="27">
        <f>MAX(PY76,PortfolioFrontier[[#This Row],[P110 Growth]])</f>
        <v>1.6016185143364081</v>
      </c>
      <c r="PZ77" s="27">
        <f>PortfolioFrontier[[#This Row],[P110 Growth]]/PortfolioFrontier[[#This Row],[P110 HWM]]-1</f>
        <v>-0.11065661120892467</v>
      </c>
      <c r="QA77" s="28">
        <f>SUMPRODUCT(INDEX(PortfolioRef[[SPY]:[PE]],MATCH(QA$1,PortfolioRef[Reference '#]),0),AssetMonthlyReturns[[#This Row],[SPY]:[PE]])</f>
        <v>-3.6651794702508719E-2</v>
      </c>
      <c r="QB77" s="27">
        <f>IF(ISNUMBER(QB76),QB76*(1+PortfolioFrontier[[#This Row],[P111 Return]]),1+PortfolioFrontier[[#This Row],[P111 Return]])</f>
        <v>1.4142394184286895</v>
      </c>
      <c r="QC77" s="27">
        <f>MAX(QC76,PortfolioFrontier[[#This Row],[P111 Growth]])</f>
        <v>1.5703684845094485</v>
      </c>
      <c r="QD77" s="27">
        <f>PortfolioFrontier[[#This Row],[P111 Growth]]/PortfolioFrontier[[#This Row],[P111 HWM]]-1</f>
        <v>-9.9421930343648324E-2</v>
      </c>
      <c r="QE77" s="28">
        <f>SUMPRODUCT(INDEX(PortfolioRef[[SPY]:[PE]],MATCH(QE$1,PortfolioRef[Reference '#]),0),AssetMonthlyReturns[[#This Row],[SPY]:[PE]])</f>
        <v>-4.7922873988971854E-2</v>
      </c>
      <c r="QF77" s="27">
        <f>IF(ISNUMBER(QF76),QF76*(1+PortfolioFrontier[[#This Row],[P112 Return]]),1+PortfolioFrontier[[#This Row],[P112 Return]])</f>
        <v>1.4352169529389993</v>
      </c>
      <c r="QG77" s="27">
        <f>MAX(QG76,PortfolioFrontier[[#This Row],[P112 Growth]])</f>
        <v>1.6517386955477045</v>
      </c>
      <c r="QH77" s="27">
        <f>PortfolioFrontier[[#This Row],[P112 Growth]]/PortfolioFrontier[[#This Row],[P112 HWM]]-1</f>
        <v>-0.13108716481144622</v>
      </c>
      <c r="QI77" s="28">
        <f>SUMPRODUCT(INDEX(PortfolioRef[[SPY]:[PE]],MATCH(QI$1,PortfolioRef[Reference '#]),0),AssetMonthlyReturns[[#This Row],[SPY]:[PE]])</f>
        <v>-4.390452249176683E-2</v>
      </c>
      <c r="QJ77" s="27">
        <f>IF(ISNUMBER(QJ76),QJ76*(1+PortfolioFrontier[[#This Row],[P113 Return]]),1+PortfolioFrontier[[#This Row],[P113 Return]])</f>
        <v>1.4262924150555802</v>
      </c>
      <c r="QK77" s="27">
        <f>MAX(QK76,PortfolioFrontier[[#This Row],[P113 Growth]])</f>
        <v>1.6207454292109018</v>
      </c>
      <c r="QL77" s="27">
        <f>PortfolioFrontier[[#This Row],[P113 Growth]]/PortfolioFrontier[[#This Row],[P113 HWM]]-1</f>
        <v>-0.11997751815348057</v>
      </c>
      <c r="QM77" s="28">
        <f>SUMPRODUCT(INDEX(PortfolioRef[[SPY]:[PE]],MATCH(QM$1,PortfolioRef[Reference '#]),0),AssetMonthlyReturns[[#This Row],[SPY]:[PE]])</f>
        <v>-3.9886170994561813E-2</v>
      </c>
      <c r="QN77" s="27">
        <f>IF(ISNUMBER(QN76),QN76*(1+PortfolioFrontier[[#This Row],[P114 Return]]),1+PortfolioFrontier[[#This Row],[P114 Return]])</f>
        <v>1.4166774549655479</v>
      </c>
      <c r="QO77" s="27">
        <f>MAX(QO76,PortfolioFrontier[[#This Row],[P114 Growth]])</f>
        <v>1.5896421022161857</v>
      </c>
      <c r="QP77" s="27">
        <f>PortfolioFrontier[[#This Row],[P114 Growth]]/PortfolioFrontier[[#This Row],[P114 HWM]]-1</f>
        <v>-0.1088072887661321</v>
      </c>
      <c r="QQ77" s="28">
        <f>SUMPRODUCT(INDEX(PortfolioRef[[SPY]:[PE]],MATCH(QQ$1,PortfolioRef[Reference '#]),0),AssetMonthlyReturns[[#This Row],[SPY]:[PE]])</f>
        <v>-4.4693089149878094E-2</v>
      </c>
      <c r="QR77" s="27">
        <f>IF(ISNUMBER(QR76),QR76*(1+PortfolioFrontier[[#This Row],[P115 Return]]),1+PortfolioFrontier[[#This Row],[P115 Return]])</f>
        <v>1.4537522556033657</v>
      </c>
      <c r="QS77" s="27">
        <f>MAX(QS76,PortfolioFrontier[[#This Row],[P115 Growth]])</f>
        <v>1.6477351477866757</v>
      </c>
      <c r="QT77" s="27">
        <f>PortfolioFrontier[[#This Row],[P115 Growth]]/PortfolioFrontier[[#This Row],[P115 HWM]]-1</f>
        <v>-0.11772698570148121</v>
      </c>
      <c r="QU77" s="28">
        <f>SUMPRODUCT(INDEX(PortfolioRef[[SPY]:[PE]],MATCH(QU$1,PortfolioRef[Reference '#]),0),AssetMonthlyReturns[[#This Row],[SPY]:[PE]])</f>
        <v>-4.0674737652673078E-2</v>
      </c>
      <c r="QV77" s="27">
        <f>IF(ISNUMBER(QV76),QV76*(1+PortfolioFrontier[[#This Row],[P116 Return]]),1+PortfolioFrontier[[#This Row],[P116 Return]])</f>
        <v>1.444205350886268</v>
      </c>
      <c r="QW77" s="27">
        <f>MAX(QW76,PortfolioFrontier[[#This Row],[P116 Growth]])</f>
        <v>1.6163470917094751</v>
      </c>
      <c r="QX77" s="27">
        <f>PortfolioFrontier[[#This Row],[P116 Growth]]/PortfolioFrontier[[#This Row],[P116 HWM]]-1</f>
        <v>-0.10650047982030098</v>
      </c>
      <c r="QY77" s="28">
        <f>SUMPRODUCT(INDEX(PortfolioRef[[SPY]:[PE]],MATCH(QY$1,PortfolioRef[Reference '#]),0),AssetMonthlyReturns[[#This Row],[SPY]:[PE]])</f>
        <v>-3.6656386155468054E-2</v>
      </c>
      <c r="QZ77" s="27">
        <f>IF(ISNUMBER(QZ76),QZ76*(1+PortfolioFrontier[[#This Row],[P117 Return]]),1+PortfolioFrontier[[#This Row],[P117 Return]])</f>
        <v>1.4339700994400166</v>
      </c>
      <c r="RA77" s="27">
        <f>MAX(RA76,PortfolioFrontier[[#This Row],[P117 Growth]])</f>
        <v>1.5848710929942145</v>
      </c>
      <c r="RB77" s="27">
        <f>PortfolioFrontier[[#This Row],[P117 Growth]]/PortfolioFrontier[[#This Row],[P117 HWM]]-1</f>
        <v>-9.5213417811229384E-2</v>
      </c>
      <c r="RC77" s="28">
        <f>SUMPRODUCT(INDEX(PortfolioRef[[SPY]:[PE]],MATCH(RC$1,PortfolioRef[Reference '#]),0),AssetMonthlyReturns[[#This Row],[SPY]:[PE]])</f>
        <v>-4.7927465441931182E-2</v>
      </c>
      <c r="RD77" s="27">
        <f>IF(ISNUMBER(RD76),RD76*(1+PortfolioFrontier[[#This Row],[P118 Return]]),1+PortfolioFrontier[[#This Row],[P118 Return]])</f>
        <v>1.4554016931108928</v>
      </c>
      <c r="RE77" s="27">
        <f>MAX(RE76,PortfolioFrontier[[#This Row],[P118 Growth]])</f>
        <v>1.667155293527623</v>
      </c>
      <c r="RF77" s="27">
        <f>PortfolioFrontier[[#This Row],[P118 Growth]]/PortfolioFrontier[[#This Row],[P118 HWM]]-1</f>
        <v>-0.12701492250831026</v>
      </c>
      <c r="RG77" s="28">
        <f>SUMPRODUCT(INDEX(PortfolioRef[[SPY]:[PE]],MATCH(RG$1,PortfolioRef[Reference '#]),0),AssetMonthlyReturns[[#This Row],[SPY]:[PE]])</f>
        <v>-4.3909113944726158E-2</v>
      </c>
      <c r="RH77" s="27">
        <f>IF(ISNUMBER(RH76),RH76*(1+PortfolioFrontier[[#This Row],[P119 Return]]),1+PortfolioFrontier[[#This Row],[P119 Return]])</f>
        <v>1.4464068317645402</v>
      </c>
      <c r="RI77" s="27">
        <f>MAX(RI76,PortfolioFrontier[[#This Row],[P119 Growth]])</f>
        <v>1.6359359857167841</v>
      </c>
      <c r="RJ77" s="27">
        <f>PortfolioFrontier[[#This Row],[P119 Growth]]/PortfolioFrontier[[#This Row],[P119 HWM]]-1</f>
        <v>-0.1158536492912966</v>
      </c>
      <c r="RK77" s="28">
        <f>SUMPRODUCT(INDEX(PortfolioRef[[SPY]:[PE]],MATCH(RK$1,PortfolioRef[Reference '#]),0),AssetMonthlyReturns[[#This Row],[SPY]:[PE]])</f>
        <v>-3.9890762447521141E-2</v>
      </c>
      <c r="RL77" s="27">
        <f>IF(ISNUMBER(RL76),RL76*(1+PortfolioFrontier[[#This Row],[P120 Return]]),1+PortfolioFrontier[[#This Row],[P120 Return]])</f>
        <v>1.4367116322924816</v>
      </c>
      <c r="RM77" s="27">
        <f>MAX(RM76,PortfolioFrontier[[#This Row],[P120 Growth]])</f>
        <v>1.6046034567476111</v>
      </c>
      <c r="RN77" s="27">
        <f>PortfolioFrontier[[#This Row],[P120 Growth]]/PortfolioFrontier[[#This Row],[P120 HWM]]-1</f>
        <v>-0.1046313491031805</v>
      </c>
      <c r="RO77" s="28">
        <f>SUMPRODUCT(INDEX(PortfolioRef[[SPY]:[PE]],MATCH(RO$1,PortfolioRef[Reference '#]),0),AssetMonthlyReturns[[#This Row],[SPY]:[PE]])</f>
        <v>-5.1161841733984276E-2</v>
      </c>
      <c r="RP77" s="27">
        <f>IF(ISNUMBER(RP76),RP76*(1+PortfolioFrontier[[#This Row],[P121 Return]]),1+PortfolioFrontier[[#This Row],[P121 Return]])</f>
        <v>1.4562103421976349</v>
      </c>
      <c r="RQ77" s="27">
        <f>MAX(RQ76,PortfolioFrontier[[#This Row],[P121 Growth]])</f>
        <v>1.6859132740659151</v>
      </c>
      <c r="RR77" s="27">
        <f>PortfolioFrontier[[#This Row],[P121 Growth]]/PortfolioFrontier[[#This Row],[P121 HWM]]-1</f>
        <v>-0.13624836781449967</v>
      </c>
      <c r="RS77" s="28">
        <f>SUMPRODUCT(INDEX(PortfolioRef[[SPY]:[PE]],MATCH(RS$1,PortfolioRef[Reference '#]),0),AssetMonthlyReturns[[#This Row],[SPY]:[PE]])</f>
        <v>-4.7143490236779252E-2</v>
      </c>
      <c r="RT77" s="27">
        <f>IF(ISNUMBER(RT76),RT76*(1+PortfolioFrontier[[#This Row],[P122 Return]]),1+PortfolioFrontier[[#This Row],[P122 Return]])</f>
        <v>1.4477773220217955</v>
      </c>
      <c r="RU77" s="27">
        <f>MAX(RU76,PortfolioFrontier[[#This Row],[P122 Growth]])</f>
        <v>1.6548910536150563</v>
      </c>
      <c r="RV77" s="27">
        <f>PortfolioFrontier[[#This Row],[P122 Growth]]/PortfolioFrontier[[#This Row],[P122 HWM]]-1</f>
        <v>-0.1251524873137887</v>
      </c>
      <c r="RW77" s="28">
        <f>SUMPRODUCT(INDEX(PortfolioRef[[SPY]:[PE]],MATCH(RW$1,PortfolioRef[Reference '#]),0),AssetMonthlyReturns[[#This Row],[SPY]:[PE]])</f>
        <v>-4.3125138739574229E-2</v>
      </c>
      <c r="RX77" s="27">
        <f>IF(ISNUMBER(RX76),RX76*(1+PortfolioFrontier[[#This Row],[P123 Return]]),1+PortfolioFrontier[[#This Row],[P123 Return]])</f>
        <v>1.4386325762729442</v>
      </c>
      <c r="RY77" s="27">
        <f>MAX(RY76,PortfolioFrontier[[#This Row],[P123 Growth]])</f>
        <v>1.6237298558231279</v>
      </c>
      <c r="RZ77" s="27">
        <f>PortfolioFrontier[[#This Row],[P123 Growth]]/PortfolioFrontier[[#This Row],[P123 HWM]]-1</f>
        <v>-0.1139951198694632</v>
      </c>
      <c r="SA77" s="28">
        <f>SUMPRODUCT(INDEX(PortfolioRef[[SPY]:[PE]],MATCH(SA$1,PortfolioRef[Reference '#]),0),AssetMonthlyReturns[[#This Row],[SPY]:[PE]])</f>
        <v>-4.7932056894890517E-2</v>
      </c>
      <c r="SB77" s="27">
        <f>IF(ISNUMBER(SB76),SB76*(1+PortfolioFrontier[[#This Row],[P124 Return]]),1+PortfolioFrontier[[#This Row],[P124 Return]])</f>
        <v>1.4755439461500035</v>
      </c>
      <c r="SC77" s="27">
        <f>MAX(SC76,PortfolioFrontier[[#This Row],[P124 Growth]])</f>
        <v>1.6823821965094672</v>
      </c>
      <c r="SD77" s="27">
        <f>PortfolioFrontier[[#This Row],[P124 Growth]]/PortfolioFrontier[[#This Row],[P124 HWM]]-1</f>
        <v>-0.12294367521755911</v>
      </c>
      <c r="SE77" s="28">
        <f>SUMPRODUCT(INDEX(PortfolioRef[[SPY]:[PE]],MATCH(SE$1,PortfolioRef[Reference '#]),0),AssetMonthlyReturns[[#This Row],[SPY]:[PE]])</f>
        <v>-4.3913705397685493E-2</v>
      </c>
      <c r="SF77" s="27">
        <f>IF(ISNUMBER(SF76),SF76*(1+PortfolioFrontier[[#This Row],[P125 Return]]),1+PortfolioFrontier[[#This Row],[P125 Return]])</f>
        <v>1.4664803007219092</v>
      </c>
      <c r="SG77" s="27">
        <f>MAX(SG76,PortfolioFrontier[[#This Row],[P125 Growth]])</f>
        <v>1.6509411354388694</v>
      </c>
      <c r="SH77" s="27">
        <f>PortfolioFrontier[[#This Row],[P125 Growth]]/PortfolioFrontier[[#This Row],[P125 HWM]]-1</f>
        <v>-0.11173071574591609</v>
      </c>
      <c r="SI77" s="28">
        <f>SUMPRODUCT(INDEX(PortfolioRef[[SPY]:[PE]],MATCH(SI$1,PortfolioRef[Reference '#]),0),AssetMonthlyReturns[[#This Row],[SPY]:[PE]])</f>
        <v>-3.9895353900480476E-2</v>
      </c>
      <c r="SJ77" s="27">
        <f>IF(ISNUMBER(SJ76),SJ76*(1+PortfolioFrontier[[#This Row],[P126 Return]]),1+PortfolioFrontier[[#This Row],[P126 Return]])</f>
        <v>1.4567064138325321</v>
      </c>
      <c r="SK77" s="27">
        <f>MAX(SK76,PortfolioFrontier[[#This Row],[P126 Growth]])</f>
        <v>1.6193836797956254</v>
      </c>
      <c r="SL77" s="27">
        <f>PortfolioFrontier[[#This Row],[P126 Growth]]/PortfolioFrontier[[#This Row],[P126 HWM]]-1</f>
        <v>-0.10045628345694091</v>
      </c>
      <c r="SM77" s="28">
        <f>SUMPRODUCT(INDEX(PortfolioRef[[SPY]:[PE]],MATCH(SM$1,PortfolioRef[Reference '#]),0),AssetMonthlyReturns[[#This Row],[SPY]:[PE]])</f>
        <v>-5.1166433186943604E-2</v>
      </c>
      <c r="SN77" s="27">
        <f>IF(ISNUMBER(SN76),SN76*(1+PortfolioFrontier[[#This Row],[P127 Return]]),1+PortfolioFrontier[[#This Row],[P127 Return]])</f>
        <v>1.4766408752161344</v>
      </c>
      <c r="SO77" s="27">
        <f>MAX(SO76,PortfolioFrontier[[#This Row],[P127 Growth]])</f>
        <v>1.7016086575400751</v>
      </c>
      <c r="SP77" s="27">
        <f>PortfolioFrontier[[#This Row],[P127 Growth]]/PortfolioFrontier[[#This Row],[P127 HWM]]-1</f>
        <v>-0.13220888441480105</v>
      </c>
      <c r="SQ77" s="28">
        <f>SUMPRODUCT(INDEX(PortfolioRef[[SPY]:[PE]],MATCH(SQ$1,PortfolioRef[Reference '#]),0),AssetMonthlyReturns[[#This Row],[SPY]:[PE]])</f>
        <v>-4.714808168973858E-2</v>
      </c>
      <c r="SR77" s="27">
        <f>IF(ISNUMBER(SR76),SR76*(1+PortfolioFrontier[[#This Row],[P128 Return]]),1+PortfolioFrontier[[#This Row],[P128 Return]])</f>
        <v>1.4681451736339111</v>
      </c>
      <c r="SS77" s="27">
        <f>MAX(SS76,PortfolioFrontier[[#This Row],[P128 Growth]])</f>
        <v>1.6703618996398835</v>
      </c>
      <c r="ST77" s="27">
        <f>PortfolioFrontier[[#This Row],[P128 Growth]]/PortfolioFrontier[[#This Row],[P128 HWM]]-1</f>
        <v>-0.12106162505835938</v>
      </c>
      <c r="SU77" s="28">
        <f>SUMPRODUCT(INDEX(PortfolioRef[[SPY]:[PE]],MATCH(SU$1,PortfolioRef[Reference '#]),0),AssetMonthlyReturns[[#This Row],[SPY]:[PE]])</f>
        <v>-4.3129730192533564E-2</v>
      </c>
      <c r="SV77" s="27">
        <f>IF(ISNUMBER(SV76),SV76*(1+PortfolioFrontier[[#This Row],[P129 Return]]),1+PortfolioFrontier[[#This Row],[P129 Return]])</f>
        <v>1.4589276009670076</v>
      </c>
      <c r="SW77" s="27">
        <f>MAX(SW76,PortfolioFrontier[[#This Row],[P129 Growth]])</f>
        <v>1.6389727481356613</v>
      </c>
      <c r="SX77" s="27">
        <f>PortfolioFrontier[[#This Row],[P129 Growth]]/PortfolioFrontier[[#This Row],[P129 HWM]]-1</f>
        <v>-0.1098524349312433</v>
      </c>
      <c r="SY77" s="28">
        <f>SUMPRODUCT(INDEX(PortfolioRef[[SPY]:[PE]],MATCH(SY$1,PortfolioRef[Reference '#]),0),AssetMonthlyReturns[[#This Row],[SPY]:[PE]])</f>
        <v>-5.4400809478996691E-2</v>
      </c>
      <c r="SZ77" s="27">
        <f>IF(ISNUMBER(SZ76),SZ76*(1+PortfolioFrontier[[#This Row],[P130 Return]]),1+PortfolioFrontier[[#This Row],[P130 Return]])</f>
        <v>1.476880753820526</v>
      </c>
      <c r="TA77" s="27">
        <f>MAX(TA76,PortfolioFrontier[[#This Row],[P130 Growth]])</f>
        <v>1.720142179322633</v>
      </c>
      <c r="TB77" s="27">
        <f>PortfolioFrontier[[#This Row],[P130 Growth]]/PortfolioFrontier[[#This Row],[P130 HWM]]-1</f>
        <v>-0.14141937127423954</v>
      </c>
      <c r="TC77" s="28">
        <f>SUMPRODUCT(INDEX(PortfolioRef[[SPY]:[PE]],MATCH(TC$1,PortfolioRef[Reference '#]),0),AssetMonthlyReturns[[#This Row],[SPY]:[PE]])</f>
        <v>-5.0382457981791674E-2</v>
      </c>
      <c r="TD77" s="27">
        <f>IF(ISNUMBER(TD76),TD76*(1+PortfolioFrontier[[#This Row],[P131 Return]]),1+PortfolioFrontier[[#This Row],[P131 Return]])</f>
        <v>1.4689623168505883</v>
      </c>
      <c r="TE77" s="27">
        <f>MAX(TE76,PortfolioFrontier[[#This Row],[P131 Growth]])</f>
        <v>1.6891185966988822</v>
      </c>
      <c r="TF77" s="27">
        <f>PortfolioFrontier[[#This Row],[P131 Growth]]/PortfolioFrontier[[#This Row],[P131 HWM]]-1</f>
        <v>-0.13033796459203917</v>
      </c>
      <c r="TG77" s="28">
        <f>SUMPRODUCT(INDEX(PortfolioRef[[SPY]:[PE]],MATCH(TG$1,PortfolioRef[Reference '#]),0),AssetMonthlyReturns[[#This Row],[SPY]:[PE]])</f>
        <v>-4.6364106484586651E-2</v>
      </c>
      <c r="TH77" s="27">
        <f>IF(ISNUMBER(TH76),TH76*(1+PortfolioFrontier[[#This Row],[P132 Return]]),1+PortfolioFrontier[[#This Row],[P132 Return]])</f>
        <v>1.4603110103005075</v>
      </c>
      <c r="TI77" s="27">
        <f>MAX(TI76,PortfolioFrontier[[#This Row],[P132 Growth]])</f>
        <v>1.6579261593145806</v>
      </c>
      <c r="TJ77" s="27">
        <f>PortfolioFrontier[[#This Row],[P132 Growth]]/PortfolioFrontier[[#This Row],[P132 HWM]]-1</f>
        <v>-0.119194179972268</v>
      </c>
      <c r="TK77" s="28">
        <f>SUMPRODUCT(INDEX(PortfolioRef[[SPY]:[PE]],MATCH(TK$1,PortfolioRef[Reference '#]),0),AssetMonthlyReturns[[#This Row],[SPY]:[PE]])</f>
        <v>-5.1171024639902939E-2</v>
      </c>
      <c r="TL77" s="27">
        <f>IF(ISNUMBER(TL76),TL76*(1+PortfolioFrontier[[#This Row],[P133 Return]]),1+PortfolioFrontier[[#This Row],[P133 Return]])</f>
        <v>1.4970274242221047</v>
      </c>
      <c r="TM77" s="27">
        <f>MAX(TM76,PortfolioFrontier[[#This Row],[P133 Growth]])</f>
        <v>1.7171102853087914</v>
      </c>
      <c r="TN77" s="27">
        <f>PortfolioFrontier[[#This Row],[P133 Growth]]/PortfolioFrontier[[#This Row],[P133 HWM]]-1</f>
        <v>-0.12817048675886811</v>
      </c>
      <c r="TO77" s="28">
        <f>SUMPRODUCT(INDEX(PortfolioRef[[SPY]:[PE]],MATCH(TO$1,PortfolioRef[Reference '#]),0),AssetMonthlyReturns[[#This Row],[SPY]:[PE]])</f>
        <v>-4.7152673142697915E-2</v>
      </c>
      <c r="TP77" s="27">
        <f>IF(ISNUMBER(TP76),TP76*(1+PortfolioFrontier[[#This Row],[P134 Return]]),1+PortfolioFrontier[[#This Row],[P134 Return]])</f>
        <v>1.4884705831689691</v>
      </c>
      <c r="TQ77" s="27">
        <f>MAX(TQ76,PortfolioFrontier[[#This Row],[P134 Growth]])</f>
        <v>1.6856432974461595</v>
      </c>
      <c r="TR77" s="27">
        <f>PortfolioFrontier[[#This Row],[P134 Growth]]/PortfolioFrontier[[#This Row],[P134 HWM]]-1</f>
        <v>-0.1169717902808487</v>
      </c>
      <c r="TS77" s="28">
        <f>SUMPRODUCT(INDEX(PortfolioRef[[SPY]:[PE]],MATCH(TS$1,PortfolioRef[Reference '#]),0),AssetMonthlyReturns[[#This Row],[SPY]:[PE]])</f>
        <v>-4.3134321645492898E-2</v>
      </c>
      <c r="TT77" s="27">
        <f>IF(ISNUMBER(TT76),TT76*(1+PortfolioFrontier[[#This Row],[P135 Return]]),1+PortfolioFrontier[[#This Row],[P135 Return]])</f>
        <v>1.4791817400989067</v>
      </c>
      <c r="TU77" s="27">
        <f>MAX(TU76,PortfolioFrontier[[#This Row],[P135 Growth]])</f>
        <v>1.6540304901705998</v>
      </c>
      <c r="TV77" s="27">
        <f>PortfolioFrontier[[#This Row],[P135 Growth]]/PortfolioFrontier[[#This Row],[P135 HWM]]-1</f>
        <v>-0.10571071761419515</v>
      </c>
      <c r="TW77" s="28">
        <f>SUMPRODUCT(INDEX(PortfolioRef[[SPY]:[PE]],MATCH(TW$1,PortfolioRef[Reference '#]),0),AssetMonthlyReturns[[#This Row],[SPY]:[PE]])</f>
        <v>-5.4405400931956019E-2</v>
      </c>
      <c r="TX77" s="27">
        <f>IF(ISNUMBER(TX76),TX76*(1+PortfolioFrontier[[#This Row],[P136 Return]]),1+PortfolioFrontier[[#This Row],[P136 Return]])</f>
        <v>1.497551498624935</v>
      </c>
      <c r="TY77" s="27">
        <f>MAX(TY76,PortfolioFrontier[[#This Row],[P136 Growth]])</f>
        <v>1.7361155602147582</v>
      </c>
      <c r="TZ77" s="27">
        <f>PortfolioFrontier[[#This Row],[P136 Growth]]/PortfolioFrontier[[#This Row],[P136 HWM]]-1</f>
        <v>-0.13741254733084285</v>
      </c>
      <c r="UA77" s="28">
        <f>SUMPRODUCT(INDEX(PortfolioRef[[SPY]:[PE]],MATCH(UA$1,PortfolioRef[Reference '#]),0),AssetMonthlyReturns[[#This Row],[SPY]:[PE]])</f>
        <v>-5.0387049434751002E-2</v>
      </c>
      <c r="UB77" s="27">
        <f>IF(ISNUMBER(UB76),UB76*(1+PortfolioFrontier[[#This Row],[P137 Return]]),1+PortfolioFrontier[[#This Row],[P137 Return]])</f>
        <v>1.4895782893084468</v>
      </c>
      <c r="UC77" s="27">
        <f>MAX(UC76,PortfolioFrontier[[#This Row],[P137 Growth]])</f>
        <v>1.7048691873265751</v>
      </c>
      <c r="UD77" s="27">
        <f>PortfolioFrontier[[#This Row],[P137 Growth]]/PortfolioFrontier[[#This Row],[P137 HWM]]-1</f>
        <v>-0.12628000999638478</v>
      </c>
      <c r="UE77" s="28">
        <f>SUMPRODUCT(INDEX(PortfolioRef[[SPY]:[PE]],MATCH(UE$1,PortfolioRef[Reference '#]),0),AssetMonthlyReturns[[#This Row],[SPY]:[PE]])</f>
        <v>-4.6368697937545986E-2</v>
      </c>
      <c r="UF77" s="27">
        <f>IF(ISNUMBER(UF76),UF76*(1+PortfolioFrontier[[#This Row],[P138 Return]]),1+PortfolioFrontier[[#This Row],[P138 Return]])</f>
        <v>1.4808618400100022</v>
      </c>
      <c r="UG77" s="27">
        <f>MAX(UG76,PortfolioFrontier[[#This Row],[P138 Growth]])</f>
        <v>1.6734502822541619</v>
      </c>
      <c r="UH77" s="27">
        <f>PortfolioFrontier[[#This Row],[P138 Growth]]/PortfolioFrontier[[#This Row],[P138 HWM]]-1</f>
        <v>-0.11508465132572698</v>
      </c>
      <c r="UI77" s="28">
        <f>SUMPRODUCT(INDEX(PortfolioRef[[SPY]:[PE]],MATCH(UI$1,PortfolioRef[Reference '#]),0),AssetMonthlyReturns[[#This Row],[SPY]:[PE]])</f>
        <v>-5.7639777224009113E-2</v>
      </c>
      <c r="UJ77" s="27">
        <f>IF(ISNUMBER(UJ76),UJ76*(1+PortfolioFrontier[[#This Row],[P139 Return]]),1+PortfolioFrontier[[#This Row],[P139 Return]])</f>
        <v>1.4972026305811386</v>
      </c>
      <c r="UK77" s="27">
        <f>MAX(UK76,PortfolioFrontier[[#This Row],[P139 Growth]])</f>
        <v>1.7543965710992384</v>
      </c>
      <c r="UL77" s="27">
        <f>PortfolioFrontier[[#This Row],[P139 Growth]]/PortfolioFrontier[[#This Row],[P139 HWM]]-1</f>
        <v>-0.14659965982317891</v>
      </c>
      <c r="UM77" s="28">
        <f>SUMPRODUCT(INDEX(PortfolioRef[[SPY]:[PE]],MATCH(UM$1,PortfolioRef[Reference '#]),0),AssetMonthlyReturns[[#This Row],[SPY]:[PE]])</f>
        <v>-5.3621425726804089E-2</v>
      </c>
      <c r="UN77" s="27">
        <f>IF(ISNUMBER(UN76),UN76*(1+PortfolioFrontier[[#This Row],[P140 Return]]),1+PortfolioFrontier[[#This Row],[P140 Return]])</f>
        <v>1.4898218672062971</v>
      </c>
      <c r="UO77" s="27">
        <f>MAX(UO76,PortfolioFrontier[[#This Row],[P140 Growth]])</f>
        <v>1.7234002022793458</v>
      </c>
      <c r="UP77" s="27">
        <f>PortfolioFrontier[[#This Row],[P140 Growth]]/PortfolioFrontier[[#This Row],[P140 HWM]]-1</f>
        <v>-0.13553342674796087</v>
      </c>
      <c r="UQ77" s="28">
        <f>SUMPRODUCT(INDEX(PortfolioRef[[SPY]:[PE]],MATCH(UQ$1,PortfolioRef[Reference '#]),0),AssetMonthlyReturns[[#This Row],[SPY]:[PE]])</f>
        <v>-4.9603074229599073E-2</v>
      </c>
      <c r="UR77" s="27">
        <f>IF(ISNUMBER(UR76),UR76*(1+PortfolioFrontier[[#This Row],[P141 Return]]),1+PortfolioFrontier[[#This Row],[P141 Return]])</f>
        <v>1.4816872841036737</v>
      </c>
      <c r="US77" s="27">
        <f>MAX(US76,PortfolioFrontier[[#This Row],[P141 Growth]])</f>
        <v>1.6922041432386774</v>
      </c>
      <c r="UT77" s="27">
        <f>PortfolioFrontier[[#This Row],[P141 Growth]]/PortfolioFrontier[[#This Row],[P141 HWM]]-1</f>
        <v>-0.12440393789138204</v>
      </c>
    </row>
    <row r="78" spans="2:566" x14ac:dyDescent="0.2">
      <c r="B78" s="41">
        <f>AssetMonthlyReturns[[#This Row],[Date]]</f>
        <v>44743</v>
      </c>
      <c r="C78" s="28">
        <f>SUMPRODUCT(INDEX(PortfolioRef[[SPY]:[PE]],MATCH(C$1,PortfolioRef[Reference '#]),0),AssetMonthlyReturns[[#This Row],[SPY]:[PE]])</f>
        <v>6.4548406244035891E-2</v>
      </c>
      <c r="D78" s="29">
        <f>IF(ISNUMBER(D77),D77*(1+PortfolioFrontier[[#This Row],[P1 Return]]),1+PortfolioFrontier[[#This Row],[P1 Return]])</f>
        <v>1.7755451936561109</v>
      </c>
      <c r="E78" s="29">
        <f>MAX(E77,PortfolioFrontier[[#This Row],[P1 Growth]])</f>
        <v>1.9531239567566241</v>
      </c>
      <c r="F78" s="29">
        <f>PortfolioFrontier[[#This Row],[P1 Growth]]/PortfolioFrontier[[#This Row],[P1 HWM]]-1</f>
        <v>-9.0920375271727361E-2</v>
      </c>
      <c r="G78" s="28">
        <f>SUMPRODUCT(INDEX(PortfolioRef[[SPY]:[PE]],MATCH(G$1,PortfolioRef[Reference '#]),0),AssetMonthlyReturns[[#This Row],[SPY]:[PE]])</f>
        <v>6.0975570397872922E-2</v>
      </c>
      <c r="H78" s="27">
        <f>IF(ISNUMBER(H77),H77*(1+PortfolioFrontier[[#This Row],[P2 Return]]),1+PortfolioFrontier[[#This Row],[P2 Return]])</f>
        <v>1.7142493306279456</v>
      </c>
      <c r="I78" s="27">
        <f>MAX(I77,PortfolioFrontier[[#This Row],[P2 Growth]])</f>
        <v>1.880902671218339</v>
      </c>
      <c r="J78" s="27">
        <f>PortfolioFrontier[[#This Row],[P2 Growth]]/PortfolioFrontier[[#This Row],[P2 HWM]]-1</f>
        <v>-8.8602851779909009E-2</v>
      </c>
      <c r="K78" s="28">
        <f>SUMPRODUCT(INDEX(PortfolioRef[[SPY]:[PE]],MATCH(K$1,PortfolioRef[Reference '#]),0),AssetMonthlyReturns[[#This Row],[SPY]:[PE]])</f>
        <v>5.8414067299151815E-2</v>
      </c>
      <c r="L78" s="27">
        <f>IF(ISNUMBER(L77),L77*(1+PortfolioFrontier[[#This Row],[P3 Return]]),1+PortfolioFrontier[[#This Row],[P3 Return]])</f>
        <v>1.734184217539301</v>
      </c>
      <c r="M78" s="27">
        <f>MAX(M77,PortfolioFrontier[[#This Row],[P3 Growth]])</f>
        <v>1.8984394560781046</v>
      </c>
      <c r="N78" s="27">
        <f>PortfolioFrontier[[#This Row],[P3 Growth]]/PortfolioFrontier[[#This Row],[P3 HWM]]-1</f>
        <v>-8.6521188765287582E-2</v>
      </c>
      <c r="O78" s="28">
        <f>SUMPRODUCT(INDEX(PortfolioRef[[SPY]:[PE]],MATCH(O$1,PortfolioRef[Reference '#]),0),AssetMonthlyReturns[[#This Row],[SPY]:[PE]])</f>
        <v>6.4362073657193722E-2</v>
      </c>
      <c r="P78" s="27">
        <f>IF(ISNUMBER(P77),P77*(1+PortfolioFrontier[[#This Row],[P4 Return]]),1+PortfolioFrontier[[#This Row],[P4 Return]])</f>
        <v>1.7444051181783471</v>
      </c>
      <c r="Q78" s="27">
        <f>MAX(Q77,PortfolioFrontier[[#This Row],[P4 Growth]])</f>
        <v>1.9193367929729268</v>
      </c>
      <c r="R78" s="27">
        <f>PortfolioFrontier[[#This Row],[P4 Growth]]/PortfolioFrontier[[#This Row],[P4 HWM]]-1</f>
        <v>-9.1141729494812695E-2</v>
      </c>
      <c r="S78" s="28">
        <f>SUMPRODUCT(INDEX(PortfolioRef[[SPY]:[PE]],MATCH(S$1,PortfolioRef[Reference '#]),0),AssetMonthlyReturns[[#This Row],[SPY]:[PE]])</f>
        <v>6.0099903934181256E-2</v>
      </c>
      <c r="T78" s="27">
        <f>IF(ISNUMBER(T77),T77*(1+PortfolioFrontier[[#This Row],[P5 Return]]),1+PortfolioFrontier[[#This Row],[P5 Return]])</f>
        <v>1.7276289857314633</v>
      </c>
      <c r="U78" s="27">
        <f>MAX(U77,PortfolioFrontier[[#This Row],[P5 Growth]])</f>
        <v>1.8841834525169079</v>
      </c>
      <c r="V78" s="27">
        <f>PortfolioFrontier[[#This Row],[P5 Growth]]/PortfolioFrontier[[#This Row],[P5 HWM]]-1</f>
        <v>-8.3088760054822575E-2</v>
      </c>
      <c r="W78" s="28">
        <f>SUMPRODUCT(INDEX(PortfolioRef[[SPY]:[PE]],MATCH(W$1,PortfolioRef[Reference '#]),0),AssetMonthlyReturns[[#This Row],[SPY]:[PE]])</f>
        <v>5.7402734551709966E-2</v>
      </c>
      <c r="X78" s="27">
        <f>IF(ISNUMBER(X77),X77*(1+PortfolioFrontier[[#This Row],[P6 Return]]),1+PortfolioFrontier[[#This Row],[P6 Return]])</f>
        <v>1.654418738834635</v>
      </c>
      <c r="Y78" s="27">
        <f>MAX(Y77,PortfolioFrontier[[#This Row],[P6 Growth]])</f>
        <v>1.8107203423144032</v>
      </c>
      <c r="Z78" s="27">
        <f>PortfolioFrontier[[#This Row],[P6 Growth]]/PortfolioFrontier[[#This Row],[P6 HWM]]-1</f>
        <v>-8.6320123448764385E-2</v>
      </c>
      <c r="AA78" s="28">
        <f>SUMPRODUCT(INDEX(PortfolioRef[[SPY]:[PE]],MATCH(AA$1,PortfolioRef[Reference '#]),0),AssetMonthlyReturns[[#This Row],[SPY]:[PE]])</f>
        <v>5.4841231452988859E-2</v>
      </c>
      <c r="AB78" s="27">
        <f>IF(ISNUMBER(AB77),AB77*(1+PortfolioFrontier[[#This Row],[P7 Return]]),1+PortfolioFrontier[[#This Row],[P7 Return]])</f>
        <v>1.6736728291552816</v>
      </c>
      <c r="AC78" s="27">
        <f>MAX(AC77,PortfolioFrontier[[#This Row],[P7 Growth]])</f>
        <v>1.8276317298765399</v>
      </c>
      <c r="AD78" s="27">
        <f>PortfolioFrontier[[#This Row],[P7 Growth]]/PortfolioFrontier[[#This Row],[P7 HWM]]-1</f>
        <v>-8.4239564352309948E-2</v>
      </c>
      <c r="AE78" s="28">
        <f>SUMPRODUCT(INDEX(PortfolioRef[[SPY]:[PE]],MATCH(AE$1,PortfolioRef[Reference '#]),0),AssetMonthlyReturns[[#This Row],[SPY]:[PE]])</f>
        <v>6.0789237811030766E-2</v>
      </c>
      <c r="AF78" s="27">
        <f>IF(ISNUMBER(AF77),AF77*(1+PortfolioFrontier[[#This Row],[P8 Return]]),1+PortfolioFrontier[[#This Row],[P8 Return]])</f>
        <v>1.6840606942882124</v>
      </c>
      <c r="AG78" s="27">
        <f>MAX(AG77,PortfolioFrontier[[#This Row],[P8 Growth]])</f>
        <v>1.8482324314062795</v>
      </c>
      <c r="AH78" s="27">
        <f>PortfolioFrontier[[#This Row],[P8 Growth]]/PortfolioFrontier[[#This Row],[P8 HWM]]-1</f>
        <v>-8.8826347989766852E-2</v>
      </c>
      <c r="AI78" s="28">
        <f>SUMPRODUCT(INDEX(PortfolioRef[[SPY]:[PE]],MATCH(AI$1,PortfolioRef[Reference '#]),0),AssetMonthlyReturns[[#This Row],[SPY]:[PE]])</f>
        <v>5.6527068088018301E-2</v>
      </c>
      <c r="AJ78" s="27">
        <f>IF(ISNUMBER(AJ77),AJ77*(1+PortfolioFrontier[[#This Row],[P9 Return]]),1+PortfolioFrontier[[#This Row],[P9 Return]])</f>
        <v>1.6673595634679361</v>
      </c>
      <c r="AK78" s="27">
        <f>MAX(AK77,PortfolioFrontier[[#This Row],[P9 Growth]])</f>
        <v>1.8139467261629987</v>
      </c>
      <c r="AL78" s="27">
        <f>PortfolioFrontier[[#This Row],[P9 Growth]]/PortfolioFrontier[[#This Row],[P9 HWM]]-1</f>
        <v>-8.0811172996869129E-2</v>
      </c>
      <c r="AM78" s="28">
        <f>SUMPRODUCT(INDEX(PortfolioRef[[SPY]:[PE]],MATCH(AM$1,PortfolioRef[Reference '#]),0),AssetMonthlyReturns[[#This Row],[SPY]:[PE]])</f>
        <v>5.2279728354267765E-2</v>
      </c>
      <c r="AN78" s="27">
        <f>IF(ISNUMBER(AN77),AN77*(1+PortfolioFrontier[[#This Row],[P10 Return]]),1+PortfolioFrontier[[#This Row],[P10 Return]])</f>
        <v>1.6927680393974351</v>
      </c>
      <c r="AO78" s="27">
        <f>MAX(AO77,PortfolioFrontier[[#This Row],[P10 Growth]])</f>
        <v>1.8443368551596837</v>
      </c>
      <c r="AP78" s="27">
        <f>PortfolioFrontier[[#This Row],[P10 Growth]]/PortfolioFrontier[[#This Row],[P10 HWM]]-1</f>
        <v>-8.218065769179983E-2</v>
      </c>
      <c r="AQ78" s="28">
        <f>SUMPRODUCT(INDEX(PortfolioRef[[SPY]:[PE]],MATCH(AQ$1,PortfolioRef[Reference '#]),0),AssetMonthlyReturns[[#This Row],[SPY]:[PE]])</f>
        <v>5.8227734712309659E-2</v>
      </c>
      <c r="AR78" s="27">
        <f>IF(ISNUMBER(AR77),AR77*(1+PortfolioFrontier[[#This Row],[P11 Return]]),1+PortfolioFrontier[[#This Row],[P11 Return]])</f>
        <v>1.7036159128889863</v>
      </c>
      <c r="AS78" s="27">
        <f>MAX(AS77,PortfolioFrontier[[#This Row],[P11 Growth]])</f>
        <v>1.865449984246593</v>
      </c>
      <c r="AT78" s="27">
        <f>PortfolioFrontier[[#This Row],[P11 Growth]]/PortfolioFrontier[[#This Row],[P11 HWM]]-1</f>
        <v>-8.6753369280478054E-2</v>
      </c>
      <c r="AU78" s="28">
        <f>SUMPRODUCT(INDEX(PortfolioRef[[SPY]:[PE]],MATCH(AU$1,PortfolioRef[Reference '#]),0),AssetMonthlyReturns[[#This Row],[SPY]:[PE]])</f>
        <v>5.3965564989297193E-2</v>
      </c>
      <c r="AV78" s="27">
        <f>IF(ISNUMBER(AV77),AV77*(1+PortfolioFrontier[[#This Row],[P12 Return]]),1+PortfolioFrontier[[#This Row],[P12 Return]])</f>
        <v>1.686768169888198</v>
      </c>
      <c r="AW78" s="27">
        <f>MAX(AW77,PortfolioFrontier[[#This Row],[P12 Growth]])</f>
        <v>1.8309154354259589</v>
      </c>
      <c r="AX78" s="27">
        <f>PortfolioFrontier[[#This Row],[P12 Growth]]/PortfolioFrontier[[#This Row],[P12 HWM]]-1</f>
        <v>-7.872961402186518E-2</v>
      </c>
      <c r="AY78" s="28">
        <f>SUMPRODUCT(INDEX(PortfolioRef[[SPY]:[PE]],MATCH(AY$1,PortfolioRef[Reference '#]),0),AssetMonthlyReturns[[#This Row],[SPY]:[PE]])</f>
        <v>6.4175741070351552E-2</v>
      </c>
      <c r="AZ78" s="27">
        <f>IF(ISNUMBER(AZ77),AZ77*(1+PortfolioFrontier[[#This Row],[P13 Return]]),1+PortfolioFrontier[[#This Row],[P13 Return]])</f>
        <v>1.7134867336582218</v>
      </c>
      <c r="BA78" s="27">
        <f>MAX(BA77,PortfolioFrontier[[#This Row],[P13 Growth]])</f>
        <v>1.8858075751364967</v>
      </c>
      <c r="BB78" s="27">
        <f>PortfolioFrontier[[#This Row],[P13 Growth]]/PortfolioFrontier[[#This Row],[P13 HWM]]-1</f>
        <v>-9.1377743811322909E-2</v>
      </c>
      <c r="BC78" s="28">
        <f>SUMPRODUCT(INDEX(PortfolioRef[[SPY]:[PE]],MATCH(BC$1,PortfolioRef[Reference '#]),0),AssetMonthlyReturns[[#This Row],[SPY]:[PE]])</f>
        <v>5.9913571347339101E-2</v>
      </c>
      <c r="BD78" s="27">
        <f>IF(ISNUMBER(BD77),BD77*(1+PortfolioFrontier[[#This Row],[P14 Return]]),1+PortfolioFrontier[[#This Row],[P14 Return]])</f>
        <v>1.6972462022696184</v>
      </c>
      <c r="BE78" s="27">
        <f>MAX(BE77,PortfolioFrontier[[#This Row],[P14 Growth]])</f>
        <v>1.8515113734383843</v>
      </c>
      <c r="BF78" s="27">
        <f>PortfolioFrontier[[#This Row],[P14 Growth]]/PortfolioFrontier[[#This Row],[P14 HWM]]-1</f>
        <v>-8.3318511234573123E-2</v>
      </c>
      <c r="BG78" s="28">
        <f>SUMPRODUCT(INDEX(PortfolioRef[[SPY]:[PE]],MATCH(BG$1,PortfolioRef[Reference '#]),0),AssetMonthlyReturns[[#This Row],[SPY]:[PE]])</f>
        <v>5.5651401624326628E-2</v>
      </c>
      <c r="BH78" s="27">
        <f>IF(ISNUMBER(BH77),BH77*(1+PortfolioFrontier[[#This Row],[P15 Return]]),1+PortfolioFrontier[[#This Row],[P15 Return]])</f>
        <v>1.6802431104333062</v>
      </c>
      <c r="BI78" s="27">
        <f>MAX(BI77,PortfolioFrontier[[#This Row],[P15 Growth]])</f>
        <v>1.8170439473092146</v>
      </c>
      <c r="BJ78" s="27">
        <f>PortfolioFrontier[[#This Row],[P15 Growth]]/PortfolioFrontier[[#This Row],[P15 HWM]]-1</f>
        <v>-7.5287577429533847E-2</v>
      </c>
      <c r="BK78" s="28">
        <f>SUMPRODUCT(INDEX(PortfolioRef[[SPY]:[PE]],MATCH(BK$1,PortfolioRef[Reference '#]),0),AssetMonthlyReturns[[#This Row],[SPY]:[PE]])</f>
        <v>5.3829898705547011E-2</v>
      </c>
      <c r="BL78" s="27">
        <f>IF(ISNUMBER(BL77),BL77*(1+PortfolioFrontier[[#This Row],[P16 Return]]),1+PortfolioFrontier[[#This Row],[P16 Return]])</f>
        <v>1.5960490404741938</v>
      </c>
      <c r="BM78" s="27">
        <f>MAX(BM77,PortfolioFrontier[[#This Row],[P16 Growth]])</f>
        <v>1.7425494832470445</v>
      </c>
      <c r="BN78" s="27">
        <f>PortfolioFrontier[[#This Row],[P16 Growth]]/PortfolioFrontier[[#This Row],[P16 HWM]]-1</f>
        <v>-8.4072472076869631E-2</v>
      </c>
      <c r="BO78" s="28">
        <f>SUMPRODUCT(INDEX(PortfolioRef[[SPY]:[PE]],MATCH(BO$1,PortfolioRef[Reference '#]),0),AssetMonthlyReturns[[#This Row],[SPY]:[PE]])</f>
        <v>5.1268395606825903E-2</v>
      </c>
      <c r="BP78" s="27">
        <f>IF(ISNUMBER(BP77),BP77*(1+PortfolioFrontier[[#This Row],[P17 Return]]),1+PortfolioFrontier[[#This Row],[P17 Return]])</f>
        <v>1.6146386942382376</v>
      </c>
      <c r="BQ78" s="27">
        <f>MAX(BQ77,PortfolioFrontier[[#This Row],[P17 Growth]])</f>
        <v>1.7588525148836969</v>
      </c>
      <c r="BR78" s="27">
        <f>PortfolioFrontier[[#This Row],[P17 Growth]]/PortfolioFrontier[[#This Row],[P17 HWM]]-1</f>
        <v>-8.1993128716079666E-2</v>
      </c>
      <c r="BS78" s="28">
        <f>SUMPRODUCT(INDEX(PortfolioRef[[SPY]:[PE]],MATCH(BS$1,PortfolioRef[Reference '#]),0),AssetMonthlyReturns[[#This Row],[SPY]:[PE]])</f>
        <v>5.7216401964867811E-2</v>
      </c>
      <c r="BT78" s="27">
        <f>IF(ISNUMBER(BT77),BT77*(1+PortfolioFrontier[[#This Row],[P18 Return]]),1+PortfolioFrontier[[#This Row],[P18 Return]])</f>
        <v>1.6251637352219717</v>
      </c>
      <c r="BU78" s="27">
        <f>MAX(BU77,PortfolioFrontier[[#This Row],[P18 Growth]])</f>
        <v>1.7791407441475846</v>
      </c>
      <c r="BV78" s="27">
        <f>PortfolioFrontier[[#This Row],[P18 Growth]]/PortfolioFrontier[[#This Row],[P18 HWM]]-1</f>
        <v>-8.6545715639481879E-2</v>
      </c>
      <c r="BW78" s="28">
        <f>SUMPRODUCT(INDEX(PortfolioRef[[SPY]:[PE]],MATCH(BW$1,PortfolioRef[Reference '#]),0),AssetMonthlyReturns[[#This Row],[SPY]:[PE]])</f>
        <v>5.2954232241855345E-2</v>
      </c>
      <c r="BX78" s="27">
        <f>IF(ISNUMBER(BX77),BX77*(1+PortfolioFrontier[[#This Row],[P19 Return]]),1+PortfolioFrontier[[#This Row],[P19 Return]])</f>
        <v>1.6085602863044486</v>
      </c>
      <c r="BY78" s="27">
        <f>MAX(BY77,PortfolioFrontier[[#This Row],[P19 Growth]])</f>
        <v>1.7457196180719312</v>
      </c>
      <c r="BZ78" s="27">
        <f>PortfolioFrontier[[#This Row],[P19 Growth]]/PortfolioFrontier[[#This Row],[P19 HWM]]-1</f>
        <v>-7.8568935324773936E-2</v>
      </c>
      <c r="CA78" s="28">
        <f>SUMPRODUCT(INDEX(PortfolioRef[[SPY]:[PE]],MATCH(CA$1,PortfolioRef[Reference '#]),0),AssetMonthlyReturns[[#This Row],[SPY]:[PE]])</f>
        <v>4.870689250810481E-2</v>
      </c>
      <c r="CB78" s="27">
        <f>IF(ISNUMBER(CB77),CB77*(1+PortfolioFrontier[[#This Row],[P20 Return]]),1+PortfolioFrontier[[#This Row],[P20 Return]])</f>
        <v>1.633074603471935</v>
      </c>
      <c r="CC78" s="27">
        <f>MAX(CC77,PortfolioFrontier[[#This Row],[P20 Growth]])</f>
        <v>1.7749567522517573</v>
      </c>
      <c r="CD78" s="27">
        <f>PortfolioFrontier[[#This Row],[P20 Growth]]/PortfolioFrontier[[#This Row],[P20 HWM]]-1</f>
        <v>-7.9935552570408741E-2</v>
      </c>
      <c r="CE78" s="28">
        <f>SUMPRODUCT(INDEX(PortfolioRef[[SPY]:[PE]],MATCH(CE$1,PortfolioRef[Reference '#]),0),AssetMonthlyReturns[[#This Row],[SPY]:[PE]])</f>
        <v>5.4654898866146703E-2</v>
      </c>
      <c r="CF78" s="27">
        <f>IF(ISNUMBER(CF77),CF77*(1+PortfolioFrontier[[#This Row],[P21 Return]]),1+PortfolioFrontier[[#This Row],[P21 Return]])</f>
        <v>1.6440499681342835</v>
      </c>
      <c r="CG78" s="27">
        <f>MAX(CG77,PortfolioFrontier[[#This Row],[P21 Growth]])</f>
        <v>1.795743356031652</v>
      </c>
      <c r="CH78" s="27">
        <f>PortfolioFrontier[[#This Row],[P21 Growth]]/PortfolioFrontier[[#This Row],[P21 HWM]]-1</f>
        <v>-8.4473868377600625E-2</v>
      </c>
      <c r="CI78" s="28">
        <f>SUMPRODUCT(INDEX(PortfolioRef[[SPY]:[PE]],MATCH(CI$1,PortfolioRef[Reference '#]),0),AssetMonthlyReturns[[#This Row],[SPY]:[PE]])</f>
        <v>5.0392729143134238E-2</v>
      </c>
      <c r="CJ78" s="27">
        <f>IF(ISNUMBER(CJ77),CJ77*(1+PortfolioFrontier[[#This Row],[P22 Return]]),1+PortfolioFrontier[[#This Row],[P22 Return]])</f>
        <v>1.6272994644481131</v>
      </c>
      <c r="CK78" s="27">
        <f>MAX(CK77,PortfolioFrontier[[#This Row],[P22 Growth]])</f>
        <v>1.7620784578443487</v>
      </c>
      <c r="CL78" s="27">
        <f>PortfolioFrontier[[#This Row],[P22 Growth]]/PortfolioFrontier[[#This Row],[P22 HWM]]-1</f>
        <v>-7.6488644870625344E-2</v>
      </c>
      <c r="CM78" s="28">
        <f>SUMPRODUCT(INDEX(PortfolioRef[[SPY]:[PE]],MATCH(CM$1,PortfolioRef[Reference '#]),0),AssetMonthlyReturns[[#This Row],[SPY]:[PE]])</f>
        <v>6.0602905224188604E-2</v>
      </c>
      <c r="CN78" s="27">
        <f>IF(ISNUMBER(CN77),CN77*(1+PortfolioFrontier[[#This Row],[P23 Return]]),1+PortfolioFrontier[[#This Row],[P23 Return]])</f>
        <v>1.6540904905676743</v>
      </c>
      <c r="CO78" s="27">
        <f>MAX(CO77,PortfolioFrontier[[#This Row],[P23 Growth]])</f>
        <v>1.8158151760868648</v>
      </c>
      <c r="CP78" s="27">
        <f>PortfolioFrontier[[#This Row],[P23 Growth]]/PortfolioFrontier[[#This Row],[P23 HWM]]-1</f>
        <v>-8.9064508133317788E-2</v>
      </c>
      <c r="CQ78" s="28">
        <f>SUMPRODUCT(INDEX(PortfolioRef[[SPY]:[PE]],MATCH(CQ$1,PortfolioRef[Reference '#]),0),AssetMonthlyReturns[[#This Row],[SPY]:[PE]])</f>
        <v>5.6340735501176145E-2</v>
      </c>
      <c r="CR78" s="27">
        <f>IF(ISNUMBER(CR77),CR77*(1+PortfolioFrontier[[#This Row],[P24 Return]]),1+PortfolioFrontier[[#This Row],[P24 Return]])</f>
        <v>1.637915698875525</v>
      </c>
      <c r="CS78" s="27">
        <f>MAX(CS77,PortfolioFrontier[[#This Row],[P24 Growth]])</f>
        <v>1.7823638134718676</v>
      </c>
      <c r="CT78" s="27">
        <f>PortfolioFrontier[[#This Row],[P24 Growth]]/PortfolioFrontier[[#This Row],[P24 HWM]]-1</f>
        <v>-8.1043002278514575E-2</v>
      </c>
      <c r="CU78" s="28">
        <f>SUMPRODUCT(INDEX(PortfolioRef[[SPY]:[PE]],MATCH(CU$1,PortfolioRef[Reference '#]),0),AssetMonthlyReturns[[#This Row],[SPY]:[PE]])</f>
        <v>5.2078565778163673E-2</v>
      </c>
      <c r="CV78" s="27">
        <f>IF(ISNUMBER(CV77),CV77*(1+PortfolioFrontier[[#This Row],[P25 Return]]),1+PortfolioFrontier[[#This Row],[P25 Return]])</f>
        <v>1.6210167857524351</v>
      </c>
      <c r="CW78" s="27">
        <f>MAX(CW77,PortfolioFrontier[[#This Row],[P25 Growth]])</f>
        <v>1.7487656732120247</v>
      </c>
      <c r="CX78" s="27">
        <f>PortfolioFrontier[[#This Row],[P25 Growth]]/PortfolioFrontier[[#This Row],[P25 HWM]]-1</f>
        <v>-7.3050889216591419E-2</v>
      </c>
      <c r="CY78" s="28">
        <f>SUMPRODUCT(INDEX(PortfolioRef[[SPY]:[PE]],MATCH(CY$1,PortfolioRef[Reference '#]),0),AssetMonthlyReturns[[#This Row],[SPY]:[PE]])</f>
        <v>5.2093395767425596E-2</v>
      </c>
      <c r="CZ78" s="27">
        <f>IF(ISNUMBER(CZ77),CZ77*(1+PortfolioFrontier[[#This Row],[P26 Return]]),1+PortfolioFrontier[[#This Row],[P26 Return]])</f>
        <v>1.6627792952508686</v>
      </c>
      <c r="DA78" s="27">
        <f>MAX(DA77,PortfolioFrontier[[#This Row],[P26 Growth]])</f>
        <v>1.8121428498945955</v>
      </c>
      <c r="DB78" s="27">
        <f>PortfolioFrontier[[#This Row],[P26 Growth]]/PortfolioFrontier[[#This Row],[P26 HWM]]-1</f>
        <v>-8.2423719880811097E-2</v>
      </c>
      <c r="DC78" s="28">
        <f>SUMPRODUCT(INDEX(PortfolioRef[[SPY]:[PE]],MATCH(DC$1,PortfolioRef[Reference '#]),0),AssetMonthlyReturns[[#This Row],[SPY]:[PE]])</f>
        <v>4.7831226044413144E-2</v>
      </c>
      <c r="DD78" s="27">
        <f>IF(ISNUMBER(DD77),DD77*(1+PortfolioFrontier[[#This Row],[P27 Return]]),1+PortfolioFrontier[[#This Row],[P27 Return]])</f>
        <v>1.6458840229229876</v>
      </c>
      <c r="DE78" s="27">
        <f>MAX(DE77,PortfolioFrontier[[#This Row],[P27 Growth]])</f>
        <v>1.7782387807323972</v>
      </c>
      <c r="DF78" s="27">
        <f>PortfolioFrontier[[#This Row],[P27 Growth]]/PortfolioFrontier[[#This Row],[P27 HWM]]-1</f>
        <v>-7.4430250449772029E-2</v>
      </c>
      <c r="DG78" s="28">
        <f>SUMPRODUCT(INDEX(PortfolioRef[[SPY]:[PE]],MATCH(DG$1,PortfolioRef[Reference '#]),0),AssetMonthlyReturns[[#This Row],[SPY]:[PE]])</f>
        <v>5.8041402125467496E-2</v>
      </c>
      <c r="DH78" s="27">
        <f>IF(ISNUMBER(DH77),DH77*(1+PortfolioFrontier[[#This Row],[P28 Return]]),1+PortfolioFrontier[[#This Row],[P28 Return]])</f>
        <v>1.6732699285785941</v>
      </c>
      <c r="DI78" s="27">
        <f>MAX(DI77,PortfolioFrontier[[#This Row],[P28 Growth]])</f>
        <v>1.8327167417336543</v>
      </c>
      <c r="DJ78" s="27">
        <f>PortfolioFrontier[[#This Row],[P28 Growth]]/PortfolioFrontier[[#This Row],[P28 HWM]]-1</f>
        <v>-8.7000249151558351E-2</v>
      </c>
      <c r="DK78" s="28">
        <f>SUMPRODUCT(INDEX(PortfolioRef[[SPY]:[PE]],MATCH(DK$1,PortfolioRef[Reference '#]),0),AssetMonthlyReturns[[#This Row],[SPY]:[PE]])</f>
        <v>5.3779232402455038E-2</v>
      </c>
      <c r="DL78" s="27">
        <f>IF(ISNUMBER(DL77),DL77*(1+PortfolioFrontier[[#This Row],[P29 Return]]),1+PortfolioFrontier[[#This Row],[P29 Return]])</f>
        <v>1.6569539857522639</v>
      </c>
      <c r="DM78" s="27">
        <f>MAX(DM77,PortfolioFrontier[[#This Row],[P29 Growth]])</f>
        <v>1.7990232294645383</v>
      </c>
      <c r="DN78" s="27">
        <f>PortfolioFrontier[[#This Row],[P29 Growth]]/PortfolioFrontier[[#This Row],[P29 HWM]]-1</f>
        <v>-7.8970210826327047E-2</v>
      </c>
      <c r="DO78" s="28">
        <f>SUMPRODUCT(INDEX(PortfolioRef[[SPY]:[PE]],MATCH(DO$1,PortfolioRef[Reference '#]),0),AssetMonthlyReturns[[#This Row],[SPY]:[PE]])</f>
        <v>4.9517062679442565E-2</v>
      </c>
      <c r="DP78" s="27">
        <f>IF(ISNUMBER(DP77),DP77*(1+PortfolioFrontier[[#This Row],[P30 Return]]),1+PortfolioFrontier[[#This Row],[P30 Return]])</f>
        <v>1.6399050495279335</v>
      </c>
      <c r="DQ78" s="27">
        <f>MAX(DQ77,PortfolioFrontier[[#This Row],[P30 Growth]])</f>
        <v>1.7651792866223672</v>
      </c>
      <c r="DR78" s="27">
        <f>PortfolioFrontier[[#This Row],[P30 Growth]]/PortfolioFrontier[[#This Row],[P30 HWM]]-1</f>
        <v>-7.0969695851203496E-2</v>
      </c>
      <c r="DS78" s="28">
        <f>SUMPRODUCT(INDEX(PortfolioRef[[SPY]:[PE]],MATCH(DS$1,PortfolioRef[Reference '#]),0),AssetMonthlyReturns[[#This Row],[SPY]:[PE]])</f>
        <v>6.3989408483509397E-2</v>
      </c>
      <c r="DT78" s="27">
        <f>IF(ISNUMBER(DT77),DT77*(1+PortfolioFrontier[[#This Row],[P31 Return]]),1+PortfolioFrontier[[#This Row],[P31 Return]])</f>
        <v>1.6827972612087356</v>
      </c>
      <c r="DU78" s="27">
        <f>MAX(DU77,PortfolioFrontier[[#This Row],[P31 Growth]])</f>
        <v>1.8525428026208837</v>
      </c>
      <c r="DV78" s="27">
        <f>PortfolioFrontier[[#This Row],[P31 Growth]]/PortfolioFrontier[[#This Row],[P31 HWM]]-1</f>
        <v>-9.1628404575592293E-2</v>
      </c>
      <c r="DW78" s="28">
        <f>SUMPRODUCT(INDEX(PortfolioRef[[SPY]:[PE]],MATCH(DW$1,PortfolioRef[Reference '#]),0),AssetMonthlyReturns[[#This Row],[SPY]:[PE]])</f>
        <v>5.9727238760496938E-2</v>
      </c>
      <c r="DX78" s="27">
        <f>IF(ISNUMBER(DX77),DX77*(1+PortfolioFrontier[[#This Row],[P32 Return]]),1+PortfolioFrontier[[#This Row],[P32 Return]])</f>
        <v>1.6670822529755307</v>
      </c>
      <c r="DY78" s="27">
        <f>MAX(DY77,PortfolioFrontier[[#This Row],[P32 Growth]])</f>
        <v>1.8190908915066115</v>
      </c>
      <c r="DZ78" s="27">
        <f>PortfolioFrontier[[#This Row],[P32 Growth]]/PortfolioFrontier[[#This Row],[P32 HWM]]-1</f>
        <v>-8.3562970515004831E-2</v>
      </c>
      <c r="EA78" s="28">
        <f>SUMPRODUCT(INDEX(PortfolioRef[[SPY]:[PE]],MATCH(EA$1,PortfolioRef[Reference '#]),0),AssetMonthlyReturns[[#This Row],[SPY]:[PE]])</f>
        <v>5.5465069037484473E-2</v>
      </c>
      <c r="EB78" s="27">
        <f>IF(ISNUMBER(EB77),EB77*(1+PortfolioFrontier[[#This Row],[P33 Return]]),1+PortfolioFrontier[[#This Row],[P33 Return]])</f>
        <v>1.6506120407545968</v>
      </c>
      <c r="EC78" s="27">
        <f>MAX(EC77,PortfolioFrontier[[#This Row],[P33 Growth]])</f>
        <v>1.7854600976944932</v>
      </c>
      <c r="ED78" s="27">
        <f>PortfolioFrontier[[#This Row],[P33 Growth]]/PortfolioFrontier[[#This Row],[P33 HWM]]-1</f>
        <v>-7.5525662608770361E-2</v>
      </c>
      <c r="EE78" s="28">
        <f>SUMPRODUCT(INDEX(PortfolioRef[[SPY]:[PE]],MATCH(EE$1,PortfolioRef[Reference '#]),0),AssetMonthlyReturns[[#This Row],[SPY]:[PE]])</f>
        <v>5.0257062859384041E-2</v>
      </c>
      <c r="EF78" s="27">
        <f>IF(ISNUMBER(EF77),EF77*(1+PortfolioFrontier[[#This Row],[P34 Return]]),1+PortfolioFrontier[[#This Row],[P34 Return]])</f>
        <v>1.5391341954216631</v>
      </c>
      <c r="EG78" s="27">
        <f>MAX(EG77,PortfolioFrontier[[#This Row],[P34 Growth]])</f>
        <v>1.6763614413137211</v>
      </c>
      <c r="EH78" s="27">
        <f>PortfolioFrontier[[#This Row],[P34 Growth]]/PortfolioFrontier[[#This Row],[P34 HWM]]-1</f>
        <v>-8.186017794856737E-2</v>
      </c>
      <c r="EI78" s="28">
        <f>SUMPRODUCT(INDEX(PortfolioRef[[SPY]:[PE]],MATCH(EI$1,PortfolioRef[Reference '#]),0),AssetMonthlyReturns[[#This Row],[SPY]:[PE]])</f>
        <v>4.7695559760662934E-2</v>
      </c>
      <c r="EJ78" s="27">
        <f>IF(ISNUMBER(EJ77),EJ77*(1+PortfolioFrontier[[#This Row],[P35 Return]]),1+PortfolioFrontier[[#This Row],[P35 Return]])</f>
        <v>1.5570756959863692</v>
      </c>
      <c r="EK78" s="27">
        <f>MAX(EK77,PortfolioFrontier[[#This Row],[P35 Growth]])</f>
        <v>1.6920729334369538</v>
      </c>
      <c r="EL78" s="27">
        <f>PortfolioFrontier[[#This Row],[P35 Growth]]/PortfolioFrontier[[#This Row],[P35 HWM]]-1</f>
        <v>-7.9782162330542694E-2</v>
      </c>
      <c r="EM78" s="28">
        <f>SUMPRODUCT(INDEX(PortfolioRef[[SPY]:[PE]],MATCH(EM$1,PortfolioRef[Reference '#]),0),AssetMonthlyReturns[[#This Row],[SPY]:[PE]])</f>
        <v>5.3643566118704841E-2</v>
      </c>
      <c r="EN78" s="27">
        <f>IF(ISNUMBER(EN77),EN77*(1+PortfolioFrontier[[#This Row],[P36 Return]]),1+PortfolioFrontier[[#This Row],[P36 Return]])</f>
        <v>1.5677097019075832</v>
      </c>
      <c r="EO78" s="27">
        <f>MAX(EO77,PortfolioFrontier[[#This Row],[P36 Growth]])</f>
        <v>1.7120343963250326</v>
      </c>
      <c r="EP78" s="27">
        <f>PortfolioFrontier[[#This Row],[P36 Growth]]/PortfolioFrontier[[#This Row],[P36 HWM]]-1</f>
        <v>-8.4300113786994979E-2</v>
      </c>
      <c r="EQ78" s="28">
        <f>SUMPRODUCT(INDEX(PortfolioRef[[SPY]:[PE]],MATCH(EQ$1,PortfolioRef[Reference '#]),0),AssetMonthlyReturns[[#This Row],[SPY]:[PE]])</f>
        <v>4.9381396395692376E-2</v>
      </c>
      <c r="ER78" s="27">
        <f>IF(ISNUMBER(ER77),ER77*(1+PortfolioFrontier[[#This Row],[P37 Return]]),1+PortfolioFrontier[[#This Row],[P37 Return]])</f>
        <v>1.5512251611493697</v>
      </c>
      <c r="ES78" s="27">
        <f>MAX(ES77,PortfolioFrontier[[#This Row],[P37 Growth]])</f>
        <v>1.6794736802569215</v>
      </c>
      <c r="ET78" s="27">
        <f>PortfolioFrontier[[#This Row],[P37 Growth]]/PortfolioFrontier[[#This Row],[P37 HWM]]-1</f>
        <v>-7.6362327445305689E-2</v>
      </c>
      <c r="EU78" s="28">
        <f>SUMPRODUCT(INDEX(PortfolioRef[[SPY]:[PE]],MATCH(EU$1,PortfolioRef[Reference '#]),0),AssetMonthlyReturns[[#This Row],[SPY]:[PE]])</f>
        <v>4.513405666194184E-2</v>
      </c>
      <c r="EV78" s="27">
        <f>IF(ISNUMBER(EV77),EV77*(1+PortfolioFrontier[[#This Row],[P38 Return]]),1+PortfolioFrontier[[#This Row],[P38 Return]])</f>
        <v>1.5748684797238097</v>
      </c>
      <c r="EW78" s="27">
        <f>MAX(EW77,PortfolioFrontier[[#This Row],[P38 Growth]])</f>
        <v>1.7075928941250238</v>
      </c>
      <c r="EX78" s="27">
        <f>PortfolioFrontier[[#This Row],[P38 Growth]]/PortfolioFrontier[[#This Row],[P38 HWM]]-1</f>
        <v>-7.7726028761218591E-2</v>
      </c>
      <c r="EY78" s="28">
        <f>SUMPRODUCT(INDEX(PortfolioRef[[SPY]:[PE]],MATCH(EY$1,PortfolioRef[Reference '#]),0),AssetMonthlyReturns[[#This Row],[SPY]:[PE]])</f>
        <v>5.1082063019983734E-2</v>
      </c>
      <c r="EZ78" s="27">
        <f>IF(ISNUMBER(EZ77),EZ77*(1+PortfolioFrontier[[#This Row],[P39 Return]]),1+PortfolioFrontier[[#This Row],[P39 Return]])</f>
        <v>1.5859430699433834</v>
      </c>
      <c r="FA78" s="27">
        <f>MAX(FA77,PortfolioFrontier[[#This Row],[P39 Growth]])</f>
        <v>1.7280388577532122</v>
      </c>
      <c r="FB78" s="27">
        <f>PortfolioFrontier[[#This Row],[P39 Growth]]/PortfolioFrontier[[#This Row],[P39 HWM]]-1</f>
        <v>-8.2229509580925231E-2</v>
      </c>
      <c r="FC78" s="28">
        <f>SUMPRODUCT(INDEX(PortfolioRef[[SPY]:[PE]],MATCH(FC$1,PortfolioRef[Reference '#]),0),AssetMonthlyReturns[[#This Row],[SPY]:[PE]])</f>
        <v>4.6819893296971268E-2</v>
      </c>
      <c r="FD78" s="27">
        <f>IF(ISNUMBER(FD77),FD77*(1+PortfolioFrontier[[#This Row],[P40 Return]]),1+PortfolioFrontier[[#This Row],[P40 Return]])</f>
        <v>1.5693113004905914</v>
      </c>
      <c r="FE78" s="27">
        <f>MAX(FE77,PortfolioFrontier[[#This Row],[P40 Growth]])</f>
        <v>1.6952394830468527</v>
      </c>
      <c r="FF78" s="27">
        <f>PortfolioFrontier[[#This Row],[P40 Growth]]/PortfolioFrontier[[#This Row],[P40 HWM]]-1</f>
        <v>-7.4283417661987539E-2</v>
      </c>
      <c r="FG78" s="28">
        <f>SUMPRODUCT(INDEX(PortfolioRef[[SPY]:[PE]],MATCH(FG$1,PortfolioRef[Reference '#]),0),AssetMonthlyReturns[[#This Row],[SPY]:[PE]])</f>
        <v>5.7030069378025634E-2</v>
      </c>
      <c r="FH78" s="27">
        <f>IF(ISNUMBER(FH77),FH77*(1+PortfolioFrontier[[#This Row],[P41 Return]]),1+PortfolioFrontier[[#This Row],[P41 Return]])</f>
        <v>1.5961238077967612</v>
      </c>
      <c r="FI78" s="27">
        <f>MAX(FI77,PortfolioFrontier[[#This Row],[P41 Growth]])</f>
        <v>1.7478091274239449</v>
      </c>
      <c r="FJ78" s="27">
        <f>PortfolioFrontier[[#This Row],[P41 Growth]]/PortfolioFrontier[[#This Row],[P41 HWM]]-1</f>
        <v>-8.6785975223020562E-2</v>
      </c>
      <c r="FK78" s="28">
        <f>SUMPRODUCT(INDEX(PortfolioRef[[SPY]:[PE]],MATCH(FK$1,PortfolioRef[Reference '#]),0),AssetMonthlyReturns[[#This Row],[SPY]:[PE]])</f>
        <v>5.2767899655013176E-2</v>
      </c>
      <c r="FL78" s="27">
        <f>IF(ISNUMBER(FL77),FL77*(1+PortfolioFrontier[[#This Row],[P42 Return]]),1+PortfolioFrontier[[#This Row],[P42 Return]])</f>
        <v>1.5800373085976358</v>
      </c>
      <c r="FM78" s="27">
        <f>MAX(FM77,PortfolioFrontier[[#This Row],[P42 Growth]])</f>
        <v>1.7151998522045959</v>
      </c>
      <c r="FN78" s="27">
        <f>PortfolioFrontier[[#This Row],[P42 Growth]]/PortfolioFrontier[[#This Row],[P42 HWM]]-1</f>
        <v>-7.8802795740235076E-2</v>
      </c>
      <c r="FO78" s="28">
        <f>SUMPRODUCT(INDEX(PortfolioRef[[SPY]:[PE]],MATCH(FO$1,PortfolioRef[Reference '#]),0),AssetMonthlyReturns[[#This Row],[SPY]:[PE]])</f>
        <v>4.8505729932000703E-2</v>
      </c>
      <c r="FP78" s="27">
        <f>IF(ISNUMBER(FP77),FP77*(1+PortfolioFrontier[[#This Row],[P43 Return]]),1+PortfolioFrontier[[#This Row],[P43 Return]])</f>
        <v>1.5632638179615785</v>
      </c>
      <c r="FQ78" s="27">
        <f>MAX(FQ77,PortfolioFrontier[[#This Row],[P43 Growth]])</f>
        <v>1.6824667632825669</v>
      </c>
      <c r="FR78" s="27">
        <f>PortfolioFrontier[[#This Row],[P43 Growth]]/PortfolioFrontier[[#This Row],[P43 HWM]]-1</f>
        <v>-7.0850104098590494E-2</v>
      </c>
      <c r="FS78" s="28">
        <f>SUMPRODUCT(INDEX(PortfolioRef[[SPY]:[PE]],MATCH(FS$1,PortfolioRef[Reference '#]),0),AssetMonthlyReturns[[#This Row],[SPY]:[PE]])</f>
        <v>4.8520559921262627E-2</v>
      </c>
      <c r="FT78" s="27">
        <f>IF(ISNUMBER(FT77),FT77*(1+PortfolioFrontier[[#This Row],[P44 Return]]),1+PortfolioFrontier[[#This Row],[P44 Return]])</f>
        <v>1.6040246178051605</v>
      </c>
      <c r="FU78" s="27">
        <f>MAX(FU77,PortfolioFrontier[[#This Row],[P44 Growth]])</f>
        <v>1.7438475694471607</v>
      </c>
      <c r="FV78" s="27">
        <f>PortfolioFrontier[[#This Row],[P44 Growth]]/PortfolioFrontier[[#This Row],[P44 HWM]]-1</f>
        <v>-8.0180718826432296E-2</v>
      </c>
      <c r="FW78" s="28">
        <f>SUMPRODUCT(INDEX(PortfolioRef[[SPY]:[PE]],MATCH(FW$1,PortfolioRef[Reference '#]),0),AssetMonthlyReturns[[#This Row],[SPY]:[PE]])</f>
        <v>4.4258390198250175E-2</v>
      </c>
      <c r="FX78" s="27">
        <f>IF(ISNUMBER(FX77),FX77*(1+PortfolioFrontier[[#This Row],[P45 Return]]),1+PortfolioFrontier[[#This Row],[P45 Return]])</f>
        <v>1.5872478747612442</v>
      </c>
      <c r="FY78" s="27">
        <f>MAX(FY77,PortfolioFrontier[[#This Row],[P45 Growth]])</f>
        <v>1.7108140158896465</v>
      </c>
      <c r="FZ78" s="27">
        <f>PortfolioFrontier[[#This Row],[P45 Growth]]/PortfolioFrontier[[#This Row],[P45 HWM]]-1</f>
        <v>-7.2226519060954897E-2</v>
      </c>
      <c r="GA78" s="28">
        <f>SUMPRODUCT(INDEX(PortfolioRef[[SPY]:[PE]],MATCH(GA$1,PortfolioRef[Reference '#]),0),AssetMonthlyReturns[[#This Row],[SPY]:[PE]])</f>
        <v>5.4468566279304527E-2</v>
      </c>
      <c r="GB78" s="27">
        <f>IF(ISNUMBER(GB77),GB77*(1+PortfolioFrontier[[#This Row],[P46 Return]]),1+PortfolioFrontier[[#This Row],[P46 Return]])</f>
        <v>1.6146459838986051</v>
      </c>
      <c r="GC78" s="27">
        <f>MAX(GC77,PortfolioFrontier[[#This Row],[P46 Growth]])</f>
        <v>1.7641061270089846</v>
      </c>
      <c r="GD78" s="27">
        <f>PortfolioFrontier[[#This Row],[P46 Growth]]/PortfolioFrontier[[#This Row],[P46 HWM]]-1</f>
        <v>-8.4722875127579145E-2</v>
      </c>
      <c r="GE78" s="28">
        <f>SUMPRODUCT(INDEX(PortfolioRef[[SPY]:[PE]],MATCH(GE$1,PortfolioRef[Reference '#]),0),AssetMonthlyReturns[[#This Row],[SPY]:[PE]])</f>
        <v>5.0206396556292068E-2</v>
      </c>
      <c r="GF78" s="27">
        <f>IF(ISNUMBER(GF77),GF77*(1+PortfolioFrontier[[#This Row],[P47 Return]]),1+PortfolioFrontier[[#This Row],[P47 Return]])</f>
        <v>1.5984178081283626</v>
      </c>
      <c r="GG78" s="27">
        <f>MAX(GG77,PortfolioFrontier[[#This Row],[P47 Growth]])</f>
        <v>1.7312596087544752</v>
      </c>
      <c r="GH78" s="27">
        <f>PortfolioFrontier[[#This Row],[P47 Growth]]/PortfolioFrontier[[#This Row],[P47 HWM]]-1</f>
        <v>-7.6731300120657986E-2</v>
      </c>
      <c r="GI78" s="28">
        <f>SUMPRODUCT(INDEX(PortfolioRef[[SPY]:[PE]],MATCH(GI$1,PortfolioRef[Reference '#]),0),AssetMonthlyReturns[[#This Row],[SPY]:[PE]])</f>
        <v>4.5944226833279596E-2</v>
      </c>
      <c r="GJ78" s="27">
        <f>IF(ISNUMBER(GJ77),GJ77*(1+PortfolioFrontier[[#This Row],[P48 Return]]),1+PortfolioFrontier[[#This Row],[P48 Return]])</f>
        <v>1.5814941784382981</v>
      </c>
      <c r="GK78" s="27">
        <f>MAX(GK77,PortfolioFrontier[[#This Row],[P48 Growth]])</f>
        <v>1.6982858835097865</v>
      </c>
      <c r="GL78" s="27">
        <f>PortfolioFrontier[[#This Row],[P48 Growth]]/PortfolioFrontier[[#This Row],[P48 HWM]]-1</f>
        <v>-6.877034438402041E-2</v>
      </c>
      <c r="GM78" s="28">
        <f>SUMPRODUCT(INDEX(PortfolioRef[[SPY]:[PE]],MATCH(GM$1,PortfolioRef[Reference '#]),0),AssetMonthlyReturns[[#This Row],[SPY]:[PE]])</f>
        <v>6.0416572637346427E-2</v>
      </c>
      <c r="GN78" s="27">
        <f>IF(ISNUMBER(GN77),GN77*(1+PortfolioFrontier[[#This Row],[P49 Return]]),1+PortfolioFrontier[[#This Row],[P49 Return]])</f>
        <v>1.6243456369313136</v>
      </c>
      <c r="GO78" s="27">
        <f>MAX(GO77,PortfolioFrontier[[#This Row],[P49 Growth]])</f>
        <v>1.7836571071341945</v>
      </c>
      <c r="GP78" s="27">
        <f>PortfolioFrontier[[#This Row],[P49 Growth]]/PortfolioFrontier[[#This Row],[P49 HWM]]-1</f>
        <v>-8.9317318651479405E-2</v>
      </c>
      <c r="GQ78" s="28">
        <f>SUMPRODUCT(INDEX(PortfolioRef[[SPY]:[PE]],MATCH(GQ$1,PortfolioRef[Reference '#]),0),AssetMonthlyReturns[[#This Row],[SPY]:[PE]])</f>
        <v>5.6154402914333969E-2</v>
      </c>
      <c r="GR78" s="27">
        <f>IF(ISNUMBER(GR77),GR77*(1+PortfolioFrontier[[#This Row],[P50 Return]]),1+PortfolioFrontier[[#This Row],[P50 Return]])</f>
        <v>1.6086873311267054</v>
      </c>
      <c r="GS78" s="27">
        <f>MAX(GS77,PortfolioFrontier[[#This Row],[P50 Growth]])</f>
        <v>1.7510275614895194</v>
      </c>
      <c r="GT78" s="27">
        <f>PortfolioFrontier[[#This Row],[P50 Growth]]/PortfolioFrontier[[#This Row],[P50 HWM]]-1</f>
        <v>-8.1289543062207259E-2</v>
      </c>
      <c r="GU78" s="28">
        <f>SUMPRODUCT(INDEX(PortfolioRef[[SPY]:[PE]],MATCH(GU$1,PortfolioRef[Reference '#]),0),AssetMonthlyReturns[[#This Row],[SPY]:[PE]])</f>
        <v>5.1892233191321503E-2</v>
      </c>
      <c r="GV78" s="27">
        <f>IF(ISNUMBER(GV77),GV77*(1+PortfolioFrontier[[#This Row],[P51 Return]]),1+PortfolioFrontier[[#This Row],[P51 Return]])</f>
        <v>1.5923117607644885</v>
      </c>
      <c r="GW78" s="27">
        <f>MAX(GW77,PortfolioFrontier[[#This Row],[P51 Growth]])</f>
        <v>1.7182435242855478</v>
      </c>
      <c r="GX78" s="27">
        <f>PortfolioFrontier[[#This Row],[P51 Growth]]/PortfolioFrontier[[#This Row],[P51 HWM]]-1</f>
        <v>-7.3290986836934024E-2</v>
      </c>
      <c r="GY78" s="28">
        <f>SUMPRODUCT(INDEX(PortfolioRef[[SPY]:[PE]],MATCH(GY$1,PortfolioRef[Reference '#]),0),AssetMonthlyReturns[[#This Row],[SPY]:[PE]])</f>
        <v>5.1907063180583426E-2</v>
      </c>
      <c r="GZ78" s="27">
        <f>IF(ISNUMBER(GZ77),GZ77*(1+PortfolioFrontier[[#This Row],[P52 Return]]),1+PortfolioFrontier[[#This Row],[P52 Return]])</f>
        <v>1.6330132403552893</v>
      </c>
      <c r="HA78" s="27">
        <f>MAX(HA77,PortfolioFrontier[[#This Row],[P52 Growth]])</f>
        <v>1.7802031417261526</v>
      </c>
      <c r="HB78" s="27">
        <f>PortfolioFrontier[[#This Row],[P52 Growth]]/PortfolioFrontier[[#This Row],[P52 HWM]]-1</f>
        <v>-8.2681519833822104E-2</v>
      </c>
      <c r="HC78" s="28">
        <f>SUMPRODUCT(INDEX(PortfolioRef[[SPY]:[PE]],MATCH(HC$1,PortfolioRef[Reference '#]),0),AssetMonthlyReturns[[#This Row],[SPY]:[PE]])</f>
        <v>4.7644893457570961E-2</v>
      </c>
      <c r="HD78" s="27">
        <f>IF(ISNUMBER(HD77),HD77*(1+PortfolioFrontier[[#This Row],[P53 Return]]),1+PortfolioFrontier[[#This Row],[P53 Return]])</f>
        <v>1.6166456193308378</v>
      </c>
      <c r="HE78" s="27">
        <f>MAX(HE77,PortfolioFrontier[[#This Row],[P53 Growth]])</f>
        <v>1.7471238825308339</v>
      </c>
      <c r="HF78" s="27">
        <f>PortfolioFrontier[[#This Row],[P53 Growth]]/PortfolioFrontier[[#This Row],[P53 HWM]]-1</f>
        <v>-7.4681746672130123E-2</v>
      </c>
      <c r="HG78" s="28">
        <f>SUMPRODUCT(INDEX(PortfolioRef[[SPY]:[PE]],MATCH(HG$1,PortfolioRef[Reference '#]),0),AssetMonthlyReturns[[#This Row],[SPY]:[PE]])</f>
        <v>4.3382723734558502E-2</v>
      </c>
      <c r="HH78" s="27">
        <f>IF(ISNUMBER(HH77),HH77*(1+PortfolioFrontier[[#This Row],[P54 Return]]),1+PortfolioFrontier[[#This Row],[P54 Return]])</f>
        <v>1.5995741358004798</v>
      </c>
      <c r="HI78" s="27">
        <f>MAX(HI77,PortfolioFrontier[[#This Row],[P54 Growth]])</f>
        <v>1.7139140104060526</v>
      </c>
      <c r="HJ78" s="27">
        <f>PortfolioFrontier[[#This Row],[P54 Growth]]/PortfolioFrontier[[#This Row],[P54 HWM]]-1</f>
        <v>-6.6712725324232558E-2</v>
      </c>
      <c r="HK78" s="28">
        <f>SUMPRODUCT(INDEX(PortfolioRef[[SPY]:[PE]],MATCH(HK$1,PortfolioRef[Reference '#]),0),AssetMonthlyReturns[[#This Row],[SPY]:[PE]])</f>
        <v>5.785506953862532E-2</v>
      </c>
      <c r="HL78" s="27">
        <f>IF(ISNUMBER(HL77),HL77*(1+PortfolioFrontier[[#This Row],[P55 Return]]),1+PortfolioFrontier[[#This Row],[P55 Return]])</f>
        <v>1.6431532326865805</v>
      </c>
      <c r="HM78" s="27">
        <f>MAX(HM77,PortfolioFrontier[[#This Row],[P55 Growth]])</f>
        <v>1.8002459621778737</v>
      </c>
      <c r="HN78" s="27">
        <f>PortfolioFrontier[[#This Row],[P55 Growth]]/PortfolioFrontier[[#This Row],[P55 HWM]]-1</f>
        <v>-8.726181465850813E-2</v>
      </c>
      <c r="HO78" s="28">
        <f>SUMPRODUCT(INDEX(PortfolioRef[[SPY]:[PE]],MATCH(HO$1,PortfolioRef[Reference '#]),0),AssetMonthlyReturns[[#This Row],[SPY]:[PE]])</f>
        <v>5.3592899815612861E-2</v>
      </c>
      <c r="HP78" s="27">
        <f>IF(ISNUMBER(HP77),HP77*(1+PortfolioFrontier[[#This Row],[P56 Return]]),1+PortfolioFrontier[[#This Row],[P56 Return]])</f>
        <v>1.6273591130929184</v>
      </c>
      <c r="HQ78" s="27">
        <f>MAX(HQ77,PortfolioFrontier[[#This Row],[P56 Growth]])</f>
        <v>1.767380839986993</v>
      </c>
      <c r="HR78" s="27">
        <f>PortfolioFrontier[[#This Row],[P56 Growth]]/PortfolioFrontier[[#This Row],[P56 HWM]]-1</f>
        <v>-7.9225554405752852E-2</v>
      </c>
      <c r="HS78" s="28">
        <f>SUMPRODUCT(INDEX(PortfolioRef[[SPY]:[PE]],MATCH(HS$1,PortfolioRef[Reference '#]),0),AssetMonthlyReturns[[#This Row],[SPY]:[PE]])</f>
        <v>4.9330730092600396E-2</v>
      </c>
      <c r="HT78" s="27">
        <f>IF(ISNUMBER(HT77),HT77*(1+PortfolioFrontier[[#This Row],[P57 Return]]),1+PortfolioFrontier[[#This Row],[P57 Return]])</f>
        <v>1.6108389688898284</v>
      </c>
      <c r="HU78" s="27">
        <f>MAX(HU77,PortfolioFrontier[[#This Row],[P57 Growth]])</f>
        <v>1.7343575628436463</v>
      </c>
      <c r="HV78" s="27">
        <f>PortfolioFrontier[[#This Row],[P57 Growth]]/PortfolioFrontier[[#This Row],[P57 HWM]]-1</f>
        <v>-7.1218644067430503E-2</v>
      </c>
      <c r="HW78" s="28">
        <f>SUMPRODUCT(INDEX(PortfolioRef[[SPY]:[PE]],MATCH(HW$1,PortfolioRef[Reference '#]),0),AssetMonthlyReturns[[#This Row],[SPY]:[PE]])</f>
        <v>6.3803075896667213E-2</v>
      </c>
      <c r="HX78" s="27">
        <f>IF(ISNUMBER(HX77),HX77*(1+PortfolioFrontier[[#This Row],[P58 Return]]),1+PortfolioFrontier[[#This Row],[P58 Return]])</f>
        <v>1.6523436740666972</v>
      </c>
      <c r="HY78" s="27">
        <f>MAX(HY77,PortfolioFrontier[[#This Row],[P58 Growth]])</f>
        <v>1.8195487359549802</v>
      </c>
      <c r="HZ78" s="27">
        <f>PortfolioFrontier[[#This Row],[P58 Growth]]/PortfolioFrontier[[#This Row],[P58 HWM]]-1</f>
        <v>-9.1893697917646788E-2</v>
      </c>
      <c r="IA78" s="28">
        <f>SUMPRODUCT(INDEX(PortfolioRef[[SPY]:[PE]],MATCH(IA$1,PortfolioRef[Reference '#]),0),AssetMonthlyReturns[[#This Row],[SPY]:[PE]])</f>
        <v>5.9540906173654762E-2</v>
      </c>
      <c r="IB78" s="27">
        <f>IF(ISNUMBER(IB77),IB77*(1+PortfolioFrontier[[#This Row],[P59 Return]]),1+PortfolioFrontier[[#This Row],[P59 Return]])</f>
        <v>1.6371441185528888</v>
      </c>
      <c r="IC78" s="27">
        <f>MAX(IC77,PortfolioFrontier[[#This Row],[P59 Growth]])</f>
        <v>1.7869282396294996</v>
      </c>
      <c r="ID78" s="27">
        <f>PortfolioFrontier[[#This Row],[P59 Growth]]/PortfolioFrontier[[#This Row],[P59 HWM]]-1</f>
        <v>-8.3822124333133297E-2</v>
      </c>
      <c r="IE78" s="28">
        <f>SUMPRODUCT(INDEX(PortfolioRef[[SPY]:[PE]],MATCH(IE$1,PortfolioRef[Reference '#]),0),AssetMonthlyReturns[[#This Row],[SPY]:[PE]])</f>
        <v>5.5278736450642296E-2</v>
      </c>
      <c r="IF78" s="27">
        <f>IF(ISNUMBER(IF77),IF77*(1+PortfolioFrontier[[#This Row],[P60 Return]]),1+PortfolioFrontier[[#This Row],[P60 Return]])</f>
        <v>1.6211968604062859</v>
      </c>
      <c r="IG78" s="27">
        <f>MAX(IG77,PortfolioFrontier[[#This Row],[P60 Growth]])</f>
        <v>1.7541215677111524</v>
      </c>
      <c r="IH78" s="27">
        <f>PortfolioFrontier[[#This Row],[P60 Growth]]/PortfolioFrontier[[#This Row],[P60 HWM]]-1</f>
        <v>-7.5778503469581038E-2</v>
      </c>
      <c r="II78" s="28">
        <f>SUMPRODUCT(INDEX(PortfolioRef[[SPY]:[PE]],MATCH(II$1,PortfolioRef[Reference '#]),0),AssetMonthlyReturns[[#This Row],[SPY]:[PE]])</f>
        <v>4.6684227013221086E-2</v>
      </c>
      <c r="IJ78" s="27">
        <f>IF(ISNUMBER(IJ77),IJ77*(1+PortfolioFrontier[[#This Row],[P61 Return]]),1+PortfolioFrontier[[#This Row],[P61 Return]])</f>
        <v>1.4836665821492192</v>
      </c>
      <c r="IK78" s="27">
        <f>MAX(IK77,PortfolioFrontier[[#This Row],[P61 Growth]])</f>
        <v>1.6121264956964798</v>
      </c>
      <c r="IL78" s="27">
        <f>PortfolioFrontier[[#This Row],[P61 Growth]]/PortfolioFrontier[[#This Row],[P61 HWM]]-1</f>
        <v>-7.9683519804544023E-2</v>
      </c>
      <c r="IM78" s="28">
        <f>SUMPRODUCT(INDEX(PortfolioRef[[SPY]:[PE]],MATCH(IM$1,PortfolioRef[Reference '#]),0),AssetMonthlyReturns[[#This Row],[SPY]:[PE]])</f>
        <v>4.4122723914499978E-2</v>
      </c>
      <c r="IN78" s="27">
        <f>IF(ISNUMBER(IN77),IN77*(1+PortfolioFrontier[[#This Row],[P62 Return]]),1+PortfolioFrontier[[#This Row],[P62 Return]])</f>
        <v>1.5009761199891738</v>
      </c>
      <c r="IO78" s="27">
        <f>MAX(IO77,PortfolioFrontier[[#This Row],[P62 Growth]])</f>
        <v>1.6272630311124299</v>
      </c>
      <c r="IP78" s="27">
        <f>PortfolioFrontier[[#This Row],[P62 Growth]]/PortfolioFrontier[[#This Row],[P62 HWM]]-1</f>
        <v>-7.7606944119491095E-2</v>
      </c>
      <c r="IQ78" s="28">
        <f>SUMPRODUCT(INDEX(PortfolioRef[[SPY]:[PE]],MATCH(IQ$1,PortfolioRef[Reference '#]),0),AssetMonthlyReturns[[#This Row],[SPY]:[PE]])</f>
        <v>5.0070730272541886E-2</v>
      </c>
      <c r="IR78" s="27">
        <f>IF(ISNUMBER(IR77),IR77*(1+PortfolioFrontier[[#This Row],[P63 Return]]),1+PortfolioFrontier[[#This Row],[P63 Return]])</f>
        <v>1.5116924196211909</v>
      </c>
      <c r="IS78" s="27">
        <f>MAX(IS77,PortfolioFrontier[[#This Row],[P63 Growth]])</f>
        <v>1.646884909102555</v>
      </c>
      <c r="IT78" s="27">
        <f>PortfolioFrontier[[#This Row],[P63 Growth]]/PortfolioFrontier[[#This Row],[P63 HWM]]-1</f>
        <v>-8.2089822266350865E-2</v>
      </c>
      <c r="IU78" s="28">
        <f>SUMPRODUCT(INDEX(PortfolioRef[[SPY]:[PE]],MATCH(IU$1,PortfolioRef[Reference '#]),0),AssetMonthlyReturns[[#This Row],[SPY]:[PE]])</f>
        <v>4.580856054952942E-2</v>
      </c>
      <c r="IV78" s="27">
        <f>IF(ISNUMBER(IV77),IV77*(1+PortfolioFrontier[[#This Row],[P64 Return]]),1+PortfolioFrontier[[#This Row],[P64 Return]])</f>
        <v>1.4953465993459731</v>
      </c>
      <c r="IW78" s="27">
        <f>MAX(IW77,PortfolioFrontier[[#This Row],[P64 Growth]])</f>
        <v>1.6151793879801097</v>
      </c>
      <c r="IX78" s="27">
        <f>PortfolioFrontier[[#This Row],[P64 Growth]]/PortfolioFrontier[[#This Row],[P64 HWM]]-1</f>
        <v>-7.4191628202979754E-2</v>
      </c>
      <c r="IY78" s="28">
        <f>SUMPRODUCT(INDEX(PortfolioRef[[SPY]:[PE]],MATCH(IY$1,PortfolioRef[Reference '#]),0),AssetMonthlyReturns[[#This Row],[SPY]:[PE]])</f>
        <v>4.1561220815778885E-2</v>
      </c>
      <c r="IZ78" s="27">
        <f>IF(ISNUMBER(IZ77),IZ77*(1+PortfolioFrontier[[#This Row],[P65 Return]]),1+PortfolioFrontier[[#This Row],[P65 Return]])</f>
        <v>1.5181418604089936</v>
      </c>
      <c r="JA78" s="27">
        <f>MAX(JA77,PortfolioFrontier[[#This Row],[P65 Growth]])</f>
        <v>1.6422150953060746</v>
      </c>
      <c r="JB78" s="27">
        <f>PortfolioFrontier[[#This Row],[P65 Growth]]/PortfolioFrontier[[#This Row],[P65 HWM]]-1</f>
        <v>-7.5552365370235686E-2</v>
      </c>
      <c r="JC78" s="28">
        <f>SUMPRODUCT(INDEX(PortfolioRef[[SPY]:[PE]],MATCH(JC$1,PortfolioRef[Reference '#]),0),AssetMonthlyReturns[[#This Row],[SPY]:[PE]])</f>
        <v>4.7509227173820778E-2</v>
      </c>
      <c r="JD78" s="27">
        <f>IF(ISNUMBER(JD77),JD77*(1+PortfolioFrontier[[#This Row],[P66 Return]]),1+PortfolioFrontier[[#This Row],[P66 Return]])</f>
        <v>1.5292889662182449</v>
      </c>
      <c r="JE78" s="27">
        <f>MAX(JE77,PortfolioFrontier[[#This Row],[P66 Growth]])</f>
        <v>1.6623077877531292</v>
      </c>
      <c r="JF78" s="27">
        <f>PortfolioFrontier[[#This Row],[P66 Growth]]/PortfolioFrontier[[#This Row],[P66 HWM]]-1</f>
        <v>-8.002057291368414E-2</v>
      </c>
      <c r="JG78" s="28">
        <f>SUMPRODUCT(INDEX(PortfolioRef[[SPY]:[PE]],MATCH(JG$1,PortfolioRef[Reference '#]),0),AssetMonthlyReturns[[#This Row],[SPY]:[PE]])</f>
        <v>4.3247057450808313E-2</v>
      </c>
      <c r="JH78" s="27">
        <f>IF(ISNUMBER(JH77),JH77*(1+PortfolioFrontier[[#This Row],[P67 Return]]),1+PortfolioFrontier[[#This Row],[P67 Return]])</f>
        <v>1.5127959967303468</v>
      </c>
      <c r="JI78" s="27">
        <f>MAX(JI77,PortfolioFrontier[[#This Row],[P67 Growth]])</f>
        <v>1.6303687537292939</v>
      </c>
      <c r="JJ78" s="27">
        <f>PortfolioFrontier[[#This Row],[P67 Growth]]/PortfolioFrontier[[#This Row],[P67 HWM]]-1</f>
        <v>-7.2114211419969876E-2</v>
      </c>
      <c r="JK78" s="28">
        <f>SUMPRODUCT(INDEX(PortfolioRef[[SPY]:[PE]],MATCH(JK$1,PortfolioRef[Reference '#]),0),AssetMonthlyReturns[[#This Row],[SPY]:[PE]])</f>
        <v>5.3457233531862679E-2</v>
      </c>
      <c r="JL78" s="27">
        <f>IF(ISNUMBER(JL77),JL77*(1+PortfolioFrontier[[#This Row],[P68 Return]]),1+PortfolioFrontier[[#This Row],[P68 Return]])</f>
        <v>1.5395819934055841</v>
      </c>
      <c r="JM78" s="27">
        <f>MAX(JM77,PortfolioFrontier[[#This Row],[P68 Growth]])</f>
        <v>1.6817622542850994</v>
      </c>
      <c r="JN78" s="27">
        <f>PortfolioFrontier[[#This Row],[P68 Growth]]/PortfolioFrontier[[#This Row],[P68 HWM]]-1</f>
        <v>-8.4542425968499813E-2</v>
      </c>
      <c r="JO78" s="28">
        <f>SUMPRODUCT(INDEX(PortfolioRef[[SPY]:[PE]],MATCH(JO$1,PortfolioRef[Reference '#]),0),AssetMonthlyReturns[[#This Row],[SPY]:[PE]])</f>
        <v>4.919506380885022E-2</v>
      </c>
      <c r="JP78" s="27">
        <f>IF(ISNUMBER(JP77),JP77*(1+PortfolioFrontier[[#This Row],[P69 Return]]),1+PortfolioFrontier[[#This Row],[P69 Return]])</f>
        <v>1.5236049008423369</v>
      </c>
      <c r="JQ78" s="27">
        <f>MAX(JQ77,PortfolioFrontier[[#This Row],[P69 Growth]])</f>
        <v>1.6499912107010917</v>
      </c>
      <c r="JR78" s="27">
        <f>PortfolioFrontier[[#This Row],[P69 Growth]]/PortfolioFrontier[[#This Row],[P69 HWM]]-1</f>
        <v>-7.6598171577563989E-2</v>
      </c>
      <c r="JS78" s="28">
        <f>SUMPRODUCT(INDEX(PortfolioRef[[SPY]:[PE]],MATCH(JS$1,PortfolioRef[Reference '#]),0),AssetMonthlyReturns[[#This Row],[SPY]:[PE]])</f>
        <v>4.4932894085837748E-2</v>
      </c>
      <c r="JT78" s="27">
        <f>IF(ISNUMBER(JT77),JT77*(1+PortfolioFrontier[[#This Row],[P70 Return]]),1+PortfolioFrontier[[#This Row],[P70 Return]])</f>
        <v>1.5069766537568907</v>
      </c>
      <c r="JU78" s="27">
        <f>MAX(JU77,PortfolioFrontier[[#This Row],[P70 Growth]])</f>
        <v>1.6181178918603722</v>
      </c>
      <c r="JV78" s="27">
        <f>PortfolioFrontier[[#This Row],[P70 Growth]]/PortfolioFrontier[[#This Row],[P70 HWM]]-1</f>
        <v>-6.8685501014824624E-2</v>
      </c>
      <c r="JW78" s="28">
        <f>SUMPRODUCT(INDEX(PortfolioRef[[SPY]:[PE]],MATCH(JW$1,PortfolioRef[Reference '#]),0),AssetMonthlyReturns[[#This Row],[SPY]:[PE]])</f>
        <v>4.4947724075099671E-2</v>
      </c>
      <c r="JX78" s="27">
        <f>IF(ISNUMBER(JX77),JX77*(1+PortfolioFrontier[[#This Row],[P71 Return]]),1+PortfolioFrontier[[#This Row],[P71 Return]])</f>
        <v>1.5467386708826778</v>
      </c>
      <c r="JY78" s="27">
        <f>MAX(JY77,PortfolioFrontier[[#This Row],[P71 Growth]])</f>
        <v>1.6775420819631024</v>
      </c>
      <c r="JZ78" s="27">
        <f>PortfolioFrontier[[#This Row],[P71 Growth]]/PortfolioFrontier[[#This Row],[P71 HWM]]-1</f>
        <v>-7.7973251751368933E-2</v>
      </c>
      <c r="KA78" s="28">
        <f>SUMPRODUCT(INDEX(PortfolioRef[[SPY]:[PE]],MATCH(KA$1,PortfolioRef[Reference '#]),0),AssetMonthlyReturns[[#This Row],[SPY]:[PE]])</f>
        <v>4.0685554352087219E-2</v>
      </c>
      <c r="KB78" s="27">
        <f>IF(ISNUMBER(KB77),KB77*(1+PortfolioFrontier[[#This Row],[P72 Return]]),1+PortfolioFrontier[[#This Row],[P72 Return]])</f>
        <v>1.5301007748697701</v>
      </c>
      <c r="KC78" s="27">
        <f>MAX(KC77,PortfolioFrontier[[#This Row],[P72 Growth]])</f>
        <v>1.6453738946019467</v>
      </c>
      <c r="KD78" s="27">
        <f>PortfolioFrontier[[#This Row],[P72 Growth]]/PortfolioFrontier[[#This Row],[P72 HWM]]-1</f>
        <v>-7.005892102114808E-2</v>
      </c>
      <c r="KE78" s="28">
        <f>SUMPRODUCT(INDEX(PortfolioRef[[SPY]:[PE]],MATCH(KE$1,PortfolioRef[Reference '#]),0),AssetMonthlyReturns[[#This Row],[SPY]:[PE]])</f>
        <v>5.0895730433141571E-2</v>
      </c>
      <c r="KF78" s="27">
        <f>IF(ISNUMBER(KF77),KF77*(1+PortfolioFrontier[[#This Row],[P73 Return]]),1+PortfolioFrontier[[#This Row],[P73 Return]])</f>
        <v>1.5574627894784048</v>
      </c>
      <c r="KG78" s="27">
        <f>MAX(KG77,PortfolioFrontier[[#This Row],[P73 Growth]])</f>
        <v>1.6974712283523181</v>
      </c>
      <c r="KH78" s="27">
        <f>PortfolioFrontier[[#This Row],[P73 Growth]]/PortfolioFrontier[[#This Row],[P73 HWM]]-1</f>
        <v>-8.2480596157034847E-2</v>
      </c>
      <c r="KI78" s="28">
        <f>SUMPRODUCT(INDEX(PortfolioRef[[SPY]:[PE]],MATCH(KI$1,PortfolioRef[Reference '#]),0),AssetMonthlyReturns[[#This Row],[SPY]:[PE]])</f>
        <v>4.6633560710129113E-2</v>
      </c>
      <c r="KJ78" s="27">
        <f>IF(ISNUMBER(KJ77),KJ77*(1+PortfolioFrontier[[#This Row],[P74 Return]]),1+PortfolioFrontier[[#This Row],[P74 Return]])</f>
        <v>1.541343761546017</v>
      </c>
      <c r="KK78" s="27">
        <f>MAX(KK77,PortfolioFrontier[[#This Row],[P74 Growth]])</f>
        <v>1.6654678920548054</v>
      </c>
      <c r="KL78" s="27">
        <f>PortfolioFrontier[[#This Row],[P74 Growth]]/PortfolioFrontier[[#This Row],[P74 HWM]]-1</f>
        <v>-7.4528083730060812E-2</v>
      </c>
      <c r="KM78" s="28">
        <f>SUMPRODUCT(INDEX(PortfolioRef[[SPY]:[PE]],MATCH(KM$1,PortfolioRef[Reference '#]),0),AssetMonthlyReturns[[#This Row],[SPY]:[PE]])</f>
        <v>4.237139098711664E-2</v>
      </c>
      <c r="KN78" s="27">
        <f>IF(ISNUMBER(KN77),KN77*(1+PortfolioFrontier[[#This Row],[P75 Return]]),1+PortfolioFrontier[[#This Row],[P75 Return]])</f>
        <v>1.5245655133057248</v>
      </c>
      <c r="KO78" s="27">
        <f>MAX(KO77,PortfolioFrontier[[#This Row],[P75 Growth]])</f>
        <v>1.6333591346427441</v>
      </c>
      <c r="KP78" s="27">
        <f>PortfolioFrontier[[#This Row],[P75 Growth]]/PortfolioFrontier[[#This Row],[P75 HWM]]-1</f>
        <v>-6.6607287417421057E-2</v>
      </c>
      <c r="KQ78" s="28">
        <f>SUMPRODUCT(INDEX(PortfolioRef[[SPY]:[PE]],MATCH(KQ$1,PortfolioRef[Reference '#]),0),AssetMonthlyReturns[[#This Row],[SPY]:[PE]])</f>
        <v>5.6843736791183472E-2</v>
      </c>
      <c r="KR78" s="27">
        <f>IF(ISNUMBER(KR77),KR77*(1+PortfolioFrontier[[#This Row],[P76 Return]]),1+PortfolioFrontier[[#This Row],[P76 Return]])</f>
        <v>1.5673055797312747</v>
      </c>
      <c r="KS78" s="27">
        <f>MAX(KS77,PortfolioFrontier[[#This Row],[P76 Growth]])</f>
        <v>1.7167314071133803</v>
      </c>
      <c r="KT78" s="27">
        <f>PortfolioFrontier[[#This Row],[P76 Growth]]/PortfolioFrontier[[#This Row],[P76 HWM]]-1</f>
        <v>-8.7040888727817678E-2</v>
      </c>
      <c r="KU78" s="28">
        <f>SUMPRODUCT(INDEX(PortfolioRef[[SPY]:[PE]],MATCH(KU$1,PortfolioRef[Reference '#]),0),AssetMonthlyReturns[[#This Row],[SPY]:[PE]])</f>
        <v>5.2581567068171013E-2</v>
      </c>
      <c r="KV78" s="27">
        <f>IF(ISNUMBER(KV77),KV77*(1+PortfolioFrontier[[#This Row],[P77 Return]]),1+PortfolioFrontier[[#This Row],[P77 Return]])</f>
        <v>1.5517263989645946</v>
      </c>
      <c r="KW78" s="27">
        <f>MAX(KW77,PortfolioFrontier[[#This Row],[P77 Growth]])</f>
        <v>1.6849217747429484</v>
      </c>
      <c r="KX78" s="27">
        <f>PortfolioFrontier[[#This Row],[P77 Growth]]/PortfolioFrontier[[#This Row],[P77 HWM]]-1</f>
        <v>-7.9051370677831079E-2</v>
      </c>
      <c r="KY78" s="28">
        <f>SUMPRODUCT(INDEX(PortfolioRef[[SPY]:[PE]],MATCH(KY$1,PortfolioRef[Reference '#]),0),AssetMonthlyReturns[[#This Row],[SPY]:[PE]])</f>
        <v>4.8319397345158548E-2</v>
      </c>
      <c r="KZ78" s="27">
        <f>IF(ISNUMBER(KZ77),KZ77*(1+PortfolioFrontier[[#This Row],[P78 Return]]),1+PortfolioFrontier[[#This Row],[P78 Return]])</f>
        <v>1.5354666029316593</v>
      </c>
      <c r="LA78" s="27">
        <f>MAX(LA77,PortfolioFrontier[[#This Row],[P78 Growth]])</f>
        <v>1.6529805725839544</v>
      </c>
      <c r="LB78" s="27">
        <f>PortfolioFrontier[[#This Row],[P78 Growth]]/PortfolioFrontier[[#This Row],[P78 HWM]]-1</f>
        <v>-7.109216623677328E-2</v>
      </c>
      <c r="LC78" s="28">
        <f>SUMPRODUCT(INDEX(PortfolioRef[[SPY]:[PE]],MATCH(LC$1,PortfolioRef[Reference '#]),0),AssetMonthlyReturns[[#This Row],[SPY]:[PE]])</f>
        <v>4.8334227334420471E-2</v>
      </c>
      <c r="LD78" s="27">
        <f>IF(ISNUMBER(LD77),LD77*(1+PortfolioFrontier[[#This Row],[P79 Return]]),1+PortfolioFrontier[[#This Row],[P79 Return]])</f>
        <v>1.5751937008188526</v>
      </c>
      <c r="LE78" s="27">
        <f>MAX(LE77,PortfolioFrontier[[#This Row],[P79 Growth]])</f>
        <v>1.7129874860839263</v>
      </c>
      <c r="LF78" s="27">
        <f>PortfolioFrontier[[#This Row],[P79 Growth]]/PortfolioFrontier[[#This Row],[P79 HWM]]-1</f>
        <v>-8.0440625739820804E-2</v>
      </c>
      <c r="LG78" s="28">
        <f>SUMPRODUCT(INDEX(PortfolioRef[[SPY]:[PE]],MATCH(LG$1,PortfolioRef[Reference '#]),0),AssetMonthlyReturns[[#This Row],[SPY]:[PE]])</f>
        <v>4.4072057611408005E-2</v>
      </c>
      <c r="LH78" s="27">
        <f>IF(ISNUMBER(LH77),LH77*(1+PortfolioFrontier[[#This Row],[P80 Return]]),1+PortfolioFrontier[[#This Row],[P80 Return]])</f>
        <v>1.5589349389388818</v>
      </c>
      <c r="LI78" s="27">
        <f>MAX(LI77,PortfolioFrontier[[#This Row],[P80 Growth]])</f>
        <v>1.6807562405101484</v>
      </c>
      <c r="LJ78" s="27">
        <f>PortfolioFrontier[[#This Row],[P80 Growth]]/PortfolioFrontier[[#This Row],[P80 HWM]]-1</f>
        <v>-7.2480053106505848E-2</v>
      </c>
      <c r="LK78" s="28">
        <f>SUMPRODUCT(INDEX(PortfolioRef[[SPY]:[PE]],MATCH(LK$1,PortfolioRef[Reference '#]),0),AssetMonthlyReturns[[#This Row],[SPY]:[PE]])</f>
        <v>3.9809887888395547E-2</v>
      </c>
      <c r="LL78" s="27">
        <f>IF(ISNUMBER(LL77),LL77*(1+PortfolioFrontier[[#This Row],[P81 Return]]),1+PortfolioFrontier[[#This Row],[P81 Return]])</f>
        <v>1.5420089416198277</v>
      </c>
      <c r="LM78" s="27">
        <f>MAX(LM77,PortfolioFrontier[[#This Row],[P81 Growth]])</f>
        <v>1.648416413491208</v>
      </c>
      <c r="LN78" s="27">
        <f>PortfolioFrontier[[#This Row],[P81 Growth]]/PortfolioFrontier[[#This Row],[P81 HWM]]-1</f>
        <v>-6.4551329991927364E-2</v>
      </c>
      <c r="LO78" s="28">
        <f>SUMPRODUCT(INDEX(PortfolioRef[[SPY]:[PE]],MATCH(LO$1,PortfolioRef[Reference '#]),0),AssetMonthlyReturns[[#This Row],[SPY]:[PE]])</f>
        <v>5.4282233692462364E-2</v>
      </c>
      <c r="LP78" s="27">
        <f>IF(ISNUMBER(LP77),LP77*(1+PortfolioFrontier[[#This Row],[P82 Return]]),1+PortfolioFrontier[[#This Row],[P82 Return]])</f>
        <v>1.5854675477029523</v>
      </c>
      <c r="LQ78" s="27">
        <f>MAX(LQ77,PortfolioFrontier[[#This Row],[P82 Growth]])</f>
        <v>1.7327259878391794</v>
      </c>
      <c r="LR78" s="27">
        <f>PortfolioFrontier[[#This Row],[P82 Growth]]/PortfolioFrontier[[#This Row],[P82 HWM]]-1</f>
        <v>-8.4986570969520558E-2</v>
      </c>
      <c r="LS78" s="28">
        <f>SUMPRODUCT(INDEX(PortfolioRef[[SPY]:[PE]],MATCH(LS$1,PortfolioRef[Reference '#]),0),AssetMonthlyReturns[[#This Row],[SPY]:[PE]])</f>
        <v>5.0020063969449913E-2</v>
      </c>
      <c r="LT78" s="27">
        <f>IF(ISNUMBER(LT77),LT77*(1+PortfolioFrontier[[#This Row],[P83 Return]]),1+PortfolioFrontier[[#This Row],[P83 Return]])</f>
        <v>1.5697519475721278</v>
      </c>
      <c r="LU78" s="27">
        <f>MAX(LU77,PortfolioFrontier[[#This Row],[P83 Growth]])</f>
        <v>1.7006855237848306</v>
      </c>
      <c r="LV78" s="27">
        <f>PortfolioFrontier[[#This Row],[P83 Growth]]/PortfolioFrontier[[#This Row],[P83 HWM]]-1</f>
        <v>-7.6988705073065877E-2</v>
      </c>
      <c r="LW78" s="28">
        <f>SUMPRODUCT(INDEX(PortfolioRef[[SPY]:[PE]],MATCH(LW$1,PortfolioRef[Reference '#]),0),AssetMonthlyReturns[[#This Row],[SPY]:[PE]])</f>
        <v>4.575789424643744E-2</v>
      </c>
      <c r="LX78" s="27">
        <f>IF(ISNUMBER(LX77),LX77*(1+PortfolioFrontier[[#This Row],[P84 Return]]),1+PortfolioFrontier[[#This Row],[P84 Return]])</f>
        <v>1.5533473753114282</v>
      </c>
      <c r="LY78" s="27">
        <f>MAX(LY77,PortfolioFrontier[[#This Row],[P84 Growth]])</f>
        <v>1.6685100840279028</v>
      </c>
      <c r="LZ78" s="27">
        <f>PortfolioFrontier[[#This Row],[P84 Growth]]/PortfolioFrontier[[#This Row],[P84 HWM]]-1</f>
        <v>-6.9021284209720535E-2</v>
      </c>
      <c r="MA78" s="28">
        <f>SUMPRODUCT(INDEX(PortfolioRef[[SPY]:[PE]],MATCH(MA$1,PortfolioRef[Reference '#]),0),AssetMonthlyReturns[[#This Row],[SPY]:[PE]])</f>
        <v>6.0230240050504265E-2</v>
      </c>
      <c r="MB78" s="27">
        <f>IF(ISNUMBER(MB77),MB77*(1+PortfolioFrontier[[#This Row],[P85 Return]]),1+PortfolioFrontier[[#This Row],[P85 Return]])</f>
        <v>1.5948328099370468</v>
      </c>
      <c r="MC78" s="27">
        <f>MAX(MC77,PortfolioFrontier[[#This Row],[P85 Growth]])</f>
        <v>1.7517641950154219</v>
      </c>
      <c r="MD78" s="27">
        <f>PortfolioFrontier[[#This Row],[P85 Growth]]/PortfolioFrontier[[#This Row],[P85 HWM]]-1</f>
        <v>-8.9584765760664209E-2</v>
      </c>
      <c r="ME78" s="28">
        <f>SUMPRODUCT(INDEX(PortfolioRef[[SPY]:[PE]],MATCH(ME$1,PortfolioRef[Reference '#]),0),AssetMonthlyReturns[[#This Row],[SPY]:[PE]])</f>
        <v>5.5968070327491806E-2</v>
      </c>
      <c r="MF78" s="27">
        <f>IF(ISNUMBER(MF77),MF77*(1+PortfolioFrontier[[#This Row],[P86 Return]]),1+PortfolioFrontier[[#This Row],[P86 Return]])</f>
        <v>1.579681144374387</v>
      </c>
      <c r="MG78" s="27">
        <f>MAX(MG77,PortfolioFrontier[[#This Row],[P86 Growth]])</f>
        <v>1.7199439154573082</v>
      </c>
      <c r="MH78" s="27">
        <f>PortfolioFrontier[[#This Row],[P86 Growth]]/PortfolioFrontier[[#This Row],[P86 HWM]]-1</f>
        <v>-8.1550781872807399E-2</v>
      </c>
      <c r="MI78" s="28">
        <f>SUMPRODUCT(INDEX(PortfolioRef[[SPY]:[PE]],MATCH(MI$1,PortfolioRef[Reference '#]),0),AssetMonthlyReturns[[#This Row],[SPY]:[PE]])</f>
        <v>5.1705900604479341E-2</v>
      </c>
      <c r="MJ78" s="27">
        <f>IF(ISNUMBER(MJ77),MJ77*(1+PortfolioFrontier[[#This Row],[P87 Return]]),1+PortfolioFrontier[[#This Row],[P87 Return]])</f>
        <v>1.5638192145438996</v>
      </c>
      <c r="MK78" s="27">
        <f>MAX(MK77,PortfolioFrontier[[#This Row],[P87 Growth]])</f>
        <v>1.6879617873128629</v>
      </c>
      <c r="ML78" s="27">
        <f>PortfolioFrontier[[#This Row],[P87 Growth]]/PortfolioFrontier[[#This Row],[P87 HWM]]-1</f>
        <v>-7.3545843100270125E-2</v>
      </c>
      <c r="MM78" s="28">
        <f>SUMPRODUCT(INDEX(PortfolioRef[[SPY]:[PE]],MATCH(MM$1,PortfolioRef[Reference '#]),0),AssetMonthlyReturns[[#This Row],[SPY]:[PE]])</f>
        <v>5.1720730593741264E-2</v>
      </c>
      <c r="MN78" s="27">
        <f>IF(ISNUMBER(MN77),MN77*(1+PortfolioFrontier[[#This Row],[P88 Return]]),1+PortfolioFrontier[[#This Row],[P88 Return]])</f>
        <v>1.6034765928665031</v>
      </c>
      <c r="MO78" s="27">
        <f>MAX(MO77,PortfolioFrontier[[#This Row],[P88 Growth]])</f>
        <v>1.7485237047822844</v>
      </c>
      <c r="MP78" s="27">
        <f>PortfolioFrontier[[#This Row],[P88 Growth]]/PortfolioFrontier[[#This Row],[P88 HWM]]-1</f>
        <v>-8.295404375649662E-2</v>
      </c>
      <c r="MQ78" s="28">
        <f>SUMPRODUCT(INDEX(PortfolioRef[[SPY]:[PE]],MATCH(MQ$1,PortfolioRef[Reference '#]),0),AssetMonthlyReturns[[#This Row],[SPY]:[PE]])</f>
        <v>4.7458560870728805E-2</v>
      </c>
      <c r="MR78" s="27">
        <f>IF(ISNUMBER(MR77),MR77*(1+PortfolioFrontier[[#This Row],[P89 Return]]),1+PortfolioFrontier[[#This Row],[P89 Return]])</f>
        <v>1.5876267504443671</v>
      </c>
      <c r="MS78" s="27">
        <f>MAX(MS77,PortfolioFrontier[[#This Row],[P89 Growth]])</f>
        <v>1.7162568132506029</v>
      </c>
      <c r="MT78" s="27">
        <f>PortfolioFrontier[[#This Row],[P89 Growth]]/PortfolioFrontier[[#This Row],[P89 HWM]]-1</f>
        <v>-7.4948027482326207E-2</v>
      </c>
      <c r="MU78" s="28">
        <f>SUMPRODUCT(INDEX(PortfolioRef[[SPY]:[PE]],MATCH(MU$1,PortfolioRef[Reference '#]),0),AssetMonthlyReturns[[#This Row],[SPY]:[PE]])</f>
        <v>4.3196391147716333E-2</v>
      </c>
      <c r="MV78" s="27">
        <f>IF(ISNUMBER(MV77),MV77*(1+PortfolioFrontier[[#This Row],[P90 Return]]),1+PortfolioFrontier[[#This Row],[P90 Return]])</f>
        <v>1.5710796330102648</v>
      </c>
      <c r="MW78" s="27">
        <f>MAX(MW77,PortfolioFrontier[[#This Row],[P90 Growth]])</f>
        <v>1.6838515290273213</v>
      </c>
      <c r="MX78" s="27">
        <f>PortfolioFrontier[[#This Row],[P90 Growth]]/PortfolioFrontier[[#This Row],[P90 HWM]]-1</f>
        <v>-6.697258877818002E-2</v>
      </c>
      <c r="MY78" s="28">
        <f>SUMPRODUCT(INDEX(PortfolioRef[[SPY]:[PE]],MATCH(MY$1,PortfolioRef[Reference '#]),0),AssetMonthlyReturns[[#This Row],[SPY]:[PE]])</f>
        <v>5.7668736951783164E-2</v>
      </c>
      <c r="MZ78" s="27">
        <f>IF(ISNUMBER(MZ77),MZ77*(1+PortfolioFrontier[[#This Row],[P91 Return]]),1+PortfolioFrontier[[#This Row],[P91 Return]])</f>
        <v>1.6132725494964857</v>
      </c>
      <c r="NA78" s="27">
        <f>MAX(NA77,PortfolioFrontier[[#This Row],[P91 Growth]])</f>
        <v>1.7680436458517257</v>
      </c>
      <c r="NB78" s="27">
        <f>PortfolioFrontier[[#This Row],[P91 Growth]]/PortfolioFrontier[[#This Row],[P91 HWM]]-1</f>
        <v>-8.7538051856565824E-2</v>
      </c>
      <c r="NC78" s="28">
        <f>SUMPRODUCT(INDEX(PortfolioRef[[SPY]:[PE]],MATCH(NC$1,PortfolioRef[Reference '#]),0),AssetMonthlyReturns[[#This Row],[SPY]:[PE]])</f>
        <v>5.3406567228770699E-2</v>
      </c>
      <c r="ND78" s="27">
        <f>IF(ISNUMBER(ND77),ND77*(1+PortfolioFrontier[[#This Row],[P92 Return]]),1+PortfolioFrontier[[#This Row],[P92 Return]])</f>
        <v>1.5979902847107914</v>
      </c>
      <c r="NE78" s="27">
        <f>MAX(NE77,PortfolioFrontier[[#This Row],[P92 Growth]])</f>
        <v>1.73599424265744</v>
      </c>
      <c r="NF78" s="27">
        <f>PortfolioFrontier[[#This Row],[P92 Growth]]/PortfolioFrontier[[#This Row],[P92 HWM]]-1</f>
        <v>-7.9495631123403743E-2</v>
      </c>
      <c r="NG78" s="28">
        <f>SUMPRODUCT(INDEX(PortfolioRef[[SPY]:[PE]],MATCH(NG$1,PortfolioRef[Reference '#]),0),AssetMonthlyReturns[[#This Row],[SPY]:[PE]])</f>
        <v>4.914439750575824E-2</v>
      </c>
      <c r="NH78" s="27">
        <f>IF(ISNUMBER(NH77),NH77*(1+PortfolioFrontier[[#This Row],[P93 Return]]),1+PortfolioFrontier[[#This Row],[P93 Return]])</f>
        <v>1.5819891082953714</v>
      </c>
      <c r="NI78" s="27">
        <f>MAX(NI77,PortfolioFrontier[[#This Row],[P93 Growth]])</f>
        <v>1.7037793193389816</v>
      </c>
      <c r="NJ78" s="27">
        <f>PortfolioFrontier[[#This Row],[P93 Growth]]/PortfolioFrontier[[#This Row],[P93 HWM]]-1</f>
        <v>-7.1482386046839319E-2</v>
      </c>
      <c r="NK78" s="28">
        <f>SUMPRODUCT(INDEX(PortfolioRef[[SPY]:[PE]],MATCH(NK$1,PortfolioRef[Reference '#]),0),AssetMonthlyReturns[[#This Row],[SPY]:[PE]])</f>
        <v>6.3616743309825058E-2</v>
      </c>
      <c r="NL78" s="27">
        <f>IF(ISNUMBER(NL77),NL77*(1+PortfolioFrontier[[#This Row],[P94 Return]]),1+PortfolioFrontier[[#This Row],[P94 Return]])</f>
        <v>1.6221326974097512</v>
      </c>
      <c r="NM78" s="27">
        <f>MAX(NM77,PortfolioFrontier[[#This Row],[P94 Growth]])</f>
        <v>1.7868313973018393</v>
      </c>
      <c r="NN78" s="27">
        <f>PortfolioFrontier[[#This Row],[P94 Growth]]/PortfolioFrontier[[#This Row],[P94 HWM]]-1</f>
        <v>-9.2173609743363194E-2</v>
      </c>
      <c r="NO78" s="28">
        <f>SUMPRODUCT(INDEX(PortfolioRef[[SPY]:[PE]],MATCH(NO$1,PortfolioRef[Reference '#]),0),AssetMonthlyReturns[[#This Row],[SPY]:[PE]])</f>
        <v>5.9354573586812592E-2</v>
      </c>
      <c r="NP78" s="27">
        <f>IF(ISNUMBER(NP77),NP77*(1+PortfolioFrontier[[#This Row],[P95 Return]]),1+PortfolioFrontier[[#This Row],[P95 Return]])</f>
        <v>1.6074385376005056</v>
      </c>
      <c r="NQ78" s="27">
        <f>MAX(NQ77,PortfolioFrontier[[#This Row],[P95 Growth]])</f>
        <v>1.7550294195356591</v>
      </c>
      <c r="NR78" s="27">
        <f>PortfolioFrontier[[#This Row],[P95 Growth]]/PortfolioFrontier[[#This Row],[P95 HWM]]-1</f>
        <v>-8.4095958900907042E-2</v>
      </c>
      <c r="NS78" s="28">
        <f>SUMPRODUCT(INDEX(PortfolioRef[[SPY]:[PE]],MATCH(NS$1,PortfolioRef[Reference '#]),0),AssetMonthlyReturns[[#This Row],[SPY]:[PE]])</f>
        <v>5.5092403863800134E-2</v>
      </c>
      <c r="NT78" s="27">
        <f>IF(ISNUMBER(NT77),NT77*(1+PortfolioFrontier[[#This Row],[P96 Return]]),1+PortfolioFrontier[[#This Row],[P96 Return]])</f>
        <v>1.5920043144895293</v>
      </c>
      <c r="NU78" s="27">
        <f>MAX(NU77,PortfolioFrontier[[#This Row],[P96 Growth]])</f>
        <v>1.7230343324336159</v>
      </c>
      <c r="NV78" s="27">
        <f>PortfolioFrontier[[#This Row],[P96 Growth]]/PortfolioFrontier[[#This Row],[P96 HWM]]-1</f>
        <v>-7.6046086533296031E-2</v>
      </c>
      <c r="NW78" s="28">
        <f>SUMPRODUCT(INDEX(PortfolioRef[[SPY]:[PE]],MATCH(NW$1,PortfolioRef[Reference '#]),0),AssetMonthlyReturns[[#This Row],[SPY]:[PE]])</f>
        <v>4.311139116705813E-2</v>
      </c>
      <c r="NX78" s="27">
        <f>IF(ISNUMBER(NX77),NX77*(1+PortfolioFrontier[[#This Row],[P97 Return]]),1+PortfolioFrontier[[#This Row],[P97 Return]])</f>
        <v>1.429637078052808</v>
      </c>
      <c r="NY78" s="27">
        <f>MAX(NY77,PortfolioFrontier[[#This Row],[P97 Growth]])</f>
        <v>1.5498139523617234</v>
      </c>
      <c r="NZ78" s="27">
        <f>PortfolioFrontier[[#This Row],[P97 Growth]]/PortfolioFrontier[[#This Row],[P97 HWM]]-1</f>
        <v>-7.7542774812280335E-2</v>
      </c>
      <c r="OA78" s="28">
        <f>SUMPRODUCT(INDEX(PortfolioRef[[SPY]:[PE]],MATCH(OA$1,PortfolioRef[Reference '#]),0),AssetMonthlyReturns[[#This Row],[SPY]:[PE]])</f>
        <v>4.054988806833703E-2</v>
      </c>
      <c r="OB78" s="27">
        <f>IF(ISNUMBER(OB77),OB77*(1+PortfolioFrontier[[#This Row],[P98 Return]]),1+PortfolioFrontier[[#This Row],[P98 Return]])</f>
        <v>1.4463307353739443</v>
      </c>
      <c r="OC78" s="27">
        <f>MAX(OC77,PortfolioFrontier[[#This Row],[P98 Growth]])</f>
        <v>1.5643918723292729</v>
      </c>
      <c r="OD78" s="27">
        <f>PortfolioFrontier[[#This Row],[P98 Growth]]/PortfolioFrontier[[#This Row],[P98 HWM]]-1</f>
        <v>-7.5467751426976926E-2</v>
      </c>
      <c r="OE78" s="28">
        <f>SUMPRODUCT(INDEX(PortfolioRef[[SPY]:[PE]],MATCH(OE$1,PortfolioRef[Reference '#]),0),AssetMonthlyReturns[[#This Row],[SPY]:[PE]])</f>
        <v>4.649789442637893E-2</v>
      </c>
      <c r="OF78" s="27">
        <f>IF(ISNUMBER(OF77),OF77*(1+PortfolioFrontier[[#This Row],[P99 Return]]),1+PortfolioFrontier[[#This Row],[P99 Return]])</f>
        <v>1.4571041581581525</v>
      </c>
      <c r="OG78" s="27">
        <f>MAX(OG77,PortfolioFrontier[[#This Row],[P99 Growth]])</f>
        <v>1.5836627563813395</v>
      </c>
      <c r="OH78" s="27">
        <f>PortfolioFrontier[[#This Row],[P99 Growth]]/PortfolioFrontier[[#This Row],[P99 HWM]]-1</f>
        <v>-7.9915119373251353E-2</v>
      </c>
      <c r="OI78" s="28">
        <f>SUMPRODUCT(INDEX(PortfolioRef[[SPY]:[PE]],MATCH(OI$1,PortfolioRef[Reference '#]),0),AssetMonthlyReturns[[#This Row],[SPY]:[PE]])</f>
        <v>4.2235724703366465E-2</v>
      </c>
      <c r="OJ78" s="27">
        <f>IF(ISNUMBER(OJ77),OJ77*(1+PortfolioFrontier[[#This Row],[P100 Return]]),1+PortfolioFrontier[[#This Row],[P100 Return]])</f>
        <v>1.4409154975429066</v>
      </c>
      <c r="OK78" s="27">
        <f>MAX(OK77,PortfolioFrontier[[#This Row],[P100 Growth]])</f>
        <v>1.5528062347399851</v>
      </c>
      <c r="OL78" s="27">
        <f>PortfolioFrontier[[#This Row],[P100 Growth]]/PortfolioFrontier[[#This Row],[P100 HWM]]-1</f>
        <v>-7.2057114850401449E-2</v>
      </c>
      <c r="OM78" s="28">
        <f>SUMPRODUCT(INDEX(PortfolioRef[[SPY]:[PE]],MATCH(OM$1,PortfolioRef[Reference '#]),0),AssetMonthlyReturns[[#This Row],[SPY]:[PE]])</f>
        <v>3.7988384969615929E-2</v>
      </c>
      <c r="ON78" s="27">
        <f>IF(ISNUMBER(ON77),ON77*(1+PortfolioFrontier[[#This Row],[P101 Return]]),1+PortfolioFrontier[[#This Row],[P101 Return]])</f>
        <v>1.4628854060925831</v>
      </c>
      <c r="OO78" s="27">
        <f>MAX(OO77,PortfolioFrontier[[#This Row],[P101 Growth]])</f>
        <v>1.5787921813488919</v>
      </c>
      <c r="OP78" s="27">
        <f>PortfolioFrontier[[#This Row],[P101 Growth]]/PortfolioFrontier[[#This Row],[P101 HWM]]-1</f>
        <v>-7.3414839917233521E-2</v>
      </c>
      <c r="OQ78" s="28">
        <f>SUMPRODUCT(INDEX(PortfolioRef[[SPY]:[PE]],MATCH(OQ$1,PortfolioRef[Reference '#]),0),AssetMonthlyReturns[[#This Row],[SPY]:[PE]])</f>
        <v>4.3936391327657823E-2</v>
      </c>
      <c r="OR78" s="27">
        <f>IF(ISNUMBER(OR77),OR77*(1+PortfolioFrontier[[#This Row],[P102 Return]]),1+PortfolioFrontier[[#This Row],[P102 Return]])</f>
        <v>1.4740798334633956</v>
      </c>
      <c r="OS78" s="27">
        <f>MAX(OS77,PortfolioFrontier[[#This Row],[P102 Growth]])</f>
        <v>1.5985203886251573</v>
      </c>
      <c r="OT78" s="27">
        <f>PortfolioFrontier[[#This Row],[P102 Growth]]/PortfolioFrontier[[#This Row],[P102 HWM]]-1</f>
        <v>-7.7847336854295346E-2</v>
      </c>
      <c r="OU78" s="28">
        <f>SUMPRODUCT(INDEX(PortfolioRef[[SPY]:[PE]],MATCH(OU$1,PortfolioRef[Reference '#]),0),AssetMonthlyReturns[[#This Row],[SPY]:[PE]])</f>
        <v>3.9674221604645364E-2</v>
      </c>
      <c r="OV78" s="27">
        <f>IF(ISNUMBER(OV77),OV77*(1+PortfolioFrontier[[#This Row],[P103 Return]]),1+PortfolioFrontier[[#This Row],[P103 Return]])</f>
        <v>1.4577443416621192</v>
      </c>
      <c r="OW78" s="27">
        <f>MAX(OW77,PortfolioFrontier[[#This Row],[P103 Growth]])</f>
        <v>1.5674355228105428</v>
      </c>
      <c r="OX78" s="27">
        <f>PortfolioFrontier[[#This Row],[P103 Growth]]/PortfolioFrontier[[#This Row],[P103 HWM]]-1</f>
        <v>-6.9981303570138653E-2</v>
      </c>
      <c r="OY78" s="28">
        <f>SUMPRODUCT(INDEX(PortfolioRef[[SPY]:[PE]],MATCH(OY$1,PortfolioRef[Reference '#]),0),AssetMonthlyReturns[[#This Row],[SPY]:[PE]])</f>
        <v>4.9884397685699716E-2</v>
      </c>
      <c r="OZ78" s="27">
        <f>IF(ISNUMBER(OZ77),OZ77*(1+PortfolioFrontier[[#This Row],[P104 Return]]),1+PortfolioFrontier[[#This Row],[P104 Return]])</f>
        <v>1.4844587462830532</v>
      </c>
      <c r="PA78" s="27">
        <f>MAX(PA77,PortfolioFrontier[[#This Row],[P104 Growth]])</f>
        <v>1.6176462594840681</v>
      </c>
      <c r="PB78" s="27">
        <f>PortfolioFrontier[[#This Row],[P104 Growth]]/PortfolioFrontier[[#This Row],[P104 HWM]]-1</f>
        <v>-8.233413975407311E-2</v>
      </c>
      <c r="PC78" s="28">
        <f>SUMPRODUCT(INDEX(PortfolioRef[[SPY]:[PE]],MATCH(PC$1,PortfolioRef[Reference '#]),0),AssetMonthlyReturns[[#This Row],[SPY]:[PE]])</f>
        <v>4.5622227962687258E-2</v>
      </c>
      <c r="PD78" s="27">
        <f>IF(ISNUMBER(PD77),PD77*(1+PortfolioFrontier[[#This Row],[P105 Return]]),1+PortfolioFrontier[[#This Row],[P105 Return]])</f>
        <v>1.4686107755698612</v>
      </c>
      <c r="PE78" s="27">
        <f>MAX(PE77,PortfolioFrontier[[#This Row],[P105 Growth]])</f>
        <v>1.5867085542337835</v>
      </c>
      <c r="PF78" s="27">
        <f>PortfolioFrontier[[#This Row],[P105 Growth]]/PortfolioFrontier[[#This Row],[P105 HWM]]-1</f>
        <v>-7.4429408191444058E-2</v>
      </c>
      <c r="PG78" s="28">
        <f>SUMPRODUCT(INDEX(PortfolioRef[[SPY]:[PE]],MATCH(PG$1,PortfolioRef[Reference '#]),0),AssetMonthlyReturns[[#This Row],[SPY]:[PE]])</f>
        <v>4.1360058239674792E-2</v>
      </c>
      <c r="PH78" s="27">
        <f>IF(ISNUMBER(PH77),PH77*(1+PortfolioFrontier[[#This Row],[P106 Return]]),1+PortfolioFrontier[[#This Row],[P106 Return]])</f>
        <v>1.4521462115097135</v>
      </c>
      <c r="PI78" s="27">
        <f>MAX(PI77,PortfolioFrontier[[#This Row],[P106 Growth]])</f>
        <v>1.5556887430167754</v>
      </c>
      <c r="PJ78" s="27">
        <f>PortfolioFrontier[[#This Row],[P106 Growth]]/PortfolioFrontier[[#This Row],[P106 HWM]]-1</f>
        <v>-6.6557357293897557E-2</v>
      </c>
      <c r="PK78" s="28">
        <f>SUMPRODUCT(INDEX(PortfolioRef[[SPY]:[PE]],MATCH(PK$1,PortfolioRef[Reference '#]),0),AssetMonthlyReturns[[#This Row],[SPY]:[PE]])</f>
        <v>4.1374888228936715E-2</v>
      </c>
      <c r="PL78" s="27">
        <f>IF(ISNUMBER(PL77),PL77*(1+PortfolioFrontier[[#This Row],[P107 Return]]),1+PortfolioFrontier[[#This Row],[P107 Return]])</f>
        <v>1.4909135372785927</v>
      </c>
      <c r="PM78" s="27">
        <f>MAX(PM77,PortfolioFrontier[[#This Row],[P107 Growth]])</f>
        <v>1.6131964012798079</v>
      </c>
      <c r="PN78" s="27">
        <f>PortfolioFrontier[[#This Row],[P107 Growth]]/PortfolioFrontier[[#This Row],[P107 HWM]]-1</f>
        <v>-7.5801597315865443E-2</v>
      </c>
      <c r="PO78" s="28">
        <f>SUMPRODUCT(INDEX(PortfolioRef[[SPY]:[PE]],MATCH(PO$1,PortfolioRef[Reference '#]),0),AssetMonthlyReturns[[#This Row],[SPY]:[PE]])</f>
        <v>3.7112718505924264E-2</v>
      </c>
      <c r="PP78" s="27">
        <f>IF(ISNUMBER(PP77),PP77*(1+PortfolioFrontier[[#This Row],[P108 Return]]),1+PortfolioFrontier[[#This Row],[P108 Return]])</f>
        <v>1.4744334032876203</v>
      </c>
      <c r="PQ78" s="27">
        <f>MAX(PQ77,PortfolioFrontier[[#This Row],[P108 Growth]])</f>
        <v>1.5818874318633449</v>
      </c>
      <c r="PR78" s="27">
        <f>PortfolioFrontier[[#This Row],[P108 Growth]]/PortfolioFrontier[[#This Row],[P108 HWM]]-1</f>
        <v>-6.7927733928040523E-2</v>
      </c>
      <c r="PS78" s="28">
        <f>SUMPRODUCT(INDEX(PortfolioRef[[SPY]:[PE]],MATCH(PS$1,PortfolioRef[Reference '#]),0),AssetMonthlyReturns[[#This Row],[SPY]:[PE]])</f>
        <v>4.7322894586978623E-2</v>
      </c>
      <c r="PT78" s="27">
        <f>IF(ISNUMBER(PT77),PT77*(1+PortfolioFrontier[[#This Row],[P109 Return]]),1+PortfolioFrontier[[#This Row],[P109 Return]])</f>
        <v>1.5017139662140366</v>
      </c>
      <c r="PU78" s="27">
        <f>MAX(PU77,PortfolioFrontier[[#This Row],[P109 Growth]])</f>
        <v>1.6327835279326679</v>
      </c>
      <c r="PV78" s="27">
        <f>PortfolioFrontier[[#This Row],[P109 Growth]]/PortfolioFrontier[[#This Row],[P109 HWM]]-1</f>
        <v>-8.0273691813013137E-2</v>
      </c>
      <c r="PW78" s="28">
        <f>SUMPRODUCT(INDEX(PortfolioRef[[SPY]:[PE]],MATCH(PW$1,PortfolioRef[Reference '#]),0),AssetMonthlyReturns[[#This Row],[SPY]:[PE]])</f>
        <v>4.3060724863966157E-2</v>
      </c>
      <c r="PX78" s="27">
        <f>IF(ISNUMBER(PX77),PX77*(1+PortfolioFrontier[[#This Row],[P110 Return]]),1+PortfolioFrontier[[#This Row],[P110 Return]])</f>
        <v>1.4857240529037259</v>
      </c>
      <c r="PY78" s="27">
        <f>MAX(PY77,PortfolioFrontier[[#This Row],[P110 Growth]])</f>
        <v>1.6016185143364081</v>
      </c>
      <c r="PZ78" s="27">
        <f>PortfolioFrontier[[#This Row],[P110 Growth]]/PortfolioFrontier[[#This Row],[P110 HWM]]-1</f>
        <v>-7.2360840234604984E-2</v>
      </c>
      <c r="QA78" s="28">
        <f>SUMPRODUCT(INDEX(PortfolioRef[[SPY]:[PE]],MATCH(QA$1,PortfolioRef[Reference '#]),0),AssetMonthlyReturns[[#This Row],[SPY]:[PE]])</f>
        <v>3.8798555140953692E-2</v>
      </c>
      <c r="QB78" s="27">
        <f>IF(ISNUMBER(QB77),QB77*(1+PortfolioFrontier[[#This Row],[P111 Return]]),1+PortfolioFrontier[[#This Row],[P111 Return]])</f>
        <v>1.4691098644871055</v>
      </c>
      <c r="QC78" s="27">
        <f>MAX(QC77,PortfolioFrontier[[#This Row],[P111 Growth]])</f>
        <v>1.5703684845094485</v>
      </c>
      <c r="QD78" s="27">
        <f>PortfolioFrontier[[#This Row],[P111 Growth]]/PortfolioFrontier[[#This Row],[P111 HWM]]-1</f>
        <v>-6.4480802449352725E-2</v>
      </c>
      <c r="QE78" s="28">
        <f>SUMPRODUCT(INDEX(PortfolioRef[[SPY]:[PE]],MATCH(QE$1,PortfolioRef[Reference '#]),0),AssetMonthlyReturns[[#This Row],[SPY]:[PE]])</f>
        <v>5.3270900945020516E-2</v>
      </c>
      <c r="QF78" s="27">
        <f>IF(ISNUMBER(QF77),QF77*(1+PortfolioFrontier[[#This Row],[P112 Return]]),1+PortfolioFrontier[[#This Row],[P112 Return]])</f>
        <v>1.5116722530736268</v>
      </c>
      <c r="QG78" s="27">
        <f>MAX(QG77,PortfolioFrontier[[#This Row],[P112 Growth]])</f>
        <v>1.6517386955477045</v>
      </c>
      <c r="QH78" s="27">
        <f>PortfolioFrontier[[#This Row],[P112 Growth]]/PortfolioFrontier[[#This Row],[P112 HWM]]-1</f>
        <v>-8.4799395238259856E-2</v>
      </c>
      <c r="QI78" s="28">
        <f>SUMPRODUCT(INDEX(PortfolioRef[[SPY]:[PE]],MATCH(QI$1,PortfolioRef[Reference '#]),0),AssetMonthlyReturns[[#This Row],[SPY]:[PE]])</f>
        <v>4.9008731222008051E-2</v>
      </c>
      <c r="QJ78" s="27">
        <f>IF(ISNUMBER(QJ77),QJ77*(1+PortfolioFrontier[[#This Row],[P113 Return]]),1+PortfolioFrontier[[#This Row],[P113 Return]])</f>
        <v>1.4961931966690278</v>
      </c>
      <c r="QK78" s="27">
        <f>MAX(QK77,PortfolioFrontier[[#This Row],[P113 Growth]])</f>
        <v>1.6207454292109018</v>
      </c>
      <c r="QL78" s="27">
        <f>PortfolioFrontier[[#This Row],[P113 Growth]]/PortfolioFrontier[[#This Row],[P113 HWM]]-1</f>
        <v>-7.6848732871340086E-2</v>
      </c>
      <c r="QM78" s="28">
        <f>SUMPRODUCT(INDEX(PortfolioRef[[SPY]:[PE]],MATCH(QM$1,PortfolioRef[Reference '#]),0),AssetMonthlyReturns[[#This Row],[SPY]:[PE]])</f>
        <v>4.4746561498995585E-2</v>
      </c>
      <c r="QN78" s="27">
        <f>IF(ISNUMBER(QN77),QN77*(1+PortfolioFrontier[[#This Row],[P114 Return]]),1+PortfolioFrontier[[#This Row],[P114 Return]])</f>
        <v>1.4800688998284044</v>
      </c>
      <c r="QO78" s="27">
        <f>MAX(QO77,PortfolioFrontier[[#This Row],[P114 Growth]])</f>
        <v>1.5896421022161857</v>
      </c>
      <c r="QP78" s="27">
        <f>PortfolioFrontier[[#This Row],[P114 Growth]]/PortfolioFrontier[[#This Row],[P114 HWM]]-1</f>
        <v>-6.8929479305449237E-2</v>
      </c>
      <c r="QQ78" s="28">
        <f>SUMPRODUCT(INDEX(PortfolioRef[[SPY]:[PE]],MATCH(QQ$1,PortfolioRef[Reference '#]),0),AssetMonthlyReturns[[#This Row],[SPY]:[PE]])</f>
        <v>4.4761391488257515E-2</v>
      </c>
      <c r="QR78" s="27">
        <f>IF(ISNUMBER(QR77),QR77*(1+PortfolioFrontier[[#This Row],[P115 Return]]),1+PortfolioFrontier[[#This Row],[P115 Return]])</f>
        <v>1.5188242294433651</v>
      </c>
      <c r="QS78" s="27">
        <f>MAX(QS77,PortfolioFrontier[[#This Row],[P115 Growth]])</f>
        <v>1.6477351477866757</v>
      </c>
      <c r="QT78" s="27">
        <f>PortfolioFrontier[[#This Row],[P115 Growth]]/PortfolioFrontier[[#This Row],[P115 HWM]]-1</f>
        <v>-7.8235217908940391E-2</v>
      </c>
      <c r="QU78" s="28">
        <f>SUMPRODUCT(INDEX(PortfolioRef[[SPY]:[PE]],MATCH(QU$1,PortfolioRef[Reference '#]),0),AssetMonthlyReturns[[#This Row],[SPY]:[PE]])</f>
        <v>4.049922176524505E-2</v>
      </c>
      <c r="QV78" s="27">
        <f>IF(ISNUMBER(QV77),QV77*(1+PortfolioFrontier[[#This Row],[P116 Return]]),1+PortfolioFrontier[[#This Row],[P116 Return]])</f>
        <v>1.5026945436663646</v>
      </c>
      <c r="QW78" s="27">
        <f>MAX(QW77,PortfolioFrontier[[#This Row],[P116 Growth]])</f>
        <v>1.6163470917094751</v>
      </c>
      <c r="QX78" s="27">
        <f>PortfolioFrontier[[#This Row],[P116 Growth]]/PortfolioFrontier[[#This Row],[P116 HWM]]-1</f>
        <v>-7.0314444605403259E-2</v>
      </c>
      <c r="QY78" s="28">
        <f>SUMPRODUCT(INDEX(PortfolioRef[[SPY]:[PE]],MATCH(QY$1,PortfolioRef[Reference '#]),0),AssetMonthlyReturns[[#This Row],[SPY]:[PE]])</f>
        <v>3.6237052042232591E-2</v>
      </c>
      <c r="QZ78" s="27">
        <f>IF(ISNUMBER(QZ77),QZ77*(1+PortfolioFrontier[[#This Row],[P117 Return]]),1+PortfolioFrontier[[#This Row],[P117 Return]])</f>
        <v>1.48593294856043</v>
      </c>
      <c r="RA78" s="27">
        <f>MAX(RA77,PortfolioFrontier[[#This Row],[P117 Growth]])</f>
        <v>1.5848710929942145</v>
      </c>
      <c r="RB78" s="27">
        <f>PortfolioFrontier[[#This Row],[P117 Growth]]/PortfolioFrontier[[#This Row],[P117 HWM]]-1</f>
        <v>-6.2426619345341106E-2</v>
      </c>
      <c r="RC78" s="28">
        <f>SUMPRODUCT(INDEX(PortfolioRef[[SPY]:[PE]],MATCH(RC$1,PortfolioRef[Reference '#]),0),AssetMonthlyReturns[[#This Row],[SPY]:[PE]])</f>
        <v>5.0709397846299409E-2</v>
      </c>
      <c r="RD78" s="27">
        <f>IF(ISNUMBER(RD77),RD77*(1+PortfolioFrontier[[#This Row],[P118 Return]]),1+PortfolioFrontier[[#This Row],[P118 Return]])</f>
        <v>1.5292042365930307</v>
      </c>
      <c r="RE78" s="27">
        <f>MAX(RE77,PortfolioFrontier[[#This Row],[P118 Growth]])</f>
        <v>1.667155293527623</v>
      </c>
      <c r="RF78" s="27">
        <f>PortfolioFrontier[[#This Row],[P118 Growth]]/PortfolioFrontier[[#This Row],[P118 HWM]]-1</f>
        <v>-8.2746374899901665E-2</v>
      </c>
      <c r="RG78" s="28">
        <f>SUMPRODUCT(INDEX(PortfolioRef[[SPY]:[PE]],MATCH(RG$1,PortfolioRef[Reference '#]),0),AssetMonthlyReturns[[#This Row],[SPY]:[PE]])</f>
        <v>4.6447228123286957E-2</v>
      </c>
      <c r="RH78" s="27">
        <f>IF(ISNUMBER(RH77),RH77*(1+PortfolioFrontier[[#This Row],[P119 Return]]),1+PortfolioFrontier[[#This Row],[P119 Return]])</f>
        <v>1.5135884198385887</v>
      </c>
      <c r="RI78" s="27">
        <f>MAX(RI77,PortfolioFrontier[[#This Row],[P119 Growth]])</f>
        <v>1.6359359857167841</v>
      </c>
      <c r="RJ78" s="27">
        <f>PortfolioFrontier[[#This Row],[P119 Growth]]/PortfolioFrontier[[#This Row],[P119 HWM]]-1</f>
        <v>-7.4787502045557619E-2</v>
      </c>
      <c r="RK78" s="28">
        <f>SUMPRODUCT(INDEX(PortfolioRef[[SPY]:[PE]],MATCH(RK$1,PortfolioRef[Reference '#]),0),AssetMonthlyReturns[[#This Row],[SPY]:[PE]])</f>
        <v>4.2185058400274485E-2</v>
      </c>
      <c r="RL78" s="27">
        <f>IF(ISNUMBER(RL77),RL77*(1+PortfolioFrontier[[#This Row],[P120 Return]]),1+PortfolioFrontier[[#This Row],[P120 Return]])</f>
        <v>1.4973193964050937</v>
      </c>
      <c r="RM78" s="27">
        <f>MAX(RM77,PortfolioFrontier[[#This Row],[P120 Growth]])</f>
        <v>1.6046034567476111</v>
      </c>
      <c r="RN78" s="27">
        <f>PortfolioFrontier[[#This Row],[P120 Growth]]/PortfolioFrontier[[#This Row],[P120 HWM]]-1</f>
        <v>-6.6860170275323094E-2</v>
      </c>
      <c r="RO78" s="28">
        <f>SUMPRODUCT(INDEX(PortfolioRef[[SPY]:[PE]],MATCH(RO$1,PortfolioRef[Reference '#]),0),AssetMonthlyReturns[[#This Row],[SPY]:[PE]])</f>
        <v>5.6657404204341302E-2</v>
      </c>
      <c r="RP78" s="27">
        <f>IF(ISNUMBER(RP77),RP77*(1+PortfolioFrontier[[#This Row],[P121 Return]]),1+PortfolioFrontier[[#This Row],[P121 Return]])</f>
        <v>1.5387154401620684</v>
      </c>
      <c r="RQ78" s="27">
        <f>MAX(RQ77,PortfolioFrontier[[#This Row],[P121 Growth]])</f>
        <v>1.6859132740659151</v>
      </c>
      <c r="RR78" s="27">
        <f>PortfolioFrontier[[#This Row],[P121 Growth]]/PortfolioFrontier[[#This Row],[P121 HWM]]-1</f>
        <v>-8.7310442457606219E-2</v>
      </c>
      <c r="RS78" s="28">
        <f>SUMPRODUCT(INDEX(PortfolioRef[[SPY]:[PE]],MATCH(RS$1,PortfolioRef[Reference '#]),0),AssetMonthlyReturns[[#This Row],[SPY]:[PE]])</f>
        <v>5.2395234481328851E-2</v>
      </c>
      <c r="RT78" s="27">
        <f>IF(ISNUMBER(RT77),RT77*(1+PortfolioFrontier[[#This Row],[P122 Return]]),1+PortfolioFrontier[[#This Row],[P122 Return]])</f>
        <v>1.5236339542858777</v>
      </c>
      <c r="RU78" s="27">
        <f>MAX(RU77,PortfolioFrontier[[#This Row],[P122 Growth]])</f>
        <v>1.6548910536150563</v>
      </c>
      <c r="RV78" s="27">
        <f>PortfolioFrontier[[#This Row],[P122 Growth]]/PortfolioFrontier[[#This Row],[P122 HWM]]-1</f>
        <v>-7.931464675118749E-2</v>
      </c>
      <c r="RW78" s="28">
        <f>SUMPRODUCT(INDEX(PortfolioRef[[SPY]:[PE]],MATCH(RW$1,PortfolioRef[Reference '#]),0),AssetMonthlyReturns[[#This Row],[SPY]:[PE]])</f>
        <v>4.8133064758316378E-2</v>
      </c>
      <c r="RX78" s="27">
        <f>IF(ISNUMBER(RX77),RX77*(1+PortfolioFrontier[[#This Row],[P123 Return]]),1+PortfolioFrontier[[#This Row],[P123 Return]])</f>
        <v>1.5078783712301134</v>
      </c>
      <c r="RY78" s="27">
        <f>MAX(RY77,PortfolioFrontier[[#This Row],[P123 Growth]])</f>
        <v>1.6237298558231279</v>
      </c>
      <c r="RZ78" s="27">
        <f>PortfolioFrontier[[#This Row],[P123 Growth]]/PortfolioFrontier[[#This Row],[P123 HWM]]-1</f>
        <v>-7.134898959795577E-2</v>
      </c>
      <c r="SA78" s="28">
        <f>SUMPRODUCT(INDEX(PortfolioRef[[SPY]:[PE]],MATCH(SA$1,PortfolioRef[Reference '#]),0),AssetMonthlyReturns[[#This Row],[SPY]:[PE]])</f>
        <v>4.8147894747578308E-2</v>
      </c>
      <c r="SB78" s="27">
        <f>IF(ISNUMBER(SB77),SB77*(1+PortfolioFrontier[[#This Row],[P124 Return]]),1+PortfolioFrontier[[#This Row],[P124 Return]])</f>
        <v>1.5465882807646605</v>
      </c>
      <c r="SC78" s="27">
        <f>MAX(SC77,PortfolioFrontier[[#This Row],[P124 Growth]])</f>
        <v>1.6823821965094672</v>
      </c>
      <c r="SD78" s="27">
        <f>PortfolioFrontier[[#This Row],[P124 Growth]]/PortfolioFrontier[[#This Row],[P124 HWM]]-1</f>
        <v>-8.07152596042362E-2</v>
      </c>
      <c r="SE78" s="28">
        <f>SUMPRODUCT(INDEX(PortfolioRef[[SPY]:[PE]],MATCH(SE$1,PortfolioRef[Reference '#]),0),AssetMonthlyReturns[[#This Row],[SPY]:[PE]])</f>
        <v>4.388572502456585E-2</v>
      </c>
      <c r="SF78" s="27">
        <f>IF(ISNUMBER(SF77),SF77*(1+PortfolioFrontier[[#This Row],[P125 Return]]),1+PortfolioFrontier[[#This Row],[P125 Return]])</f>
        <v>1.5308378519533337</v>
      </c>
      <c r="SG78" s="27">
        <f>MAX(SG77,PortfolioFrontier[[#This Row],[P125 Growth]])</f>
        <v>1.6509411354388694</v>
      </c>
      <c r="SH78" s="27">
        <f>PortfolioFrontier[[#This Row],[P125 Growth]]/PortfolioFrontier[[#This Row],[P125 HWM]]-1</f>
        <v>-7.2748374189373299E-2</v>
      </c>
      <c r="SI78" s="28">
        <f>SUMPRODUCT(INDEX(PortfolioRef[[SPY]:[PE]],MATCH(SI$1,PortfolioRef[Reference '#]),0),AssetMonthlyReturns[[#This Row],[SPY]:[PE]])</f>
        <v>3.9623555301553377E-2</v>
      </c>
      <c r="SJ78" s="27">
        <f>IF(ISNUMBER(SJ77),SJ77*(1+PortfolioFrontier[[#This Row],[P126 Return]]),1+PortfolioFrontier[[#This Row],[P126 Return]])</f>
        <v>1.514426300979153</v>
      </c>
      <c r="SK78" s="27">
        <f>MAX(SK77,PortfolioFrontier[[#This Row],[P126 Growth]])</f>
        <v>1.6193836797956254</v>
      </c>
      <c r="SL78" s="27">
        <f>PortfolioFrontier[[#This Row],[P126 Growth]]/PortfolioFrontier[[#This Row],[P126 HWM]]-1</f>
        <v>-6.4813163258332085E-2</v>
      </c>
      <c r="SM78" s="28">
        <f>SUMPRODUCT(INDEX(PortfolioRef[[SPY]:[PE]],MATCH(SM$1,PortfolioRef[Reference '#]),0),AssetMonthlyReturns[[#This Row],[SPY]:[PE]])</f>
        <v>5.4095901105620209E-2</v>
      </c>
      <c r="SN78" s="27">
        <f>IF(ISNUMBER(SN77),SN77*(1+PortfolioFrontier[[#This Row],[P127 Return]]),1+PortfolioFrontier[[#This Row],[P127 Return]])</f>
        <v>1.5565210939703427</v>
      </c>
      <c r="SO78" s="27">
        <f>MAX(SO77,PortfolioFrontier[[#This Row],[P127 Growth]])</f>
        <v>1.7016086575400751</v>
      </c>
      <c r="SP78" s="27">
        <f>PortfolioFrontier[[#This Row],[P127 Growth]]/PortfolioFrontier[[#This Row],[P127 HWM]]-1</f>
        <v>-8.526494204576851E-2</v>
      </c>
      <c r="SQ78" s="28">
        <f>SUMPRODUCT(INDEX(PortfolioRef[[SPY]:[PE]],MATCH(SQ$1,PortfolioRef[Reference '#]),0),AssetMonthlyReturns[[#This Row],[SPY]:[PE]])</f>
        <v>4.9833731382607743E-2</v>
      </c>
      <c r="SR78" s="27">
        <f>IF(ISNUMBER(SR77),SR77*(1+PortfolioFrontier[[#This Row],[P128 Return]]),1+PortfolioFrontier[[#This Row],[P128 Return]])</f>
        <v>1.5413083258474556</v>
      </c>
      <c r="SS78" s="27">
        <f>MAX(SS77,PortfolioFrontier[[#This Row],[P128 Growth]])</f>
        <v>1.6703618996398835</v>
      </c>
      <c r="ST78" s="27">
        <f>PortfolioFrontier[[#This Row],[P128 Growth]]/PortfolioFrontier[[#This Row],[P128 HWM]]-1</f>
        <v>-7.7260846179651677E-2</v>
      </c>
      <c r="SU78" s="28">
        <f>SUMPRODUCT(INDEX(PortfolioRef[[SPY]:[PE]],MATCH(SU$1,PortfolioRef[Reference '#]),0),AssetMonthlyReturns[[#This Row],[SPY]:[PE]])</f>
        <v>4.5571561659595285E-2</v>
      </c>
      <c r="SV78" s="27">
        <f>IF(ISNUMBER(SV77),SV77*(1+PortfolioFrontier[[#This Row],[P129 Return]]),1+PortfolioFrontier[[#This Row],[P129 Return]])</f>
        <v>1.5254132100913611</v>
      </c>
      <c r="SW78" s="27">
        <f>MAX(SW77,PortfolioFrontier[[#This Row],[P129 Growth]])</f>
        <v>1.6389727481356613</v>
      </c>
      <c r="SX78" s="27">
        <f>PortfolioFrontier[[#This Row],[P129 Growth]]/PortfolioFrontier[[#This Row],[P129 HWM]]-1</f>
        <v>-6.9287020283573808E-2</v>
      </c>
      <c r="SY78" s="28">
        <f>SUMPRODUCT(INDEX(PortfolioRef[[SPY]:[PE]],MATCH(SY$1,PortfolioRef[Reference '#]),0),AssetMonthlyReturns[[#This Row],[SPY]:[PE]])</f>
        <v>6.0043907463662102E-2</v>
      </c>
      <c r="SZ78" s="27">
        <f>IF(ISNUMBER(SZ77),SZ77*(1+PortfolioFrontier[[#This Row],[P130 Return]]),1+PortfolioFrontier[[#This Row],[P130 Return]])</f>
        <v>1.5655584451377891</v>
      </c>
      <c r="TA78" s="27">
        <f>MAX(TA77,PortfolioFrontier[[#This Row],[P130 Growth]])</f>
        <v>1.720142179322633</v>
      </c>
      <c r="TB78" s="27">
        <f>PortfolioFrontier[[#This Row],[P130 Growth]]/PortfolioFrontier[[#This Row],[P130 HWM]]-1</f>
        <v>-8.9866835452937277E-2</v>
      </c>
      <c r="TC78" s="28">
        <f>SUMPRODUCT(INDEX(PortfolioRef[[SPY]:[PE]],MATCH(TC$1,PortfolioRef[Reference '#]),0),AssetMonthlyReturns[[#This Row],[SPY]:[PE]])</f>
        <v>5.5781737740649637E-2</v>
      </c>
      <c r="TD78" s="27">
        <f>IF(ISNUMBER(TD77),TD77*(1+PortfolioFrontier[[#This Row],[P131 Return]]),1+PortfolioFrontier[[#This Row],[P131 Return]])</f>
        <v>1.5509035875600448</v>
      </c>
      <c r="TE78" s="27">
        <f>MAX(TE77,PortfolioFrontier[[#This Row],[P131 Growth]])</f>
        <v>1.6891185966988822</v>
      </c>
      <c r="TF78" s="27">
        <f>PortfolioFrontier[[#This Row],[P131 Growth]]/PortfolioFrontier[[#This Row],[P131 HWM]]-1</f>
        <v>-8.1826705009912848E-2</v>
      </c>
      <c r="TG78" s="28">
        <f>SUMPRODUCT(INDEX(PortfolioRef[[SPY]:[PE]],MATCH(TG$1,PortfolioRef[Reference '#]),0),AssetMonthlyReturns[[#This Row],[SPY]:[PE]])</f>
        <v>5.1519568017637178E-2</v>
      </c>
      <c r="TH78" s="27">
        <f>IF(ISNUMBER(TH77),TH77*(1+PortfolioFrontier[[#This Row],[P132 Return]]),1+PortfolioFrontier[[#This Row],[P132 Return]])</f>
        <v>1.5355456027225891</v>
      </c>
      <c r="TI78" s="27">
        <f>MAX(TI77,PortfolioFrontier[[#This Row],[P132 Growth]])</f>
        <v>1.6579261593145806</v>
      </c>
      <c r="TJ78" s="27">
        <f>PortfolioFrontier[[#This Row],[P132 Growth]]/PortfolioFrontier[[#This Row],[P132 HWM]]-1</f>
        <v>-7.38154446170185E-2</v>
      </c>
      <c r="TK78" s="28">
        <f>SUMPRODUCT(INDEX(PortfolioRef[[SPY]:[PE]],MATCH(TK$1,PortfolioRef[Reference '#]),0),AssetMonthlyReturns[[#This Row],[SPY]:[PE]])</f>
        <v>5.1534398006899101E-2</v>
      </c>
      <c r="TL78" s="27">
        <f>IF(ISNUMBER(TL77),TL77*(1+PortfolioFrontier[[#This Row],[P133 Return]]),1+PortfolioFrontier[[#This Row],[P133 Return]])</f>
        <v>1.5741758313292098</v>
      </c>
      <c r="TM78" s="27">
        <f>MAX(TM77,PortfolioFrontier[[#This Row],[P133 Growth]])</f>
        <v>1.7171102853087914</v>
      </c>
      <c r="TN78" s="27">
        <f>PortfolioFrontier[[#This Row],[P133 Growth]]/PortfolioFrontier[[#This Row],[P133 HWM]]-1</f>
        <v>-8.3241277629338417E-2</v>
      </c>
      <c r="TO78" s="28">
        <f>SUMPRODUCT(INDEX(PortfolioRef[[SPY]:[PE]],MATCH(TO$1,PortfolioRef[Reference '#]),0),AssetMonthlyReturns[[#This Row],[SPY]:[PE]])</f>
        <v>4.7272228283886643E-2</v>
      </c>
      <c r="TP78" s="27">
        <f>IF(ISNUMBER(TP77),TP77*(1+PortfolioFrontier[[#This Row],[P134 Return]]),1+PortfolioFrontier[[#This Row],[P134 Return]])</f>
        <v>1.5588339043703825</v>
      </c>
      <c r="TQ78" s="27">
        <f>MAX(TQ77,PortfolioFrontier[[#This Row],[P134 Growth]])</f>
        <v>1.6856432974461595</v>
      </c>
      <c r="TR78" s="27">
        <f>PortfolioFrontier[[#This Row],[P134 Growth]]/PortfolioFrontier[[#This Row],[P134 HWM]]-1</f>
        <v>-7.5229079169893187E-2</v>
      </c>
      <c r="TS78" s="28">
        <f>SUMPRODUCT(INDEX(PortfolioRef[[SPY]:[PE]],MATCH(TS$1,PortfolioRef[Reference '#]),0),AssetMonthlyReturns[[#This Row],[SPY]:[PE]])</f>
        <v>4.3010058560874177E-2</v>
      </c>
      <c r="TT78" s="27">
        <f>IF(ISNUMBER(TT77),TT77*(1+PortfolioFrontier[[#This Row],[P135 Return]]),1+PortfolioFrontier[[#This Row],[P135 Return]])</f>
        <v>1.5428014333627365</v>
      </c>
      <c r="TU78" s="27">
        <f>MAX(TU77,PortfolioFrontier[[#This Row],[P135 Growth]])</f>
        <v>1.6540304901705998</v>
      </c>
      <c r="TV78" s="27">
        <f>PortfolioFrontier[[#This Row],[P135 Growth]]/PortfolioFrontier[[#This Row],[P135 HWM]]-1</f>
        <v>-6.724728320841955E-2</v>
      </c>
      <c r="TW78" s="28">
        <f>SUMPRODUCT(INDEX(PortfolioRef[[SPY]:[PE]],MATCH(TW$1,PortfolioRef[Reference '#]),0),AssetMonthlyReturns[[#This Row],[SPY]:[PE]])</f>
        <v>5.7482404364940995E-2</v>
      </c>
      <c r="TX78" s="27">
        <f>IF(ISNUMBER(TX77),TX77*(1+PortfolioFrontier[[#This Row],[P136 Return]]),1+PortfolioFrontier[[#This Row],[P136 Return]])</f>
        <v>1.5836343594262168</v>
      </c>
      <c r="TY78" s="27">
        <f>MAX(TY77,PortfolioFrontier[[#This Row],[P136 Growth]])</f>
        <v>1.7361155602147582</v>
      </c>
      <c r="TZ78" s="27">
        <f>PortfolioFrontier[[#This Row],[P136 Growth]]/PortfolioFrontier[[#This Row],[P136 HWM]]-1</f>
        <v>-8.7828946576390066E-2</v>
      </c>
      <c r="UA78" s="28">
        <f>SUMPRODUCT(INDEX(PortfolioRef[[SPY]:[PE]],MATCH(UA$1,PortfolioRef[Reference '#]),0),AssetMonthlyReturns[[#This Row],[SPY]:[PE]])</f>
        <v>5.3220234641928543E-2</v>
      </c>
      <c r="UB78" s="27">
        <f>IF(ISNUMBER(UB77),UB77*(1+PortfolioFrontier[[#This Row],[P137 Return]]),1+PortfolioFrontier[[#This Row],[P137 Return]])</f>
        <v>1.568853995382965</v>
      </c>
      <c r="UC78" s="27">
        <f>MAX(UC77,PortfolioFrontier[[#This Row],[P137 Growth]])</f>
        <v>1.7048691873265751</v>
      </c>
      <c r="UD78" s="27">
        <f>PortfolioFrontier[[#This Row],[P137 Growth]]/PortfolioFrontier[[#This Row],[P137 HWM]]-1</f>
        <v>-7.9780427117048802E-2</v>
      </c>
      <c r="UE78" s="28">
        <f>SUMPRODUCT(INDEX(PortfolioRef[[SPY]:[PE]],MATCH(UE$1,PortfolioRef[Reference '#]),0),AssetMonthlyReturns[[#This Row],[SPY]:[PE]])</f>
        <v>4.8958064918916071E-2</v>
      </c>
      <c r="UF78" s="27">
        <f>IF(ISNUMBER(UF77),UF77*(1+PortfolioFrontier[[#This Row],[P138 Return]]),1+PortfolioFrontier[[#This Row],[P138 Return]])</f>
        <v>1.5533619701091574</v>
      </c>
      <c r="UG78" s="27">
        <f>MAX(UG77,PortfolioFrontier[[#This Row],[P138 Growth]])</f>
        <v>1.6734502822541619</v>
      </c>
      <c r="UH78" s="27">
        <f>PortfolioFrontier[[#This Row],[P138 Growth]]/PortfolioFrontier[[#This Row],[P138 HWM]]-1</f>
        <v>-7.176090823758674E-2</v>
      </c>
      <c r="UI78" s="28">
        <f>SUMPRODUCT(INDEX(PortfolioRef[[SPY]:[PE]],MATCH(UI$1,PortfolioRef[Reference '#]),0),AssetMonthlyReturns[[#This Row],[SPY]:[PE]])</f>
        <v>6.3430410722982902E-2</v>
      </c>
      <c r="UJ78" s="27">
        <f>IF(ISNUMBER(UJ77),UJ77*(1+PortfolioFrontier[[#This Row],[P139 Return]]),1+PortfolioFrontier[[#This Row],[P139 Return]])</f>
        <v>1.5921708083744306</v>
      </c>
      <c r="UK78" s="27">
        <f>MAX(UK77,PortfolioFrontier[[#This Row],[P139 Growth]])</f>
        <v>1.7543965710992384</v>
      </c>
      <c r="UL78" s="27">
        <f>PortfolioFrontier[[#This Row],[P139 Growth]]/PortfolioFrontier[[#This Row],[P139 HWM]]-1</f>
        <v>-9.2468125734629814E-2</v>
      </c>
      <c r="UM78" s="28">
        <f>SUMPRODUCT(INDEX(PortfolioRef[[SPY]:[PE]],MATCH(UM$1,PortfolioRef[Reference '#]),0),AssetMonthlyReturns[[#This Row],[SPY]:[PE]])</f>
        <v>5.9168240999970437E-2</v>
      </c>
      <c r="UN78" s="27">
        <f>IF(ISNUMBER(UN77),UN77*(1+PortfolioFrontier[[#This Row],[P140 Return]]),1+PortfolioFrontier[[#This Row],[P140 Return]])</f>
        <v>1.5779720064921854</v>
      </c>
      <c r="UO78" s="27">
        <f>MAX(UO77,PortfolioFrontier[[#This Row],[P140 Growth]])</f>
        <v>1.7234002022793458</v>
      </c>
      <c r="UP78" s="27">
        <f>PortfolioFrontier[[#This Row],[P140 Growth]]/PortfolioFrontier[[#This Row],[P140 HWM]]-1</f>
        <v>-8.4384460205365497E-2</v>
      </c>
      <c r="UQ78" s="28">
        <f>SUMPRODUCT(INDEX(PortfolioRef[[SPY]:[PE]],MATCH(UQ$1,PortfolioRef[Reference '#]),0),AssetMonthlyReturns[[#This Row],[SPY]:[PE]])</f>
        <v>5.4906071276957964E-2</v>
      </c>
      <c r="UR78" s="27">
        <f>IF(ISNUMBER(UR77),UR77*(1+PortfolioFrontier[[#This Row],[P141 Return]]),1+PortfolioFrontier[[#This Row],[P141 Return]])</f>
        <v>1.5630409117348323</v>
      </c>
      <c r="US78" s="27">
        <f>MAX(US77,PortfolioFrontier[[#This Row],[P141 Growth]])</f>
        <v>1.6922041432386774</v>
      </c>
      <c r="UT78" s="27">
        <f>PortfolioFrontier[[#This Row],[P141 Growth]]/PortfolioFrontier[[#This Row],[P141 HWM]]-1</f>
        <v>-7.6328398095422467E-2</v>
      </c>
    </row>
    <row r="79" spans="2:566" x14ac:dyDescent="0.2">
      <c r="B79" s="41">
        <f>AssetMonthlyReturns[[#This Row],[Date]]</f>
        <v>44774</v>
      </c>
      <c r="C79" s="28">
        <f>SUMPRODUCT(INDEX(PortfolioRef[[SPY]:[PE]],MATCH(C$1,PortfolioRef[Reference '#]),0),AssetMonthlyReturns[[#This Row],[SPY]:[PE]])</f>
        <v>-3.9349064983008525E-2</v>
      </c>
      <c r="D79" s="29">
        <f>IF(ISNUMBER(D78),D78*(1+PortfolioFrontier[[#This Row],[P1 Return]]),1+PortfolioFrontier[[#This Row],[P1 Return]])</f>
        <v>1.7056791504506681</v>
      </c>
      <c r="E79" s="29">
        <f>MAX(E78,PortfolioFrontier[[#This Row],[P1 Growth]])</f>
        <v>1.9531239567566241</v>
      </c>
      <c r="F79" s="29">
        <f>PortfolioFrontier[[#This Row],[P1 Growth]]/PortfolioFrontier[[#This Row],[P1 HWM]]-1</f>
        <v>-0.12669180849988915</v>
      </c>
      <c r="G79" s="28">
        <f>SUMPRODUCT(INDEX(PortfolioRef[[SPY]:[PE]],MATCH(G$1,PortfolioRef[Reference '#]),0),AssetMonthlyReturns[[#This Row],[SPY]:[PE]])</f>
        <v>-3.8834598558780929E-2</v>
      </c>
      <c r="H79" s="27">
        <f>IF(ISNUMBER(H78),H78*(1+PortfolioFrontier[[#This Row],[P2 Return]]),1+PortfolioFrontier[[#This Row],[P2 Return]])</f>
        <v>1.6476771460433504</v>
      </c>
      <c r="I79" s="27">
        <f>MAX(I78,PortfolioFrontier[[#This Row],[P2 Growth]])</f>
        <v>1.880902671218339</v>
      </c>
      <c r="J79" s="27">
        <f>PortfolioFrontier[[#This Row],[P2 Growth]]/PortfolioFrontier[[#This Row],[P2 HWM]]-1</f>
        <v>-0.12399659415865405</v>
      </c>
      <c r="K79" s="28">
        <f>SUMPRODUCT(INDEX(PortfolioRef[[SPY]:[PE]],MATCH(K$1,PortfolioRef[Reference '#]),0),AssetMonthlyReturns[[#This Row],[SPY]:[PE]])</f>
        <v>-3.8780625944216308E-2</v>
      </c>
      <c r="L79" s="27">
        <f>IF(ISNUMBER(L78),L78*(1+PortfolioFrontier[[#This Row],[P3 Return]]),1+PortfolioFrontier[[#This Row],[P3 Return]])</f>
        <v>1.666931468080546</v>
      </c>
      <c r="M79" s="27">
        <f>MAX(M78,PortfolioFrontier[[#This Row],[P3 Growth]])</f>
        <v>1.8984394560781046</v>
      </c>
      <c r="N79" s="27">
        <f>PortfolioFrontier[[#This Row],[P3 Growth]]/PortfolioFrontier[[#This Row],[P3 HWM]]-1</f>
        <v>-0.12194646885174831</v>
      </c>
      <c r="O79" s="28">
        <f>SUMPRODUCT(INDEX(PortfolioRef[[SPY]:[PE]],MATCH(O$1,PortfolioRef[Reference '#]),0),AssetMonthlyReturns[[#This Row],[SPY]:[PE]])</f>
        <v>-4.0315238891010179E-2</v>
      </c>
      <c r="P79" s="27">
        <f>IF(ISNUMBER(P78),P78*(1+PortfolioFrontier[[#This Row],[P4 Return]]),1+PortfolioFrontier[[#This Row],[P4 Return]])</f>
        <v>1.6740790091162863</v>
      </c>
      <c r="Q79" s="27">
        <f>MAX(Q78,PortfolioFrontier[[#This Row],[P4 Growth]])</f>
        <v>1.9193367929729268</v>
      </c>
      <c r="R79" s="27">
        <f>PortfolioFrontier[[#This Row],[P4 Growth]]/PortfolioFrontier[[#This Row],[P4 HWM]]-1</f>
        <v>-0.12778256778829955</v>
      </c>
      <c r="S79" s="28">
        <f>SUMPRODUCT(INDEX(PortfolioRef[[SPY]:[PE]],MATCH(S$1,PortfolioRef[Reference '#]),0),AssetMonthlyReturns[[#This Row],[SPY]:[PE]])</f>
        <v>-3.8996530718875044E-2</v>
      </c>
      <c r="T79" s="27">
        <f>IF(ISNUMBER(T78),T78*(1+PortfolioFrontier[[#This Row],[P5 Return]]),1+PortfolioFrontier[[#This Row],[P5 Return]])</f>
        <v>1.6602574489185673</v>
      </c>
      <c r="U79" s="27">
        <f>MAX(U78,PortfolioFrontier[[#This Row],[P5 Growth]])</f>
        <v>1.8841834525169079</v>
      </c>
      <c r="V79" s="27">
        <f>PortfolioFrontier[[#This Row],[P5 Growth]]/PortfolioFrontier[[#This Row],[P5 HWM]]-1</f>
        <v>-0.1188451173898265</v>
      </c>
      <c r="W79" s="28">
        <f>SUMPRODUCT(INDEX(PortfolioRef[[SPY]:[PE]],MATCH(W$1,PortfolioRef[Reference '#]),0),AssetMonthlyReturns[[#This Row],[SPY]:[PE]])</f>
        <v>-3.832013213455334E-2</v>
      </c>
      <c r="X79" s="27">
        <f>IF(ISNUMBER(X78),X78*(1+PortfolioFrontier[[#This Row],[P6 Return]]),1+PortfolioFrontier[[#This Row],[P6 Return]])</f>
        <v>1.5910211941566108</v>
      </c>
      <c r="Y79" s="27">
        <f>MAX(Y78,PortfolioFrontier[[#This Row],[P6 Growth]])</f>
        <v>1.8107203423144032</v>
      </c>
      <c r="Z79" s="27">
        <f>PortfolioFrontier[[#This Row],[P6 Growth]]/PortfolioFrontier[[#This Row],[P6 HWM]]-1</f>
        <v>-0.12133245704689</v>
      </c>
      <c r="AA79" s="28">
        <f>SUMPRODUCT(INDEX(PortfolioRef[[SPY]:[PE]],MATCH(AA$1,PortfolioRef[Reference '#]),0),AssetMonthlyReturns[[#This Row],[SPY]:[PE]])</f>
        <v>-3.826615951998872E-2</v>
      </c>
      <c r="AB79" s="27">
        <f>IF(ISNUMBER(AB78),AB78*(1+PortfolioFrontier[[#This Row],[P7 Return]]),1+PortfolioFrontier[[#This Row],[P7 Return]])</f>
        <v>1.6096277976905549</v>
      </c>
      <c r="AC79" s="27">
        <f>MAX(AC78,PortfolioFrontier[[#This Row],[P7 Growth]])</f>
        <v>1.8276317298765399</v>
      </c>
      <c r="AD79" s="27">
        <f>PortfolioFrontier[[#This Row],[P7 Growth]]/PortfolioFrontier[[#This Row],[P7 HWM]]-1</f>
        <v>-0.11928219926489869</v>
      </c>
      <c r="AE79" s="28">
        <f>SUMPRODUCT(INDEX(PortfolioRef[[SPY]:[PE]],MATCH(AE$1,PortfolioRef[Reference '#]),0),AssetMonthlyReturns[[#This Row],[SPY]:[PE]])</f>
        <v>-3.980077246678259E-2</v>
      </c>
      <c r="AF79" s="27">
        <f>IF(ISNUMBER(AF78),AF78*(1+PortfolioFrontier[[#This Row],[P8 Return]]),1+PortfolioFrontier[[#This Row],[P8 Return]])</f>
        <v>1.6170337777745953</v>
      </c>
      <c r="AG79" s="27">
        <f>MAX(AG78,PortfolioFrontier[[#This Row],[P8 Growth]])</f>
        <v>1.8482324314062795</v>
      </c>
      <c r="AH79" s="27">
        <f>PortfolioFrontier[[#This Row],[P8 Growth]]/PortfolioFrontier[[#This Row],[P8 HWM]]-1</f>
        <v>-0.12509176319115345</v>
      </c>
      <c r="AI79" s="28">
        <f>SUMPRODUCT(INDEX(PortfolioRef[[SPY]:[PE]],MATCH(AI$1,PortfolioRef[Reference '#]),0),AssetMonthlyReturns[[#This Row],[SPY]:[PE]])</f>
        <v>-3.8482064294647456E-2</v>
      </c>
      <c r="AJ79" s="27">
        <f>IF(ISNUMBER(AJ78),AJ78*(1+PortfolioFrontier[[#This Row],[P9 Return]]),1+PortfolioFrontier[[#This Row],[P9 Return]])</f>
        <v>1.6031961255442675</v>
      </c>
      <c r="AK79" s="27">
        <f>MAX(AK78,PortfolioFrontier[[#This Row],[P9 Growth]])</f>
        <v>1.8139467261629987</v>
      </c>
      <c r="AL79" s="27">
        <f>PortfolioFrontier[[#This Row],[P9 Growth]]/PortfolioFrontier[[#This Row],[P9 HWM]]-1</f>
        <v>-0.11618345653652529</v>
      </c>
      <c r="AM79" s="28">
        <f>SUMPRODUCT(INDEX(PortfolioRef[[SPY]:[PE]],MATCH(AM$1,PortfolioRef[Reference '#]),0),AssetMonthlyReturns[[#This Row],[SPY]:[PE]])</f>
        <v>-3.8212186905424092E-2</v>
      </c>
      <c r="AN79" s="27">
        <f>IF(ISNUMBER(AN78),AN78*(1+PortfolioFrontier[[#This Row],[P10 Return]]),1+PortfolioFrontier[[#This Row],[P10 Return]])</f>
        <v>1.6280836706884521</v>
      </c>
      <c r="AO79" s="27">
        <f>MAX(AO78,PortfolioFrontier[[#This Row],[P10 Growth]])</f>
        <v>1.8443368551596837</v>
      </c>
      <c r="AP79" s="27">
        <f>PortfolioFrontier[[#This Row],[P10 Growth]]/PortfolioFrontier[[#This Row],[P10 HWM]]-1</f>
        <v>-0.11725254194549417</v>
      </c>
      <c r="AQ79" s="28">
        <f>SUMPRODUCT(INDEX(PortfolioRef[[SPY]:[PE]],MATCH(AQ$1,PortfolioRef[Reference '#]),0),AssetMonthlyReturns[[#This Row],[SPY]:[PE]])</f>
        <v>-3.9746799852217962E-2</v>
      </c>
      <c r="AR79" s="27">
        <f>IF(ISNUMBER(AR78),AR78*(1+PortfolioFrontier[[#This Row],[P11 Return]]),1+PortfolioFrontier[[#This Row],[P11 Return]])</f>
        <v>1.6359026321743342</v>
      </c>
      <c r="AS79" s="27">
        <f>MAX(AS78,PortfolioFrontier[[#This Row],[P11 Growth]])</f>
        <v>1.865449984246593</v>
      </c>
      <c r="AT79" s="27">
        <f>PortfolioFrontier[[#This Row],[P11 Growth]]/PortfolioFrontier[[#This Row],[P11 HWM]]-1</f>
        <v>-0.12305200032739938</v>
      </c>
      <c r="AU79" s="28">
        <f>SUMPRODUCT(INDEX(PortfolioRef[[SPY]:[PE]],MATCH(AU$1,PortfolioRef[Reference '#]),0),AssetMonthlyReturns[[#This Row],[SPY]:[PE]])</f>
        <v>-3.8428091680082828E-2</v>
      </c>
      <c r="AV79" s="27">
        <f>IF(ISNUMBER(AV78),AV78*(1+PortfolioFrontier[[#This Row],[P12 Return]]),1+PortfolioFrontier[[#This Row],[P12 Return]])</f>
        <v>1.6219488880126887</v>
      </c>
      <c r="AW79" s="27">
        <f>MAX(AW78,PortfolioFrontier[[#This Row],[P12 Growth]])</f>
        <v>1.8309154354259589</v>
      </c>
      <c r="AX79" s="27">
        <f>PortfolioFrontier[[#This Row],[P12 Growth]]/PortfolioFrontier[[#This Row],[P12 HWM]]-1</f>
        <v>-0.11413227687637828</v>
      </c>
      <c r="AY79" s="28">
        <f>SUMPRODUCT(INDEX(PortfolioRef[[SPY]:[PE]],MATCH(AY$1,PortfolioRef[Reference '#]),0),AssetMonthlyReturns[[#This Row],[SPY]:[PE]])</f>
        <v>-4.1281412799011839E-2</v>
      </c>
      <c r="AZ79" s="27">
        <f>IF(ISNUMBER(AZ78),AZ78*(1+PortfolioFrontier[[#This Row],[P13 Return]]),1+PortfolioFrontier[[#This Row],[P13 Return]])</f>
        <v>1.6427515804804462</v>
      </c>
      <c r="BA79" s="27">
        <f>MAX(BA78,PortfolioFrontier[[#This Row],[P13 Growth]])</f>
        <v>1.8858075751364967</v>
      </c>
      <c r="BB79" s="27">
        <f>PortfolioFrontier[[#This Row],[P13 Growth]]/PortfolioFrontier[[#This Row],[P13 HWM]]-1</f>
        <v>-0.12888695424741725</v>
      </c>
      <c r="BC79" s="28">
        <f>SUMPRODUCT(INDEX(PortfolioRef[[SPY]:[PE]],MATCH(BC$1,PortfolioRef[Reference '#]),0),AssetMonthlyReturns[[#This Row],[SPY]:[PE]])</f>
        <v>-3.9962704626876698E-2</v>
      </c>
      <c r="BD79" s="27">
        <f>IF(ISNUMBER(BD78),BD78*(1+PortfolioFrontier[[#This Row],[P14 Return]]),1+PortfolioFrontier[[#This Row],[P14 Return]])</f>
        <v>1.6294196536092296</v>
      </c>
      <c r="BE79" s="27">
        <f>MAX(BE78,PortfolioFrontier[[#This Row],[P14 Growth]])</f>
        <v>1.8515113734383843</v>
      </c>
      <c r="BF79" s="27">
        <f>PortfolioFrontier[[#This Row],[P14 Growth]]/PortfolioFrontier[[#This Row],[P14 HWM]]-1</f>
        <v>-0.11995158280703133</v>
      </c>
      <c r="BG79" s="28">
        <f>SUMPRODUCT(INDEX(PortfolioRef[[SPY]:[PE]],MATCH(BG$1,PortfolioRef[Reference '#]),0),AssetMonthlyReturns[[#This Row],[SPY]:[PE]])</f>
        <v>-3.8643996454741564E-2</v>
      </c>
      <c r="BH79" s="27">
        <f>IF(ISNUMBER(BH78),BH78*(1+PortfolioFrontier[[#This Row],[P15 Return]]),1+PortfolioFrontier[[#This Row],[P15 Return]])</f>
        <v>1.6153118016306176</v>
      </c>
      <c r="BI79" s="27">
        <f>MAX(BI78,PortfolioFrontier[[#This Row],[P15 Growth]])</f>
        <v>1.8170439473092146</v>
      </c>
      <c r="BJ79" s="27">
        <f>PortfolioFrontier[[#This Row],[P15 Growth]]/PortfolioFrontier[[#This Row],[P15 HWM]]-1</f>
        <v>-0.11102216100900242</v>
      </c>
      <c r="BK79" s="28">
        <f>SUMPRODUCT(INDEX(PortfolioRef[[SPY]:[PE]],MATCH(BK$1,PortfolioRef[Reference '#]),0),AssetMonthlyReturns[[#This Row],[SPY]:[PE]])</f>
        <v>-3.7805665710325752E-2</v>
      </c>
      <c r="BL79" s="27">
        <f>IF(ISNUMBER(BL78),BL78*(1+PortfolioFrontier[[#This Row],[P16 Return]]),1+PortfolioFrontier[[#This Row],[P16 Return]])</f>
        <v>1.5357093439927403</v>
      </c>
      <c r="BM79" s="27">
        <f>MAX(BM78,PortfolioFrontier[[#This Row],[P16 Growth]])</f>
        <v>1.7425494832470445</v>
      </c>
      <c r="BN79" s="27">
        <f>PortfolioFrontier[[#This Row],[P16 Growth]]/PortfolioFrontier[[#This Row],[P16 HWM]]-1</f>
        <v>-0.11869972201241652</v>
      </c>
      <c r="BO79" s="28">
        <f>SUMPRODUCT(INDEX(PortfolioRef[[SPY]:[PE]],MATCH(BO$1,PortfolioRef[Reference '#]),0),AssetMonthlyReturns[[#This Row],[SPY]:[PE]])</f>
        <v>-3.7751693095761131E-2</v>
      </c>
      <c r="BP79" s="27">
        <f>IF(ISNUMBER(BP78),BP78*(1+PortfolioFrontier[[#This Row],[P17 Return]]),1+PortfolioFrontier[[#This Row],[P17 Return]])</f>
        <v>1.5536833497928153</v>
      </c>
      <c r="BQ79" s="27">
        <f>MAX(BQ78,PortfolioFrontier[[#This Row],[P17 Growth]])</f>
        <v>1.7588525148836969</v>
      </c>
      <c r="BR79" s="27">
        <f>PortfolioFrontier[[#This Row],[P17 Growth]]/PortfolioFrontier[[#This Row],[P17 HWM]]-1</f>
        <v>-0.11664944238058994</v>
      </c>
      <c r="BS79" s="28">
        <f>SUMPRODUCT(INDEX(PortfolioRef[[SPY]:[PE]],MATCH(BS$1,PortfolioRef[Reference '#]),0),AssetMonthlyReturns[[#This Row],[SPY]:[PE]])</f>
        <v>-3.9286306042555001E-2</v>
      </c>
      <c r="BT79" s="27">
        <f>IF(ISNUMBER(BT78),BT78*(1+PortfolioFrontier[[#This Row],[P18 Return]]),1+PortfolioFrontier[[#This Row],[P18 Return]])</f>
        <v>1.5613170553507794</v>
      </c>
      <c r="BU79" s="27">
        <f>MAX(BU78,PortfolioFrontier[[#This Row],[P18 Growth]])</f>
        <v>1.7791407441475846</v>
      </c>
      <c r="BV79" s="27">
        <f>PortfolioFrontier[[#This Row],[P18 Growth]]/PortfolioFrontier[[#This Row],[P18 HWM]]-1</f>
        <v>-0.12243196021075231</v>
      </c>
      <c r="BW79" s="28">
        <f>SUMPRODUCT(INDEX(PortfolioRef[[SPY]:[PE]],MATCH(BW$1,PortfolioRef[Reference '#]),0),AssetMonthlyReturns[[#This Row],[SPY]:[PE]])</f>
        <v>-3.7967597870419867E-2</v>
      </c>
      <c r="BX79" s="27">
        <f>IF(ISNUMBER(BX78),BX78*(1+PortfolioFrontier[[#This Row],[P19 Return]]),1+PortfolioFrontier[[#This Row],[P19 Return]])</f>
        <v>1.5474871162037138</v>
      </c>
      <c r="BY79" s="27">
        <f>MAX(BY78,PortfolioFrontier[[#This Row],[P19 Growth]])</f>
        <v>1.7457196180719312</v>
      </c>
      <c r="BZ79" s="27">
        <f>PortfolioFrontier[[#This Row],[P19 Growth]]/PortfolioFrontier[[#This Row],[P19 HWM]]-1</f>
        <v>-0.11355345945367579</v>
      </c>
      <c r="CA79" s="28">
        <f>SUMPRODUCT(INDEX(PortfolioRef[[SPY]:[PE]],MATCH(CA$1,PortfolioRef[Reference '#]),0),AssetMonthlyReturns[[#This Row],[SPY]:[PE]])</f>
        <v>-3.769772048119651E-2</v>
      </c>
      <c r="CB79" s="27">
        <f>IF(ISNUMBER(CB78),CB78*(1+PortfolioFrontier[[#This Row],[P20 Return]]),1+PortfolioFrontier[[#This Row],[P20 Return]])</f>
        <v>1.5715114135453092</v>
      </c>
      <c r="CC79" s="27">
        <f>MAX(CC78,PortfolioFrontier[[#This Row],[P20 Growth]])</f>
        <v>1.7749567522517573</v>
      </c>
      <c r="CD79" s="27">
        <f>PortfolioFrontier[[#This Row],[P20 Growth]]/PortfolioFrontier[[#This Row],[P20 HWM]]-1</f>
        <v>-0.11461988493429598</v>
      </c>
      <c r="CE79" s="28">
        <f>SUMPRODUCT(INDEX(PortfolioRef[[SPY]:[PE]],MATCH(CE$1,PortfolioRef[Reference '#]),0),AssetMonthlyReturns[[#This Row],[SPY]:[PE]])</f>
        <v>-3.923233342799038E-2</v>
      </c>
      <c r="CF79" s="27">
        <f>IF(ISNUMBER(CF78),CF78*(1+PortfolioFrontier[[#This Row],[P21 Return]]),1+PortfolioFrontier[[#This Row],[P21 Return]])</f>
        <v>1.5795500516121623</v>
      </c>
      <c r="CG79" s="27">
        <f>MAX(CG78,PortfolioFrontier[[#This Row],[P21 Growth]])</f>
        <v>1.795743356031652</v>
      </c>
      <c r="CH79" s="27">
        <f>PortfolioFrontier[[#This Row],[P21 Growth]]/PortfolioFrontier[[#This Row],[P21 HWM]]-1</f>
        <v>-0.12039209483544877</v>
      </c>
      <c r="CI79" s="28">
        <f>SUMPRODUCT(INDEX(PortfolioRef[[SPY]:[PE]],MATCH(CI$1,PortfolioRef[Reference '#]),0),AssetMonthlyReturns[[#This Row],[SPY]:[PE]])</f>
        <v>-3.7913625255855239E-2</v>
      </c>
      <c r="CJ79" s="27">
        <f>IF(ISNUMBER(CJ78),CJ78*(1+PortfolioFrontier[[#This Row],[P22 Return]]),1+PortfolioFrontier[[#This Row],[P22 Return]])</f>
        <v>1.5656026423739733</v>
      </c>
      <c r="CK79" s="27">
        <f>MAX(CK78,PortfolioFrontier[[#This Row],[P22 Growth]])</f>
        <v>1.7620784578443487</v>
      </c>
      <c r="CL79" s="27">
        <f>PortfolioFrontier[[#This Row],[P22 Growth]]/PortfolioFrontier[[#This Row],[P22 HWM]]-1</f>
        <v>-0.11150230830852759</v>
      </c>
      <c r="CM79" s="28">
        <f>SUMPRODUCT(INDEX(PortfolioRef[[SPY]:[PE]],MATCH(CM$1,PortfolioRef[Reference '#]),0),AssetMonthlyReturns[[#This Row],[SPY]:[PE]])</f>
        <v>-4.0766946374784251E-2</v>
      </c>
      <c r="CN79" s="27">
        <f>IF(ISNUMBER(CN78),CN78*(1+PortfolioFrontier[[#This Row],[P23 Return]]),1+PortfolioFrontier[[#This Row],[P23 Return]])</f>
        <v>1.5866582722396614</v>
      </c>
      <c r="CO79" s="27">
        <f>MAX(CO78,PortfolioFrontier[[#This Row],[P23 Growth]])</f>
        <v>1.8158151760868648</v>
      </c>
      <c r="CP79" s="27">
        <f>PortfolioFrontier[[#This Row],[P23 Growth]]/PortfolioFrontier[[#This Row],[P23 HWM]]-1</f>
        <v>-0.12620056648113454</v>
      </c>
      <c r="CQ79" s="28">
        <f>SUMPRODUCT(INDEX(PortfolioRef[[SPY]:[PE]],MATCH(CQ$1,PortfolioRef[Reference '#]),0),AssetMonthlyReturns[[#This Row],[SPY]:[PE]])</f>
        <v>-3.9448238202649116E-2</v>
      </c>
      <c r="CR79" s="27">
        <f>IF(ISNUMBER(CR78),CR78*(1+PortfolioFrontier[[#This Row],[P24 Return]]),1+PortfolioFrontier[[#This Row],[P24 Return]])</f>
        <v>1.573302810230425</v>
      </c>
      <c r="CS79" s="27">
        <f>MAX(CS78,PortfolioFrontier[[#This Row],[P24 Growth]])</f>
        <v>1.7823638134718676</v>
      </c>
      <c r="CT79" s="27">
        <f>PortfolioFrontier[[#This Row],[P24 Growth]]/PortfolioFrontier[[#This Row],[P24 HWM]]-1</f>
        <v>-0.11729423682262297</v>
      </c>
      <c r="CU79" s="28">
        <f>SUMPRODUCT(INDEX(PortfolioRef[[SPY]:[PE]],MATCH(CU$1,PortfolioRef[Reference '#]),0),AssetMonthlyReturns[[#This Row],[SPY]:[PE]])</f>
        <v>-3.8129530030513975E-2</v>
      </c>
      <c r="CV79" s="27">
        <f>IF(ISNUMBER(CV78),CV78*(1+PortfolioFrontier[[#This Row],[P25 Return]]),1+PortfolioFrontier[[#This Row],[P25 Return]])</f>
        <v>1.5592081775401203</v>
      </c>
      <c r="CW79" s="27">
        <f>MAX(CW78,PortfolioFrontier[[#This Row],[P25 Growth]])</f>
        <v>1.7487656732120247</v>
      </c>
      <c r="CX79" s="27">
        <f>PortfolioFrontier[[#This Row],[P25 Growth]]/PortfolioFrontier[[#This Row],[P25 HWM]]-1</f>
        <v>-0.10839502317296568</v>
      </c>
      <c r="CY79" s="28">
        <f>SUMPRODUCT(INDEX(PortfolioRef[[SPY]:[PE]],MATCH(CY$1,PortfolioRef[Reference '#]),0),AssetMonthlyReturns[[#This Row],[SPY]:[PE]])</f>
        <v>-3.917836081342576E-2</v>
      </c>
      <c r="CZ79" s="27">
        <f>IF(ISNUMBER(CZ78),CZ78*(1+PortfolioFrontier[[#This Row],[P26 Return]]),1+PortfolioFrontier[[#This Row],[P26 Return]])</f>
        <v>1.5976343280684364</v>
      </c>
      <c r="DA79" s="27">
        <f>MAX(DA78,PortfolioFrontier[[#This Row],[P26 Growth]])</f>
        <v>1.8121428498945955</v>
      </c>
      <c r="DB79" s="27">
        <f>PortfolioFrontier[[#This Row],[P26 Growth]]/PortfolioFrontier[[#This Row],[P26 HWM]]-1</f>
        <v>-0.11837285445716161</v>
      </c>
      <c r="DC79" s="28">
        <f>SUMPRODUCT(INDEX(PortfolioRef[[SPY]:[PE]],MATCH(DC$1,PortfolioRef[Reference '#]),0),AssetMonthlyReturns[[#This Row],[SPY]:[PE]])</f>
        <v>-3.7859652641290618E-2</v>
      </c>
      <c r="DD79" s="27">
        <f>IF(ISNUMBER(DD78),DD78*(1+PortfolioFrontier[[#This Row],[P27 Return]]),1+PortfolioFrontier[[#This Row],[P27 Return]])</f>
        <v>1.5835714255272733</v>
      </c>
      <c r="DE79" s="27">
        <f>MAX(DE78,PortfolioFrontier[[#This Row],[P27 Growth]])</f>
        <v>1.7782387807323972</v>
      </c>
      <c r="DF79" s="27">
        <f>PortfolioFrontier[[#This Row],[P27 Growth]]/PortfolioFrontier[[#This Row],[P27 HWM]]-1</f>
        <v>-0.10947199966303001</v>
      </c>
      <c r="DG79" s="28">
        <f>SUMPRODUCT(INDEX(PortfolioRef[[SPY]:[PE]],MATCH(DG$1,PortfolioRef[Reference '#]),0),AssetMonthlyReturns[[#This Row],[SPY]:[PE]])</f>
        <v>-4.071297376021963E-2</v>
      </c>
      <c r="DH79" s="27">
        <f>IF(ISNUMBER(DH78),DH78*(1+PortfolioFrontier[[#This Row],[P28 Return]]),1+PortfolioFrontier[[#This Row],[P28 Return]])</f>
        <v>1.6051461338826092</v>
      </c>
      <c r="DI79" s="27">
        <f>MAX(DI78,PortfolioFrontier[[#This Row],[P28 Growth]])</f>
        <v>1.8327167417336543</v>
      </c>
      <c r="DJ79" s="27">
        <f>PortfolioFrontier[[#This Row],[P28 Growth]]/PortfolioFrontier[[#This Row],[P28 HWM]]-1</f>
        <v>-0.12417118405093808</v>
      </c>
      <c r="DK79" s="28">
        <f>SUMPRODUCT(INDEX(PortfolioRef[[SPY]:[PE]],MATCH(DK$1,PortfolioRef[Reference '#]),0),AssetMonthlyReturns[[#This Row],[SPY]:[PE]])</f>
        <v>-3.9394265588084489E-2</v>
      </c>
      <c r="DL79" s="27">
        <f>IF(ISNUMBER(DL78),DL78*(1+PortfolioFrontier[[#This Row],[P29 Return]]),1+PortfolioFrontier[[#This Row],[P29 Return]])</f>
        <v>1.5916795003703041</v>
      </c>
      <c r="DM79" s="27">
        <f>MAX(DM78,PortfolioFrontier[[#This Row],[P29 Growth]])</f>
        <v>1.7990232294645383</v>
      </c>
      <c r="DN79" s="27">
        <f>PortfolioFrontier[[#This Row],[P29 Growth]]/PortfolioFrontier[[#This Row],[P29 HWM]]-1</f>
        <v>-0.11525350295557213</v>
      </c>
      <c r="DO79" s="28">
        <f>SUMPRODUCT(INDEX(PortfolioRef[[SPY]:[PE]],MATCH(DO$1,PortfolioRef[Reference '#]),0),AssetMonthlyReturns[[#This Row],[SPY]:[PE]])</f>
        <v>-3.8075557415949354E-2</v>
      </c>
      <c r="DP79" s="27">
        <f>IF(ISNUMBER(DP78),DP78*(1+PortfolioFrontier[[#This Row],[P30 Return]]),1+PortfolioFrontier[[#This Row],[P30 Return]])</f>
        <v>1.5774647506579274</v>
      </c>
      <c r="DQ79" s="27">
        <f>MAX(DQ78,PortfolioFrontier[[#This Row],[P30 Growth]])</f>
        <v>1.7651792866223672</v>
      </c>
      <c r="DR79" s="27">
        <f>PortfolioFrontier[[#This Row],[P30 Growth]]/PortfolioFrontier[[#This Row],[P30 HWM]]-1</f>
        <v>-0.10634304253797788</v>
      </c>
      <c r="DS79" s="28">
        <f>SUMPRODUCT(INDEX(PortfolioRef[[SPY]:[PE]],MATCH(DS$1,PortfolioRef[Reference '#]),0),AssetMonthlyReturns[[#This Row],[SPY]:[PE]])</f>
        <v>-4.22475867070135E-2</v>
      </c>
      <c r="DT79" s="27">
        <f>IF(ISNUMBER(DT78),DT78*(1+PortfolioFrontier[[#This Row],[P31 Return]]),1+PortfolioFrontier[[#This Row],[P31 Return]])</f>
        <v>1.6117031380054949</v>
      </c>
      <c r="DU79" s="27">
        <f>MAX(DU78,PortfolioFrontier[[#This Row],[P31 Growth]])</f>
        <v>1.8525428026208837</v>
      </c>
      <c r="DV79" s="27">
        <f>PortfolioFrontier[[#This Row],[P31 Growth]]/PortfolioFrontier[[#This Row],[P31 HWM]]-1</f>
        <v>-0.13000491231547306</v>
      </c>
      <c r="DW79" s="28">
        <f>SUMPRODUCT(INDEX(PortfolioRef[[SPY]:[PE]],MATCH(DW$1,PortfolioRef[Reference '#]),0),AssetMonthlyReturns[[#This Row],[SPY]:[PE]])</f>
        <v>-4.0928878534878366E-2</v>
      </c>
      <c r="DX79" s="27">
        <f>IF(ISNUMBER(DX78),DX78*(1+PortfolioFrontier[[#This Row],[P32 Return]]),1+PortfolioFrontier[[#This Row],[P32 Return]])</f>
        <v>1.5988504459358439</v>
      </c>
      <c r="DY79" s="27">
        <f>MAX(DY78,PortfolioFrontier[[#This Row],[P32 Growth]])</f>
        <v>1.8190908915066115</v>
      </c>
      <c r="DZ79" s="27">
        <f>PortfolioFrontier[[#This Row],[P32 Growth]]/PortfolioFrontier[[#This Row],[P32 HWM]]-1</f>
        <v>-0.12107171037966091</v>
      </c>
      <c r="EA79" s="28">
        <f>SUMPRODUCT(INDEX(PortfolioRef[[SPY]:[PE]],MATCH(EA$1,PortfolioRef[Reference '#]),0),AssetMonthlyReturns[[#This Row],[SPY]:[PE]])</f>
        <v>-3.9610170362743224E-2</v>
      </c>
      <c r="EB79" s="27">
        <f>IF(ISNUMBER(EB78),EB78*(1+PortfolioFrontier[[#This Row],[P33 Return]]),1+PortfolioFrontier[[#This Row],[P33 Return]])</f>
        <v>1.5852310166175121</v>
      </c>
      <c r="EC79" s="27">
        <f>MAX(EC78,PortfolioFrontier[[#This Row],[P33 Growth]])</f>
        <v>1.7854600976944932</v>
      </c>
      <c r="ED79" s="27">
        <f>PortfolioFrontier[[#This Row],[P33 Growth]]/PortfolioFrontier[[#This Row],[P33 HWM]]-1</f>
        <v>-0.112144248608821</v>
      </c>
      <c r="EE79" s="28">
        <f>SUMPRODUCT(INDEX(PortfolioRef[[SPY]:[PE]],MATCH(EE$1,PortfolioRef[Reference '#]),0),AssetMonthlyReturns[[#This Row],[SPY]:[PE]])</f>
        <v>-3.7291199286098163E-2</v>
      </c>
      <c r="EF79" s="27">
        <f>IF(ISNUMBER(EF78),EF78*(1+PortfolioFrontier[[#This Row],[P34 Return]]),1+PortfolioFrontier[[#This Row],[P34 Return]])</f>
        <v>1.4817380354121454</v>
      </c>
      <c r="EG79" s="27">
        <f>MAX(EG78,PortfolioFrontier[[#This Row],[P34 Growth]])</f>
        <v>1.6763614413137211</v>
      </c>
      <c r="EH79" s="27">
        <f>PortfolioFrontier[[#This Row],[P34 Growth]]/PortfolioFrontier[[#This Row],[P34 HWM]]-1</f>
        <v>-0.11609871302519004</v>
      </c>
      <c r="EI79" s="28">
        <f>SUMPRODUCT(INDEX(PortfolioRef[[SPY]:[PE]],MATCH(EI$1,PortfolioRef[Reference '#]),0),AssetMonthlyReturns[[#This Row],[SPY]:[PE]])</f>
        <v>-3.7237226671533535E-2</v>
      </c>
      <c r="EJ79" s="27">
        <f>IF(ISNUMBER(EJ78),EJ78*(1+PortfolioFrontier[[#This Row],[P35 Return]]),1+PortfolioFrontier[[#This Row],[P35 Return]])</f>
        <v>1.4990945153501889</v>
      </c>
      <c r="EK79" s="27">
        <f>MAX(EK78,PortfolioFrontier[[#This Row],[P35 Growth]])</f>
        <v>1.6920729334369538</v>
      </c>
      <c r="EL79" s="27">
        <f>PortfolioFrontier[[#This Row],[P35 Growth]]/PortfolioFrontier[[#This Row],[P35 HWM]]-1</f>
        <v>-0.11404852253902875</v>
      </c>
      <c r="EM79" s="28">
        <f>SUMPRODUCT(INDEX(PortfolioRef[[SPY]:[PE]],MATCH(EM$1,PortfolioRef[Reference '#]),0),AssetMonthlyReturns[[#This Row],[SPY]:[PE]])</f>
        <v>-3.8771839618327412E-2</v>
      </c>
      <c r="EN79" s="27">
        <f>IF(ISNUMBER(EN78),EN78*(1+PortfolioFrontier[[#This Row],[P36 Return]]),1+PortfolioFrontier[[#This Row],[P36 Return]])</f>
        <v>1.5069267127771264</v>
      </c>
      <c r="EO79" s="27">
        <f>MAX(EO78,PortfolioFrontier[[#This Row],[P36 Growth]])</f>
        <v>1.7120343963250326</v>
      </c>
      <c r="EP79" s="27">
        <f>PortfolioFrontier[[#This Row],[P36 Growth]]/PortfolioFrontier[[#This Row],[P36 HWM]]-1</f>
        <v>-0.1198034829137663</v>
      </c>
      <c r="EQ79" s="28">
        <f>SUMPRODUCT(INDEX(PortfolioRef[[SPY]:[PE]],MATCH(EQ$1,PortfolioRef[Reference '#]),0),AssetMonthlyReturns[[#This Row],[SPY]:[PE]])</f>
        <v>-3.7453131446192271E-2</v>
      </c>
      <c r="ER79" s="27">
        <f>IF(ISNUMBER(ER78),ER78*(1+PortfolioFrontier[[#This Row],[P37 Return]]),1+PortfolioFrontier[[#This Row],[P37 Return]])</f>
        <v>1.4931269212862017</v>
      </c>
      <c r="ES79" s="27">
        <f>MAX(ES78,PortfolioFrontier[[#This Row],[P37 Growth]])</f>
        <v>1.6794736802569215</v>
      </c>
      <c r="ET79" s="27">
        <f>PortfolioFrontier[[#This Row],[P37 Growth]]/PortfolioFrontier[[#This Row],[P37 HWM]]-1</f>
        <v>-0.11095545060415168</v>
      </c>
      <c r="EU79" s="28">
        <f>SUMPRODUCT(INDEX(PortfolioRef[[SPY]:[PE]],MATCH(EU$1,PortfolioRef[Reference '#]),0),AssetMonthlyReturns[[#This Row],[SPY]:[PE]])</f>
        <v>-3.7183254056968915E-2</v>
      </c>
      <c r="EV79" s="27">
        <f>IF(ISNUMBER(EV78),EV78*(1+PortfolioFrontier[[#This Row],[P38 Return]]),1+PortfolioFrontier[[#This Row],[P38 Return]])</f>
        <v>1.5163097449359271</v>
      </c>
      <c r="EW79" s="27">
        <f>MAX(EW78,PortfolioFrontier[[#This Row],[P38 Growth]])</f>
        <v>1.7075928941250238</v>
      </c>
      <c r="EX79" s="27">
        <f>PortfolioFrontier[[#This Row],[P38 Growth]]/PortfolioFrontier[[#This Row],[P38 HWM]]-1</f>
        <v>-0.11201917614391976</v>
      </c>
      <c r="EY79" s="28">
        <f>SUMPRODUCT(INDEX(PortfolioRef[[SPY]:[PE]],MATCH(EY$1,PortfolioRef[Reference '#]),0),AssetMonthlyReturns[[#This Row],[SPY]:[PE]])</f>
        <v>-3.8717867003762785E-2</v>
      </c>
      <c r="EZ79" s="27">
        <f>IF(ISNUMBER(EZ78),EZ78*(1+PortfolioFrontier[[#This Row],[P39 Return]]),1+PortfolioFrontier[[#This Row],[P39 Return]])</f>
        <v>1.5245387370857761</v>
      </c>
      <c r="FA79" s="27">
        <f>MAX(FA78,PortfolioFrontier[[#This Row],[P39 Growth]])</f>
        <v>1.7280388577532122</v>
      </c>
      <c r="FB79" s="27">
        <f>PortfolioFrontier[[#This Row],[P39 Growth]]/PortfolioFrontier[[#This Row],[P39 HWM]]-1</f>
        <v>-0.11776362536894913</v>
      </c>
      <c r="FC79" s="28">
        <f>SUMPRODUCT(INDEX(PortfolioRef[[SPY]:[PE]],MATCH(FC$1,PortfolioRef[Reference '#]),0),AssetMonthlyReturns[[#This Row],[SPY]:[PE]])</f>
        <v>-3.739915883162765E-2</v>
      </c>
      <c r="FD79" s="27">
        <f>IF(ISNUMBER(FD78),FD78*(1+PortfolioFrontier[[#This Row],[P40 Return]]),1+PortfolioFrontier[[#This Row],[P40 Return]])</f>
        <v>1.5106203779072755</v>
      </c>
      <c r="FE79" s="27">
        <f>MAX(FE78,PortfolioFrontier[[#This Row],[P40 Growth]])</f>
        <v>1.6952394830468527</v>
      </c>
      <c r="FF79" s="27">
        <f>PortfolioFrontier[[#This Row],[P40 Growth]]/PortfolioFrontier[[#This Row],[P40 HWM]]-1</f>
        <v>-0.10890443915791848</v>
      </c>
      <c r="FG79" s="28">
        <f>SUMPRODUCT(INDEX(PortfolioRef[[SPY]:[PE]],MATCH(FG$1,PortfolioRef[Reference '#]),0),AssetMonthlyReturns[[#This Row],[SPY]:[PE]])</f>
        <v>-4.0252479950556662E-2</v>
      </c>
      <c r="FH79" s="27">
        <f>IF(ISNUMBER(FH78),FH78*(1+PortfolioFrontier[[#This Row],[P41 Return]]),1+PortfolioFrontier[[#This Row],[P41 Return]])</f>
        <v>1.531875866224816</v>
      </c>
      <c r="FI79" s="27">
        <f>MAX(FI78,PortfolioFrontier[[#This Row],[P41 Growth]])</f>
        <v>1.7478091274239449</v>
      </c>
      <c r="FJ79" s="27">
        <f>PortfolioFrontier[[#This Row],[P41 Growth]]/PortfolioFrontier[[#This Row],[P41 HWM]]-1</f>
        <v>-0.12354510444592304</v>
      </c>
      <c r="FK79" s="28">
        <f>SUMPRODUCT(INDEX(PortfolioRef[[SPY]:[PE]],MATCH(FK$1,PortfolioRef[Reference '#]),0),AssetMonthlyReturns[[#This Row],[SPY]:[PE]])</f>
        <v>-3.8933771778421521E-2</v>
      </c>
      <c r="FL79" s="27">
        <f>IF(ISNUMBER(FL78),FL78*(1+PortfolioFrontier[[#This Row],[P42 Return]]),1+PortfolioFrontier[[#This Row],[P42 Return]])</f>
        <v>1.5185204966233041</v>
      </c>
      <c r="FM79" s="27">
        <f>MAX(FM78,PortfolioFrontier[[#This Row],[P42 Growth]])</f>
        <v>1.7151998522045959</v>
      </c>
      <c r="FN79" s="27">
        <f>PortfolioFrontier[[#This Row],[P42 Growth]]/PortfolioFrontier[[#This Row],[P42 HWM]]-1</f>
        <v>-0.11466847745380471</v>
      </c>
      <c r="FO79" s="28">
        <f>SUMPRODUCT(INDEX(PortfolioRef[[SPY]:[PE]],MATCH(FO$1,PortfolioRef[Reference '#]),0),AssetMonthlyReturns[[#This Row],[SPY]:[PE]])</f>
        <v>-3.7615063606286386E-2</v>
      </c>
      <c r="FP79" s="27">
        <f>IF(ISNUMBER(FP78),FP78*(1+PortfolioFrontier[[#This Row],[P43 Return]]),1+PortfolioFrontier[[#This Row],[P43 Return]])</f>
        <v>1.5044615500155476</v>
      </c>
      <c r="FQ79" s="27">
        <f>MAX(FQ78,PortfolioFrontier[[#This Row],[P43 Growth]])</f>
        <v>1.6824667632825669</v>
      </c>
      <c r="FR79" s="27">
        <f>PortfolioFrontier[[#This Row],[P43 Growth]]/PortfolioFrontier[[#This Row],[P43 HWM]]-1</f>
        <v>-0.10580013653269638</v>
      </c>
      <c r="FS79" s="28">
        <f>SUMPRODUCT(INDEX(PortfolioRef[[SPY]:[PE]],MATCH(FS$1,PortfolioRef[Reference '#]),0),AssetMonthlyReturns[[#This Row],[SPY]:[PE]])</f>
        <v>-3.8663894389198164E-2</v>
      </c>
      <c r="FT79" s="27">
        <f>IF(ISNUMBER(FT78),FT78*(1+PortfolioFrontier[[#This Row],[P44 Return]]),1+PortfolioFrontier[[#This Row],[P44 Return]])</f>
        <v>1.5420067793846679</v>
      </c>
      <c r="FU79" s="27">
        <f>MAX(FU78,PortfolioFrontier[[#This Row],[P44 Growth]])</f>
        <v>1.7438475694471607</v>
      </c>
      <c r="FV79" s="27">
        <f>PortfolioFrontier[[#This Row],[P44 Growth]]/PortfolioFrontier[[#This Row],[P44 HWM]]-1</f>
        <v>-0.1157445143708753</v>
      </c>
      <c r="FW79" s="28">
        <f>SUMPRODUCT(INDEX(PortfolioRef[[SPY]:[PE]],MATCH(FW$1,PortfolioRef[Reference '#]),0),AssetMonthlyReturns[[#This Row],[SPY]:[PE]])</f>
        <v>-3.734518621706303E-2</v>
      </c>
      <c r="FX79" s="27">
        <f>IF(ISNUMBER(FX78),FX78*(1+PortfolioFrontier[[#This Row],[P45 Return]]),1+PortfolioFrontier[[#This Row],[P45 Return]])</f>
        <v>1.5279718073056479</v>
      </c>
      <c r="FY79" s="27">
        <f>MAX(FY78,PortfolioFrontier[[#This Row],[P45 Growth]])</f>
        <v>1.7108140158896465</v>
      </c>
      <c r="FZ79" s="27">
        <f>PortfolioFrontier[[#This Row],[P45 Growth]]/PortfolioFrontier[[#This Row],[P45 HWM]]-1</f>
        <v>-0.10687439247387642</v>
      </c>
      <c r="GA79" s="28">
        <f>SUMPRODUCT(INDEX(PortfolioRef[[SPY]:[PE]],MATCH(GA$1,PortfolioRef[Reference '#]),0),AssetMonthlyReturns[[#This Row],[SPY]:[PE]])</f>
        <v>-4.0198507335992041E-2</v>
      </c>
      <c r="GB79" s="27">
        <f>IF(ISNUMBER(GB78),GB78*(1+PortfolioFrontier[[#This Row],[P46 Return]]),1+PortfolioFrontier[[#This Row],[P46 Return]])</f>
        <v>1.549739625469827</v>
      </c>
      <c r="GC79" s="27">
        <f>MAX(GC78,PortfolioFrontier[[#This Row],[P46 Growth]])</f>
        <v>1.7641061270089846</v>
      </c>
      <c r="GD79" s="27">
        <f>PortfolioFrontier[[#This Row],[P46 Growth]]/PortfolioFrontier[[#This Row],[P46 HWM]]-1</f>
        <v>-0.12151564934622883</v>
      </c>
      <c r="GE79" s="28">
        <f>SUMPRODUCT(INDEX(PortfolioRef[[SPY]:[PE]],MATCH(GE$1,PortfolioRef[Reference '#]),0),AssetMonthlyReturns[[#This Row],[SPY]:[PE]])</f>
        <v>-3.88797991638569E-2</v>
      </c>
      <c r="GF79" s="27">
        <f>IF(ISNUMBER(GF78),GF78*(1+PortfolioFrontier[[#This Row],[P47 Return]]),1+PortfolioFrontier[[#This Row],[P47 Return]])</f>
        <v>1.5362716447683995</v>
      </c>
      <c r="GG79" s="27">
        <f>MAX(GG78,PortfolioFrontier[[#This Row],[P47 Growth]])</f>
        <v>1.7312596087544752</v>
      </c>
      <c r="GH79" s="27">
        <f>PortfolioFrontier[[#This Row],[P47 Growth]]/PortfolioFrontier[[#This Row],[P47 HWM]]-1</f>
        <v>-0.1126278017462421</v>
      </c>
      <c r="GI79" s="28">
        <f>SUMPRODUCT(INDEX(PortfolioRef[[SPY]:[PE]],MATCH(GI$1,PortfolioRef[Reference '#]),0),AssetMonthlyReturns[[#This Row],[SPY]:[PE]])</f>
        <v>-3.7561090991721752E-2</v>
      </c>
      <c r="GJ79" s="27">
        <f>IF(ISNUMBER(GJ78),GJ78*(1+PortfolioFrontier[[#This Row],[P48 Return]]),1+PortfolioFrontier[[#This Row],[P48 Return]])</f>
        <v>1.5220915316990988</v>
      </c>
      <c r="GK79" s="27">
        <f>MAX(GK78,PortfolioFrontier[[#This Row],[P48 Growth]])</f>
        <v>1.6982858835097865</v>
      </c>
      <c r="GL79" s="27">
        <f>PortfolioFrontier[[#This Row],[P48 Growth]]/PortfolioFrontier[[#This Row],[P48 HWM]]-1</f>
        <v>-0.10374834621280205</v>
      </c>
      <c r="GM79" s="28">
        <f>SUMPRODUCT(INDEX(PortfolioRef[[SPY]:[PE]],MATCH(GM$1,PortfolioRef[Reference '#]),0),AssetMonthlyReturns[[#This Row],[SPY]:[PE]])</f>
        <v>-4.1733120282785911E-2</v>
      </c>
      <c r="GN79" s="27">
        <f>IF(ISNUMBER(GN78),GN78*(1+PortfolioFrontier[[#This Row],[P49 Return]]),1+PortfolioFrontier[[#This Row],[P49 Return]])</f>
        <v>1.5565566250844407</v>
      </c>
      <c r="GO79" s="27">
        <f>MAX(GO78,PortfolioFrontier[[#This Row],[P49 Growth]])</f>
        <v>1.7836571071341945</v>
      </c>
      <c r="GP79" s="27">
        <f>PortfolioFrontier[[#This Row],[P49 Growth]]/PortfolioFrontier[[#This Row],[P49 HWM]]-1</f>
        <v>-0.12732294853164716</v>
      </c>
      <c r="GQ79" s="28">
        <f>SUMPRODUCT(INDEX(PortfolioRef[[SPY]:[PE]],MATCH(GQ$1,PortfolioRef[Reference '#]),0),AssetMonthlyReturns[[#This Row],[SPY]:[PE]])</f>
        <v>-4.041441211065077E-2</v>
      </c>
      <c r="GR79" s="27">
        <f>IF(ISNUMBER(GR78),GR78*(1+PortfolioFrontier[[#This Row],[P50 Return]]),1+PortfolioFrontier[[#This Row],[P50 Return]])</f>
        <v>1.5436731783693678</v>
      </c>
      <c r="GS79" s="27">
        <f>MAX(GS78,PortfolioFrontier[[#This Row],[P50 Growth]])</f>
        <v>1.7510275614895194</v>
      </c>
      <c r="GT79" s="27">
        <f>PortfolioFrontier[[#This Row],[P50 Growth]]/PortfolioFrontier[[#This Row],[P50 HWM]]-1</f>
        <v>-0.11841868607925554</v>
      </c>
      <c r="GU79" s="28">
        <f>SUMPRODUCT(INDEX(PortfolioRef[[SPY]:[PE]],MATCH(GU$1,PortfolioRef[Reference '#]),0),AssetMonthlyReturns[[#This Row],[SPY]:[PE]])</f>
        <v>-3.9095703938515636E-2</v>
      </c>
      <c r="GV79" s="27">
        <f>IF(ISNUMBER(GV78),GV78*(1+PortfolioFrontier[[#This Row],[P51 Return]]),1+PortfolioFrontier[[#This Row],[P51 Return]])</f>
        <v>1.5300592115878238</v>
      </c>
      <c r="GW79" s="27">
        <f>MAX(GW78,PortfolioFrontier[[#This Row],[P51 Growth]])</f>
        <v>1.7182435242855478</v>
      </c>
      <c r="GX79" s="27">
        <f>PortfolioFrontier[[#This Row],[P51 Growth]]/PortfolioFrontier[[#This Row],[P51 HWM]]-1</f>
        <v>-0.1095213280527112</v>
      </c>
      <c r="GY79" s="28">
        <f>SUMPRODUCT(INDEX(PortfolioRef[[SPY]:[PE]],MATCH(GY$1,PortfolioRef[Reference '#]),0),AssetMonthlyReturns[[#This Row],[SPY]:[PE]])</f>
        <v>-4.014453472142742E-2</v>
      </c>
      <c r="GZ79" s="27">
        <f>IF(ISNUMBER(GZ78),GZ78*(1+PortfolioFrontier[[#This Row],[P52 Return]]),1+PortfolioFrontier[[#This Row],[P52 Return]])</f>
        <v>1.5674566836272956</v>
      </c>
      <c r="HA79" s="27">
        <f>MAX(HA78,PortfolioFrontier[[#This Row],[P52 Growth]])</f>
        <v>1.7802031417261526</v>
      </c>
      <c r="HB79" s="27">
        <f>PortfolioFrontier[[#This Row],[P52 Growth]]/PortfolioFrontier[[#This Row],[P52 HWM]]-1</f>
        <v>-0.11950684341146023</v>
      </c>
      <c r="HC79" s="28">
        <f>SUMPRODUCT(INDEX(PortfolioRef[[SPY]:[PE]],MATCH(HC$1,PortfolioRef[Reference '#]),0),AssetMonthlyReturns[[#This Row],[SPY]:[PE]])</f>
        <v>-3.8825826549292279E-2</v>
      </c>
      <c r="HD79" s="27">
        <f>IF(ISNUMBER(HD78),HD78*(1+PortfolioFrontier[[#This Row],[P53 Return]]),1+PortfolioFrontier[[#This Row],[P53 Return]])</f>
        <v>1.5538780169230255</v>
      </c>
      <c r="HE79" s="27">
        <f>MAX(HE78,PortfolioFrontier[[#This Row],[P53 Growth]])</f>
        <v>1.7471238825308339</v>
      </c>
      <c r="HF79" s="27">
        <f>PortfolioFrontier[[#This Row],[P53 Growth]]/PortfolioFrontier[[#This Row],[P53 HWM]]-1</f>
        <v>-0.11060799267873211</v>
      </c>
      <c r="HG79" s="28">
        <f>SUMPRODUCT(INDEX(PortfolioRef[[SPY]:[PE]],MATCH(HG$1,PortfolioRef[Reference '#]),0),AssetMonthlyReturns[[#This Row],[SPY]:[PE]])</f>
        <v>-3.7507118377157131E-2</v>
      </c>
      <c r="HH79" s="27">
        <f>IF(ISNUMBER(HH78),HH78*(1+PortfolioFrontier[[#This Row],[P54 Return]]),1+PortfolioFrontier[[#This Row],[P54 Return]])</f>
        <v>1.5395787193359725</v>
      </c>
      <c r="HI79" s="27">
        <f>MAX(HI78,PortfolioFrontier[[#This Row],[P54 Growth]])</f>
        <v>1.7139140104060526</v>
      </c>
      <c r="HJ79" s="27">
        <f>PortfolioFrontier[[#This Row],[P54 Growth]]/PortfolioFrontier[[#This Row],[P54 HWM]]-1</f>
        <v>-0.10171764161539087</v>
      </c>
      <c r="HK79" s="28">
        <f>SUMPRODUCT(INDEX(PortfolioRef[[SPY]:[PE]],MATCH(HK$1,PortfolioRef[Reference '#]),0),AssetMonthlyReturns[[#This Row],[SPY]:[PE]])</f>
        <v>-4.1679147668221291E-2</v>
      </c>
      <c r="HL79" s="27">
        <f>IF(ISNUMBER(HL78),HL78*(1+PortfolioFrontier[[#This Row],[P55 Return]]),1+PortfolioFrontier[[#This Row],[P55 Return]])</f>
        <v>1.5746680064599212</v>
      </c>
      <c r="HM79" s="27">
        <f>MAX(HM78,PortfolioFrontier[[#This Row],[P55 Growth]])</f>
        <v>1.8002459621778737</v>
      </c>
      <c r="HN79" s="27">
        <f>PortfolioFrontier[[#This Row],[P55 Growth]]/PortfolioFrontier[[#This Row],[P55 HWM]]-1</f>
        <v>-0.12530396426778057</v>
      </c>
      <c r="HO79" s="28">
        <f>SUMPRODUCT(INDEX(PortfolioRef[[SPY]:[PE]],MATCH(HO$1,PortfolioRef[Reference '#]),0),AssetMonthlyReturns[[#This Row],[SPY]:[PE]])</f>
        <v>-4.0360439496086149E-2</v>
      </c>
      <c r="HP79" s="27">
        <f>IF(ISNUMBER(HP78),HP78*(1+PortfolioFrontier[[#This Row],[P56 Return]]),1+PortfolioFrontier[[#This Row],[P56 Return]])</f>
        <v>1.5616781840705272</v>
      </c>
      <c r="HQ79" s="27">
        <f>MAX(HQ78,PortfolioFrontier[[#This Row],[P56 Growth]])</f>
        <v>1.767380839986993</v>
      </c>
      <c r="HR79" s="27">
        <f>PortfolioFrontier[[#This Row],[P56 Growth]]/PortfolioFrontier[[#This Row],[P56 HWM]]-1</f>
        <v>-0.11638841570670178</v>
      </c>
      <c r="HS79" s="28">
        <f>SUMPRODUCT(INDEX(PortfolioRef[[SPY]:[PE]],MATCH(HS$1,PortfolioRef[Reference '#]),0),AssetMonthlyReturns[[#This Row],[SPY]:[PE]])</f>
        <v>-3.9041731323951001E-2</v>
      </c>
      <c r="HT79" s="27">
        <f>IF(ISNUMBER(HT78),HT78*(1+PortfolioFrontier[[#This Row],[P57 Return]]),1+PortfolioFrontier[[#This Row],[P57 Return]])</f>
        <v>1.5479490266602813</v>
      </c>
      <c r="HU79" s="27">
        <f>MAX(HU78,PortfolioFrontier[[#This Row],[P57 Growth]])</f>
        <v>1.7343575628436463</v>
      </c>
      <c r="HV79" s="27">
        <f>PortfolioFrontier[[#This Row],[P57 Growth]]/PortfolioFrontier[[#This Row],[P57 HWM]]-1</f>
        <v>-0.10747987622444488</v>
      </c>
      <c r="HW79" s="28">
        <f>SUMPRODUCT(INDEX(PortfolioRef[[SPY]:[PE]],MATCH(HW$1,PortfolioRef[Reference '#]),0),AssetMonthlyReturns[[#This Row],[SPY]:[PE]])</f>
        <v>-4.3213760615015161E-2</v>
      </c>
      <c r="HX79" s="27">
        <f>IF(ISNUMBER(HX78),HX78*(1+PortfolioFrontier[[#This Row],[P58 Return]]),1+PortfolioFrontier[[#This Row],[P58 Return]])</f>
        <v>1.5809396900818444</v>
      </c>
      <c r="HY79" s="27">
        <f>MAX(HY78,PortfolioFrontier[[#This Row],[P58 Growth]])</f>
        <v>1.8195487359549802</v>
      </c>
      <c r="HZ79" s="27">
        <f>PortfolioFrontier[[#This Row],[P58 Growth]]/PortfolioFrontier[[#This Row],[P58 HWM]]-1</f>
        <v>-0.13113638626882018</v>
      </c>
      <c r="IA79" s="28">
        <f>SUMPRODUCT(INDEX(PortfolioRef[[SPY]:[PE]],MATCH(IA$1,PortfolioRef[Reference '#]),0),AssetMonthlyReturns[[#This Row],[SPY]:[PE]])</f>
        <v>-4.1895052442880019E-2</v>
      </c>
      <c r="IB79" s="27">
        <f>IF(ISNUMBER(IB78),IB78*(1+PortfolioFrontier[[#This Row],[P59 Return]]),1+PortfolioFrontier[[#This Row],[P59 Return]])</f>
        <v>1.5685558798495629</v>
      </c>
      <c r="IC79" s="27">
        <f>MAX(IC78,PortfolioFrontier[[#This Row],[P59 Growth]])</f>
        <v>1.7869282396294996</v>
      </c>
      <c r="ID79" s="27">
        <f>PortfolioFrontier[[#This Row],[P59 Growth]]/PortfolioFrontier[[#This Row],[P59 HWM]]-1</f>
        <v>-0.12220544448120307</v>
      </c>
      <c r="IE79" s="28">
        <f>SUMPRODUCT(INDEX(PortfolioRef[[SPY]:[PE]],MATCH(IE$1,PortfolioRef[Reference '#]),0),AssetMonthlyReturns[[#This Row],[SPY]:[PE]])</f>
        <v>-4.0576344270744885E-2</v>
      </c>
      <c r="IF79" s="27">
        <f>IF(ISNUMBER(IF78),IF78*(1+PortfolioFrontier[[#This Row],[P60 Return]]),1+PortfolioFrontier[[#This Row],[P60 Return]])</f>
        <v>1.5554146184677897</v>
      </c>
      <c r="IG79" s="27">
        <f>MAX(IG78,PortfolioFrontier[[#This Row],[P60 Growth]])</f>
        <v>1.7541215677111524</v>
      </c>
      <c r="IH79" s="27">
        <f>PortfolioFrontier[[#This Row],[P60 Growth]]/PortfolioFrontier[[#This Row],[P60 HWM]]-1</f>
        <v>-0.11328003309522239</v>
      </c>
      <c r="II79" s="28">
        <f>SUMPRODUCT(INDEX(PortfolioRef[[SPY]:[PE]],MATCH(II$1,PortfolioRef[Reference '#]),0),AssetMonthlyReturns[[#This Row],[SPY]:[PE]])</f>
        <v>-3.6776732861870574E-2</v>
      </c>
      <c r="IJ79" s="27">
        <f>IF(ISNUMBER(IJ78),IJ78*(1+PortfolioFrontier[[#This Row],[P61 Return]]),1+PortfolioFrontier[[#This Row],[P61 Return]])</f>
        <v>1.4291021726014328</v>
      </c>
      <c r="IK79" s="27">
        <f>MAX(IK78,PortfolioFrontier[[#This Row],[P61 Growth]])</f>
        <v>1.6121264956964798</v>
      </c>
      <c r="IL79" s="27">
        <f>PortfolioFrontier[[#This Row],[P61 Growth]]/PortfolioFrontier[[#This Row],[P61 HWM]]-1</f>
        <v>-0.1135297531450693</v>
      </c>
      <c r="IM79" s="28">
        <f>SUMPRODUCT(INDEX(PortfolioRef[[SPY]:[PE]],MATCH(IM$1,PortfolioRef[Reference '#]),0),AssetMonthlyReturns[[#This Row],[SPY]:[PE]])</f>
        <v>-3.6722760247305947E-2</v>
      </c>
      <c r="IN79" s="27">
        <f>IF(ISNUMBER(IN78),IN78*(1+PortfolioFrontier[[#This Row],[P62 Return]]),1+PortfolioFrontier[[#This Row],[P62 Return]])</f>
        <v>1.4458561337978799</v>
      </c>
      <c r="IO79" s="27">
        <f>MAX(IO78,PortfolioFrontier[[#This Row],[P62 Growth]])</f>
        <v>1.6272630311124299</v>
      </c>
      <c r="IP79" s="27">
        <f>PortfolioFrontier[[#This Row],[P62 Growth]]/PortfolioFrontier[[#This Row],[P62 HWM]]-1</f>
        <v>-0.11147976316437092</v>
      </c>
      <c r="IQ79" s="28">
        <f>SUMPRODUCT(INDEX(PortfolioRef[[SPY]:[PE]],MATCH(IQ$1,PortfolioRef[Reference '#]),0),AssetMonthlyReturns[[#This Row],[SPY]:[PE]])</f>
        <v>-3.8257373194099824E-2</v>
      </c>
      <c r="IR79" s="27">
        <f>IF(ISNUMBER(IR78),IR78*(1+PortfolioFrontier[[#This Row],[P63 Return]]),1+PortfolioFrontier[[#This Row],[P63 Return]])</f>
        <v>1.4538590385690513</v>
      </c>
      <c r="IS79" s="27">
        <f>MAX(IS78,PortfolioFrontier[[#This Row],[P63 Growth]])</f>
        <v>1.646884909102555</v>
      </c>
      <c r="IT79" s="27">
        <f>PortfolioFrontier[[#This Row],[P63 Growth]]/PortfolioFrontier[[#This Row],[P63 HWM]]-1</f>
        <v>-0.11720665449456957</v>
      </c>
      <c r="IU79" s="28">
        <f>SUMPRODUCT(INDEX(PortfolioRef[[SPY]:[PE]],MATCH(IU$1,PortfolioRef[Reference '#]),0),AssetMonthlyReturns[[#This Row],[SPY]:[PE]])</f>
        <v>-3.6938665021964683E-2</v>
      </c>
      <c r="IV79" s="27">
        <f>IF(ISNUMBER(IV78),IV78*(1+PortfolioFrontier[[#This Row],[P64 Return]]),1+PortfolioFrontier[[#This Row],[P64 Return]])</f>
        <v>1.4401104922209982</v>
      </c>
      <c r="IW79" s="27">
        <f>MAX(IW78,PortfolioFrontier[[#This Row],[P64 Growth]])</f>
        <v>1.6151793879801097</v>
      </c>
      <c r="IX79" s="27">
        <f>PortfolioFrontier[[#This Row],[P64 Growth]]/PortfolioFrontier[[#This Row],[P64 HWM]]-1</f>
        <v>-0.10838975352332036</v>
      </c>
      <c r="IY79" s="28">
        <f>SUMPRODUCT(INDEX(PortfolioRef[[SPY]:[PE]],MATCH(IY$1,PortfolioRef[Reference '#]),0),AssetMonthlyReturns[[#This Row],[SPY]:[PE]])</f>
        <v>-3.6668787632741326E-2</v>
      </c>
      <c r="IZ79" s="27">
        <f>IF(ISNUMBER(IZ78),IZ78*(1+PortfolioFrontier[[#This Row],[P65 Return]]),1+PortfolioFrontier[[#This Row],[P65 Return]])</f>
        <v>1.4624734389332814</v>
      </c>
      <c r="JA79" s="27">
        <f>MAX(JA78,PortfolioFrontier[[#This Row],[P65 Growth]])</f>
        <v>1.6422150953060746</v>
      </c>
      <c r="JB79" s="27">
        <f>PortfolioFrontier[[#This Row],[P65 Growth]]/PortfolioFrontier[[#This Row],[P65 HWM]]-1</f>
        <v>-0.10945073936206451</v>
      </c>
      <c r="JC79" s="28">
        <f>SUMPRODUCT(INDEX(PortfolioRef[[SPY]:[PE]],MATCH(JC$1,PortfolioRef[Reference '#]),0),AssetMonthlyReturns[[#This Row],[SPY]:[PE]])</f>
        <v>-3.8203400579535196E-2</v>
      </c>
      <c r="JD79" s="27">
        <f>IF(ISNUMBER(JD78),JD78*(1+PortfolioFrontier[[#This Row],[P66 Return]]),1+PortfolioFrontier[[#This Row],[P66 Return]])</f>
        <v>1.4708649272399461</v>
      </c>
      <c r="JE79" s="27">
        <f>MAX(JE78,PortfolioFrontier[[#This Row],[P66 Growth]])</f>
        <v>1.6623077877531292</v>
      </c>
      <c r="JF79" s="27">
        <f>PortfolioFrontier[[#This Row],[P66 Growth]]/PortfolioFrontier[[#This Row],[P66 HWM]]-1</f>
        <v>-0.11516691549159386</v>
      </c>
      <c r="JG79" s="28">
        <f>SUMPRODUCT(INDEX(PortfolioRef[[SPY]:[PE]],MATCH(JG$1,PortfolioRef[Reference '#]),0),AssetMonthlyReturns[[#This Row],[SPY]:[PE]])</f>
        <v>-3.6884692407400062E-2</v>
      </c>
      <c r="JH79" s="27">
        <f>IF(ISNUMBER(JH78),JH78*(1+PortfolioFrontier[[#This Row],[P67 Return]]),1+PortfolioFrontier[[#This Row],[P67 Return]])</f>
        <v>1.4569969817158017</v>
      </c>
      <c r="JI79" s="27">
        <f>MAX(JI78,PortfolioFrontier[[#This Row],[P67 Growth]])</f>
        <v>1.6303687537292939</v>
      </c>
      <c r="JJ79" s="27">
        <f>PortfolioFrontier[[#This Row],[P67 Growth]]/PortfolioFrontier[[#This Row],[P67 HWM]]-1</f>
        <v>-0.10633899332094221</v>
      </c>
      <c r="JK79" s="28">
        <f>SUMPRODUCT(INDEX(PortfolioRef[[SPY]:[PE]],MATCH(JK$1,PortfolioRef[Reference '#]),0),AssetMonthlyReturns[[#This Row],[SPY]:[PE]])</f>
        <v>-3.9738013526329073E-2</v>
      </c>
      <c r="JL79" s="27">
        <f>IF(ISNUMBER(JL78),JL78*(1+PortfolioFrontier[[#This Row],[P68 Return]]),1+PortfolioFrontier[[#This Row],[P68 Return]])</f>
        <v>1.4784020633267403</v>
      </c>
      <c r="JM79" s="27">
        <f>MAX(JM78,PortfolioFrontier[[#This Row],[P68 Growth]])</f>
        <v>1.6817622542850994</v>
      </c>
      <c r="JN79" s="27">
        <f>PortfolioFrontier[[#This Row],[P68 Growth]]/PortfolioFrontier[[#This Row],[P68 HWM]]-1</f>
        <v>-0.120920891428144</v>
      </c>
      <c r="JO79" s="28">
        <f>SUMPRODUCT(INDEX(PortfolioRef[[SPY]:[PE]],MATCH(JO$1,PortfolioRef[Reference '#]),0),AssetMonthlyReturns[[#This Row],[SPY]:[PE]])</f>
        <v>-3.8419305354193932E-2</v>
      </c>
      <c r="JP79" s="27">
        <f>IF(ISNUMBER(JP78),JP78*(1+PortfolioFrontier[[#This Row],[P69 Return]]),1+PortfolioFrontier[[#This Row],[P69 Return]])</f>
        <v>1.4650690589177289</v>
      </c>
      <c r="JQ79" s="27">
        <f>MAX(JQ78,PortfolioFrontier[[#This Row],[P69 Growth]])</f>
        <v>1.6499912107010917</v>
      </c>
      <c r="JR79" s="27">
        <f>PortfolioFrontier[[#This Row],[P69 Growth]]/PortfolioFrontier[[#This Row],[P69 HWM]]-1</f>
        <v>-0.11207462838834648</v>
      </c>
      <c r="JS79" s="28">
        <f>SUMPRODUCT(INDEX(PortfolioRef[[SPY]:[PE]],MATCH(JS$1,PortfolioRef[Reference '#]),0),AssetMonthlyReturns[[#This Row],[SPY]:[PE]])</f>
        <v>-3.7100597182058798E-2</v>
      </c>
      <c r="JT79" s="27">
        <f>IF(ISNUMBER(JT78),JT78*(1+PortfolioFrontier[[#This Row],[P70 Return]]),1+PortfolioFrontier[[#This Row],[P70 Return]])</f>
        <v>1.4510669199630895</v>
      </c>
      <c r="JU79" s="27">
        <f>MAX(JU78,PortfolioFrontier[[#This Row],[P70 Growth]])</f>
        <v>1.6181178918603722</v>
      </c>
      <c r="JV79" s="27">
        <f>PortfolioFrontier[[#This Row],[P70 Growth]]/PortfolioFrontier[[#This Row],[P70 HWM]]-1</f>
        <v>-0.10323782509148449</v>
      </c>
      <c r="JW79" s="28">
        <f>SUMPRODUCT(INDEX(PortfolioRef[[SPY]:[PE]],MATCH(JW$1,PortfolioRef[Reference '#]),0),AssetMonthlyReturns[[#This Row],[SPY]:[PE]])</f>
        <v>-3.8149427964970575E-2</v>
      </c>
      <c r="JX79" s="27">
        <f>IF(ISNUMBER(JX78),JX78*(1+PortfolioFrontier[[#This Row],[P71 Return]]),1+PortfolioFrontier[[#This Row],[P71 Return]])</f>
        <v>1.4877314753772048</v>
      </c>
      <c r="JY79" s="27">
        <f>MAX(JY78,PortfolioFrontier[[#This Row],[P71 Growth]])</f>
        <v>1.6775420819631024</v>
      </c>
      <c r="JZ79" s="27">
        <f>PortfolioFrontier[[#This Row],[P71 Growth]]/PortfolioFrontier[[#This Row],[P71 HWM]]-1</f>
        <v>-0.11314804476545615</v>
      </c>
      <c r="KA79" s="28">
        <f>SUMPRODUCT(INDEX(PortfolioRef[[SPY]:[PE]],MATCH(KA$1,PortfolioRef[Reference '#]),0),AssetMonthlyReturns[[#This Row],[SPY]:[PE]])</f>
        <v>-3.6830719792835441E-2</v>
      </c>
      <c r="KB79" s="27">
        <f>IF(ISNUMBER(KB78),KB78*(1+PortfolioFrontier[[#This Row],[P72 Return]]),1+PortfolioFrontier[[#This Row],[P72 Return]])</f>
        <v>1.4737460619757412</v>
      </c>
      <c r="KC79" s="27">
        <f>MAX(KC78,PortfolioFrontier[[#This Row],[P72 Growth]])</f>
        <v>1.6453738946019467</v>
      </c>
      <c r="KD79" s="27">
        <f>PortfolioFrontier[[#This Row],[P72 Growth]]/PortfolioFrontier[[#This Row],[P72 HWM]]-1</f>
        <v>-0.10430932032486528</v>
      </c>
      <c r="KE79" s="28">
        <f>SUMPRODUCT(INDEX(PortfolioRef[[SPY]:[PE]],MATCH(KE$1,PortfolioRef[Reference '#]),0),AssetMonthlyReturns[[#This Row],[SPY]:[PE]])</f>
        <v>-3.9684040911764452E-2</v>
      </c>
      <c r="KF79" s="27">
        <f>IF(ISNUMBER(KF78),KF78*(1+PortfolioFrontier[[#This Row],[P73 Return]]),1+PortfolioFrontier[[#This Row],[P73 Return]])</f>
        <v>1.495656372422193</v>
      </c>
      <c r="KG79" s="27">
        <f>MAX(KG78,PortfolioFrontier[[#This Row],[P73 Growth]])</f>
        <v>1.6974712283523181</v>
      </c>
      <c r="KH79" s="27">
        <f>PortfolioFrontier[[#This Row],[P73 Growth]]/PortfolioFrontier[[#This Row],[P73 HWM]]-1</f>
        <v>-0.11889147371647679</v>
      </c>
      <c r="KI79" s="28">
        <f>SUMPRODUCT(INDEX(PortfolioRef[[SPY]:[PE]],MATCH(KI$1,PortfolioRef[Reference '#]),0),AssetMonthlyReturns[[#This Row],[SPY]:[PE]])</f>
        <v>-3.8365332739629311E-2</v>
      </c>
      <c r="KJ79" s="27">
        <f>IF(ISNUMBER(KJ78),KJ78*(1+PortfolioFrontier[[#This Row],[P74 Return]]),1+PortfolioFrontier[[#This Row],[P74 Return]])</f>
        <v>1.4822095952681522</v>
      </c>
      <c r="KK79" s="27">
        <f>MAX(KK78,PortfolioFrontier[[#This Row],[P74 Growth]])</f>
        <v>1.6654678920548054</v>
      </c>
      <c r="KL79" s="27">
        <f>PortfolioFrontier[[#This Row],[P74 Growth]]/PortfolioFrontier[[#This Row],[P74 HWM]]-1</f>
        <v>-0.11003412173893934</v>
      </c>
      <c r="KM79" s="28">
        <f>SUMPRODUCT(INDEX(PortfolioRef[[SPY]:[PE]],MATCH(KM$1,PortfolioRef[Reference '#]),0),AssetMonthlyReturns[[#This Row],[SPY]:[PE]])</f>
        <v>-3.7046624567494163E-2</v>
      </c>
      <c r="KN79" s="27">
        <f>IF(ISNUMBER(KN78),KN78*(1+PortfolioFrontier[[#This Row],[P75 Return]]),1+PortfolioFrontier[[#This Row],[P75 Return]])</f>
        <v>1.4680855071057386</v>
      </c>
      <c r="KO79" s="27">
        <f>MAX(KO78,PortfolioFrontier[[#This Row],[P75 Growth]])</f>
        <v>1.6333591346427441</v>
      </c>
      <c r="KP79" s="27">
        <f>PortfolioFrontier[[#This Row],[P75 Growth]]/PortfolioFrontier[[#This Row],[P75 HWM]]-1</f>
        <v>-0.10118633681450273</v>
      </c>
      <c r="KQ79" s="28">
        <f>SUMPRODUCT(INDEX(PortfolioRef[[SPY]:[PE]],MATCH(KQ$1,PortfolioRef[Reference '#]),0),AssetMonthlyReturns[[#This Row],[SPY]:[PE]])</f>
        <v>-4.1218653858558323E-2</v>
      </c>
      <c r="KR79" s="27">
        <f>IF(ISNUMBER(KR78),KR78*(1+PortfolioFrontier[[#This Row],[P76 Return]]),1+PortfolioFrontier[[#This Row],[P76 Return]])</f>
        <v>1.5027033535497443</v>
      </c>
      <c r="KS79" s="27">
        <f>MAX(KS78,PortfolioFrontier[[#This Row],[P76 Growth]])</f>
        <v>1.7167314071133803</v>
      </c>
      <c r="KT79" s="27">
        <f>PortfolioFrontier[[#This Row],[P76 Growth]]/PortfolioFrontier[[#This Row],[P76 HWM]]-1</f>
        <v>-0.12467183432236273</v>
      </c>
      <c r="KU79" s="28">
        <f>SUMPRODUCT(INDEX(PortfolioRef[[SPY]:[PE]],MATCH(KU$1,PortfolioRef[Reference '#]),0),AssetMonthlyReturns[[#This Row],[SPY]:[PE]])</f>
        <v>-3.9899945686423181E-2</v>
      </c>
      <c r="KV79" s="27">
        <f>IF(ISNUMBER(KV78),KV78*(1+PortfolioFrontier[[#This Row],[P77 Return]]),1+PortfolioFrontier[[#This Row],[P77 Return]])</f>
        <v>1.4898125999257184</v>
      </c>
      <c r="KW79" s="27">
        <f>MAX(KW78,PortfolioFrontier[[#This Row],[P77 Growth]])</f>
        <v>1.6849217747429484</v>
      </c>
      <c r="KX79" s="27">
        <f>PortfolioFrontier[[#This Row],[P77 Growth]]/PortfolioFrontier[[#This Row],[P77 HWM]]-1</f>
        <v>-0.11579717096777142</v>
      </c>
      <c r="KY79" s="28">
        <f>SUMPRODUCT(INDEX(PortfolioRef[[SPY]:[PE]],MATCH(KY$1,PortfolioRef[Reference '#]),0),AssetMonthlyReturns[[#This Row],[SPY]:[PE]])</f>
        <v>-3.8581237514288047E-2</v>
      </c>
      <c r="KZ79" s="27">
        <f>IF(ISNUMBER(KZ78),KZ78*(1+PortfolioFrontier[[#This Row],[P78 Return]]),1+PortfolioFrontier[[#This Row],[P78 Return]])</f>
        <v>1.4762264012286961</v>
      </c>
      <c r="LA79" s="27">
        <f>MAX(LA78,PortfolioFrontier[[#This Row],[P78 Growth]])</f>
        <v>1.6529805725839544</v>
      </c>
      <c r="LB79" s="27">
        <f>PortfolioFrontier[[#This Row],[P78 Growth]]/PortfolioFrontier[[#This Row],[P78 HWM]]-1</f>
        <v>-0.10693058000007494</v>
      </c>
      <c r="LC79" s="28">
        <f>SUMPRODUCT(INDEX(PortfolioRef[[SPY]:[PE]],MATCH(LC$1,PortfolioRef[Reference '#]),0),AssetMonthlyReturns[[#This Row],[SPY]:[PE]])</f>
        <v>-3.9630068297199832E-2</v>
      </c>
      <c r="LD79" s="27">
        <f>IF(ISNUMBER(LD78),LD78*(1+PortfolioFrontier[[#This Row],[P79 Return]]),1+PortfolioFrontier[[#This Row],[P79 Return]])</f>
        <v>1.5127686668740825</v>
      </c>
      <c r="LE79" s="27">
        <f>MAX(LE78,PortfolioFrontier[[#This Row],[P79 Growth]])</f>
        <v>1.7129874860839263</v>
      </c>
      <c r="LF79" s="27">
        <f>PortfolioFrontier[[#This Row],[P79 Growth]]/PortfolioFrontier[[#This Row],[P79 HWM]]-1</f>
        <v>-0.11688282654508209</v>
      </c>
      <c r="LG79" s="28">
        <f>SUMPRODUCT(INDEX(PortfolioRef[[SPY]:[PE]],MATCH(LG$1,PortfolioRef[Reference '#]),0),AssetMonthlyReturns[[#This Row],[SPY]:[PE]])</f>
        <v>-3.831136012506469E-2</v>
      </c>
      <c r="LH79" s="27">
        <f>IF(ISNUMBER(LH78),LH78*(1+PortfolioFrontier[[#This Row],[P80 Return]]),1+PortfolioFrontier[[#This Row],[P80 Return]])</f>
        <v>1.4992100210816486</v>
      </c>
      <c r="LI79" s="27">
        <f>MAX(LI78,PortfolioFrontier[[#This Row],[P80 Growth]])</f>
        <v>1.6807562405101484</v>
      </c>
      <c r="LJ79" s="27">
        <f>PortfolioFrontier[[#This Row],[P80 Growth]]/PortfolioFrontier[[#This Row],[P80 HWM]]-1</f>
        <v>-0.10801460381512329</v>
      </c>
      <c r="LK79" s="28">
        <f>SUMPRODUCT(INDEX(PortfolioRef[[SPY]:[PE]],MATCH(LK$1,PortfolioRef[Reference '#]),0),AssetMonthlyReturns[[#This Row],[SPY]:[PE]])</f>
        <v>-3.6992651952929542E-2</v>
      </c>
      <c r="LL79" s="27">
        <f>IF(ISNUMBER(LL78),LL78*(1+PortfolioFrontier[[#This Row],[P81 Return]]),1+PortfolioFrontier[[#This Row],[P81 Return]])</f>
        <v>1.48496594153418</v>
      </c>
      <c r="LM79" s="27">
        <f>MAX(LM78,PortfolioFrontier[[#This Row],[P81 Growth]])</f>
        <v>1.648416413491208</v>
      </c>
      <c r="LN79" s="27">
        <f>PortfolioFrontier[[#This Row],[P81 Growth]]/PortfolioFrontier[[#This Row],[P81 HWM]]-1</f>
        <v>-9.9156057061366876E-2</v>
      </c>
      <c r="LO79" s="28">
        <f>SUMPRODUCT(INDEX(PortfolioRef[[SPY]:[PE]],MATCH(LO$1,PortfolioRef[Reference '#]),0),AssetMonthlyReturns[[#This Row],[SPY]:[PE]])</f>
        <v>-4.1164681243993702E-2</v>
      </c>
      <c r="LP79" s="27">
        <f>IF(ISNUMBER(LP78),LP78*(1+PortfolioFrontier[[#This Row],[P82 Return]]),1+PortfolioFrontier[[#This Row],[P82 Return]])</f>
        <v>1.5202022814790639</v>
      </c>
      <c r="LQ79" s="27">
        <f>MAX(LQ78,PortfolioFrontier[[#This Row],[P82 Growth]])</f>
        <v>1.7327259878391794</v>
      </c>
      <c r="LR79" s="27">
        <f>PortfolioFrontier[[#This Row],[P82 Growth]]/PortfolioFrontier[[#This Row],[P82 HWM]]-1</f>
        <v>-0.12265280710953397</v>
      </c>
      <c r="LS79" s="28">
        <f>SUMPRODUCT(INDEX(PortfolioRef[[SPY]:[PE]],MATCH(LS$1,PortfolioRef[Reference '#]),0),AssetMonthlyReturns[[#This Row],[SPY]:[PE]])</f>
        <v>-3.9845973071858561E-2</v>
      </c>
      <c r="LT79" s="27">
        <f>IF(ISNUMBER(LT78),LT78*(1+PortfolioFrontier[[#This Row],[P83 Return]]),1+PortfolioFrontier[[#This Row],[P83 Return]])</f>
        <v>1.5072036537396714</v>
      </c>
      <c r="LU79" s="27">
        <f>MAX(LU78,PortfolioFrontier[[#This Row],[P83 Growth]])</f>
        <v>1.7006855237848306</v>
      </c>
      <c r="LV79" s="27">
        <f>PortfolioFrontier[[#This Row],[P83 Growth]]/PortfolioFrontier[[#This Row],[P83 HWM]]-1</f>
        <v>-0.11376698827574572</v>
      </c>
      <c r="LW79" s="28">
        <f>SUMPRODUCT(INDEX(PortfolioRef[[SPY]:[PE]],MATCH(LW$1,PortfolioRef[Reference '#]),0),AssetMonthlyReturns[[#This Row],[SPY]:[PE]])</f>
        <v>-3.8527264899723412E-2</v>
      </c>
      <c r="LX79" s="27">
        <f>IF(ISNUMBER(LX78),LX78*(1+PortfolioFrontier[[#This Row],[P84 Return]]),1+PortfolioFrontier[[#This Row],[P84 Return]])</f>
        <v>1.4935011495015147</v>
      </c>
      <c r="LY79" s="27">
        <f>MAX(LY78,PortfolioFrontier[[#This Row],[P84 Growth]])</f>
        <v>1.6685100840279028</v>
      </c>
      <c r="LZ79" s="27">
        <f>PortfolioFrontier[[#This Row],[P84 Growth]]/PortfolioFrontier[[#This Row],[P84 HWM]]-1</f>
        <v>-0.10488934780897696</v>
      </c>
      <c r="MA79" s="28">
        <f>SUMPRODUCT(INDEX(PortfolioRef[[SPY]:[PE]],MATCH(MA$1,PortfolioRef[Reference '#]),0),AssetMonthlyReturns[[#This Row],[SPY]:[PE]])</f>
        <v>-4.2699294190787572E-2</v>
      </c>
      <c r="MB79" s="27">
        <f>IF(ISNUMBER(MB78),MB78*(1+PortfolioFrontier[[#This Row],[P85 Return]]),1+PortfolioFrontier[[#This Row],[P85 Return]])</f>
        <v>1.5267345746004244</v>
      </c>
      <c r="MC79" s="27">
        <f>MAX(MC78,PortfolioFrontier[[#This Row],[P85 Growth]])</f>
        <v>1.7517641950154219</v>
      </c>
      <c r="MD79" s="27">
        <f>PortfolioFrontier[[#This Row],[P85 Growth]]/PortfolioFrontier[[#This Row],[P85 HWM]]-1</f>
        <v>-0.12845885368322441</v>
      </c>
      <c r="ME79" s="28">
        <f>SUMPRODUCT(INDEX(PortfolioRef[[SPY]:[PE]],MATCH(ME$1,PortfolioRef[Reference '#]),0),AssetMonthlyReturns[[#This Row],[SPY]:[PE]])</f>
        <v>-4.1380586018652431E-2</v>
      </c>
      <c r="MF79" s="27">
        <f>IF(ISNUMBER(MF78),MF78*(1+PortfolioFrontier[[#This Row],[P86 Return]]),1+PortfolioFrontier[[#This Row],[P86 Return]])</f>
        <v>1.5143130128975593</v>
      </c>
      <c r="MG79" s="27">
        <f>MAX(MG78,PortfolioFrontier[[#This Row],[P86 Growth]])</f>
        <v>1.7199439154573082</v>
      </c>
      <c r="MH79" s="27">
        <f>PortfolioFrontier[[#This Row],[P86 Growth]]/PortfolioFrontier[[#This Row],[P86 HWM]]-1</f>
        <v>-0.11955674874728384</v>
      </c>
      <c r="MI79" s="28">
        <f>SUMPRODUCT(INDEX(PortfolioRef[[SPY]:[PE]],MATCH(MI$1,PortfolioRef[Reference '#]),0),AssetMonthlyReturns[[#This Row],[SPY]:[PE]])</f>
        <v>-4.0061877846517296E-2</v>
      </c>
      <c r="MJ79" s="27">
        <f>IF(ISNUMBER(MJ78),MJ78*(1+PortfolioFrontier[[#This Row],[P87 Return]]),1+PortfolioFrontier[[#This Row],[P87 Return]])</f>
        <v>1.5011696801968053</v>
      </c>
      <c r="MK79" s="27">
        <f>MAX(MK78,PortfolioFrontier[[#This Row],[P87 Growth]])</f>
        <v>1.6879617873128629</v>
      </c>
      <c r="ML79" s="27">
        <f>PortfolioFrontier[[#This Row],[P87 Growth]]/PortfolioFrontier[[#This Row],[P87 HWM]]-1</f>
        <v>-0.11066133636438524</v>
      </c>
      <c r="MM79" s="28">
        <f>SUMPRODUCT(INDEX(PortfolioRef[[SPY]:[PE]],MATCH(MM$1,PortfolioRef[Reference '#]),0),AssetMonthlyReturns[[#This Row],[SPY]:[PE]])</f>
        <v>-4.1110708629429074E-2</v>
      </c>
      <c r="MN79" s="27">
        <f>IF(ISNUMBER(MN78),MN78*(1+PortfolioFrontier[[#This Row],[P88 Return]]),1+PortfolioFrontier[[#This Row],[P88 Return]])</f>
        <v>1.5375565338630586</v>
      </c>
      <c r="MO79" s="27">
        <f>MAX(MO78,PortfolioFrontier[[#This Row],[P88 Growth]])</f>
        <v>1.7485237047822844</v>
      </c>
      <c r="MP79" s="27">
        <f>PortfolioFrontier[[#This Row],[P88 Growth]]/PortfolioFrontier[[#This Row],[P88 HWM]]-1</f>
        <v>-0.12065445286341947</v>
      </c>
      <c r="MQ79" s="28">
        <f>SUMPRODUCT(INDEX(PortfolioRef[[SPY]:[PE]],MATCH(MQ$1,PortfolioRef[Reference '#]),0),AssetMonthlyReturns[[#This Row],[SPY]:[PE]])</f>
        <v>-3.979200045729394E-2</v>
      </c>
      <c r="MR79" s="27">
        <f>IF(ISNUMBER(MR78),MR78*(1+PortfolioFrontier[[#This Row],[P89 Return]]),1+PortfolioFrontier[[#This Row],[P89 Return]])</f>
        <v>1.5244519060646728</v>
      </c>
      <c r="MS79" s="27">
        <f>MAX(MS78,PortfolioFrontier[[#This Row],[P89 Growth]])</f>
        <v>1.7162568132506029</v>
      </c>
      <c r="MT79" s="27">
        <f>PortfolioFrontier[[#This Row],[P89 Growth]]/PortfolioFrontier[[#This Row],[P89 HWM]]-1</f>
        <v>-0.11175769599577012</v>
      </c>
      <c r="MU79" s="28">
        <f>SUMPRODUCT(INDEX(PortfolioRef[[SPY]:[PE]],MATCH(MU$1,PortfolioRef[Reference '#]),0),AssetMonthlyReturns[[#This Row],[SPY]:[PE]])</f>
        <v>-3.8473292285158792E-2</v>
      </c>
      <c r="MV79" s="27">
        <f>IF(ISNUMBER(MV78),MV78*(1+PortfolioFrontier[[#This Row],[P90 Return]]),1+PortfolioFrontier[[#This Row],[P90 Return]])</f>
        <v>1.5106350270862008</v>
      </c>
      <c r="MW79" s="27">
        <f>MAX(MW78,PortfolioFrontier[[#This Row],[P90 Growth]])</f>
        <v>1.6838515290273213</v>
      </c>
      <c r="MX79" s="27">
        <f>PortfolioFrontier[[#This Row],[P90 Growth]]/PortfolioFrontier[[#This Row],[P90 HWM]]-1</f>
        <v>-0.10286922508018226</v>
      </c>
      <c r="MY79" s="28">
        <f>SUMPRODUCT(INDEX(PortfolioRef[[SPY]:[PE]],MATCH(MY$1,PortfolioRef[Reference '#]),0),AssetMonthlyReturns[[#This Row],[SPY]:[PE]])</f>
        <v>-4.2645321576222944E-2</v>
      </c>
      <c r="MZ79" s="27">
        <f>IF(ISNUMBER(MZ78),MZ78*(1+PortfolioFrontier[[#This Row],[P91 Return]]),1+PortfolioFrontier[[#This Row],[P91 Return]])</f>
        <v>1.5444740228331151</v>
      </c>
      <c r="NA79" s="27">
        <f>MAX(NA78,PortfolioFrontier[[#This Row],[P91 Growth]])</f>
        <v>1.7680436458517257</v>
      </c>
      <c r="NB79" s="27">
        <f>PortfolioFrontier[[#This Row],[P91 Growth]]/PortfolioFrontier[[#This Row],[P91 HWM]]-1</f>
        <v>-0.12645028506120937</v>
      </c>
      <c r="NC79" s="28">
        <f>SUMPRODUCT(INDEX(PortfolioRef[[SPY]:[PE]],MATCH(NC$1,PortfolioRef[Reference '#]),0),AssetMonthlyReturns[[#This Row],[SPY]:[PE]])</f>
        <v>-4.132661340408781E-2</v>
      </c>
      <c r="ND79" s="27">
        <f>IF(ISNUMBER(ND78),ND78*(1+PortfolioFrontier[[#This Row],[P92 Return]]),1+PortfolioFrontier[[#This Row],[P92 Return]])</f>
        <v>1.5319507579910603</v>
      </c>
      <c r="NE79" s="27">
        <f>MAX(NE78,PortfolioFrontier[[#This Row],[P92 Growth]])</f>
        <v>1.73599424265744</v>
      </c>
      <c r="NF79" s="27">
        <f>PortfolioFrontier[[#This Row],[P92 Growth]]/PortfolioFrontier[[#This Row],[P92 HWM]]-1</f>
        <v>-0.11753695931274077</v>
      </c>
      <c r="NG79" s="28">
        <f>SUMPRODUCT(INDEX(PortfolioRef[[SPY]:[PE]],MATCH(NG$1,PortfolioRef[Reference '#]),0),AssetMonthlyReturns[[#This Row],[SPY]:[PE]])</f>
        <v>-4.0007905231952662E-2</v>
      </c>
      <c r="NH79" s="27">
        <f>IF(ISNUMBER(NH78),NH78*(1+PortfolioFrontier[[#This Row],[P93 Return]]),1+PortfolioFrontier[[#This Row],[P93 Return]])</f>
        <v>1.5186970379727089</v>
      </c>
      <c r="NI79" s="27">
        <f>MAX(NI78,PortfolioFrontier[[#This Row],[P93 Growth]])</f>
        <v>1.7037793193389816</v>
      </c>
      <c r="NJ79" s="27">
        <f>PortfolioFrontier[[#This Row],[P93 Growth]]/PortfolioFrontier[[#This Row],[P93 HWM]]-1</f>
        <v>-0.10863043075207612</v>
      </c>
      <c r="NK79" s="28">
        <f>SUMPRODUCT(INDEX(PortfolioRef[[SPY]:[PE]],MATCH(NK$1,PortfolioRef[Reference '#]),0),AssetMonthlyReturns[[#This Row],[SPY]:[PE]])</f>
        <v>-4.4179934523016821E-2</v>
      </c>
      <c r="NL79" s="27">
        <f>IF(ISNUMBER(NL78),NL78*(1+PortfolioFrontier[[#This Row],[P94 Return]]),1+PortfolioFrontier[[#This Row],[P94 Return]])</f>
        <v>1.5504669810505438</v>
      </c>
      <c r="NM79" s="27">
        <f>MAX(NM78,PortfolioFrontier[[#This Row],[P94 Growth]])</f>
        <v>1.7868313973018393</v>
      </c>
      <c r="NN79" s="27">
        <f>PortfolioFrontier[[#This Row],[P94 Growth]]/PortfolioFrontier[[#This Row],[P94 HWM]]-1</f>
        <v>-0.13228132022316808</v>
      </c>
      <c r="NO79" s="28">
        <f>SUMPRODUCT(INDEX(PortfolioRef[[SPY]:[PE]],MATCH(NO$1,PortfolioRef[Reference '#]),0),AssetMonthlyReturns[[#This Row],[SPY]:[PE]])</f>
        <v>-4.286122635088168E-2</v>
      </c>
      <c r="NP79" s="27">
        <f>IF(ISNUMBER(NP78),NP78*(1+PortfolioFrontier[[#This Row],[P95 Return]]),1+PortfolioFrontier[[#This Row],[P95 Return]])</f>
        <v>1.5385417505952801</v>
      </c>
      <c r="NQ79" s="27">
        <f>MAX(NQ78,PortfolioFrontier[[#This Row],[P95 Growth]])</f>
        <v>1.7550294195356591</v>
      </c>
      <c r="NR79" s="27">
        <f>PortfolioFrontier[[#This Row],[P95 Growth]]/PortfolioFrontier[[#This Row],[P95 HWM]]-1</f>
        <v>-0.12335272932214247</v>
      </c>
      <c r="NS79" s="28">
        <f>SUMPRODUCT(INDEX(PortfolioRef[[SPY]:[PE]],MATCH(NS$1,PortfolioRef[Reference '#]),0),AssetMonthlyReturns[[#This Row],[SPY]:[PE]])</f>
        <v>-4.1542518178746532E-2</v>
      </c>
      <c r="NT79" s="27">
        <f>IF(ISNUMBER(NT78),NT78*(1+PortfolioFrontier[[#This Row],[P96 Return]]),1+PortfolioFrontier[[#This Row],[P96 Return]])</f>
        <v>1.5258684463142052</v>
      </c>
      <c r="NU79" s="27">
        <f>MAX(NU78,PortfolioFrontier[[#This Row],[P96 Growth]])</f>
        <v>1.7230343324336159</v>
      </c>
      <c r="NV79" s="27">
        <f>PortfolioFrontier[[#This Row],[P96 Growth]]/PortfolioFrontier[[#This Row],[P96 HWM]]-1</f>
        <v>-0.11442945877981048</v>
      </c>
      <c r="NW79" s="28">
        <f>SUMPRODUCT(INDEX(PortfolioRef[[SPY]:[PE]],MATCH(NW$1,PortfolioRef[Reference '#]),0),AssetMonthlyReturns[[#This Row],[SPY]:[PE]])</f>
        <v>-3.6262266437642986E-2</v>
      </c>
      <c r="NX79" s="27">
        <f>IF(ISNUMBER(NX78),NX78*(1+PortfolioFrontier[[#This Row],[P97 Return]]),1+PortfolioFrontier[[#This Row],[P97 Return]])</f>
        <v>1.3777951974193237</v>
      </c>
      <c r="NY79" s="27">
        <f>MAX(NY78,PortfolioFrontier[[#This Row],[P97 Growth]])</f>
        <v>1.5498139523617234</v>
      </c>
      <c r="NZ79" s="27">
        <f>PortfolioFrontier[[#This Row],[P97 Growth]]/PortfolioFrontier[[#This Row],[P97 HWM]]-1</f>
        <v>-0.11099316448936636</v>
      </c>
      <c r="OA79" s="28">
        <f>SUMPRODUCT(INDEX(PortfolioRef[[SPY]:[PE]],MATCH(OA$1,PortfolioRef[Reference '#]),0),AssetMonthlyReturns[[#This Row],[SPY]:[PE]])</f>
        <v>-3.6208293823078365E-2</v>
      </c>
      <c r="OB79" s="27">
        <f>IF(ISNUMBER(OB78),OB78*(1+PortfolioFrontier[[#This Row],[P98 Return]]),1+PortfolioFrontier[[#This Row],[P98 Return]])</f>
        <v>1.3939615671421757</v>
      </c>
      <c r="OC79" s="27">
        <f>MAX(OC78,PortfolioFrontier[[#This Row],[P98 Growth]])</f>
        <v>1.5643918723292729</v>
      </c>
      <c r="OD79" s="27">
        <f>PortfolioFrontier[[#This Row],[P98 Growth]]/PortfolioFrontier[[#This Row],[P98 HWM]]-1</f>
        <v>-0.10894348673222021</v>
      </c>
      <c r="OE79" s="28">
        <f>SUMPRODUCT(INDEX(PortfolioRef[[SPY]:[PE]],MATCH(OE$1,PortfolioRef[Reference '#]),0),AssetMonthlyReturns[[#This Row],[SPY]:[PE]])</f>
        <v>-3.7742906769872235E-2</v>
      </c>
      <c r="OF79" s="27">
        <f>IF(ISNUMBER(OF78),OF78*(1+PortfolioFrontier[[#This Row],[P99 Return]]),1+PortfolioFrontier[[#This Row],[P99 Return]])</f>
        <v>1.4021088117627962</v>
      </c>
      <c r="OG79" s="27">
        <f>MAX(OG78,PortfolioFrontier[[#This Row],[P99 Growth]])</f>
        <v>1.5836627563813395</v>
      </c>
      <c r="OH79" s="27">
        <f>PortfolioFrontier[[#This Row],[P99 Growth]]/PortfolioFrontier[[#This Row],[P99 HWM]]-1</f>
        <v>-0.11464179724311574</v>
      </c>
      <c r="OI79" s="28">
        <f>SUMPRODUCT(INDEX(PortfolioRef[[SPY]:[PE]],MATCH(OI$1,PortfolioRef[Reference '#]),0),AssetMonthlyReturns[[#This Row],[SPY]:[PE]])</f>
        <v>-3.6424198597737101E-2</v>
      </c>
      <c r="OJ79" s="27">
        <f>IF(ISNUMBER(OJ78),OJ78*(1+PortfolioFrontier[[#This Row],[P100 Return]]),1+PortfolioFrontier[[#This Row],[P100 Return]])</f>
        <v>1.3884313052978465</v>
      </c>
      <c r="OK79" s="27">
        <f>MAX(OK78,PortfolioFrontier[[#This Row],[P100 Growth]])</f>
        <v>1.5528062347399851</v>
      </c>
      <c r="OL79" s="27">
        <f>PortfolioFrontier[[#This Row],[P100 Growth]]/PortfolioFrontier[[#This Row],[P100 HWM]]-1</f>
        <v>-0.10585669078644766</v>
      </c>
      <c r="OM79" s="28">
        <f>SUMPRODUCT(INDEX(PortfolioRef[[SPY]:[PE]],MATCH(OM$1,PortfolioRef[Reference '#]),0),AssetMonthlyReturns[[#This Row],[SPY]:[PE]])</f>
        <v>-3.6154321208513737E-2</v>
      </c>
      <c r="ON79" s="27">
        <f>IF(ISNUMBER(ON78),ON78*(1+PortfolioFrontier[[#This Row],[P101 Return]]),1+PortfolioFrontier[[#This Row],[P101 Return]])</f>
        <v>1.4099957772294649</v>
      </c>
      <c r="OO79" s="27">
        <f>MAX(OO78,PortfolioFrontier[[#This Row],[P101 Growth]])</f>
        <v>1.5787921813488919</v>
      </c>
      <c r="OP79" s="27">
        <f>PortfolioFrontier[[#This Row],[P101 Growth]]/PortfolioFrontier[[#This Row],[P101 HWM]]-1</f>
        <v>-0.10691489742190785</v>
      </c>
      <c r="OQ79" s="28">
        <f>SUMPRODUCT(INDEX(PortfolioRef[[SPY]:[PE]],MATCH(OQ$1,PortfolioRef[Reference '#]),0),AssetMonthlyReturns[[#This Row],[SPY]:[PE]])</f>
        <v>-3.7688934155307607E-2</v>
      </c>
      <c r="OR79" s="27">
        <f>IF(ISNUMBER(OR78),OR78*(1+PortfolioFrontier[[#This Row],[P102 Return]]),1+PortfolioFrontier[[#This Row],[P102 Return]])</f>
        <v>1.4185233356803268</v>
      </c>
      <c r="OS79" s="27">
        <f>MAX(OS78,PortfolioFrontier[[#This Row],[P102 Growth]])</f>
        <v>1.5985203886251573</v>
      </c>
      <c r="OT79" s="27">
        <f>PortfolioFrontier[[#This Row],[P102 Growth]]/PortfolioFrontier[[#This Row],[P102 HWM]]-1</f>
        <v>-0.11260228785673543</v>
      </c>
      <c r="OU79" s="28">
        <f>SUMPRODUCT(INDEX(PortfolioRef[[SPY]:[PE]],MATCH(OU$1,PortfolioRef[Reference '#]),0),AssetMonthlyReturns[[#This Row],[SPY]:[PE]])</f>
        <v>-3.6370225983172473E-2</v>
      </c>
      <c r="OV79" s="27">
        <f>IF(ISNUMBER(OV78),OV78*(1+PortfolioFrontier[[#This Row],[P103 Return]]),1+PortfolioFrontier[[#This Row],[P103 Return]])</f>
        <v>1.404725850530177</v>
      </c>
      <c r="OW79" s="27">
        <f>MAX(OW78,PortfolioFrontier[[#This Row],[P103 Growth]])</f>
        <v>1.5674355228105428</v>
      </c>
      <c r="OX79" s="27">
        <f>PortfolioFrontier[[#This Row],[P103 Growth]]/PortfolioFrontier[[#This Row],[P103 HWM]]-1</f>
        <v>-0.1038062937278682</v>
      </c>
      <c r="OY79" s="28">
        <f>SUMPRODUCT(INDEX(PortfolioRef[[SPY]:[PE]],MATCH(OY$1,PortfolioRef[Reference '#]),0),AssetMonthlyReturns[[#This Row],[SPY]:[PE]])</f>
        <v>-3.9223547102101484E-2</v>
      </c>
      <c r="OZ79" s="27">
        <f>IF(ISNUMBER(OZ78),OZ78*(1+PortfolioFrontier[[#This Row],[P104 Return]]),1+PortfolioFrontier[[#This Row],[P104 Return]])</f>
        <v>1.4262330087270934</v>
      </c>
      <c r="PA79" s="27">
        <f>MAX(PA78,PortfolioFrontier[[#This Row],[P104 Growth]])</f>
        <v>1.6176462594840681</v>
      </c>
      <c r="PB79" s="27">
        <f>PortfolioFrontier[[#This Row],[P104 Growth]]/PortfolioFrontier[[#This Row],[P104 HWM]]-1</f>
        <v>-0.11832824984741974</v>
      </c>
      <c r="PC79" s="28">
        <f>SUMPRODUCT(INDEX(PortfolioRef[[SPY]:[PE]],MATCH(PC$1,PortfolioRef[Reference '#]),0),AssetMonthlyReturns[[#This Row],[SPY]:[PE]])</f>
        <v>-3.7904838929966343E-2</v>
      </c>
      <c r="PD79" s="27">
        <f>IF(ISNUMBER(PD78),PD78*(1+PortfolioFrontier[[#This Row],[P105 Return]]),1+PortfolioFrontier[[#This Row],[P105 Return]])</f>
        <v>1.4129433206710726</v>
      </c>
      <c r="PE79" s="27">
        <f>MAX(PE78,PortfolioFrontier[[#This Row],[P105 Growth]])</f>
        <v>1.5867085542337835</v>
      </c>
      <c r="PF79" s="27">
        <f>PortfolioFrontier[[#This Row],[P105 Growth]]/PortfolioFrontier[[#This Row],[P105 HWM]]-1</f>
        <v>-0.10951301239226097</v>
      </c>
      <c r="PG79" s="28">
        <f>SUMPRODUCT(INDEX(PortfolioRef[[SPY]:[PE]],MATCH(PG$1,PortfolioRef[Reference '#]),0),AssetMonthlyReturns[[#This Row],[SPY]:[PE]])</f>
        <v>-3.6586130757831209E-2</v>
      </c>
      <c r="PH79" s="27">
        <f>IF(ISNUMBER(PH78),PH78*(1+PortfolioFrontier[[#This Row],[P106 Return]]),1+PortfolioFrontier[[#This Row],[P106 Return]])</f>
        <v>1.3990178003359299</v>
      </c>
      <c r="PI79" s="27">
        <f>MAX(PI78,PortfolioFrontier[[#This Row],[P106 Growth]])</f>
        <v>1.5556887430167754</v>
      </c>
      <c r="PJ79" s="27">
        <f>PortfolioFrontier[[#This Row],[P106 Growth]]/PortfolioFrontier[[#This Row],[P106 HWM]]-1</f>
        <v>-0.10070841187487856</v>
      </c>
      <c r="PK79" s="28">
        <f>SUMPRODUCT(INDEX(PortfolioRef[[SPY]:[PE]],MATCH(PK$1,PortfolioRef[Reference '#]),0),AssetMonthlyReturns[[#This Row],[SPY]:[PE]])</f>
        <v>-3.7634961540742987E-2</v>
      </c>
      <c r="PL79" s="27">
        <f>IF(ISNUMBER(PL78),PL78*(1+PortfolioFrontier[[#This Row],[P107 Return]]),1+PortfolioFrontier[[#This Row],[P107 Return]])</f>
        <v>1.4348030636425397</v>
      </c>
      <c r="PM79" s="27">
        <f>MAX(PM78,PortfolioFrontier[[#This Row],[P107 Growth]])</f>
        <v>1.6131964012798079</v>
      </c>
      <c r="PN79" s="27">
        <f>PortfolioFrontier[[#This Row],[P107 Growth]]/PortfolioFrontier[[#This Row],[P107 HWM]]-1</f>
        <v>-0.1105837686568989</v>
      </c>
      <c r="PO79" s="28">
        <f>SUMPRODUCT(INDEX(PortfolioRef[[SPY]:[PE]],MATCH(PO$1,PortfolioRef[Reference '#]),0),AssetMonthlyReturns[[#This Row],[SPY]:[PE]])</f>
        <v>-3.6316253368607852E-2</v>
      </c>
      <c r="PP79" s="27">
        <f>IF(ISNUMBER(PP78),PP78*(1+PortfolioFrontier[[#This Row],[P108 Return]]),1+PortfolioFrontier[[#This Row],[P108 Return]])</f>
        <v>1.4208875062386883</v>
      </c>
      <c r="PQ79" s="27">
        <f>MAX(PQ78,PortfolioFrontier[[#This Row],[P108 Growth]])</f>
        <v>1.5818874318633449</v>
      </c>
      <c r="PR79" s="27">
        <f>PortfolioFrontier[[#This Row],[P108 Growth]]/PortfolioFrontier[[#This Row],[P108 HWM]]-1</f>
        <v>-0.10177710650056226</v>
      </c>
      <c r="PS79" s="28">
        <f>SUMPRODUCT(INDEX(PortfolioRef[[SPY]:[PE]],MATCH(PS$1,PortfolioRef[Reference '#]),0),AssetMonthlyReturns[[#This Row],[SPY]:[PE]])</f>
        <v>-3.9169574487536864E-2</v>
      </c>
      <c r="PT79" s="27">
        <f>IF(ISNUMBER(PT78),PT78*(1+PortfolioFrontier[[#This Row],[P109 Return]]),1+PortfolioFrontier[[#This Row],[P109 Return]])</f>
        <v>1.4428924691554414</v>
      </c>
      <c r="PU79" s="27">
        <f>MAX(PU78,PortfolioFrontier[[#This Row],[P109 Growth]])</f>
        <v>1.6327835279326679</v>
      </c>
      <c r="PV79" s="27">
        <f>PortfolioFrontier[[#This Row],[P109 Growth]]/PortfolioFrontier[[#This Row],[P109 HWM]]-1</f>
        <v>-0.11629897994969063</v>
      </c>
      <c r="PW79" s="28">
        <f>SUMPRODUCT(INDEX(PortfolioRef[[SPY]:[PE]],MATCH(PW$1,PortfolioRef[Reference '#]),0),AssetMonthlyReturns[[#This Row],[SPY]:[PE]])</f>
        <v>-3.7850866315401722E-2</v>
      </c>
      <c r="PX79" s="27">
        <f>IF(ISNUMBER(PX78),PX78*(1+PortfolioFrontier[[#This Row],[P110 Return]]),1+PortfolioFrontier[[#This Row],[P110 Return]])</f>
        <v>1.4294881103956902</v>
      </c>
      <c r="PY79" s="27">
        <f>MAX(PY78,PortfolioFrontier[[#This Row],[P110 Growth]])</f>
        <v>1.6016185143364081</v>
      </c>
      <c r="PZ79" s="27">
        <f>PortfolioFrontier[[#This Row],[P110 Growth]]/PortfolioFrontier[[#This Row],[P110 HWM]]-1</f>
        <v>-0.10747278605981647</v>
      </c>
      <c r="QA79" s="28">
        <f>SUMPRODUCT(INDEX(PortfolioRef[[SPY]:[PE]],MATCH(QA$1,PortfolioRef[Reference '#]),0),AssetMonthlyReturns[[#This Row],[SPY]:[PE]])</f>
        <v>-3.6532158143266574E-2</v>
      </c>
      <c r="QB79" s="27">
        <f>IF(ISNUMBER(QB78),QB78*(1+PortfolioFrontier[[#This Row],[P111 Return]]),1+PortfolioFrontier[[#This Row],[P111 Return]])</f>
        <v>1.4154401105878296</v>
      </c>
      <c r="QC79" s="27">
        <f>MAX(QC78,PortfolioFrontier[[#This Row],[P111 Growth]])</f>
        <v>1.5703684845094485</v>
      </c>
      <c r="QD79" s="27">
        <f>PortfolioFrontier[[#This Row],[P111 Growth]]/PortfolioFrontier[[#This Row],[P111 HWM]]-1</f>
        <v>-9.8657337720334803E-2</v>
      </c>
      <c r="QE79" s="28">
        <f>SUMPRODUCT(INDEX(PortfolioRef[[SPY]:[PE]],MATCH(QE$1,PortfolioRef[Reference '#]),0),AssetMonthlyReturns[[#This Row],[SPY]:[PE]])</f>
        <v>-4.0704187434330734E-2</v>
      </c>
      <c r="QF79" s="27">
        <f>IF(ISNUMBER(QF78),QF78*(1+PortfolioFrontier[[#This Row],[P112 Return]]),1+PortfolioFrontier[[#This Row],[P112 Return]])</f>
        <v>1.450140862345241</v>
      </c>
      <c r="QG79" s="27">
        <f>MAX(QG78,PortfolioFrontier[[#This Row],[P112 Growth]])</f>
        <v>1.6517386955477045</v>
      </c>
      <c r="QH79" s="27">
        <f>PortfolioFrontier[[#This Row],[P112 Growth]]/PortfolioFrontier[[#This Row],[P112 HWM]]-1</f>
        <v>-0.12205189219449453</v>
      </c>
      <c r="QI79" s="28">
        <f>SUMPRODUCT(INDEX(PortfolioRef[[SPY]:[PE]],MATCH(QI$1,PortfolioRef[Reference '#]),0),AssetMonthlyReturns[[#This Row],[SPY]:[PE]])</f>
        <v>-3.9385479262195593E-2</v>
      </c>
      <c r="QJ79" s="27">
        <f>IF(ISNUMBER(QJ78),QJ78*(1+PortfolioFrontier[[#This Row],[P113 Return]]),1+PortfolioFrontier[[#This Row],[P113 Return]])</f>
        <v>1.4372649105493818</v>
      </c>
      <c r="QK79" s="27">
        <f>MAX(QK78,PortfolioFrontier[[#This Row],[P113 Growth]])</f>
        <v>1.6207454292109018</v>
      </c>
      <c r="QL79" s="27">
        <f>PortfolioFrontier[[#This Row],[P113 Growth]]/PortfolioFrontier[[#This Row],[P113 HWM]]-1</f>
        <v>-0.11320748795870539</v>
      </c>
      <c r="QM79" s="28">
        <f>SUMPRODUCT(INDEX(PortfolioRef[[SPY]:[PE]],MATCH(QM$1,PortfolioRef[Reference '#]),0),AssetMonthlyReturns[[#This Row],[SPY]:[PE]])</f>
        <v>-3.8066771090060458E-2</v>
      </c>
      <c r="QN79" s="27">
        <f>IF(ISNUMBER(QN78),QN78*(1+PortfolioFrontier[[#This Row],[P114 Return]]),1+PortfolioFrontier[[#This Row],[P114 Return]])</f>
        <v>1.423727455821119</v>
      </c>
      <c r="QO79" s="27">
        <f>MAX(QO78,PortfolioFrontier[[#This Row],[P114 Growth]])</f>
        <v>1.5896421022161857</v>
      </c>
      <c r="QP79" s="27">
        <f>PortfolioFrontier[[#This Row],[P114 Growth]]/PortfolioFrontier[[#This Row],[P114 HWM]]-1</f>
        <v>-0.10437232768543203</v>
      </c>
      <c r="QQ79" s="28">
        <f>SUMPRODUCT(INDEX(PortfolioRef[[SPY]:[PE]],MATCH(QQ$1,PortfolioRef[Reference '#]),0),AssetMonthlyReturns[[#This Row],[SPY]:[PE]])</f>
        <v>-3.9115601872972243E-2</v>
      </c>
      <c r="QR79" s="27">
        <f>IF(ISNUMBER(QR78),QR78*(1+PortfolioFrontier[[#This Row],[P115 Return]]),1+PortfolioFrontier[[#This Row],[P115 Return]])</f>
        <v>1.4594145055694345</v>
      </c>
      <c r="QS79" s="27">
        <f>MAX(QS78,PortfolioFrontier[[#This Row],[P115 Growth]])</f>
        <v>1.6477351477866757</v>
      </c>
      <c r="QT79" s="27">
        <f>PortfolioFrontier[[#This Row],[P115 Growth]]/PortfolioFrontier[[#This Row],[P115 HWM]]-1</f>
        <v>-0.11429060214574127</v>
      </c>
      <c r="QU79" s="28">
        <f>SUMPRODUCT(INDEX(PortfolioRef[[SPY]:[PE]],MATCH(QU$1,PortfolioRef[Reference '#]),0),AssetMonthlyReturns[[#This Row],[SPY]:[PE]])</f>
        <v>-3.7796893700837102E-2</v>
      </c>
      <c r="QV79" s="27">
        <f>IF(ISNUMBER(QV78),QV78*(1+PortfolioFrontier[[#This Row],[P116 Return]]),1+PortfolioFrontier[[#This Row],[P116 Return]])</f>
        <v>1.4458973577345791</v>
      </c>
      <c r="QW79" s="27">
        <f>MAX(QW78,PortfolioFrontier[[#This Row],[P116 Growth]])</f>
        <v>1.6163470917094751</v>
      </c>
      <c r="QX79" s="27">
        <f>PortfolioFrontier[[#This Row],[P116 Growth]]/PortfolioFrontier[[#This Row],[P116 HWM]]-1</f>
        <v>-0.1054536707178565</v>
      </c>
      <c r="QY79" s="28">
        <f>SUMPRODUCT(INDEX(PortfolioRef[[SPY]:[PE]],MATCH(QY$1,PortfolioRef[Reference '#]),0),AssetMonthlyReturns[[#This Row],[SPY]:[PE]])</f>
        <v>-3.6478185528701954E-2</v>
      </c>
      <c r="QZ79" s="27">
        <f>IF(ISNUMBER(QZ78),QZ78*(1+PortfolioFrontier[[#This Row],[P117 Return]]),1+PortfolioFrontier[[#This Row],[P117 Return]])</f>
        <v>1.4317288107796315</v>
      </c>
      <c r="RA79" s="27">
        <f>MAX(RA78,PortfolioFrontier[[#This Row],[P117 Growth]])</f>
        <v>1.5848710929942145</v>
      </c>
      <c r="RB79" s="27">
        <f>PortfolioFrontier[[#This Row],[P117 Growth]]/PortfolioFrontier[[#This Row],[P117 HWM]]-1</f>
        <v>-9.6627595071633987E-2</v>
      </c>
      <c r="RC79" s="28">
        <f>SUMPRODUCT(INDEX(PortfolioRef[[SPY]:[PE]],MATCH(RC$1,PortfolioRef[Reference '#]),0),AssetMonthlyReturns[[#This Row],[SPY]:[PE]])</f>
        <v>-4.0650214819766113E-2</v>
      </c>
      <c r="RD79" s="27">
        <f>IF(ISNUMBER(RD78),RD78*(1+PortfolioFrontier[[#This Row],[P118 Return]]),1+PortfolioFrontier[[#This Row],[P118 Return]])</f>
        <v>1.4670417558722275</v>
      </c>
      <c r="RE79" s="27">
        <f>MAX(RE78,PortfolioFrontier[[#This Row],[P118 Growth]])</f>
        <v>1.667155293527623</v>
      </c>
      <c r="RF79" s="27">
        <f>PortfolioFrontier[[#This Row],[P118 Growth]]/PortfolioFrontier[[#This Row],[P118 HWM]]-1</f>
        <v>-0.12003293180442987</v>
      </c>
      <c r="RG79" s="28">
        <f>SUMPRODUCT(INDEX(PortfolioRef[[SPY]:[PE]],MATCH(RG$1,PortfolioRef[Reference '#]),0),AssetMonthlyReturns[[#This Row],[SPY]:[PE]])</f>
        <v>-3.9331506647630972E-2</v>
      </c>
      <c r="RH79" s="27">
        <f>IF(ISNUMBER(RH78),RH78*(1+PortfolioFrontier[[#This Row],[P119 Return]]),1+PortfolioFrontier[[#This Row],[P119 Return]])</f>
        <v>1.4540567068419301</v>
      </c>
      <c r="RI79" s="27">
        <f>MAX(RI78,PortfolioFrontier[[#This Row],[P119 Growth]])</f>
        <v>1.6359359857167841</v>
      </c>
      <c r="RJ79" s="27">
        <f>PortfolioFrontier[[#This Row],[P119 Growth]]/PortfolioFrontier[[#This Row],[P119 HWM]]-1</f>
        <v>-0.11117750355932399</v>
      </c>
      <c r="RK79" s="28">
        <f>SUMPRODUCT(INDEX(PortfolioRef[[SPY]:[PE]],MATCH(RK$1,PortfolioRef[Reference '#]),0),AssetMonthlyReturns[[#This Row],[SPY]:[PE]])</f>
        <v>-3.8012798475495824E-2</v>
      </c>
      <c r="RL79" s="27">
        <f>IF(ISNUMBER(RL78),RL78*(1+PortfolioFrontier[[#This Row],[P120 Return]]),1+PortfolioFrontier[[#This Row],[P120 Return]])</f>
        <v>1.4404020959360957</v>
      </c>
      <c r="RM79" s="27">
        <f>MAX(RM78,PortfolioFrontier[[#This Row],[P120 Growth]])</f>
        <v>1.6046034567476111</v>
      </c>
      <c r="RN79" s="27">
        <f>PortfolioFrontier[[#This Row],[P120 Growth]]/PortfolioFrontier[[#This Row],[P120 HWM]]-1</f>
        <v>-0.10233142657210581</v>
      </c>
      <c r="RO79" s="28">
        <f>SUMPRODUCT(INDEX(PortfolioRef[[SPY]:[PE]],MATCH(RO$1,PortfolioRef[Reference '#]),0),AssetMonthlyReturns[[#This Row],[SPY]:[PE]])</f>
        <v>-4.2184827766559983E-2</v>
      </c>
      <c r="RP79" s="27">
        <f>IF(ISNUMBER(RP78),RP78*(1+PortfolioFrontier[[#This Row],[P121 Return]]),1+PortfolioFrontier[[#This Row],[P121 Return]])</f>
        <v>1.473804994337085</v>
      </c>
      <c r="RQ79" s="27">
        <f>MAX(RQ78,PortfolioFrontier[[#This Row],[P121 Growth]])</f>
        <v>1.6859132740659151</v>
      </c>
      <c r="RR79" s="27">
        <f>PortfolioFrontier[[#This Row],[P121 Growth]]/PortfolioFrontier[[#This Row],[P121 HWM]]-1</f>
        <v>-0.12581209424687001</v>
      </c>
      <c r="RS79" s="28">
        <f>SUMPRODUCT(INDEX(PortfolioRef[[SPY]:[PE]],MATCH(RS$1,PortfolioRef[Reference '#]),0),AssetMonthlyReturns[[#This Row],[SPY]:[PE]])</f>
        <v>-4.0866119594424842E-2</v>
      </c>
      <c r="RT79" s="27">
        <f>IF(ISNUMBER(RT78),RT78*(1+PortfolioFrontier[[#This Row],[P122 Return]]),1+PortfolioFrontier[[#This Row],[P122 Return]])</f>
        <v>1.4613689468919044</v>
      </c>
      <c r="RU79" s="27">
        <f>MAX(RU78,PortfolioFrontier[[#This Row],[P122 Growth]])</f>
        <v>1.6548910536150563</v>
      </c>
      <c r="RV79" s="27">
        <f>PortfolioFrontier[[#This Row],[P122 Growth]]/PortfolioFrontier[[#This Row],[P122 HWM]]-1</f>
        <v>-0.11693948450588876</v>
      </c>
      <c r="RW79" s="28">
        <f>SUMPRODUCT(INDEX(PortfolioRef[[SPY]:[PE]],MATCH(RW$1,PortfolioRef[Reference '#]),0),AssetMonthlyReturns[[#This Row],[SPY]:[PE]])</f>
        <v>-3.9547411422289708E-2</v>
      </c>
      <c r="RX79" s="27">
        <f>IF(ISNUMBER(RX78),RX78*(1+PortfolioFrontier[[#This Row],[P123 Return]]),1+PortfolioFrontier[[#This Row],[P123 Return]])</f>
        <v>1.4482456849083041</v>
      </c>
      <c r="RY79" s="27">
        <f>MAX(RY78,PortfolioFrontier[[#This Row],[P123 Growth]])</f>
        <v>1.6237298558231279</v>
      </c>
      <c r="RZ79" s="27">
        <f>PortfolioFrontier[[#This Row],[P123 Growth]]/PortfolioFrontier[[#This Row],[P123 HWM]]-1</f>
        <v>-0.10807473317405036</v>
      </c>
      <c r="SA79" s="28">
        <f>SUMPRODUCT(INDEX(PortfolioRef[[SPY]:[PE]],MATCH(SA$1,PortfolioRef[Reference '#]),0),AssetMonthlyReturns[[#This Row],[SPY]:[PE]])</f>
        <v>-4.0596242205201492E-2</v>
      </c>
      <c r="SB79" s="27">
        <f>IF(ISNUMBER(SB78),SB78*(1+PortfolioFrontier[[#This Row],[P124 Return]]),1+PortfolioFrontier[[#This Row],[P124 Return]])</f>
        <v>1.4838026083270122</v>
      </c>
      <c r="SC79" s="27">
        <f>MAX(SC78,PortfolioFrontier[[#This Row],[P124 Growth]])</f>
        <v>1.6823821965094672</v>
      </c>
      <c r="SD79" s="27">
        <f>PortfolioFrontier[[#This Row],[P124 Growth]]/PortfolioFrontier[[#This Row],[P124 HWM]]-1</f>
        <v>-0.11803476558088832</v>
      </c>
      <c r="SE79" s="28">
        <f>SUMPRODUCT(INDEX(PortfolioRef[[SPY]:[PE]],MATCH(SE$1,PortfolioRef[Reference '#]),0),AssetMonthlyReturns[[#This Row],[SPY]:[PE]])</f>
        <v>-3.9277534033066351E-2</v>
      </c>
      <c r="SF79" s="27">
        <f>IF(ISNUMBER(SF78),SF78*(1+PortfolioFrontier[[#This Row],[P125 Return]]),1+PortfolioFrontier[[#This Row],[P125 Return]])</f>
        <v>1.4707103161241304</v>
      </c>
      <c r="SG79" s="27">
        <f>MAX(SG78,PortfolioFrontier[[#This Row],[P125 Growth]])</f>
        <v>1.6509411354388694</v>
      </c>
      <c r="SH79" s="27">
        <f>PortfolioFrontier[[#This Row],[P125 Growth]]/PortfolioFrontier[[#This Row],[P125 HWM]]-1</f>
        <v>-0.10916853147936634</v>
      </c>
      <c r="SI79" s="28">
        <f>SUMPRODUCT(INDEX(PortfolioRef[[SPY]:[PE]],MATCH(SI$1,PortfolioRef[Reference '#]),0),AssetMonthlyReturns[[#This Row],[SPY]:[PE]])</f>
        <v>-3.7958825860931203E-2</v>
      </c>
      <c r="SJ79" s="27">
        <f>IF(ISNUMBER(SJ78),SJ78*(1+PortfolioFrontier[[#This Row],[P126 Return]]),1+PortfolioFrontier[[#This Row],[P126 Return]])</f>
        <v>1.4569404567410711</v>
      </c>
      <c r="SK79" s="27">
        <f>MAX(SK78,PortfolioFrontier[[#This Row],[P126 Growth]])</f>
        <v>1.6193836797956254</v>
      </c>
      <c r="SL79" s="27">
        <f>PortfolioFrontier[[#This Row],[P126 Growth]]/PortfolioFrontier[[#This Row],[P126 HWM]]-1</f>
        <v>-0.10031175754164412</v>
      </c>
      <c r="SM79" s="28">
        <f>SUMPRODUCT(INDEX(PortfolioRef[[SPY]:[PE]],MATCH(SM$1,PortfolioRef[Reference '#]),0),AssetMonthlyReturns[[#This Row],[SPY]:[PE]])</f>
        <v>-4.2130855151995363E-2</v>
      </c>
      <c r="SN79" s="27">
        <f>IF(ISNUMBER(SN78),SN78*(1+PortfolioFrontier[[#This Row],[P127 Return]]),1+PortfolioFrontier[[#This Row],[P127 Return]])</f>
        <v>1.4909435292192528</v>
      </c>
      <c r="SO79" s="27">
        <f>MAX(SO78,PortfolioFrontier[[#This Row],[P127 Growth]])</f>
        <v>1.7016086575400751</v>
      </c>
      <c r="SP79" s="27">
        <f>PortfolioFrontier[[#This Row],[P127 Growth]]/PortfolioFrontier[[#This Row],[P127 HWM]]-1</f>
        <v>-0.12380351227489028</v>
      </c>
      <c r="SQ79" s="28">
        <f>SUMPRODUCT(INDEX(PortfolioRef[[SPY]:[PE]],MATCH(SQ$1,PortfolioRef[Reference '#]),0),AssetMonthlyReturns[[#This Row],[SPY]:[PE]])</f>
        <v>-4.0812146979860221E-2</v>
      </c>
      <c r="SR79" s="27">
        <f>IF(ISNUMBER(SR78),SR78*(1+PortfolioFrontier[[#This Row],[P128 Return]]),1+PortfolioFrontier[[#This Row],[P128 Return]])</f>
        <v>1.4784042239116868</v>
      </c>
      <c r="SS79" s="27">
        <f>MAX(SS78,PortfolioFrontier[[#This Row],[P128 Growth]])</f>
        <v>1.6703618996398835</v>
      </c>
      <c r="ST79" s="27">
        <f>PortfolioFrontier[[#This Row],[P128 Growth]]/PortfolioFrontier[[#This Row],[P128 HWM]]-1</f>
        <v>-0.11491981214943969</v>
      </c>
      <c r="SU79" s="28">
        <f>SUMPRODUCT(INDEX(PortfolioRef[[SPY]:[PE]],MATCH(SU$1,PortfolioRef[Reference '#]),0),AssetMonthlyReturns[[#This Row],[SPY]:[PE]])</f>
        <v>-3.9493438807725073E-2</v>
      </c>
      <c r="SV79" s="27">
        <f>IF(ISNUMBER(SV78),SV78*(1+PortfolioFrontier[[#This Row],[P129 Return]]),1+PortfolioFrontier[[#This Row],[P129 Return]])</f>
        <v>1.4651693968221224</v>
      </c>
      <c r="SW79" s="27">
        <f>MAX(SW78,PortfolioFrontier[[#This Row],[P129 Growth]])</f>
        <v>1.6389727481356613</v>
      </c>
      <c r="SX79" s="27">
        <f>PortfolioFrontier[[#This Row],[P129 Growth]]/PortfolioFrontier[[#This Row],[P129 HWM]]-1</f>
        <v>-0.10604407639555991</v>
      </c>
      <c r="SY79" s="28">
        <f>SUMPRODUCT(INDEX(PortfolioRef[[SPY]:[PE]],MATCH(SY$1,PortfolioRef[Reference '#]),0),AssetMonthlyReturns[[#This Row],[SPY]:[PE]])</f>
        <v>-4.3665468098789233E-2</v>
      </c>
      <c r="SZ79" s="27">
        <f>IF(ISNUMBER(SZ78),SZ78*(1+PortfolioFrontier[[#This Row],[P130 Return]]),1+PortfolioFrontier[[#This Row],[P130 Return]])</f>
        <v>1.4971976027948348</v>
      </c>
      <c r="TA79" s="27">
        <f>MAX(TA78,PortfolioFrontier[[#This Row],[P130 Growth]])</f>
        <v>1.720142179322633</v>
      </c>
      <c r="TB79" s="27">
        <f>PortfolioFrontier[[#This Row],[P130 Growth]]/PortfolioFrontier[[#This Row],[P130 HWM]]-1</f>
        <v>-0.12960822611511713</v>
      </c>
      <c r="TC79" s="28">
        <f>SUMPRODUCT(INDEX(PortfolioRef[[SPY]:[PE]],MATCH(TC$1,PortfolioRef[Reference '#]),0),AssetMonthlyReturns[[#This Row],[SPY]:[PE]])</f>
        <v>-4.2346759926654091E-2</v>
      </c>
      <c r="TD79" s="27">
        <f>IF(ISNUMBER(TD78),TD78*(1+PortfolioFrontier[[#This Row],[P131 Return]]),1+PortfolioFrontier[[#This Row],[P131 Return]])</f>
        <v>1.4852278456682531</v>
      </c>
      <c r="TE79" s="27">
        <f>MAX(TE78,PortfolioFrontier[[#This Row],[P131 Growth]])</f>
        <v>1.6891185966988822</v>
      </c>
      <c r="TF79" s="27">
        <f>PortfolioFrontier[[#This Row],[P131 Growth]]/PortfolioFrontier[[#This Row],[P131 HWM]]-1</f>
        <v>-0.12070836910392302</v>
      </c>
      <c r="TG79" s="28">
        <f>SUMPRODUCT(INDEX(PortfolioRef[[SPY]:[PE]],MATCH(TG$1,PortfolioRef[Reference '#]),0),AssetMonthlyReturns[[#This Row],[SPY]:[PE]])</f>
        <v>-4.1028051754518957E-2</v>
      </c>
      <c r="TH79" s="27">
        <f>IF(ISNUMBER(TH78),TH78*(1+PortfolioFrontier[[#This Row],[P132 Return]]),1+PortfolioFrontier[[#This Row],[P132 Return]])</f>
        <v>1.4725451582626627</v>
      </c>
      <c r="TI79" s="27">
        <f>MAX(TI78,PortfolioFrontier[[#This Row],[P132 Growth]])</f>
        <v>1.6579261593145806</v>
      </c>
      <c r="TJ79" s="27">
        <f>PortfolioFrontier[[#This Row],[P132 Growth]]/PortfolioFrontier[[#This Row],[P132 HWM]]-1</f>
        <v>-0.11181499248950755</v>
      </c>
      <c r="TK79" s="28">
        <f>SUMPRODUCT(INDEX(PortfolioRef[[SPY]:[PE]],MATCH(TK$1,PortfolioRef[Reference '#]),0),AssetMonthlyReturns[[#This Row],[SPY]:[PE]])</f>
        <v>-4.2076882537430735E-2</v>
      </c>
      <c r="TL79" s="27">
        <f>IF(ISNUMBER(TL78),TL78*(1+PortfolioFrontier[[#This Row],[P133 Return]]),1+PortfolioFrontier[[#This Row],[P133 Return]])</f>
        <v>1.5079394197811082</v>
      </c>
      <c r="TM79" s="27">
        <f>MAX(TM78,PortfolioFrontier[[#This Row],[P133 Growth]])</f>
        <v>1.7171102853087914</v>
      </c>
      <c r="TN79" s="27">
        <f>PortfolioFrontier[[#This Row],[P133 Growth]]/PortfolioFrontier[[#This Row],[P133 HWM]]-1</f>
        <v>-0.12181562670569379</v>
      </c>
      <c r="TO79" s="28">
        <f>SUMPRODUCT(INDEX(PortfolioRef[[SPY]:[PE]],MATCH(TO$1,PortfolioRef[Reference '#]),0),AssetMonthlyReturns[[#This Row],[SPY]:[PE]])</f>
        <v>-4.0758174365295601E-2</v>
      </c>
      <c r="TP79" s="27">
        <f>IF(ISNUMBER(TP78),TP78*(1+PortfolioFrontier[[#This Row],[P134 Return]]),1+PortfolioFrontier[[#This Row],[P134 Return]])</f>
        <v>1.4952986802895198</v>
      </c>
      <c r="TQ79" s="27">
        <f>MAX(TQ78,PortfolioFrontier[[#This Row],[P134 Growth]])</f>
        <v>1.6856432974461595</v>
      </c>
      <c r="TR79" s="27">
        <f>PortfolioFrontier[[#This Row],[P134 Growth]]/PortfolioFrontier[[#This Row],[P134 HWM]]-1</f>
        <v>-0.1129210536090417</v>
      </c>
      <c r="TS79" s="28">
        <f>SUMPRODUCT(INDEX(PortfolioRef[[SPY]:[PE]],MATCH(TS$1,PortfolioRef[Reference '#]),0),AssetMonthlyReturns[[#This Row],[SPY]:[PE]])</f>
        <v>-3.9439466193160452E-2</v>
      </c>
      <c r="TT79" s="27">
        <f>IF(ISNUMBER(TT78),TT78*(1+PortfolioFrontier[[#This Row],[P135 Return]]),1+PortfolioFrontier[[#This Row],[P135 Return]])</f>
        <v>1.4819541683888673</v>
      </c>
      <c r="TU79" s="27">
        <f>MAX(TU78,PortfolioFrontier[[#This Row],[P135 Growth]])</f>
        <v>1.6540304901705998</v>
      </c>
      <c r="TV79" s="27">
        <f>PortfolioFrontier[[#This Row],[P135 Growth]]/PortfolioFrontier[[#This Row],[P135 HWM]]-1</f>
        <v>-0.1040345524488997</v>
      </c>
      <c r="TW79" s="28">
        <f>SUMPRODUCT(INDEX(PortfolioRef[[SPY]:[PE]],MATCH(TW$1,PortfolioRef[Reference '#]),0),AssetMonthlyReturns[[#This Row],[SPY]:[PE]])</f>
        <v>-4.3611495484224612E-2</v>
      </c>
      <c r="TX79" s="27">
        <f>IF(ISNUMBER(TX78),TX78*(1+PortfolioFrontier[[#This Row],[P136 Return]]),1+PortfolioFrontier[[#This Row],[P136 Return]])</f>
        <v>1.5145696967114375</v>
      </c>
      <c r="TY79" s="27">
        <f>MAX(TY78,PortfolioFrontier[[#This Row],[P136 Growth]])</f>
        <v>1.7361155602147582</v>
      </c>
      <c r="TZ79" s="27">
        <f>PortfolioFrontier[[#This Row],[P136 Growth]]/PortfolioFrontier[[#This Row],[P136 HWM]]-1</f>
        <v>-0.12761009035361415</v>
      </c>
      <c r="UA79" s="28">
        <f>SUMPRODUCT(INDEX(PortfolioRef[[SPY]:[PE]],MATCH(UA$1,PortfolioRef[Reference '#]),0),AssetMonthlyReturns[[#This Row],[SPY]:[PE]])</f>
        <v>-4.2292787312089471E-2</v>
      </c>
      <c r="UB79" s="27">
        <f>IF(ISNUMBER(UB78),UB78*(1+PortfolioFrontier[[#This Row],[P137 Return]]),1+PortfolioFrontier[[#This Row],[P137 Return]])</f>
        <v>1.5025027870325114</v>
      </c>
      <c r="UC79" s="27">
        <f>MAX(UC78,PortfolioFrontier[[#This Row],[P137 Growth]])</f>
        <v>1.7048691873265751</v>
      </c>
      <c r="UD79" s="27">
        <f>PortfolioFrontier[[#This Row],[P137 Growth]]/PortfolioFrontier[[#This Row],[P137 HWM]]-1</f>
        <v>-0.11869907779340938</v>
      </c>
      <c r="UE79" s="28">
        <f>SUMPRODUCT(INDEX(PortfolioRef[[SPY]:[PE]],MATCH(UE$1,PortfolioRef[Reference '#]),0),AssetMonthlyReturns[[#This Row],[SPY]:[PE]])</f>
        <v>-4.0974079139954322E-2</v>
      </c>
      <c r="UF79" s="27">
        <f>IF(ISNUMBER(UF78),UF78*(1+PortfolioFrontier[[#This Row],[P138 Return]]),1+PortfolioFrontier[[#This Row],[P138 Return]])</f>
        <v>1.4897143938129094</v>
      </c>
      <c r="UG79" s="27">
        <f>MAX(UG78,PortfolioFrontier[[#This Row],[P138 Growth]])</f>
        <v>1.6734502822541619</v>
      </c>
      <c r="UH79" s="27">
        <f>PortfolioFrontier[[#This Row],[P138 Growth]]/PortfolioFrontier[[#This Row],[P138 HWM]]-1</f>
        <v>-0.10979465024425916</v>
      </c>
      <c r="UI79" s="28">
        <f>SUMPRODUCT(INDEX(PortfolioRef[[SPY]:[PE]],MATCH(UI$1,PortfolioRef[Reference '#]),0),AssetMonthlyReturns[[#This Row],[SPY]:[PE]])</f>
        <v>-4.5146108431018482E-2</v>
      </c>
      <c r="UJ79" s="27">
        <f>IF(ISNUMBER(UJ78),UJ78*(1+PortfolioFrontier[[#This Row],[P139 Return]]),1+PortfolioFrontier[[#This Row],[P139 Return]])</f>
        <v>1.5202904924188561</v>
      </c>
      <c r="UK79" s="27">
        <f>MAX(UK78,PortfolioFrontier[[#This Row],[P139 Growth]])</f>
        <v>1.7543965710992384</v>
      </c>
      <c r="UL79" s="27">
        <f>PortfolioFrontier[[#This Row],[P139 Growth]]/PortfolioFrontier[[#This Row],[P139 HWM]]-1</f>
        <v>-0.13343965813481973</v>
      </c>
      <c r="UM79" s="28">
        <f>SUMPRODUCT(INDEX(PortfolioRef[[SPY]:[PE]],MATCH(UM$1,PortfolioRef[Reference '#]),0),AssetMonthlyReturns[[#This Row],[SPY]:[PE]])</f>
        <v>-4.3827400258883341E-2</v>
      </c>
      <c r="UN79" s="27">
        <f>IF(ISNUMBER(UN78),UN78*(1+PortfolioFrontier[[#This Row],[P140 Return]]),1+PortfolioFrontier[[#This Row],[P140 Return]])</f>
        <v>1.5088135957663391</v>
      </c>
      <c r="UO79" s="27">
        <f>MAX(UO78,PortfolioFrontier[[#This Row],[P140 Growth]])</f>
        <v>1.7234002022793458</v>
      </c>
      <c r="UP79" s="27">
        <f>PortfolioFrontier[[#This Row],[P140 Growth]]/PortfolioFrontier[[#This Row],[P140 HWM]]-1</f>
        <v>-0.1245135089511985</v>
      </c>
      <c r="UQ79" s="28">
        <f>SUMPRODUCT(INDEX(PortfolioRef[[SPY]:[PE]],MATCH(UQ$1,PortfolioRef[Reference '#]),0),AssetMonthlyReturns[[#This Row],[SPY]:[PE]])</f>
        <v>-4.2508692086748193E-2</v>
      </c>
      <c r="UR79" s="27">
        <f>IF(ISNUMBER(UR78),UR78*(1+PortfolioFrontier[[#This Row],[P141 Return]]),1+PortfolioFrontier[[#This Row],[P141 Return]])</f>
        <v>1.4965980868989062</v>
      </c>
      <c r="US79" s="27">
        <f>MAX(US78,PortfolioFrontier[[#This Row],[P141 Growth]])</f>
        <v>1.6922041432386774</v>
      </c>
      <c r="UT79" s="27">
        <f>PortfolioFrontier[[#This Row],[P141 Growth]]/PortfolioFrontier[[#This Row],[P141 HWM]]-1</f>
        <v>-0.11559246981005766</v>
      </c>
    </row>
    <row r="80" spans="2:566" x14ac:dyDescent="0.2">
      <c r="B80" s="41">
        <f>AssetMonthlyReturns[[#This Row],[Date]]</f>
        <v>44805</v>
      </c>
      <c r="C80" s="28">
        <f>SUMPRODUCT(INDEX(PortfolioRef[[SPY]:[PE]],MATCH(C$1,PortfolioRef[Reference '#]),0),AssetMonthlyReturns[[#This Row],[SPY]:[PE]])</f>
        <v>-7.5652309011630142E-2</v>
      </c>
      <c r="D80" s="29">
        <f>IF(ISNUMBER(D79),D79*(1+PortfolioFrontier[[#This Row],[P1 Return]]),1+PortfolioFrontier[[#This Row],[P1 Return]])</f>
        <v>1.5766405842860793</v>
      </c>
      <c r="E80" s="29">
        <f>MAX(E79,PortfolioFrontier[[#This Row],[P1 Growth]])</f>
        <v>1.9531239567566241</v>
      </c>
      <c r="F80" s="29">
        <f>PortfolioFrontier[[#This Row],[P1 Growth]]/PortfolioFrontier[[#This Row],[P1 HWM]]-1</f>
        <v>-0.19275958966564344</v>
      </c>
      <c r="G80" s="28">
        <f>SUMPRODUCT(INDEX(PortfolioRef[[SPY]:[PE]],MATCH(G$1,PortfolioRef[Reference '#]),0),AssetMonthlyReturns[[#This Row],[SPY]:[PE]])</f>
        <v>-7.2921863482587668E-2</v>
      </c>
      <c r="H80" s="27">
        <f>IF(ISNUMBER(H79),H79*(1+PortfolioFrontier[[#This Row],[P2 Return]]),1+PortfolioFrontier[[#This Row],[P2 Return]])</f>
        <v>1.5275254581361974</v>
      </c>
      <c r="I80" s="27">
        <f>MAX(I79,PortfolioFrontier[[#This Row],[P2 Growth]])</f>
        <v>1.880902671218339</v>
      </c>
      <c r="J80" s="27">
        <f>PortfolioFrontier[[#This Row],[P2 Growth]]/PortfolioFrontier[[#This Row],[P2 HWM]]-1</f>
        <v>-0.18787639492969854</v>
      </c>
      <c r="K80" s="28">
        <f>SUMPRODUCT(INDEX(PortfolioRef[[SPY]:[PE]],MATCH(K$1,PortfolioRef[Reference '#]),0),AssetMonthlyReturns[[#This Row],[SPY]:[PE]])</f>
        <v>-7.2288459006746963E-2</v>
      </c>
      <c r="L80" s="27">
        <f>IF(ISNUMBER(L79),L79*(1+PortfolioFrontier[[#This Row],[P3 Return]]),1+PortfolioFrontier[[#This Row],[P3 Return]])</f>
        <v>1.5464315609831489</v>
      </c>
      <c r="M80" s="27">
        <f>MAX(M79,PortfolioFrontier[[#This Row],[P3 Growth]])</f>
        <v>1.8984394560781046</v>
      </c>
      <c r="N80" s="27">
        <f>PortfolioFrontier[[#This Row],[P3 Growth]]/PortfolioFrontier[[#This Row],[P3 HWM]]-1</f>
        <v>-0.18541960554388814</v>
      </c>
      <c r="O80" s="28">
        <f>SUMPRODUCT(INDEX(PortfolioRef[[SPY]:[PE]],MATCH(O$1,PortfolioRef[Reference '#]),0),AssetMonthlyReturns[[#This Row],[SPY]:[PE]])</f>
        <v>-7.7746845109493423E-2</v>
      </c>
      <c r="P80" s="27">
        <f>IF(ISNUMBER(P79),P79*(1+PortfolioFrontier[[#This Row],[P4 Return]]),1+PortfolioFrontier[[#This Row],[P4 Return]])</f>
        <v>1.5439246476934683</v>
      </c>
      <c r="Q80" s="27">
        <f>MAX(Q79,PortfolioFrontier[[#This Row],[P4 Growth]])</f>
        <v>1.9193367929729268</v>
      </c>
      <c r="R80" s="27">
        <f>PortfolioFrontier[[#This Row],[P4 Growth]]/PortfolioFrontier[[#This Row],[P4 HWM]]-1</f>
        <v>-0.19559472139226264</v>
      </c>
      <c r="S80" s="28">
        <f>SUMPRODUCT(INDEX(PortfolioRef[[SPY]:[PE]],MATCH(S$1,PortfolioRef[Reference '#]),0),AssetMonthlyReturns[[#This Row],[SPY]:[PE]])</f>
        <v>-7.0764040364343E-2</v>
      </c>
      <c r="T80" s="27">
        <f>IF(ISNUMBER(T79),T79*(1+PortfolioFrontier[[#This Row],[P5 Return]]),1+PortfolioFrontier[[#This Row],[P5 Return]])</f>
        <v>1.5427709237880927</v>
      </c>
      <c r="U80" s="27">
        <f>MAX(U79,PortfolioFrontier[[#This Row],[P5 Growth]])</f>
        <v>1.8841834525169079</v>
      </c>
      <c r="V80" s="27">
        <f>PortfolioFrontier[[#This Row],[P5 Growth]]/PortfolioFrontier[[#This Row],[P5 HWM]]-1</f>
        <v>-0.1811991970700908</v>
      </c>
      <c r="W80" s="28">
        <f>SUMPRODUCT(INDEX(PortfolioRef[[SPY]:[PE]],MATCH(W$1,PortfolioRef[Reference '#]),0),AssetMonthlyReturns[[#This Row],[SPY]:[PE]])</f>
        <v>-7.0191417953545207E-2</v>
      </c>
      <c r="X80" s="27">
        <f>IF(ISNUMBER(X79),X79*(1+PortfolioFrontier[[#This Row],[P6 Return]]),1+PortfolioFrontier[[#This Row],[P6 Return]])</f>
        <v>1.4793451605446155</v>
      </c>
      <c r="Y80" s="27">
        <f>MAX(Y79,PortfolioFrontier[[#This Row],[P6 Growth]])</f>
        <v>1.8107203423144032</v>
      </c>
      <c r="Z80" s="27">
        <f>PortfolioFrontier[[#This Row],[P6 Growth]]/PortfolioFrontier[[#This Row],[P6 HWM]]-1</f>
        <v>-0.18300737779652643</v>
      </c>
      <c r="AA80" s="28">
        <f>SUMPRODUCT(INDEX(PortfolioRef[[SPY]:[PE]],MATCH(AA$1,PortfolioRef[Reference '#]),0),AssetMonthlyReturns[[#This Row],[SPY]:[PE]])</f>
        <v>-6.9558013477704517E-2</v>
      </c>
      <c r="AB80" s="27">
        <f>IF(ISNUMBER(AB79),AB79*(1+PortfolioFrontier[[#This Row],[P7 Return]]),1+PortfolioFrontier[[#This Row],[P7 Return]])</f>
        <v>1.4976652856447075</v>
      </c>
      <c r="AC80" s="27">
        <f>MAX(AC79,PortfolioFrontier[[#This Row],[P7 Growth]])</f>
        <v>1.8276317298765399</v>
      </c>
      <c r="AD80" s="27">
        <f>PortfolioFrontier[[#This Row],[P7 Growth]]/PortfolioFrontier[[#This Row],[P7 HWM]]-1</f>
        <v>-0.18054317991848512</v>
      </c>
      <c r="AE80" s="28">
        <f>SUMPRODUCT(INDEX(PortfolioRef[[SPY]:[PE]],MATCH(AE$1,PortfolioRef[Reference '#]),0),AssetMonthlyReturns[[#This Row],[SPY]:[PE]])</f>
        <v>-7.5016399580450949E-2</v>
      </c>
      <c r="AF80" s="27">
        <f>IF(ISNUMBER(AF79),AF79*(1+PortfolioFrontier[[#This Row],[P8 Return]]),1+PortfolioFrontier[[#This Row],[P8 Return]])</f>
        <v>1.4957297257659703</v>
      </c>
      <c r="AG80" s="27">
        <f>MAX(AG79,PortfolioFrontier[[#This Row],[P8 Growth]])</f>
        <v>1.8482324314062795</v>
      </c>
      <c r="AH80" s="27">
        <f>PortfolioFrontier[[#This Row],[P8 Growth]]/PortfolioFrontier[[#This Row],[P8 HWM]]-1</f>
        <v>-0.19072422907983366</v>
      </c>
      <c r="AI80" s="28">
        <f>SUMPRODUCT(INDEX(PortfolioRef[[SPY]:[PE]],MATCH(AI$1,PortfolioRef[Reference '#]),0),AssetMonthlyReturns[[#This Row],[SPY]:[PE]])</f>
        <v>-6.8033594835300554E-2</v>
      </c>
      <c r="AJ80" s="27">
        <f>IF(ISNUMBER(AJ79),AJ79*(1+PortfolioFrontier[[#This Row],[P9 Return]]),1+PortfolioFrontier[[#This Row],[P9 Return]])</f>
        <v>1.494124929897465</v>
      </c>
      <c r="AK80" s="27">
        <f>MAX(AK79,PortfolioFrontier[[#This Row],[P9 Growth]])</f>
        <v>1.8139467261629987</v>
      </c>
      <c r="AL80" s="27">
        <f>PortfolioFrontier[[#This Row],[P9 Growth]]/PortfolioFrontier[[#This Row],[P9 HWM]]-1</f>
        <v>-0.17631267316325527</v>
      </c>
      <c r="AM80" s="28">
        <f>SUMPRODUCT(INDEX(PortfolioRef[[SPY]:[PE]],MATCH(AM$1,PortfolioRef[Reference '#]),0),AssetMonthlyReturns[[#This Row],[SPY]:[PE]])</f>
        <v>-6.8924609001863812E-2</v>
      </c>
      <c r="AN80" s="27">
        <f>IF(ISNUMBER(AN79),AN79*(1+PortfolioFrontier[[#This Row],[P10 Return]]),1+PortfolioFrontier[[#This Row],[P10 Return]])</f>
        <v>1.5158686402639312</v>
      </c>
      <c r="AO80" s="27">
        <f>MAX(AO79,PortfolioFrontier[[#This Row],[P10 Growth]])</f>
        <v>1.8443368551596837</v>
      </c>
      <c r="AP80" s="27">
        <f>PortfolioFrontier[[#This Row],[P10 Growth]]/PortfolioFrontier[[#This Row],[P10 HWM]]-1</f>
        <v>-0.17809556533929027</v>
      </c>
      <c r="AQ80" s="28">
        <f>SUMPRODUCT(INDEX(PortfolioRef[[SPY]:[PE]],MATCH(AQ$1,PortfolioRef[Reference '#]),0),AssetMonthlyReturns[[#This Row],[SPY]:[PE]])</f>
        <v>-7.4382995104610258E-2</v>
      </c>
      <c r="AR80" s="27">
        <f>IF(ISNUMBER(AR79),AR79*(1+PortfolioFrontier[[#This Row],[P11 Return]]),1+PortfolioFrontier[[#This Row],[P11 Return]])</f>
        <v>1.5142192946936917</v>
      </c>
      <c r="AS80" s="27">
        <f>MAX(AS79,PortfolioFrontier[[#This Row],[P11 Growth]])</f>
        <v>1.865449984246593</v>
      </c>
      <c r="AT80" s="27">
        <f>PortfolioFrontier[[#This Row],[P11 Growth]]/PortfolioFrontier[[#This Row],[P11 HWM]]-1</f>
        <v>-0.18828201909404418</v>
      </c>
      <c r="AU80" s="28">
        <f>SUMPRODUCT(INDEX(PortfolioRef[[SPY]:[PE]],MATCH(AU$1,PortfolioRef[Reference '#]),0),AssetMonthlyReturns[[#This Row],[SPY]:[PE]])</f>
        <v>-6.7400190359459849E-2</v>
      </c>
      <c r="AV80" s="27">
        <f>IF(ISNUMBER(AV79),AV79*(1+PortfolioFrontier[[#This Row],[P12 Return]]),1+PortfolioFrontier[[#This Row],[P12 Return]])</f>
        <v>1.5126292242073192</v>
      </c>
      <c r="AW80" s="27">
        <f>MAX(AW79,PortfolioFrontier[[#This Row],[P12 Growth]])</f>
        <v>1.8309154354259589</v>
      </c>
      <c r="AX80" s="27">
        <f>PortfolioFrontier[[#This Row],[P12 Growth]]/PortfolioFrontier[[#This Row],[P12 HWM]]-1</f>
        <v>-0.17383993004821174</v>
      </c>
      <c r="AY80" s="28">
        <f>SUMPRODUCT(INDEX(PortfolioRef[[SPY]:[PE]],MATCH(AY$1,PortfolioRef[Reference '#]),0),AssetMonthlyReturns[[#This Row],[SPY]:[PE]])</f>
        <v>-7.9841381207356704E-2</v>
      </c>
      <c r="AZ80" s="27">
        <f>IF(ISNUMBER(AZ79),AZ79*(1+PortfolioFrontier[[#This Row],[P13 Return]]),1+PortfolioFrontier[[#This Row],[P13 Return]])</f>
        <v>1.5115920253143191</v>
      </c>
      <c r="BA80" s="27">
        <f>MAX(BA79,PortfolioFrontier[[#This Row],[P13 Growth]])</f>
        <v>1.8858075751364967</v>
      </c>
      <c r="BB80" s="27">
        <f>PortfolioFrontier[[#This Row],[P13 Growth]]/PortfolioFrontier[[#This Row],[P13 HWM]]-1</f>
        <v>-0.1984378230080508</v>
      </c>
      <c r="BC80" s="28">
        <f>SUMPRODUCT(INDEX(PortfolioRef[[SPY]:[PE]],MATCH(BC$1,PortfolioRef[Reference '#]),0),AssetMonthlyReturns[[#This Row],[SPY]:[PE]])</f>
        <v>-7.2858576462206295E-2</v>
      </c>
      <c r="BD80" s="27">
        <f>IF(ISNUMBER(BD79),BD79*(1+PortfolioFrontier[[#This Row],[P14 Return]]),1+PortfolioFrontier[[#This Row],[P14 Return]])</f>
        <v>1.5107024571877199</v>
      </c>
      <c r="BE80" s="27">
        <f>MAX(BE79,PortfolioFrontier[[#This Row],[P14 Growth]])</f>
        <v>1.8515113734383843</v>
      </c>
      <c r="BF80" s="27">
        <f>PortfolioFrontier[[#This Row],[P14 Growth]]/PortfolioFrontier[[#This Row],[P14 HWM]]-1</f>
        <v>-0.18407065770152886</v>
      </c>
      <c r="BG80" s="28">
        <f>SUMPRODUCT(INDEX(PortfolioRef[[SPY]:[PE]],MATCH(BG$1,PortfolioRef[Reference '#]),0),AssetMonthlyReturns[[#This Row],[SPY]:[PE]])</f>
        <v>-6.5875771717055887E-2</v>
      </c>
      <c r="BH80" s="27">
        <f>IF(ISNUMBER(BH79),BH79*(1+PortfolioFrontier[[#This Row],[P15 Return]]),1+PortfolioFrontier[[#This Row],[P15 Return]])</f>
        <v>1.5089018901345328</v>
      </c>
      <c r="BI80" s="27">
        <f>MAX(BI79,PortfolioFrontier[[#This Row],[P15 Growth]])</f>
        <v>1.8170439473092146</v>
      </c>
      <c r="BJ80" s="27">
        <f>PortfolioFrontier[[#This Row],[P15 Growth]]/PortfolioFrontier[[#This Row],[P15 HWM]]-1</f>
        <v>-0.16958426219189504</v>
      </c>
      <c r="BK80" s="28">
        <f>SUMPRODUCT(INDEX(PortfolioRef[[SPY]:[PE]],MATCH(BK$1,PortfolioRef[Reference '#]),0),AssetMonthlyReturns[[#This Row],[SPY]:[PE]])</f>
        <v>-6.7460972424502746E-2</v>
      </c>
      <c r="BL80" s="27">
        <f>IF(ISNUMBER(BL79),BL79*(1+PortfolioFrontier[[#This Row],[P16 Return]]),1+PortfolioFrontier[[#This Row],[P16 Return]])</f>
        <v>1.4321088982855947</v>
      </c>
      <c r="BM80" s="27">
        <f>MAX(BM79,PortfolioFrontier[[#This Row],[P16 Growth]])</f>
        <v>1.7425494832470445</v>
      </c>
      <c r="BN80" s="27">
        <f>PortfolioFrontier[[#This Row],[P16 Growth]]/PortfolioFrontier[[#This Row],[P16 HWM]]-1</f>
        <v>-0.17815309576344351</v>
      </c>
      <c r="BO80" s="28">
        <f>SUMPRODUCT(INDEX(PortfolioRef[[SPY]:[PE]],MATCH(BO$1,PortfolioRef[Reference '#]),0),AssetMonthlyReturns[[#This Row],[SPY]:[PE]])</f>
        <v>-6.6827567948662042E-2</v>
      </c>
      <c r="BP80" s="27">
        <f>IF(ISNUMBER(BP79),BP79*(1+PortfolioFrontier[[#This Row],[P17 Return]]),1+PortfolioFrontier[[#This Row],[P17 Return]])</f>
        <v>1.449854470163831</v>
      </c>
      <c r="BQ80" s="27">
        <f>MAX(BQ79,PortfolioFrontier[[#This Row],[P17 Growth]])</f>
        <v>1.7588525148836969</v>
      </c>
      <c r="BR80" s="27">
        <f>PortfolioFrontier[[#This Row],[P17 Growth]]/PortfolioFrontier[[#This Row],[P17 HWM]]-1</f>
        <v>-0.17568161179238972</v>
      </c>
      <c r="BS80" s="28">
        <f>SUMPRODUCT(INDEX(PortfolioRef[[SPY]:[PE]],MATCH(BS$1,PortfolioRef[Reference '#]),0),AssetMonthlyReturns[[#This Row],[SPY]:[PE]])</f>
        <v>-7.2285954051408488E-2</v>
      </c>
      <c r="BT80" s="27">
        <f>IF(ISNUMBER(BT79),BT79*(1+PortfolioFrontier[[#This Row],[P18 Return]]),1+PortfolioFrontier[[#This Row],[P18 Return]])</f>
        <v>1.4484557624280125</v>
      </c>
      <c r="BU80" s="27">
        <f>MAX(BU79,PortfolioFrontier[[#This Row],[P18 Growth]])</f>
        <v>1.7791407441475846</v>
      </c>
      <c r="BV80" s="27">
        <f>PortfolioFrontier[[#This Row],[P18 Growth]]/PortfolioFrontier[[#This Row],[P18 HWM]]-1</f>
        <v>-0.18586780321194241</v>
      </c>
      <c r="BW80" s="28">
        <f>SUMPRODUCT(INDEX(PortfolioRef[[SPY]:[PE]],MATCH(BW$1,PortfolioRef[Reference '#]),0),AssetMonthlyReturns[[#This Row],[SPY]:[PE]])</f>
        <v>-6.5303149306258079E-2</v>
      </c>
      <c r="BX80" s="27">
        <f>IF(ISNUMBER(BX79),BX79*(1+PortfolioFrontier[[#This Row],[P19 Return]]),1+PortfolioFrontier[[#This Row],[P19 Return]])</f>
        <v>1.4464313340047519</v>
      </c>
      <c r="BY80" s="27">
        <f>MAX(BY79,PortfolioFrontier[[#This Row],[P19 Growth]])</f>
        <v>1.7457196180719312</v>
      </c>
      <c r="BZ80" s="27">
        <f>PortfolioFrontier[[#This Row],[P19 Growth]]/PortfolioFrontier[[#This Row],[P19 HWM]]-1</f>
        <v>-0.17144121024298842</v>
      </c>
      <c r="CA80" s="28">
        <f>SUMPRODUCT(INDEX(PortfolioRef[[SPY]:[PE]],MATCH(CA$1,PortfolioRef[Reference '#]),0),AssetMonthlyReturns[[#This Row],[SPY]:[PE]])</f>
        <v>-6.6194163472821338E-2</v>
      </c>
      <c r="CB80" s="27">
        <f>IF(ISNUMBER(CB79),CB79*(1+PortfolioFrontier[[#This Row],[P20 Return]]),1+PortfolioFrontier[[#This Row],[P20 Return]])</f>
        <v>1.4674865301376865</v>
      </c>
      <c r="CC80" s="27">
        <f>MAX(CC79,PortfolioFrontier[[#This Row],[P20 Growth]])</f>
        <v>1.7749567522517573</v>
      </c>
      <c r="CD80" s="27">
        <f>PortfolioFrontier[[#This Row],[P20 Growth]]/PortfolioFrontier[[#This Row],[P20 HWM]]-1</f>
        <v>-0.17322688100654049</v>
      </c>
      <c r="CE80" s="28">
        <f>SUMPRODUCT(INDEX(PortfolioRef[[SPY]:[PE]],MATCH(CE$1,PortfolioRef[Reference '#]),0),AssetMonthlyReturns[[#This Row],[SPY]:[PE]])</f>
        <v>-7.1652549575567798E-2</v>
      </c>
      <c r="CF80" s="27">
        <f>IF(ISNUMBER(CF79),CF79*(1+PortfolioFrontier[[#This Row],[P21 Return]]),1+PortfolioFrontier[[#This Row],[P21 Return]])</f>
        <v>1.4663712632319312</v>
      </c>
      <c r="CG80" s="27">
        <f>MAX(CG79,PortfolioFrontier[[#This Row],[P21 Growth]])</f>
        <v>1.795743356031652</v>
      </c>
      <c r="CH80" s="27">
        <f>PortfolioFrontier[[#This Row],[P21 Growth]]/PortfolioFrontier[[#This Row],[P21 HWM]]-1</f>
        <v>-0.18341824386731309</v>
      </c>
      <c r="CI80" s="28">
        <f>SUMPRODUCT(INDEX(PortfolioRef[[SPY]:[PE]],MATCH(CI$1,PortfolioRef[Reference '#]),0),AssetMonthlyReturns[[#This Row],[SPY]:[PE]])</f>
        <v>-6.4669744830417375E-2</v>
      </c>
      <c r="CJ80" s="27">
        <f>IF(ISNUMBER(CJ79),CJ79*(1+PortfolioFrontier[[#This Row],[P22 Return]]),1+PortfolioFrontier[[#This Row],[P22 Return]])</f>
        <v>1.4643555189858211</v>
      </c>
      <c r="CK80" s="27">
        <f>MAX(CK79,PortfolioFrontier[[#This Row],[P22 Growth]])</f>
        <v>1.7620784578443487</v>
      </c>
      <c r="CL80" s="27">
        <f>PortfolioFrontier[[#This Row],[P22 Growth]]/PortfolioFrontier[[#This Row],[P22 HWM]]-1</f>
        <v>-0.16896122731263008</v>
      </c>
      <c r="CM80" s="28">
        <f>SUMPRODUCT(INDEX(PortfolioRef[[SPY]:[PE]],MATCH(CM$1,PortfolioRef[Reference '#]),0),AssetMonthlyReturns[[#This Row],[SPY]:[PE]])</f>
        <v>-7.7110935678314244E-2</v>
      </c>
      <c r="CN80" s="27">
        <f>IF(ISNUMBER(CN79),CN79*(1+PortfolioFrontier[[#This Row],[P23 Return]]),1+PortfolioFrontier[[#This Row],[P23 Return]])</f>
        <v>1.4643095682655236</v>
      </c>
      <c r="CO80" s="27">
        <f>MAX(CO79,PortfolioFrontier[[#This Row],[P23 Growth]])</f>
        <v>1.8158151760868648</v>
      </c>
      <c r="CP80" s="27">
        <f>PortfolioFrontier[[#This Row],[P23 Growth]]/PortfolioFrontier[[#This Row],[P23 HWM]]-1</f>
        <v>-0.19358005839495529</v>
      </c>
      <c r="CQ80" s="28">
        <f>SUMPRODUCT(INDEX(PortfolioRef[[SPY]:[PE]],MATCH(CQ$1,PortfolioRef[Reference '#]),0),AssetMonthlyReturns[[#This Row],[SPY]:[PE]])</f>
        <v>-7.0128130933163835E-2</v>
      </c>
      <c r="CR80" s="27">
        <f>IF(ISNUMBER(CR79),CR79*(1+PortfolioFrontier[[#This Row],[P24 Return]]),1+PortfolioFrontier[[#This Row],[P24 Return]])</f>
        <v>1.4629700247570712</v>
      </c>
      <c r="CS80" s="27">
        <f>MAX(CS79,PortfolioFrontier[[#This Row],[P24 Growth]])</f>
        <v>1.7823638134718676</v>
      </c>
      <c r="CT80" s="27">
        <f>PortfolioFrontier[[#This Row],[P24 Growth]]/PortfolioFrontier[[#This Row],[P24 HWM]]-1</f>
        <v>-0.17919674215818437</v>
      </c>
      <c r="CU80" s="28">
        <f>SUMPRODUCT(INDEX(PortfolioRef[[SPY]:[PE]],MATCH(CU$1,PortfolioRef[Reference '#]),0),AssetMonthlyReturns[[#This Row],[SPY]:[PE]])</f>
        <v>-6.3145326188013412E-2</v>
      </c>
      <c r="CV80" s="27">
        <f>IF(ISNUMBER(CV79),CV79*(1+PortfolioFrontier[[#This Row],[P25 Return]]),1+PortfolioFrontier[[#This Row],[P25 Return]])</f>
        <v>1.4607514685743315</v>
      </c>
      <c r="CW80" s="27">
        <f>MAX(CW79,PortfolioFrontier[[#This Row],[P25 Growth]])</f>
        <v>1.7487656732120247</v>
      </c>
      <c r="CX80" s="27">
        <f>PortfolioFrontier[[#This Row],[P25 Growth]]/PortfolioFrontier[[#This Row],[P25 HWM]]-1</f>
        <v>-0.16469571026556495</v>
      </c>
      <c r="CY80" s="28">
        <f>SUMPRODUCT(INDEX(PortfolioRef[[SPY]:[PE]],MATCH(CY$1,PortfolioRef[Reference '#]),0),AssetMonthlyReturns[[#This Row],[SPY]:[PE]])</f>
        <v>-7.1019145099727093E-2</v>
      </c>
      <c r="CZ80" s="27">
        <f>IF(ISNUMBER(CZ79),CZ79*(1+PortfolioFrontier[[#This Row],[P26 Return]]),1+PortfolioFrontier[[#This Row],[P26 Return]])</f>
        <v>1.4841717039070392</v>
      </c>
      <c r="DA80" s="27">
        <f>MAX(DA79,PortfolioFrontier[[#This Row],[P26 Growth]])</f>
        <v>1.8121428498945955</v>
      </c>
      <c r="DB80" s="27">
        <f>PortfolioFrontier[[#This Row],[P26 Growth]]/PortfolioFrontier[[#This Row],[P26 HWM]]-1</f>
        <v>-0.18098526063032661</v>
      </c>
      <c r="DC80" s="28">
        <f>SUMPRODUCT(INDEX(PortfolioRef[[SPY]:[PE]],MATCH(DC$1,PortfolioRef[Reference '#]),0),AssetMonthlyReturns[[#This Row],[SPY]:[PE]])</f>
        <v>-6.4036340354576671E-2</v>
      </c>
      <c r="DD80" s="27">
        <f>IF(ISNUMBER(DD79),DD79*(1+PortfolioFrontier[[#This Row],[P27 Return]]),1+PortfolioFrontier[[#This Row],[P27 Return]])</f>
        <v>1.4821653067464264</v>
      </c>
      <c r="DE80" s="27">
        <f>MAX(DE79,PortfolioFrontier[[#This Row],[P27 Growth]])</f>
        <v>1.7782387807323972</v>
      </c>
      <c r="DF80" s="27">
        <f>PortfolioFrontier[[#This Row],[P27 Growth]]/PortfolioFrontier[[#This Row],[P27 HWM]]-1</f>
        <v>-0.1664981537878889</v>
      </c>
      <c r="DG80" s="28">
        <f>SUMPRODUCT(INDEX(PortfolioRef[[SPY]:[PE]],MATCH(DG$1,PortfolioRef[Reference '#]),0),AssetMonthlyReturns[[#This Row],[SPY]:[PE]])</f>
        <v>-7.6477531202473553E-2</v>
      </c>
      <c r="DH80" s="27">
        <f>IF(ISNUMBER(DH79),DH79*(1+PortfolioFrontier[[#This Row],[P28 Return]]),1+PortfolioFrontier[[#This Row],[P28 Return]])</f>
        <v>1.4823885203440721</v>
      </c>
      <c r="DI80" s="27">
        <f>MAX(DI79,PortfolioFrontier[[#This Row],[P28 Growth]])</f>
        <v>1.8327167417336543</v>
      </c>
      <c r="DJ80" s="27">
        <f>PortfolioFrontier[[#This Row],[P28 Growth]]/PortfolioFrontier[[#This Row],[P28 HWM]]-1</f>
        <v>-0.1911524096507079</v>
      </c>
      <c r="DK80" s="28">
        <f>SUMPRODUCT(INDEX(PortfolioRef[[SPY]:[PE]],MATCH(DK$1,PortfolioRef[Reference '#]),0),AssetMonthlyReturns[[#This Row],[SPY]:[PE]])</f>
        <v>-6.949472645732313E-2</v>
      </c>
      <c r="DL80" s="27">
        <f>IF(ISNUMBER(DL79),DL79*(1+PortfolioFrontier[[#This Row],[P29 Return]]),1+PortfolioFrontier[[#This Row],[P29 Return]])</f>
        <v>1.4810661688843412</v>
      </c>
      <c r="DM80" s="27">
        <f>MAX(DM79,PortfolioFrontier[[#This Row],[P29 Growth]])</f>
        <v>1.7990232294645383</v>
      </c>
      <c r="DN80" s="27">
        <f>PortfolioFrontier[[#This Row],[P29 Growth]]/PortfolioFrontier[[#This Row],[P29 HWM]]-1</f>
        <v>-0.17673871875174951</v>
      </c>
      <c r="DO80" s="28">
        <f>SUMPRODUCT(INDEX(PortfolioRef[[SPY]:[PE]],MATCH(DO$1,PortfolioRef[Reference '#]),0),AssetMonthlyReturns[[#This Row],[SPY]:[PE]])</f>
        <v>-6.2511921712172722E-2</v>
      </c>
      <c r="DP80" s="27">
        <f>IF(ISNUMBER(DP79),DP79*(1+PortfolioFrontier[[#This Row],[P30 Return]]),1+PortfolioFrontier[[#This Row],[P30 Return]])</f>
        <v>1.4788543976610871</v>
      </c>
      <c r="DQ80" s="27">
        <f>MAX(DQ79,PortfolioFrontier[[#This Row],[P30 Growth]])</f>
        <v>1.7651792866223672</v>
      </c>
      <c r="DR80" s="27">
        <f>PortfolioFrontier[[#This Row],[P30 Growth]]/PortfolioFrontier[[#This Row],[P30 HWM]]-1</f>
        <v>-0.16220725630038224</v>
      </c>
      <c r="DS80" s="28">
        <f>SUMPRODUCT(INDEX(PortfolioRef[[SPY]:[PE]],MATCH(DS$1,PortfolioRef[Reference '#]),0),AssetMonthlyReturns[[#This Row],[SPY]:[PE]])</f>
        <v>-8.1935917305219985E-2</v>
      </c>
      <c r="DT80" s="27">
        <f>IF(ISNUMBER(DT79),DT79*(1+PortfolioFrontier[[#This Row],[P31 Return]]),1+PortfolioFrontier[[#This Row],[P31 Return]])</f>
        <v>1.4796467629693131</v>
      </c>
      <c r="DU80" s="27">
        <f>MAX(DU79,PortfolioFrontier[[#This Row],[P31 Growth]])</f>
        <v>1.8525428026208837</v>
      </c>
      <c r="DV80" s="27">
        <f>PortfolioFrontier[[#This Row],[P31 Growth]]/PortfolioFrontier[[#This Row],[P31 HWM]]-1</f>
        <v>-0.20128875787594014</v>
      </c>
      <c r="DW80" s="28">
        <f>SUMPRODUCT(INDEX(PortfolioRef[[SPY]:[PE]],MATCH(DW$1,PortfolioRef[Reference '#]),0),AssetMonthlyReturns[[#This Row],[SPY]:[PE]])</f>
        <v>-7.495311256006959E-2</v>
      </c>
      <c r="DX80" s="27">
        <f>IF(ISNUMBER(DX79),DX79*(1+PortfolioFrontier[[#This Row],[P32 Return]]),1+PortfolioFrontier[[#This Row],[P32 Return]])</f>
        <v>1.4790116284948973</v>
      </c>
      <c r="DY80" s="27">
        <f>MAX(DY79,PortfolioFrontier[[#This Row],[P32 Growth]])</f>
        <v>1.8190908915066115</v>
      </c>
      <c r="DZ80" s="27">
        <f>PortfolioFrontier[[#This Row],[P32 Growth]]/PortfolioFrontier[[#This Row],[P32 HWM]]-1</f>
        <v>-0.18695012140380352</v>
      </c>
      <c r="EA80" s="28">
        <f>SUMPRODUCT(INDEX(PortfolioRef[[SPY]:[PE]],MATCH(EA$1,PortfolioRef[Reference '#]),0),AssetMonthlyReturns[[#This Row],[SPY]:[PE]])</f>
        <v>-6.7970307814919168E-2</v>
      </c>
      <c r="EB80" s="27">
        <f>IF(ISNUMBER(EB79),EB79*(1+PortfolioFrontier[[#This Row],[P33 Return]]),1+PortfolioFrontier[[#This Row],[P33 Return]])</f>
        <v>1.4774823764602625</v>
      </c>
      <c r="EC80" s="27">
        <f>MAX(EC79,PortfolioFrontier[[#This Row],[P33 Growth]])</f>
        <v>1.7854600976944932</v>
      </c>
      <c r="ED80" s="27">
        <f>PortfolioFrontier[[#This Row],[P33 Growth]]/PortfolioFrontier[[#This Row],[P33 HWM]]-1</f>
        <v>-0.17249207732612581</v>
      </c>
      <c r="EE80" s="28">
        <f>SUMPRODUCT(INDEX(PortfolioRef[[SPY]:[PE]],MATCH(EE$1,PortfolioRef[Reference '#]),0),AssetMonthlyReturns[[#This Row],[SPY]:[PE]])</f>
        <v>-6.4730526895460272E-2</v>
      </c>
      <c r="EF80" s="27">
        <f>IF(ISNUMBER(EF79),EF79*(1+PortfolioFrontier[[#This Row],[P34 Return]]),1+PortfolioFrontier[[#This Row],[P34 Return]])</f>
        <v>1.3858243516588731</v>
      </c>
      <c r="EG80" s="27">
        <f>MAX(EG79,PortfolioFrontier[[#This Row],[P34 Growth]])</f>
        <v>1.6763614413137211</v>
      </c>
      <c r="EH80" s="27">
        <f>PortfolioFrontier[[#This Row],[P34 Growth]]/PortfolioFrontier[[#This Row],[P34 HWM]]-1</f>
        <v>-0.17331410905464495</v>
      </c>
      <c r="EI80" s="28">
        <f>SUMPRODUCT(INDEX(PortfolioRef[[SPY]:[PE]],MATCH(EI$1,PortfolioRef[Reference '#]),0),AssetMonthlyReturns[[#This Row],[SPY]:[PE]])</f>
        <v>-6.4097122419619568E-2</v>
      </c>
      <c r="EJ80" s="27">
        <f>IF(ISNUMBER(EJ79),EJ79*(1+PortfolioFrontier[[#This Row],[P35 Return]]),1+PortfolioFrontier[[#This Row],[P35 Return]])</f>
        <v>1.4030068706812076</v>
      </c>
      <c r="EK80" s="27">
        <f>MAX(EK79,PortfolioFrontier[[#This Row],[P35 Growth]])</f>
        <v>1.6920729334369538</v>
      </c>
      <c r="EL80" s="27">
        <f>PortfolioFrontier[[#This Row],[P35 Growth]]/PortfolioFrontier[[#This Row],[P35 HWM]]-1</f>
        <v>-0.17083546284768747</v>
      </c>
      <c r="EM80" s="28">
        <f>SUMPRODUCT(INDEX(PortfolioRef[[SPY]:[PE]],MATCH(EM$1,PortfolioRef[Reference '#]),0),AssetMonthlyReturns[[#This Row],[SPY]:[PE]])</f>
        <v>-6.9555508522366027E-2</v>
      </c>
      <c r="EN80" s="27">
        <f>IF(ISNUMBER(EN79),EN79*(1+PortfolioFrontier[[#This Row],[P36 Return]]),1+PortfolioFrontier[[#This Row],[P36 Return]])</f>
        <v>1.4021116589639759</v>
      </c>
      <c r="EO80" s="27">
        <f>MAX(EO79,PortfolioFrontier[[#This Row],[P36 Growth]])</f>
        <v>1.7120343963250326</v>
      </c>
      <c r="EP80" s="27">
        <f>PortfolioFrontier[[#This Row],[P36 Growth]]/PortfolioFrontier[[#This Row],[P36 HWM]]-1</f>
        <v>-0.18102599925931473</v>
      </c>
      <c r="EQ80" s="28">
        <f>SUMPRODUCT(INDEX(PortfolioRef[[SPY]:[PE]],MATCH(EQ$1,PortfolioRef[Reference '#]),0),AssetMonthlyReturns[[#This Row],[SPY]:[PE]])</f>
        <v>-6.2572703777215605E-2</v>
      </c>
      <c r="ER80" s="27">
        <f>IF(ISNUMBER(ER79),ER79*(1+PortfolioFrontier[[#This Row],[P37 Return]]),1+PortfolioFrontier[[#This Row],[P37 Return]])</f>
        <v>1.3996979327387744</v>
      </c>
      <c r="ES80" s="27">
        <f>MAX(ES79,PortfolioFrontier[[#This Row],[P37 Growth]])</f>
        <v>1.6794736802569215</v>
      </c>
      <c r="ET80" s="27">
        <f>PortfolioFrontier[[#This Row],[P37 Growth]]/PortfolioFrontier[[#This Row],[P37 HWM]]-1</f>
        <v>-0.16658537183824618</v>
      </c>
      <c r="EU80" s="28">
        <f>SUMPRODUCT(INDEX(PortfolioRef[[SPY]:[PE]],MATCH(EU$1,PortfolioRef[Reference '#]),0),AssetMonthlyReturns[[#This Row],[SPY]:[PE]])</f>
        <v>-6.3463717943778863E-2</v>
      </c>
      <c r="EV80" s="27">
        <f>IF(ISNUMBER(EV79),EV79*(1+PortfolioFrontier[[#This Row],[P38 Return]]),1+PortfolioFrontier[[#This Row],[P38 Return]])</f>
        <v>1.42007909096791</v>
      </c>
      <c r="EW80" s="27">
        <f>MAX(EW79,PortfolioFrontier[[#This Row],[P38 Growth]])</f>
        <v>1.7075928941250238</v>
      </c>
      <c r="EX80" s="27">
        <f>PortfolioFrontier[[#This Row],[P38 Growth]]/PortfolioFrontier[[#This Row],[P38 HWM]]-1</f>
        <v>-0.16837374068860644</v>
      </c>
      <c r="EY80" s="28">
        <f>SUMPRODUCT(INDEX(PortfolioRef[[SPY]:[PE]],MATCH(EY$1,PortfolioRef[Reference '#]),0),AssetMonthlyReturns[[#This Row],[SPY]:[PE]])</f>
        <v>-6.8922104046525323E-2</v>
      </c>
      <c r="EZ80" s="27">
        <f>IF(ISNUMBER(EZ79),EZ79*(1+PortfolioFrontier[[#This Row],[P39 Return]]),1+PortfolioFrontier[[#This Row],[P39 Return]])</f>
        <v>1.419464319625392</v>
      </c>
      <c r="FA80" s="27">
        <f>MAX(FA79,PortfolioFrontier[[#This Row],[P39 Growth]])</f>
        <v>1.7280388577532122</v>
      </c>
      <c r="FB80" s="27">
        <f>PortfolioFrontier[[#This Row],[P39 Growth]]/PortfolioFrontier[[#This Row],[P39 HWM]]-1</f>
        <v>-0.17856921257489966</v>
      </c>
      <c r="FC80" s="28">
        <f>SUMPRODUCT(INDEX(PortfolioRef[[SPY]:[PE]],MATCH(FC$1,PortfolioRef[Reference '#]),0),AssetMonthlyReturns[[#This Row],[SPY]:[PE]])</f>
        <v>-6.1939299301374914E-2</v>
      </c>
      <c r="FD80" s="27">
        <f>IF(ISNUMBER(FD79),FD79*(1+PortfolioFrontier[[#This Row],[P40 Return]]),1+PortfolioFrontier[[#This Row],[P40 Return]])</f>
        <v>1.4170536101893207</v>
      </c>
      <c r="FE80" s="27">
        <f>MAX(FE79,PortfolioFrontier[[#This Row],[P40 Growth]])</f>
        <v>1.6952394830468527</v>
      </c>
      <c r="FF80" s="27">
        <f>PortfolioFrontier[[#This Row],[P40 Growth]]/PortfolioFrontier[[#This Row],[P40 HWM]]-1</f>
        <v>-0.16409827380704267</v>
      </c>
      <c r="FG80" s="28">
        <f>SUMPRODUCT(INDEX(PortfolioRef[[SPY]:[PE]],MATCH(FG$1,PortfolioRef[Reference '#]),0),AssetMonthlyReturns[[#This Row],[SPY]:[PE]])</f>
        <v>-7.4380490149271783E-2</v>
      </c>
      <c r="FH80" s="27">
        <f>IF(ISNUMBER(FH79),FH79*(1+PortfolioFrontier[[#This Row],[P41 Return]]),1+PortfolioFrontier[[#This Row],[P41 Return]])</f>
        <v>1.4179341884471739</v>
      </c>
      <c r="FI80" s="27">
        <f>MAX(FI79,PortfolioFrontier[[#This Row],[P41 Growth]])</f>
        <v>1.7478091274239449</v>
      </c>
      <c r="FJ80" s="27">
        <f>PortfolioFrontier[[#This Row],[P41 Growth]]/PortfolioFrontier[[#This Row],[P41 HWM]]-1</f>
        <v>-0.1887362491709641</v>
      </c>
      <c r="FK80" s="28">
        <f>SUMPRODUCT(INDEX(PortfolioRef[[SPY]:[PE]],MATCH(FK$1,PortfolioRef[Reference '#]),0),AssetMonthlyReturns[[#This Row],[SPY]:[PE]])</f>
        <v>-6.739768540412136E-2</v>
      </c>
      <c r="FL80" s="27">
        <f>IF(ISNUMBER(FL79),FL79*(1+PortfolioFrontier[[#This Row],[P42 Return]]),1+PortfolioFrontier[[#This Row],[P42 Return]])</f>
        <v>1.4161757299121764</v>
      </c>
      <c r="FM80" s="27">
        <f>MAX(FM79,PortfolioFrontier[[#This Row],[P42 Growth]])</f>
        <v>1.7151998522045959</v>
      </c>
      <c r="FN80" s="27">
        <f>PortfolioFrontier[[#This Row],[P42 Growth]]/PortfolioFrontier[[#This Row],[P42 HWM]]-1</f>
        <v>-0.17433777288872498</v>
      </c>
      <c r="FO80" s="28">
        <f>SUMPRODUCT(INDEX(PortfolioRef[[SPY]:[PE]],MATCH(FO$1,PortfolioRef[Reference '#]),0),AssetMonthlyReturns[[#This Row],[SPY]:[PE]])</f>
        <v>-6.0414880658970951E-2</v>
      </c>
      <c r="FP80" s="27">
        <f>IF(ISNUMBER(FP79),FP79*(1+PortfolioFrontier[[#This Row],[P43 Return]]),1+PortfolioFrontier[[#This Row],[P43 Return]])</f>
        <v>1.4135696850153479</v>
      </c>
      <c r="FQ80" s="27">
        <f>MAX(FQ79,PortfolioFrontier[[#This Row],[P43 Growth]])</f>
        <v>1.6824667632825669</v>
      </c>
      <c r="FR80" s="27">
        <f>PortfolioFrontier[[#This Row],[P43 Growth]]/PortfolioFrontier[[#This Row],[P43 HWM]]-1</f>
        <v>-0.15982311456934162</v>
      </c>
      <c r="FS80" s="28">
        <f>SUMPRODUCT(INDEX(PortfolioRef[[SPY]:[PE]],MATCH(FS$1,PortfolioRef[Reference '#]),0),AssetMonthlyReturns[[#This Row],[SPY]:[PE]])</f>
        <v>-6.8288699570684619E-2</v>
      </c>
      <c r="FT80" s="27">
        <f>IF(ISNUMBER(FT79),FT79*(1+PortfolioFrontier[[#This Row],[P44 Return]]),1+PortfolioFrontier[[#This Row],[P44 Return]])</f>
        <v>1.4367051416913093</v>
      </c>
      <c r="FU80" s="27">
        <f>MAX(FU79,PortfolioFrontier[[#This Row],[P44 Growth]])</f>
        <v>1.7438475694471607</v>
      </c>
      <c r="FV80" s="27">
        <f>PortfolioFrontier[[#This Row],[P44 Growth]]/PortfolioFrontier[[#This Row],[P44 HWM]]-1</f>
        <v>-0.17612917157273245</v>
      </c>
      <c r="FW80" s="28">
        <f>SUMPRODUCT(INDEX(PortfolioRef[[SPY]:[PE]],MATCH(FW$1,PortfolioRef[Reference '#]),0),AssetMonthlyReturns[[#This Row],[SPY]:[PE]])</f>
        <v>-6.130589482553421E-2</v>
      </c>
      <c r="FX80" s="27">
        <f>IF(ISNUMBER(FX79),FX79*(1+PortfolioFrontier[[#This Row],[P45 Return]]),1+PortfolioFrontier[[#This Row],[P45 Return]])</f>
        <v>1.4342981283905865</v>
      </c>
      <c r="FY80" s="27">
        <f>MAX(FY79,PortfolioFrontier[[#This Row],[P45 Growth]])</f>
        <v>1.7108140158896465</v>
      </c>
      <c r="FZ80" s="27">
        <f>PortfolioFrontier[[#This Row],[P45 Growth]]/PortfolioFrontier[[#This Row],[P45 HWM]]-1</f>
        <v>-0.16162825703486428</v>
      </c>
      <c r="GA80" s="28">
        <f>SUMPRODUCT(INDEX(PortfolioRef[[SPY]:[PE]],MATCH(GA$1,PortfolioRef[Reference '#]),0),AssetMonthlyReturns[[#This Row],[SPY]:[PE]])</f>
        <v>-7.3747085673431079E-2</v>
      </c>
      <c r="GB80" s="27">
        <f>IF(ISNUMBER(GB79),GB79*(1+PortfolioFrontier[[#This Row],[P46 Return]]),1+PortfolioFrontier[[#This Row],[P46 Return]])</f>
        <v>1.4354508445387928</v>
      </c>
      <c r="GC80" s="27">
        <f>MAX(GC79,PortfolioFrontier[[#This Row],[P46 Growth]])</f>
        <v>1.7641061270089846</v>
      </c>
      <c r="GD80" s="27">
        <f>PortfolioFrontier[[#This Row],[P46 Growth]]/PortfolioFrontier[[#This Row],[P46 HWM]]-1</f>
        <v>-0.18630131001666095</v>
      </c>
      <c r="GE80" s="28">
        <f>SUMPRODUCT(INDEX(PortfolioRef[[SPY]:[PE]],MATCH(GE$1,PortfolioRef[Reference '#]),0),AssetMonthlyReturns[[#This Row],[SPY]:[PE]])</f>
        <v>-6.6764280928280656E-2</v>
      </c>
      <c r="GF80" s="27">
        <f>IF(ISNUMBER(GF79),GF79*(1+PortfolioFrontier[[#This Row],[P47 Return]]),1+PortfolioFrontier[[#This Row],[P47 Return]])</f>
        <v>1.4337035730949304</v>
      </c>
      <c r="GG80" s="27">
        <f>MAX(GG79,PortfolioFrontier[[#This Row],[P47 Growth]])</f>
        <v>1.7312596087544752</v>
      </c>
      <c r="GH80" s="27">
        <f>PortfolioFrontier[[#This Row],[P47 Growth]]/PortfolioFrontier[[#This Row],[P47 HWM]]-1</f>
        <v>-0.17187256847840193</v>
      </c>
      <c r="GI80" s="28">
        <f>SUMPRODUCT(INDEX(PortfolioRef[[SPY]:[PE]],MATCH(GI$1,PortfolioRef[Reference '#]),0),AssetMonthlyReturns[[#This Row],[SPY]:[PE]])</f>
        <v>-5.9781476183130254E-2</v>
      </c>
      <c r="GJ80" s="27">
        <f>IF(ISNUMBER(GJ79),GJ79*(1+PortfolioFrontier[[#This Row],[P48 Return]]),1+PortfolioFrontier[[#This Row],[P48 Return]])</f>
        <v>1.431098653048285</v>
      </c>
      <c r="GK80" s="27">
        <f>MAX(GK79,PortfolioFrontier[[#This Row],[P48 Growth]])</f>
        <v>1.6982858835097865</v>
      </c>
      <c r="GL80" s="27">
        <f>PortfolioFrontier[[#This Row],[P48 Growth]]/PortfolioFrontier[[#This Row],[P48 HWM]]-1</f>
        <v>-0.15732759310777245</v>
      </c>
      <c r="GM80" s="28">
        <f>SUMPRODUCT(INDEX(PortfolioRef[[SPY]:[PE]],MATCH(GM$1,PortfolioRef[Reference '#]),0),AssetMonthlyReturns[[#This Row],[SPY]:[PE]])</f>
        <v>-7.9205471776177525E-2</v>
      </c>
      <c r="GN80" s="27">
        <f>IF(ISNUMBER(GN79),GN79*(1+PortfolioFrontier[[#This Row],[P49 Return]]),1+PortfolioFrontier[[#This Row],[P49 Return]])</f>
        <v>1.4332688232482929</v>
      </c>
      <c r="GO80" s="27">
        <f>MAX(GO79,PortfolioFrontier[[#This Row],[P49 Growth]])</f>
        <v>1.7836571071341945</v>
      </c>
      <c r="GP80" s="27">
        <f>PortfolioFrontier[[#This Row],[P49 Growth]]/PortfolioFrontier[[#This Row],[P49 HWM]]-1</f>
        <v>-0.19644374610144166</v>
      </c>
      <c r="GQ80" s="28">
        <f>SUMPRODUCT(INDEX(PortfolioRef[[SPY]:[PE]],MATCH(GQ$1,PortfolioRef[Reference '#]),0),AssetMonthlyReturns[[#This Row],[SPY]:[PE]])</f>
        <v>-7.2222667031027116E-2</v>
      </c>
      <c r="GR80" s="27">
        <f>IF(ISNUMBER(GR79),GR79*(1+PortfolioFrontier[[#This Row],[P50 Return]]),1+PortfolioFrontier[[#This Row],[P50 Return]])</f>
        <v>1.4321849844032697</v>
      </c>
      <c r="GS80" s="27">
        <f>MAX(GS79,PortfolioFrontier[[#This Row],[P50 Growth]])</f>
        <v>1.7510275614895194</v>
      </c>
      <c r="GT80" s="27">
        <f>PortfolioFrontier[[#This Row],[P50 Growth]]/PortfolioFrontier[[#This Row],[P50 HWM]]-1</f>
        <v>-0.18208883977532875</v>
      </c>
      <c r="GU80" s="28">
        <f>SUMPRODUCT(INDEX(PortfolioRef[[SPY]:[PE]],MATCH(GU$1,PortfolioRef[Reference '#]),0),AssetMonthlyReturns[[#This Row],[SPY]:[PE]])</f>
        <v>-6.5239862285876693E-2</v>
      </c>
      <c r="GV80" s="27">
        <f>IF(ISNUMBER(GV79),GV79*(1+PortfolioFrontier[[#This Row],[P51 Return]]),1+PortfolioFrontier[[#This Row],[P51 Return]])</f>
        <v>1.4302383593345971</v>
      </c>
      <c r="GW80" s="27">
        <f>MAX(GW79,PortfolioFrontier[[#This Row],[P51 Growth]])</f>
        <v>1.7182435242855478</v>
      </c>
      <c r="GX80" s="27">
        <f>PortfolioFrontier[[#This Row],[P51 Growth]]/PortfolioFrontier[[#This Row],[P51 HWM]]-1</f>
        <v>-0.16761603397906266</v>
      </c>
      <c r="GY80" s="28">
        <f>SUMPRODUCT(INDEX(PortfolioRef[[SPY]:[PE]],MATCH(GY$1,PortfolioRef[Reference '#]),0),AssetMonthlyReturns[[#This Row],[SPY]:[PE]])</f>
        <v>-7.3113681197590374E-2</v>
      </c>
      <c r="GZ80" s="27">
        <f>IF(ISNUMBER(GZ79),GZ79*(1+PortfolioFrontier[[#This Row],[P52 Return]]),1+PortfolioFrontier[[#This Row],[P52 Return]])</f>
        <v>1.4528541553695373</v>
      </c>
      <c r="HA80" s="27">
        <f>MAX(HA79,PortfolioFrontier[[#This Row],[P52 Growth]])</f>
        <v>1.7802031417261526</v>
      </c>
      <c r="HB80" s="27">
        <f>PortfolioFrontier[[#This Row],[P52 Growth]]/PortfolioFrontier[[#This Row],[P52 HWM]]-1</f>
        <v>-0.18388293935893474</v>
      </c>
      <c r="HC80" s="28">
        <f>SUMPRODUCT(INDEX(PortfolioRef[[SPY]:[PE]],MATCH(HC$1,PortfolioRef[Reference '#]),0),AssetMonthlyReturns[[#This Row],[SPY]:[PE]])</f>
        <v>-6.6130876452439952E-2</v>
      </c>
      <c r="HD80" s="27">
        <f>IF(ISNUMBER(HD79),HD79*(1+PortfolioFrontier[[#This Row],[P53 Return]]),1+PortfolioFrontier[[#This Row],[P53 Return]])</f>
        <v>1.4511187017637264</v>
      </c>
      <c r="HE80" s="27">
        <f>MAX(HE79,PortfolioFrontier[[#This Row],[P53 Growth]])</f>
        <v>1.7471238825308339</v>
      </c>
      <c r="HF80" s="27">
        <f>PortfolioFrontier[[#This Row],[P53 Growth]]/PortfolioFrontier[[#This Row],[P53 HWM]]-1</f>
        <v>-0.16942426563268254</v>
      </c>
      <c r="HG80" s="28">
        <f>SUMPRODUCT(INDEX(PortfolioRef[[SPY]:[PE]],MATCH(HG$1,PortfolioRef[Reference '#]),0),AssetMonthlyReturns[[#This Row],[SPY]:[PE]])</f>
        <v>-5.914807170728955E-2</v>
      </c>
      <c r="HH80" s="27">
        <f>IF(ISNUMBER(HH79),HH79*(1+PortfolioFrontier[[#This Row],[P54 Return]]),1+PortfolioFrontier[[#This Row],[P54 Return]])</f>
        <v>1.4485156068456715</v>
      </c>
      <c r="HI80" s="27">
        <f>MAX(HI79,PortfolioFrontier[[#This Row],[P54 Growth]])</f>
        <v>1.7139140104060526</v>
      </c>
      <c r="HJ80" s="27">
        <f>PortfolioFrontier[[#This Row],[P54 Growth]]/PortfolioFrontier[[#This Row],[P54 HWM]]-1</f>
        <v>-0.15484931096251686</v>
      </c>
      <c r="HK80" s="28">
        <f>SUMPRODUCT(INDEX(PortfolioRef[[SPY]:[PE]],MATCH(HK$1,PortfolioRef[Reference '#]),0),AssetMonthlyReturns[[#This Row],[SPY]:[PE]])</f>
        <v>-7.8572067300336834E-2</v>
      </c>
      <c r="HL80" s="27">
        <f>IF(ISNUMBER(HL79),HL79*(1+PortfolioFrontier[[#This Row],[P55 Return]]),1+PortfolioFrontier[[#This Row],[P55 Return]])</f>
        <v>1.4509430858806651</v>
      </c>
      <c r="HM80" s="27">
        <f>MAX(HM79,PortfolioFrontier[[#This Row],[P55 Growth]])</f>
        <v>1.8002459621778737</v>
      </c>
      <c r="HN80" s="27">
        <f>PortfolioFrontier[[#This Row],[P55 Growth]]/PortfolioFrontier[[#This Row],[P55 HWM]]-1</f>
        <v>-0.1940306400546703</v>
      </c>
      <c r="HO80" s="28">
        <f>SUMPRODUCT(INDEX(PortfolioRef[[SPY]:[PE]],MATCH(HO$1,PortfolioRef[Reference '#]),0),AssetMonthlyReturns[[#This Row],[SPY]:[PE]])</f>
        <v>-7.1589262555186411E-2</v>
      </c>
      <c r="HP80" s="27">
        <f>IF(ISNUMBER(HP79),HP79*(1+PortfolioFrontier[[#This Row],[P56 Return]]),1+PortfolioFrontier[[#This Row],[P56 Return]])</f>
        <v>1.4498787945243956</v>
      </c>
      <c r="HQ80" s="27">
        <f>MAX(HQ79,PortfolioFrontier[[#This Row],[P56 Growth]])</f>
        <v>1.767380839986993</v>
      </c>
      <c r="HR80" s="27">
        <f>PortfolioFrontier[[#This Row],[P56 Growth]]/PortfolioFrontier[[#This Row],[P56 HWM]]-1</f>
        <v>-0.17964551741147883</v>
      </c>
      <c r="HS80" s="28">
        <f>SUMPRODUCT(INDEX(PortfolioRef[[SPY]:[PE]],MATCH(HS$1,PortfolioRef[Reference '#]),0),AssetMonthlyReturns[[#This Row],[SPY]:[PE]])</f>
        <v>-6.4606457810036003E-2</v>
      </c>
      <c r="HT80" s="27">
        <f>IF(ISNUMBER(HT79),HT79*(1+PortfolioFrontier[[#This Row],[P57 Return]]),1+PortfolioFrontier[[#This Row],[P57 Return]])</f>
        <v>1.4479415231772674</v>
      </c>
      <c r="HU80" s="27">
        <f>MAX(HU79,PortfolioFrontier[[#This Row],[P57 Growth]])</f>
        <v>1.7343575628436463</v>
      </c>
      <c r="HV80" s="27">
        <f>PortfolioFrontier[[#This Row],[P57 Growth]]/PortfolioFrontier[[#This Row],[P57 HWM]]-1</f>
        <v>-0.1651424399457585</v>
      </c>
      <c r="HW80" s="28">
        <f>SUMPRODUCT(INDEX(PortfolioRef[[SPY]:[PE]],MATCH(HW$1,PortfolioRef[Reference '#]),0),AssetMonthlyReturns[[#This Row],[SPY]:[PE]])</f>
        <v>-8.4030453403083266E-2</v>
      </c>
      <c r="HX80" s="27">
        <f>IF(ISNUMBER(HX79),HX79*(1+PortfolioFrontier[[#This Row],[P58 Return]]),1+PortfolioFrontier[[#This Row],[P58 Return]])</f>
        <v>1.4480926111213372</v>
      </c>
      <c r="HY80" s="27">
        <f>MAX(HY79,PortfolioFrontier[[#This Row],[P58 Growth]])</f>
        <v>1.8195487359549802</v>
      </c>
      <c r="HZ80" s="27">
        <f>PortfolioFrontier[[#This Row],[P58 Growth]]/PortfolioFrontier[[#This Row],[P58 HWM]]-1</f>
        <v>-0.20414738967609258</v>
      </c>
      <c r="IA80" s="28">
        <f>SUMPRODUCT(INDEX(PortfolioRef[[SPY]:[PE]],MATCH(IA$1,PortfolioRef[Reference '#]),0),AssetMonthlyReturns[[#This Row],[SPY]:[PE]])</f>
        <v>-7.7047648657932871E-2</v>
      </c>
      <c r="IB80" s="27">
        <f>IF(ISNUMBER(IB79),IB79*(1+PortfolioFrontier[[#This Row],[P59 Return]]),1+PortfolioFrontier[[#This Row],[P59 Return]])</f>
        <v>1.4477023375185789</v>
      </c>
      <c r="IC80" s="27">
        <f>MAX(IC79,PortfolioFrontier[[#This Row],[P59 Growth]])</f>
        <v>1.7869282396294996</v>
      </c>
      <c r="ID80" s="27">
        <f>PortfolioFrontier[[#This Row],[P59 Growth]]/PortfolioFrontier[[#This Row],[P59 HWM]]-1</f>
        <v>-0.18983745098866178</v>
      </c>
      <c r="IE80" s="28">
        <f>SUMPRODUCT(INDEX(PortfolioRef[[SPY]:[PE]],MATCH(IE$1,PortfolioRef[Reference '#]),0),AssetMonthlyReturns[[#This Row],[SPY]:[PE]])</f>
        <v>-7.0064843912782448E-2</v>
      </c>
      <c r="IF80" s="27">
        <f>IF(ISNUMBER(IF79),IF79*(1+PortfolioFrontier[[#This Row],[P60 Return]]),1+PortfolioFrontier[[#This Row],[P60 Return]])</f>
        <v>1.4464347360051839</v>
      </c>
      <c r="IG80" s="27">
        <f>MAX(IG79,PortfolioFrontier[[#This Row],[P60 Growth]])</f>
        <v>1.7541215677111524</v>
      </c>
      <c r="IH80" s="27">
        <f>PortfolioFrontier[[#This Row],[P60 Growth]]/PortfolioFrontier[[#This Row],[P60 HWM]]-1</f>
        <v>-0.17540792917075321</v>
      </c>
      <c r="II80" s="28">
        <f>SUMPRODUCT(INDEX(PortfolioRef[[SPY]:[PE]],MATCH(II$1,PortfolioRef[Reference '#]),0),AssetMonthlyReturns[[#This Row],[SPY]:[PE]])</f>
        <v>-6.2000081366417811E-2</v>
      </c>
      <c r="IJ80" s="27">
        <f>IF(ISNUMBER(IJ79),IJ79*(1+PortfolioFrontier[[#This Row],[P61 Return]]),1+PortfolioFrontier[[#This Row],[P61 Return]])</f>
        <v>1.3404977216192195</v>
      </c>
      <c r="IK80" s="27">
        <f>MAX(IK79,PortfolioFrontier[[#This Row],[P61 Growth]])</f>
        <v>1.6121264956964798</v>
      </c>
      <c r="IL80" s="27">
        <f>PortfolioFrontier[[#This Row],[P61 Growth]]/PortfolioFrontier[[#This Row],[P61 HWM]]-1</f>
        <v>-0.16849098057898348</v>
      </c>
      <c r="IM80" s="28">
        <f>SUMPRODUCT(INDEX(PortfolioRef[[SPY]:[PE]],MATCH(IM$1,PortfolioRef[Reference '#]),0),AssetMonthlyReturns[[#This Row],[SPY]:[PE]])</f>
        <v>-6.1366676890577114E-2</v>
      </c>
      <c r="IN80" s="27">
        <f>IF(ISNUMBER(IN79),IN79*(1+PortfolioFrontier[[#This Row],[P62 Return]]),1+PortfolioFrontier[[#This Row],[P62 Return]])</f>
        <v>1.3571287476048464</v>
      </c>
      <c r="IO80" s="27">
        <f>MAX(IO79,PortfolioFrontier[[#This Row],[P62 Growth]])</f>
        <v>1.6272630311124299</v>
      </c>
      <c r="IP80" s="27">
        <f>PortfolioFrontier[[#This Row],[P62 Growth]]/PortfolioFrontier[[#This Row],[P62 HWM]]-1</f>
        <v>-0.16600529744900194</v>
      </c>
      <c r="IQ80" s="28">
        <f>SUMPRODUCT(INDEX(PortfolioRef[[SPY]:[PE]],MATCH(IQ$1,PortfolioRef[Reference '#]),0),AssetMonthlyReturns[[#This Row],[SPY]:[PE]])</f>
        <v>-6.6825062993323553E-2</v>
      </c>
      <c r="IR80" s="27">
        <f>IF(ISNUMBER(IR79),IR79*(1+PortfolioFrontier[[#This Row],[P63 Return]]),1+PortfolioFrontier[[#This Row],[P63 Return]])</f>
        <v>1.3567048167332616</v>
      </c>
      <c r="IS80" s="27">
        <f>MAX(IS79,PortfolioFrontier[[#This Row],[P63 Growth]])</f>
        <v>1.646884909102555</v>
      </c>
      <c r="IT80" s="27">
        <f>PortfolioFrontier[[#This Row],[P63 Growth]]/PortfolioFrontier[[#This Row],[P63 HWM]]-1</f>
        <v>-0.17619937541805675</v>
      </c>
      <c r="IU80" s="28">
        <f>SUMPRODUCT(INDEX(PortfolioRef[[SPY]:[PE]],MATCH(IU$1,PortfolioRef[Reference '#]),0),AssetMonthlyReturns[[#This Row],[SPY]:[PE]])</f>
        <v>-5.9842258248173151E-2</v>
      </c>
      <c r="IV80" s="27">
        <f>IF(ISNUMBER(IV79),IV79*(1+PortfolioFrontier[[#This Row],[P64 Return]]),1+PortfolioFrontier[[#This Row],[P64 Return]])</f>
        <v>1.3539310282396055</v>
      </c>
      <c r="IW80" s="27">
        <f>MAX(IW79,PortfolioFrontier[[#This Row],[P64 Growth]])</f>
        <v>1.6151793879801097</v>
      </c>
      <c r="IX80" s="27">
        <f>PortfolioFrontier[[#This Row],[P64 Growth]]/PortfolioFrontier[[#This Row],[P64 HWM]]-1</f>
        <v>-0.16174572414969512</v>
      </c>
      <c r="IY80" s="28">
        <f>SUMPRODUCT(INDEX(PortfolioRef[[SPY]:[PE]],MATCH(IY$1,PortfolioRef[Reference '#]),0),AssetMonthlyReturns[[#This Row],[SPY]:[PE]])</f>
        <v>-6.073327241473641E-2</v>
      </c>
      <c r="IZ80" s="27">
        <f>IF(ISNUMBER(IZ79),IZ79*(1+PortfolioFrontier[[#This Row],[P65 Return]]),1+PortfolioFrontier[[#This Row],[P65 Return]])</f>
        <v>1.3736526411672301</v>
      </c>
      <c r="JA80" s="27">
        <f>MAX(JA79,PortfolioFrontier[[#This Row],[P65 Growth]])</f>
        <v>1.6422150953060746</v>
      </c>
      <c r="JB80" s="27">
        <f>PortfolioFrontier[[#This Row],[P65 Growth]]/PortfolioFrontier[[#This Row],[P65 HWM]]-1</f>
        <v>-0.16353671020713034</v>
      </c>
      <c r="JC80" s="28">
        <f>SUMPRODUCT(INDEX(PortfolioRef[[SPY]:[PE]],MATCH(JC$1,PortfolioRef[Reference '#]),0),AssetMonthlyReturns[[#This Row],[SPY]:[PE]])</f>
        <v>-6.6191658517482863E-2</v>
      </c>
      <c r="JD80" s="27">
        <f>IF(ISNUMBER(JD79),JD79*(1+PortfolioFrontier[[#This Row],[P66 Return]]),1+PortfolioFrontier[[#This Row],[P66 Return]])</f>
        <v>1.3735059382507373</v>
      </c>
      <c r="JE80" s="27">
        <f>MAX(JE79,PortfolioFrontier[[#This Row],[P66 Growth]])</f>
        <v>1.6623077877531292</v>
      </c>
      <c r="JF80" s="27">
        <f>PortfolioFrontier[[#This Row],[P66 Growth]]/PortfolioFrontier[[#This Row],[P66 HWM]]-1</f>
        <v>-0.17373548486634538</v>
      </c>
      <c r="JG80" s="28">
        <f>SUMPRODUCT(INDEX(PortfolioRef[[SPY]:[PE]],MATCH(JG$1,PortfolioRef[Reference '#]),0),AssetMonthlyReturns[[#This Row],[SPY]:[PE]])</f>
        <v>-5.9208853772332454E-2</v>
      </c>
      <c r="JH80" s="27">
        <f>IF(ISNUMBER(JH79),JH79*(1+PortfolioFrontier[[#This Row],[P67 Return]]),1+PortfolioFrontier[[#This Row],[P67 Return]])</f>
        <v>1.3707298604786611</v>
      </c>
      <c r="JI80" s="27">
        <f>MAX(JI79,PortfolioFrontier[[#This Row],[P67 Growth]])</f>
        <v>1.6303687537292939</v>
      </c>
      <c r="JJ80" s="27">
        <f>PortfolioFrontier[[#This Row],[P67 Growth]]/PortfolioFrontier[[#This Row],[P67 HWM]]-1</f>
        <v>-0.15925163718743796</v>
      </c>
      <c r="JK80" s="28">
        <f>SUMPRODUCT(INDEX(PortfolioRef[[SPY]:[PE]],MATCH(JK$1,PortfolioRef[Reference '#]),0),AssetMonthlyReturns[[#This Row],[SPY]:[PE]])</f>
        <v>-7.1650044620229308E-2</v>
      </c>
      <c r="JL80" s="27">
        <f>IF(ISNUMBER(JL79),JL79*(1+PortfolioFrontier[[#This Row],[P68 Return]]),1+PortfolioFrontier[[#This Row],[P68 Return]])</f>
        <v>1.3724744895227403</v>
      </c>
      <c r="JM80" s="27">
        <f>MAX(JM79,PortfolioFrontier[[#This Row],[P68 Growth]])</f>
        <v>1.6817622542850994</v>
      </c>
      <c r="JN80" s="27">
        <f>PortfolioFrontier[[#This Row],[P68 Growth]]/PortfolioFrontier[[#This Row],[P68 HWM]]-1</f>
        <v>-0.18390694878202885</v>
      </c>
      <c r="JO80" s="28">
        <f>SUMPRODUCT(INDEX(PortfolioRef[[SPY]:[PE]],MATCH(JO$1,PortfolioRef[Reference '#]),0),AssetMonthlyReturns[[#This Row],[SPY]:[PE]])</f>
        <v>-6.46672398750789E-2</v>
      </c>
      <c r="JP80" s="27">
        <f>IF(ISNUMBER(JP79),JP79*(1+PortfolioFrontier[[#This Row],[P69 Return]]),1+PortfolioFrontier[[#This Row],[P69 Return]])</f>
        <v>1.3703270866511399</v>
      </c>
      <c r="JQ80" s="27">
        <f>MAX(JQ79,PortfolioFrontier[[#This Row],[P69 Growth]])</f>
        <v>1.6499912107010917</v>
      </c>
      <c r="JR80" s="27">
        <f>PortfolioFrontier[[#This Row],[P69 Growth]]/PortfolioFrontier[[#This Row],[P69 HWM]]-1</f>
        <v>-0.16949431138552595</v>
      </c>
      <c r="JS80" s="28">
        <f>SUMPRODUCT(INDEX(PortfolioRef[[SPY]:[PE]],MATCH(JS$1,PortfolioRef[Reference '#]),0),AssetMonthlyReturns[[#This Row],[SPY]:[PE]])</f>
        <v>-5.7684435129928491E-2</v>
      </c>
      <c r="JT80" s="27">
        <f>IF(ISNUMBER(JT79),JT79*(1+PortfolioFrontier[[#This Row],[P70 Return]]),1+PortfolioFrontier[[#This Row],[P70 Return]])</f>
        <v>1.3673629443492934</v>
      </c>
      <c r="JU80" s="27">
        <f>MAX(JU79,PortfolioFrontier[[#This Row],[P70 Growth]])</f>
        <v>1.6181178918603722</v>
      </c>
      <c r="JV80" s="27">
        <f>PortfolioFrontier[[#This Row],[P70 Growth]]/PortfolioFrontier[[#This Row],[P70 HWM]]-1</f>
        <v>-0.15496704459696842</v>
      </c>
      <c r="JW80" s="28">
        <f>SUMPRODUCT(INDEX(PortfolioRef[[SPY]:[PE]],MATCH(JW$1,PortfolioRef[Reference '#]),0),AssetMonthlyReturns[[#This Row],[SPY]:[PE]])</f>
        <v>-6.5558254041642158E-2</v>
      </c>
      <c r="JX80" s="27">
        <f>IF(ISNUMBER(JX79),JX79*(1+PortfolioFrontier[[#This Row],[P71 Return]]),1+PortfolioFrontier[[#This Row],[P71 Return]])</f>
        <v>1.3901983973686789</v>
      </c>
      <c r="JY80" s="27">
        <f>MAX(JY79,PortfolioFrontier[[#This Row],[P71 Growth]])</f>
        <v>1.6775420819631024</v>
      </c>
      <c r="JZ80" s="27">
        <f>PortfolioFrontier[[#This Row],[P71 Growth]]/PortfolioFrontier[[#This Row],[P71 HWM]]-1</f>
        <v>-0.17128851054404948</v>
      </c>
      <c r="KA80" s="28">
        <f>SUMPRODUCT(INDEX(PortfolioRef[[SPY]:[PE]],MATCH(KA$1,PortfolioRef[Reference '#]),0),AssetMonthlyReturns[[#This Row],[SPY]:[PE]])</f>
        <v>-5.8575449296491749E-2</v>
      </c>
      <c r="KB80" s="27">
        <f>IF(ISNUMBER(KB79),KB79*(1+PortfolioFrontier[[#This Row],[P72 Return]]),1+PortfolioFrontier[[#This Row],[P72 Return]])</f>
        <v>1.3874207242465768</v>
      </c>
      <c r="KC80" s="27">
        <f>MAX(KC79,PortfolioFrontier[[#This Row],[P72 Growth]])</f>
        <v>1.6453738946019467</v>
      </c>
      <c r="KD80" s="27">
        <f>PortfolioFrontier[[#This Row],[P72 Growth]]/PortfolioFrontier[[#This Row],[P72 HWM]]-1</f>
        <v>-0.15677480431751634</v>
      </c>
      <c r="KE80" s="28">
        <f>SUMPRODUCT(INDEX(PortfolioRef[[SPY]:[PE]],MATCH(KE$1,PortfolioRef[Reference '#]),0),AssetMonthlyReturns[[#This Row],[SPY]:[PE]])</f>
        <v>-7.1016640144388618E-2</v>
      </c>
      <c r="KF80" s="27">
        <f>IF(ISNUMBER(KF79),KF79*(1+PortfolioFrontier[[#This Row],[P73 Return]]),1+PortfolioFrontier[[#This Row],[P73 Return]])</f>
        <v>1.3894398820422245</v>
      </c>
      <c r="KG80" s="27">
        <f>MAX(KG79,PortfolioFrontier[[#This Row],[P73 Growth]])</f>
        <v>1.6974712283523181</v>
      </c>
      <c r="KH80" s="27">
        <f>PortfolioFrontier[[#This Row],[P73 Growth]]/PortfolioFrontier[[#This Row],[P73 HWM]]-1</f>
        <v>-0.18146484085570624</v>
      </c>
      <c r="KI80" s="28">
        <f>SUMPRODUCT(INDEX(PortfolioRef[[SPY]:[PE]],MATCH(KI$1,PortfolioRef[Reference '#]),0),AssetMonthlyReturns[[#This Row],[SPY]:[PE]])</f>
        <v>-6.4033835399238209E-2</v>
      </c>
      <c r="KJ80" s="27">
        <f>IF(ISNUMBER(KJ79),KJ79*(1+PortfolioFrontier[[#This Row],[P74 Return]]),1+PortfolioFrontier[[#This Row],[P74 Return]])</f>
        <v>1.3872980300175799</v>
      </c>
      <c r="KK80" s="27">
        <f>MAX(KK79,PortfolioFrontier[[#This Row],[P74 Growth]])</f>
        <v>1.6654678920548054</v>
      </c>
      <c r="KL80" s="27">
        <f>PortfolioFrontier[[#This Row],[P74 Growth]]/PortfolioFrontier[[#This Row],[P74 HWM]]-1</f>
        <v>-0.16702205029844652</v>
      </c>
      <c r="KM80" s="28">
        <f>SUMPRODUCT(INDEX(PortfolioRef[[SPY]:[PE]],MATCH(KM$1,PortfolioRef[Reference '#]),0),AssetMonthlyReturns[[#This Row],[SPY]:[PE]])</f>
        <v>-5.7051030654087793E-2</v>
      </c>
      <c r="KN80" s="27">
        <f>IF(ISNUMBER(KN79),KN79*(1+PortfolioFrontier[[#This Row],[P75 Return]]),1+PortfolioFrontier[[#This Row],[P75 Return]])</f>
        <v>1.3843297158370271</v>
      </c>
      <c r="KO80" s="27">
        <f>MAX(KO79,PortfolioFrontier[[#This Row],[P75 Growth]])</f>
        <v>1.6333591346427441</v>
      </c>
      <c r="KP80" s="27">
        <f>PortfolioFrontier[[#This Row],[P75 Growth]]/PortfolioFrontier[[#This Row],[P75 HWM]]-1</f>
        <v>-0.15246458266521146</v>
      </c>
      <c r="KQ80" s="28">
        <f>SUMPRODUCT(INDEX(PortfolioRef[[SPY]:[PE]],MATCH(KQ$1,PortfolioRef[Reference '#]),0),AssetMonthlyReturns[[#This Row],[SPY]:[PE]])</f>
        <v>-7.6475026247135064E-2</v>
      </c>
      <c r="KR80" s="27">
        <f>IF(ISNUMBER(KR79),KR79*(1+PortfolioFrontier[[#This Row],[P76 Return]]),1+PortfolioFrontier[[#This Row],[P76 Return]])</f>
        <v>1.3877840751453696</v>
      </c>
      <c r="KS80" s="27">
        <f>MAX(KS79,PortfolioFrontier[[#This Row],[P76 Growth]])</f>
        <v>1.7167314071133803</v>
      </c>
      <c r="KT80" s="27">
        <f>PortfolioFrontier[[#This Row],[P76 Growth]]/PortfolioFrontier[[#This Row],[P76 HWM]]-1</f>
        <v>-0.19161257876741677</v>
      </c>
      <c r="KU80" s="28">
        <f>SUMPRODUCT(INDEX(PortfolioRef[[SPY]:[PE]],MATCH(KU$1,PortfolioRef[Reference '#]),0),AssetMonthlyReturns[[#This Row],[SPY]:[PE]])</f>
        <v>-6.9492221501984655E-2</v>
      </c>
      <c r="KV80" s="27">
        <f>IF(ISNUMBER(KV79),KV79*(1+PortfolioFrontier[[#This Row],[P77 Return]]),1+PortfolioFrontier[[#This Row],[P77 Return]])</f>
        <v>1.3862822127352328</v>
      </c>
      <c r="KW80" s="27">
        <f>MAX(KW79,PortfolioFrontier[[#This Row],[P77 Growth]])</f>
        <v>1.6849217747429484</v>
      </c>
      <c r="KX80" s="27">
        <f>PortfolioFrontier[[#This Row],[P77 Growth]]/PortfolioFrontier[[#This Row],[P77 HWM]]-1</f>
        <v>-0.1772423898155604</v>
      </c>
      <c r="KY80" s="28">
        <f>SUMPRODUCT(INDEX(PortfolioRef[[SPY]:[PE]],MATCH(KY$1,PortfolioRef[Reference '#]),0),AssetMonthlyReturns[[#This Row],[SPY]:[PE]])</f>
        <v>-6.2509416756834246E-2</v>
      </c>
      <c r="KZ80" s="27">
        <f>IF(ISNUMBER(KZ79),KZ79*(1+PortfolioFrontier[[#This Row],[P78 Return]]),1+PortfolioFrontier[[#This Row],[P78 Return]])</f>
        <v>1.3839483498868499</v>
      </c>
      <c r="LA80" s="27">
        <f>MAX(LA79,PortfolioFrontier[[#This Row],[P78 Growth]])</f>
        <v>1.6529805725839544</v>
      </c>
      <c r="LB80" s="27">
        <f>PortfolioFrontier[[#This Row],[P78 Growth]]/PortfolioFrontier[[#This Row],[P78 HWM]]-1</f>
        <v>-0.1627558285676346</v>
      </c>
      <c r="LC80" s="28">
        <f>SUMPRODUCT(INDEX(PortfolioRef[[SPY]:[PE]],MATCH(LC$1,PortfolioRef[Reference '#]),0),AssetMonthlyReturns[[#This Row],[SPY]:[PE]])</f>
        <v>-7.03832356685479E-2</v>
      </c>
      <c r="LD80" s="27">
        <f>IF(ISNUMBER(LD79),LD79*(1+PortfolioFrontier[[#This Row],[P79 Return]]),1+PortfolioFrontier[[#This Row],[P79 Return]])</f>
        <v>1.4062951132814889</v>
      </c>
      <c r="LE80" s="27">
        <f>MAX(LE79,PortfolioFrontier[[#This Row],[P79 Growth]])</f>
        <v>1.7129874860839263</v>
      </c>
      <c r="LF80" s="27">
        <f>PortfolioFrontier[[#This Row],[P79 Growth]]/PortfolioFrontier[[#This Row],[P79 HWM]]-1</f>
        <v>-0.17903947068730142</v>
      </c>
      <c r="LG80" s="28">
        <f>SUMPRODUCT(INDEX(PortfolioRef[[SPY]:[PE]],MATCH(LG$1,PortfolioRef[Reference '#]),0),AssetMonthlyReturns[[#This Row],[SPY]:[PE]])</f>
        <v>-6.3400430923397491E-2</v>
      </c>
      <c r="LH80" s="27">
        <f>IF(ISNUMBER(LH79),LH79*(1+PortfolioFrontier[[#This Row],[P80 Return]]),1+PortfolioFrontier[[#This Row],[P80 Return]])</f>
        <v>1.4041594597003961</v>
      </c>
      <c r="LI80" s="27">
        <f>MAX(LI79,PortfolioFrontier[[#This Row],[P80 Growth]])</f>
        <v>1.6807562405101484</v>
      </c>
      <c r="LJ80" s="27">
        <f>PortfolioFrontier[[#This Row],[P80 Growth]]/PortfolioFrontier[[#This Row],[P80 HWM]]-1</f>
        <v>-0.16456686231062201</v>
      </c>
      <c r="LK80" s="28">
        <f>SUMPRODUCT(INDEX(PortfolioRef[[SPY]:[PE]],MATCH(LK$1,PortfolioRef[Reference '#]),0),AssetMonthlyReturns[[#This Row],[SPY]:[PE]])</f>
        <v>-5.6417626178247082E-2</v>
      </c>
      <c r="LL80" s="27">
        <f>IF(ISNUMBER(LL79),LL79*(1+PortfolioFrontier[[#This Row],[P81 Return]]),1+PortfolioFrontier[[#This Row],[P81 Return]])</f>
        <v>1.401187688157276</v>
      </c>
      <c r="LM80" s="27">
        <f>MAX(LM79,PortfolioFrontier[[#This Row],[P81 Growth]])</f>
        <v>1.648416413491208</v>
      </c>
      <c r="LN80" s="27">
        <f>PortfolioFrontier[[#This Row],[P81 Growth]]/PortfolioFrontier[[#This Row],[P81 HWM]]-1</f>
        <v>-0.14997953387901686</v>
      </c>
      <c r="LO80" s="28">
        <f>SUMPRODUCT(INDEX(PortfolioRef[[SPY]:[PE]],MATCH(LO$1,PortfolioRef[Reference '#]),0),AssetMonthlyReturns[[#This Row],[SPY]:[PE]])</f>
        <v>-7.584162177129436E-2</v>
      </c>
      <c r="LP80" s="27">
        <f>IF(ISNUMBER(LP79),LP79*(1+PortfolioFrontier[[#This Row],[P82 Return]]),1+PortfolioFrontier[[#This Row],[P82 Return]])</f>
        <v>1.4049076750312699</v>
      </c>
      <c r="LQ80" s="27">
        <f>MAX(LQ79,PortfolioFrontier[[#This Row],[P82 Growth]])</f>
        <v>1.7327259878391794</v>
      </c>
      <c r="LR80" s="27">
        <f>PortfolioFrontier[[#This Row],[P82 Growth]]/PortfolioFrontier[[#This Row],[P82 HWM]]-1</f>
        <v>-0.18919224107483956</v>
      </c>
      <c r="LS80" s="28">
        <f>SUMPRODUCT(INDEX(PortfolioRef[[SPY]:[PE]],MATCH(LS$1,PortfolioRef[Reference '#]),0),AssetMonthlyReturns[[#This Row],[SPY]:[PE]])</f>
        <v>-6.8858817026143951E-2</v>
      </c>
      <c r="LT80" s="27">
        <f>IF(ISNUMBER(LT79),LT79*(1+PortfolioFrontier[[#This Row],[P83 Return]]),1+PortfolioFrontier[[#This Row],[P83 Return]])</f>
        <v>1.4034193931256758</v>
      </c>
      <c r="LU80" s="27">
        <f>MAX(LU79,PortfolioFrontier[[#This Row],[P83 Growth]])</f>
        <v>1.7006855237848306</v>
      </c>
      <c r="LV80" s="27">
        <f>PortfolioFrontier[[#This Row],[P83 Growth]]/PortfolioFrontier[[#This Row],[P83 HWM]]-1</f>
        <v>-0.17479194507259455</v>
      </c>
      <c r="LW80" s="28">
        <f>SUMPRODUCT(INDEX(PortfolioRef[[SPY]:[PE]],MATCH(LW$1,PortfolioRef[Reference '#]),0),AssetMonthlyReturns[[#This Row],[SPY]:[PE]])</f>
        <v>-6.1876012280993535E-2</v>
      </c>
      <c r="LX80" s="27">
        <f>IF(ISNUMBER(LX79),LX79*(1+PortfolioFrontier[[#This Row],[P84 Return]]),1+PortfolioFrontier[[#This Row],[P84 Return]])</f>
        <v>1.4010892540332811</v>
      </c>
      <c r="LY80" s="27">
        <f>MAX(LY79,PortfolioFrontier[[#This Row],[P84 Growth]])</f>
        <v>1.6685100840279028</v>
      </c>
      <c r="LZ80" s="27">
        <f>PortfolioFrontier[[#This Row],[P84 Growth]]/PortfolioFrontier[[#This Row],[P84 HWM]]-1</f>
        <v>-0.16027522551679685</v>
      </c>
      <c r="MA80" s="28">
        <f>SUMPRODUCT(INDEX(PortfolioRef[[SPY]:[PE]],MATCH(MA$1,PortfolioRef[Reference '#]),0),AssetMonthlyReturns[[#This Row],[SPY]:[PE]])</f>
        <v>-8.1300007874040806E-2</v>
      </c>
      <c r="MB80" s="27">
        <f>IF(ISNUMBER(MB79),MB79*(1+PortfolioFrontier[[#This Row],[P85 Return]]),1+PortfolioFrontier[[#This Row],[P85 Return]])</f>
        <v>1.4026110416638395</v>
      </c>
      <c r="MC80" s="27">
        <f>MAX(MC79,PortfolioFrontier[[#This Row],[P85 Growth]])</f>
        <v>1.7517641950154219</v>
      </c>
      <c r="MD80" s="27">
        <f>PortfolioFrontier[[#This Row],[P85 Growth]]/PortfolioFrontier[[#This Row],[P85 HWM]]-1</f>
        <v>-0.19931515574132885</v>
      </c>
      <c r="ME80" s="28">
        <f>SUMPRODUCT(INDEX(PortfolioRef[[SPY]:[PE]],MATCH(ME$1,PortfolioRef[Reference '#]),0),AssetMonthlyReturns[[#This Row],[SPY]:[PE]])</f>
        <v>-7.4317203128890397E-2</v>
      </c>
      <c r="MF80" s="27">
        <f>IF(ISNUMBER(MF79),MF79*(1+PortfolioFrontier[[#This Row],[P86 Return]]),1+PortfolioFrontier[[#This Row],[P86 Return]])</f>
        <v>1.4017735051173295</v>
      </c>
      <c r="MG80" s="27">
        <f>MAX(MG79,PortfolioFrontier[[#This Row],[P86 Growth]])</f>
        <v>1.7199439154573082</v>
      </c>
      <c r="MH80" s="27">
        <f>PortfolioFrontier[[#This Row],[P86 Growth]]/PortfolioFrontier[[#This Row],[P86 HWM]]-1</f>
        <v>-0.1849888286940925</v>
      </c>
      <c r="MI80" s="28">
        <f>SUMPRODUCT(INDEX(PortfolioRef[[SPY]:[PE]],MATCH(MI$1,PortfolioRef[Reference '#]),0),AssetMonthlyReturns[[#This Row],[SPY]:[PE]])</f>
        <v>-6.7334398383739988E-2</v>
      </c>
      <c r="MJ80" s="27">
        <f>IF(ISNUMBER(MJ79),MJ79*(1+PortfolioFrontier[[#This Row],[P87 Return]]),1+PortfolioFrontier[[#This Row],[P87 Return]])</f>
        <v>1.400089322908842</v>
      </c>
      <c r="MK80" s="27">
        <f>MAX(MK79,PortfolioFrontier[[#This Row],[P87 Growth]])</f>
        <v>1.6879617873128629</v>
      </c>
      <c r="ML80" s="27">
        <f>PortfolioFrontier[[#This Row],[P87 Growth]]/PortfolioFrontier[[#This Row],[P87 HWM]]-1</f>
        <v>-0.17054442023968874</v>
      </c>
      <c r="MM80" s="28">
        <f>SUMPRODUCT(INDEX(PortfolioRef[[SPY]:[PE]],MATCH(MM$1,PortfolioRef[Reference '#]),0),AssetMonthlyReturns[[#This Row],[SPY]:[PE]])</f>
        <v>-7.5208217295453655E-2</v>
      </c>
      <c r="MN80" s="27">
        <f>IF(ISNUMBER(MN79),MN79*(1+PortfolioFrontier[[#This Row],[P88 Return]]),1+PortfolioFrontier[[#This Row],[P88 Return]])</f>
        <v>1.4219196479602412</v>
      </c>
      <c r="MO80" s="27">
        <f>MAX(MO79,PortfolioFrontier[[#This Row],[P88 Growth]])</f>
        <v>1.7485237047822844</v>
      </c>
      <c r="MP80" s="27">
        <f>PortfolioFrontier[[#This Row],[P88 Growth]]/PortfolioFrontier[[#This Row],[P88 HWM]]-1</f>
        <v>-0.18678846385025705</v>
      </c>
      <c r="MQ80" s="28">
        <f>SUMPRODUCT(INDEX(PortfolioRef[[SPY]:[PE]],MATCH(MQ$1,PortfolioRef[Reference '#]),0),AssetMonthlyReturns[[#This Row],[SPY]:[PE]])</f>
        <v>-6.8225412550303247E-2</v>
      </c>
      <c r="MR80" s="27">
        <f>IF(ISNUMBER(MR79),MR79*(1+PortfolioFrontier[[#This Row],[P89 Return]]),1+PortfolioFrontier[[#This Row],[P89 Return]])</f>
        <v>1.4204455458603145</v>
      </c>
      <c r="MS80" s="27">
        <f>MAX(MS79,PortfolioFrontier[[#This Row],[P89 Growth]])</f>
        <v>1.7162568132506029</v>
      </c>
      <c r="MT80" s="27">
        <f>PortfolioFrontier[[#This Row],[P89 Growth]]/PortfolioFrontier[[#This Row],[P89 HWM]]-1</f>
        <v>-0.17235839363109051</v>
      </c>
      <c r="MU80" s="28">
        <f>SUMPRODUCT(INDEX(PortfolioRef[[SPY]:[PE]],MATCH(MU$1,PortfolioRef[Reference '#]),0),AssetMonthlyReturns[[#This Row],[SPY]:[PE]])</f>
        <v>-6.1242607805152831E-2</v>
      </c>
      <c r="MV80" s="27">
        <f>IF(ISNUMBER(MV79),MV79*(1+PortfolioFrontier[[#This Row],[P90 Return]]),1+PortfolioFrontier[[#This Row],[P90 Return]])</f>
        <v>1.4181197985856342</v>
      </c>
      <c r="MW80" s="27">
        <f>MAX(MW79,PortfolioFrontier[[#This Row],[P90 Growth]])</f>
        <v>1.6838515290273213</v>
      </c>
      <c r="MX80" s="27">
        <f>PortfolioFrontier[[#This Row],[P90 Growth]]/PortfolioFrontier[[#This Row],[P90 HWM]]-1</f>
        <v>-0.15781185327852942</v>
      </c>
      <c r="MY80" s="28">
        <f>SUMPRODUCT(INDEX(PortfolioRef[[SPY]:[PE]],MATCH(MY$1,PortfolioRef[Reference '#]),0),AssetMonthlyReturns[[#This Row],[SPY]:[PE]])</f>
        <v>-8.0666603398200115E-2</v>
      </c>
      <c r="MZ80" s="27">
        <f>IF(ISNUMBER(MZ79),MZ79*(1+PortfolioFrontier[[#This Row],[P91 Return]]),1+PortfolioFrontier[[#This Row],[P91 Return]])</f>
        <v>1.4198865493744135</v>
      </c>
      <c r="NA80" s="27">
        <f>MAX(NA79,PortfolioFrontier[[#This Row],[P91 Growth]])</f>
        <v>1.7680436458517257</v>
      </c>
      <c r="NB80" s="27">
        <f>PortfolioFrontier[[#This Row],[P91 Growth]]/PortfolioFrontier[[#This Row],[P91 HWM]]-1</f>
        <v>-0.19691657346478753</v>
      </c>
      <c r="NC80" s="28">
        <f>SUMPRODUCT(INDEX(PortfolioRef[[SPY]:[PE]],MATCH(NC$1,PortfolioRef[Reference '#]),0),AssetMonthlyReturns[[#This Row],[SPY]:[PE]])</f>
        <v>-7.3683798653049692E-2</v>
      </c>
      <c r="ND80" s="27">
        <f>IF(ISNUMBER(ND79),ND79*(1+PortfolioFrontier[[#This Row],[P92 Return]]),1+PortfolioFrontier[[#This Row],[P92 Return]])</f>
        <v>1.4190708067928601</v>
      </c>
      <c r="NE80" s="27">
        <f>MAX(NE79,PortfolioFrontier[[#This Row],[P92 Growth]])</f>
        <v>1.73599424265744</v>
      </c>
      <c r="NF80" s="27">
        <f>PortfolioFrontier[[#This Row],[P92 Growth]]/PortfolioFrontier[[#This Row],[P92 HWM]]-1</f>
        <v>-0.18256018832149878</v>
      </c>
      <c r="NG80" s="28">
        <f>SUMPRODUCT(INDEX(PortfolioRef[[SPY]:[PE]],MATCH(NG$1,PortfolioRef[Reference '#]),0),AssetMonthlyReturns[[#This Row],[SPY]:[PE]])</f>
        <v>-6.6700993907899297E-2</v>
      </c>
      <c r="NH80" s="27">
        <f>IF(ISNUMBER(NH79),NH79*(1+PortfolioFrontier[[#This Row],[P93 Return]]),1+PortfolioFrontier[[#This Row],[P93 Return]])</f>
        <v>1.4173984360949465</v>
      </c>
      <c r="NI80" s="27">
        <f>MAX(NI79,PortfolioFrontier[[#This Row],[P93 Growth]])</f>
        <v>1.7037793193389816</v>
      </c>
      <c r="NJ80" s="27">
        <f>PortfolioFrontier[[#This Row],[P93 Growth]]/PortfolioFrontier[[#This Row],[P93 HWM]]-1</f>
        <v>-0.1680856669601688</v>
      </c>
      <c r="NK80" s="28">
        <f>SUMPRODUCT(INDEX(PortfolioRef[[SPY]:[PE]],MATCH(NK$1,PortfolioRef[Reference '#]),0),AssetMonthlyReturns[[#This Row],[SPY]:[PE]])</f>
        <v>-8.6124989500946547E-2</v>
      </c>
      <c r="NL80" s="27">
        <f>IF(ISNUMBER(NL79),NL79*(1+PortfolioFrontier[[#This Row],[P94 Return]]),1+PortfolioFrontier[[#This Row],[P94 Return]])</f>
        <v>1.4169330285860013</v>
      </c>
      <c r="NM80" s="27">
        <f>MAX(NM79,PortfolioFrontier[[#This Row],[P94 Growth]])</f>
        <v>1.7868313973018393</v>
      </c>
      <c r="NN80" s="27">
        <f>PortfolioFrontier[[#This Row],[P94 Growth]]/PortfolioFrontier[[#This Row],[P94 HWM]]-1</f>
        <v>-0.20701358240872292</v>
      </c>
      <c r="NO80" s="28">
        <f>SUMPRODUCT(INDEX(PortfolioRef[[SPY]:[PE]],MATCH(NO$1,PortfolioRef[Reference '#]),0),AssetMonthlyReturns[[#This Row],[SPY]:[PE]])</f>
        <v>-7.9142184755796152E-2</v>
      </c>
      <c r="NP80" s="27">
        <f>IF(ISNUMBER(NP79),NP79*(1+PortfolioFrontier[[#This Row],[P95 Return]]),1+PortfolioFrontier[[#This Row],[P95 Return]])</f>
        <v>1.4167781951151623</v>
      </c>
      <c r="NQ80" s="27">
        <f>MAX(NQ79,PortfolioFrontier[[#This Row],[P95 Growth]])</f>
        <v>1.7550294195356591</v>
      </c>
      <c r="NR80" s="27">
        <f>PortfolioFrontier[[#This Row],[P95 Growth]]/PortfolioFrontier[[#This Row],[P95 HWM]]-1</f>
        <v>-0.19273250958379395</v>
      </c>
      <c r="NS80" s="28">
        <f>SUMPRODUCT(INDEX(PortfolioRef[[SPY]:[PE]],MATCH(NS$1,PortfolioRef[Reference '#]),0),AssetMonthlyReturns[[#This Row],[SPY]:[PE]])</f>
        <v>-7.2159380010645729E-2</v>
      </c>
      <c r="NT80" s="27">
        <f>IF(ISNUMBER(NT79),NT79*(1+PortfolioFrontier[[#This Row],[P96 Return]]),1+PortfolioFrontier[[#This Row],[P96 Return]])</f>
        <v>1.4157627252503648</v>
      </c>
      <c r="NU80" s="27">
        <f>MAX(NU79,PortfolioFrontier[[#This Row],[P96 Growth]])</f>
        <v>1.7230343324336159</v>
      </c>
      <c r="NV80" s="27">
        <f>PortfolioFrontier[[#This Row],[P96 Growth]]/PortfolioFrontier[[#This Row],[P96 HWM]]-1</f>
        <v>-0.17833167998995136</v>
      </c>
      <c r="NW80" s="28">
        <f>SUMPRODUCT(INDEX(PortfolioRef[[SPY]:[PE]],MATCH(NW$1,PortfolioRef[Reference '#]),0),AssetMonthlyReturns[[#This Row],[SPY]:[PE]])</f>
        <v>-5.9269635837375351E-2</v>
      </c>
      <c r="NX80" s="27">
        <f>IF(ISNUMBER(NX79),NX79*(1+PortfolioFrontier[[#This Row],[P97 Return]]),1+PortfolioFrontier[[#This Row],[P97 Return]])</f>
        <v>1.2961337778097957</v>
      </c>
      <c r="NY80" s="27">
        <f>MAX(NY79,PortfolioFrontier[[#This Row],[P97 Growth]])</f>
        <v>1.5498139523617234</v>
      </c>
      <c r="NZ80" s="27">
        <f>PortfolioFrontier[[#This Row],[P97 Growth]]/PortfolioFrontier[[#This Row],[P97 HWM]]-1</f>
        <v>-0.16368427588701906</v>
      </c>
      <c r="OA80" s="28">
        <f>SUMPRODUCT(INDEX(PortfolioRef[[SPY]:[PE]],MATCH(OA$1,PortfolioRef[Reference '#]),0),AssetMonthlyReturns[[#This Row],[SPY]:[PE]])</f>
        <v>-5.8636231361534653E-2</v>
      </c>
      <c r="OB80" s="27">
        <f>IF(ISNUMBER(OB79),OB79*(1+PortfolioFrontier[[#This Row],[P98 Return]]),1+PortfolioFrontier[[#This Row],[P98 Return]])</f>
        <v>1.3122249141821396</v>
      </c>
      <c r="OC80" s="27">
        <f>MAX(OC79,PortfolioFrontier[[#This Row],[P98 Growth]])</f>
        <v>1.5643918723292729</v>
      </c>
      <c r="OD80" s="27">
        <f>PortfolioFrontier[[#This Row],[P98 Growth]]/PortfolioFrontier[[#This Row],[P98 HWM]]-1</f>
        <v>-0.16119168260039207</v>
      </c>
      <c r="OE80" s="28">
        <f>SUMPRODUCT(INDEX(PortfolioRef[[SPY]:[PE]],MATCH(OE$1,PortfolioRef[Reference '#]),0),AssetMonthlyReturns[[#This Row],[SPY]:[PE]])</f>
        <v>-6.4094617464281106E-2</v>
      </c>
      <c r="OF80" s="27">
        <f>IF(ISNUMBER(OF79),OF79*(1+PortfolioFrontier[[#This Row],[P99 Return]]),1+PortfolioFrontier[[#This Row],[P99 Return]])</f>
        <v>1.312241183829562</v>
      </c>
      <c r="OG80" s="27">
        <f>MAX(OG79,PortfolioFrontier[[#This Row],[P99 Growth]])</f>
        <v>1.5836627563813395</v>
      </c>
      <c r="OH80" s="27">
        <f>PortfolioFrontier[[#This Row],[P99 Growth]]/PortfolioFrontier[[#This Row],[P99 HWM]]-1</f>
        <v>-0.17138849256768163</v>
      </c>
      <c r="OI80" s="28">
        <f>SUMPRODUCT(INDEX(PortfolioRef[[SPY]:[PE]],MATCH(OI$1,PortfolioRef[Reference '#]),0),AssetMonthlyReturns[[#This Row],[SPY]:[PE]])</f>
        <v>-5.711181271913069E-2</v>
      </c>
      <c r="OJ80" s="27">
        <f>IF(ISNUMBER(OJ79),OJ79*(1+PortfolioFrontier[[#This Row],[P100 Return]]),1+PortfolioFrontier[[#This Row],[P100 Return]])</f>
        <v>1.3091354766162977</v>
      </c>
      <c r="OK80" s="27">
        <f>MAX(OK79,PortfolioFrontier[[#This Row],[P100 Growth]])</f>
        <v>1.5528062347399851</v>
      </c>
      <c r="OL80" s="27">
        <f>PortfolioFrontier[[#This Row],[P100 Growth]]/PortfolioFrontier[[#This Row],[P100 HWM]]-1</f>
        <v>-0.15692283600631585</v>
      </c>
      <c r="OM80" s="28">
        <f>SUMPRODUCT(INDEX(PortfolioRef[[SPY]:[PE]],MATCH(OM$1,PortfolioRef[Reference '#]),0),AssetMonthlyReturns[[#This Row],[SPY]:[PE]])</f>
        <v>-5.8002826885693942E-2</v>
      </c>
      <c r="ON80" s="27">
        <f>IF(ISNUMBER(ON79),ON79*(1+PortfolioFrontier[[#This Row],[P101 Return]]),1+PortfolioFrontier[[#This Row],[P101 Return]])</f>
        <v>1.3282120362532648</v>
      </c>
      <c r="OO80" s="27">
        <f>MAX(OO79,PortfolioFrontier[[#This Row],[P101 Growth]])</f>
        <v>1.5787921813488919</v>
      </c>
      <c r="OP80" s="27">
        <f>PortfolioFrontier[[#This Row],[P101 Growth]]/PortfolioFrontier[[#This Row],[P101 HWM]]-1</f>
        <v>-0.1587163580209372</v>
      </c>
      <c r="OQ80" s="28">
        <f>SUMPRODUCT(INDEX(PortfolioRef[[SPY]:[PE]],MATCH(OQ$1,PortfolioRef[Reference '#]),0),AssetMonthlyReturns[[#This Row],[SPY]:[PE]])</f>
        <v>-6.3461212988440402E-2</v>
      </c>
      <c r="OR80" s="27">
        <f>IF(ISNUMBER(OR79),OR79*(1+PortfolioFrontier[[#This Row],[P102 Return]]),1+PortfolioFrontier[[#This Row],[P102 Return]])</f>
        <v>1.3285021241456447</v>
      </c>
      <c r="OS80" s="27">
        <f>MAX(OS79,PortfolioFrontier[[#This Row],[P102 Growth]])</f>
        <v>1.5985203886251573</v>
      </c>
      <c r="OT80" s="27">
        <f>PortfolioFrontier[[#This Row],[P102 Growth]]/PortfolioFrontier[[#This Row],[P102 HWM]]-1</f>
        <v>-0.16891762307251379</v>
      </c>
      <c r="OU80" s="28">
        <f>SUMPRODUCT(INDEX(PortfolioRef[[SPY]:[PE]],MATCH(OU$1,PortfolioRef[Reference '#]),0),AssetMonthlyReturns[[#This Row],[SPY]:[PE]])</f>
        <v>-5.6478408243289986E-2</v>
      </c>
      <c r="OV80" s="27">
        <f>IF(ISNUMBER(OV79),OV79*(1+PortfolioFrontier[[#This Row],[P103 Return]]),1+PortfolioFrontier[[#This Row],[P103 Return]])</f>
        <v>1.3253891704740308</v>
      </c>
      <c r="OW80" s="27">
        <f>MAX(OW79,PortfolioFrontier[[#This Row],[P103 Growth]])</f>
        <v>1.5674355228105428</v>
      </c>
      <c r="OX80" s="27">
        <f>PortfolioFrontier[[#This Row],[P103 Growth]]/PortfolioFrontier[[#This Row],[P103 HWM]]-1</f>
        <v>-0.15442188773577281</v>
      </c>
      <c r="OY80" s="28">
        <f>SUMPRODUCT(INDEX(PortfolioRef[[SPY]:[PE]],MATCH(OY$1,PortfolioRef[Reference '#]),0),AssetMonthlyReturns[[#This Row],[SPY]:[PE]])</f>
        <v>-6.8919599091186848E-2</v>
      </c>
      <c r="OZ80" s="27">
        <f>IF(ISNUMBER(OZ79),OZ79*(1+PortfolioFrontier[[#This Row],[P104 Return]]),1+PortfolioFrontier[[#This Row],[P104 Return]])</f>
        <v>1.3279376015550048</v>
      </c>
      <c r="PA80" s="27">
        <f>MAX(PA79,PortfolioFrontier[[#This Row],[P104 Growth]])</f>
        <v>1.6176462594840681</v>
      </c>
      <c r="PB80" s="27">
        <f>PortfolioFrontier[[#This Row],[P104 Growth]]/PortfolioFrontier[[#This Row],[P104 HWM]]-1</f>
        <v>-0.17909271339796062</v>
      </c>
      <c r="PC80" s="28">
        <f>SUMPRODUCT(INDEX(PortfolioRef[[SPY]:[PE]],MATCH(PC$1,PortfolioRef[Reference '#]),0),AssetMonthlyReturns[[#This Row],[SPY]:[PE]])</f>
        <v>-6.1936794346036432E-2</v>
      </c>
      <c r="PD80" s="27">
        <f>IF(ISNUMBER(PD79),PD79*(1+PortfolioFrontier[[#This Row],[P105 Return]]),1+PortfolioFrontier[[#This Row],[P105 Return]])</f>
        <v>1.3254301407960627</v>
      </c>
      <c r="PE80" s="27">
        <f>MAX(PE79,PortfolioFrontier[[#This Row],[P105 Growth]])</f>
        <v>1.5867085542337835</v>
      </c>
      <c r="PF80" s="27">
        <f>PortfolioFrontier[[#This Row],[P105 Growth]]/PortfolioFrontier[[#This Row],[P105 HWM]]-1</f>
        <v>-0.16466692181154297</v>
      </c>
      <c r="PG80" s="28">
        <f>SUMPRODUCT(INDEX(PortfolioRef[[SPY]:[PE]],MATCH(PG$1,PortfolioRef[Reference '#]),0),AssetMonthlyReturns[[#This Row],[SPY]:[PE]])</f>
        <v>-5.4953989600886023E-2</v>
      </c>
      <c r="PH80" s="27">
        <f>IF(ISNUMBER(PH79),PH79*(1+PortfolioFrontier[[#This Row],[P106 Return]]),1+PortfolioFrontier[[#This Row],[P106 Return]])</f>
        <v>1.3221361906848148</v>
      </c>
      <c r="PI80" s="27">
        <f>MAX(PI79,PortfolioFrontier[[#This Row],[P106 Growth]])</f>
        <v>1.5556887430167754</v>
      </c>
      <c r="PJ80" s="27">
        <f>PortfolioFrontier[[#This Row],[P106 Growth]]/PortfolioFrontier[[#This Row],[P106 HWM]]-1</f>
        <v>-0.15012807245687076</v>
      </c>
      <c r="PK80" s="28">
        <f>SUMPRODUCT(INDEX(PortfolioRef[[SPY]:[PE]],MATCH(PK$1,PortfolioRef[Reference '#]),0),AssetMonthlyReturns[[#This Row],[SPY]:[PE]])</f>
        <v>-6.2827808512599698E-2</v>
      </c>
      <c r="PL80" s="27">
        <f>IF(ISNUMBER(PL79),PL79*(1+PortfolioFrontier[[#This Row],[P107 Return]]),1+PortfolioFrontier[[#This Row],[P107 Return]])</f>
        <v>1.3446575315067149</v>
      </c>
      <c r="PM80" s="27">
        <f>MAX(PM79,PortfolioFrontier[[#This Row],[P107 Growth]])</f>
        <v>1.6131964012798079</v>
      </c>
      <c r="PN80" s="27">
        <f>PortfolioFrontier[[#This Row],[P107 Growth]]/PortfolioFrontier[[#This Row],[P107 HWM]]-1</f>
        <v>-0.16646384132772141</v>
      </c>
      <c r="PO80" s="28">
        <f>SUMPRODUCT(INDEX(PortfolioRef[[SPY]:[PE]],MATCH(PO$1,PortfolioRef[Reference '#]),0),AssetMonthlyReturns[[#This Row],[SPY]:[PE]])</f>
        <v>-5.5845003767449282E-2</v>
      </c>
      <c r="PP80" s="27">
        <f>IF(ISNUMBER(PP79),PP79*(1+PortfolioFrontier[[#This Row],[P108 Return]]),1+PortfolioFrontier[[#This Row],[P108 Return]])</f>
        <v>1.3415380380996671</v>
      </c>
      <c r="PQ80" s="27">
        <f>MAX(PQ79,PortfolioFrontier[[#This Row],[P108 Growth]])</f>
        <v>1.5818874318633449</v>
      </c>
      <c r="PR80" s="27">
        <f>PortfolioFrontier[[#This Row],[P108 Growth]]/PortfolioFrontier[[#This Row],[P108 HWM]]-1</f>
        <v>-0.15193836737204758</v>
      </c>
      <c r="PS80" s="28">
        <f>SUMPRODUCT(INDEX(PortfolioRef[[SPY]:[PE]],MATCH(PS$1,PortfolioRef[Reference '#]),0),AssetMonthlyReturns[[#This Row],[SPY]:[PE]])</f>
        <v>-6.8286194615346157E-2</v>
      </c>
      <c r="PT80" s="27">
        <f>IF(ISNUMBER(PT79),PT79*(1+PortfolioFrontier[[#This Row],[P109 Return]]),1+PortfolioFrontier[[#This Row],[P109 Return]])</f>
        <v>1.3443628331976756</v>
      </c>
      <c r="PU80" s="27">
        <f>MAX(PU79,PortfolioFrontier[[#This Row],[P109 Growth]])</f>
        <v>1.6327835279326679</v>
      </c>
      <c r="PV80" s="27">
        <f>PortfolioFrontier[[#This Row],[P109 Growth]]/PortfolioFrontier[[#This Row],[P109 HWM]]-1</f>
        <v>-0.17664355978662594</v>
      </c>
      <c r="PW80" s="28">
        <f>SUMPRODUCT(INDEX(PortfolioRef[[SPY]:[PE]],MATCH(PW$1,PortfolioRef[Reference '#]),0),AssetMonthlyReturns[[#This Row],[SPY]:[PE]])</f>
        <v>-6.1303389870195735E-2</v>
      </c>
      <c r="PX80" s="27">
        <f>IF(ISNUMBER(PX79),PX79*(1+PortfolioFrontier[[#This Row],[P110 Return]]),1+PortfolioFrontier[[#This Row],[P110 Return]])</f>
        <v>1.3418556434492939</v>
      </c>
      <c r="PY80" s="27">
        <f>MAX(PY79,PortfolioFrontier[[#This Row],[P110 Growth]])</f>
        <v>1.6016185143364081</v>
      </c>
      <c r="PZ80" s="27">
        <f>PortfolioFrontier[[#This Row],[P110 Growth]]/PortfolioFrontier[[#This Row],[P110 HWM]]-1</f>
        <v>-0.16218772982575114</v>
      </c>
      <c r="QA80" s="28">
        <f>SUMPRODUCT(INDEX(PortfolioRef[[SPY]:[PE]],MATCH(QA$1,PortfolioRef[Reference '#]),0),AssetMonthlyReturns[[#This Row],[SPY]:[PE]])</f>
        <v>-5.4320585125045326E-2</v>
      </c>
      <c r="QB80" s="27">
        <f>IF(ISNUMBER(QB79),QB79*(1+PortfolioFrontier[[#This Row],[P111 Return]]),1+PortfolioFrontier[[#This Row],[P111 Return]])</f>
        <v>1.3385525755712397</v>
      </c>
      <c r="QC80" s="27">
        <f>MAX(QC79,PortfolioFrontier[[#This Row],[P111 Growth]])</f>
        <v>1.5703684845094485</v>
      </c>
      <c r="QD80" s="27">
        <f>PortfolioFrontier[[#This Row],[P111 Growth]]/PortfolioFrontier[[#This Row],[P111 HWM]]-1</f>
        <v>-0.14761879853353232</v>
      </c>
      <c r="QE80" s="28">
        <f>SUMPRODUCT(INDEX(PortfolioRef[[SPY]:[PE]],MATCH(QE$1,PortfolioRef[Reference '#]),0),AssetMonthlyReturns[[#This Row],[SPY]:[PE]])</f>
        <v>-7.3744580718092589E-2</v>
      </c>
      <c r="QF80" s="27">
        <f>IF(ISNUMBER(QF79),QF79*(1+PortfolioFrontier[[#This Row],[P112 Return]]),1+PortfolioFrontier[[#This Row],[P112 Return]])</f>
        <v>1.343200832469418</v>
      </c>
      <c r="QG80" s="27">
        <f>MAX(QG79,PortfolioFrontier[[#This Row],[P112 Growth]])</f>
        <v>1.6517386955477045</v>
      </c>
      <c r="QH80" s="27">
        <f>PortfolioFrontier[[#This Row],[P112 Growth]]/PortfolioFrontier[[#This Row],[P112 HWM]]-1</f>
        <v>-0.1867958072968543</v>
      </c>
      <c r="QI80" s="28">
        <f>SUMPRODUCT(INDEX(PortfolioRef[[SPY]:[PE]],MATCH(QI$1,PortfolioRef[Reference '#]),0),AssetMonthlyReturns[[#This Row],[SPY]:[PE]])</f>
        <v>-6.6761775972942194E-2</v>
      </c>
      <c r="QJ80" s="27">
        <f>IF(ISNUMBER(QJ79),QJ79*(1+PortfolioFrontier[[#This Row],[P113 Return]]),1+PortfolioFrontier[[#This Row],[P113 Return]])</f>
        <v>1.3413105525775131</v>
      </c>
      <c r="QK80" s="27">
        <f>MAX(QK79,PortfolioFrontier[[#This Row],[P113 Growth]])</f>
        <v>1.6207454292109018</v>
      </c>
      <c r="QL80" s="27">
        <f>PortfolioFrontier[[#This Row],[P113 Growth]]/PortfolioFrontier[[#This Row],[P113 HWM]]-1</f>
        <v>-0.17241133098208905</v>
      </c>
      <c r="QM80" s="28">
        <f>SUMPRODUCT(INDEX(PortfolioRef[[SPY]:[PE]],MATCH(QM$1,PortfolioRef[Reference '#]),0),AssetMonthlyReturns[[#This Row],[SPY]:[PE]])</f>
        <v>-5.9778971227791772E-2</v>
      </c>
      <c r="QN80" s="27">
        <f>IF(ISNUMBER(QN79),QN79*(1+PortfolioFrontier[[#This Row],[P114 Return]]),1+PortfolioFrontier[[#This Row],[P114 Return]])</f>
        <v>1.3386184932033711</v>
      </c>
      <c r="QO80" s="27">
        <f>MAX(QO79,PortfolioFrontier[[#This Row],[P114 Growth]])</f>
        <v>1.5896421022161857</v>
      </c>
      <c r="QP80" s="27">
        <f>PortfolioFrontier[[#This Row],[P114 Growth]]/PortfolioFrontier[[#This Row],[P114 HWM]]-1</f>
        <v>-0.15791202853953867</v>
      </c>
      <c r="QQ80" s="28">
        <f>SUMPRODUCT(INDEX(PortfolioRef[[SPY]:[PE]],MATCH(QQ$1,PortfolioRef[Reference '#]),0),AssetMonthlyReturns[[#This Row],[SPY]:[PE]])</f>
        <v>-6.7652790139505453E-2</v>
      </c>
      <c r="QR80" s="27">
        <f>IF(ISNUMBER(QR79),QR79*(1+PortfolioFrontier[[#This Row],[P115 Return]]),1+PortfolioFrontier[[#This Row],[P115 Return]])</f>
        <v>1.3606810422975955</v>
      </c>
      <c r="QS80" s="27">
        <f>MAX(QS79,PortfolioFrontier[[#This Row],[P115 Growth]])</f>
        <v>1.6477351477866757</v>
      </c>
      <c r="QT80" s="27">
        <f>PortfolioFrontier[[#This Row],[P115 Growth]]/PortfolioFrontier[[#This Row],[P115 HWM]]-1</f>
        <v>-0.17421131416336322</v>
      </c>
      <c r="QU80" s="28">
        <f>SUMPRODUCT(INDEX(PortfolioRef[[SPY]:[PE]],MATCH(QU$1,PortfolioRef[Reference '#]),0),AssetMonthlyReturns[[#This Row],[SPY]:[PE]])</f>
        <v>-6.066998539435503E-2</v>
      </c>
      <c r="QV80" s="27">
        <f>IF(ISNUMBER(QV79),QV79*(1+PortfolioFrontier[[#This Row],[P116 Return]]),1+PortfolioFrontier[[#This Row],[P116 Return]])</f>
        <v>1.3581747861590856</v>
      </c>
      <c r="QW80" s="27">
        <f>MAX(QW79,PortfolioFrontier[[#This Row],[P116 Growth]])</f>
        <v>1.6163470917094751</v>
      </c>
      <c r="QX80" s="27">
        <f>PortfolioFrontier[[#This Row],[P116 Growth]]/PortfolioFrontier[[#This Row],[P116 HWM]]-1</f>
        <v>-0.15972578344997812</v>
      </c>
      <c r="QY80" s="28">
        <f>SUMPRODUCT(INDEX(PortfolioRef[[SPY]:[PE]],MATCH(QY$1,PortfolioRef[Reference '#]),0),AssetMonthlyReturns[[#This Row],[SPY]:[PE]])</f>
        <v>-5.3687180649204622E-2</v>
      </c>
      <c r="QZ80" s="27">
        <f>IF(ISNUMBER(QZ79),QZ79*(1+PortfolioFrontier[[#This Row],[P117 Return]]),1+PortfolioFrontier[[#This Row],[P117 Return]])</f>
        <v>1.3548633274746344</v>
      </c>
      <c r="RA80" s="27">
        <f>MAX(RA79,PortfolioFrontier[[#This Row],[P117 Growth]])</f>
        <v>1.5848710929942145</v>
      </c>
      <c r="RB80" s="27">
        <f>PortfolioFrontier[[#This Row],[P117 Growth]]/PortfolioFrontier[[#This Row],[P117 HWM]]-1</f>
        <v>-0.14512711256852973</v>
      </c>
      <c r="RC80" s="28">
        <f>SUMPRODUCT(INDEX(PortfolioRef[[SPY]:[PE]],MATCH(RC$1,PortfolioRef[Reference '#]),0),AssetMonthlyReturns[[#This Row],[SPY]:[PE]])</f>
        <v>-7.3111176242251899E-2</v>
      </c>
      <c r="RD80" s="27">
        <f>IF(ISNUMBER(RD79),RD79*(1+PortfolioFrontier[[#This Row],[P118 Return]]),1+PortfolioFrontier[[#This Row],[P118 Return]])</f>
        <v>1.3597846075039104</v>
      </c>
      <c r="RE80" s="27">
        <f>MAX(RE79,PortfolioFrontier[[#This Row],[P118 Growth]])</f>
        <v>1.667155293527623</v>
      </c>
      <c r="RF80" s="27">
        <f>PortfolioFrontier[[#This Row],[P118 Growth]]/PortfolioFrontier[[#This Row],[P118 HWM]]-1</f>
        <v>-0.184368359214654</v>
      </c>
      <c r="RG80" s="28">
        <f>SUMPRODUCT(INDEX(PortfolioRef[[SPY]:[PE]],MATCH(RG$1,PortfolioRef[Reference '#]),0),AssetMonthlyReturns[[#This Row],[SPY]:[PE]])</f>
        <v>-6.612837149710149E-2</v>
      </c>
      <c r="RH80" s="27">
        <f>IF(ISNUMBER(RH79),RH79*(1+PortfolioFrontier[[#This Row],[P119 Return]]),1+PortfolioFrontier[[#This Row],[P119 Return]])</f>
        <v>1.3579023047540351</v>
      </c>
      <c r="RI80" s="27">
        <f>MAX(RI79,PortfolioFrontier[[#This Row],[P119 Growth]])</f>
        <v>1.6359359857167841</v>
      </c>
      <c r="RJ80" s="27">
        <f>PortfolioFrontier[[#This Row],[P119 Growth]]/PortfolioFrontier[[#This Row],[P119 HWM]]-1</f>
        <v>-0.16995388779893417</v>
      </c>
      <c r="RK80" s="28">
        <f>SUMPRODUCT(INDEX(PortfolioRef[[SPY]:[PE]],MATCH(RK$1,PortfolioRef[Reference '#]),0),AssetMonthlyReturns[[#This Row],[SPY]:[PE]])</f>
        <v>-5.9145566751951074E-2</v>
      </c>
      <c r="RL80" s="27">
        <f>IF(ISNUMBER(RL79),RL79*(1+PortfolioFrontier[[#This Row],[P120 Return]]),1+PortfolioFrontier[[#This Row],[P120 Return]])</f>
        <v>1.3552086976212572</v>
      </c>
      <c r="RM80" s="27">
        <f>MAX(RM79,PortfolioFrontier[[#This Row],[P120 Growth]])</f>
        <v>1.6046034567476111</v>
      </c>
      <c r="RN80" s="27">
        <f>PortfolioFrontier[[#This Row],[P120 Growth]]/PortfolioFrontier[[#This Row],[P120 HWM]]-1</f>
        <v>-0.15542454310291398</v>
      </c>
      <c r="RO80" s="28">
        <f>SUMPRODUCT(INDEX(PortfolioRef[[SPY]:[PE]],MATCH(RO$1,PortfolioRef[Reference '#]),0),AssetMonthlyReturns[[#This Row],[SPY]:[PE]])</f>
        <v>-7.8569562344998345E-2</v>
      </c>
      <c r="RP80" s="27">
        <f>IF(ISNUMBER(RP79),RP79*(1+PortfolioFrontier[[#This Row],[P121 Return]]),1+PortfolioFrontier[[#This Row],[P121 Return]])</f>
        <v>1.3580087809501475</v>
      </c>
      <c r="RQ80" s="27">
        <f>MAX(RQ79,PortfolioFrontier[[#This Row],[P121 Growth]])</f>
        <v>1.6859132740659151</v>
      </c>
      <c r="RR80" s="27">
        <f>PortfolioFrontier[[#This Row],[P121 Growth]]/PortfolioFrontier[[#This Row],[P121 HWM]]-1</f>
        <v>-0.19449665540918404</v>
      </c>
      <c r="RS80" s="28">
        <f>SUMPRODUCT(INDEX(PortfolioRef[[SPY]:[PE]],MATCH(RS$1,PortfolioRef[Reference '#]),0),AssetMonthlyReturns[[#This Row],[SPY]:[PE]])</f>
        <v>-7.1586757599847936E-2</v>
      </c>
      <c r="RT80" s="27">
        <f>IF(ISNUMBER(RT79),RT79*(1+PortfolioFrontier[[#This Row],[P122 Return]]),1+PortfolioFrontier[[#This Row],[P122 Return]])</f>
        <v>1.3567542823268086</v>
      </c>
      <c r="RU80" s="27">
        <f>MAX(RU79,PortfolioFrontier[[#This Row],[P122 Growth]])</f>
        <v>1.6548910536150563</v>
      </c>
      <c r="RV80" s="27">
        <f>PortfolioFrontier[[#This Row],[P122 Growth]]/PortfolioFrontier[[#This Row],[P122 HWM]]-1</f>
        <v>-0.18015492357456253</v>
      </c>
      <c r="RW80" s="28">
        <f>SUMPRODUCT(INDEX(PortfolioRef[[SPY]:[PE]],MATCH(RW$1,PortfolioRef[Reference '#]),0),AssetMonthlyReturns[[#This Row],[SPY]:[PE]])</f>
        <v>-6.4603952854697527E-2</v>
      </c>
      <c r="RX80" s="27">
        <f>IF(ISNUMBER(RX79),RX79*(1+PortfolioFrontier[[#This Row],[P123 Return]]),1+PortfolioFrontier[[#This Row],[P123 Return]])</f>
        <v>1.3546832889584688</v>
      </c>
      <c r="RY80" s="27">
        <f>MAX(RY79,PortfolioFrontier[[#This Row],[P123 Growth]])</f>
        <v>1.6237298558231279</v>
      </c>
      <c r="RZ80" s="27">
        <f>PortfolioFrontier[[#This Row],[P123 Growth]]/PortfolioFrontier[[#This Row],[P123 HWM]]-1</f>
        <v>-0.16569663106198762</v>
      </c>
      <c r="SA80" s="28">
        <f>SUMPRODUCT(INDEX(PortfolioRef[[SPY]:[PE]],MATCH(SA$1,PortfolioRef[Reference '#]),0),AssetMonthlyReturns[[#This Row],[SPY]:[PE]])</f>
        <v>-7.2477771766411195E-2</v>
      </c>
      <c r="SB80" s="27">
        <f>IF(ISNUMBER(SB79),SB79*(1+PortfolioFrontier[[#This Row],[P124 Return]]),1+PortfolioFrontier[[#This Row],[P124 Return]])</f>
        <v>1.3762599015342813</v>
      </c>
      <c r="SC80" s="27">
        <f>MAX(SC79,PortfolioFrontier[[#This Row],[P124 Growth]])</f>
        <v>1.6823821965094672</v>
      </c>
      <c r="SD80" s="27">
        <f>PortfolioFrontier[[#This Row],[P124 Growth]]/PortfolioFrontier[[#This Row],[P124 HWM]]-1</f>
        <v>-0.18195764054702612</v>
      </c>
      <c r="SE80" s="28">
        <f>SUMPRODUCT(INDEX(PortfolioRef[[SPY]:[PE]],MATCH(SE$1,PortfolioRef[Reference '#]),0),AssetMonthlyReturns[[#This Row],[SPY]:[PE]])</f>
        <v>-6.5494967021260786E-2</v>
      </c>
      <c r="SF80" s="27">
        <f>IF(ISNUMBER(SF79),SF79*(1+PortfolioFrontier[[#This Row],[P125 Return]]),1+PortfolioFrontier[[#This Row],[P125 Return]])</f>
        <v>1.3743861924717524</v>
      </c>
      <c r="SG80" s="27">
        <f>MAX(SG79,PortfolioFrontier[[#This Row],[P125 Growth]])</f>
        <v>1.6509411354388694</v>
      </c>
      <c r="SH80" s="27">
        <f>PortfolioFrontier[[#This Row],[P125 Growth]]/PortfolioFrontier[[#This Row],[P125 HWM]]-1</f>
        <v>-0.16751350913162655</v>
      </c>
      <c r="SI80" s="28">
        <f>SUMPRODUCT(INDEX(PortfolioRef[[SPY]:[PE]],MATCH(SI$1,PortfolioRef[Reference '#]),0),AssetMonthlyReturns[[#This Row],[SPY]:[PE]])</f>
        <v>-5.851216227611037E-2</v>
      </c>
      <c r="SJ80" s="27">
        <f>IF(ISNUMBER(SJ79),SJ79*(1+PortfolioFrontier[[#This Row],[P126 Return]]),1+PortfolioFrontier[[#This Row],[P126 Return]])</f>
        <v>1.3716917203096073</v>
      </c>
      <c r="SK80" s="27">
        <f>MAX(SK79,PortfolioFrontier[[#This Row],[P126 Growth]])</f>
        <v>1.6193836797956254</v>
      </c>
      <c r="SL80" s="27">
        <f>PortfolioFrontier[[#This Row],[P126 Growth]]/PortfolioFrontier[[#This Row],[P126 HWM]]-1</f>
        <v>-0.15295446198227591</v>
      </c>
      <c r="SM80" s="28">
        <f>SUMPRODUCT(INDEX(PortfolioRef[[SPY]:[PE]],MATCH(SM$1,PortfolioRef[Reference '#]),0),AssetMonthlyReturns[[#This Row],[SPY]:[PE]])</f>
        <v>-7.7936157869157641E-2</v>
      </c>
      <c r="SN80" s="27">
        <f>IF(ISNUMBER(SN79),SN79*(1+PortfolioFrontier[[#This Row],[P127 Return]]),1+PortfolioFrontier[[#This Row],[P127 Return]])</f>
        <v>1.3747451189520221</v>
      </c>
      <c r="SO80" s="27">
        <f>MAX(SO79,PortfolioFrontier[[#This Row],[P127 Growth]])</f>
        <v>1.7016086575400751</v>
      </c>
      <c r="SP80" s="27">
        <f>PortfolioFrontier[[#This Row],[P127 Growth]]/PortfolioFrontier[[#This Row],[P127 HWM]]-1</f>
        <v>-0.19209090006663587</v>
      </c>
      <c r="SQ80" s="28">
        <f>SUMPRODUCT(INDEX(PortfolioRef[[SPY]:[PE]],MATCH(SQ$1,PortfolioRef[Reference '#]),0),AssetMonthlyReturns[[#This Row],[SPY]:[PE]])</f>
        <v>-7.0953353124007246E-2</v>
      </c>
      <c r="SR80" s="27">
        <f>IF(ISNUMBER(SR79),SR79*(1+PortfolioFrontier[[#This Row],[P128 Return]]),1+PortfolioFrontier[[#This Row],[P128 Return]])</f>
        <v>1.3735064869524571</v>
      </c>
      <c r="SS80" s="27">
        <f>MAX(SS79,PortfolioFrontier[[#This Row],[P128 Growth]])</f>
        <v>1.6703618996398835</v>
      </c>
      <c r="ST80" s="27">
        <f>PortfolioFrontier[[#This Row],[P128 Growth]]/PortfolioFrontier[[#This Row],[P128 HWM]]-1</f>
        <v>-0.17771921926106304</v>
      </c>
      <c r="SU80" s="28">
        <f>SUMPRODUCT(INDEX(PortfolioRef[[SPY]:[PE]],MATCH(SU$1,PortfolioRef[Reference '#]),0),AssetMonthlyReturns[[#This Row],[SPY]:[PE]])</f>
        <v>-6.3970548378856823E-2</v>
      </c>
      <c r="SV80" s="27">
        <f>IF(ISNUMBER(SV79),SV79*(1+PortfolioFrontier[[#This Row],[P129 Return]]),1+PortfolioFrontier[[#This Row],[P129 Return]])</f>
        <v>1.3714417070394924</v>
      </c>
      <c r="SW80" s="27">
        <f>MAX(SW79,PortfolioFrontier[[#This Row],[P129 Growth]])</f>
        <v>1.6389727481356613</v>
      </c>
      <c r="SX80" s="27">
        <f>PortfolioFrontier[[#This Row],[P129 Growth]]/PortfolioFrontier[[#This Row],[P129 HWM]]-1</f>
        <v>-0.16323092705506337</v>
      </c>
      <c r="SY80" s="28">
        <f>SUMPRODUCT(INDEX(PortfolioRef[[SPY]:[PE]],MATCH(SY$1,PortfolioRef[Reference '#]),0),AssetMonthlyReturns[[#This Row],[SPY]:[PE]])</f>
        <v>-8.33945439719041E-2</v>
      </c>
      <c r="SZ80" s="27">
        <f>IF(ISNUMBER(SZ79),SZ79*(1+PortfolioFrontier[[#This Row],[P130 Return]]),1+PortfolioFrontier[[#This Row],[P130 Return]])</f>
        <v>1.3723394914739315</v>
      </c>
      <c r="TA80" s="27">
        <f>MAX(TA79,PortfolioFrontier[[#This Row],[P130 Growth]])</f>
        <v>1.720142179322633</v>
      </c>
      <c r="TB80" s="27">
        <f>PortfolioFrontier[[#This Row],[P130 Growth]]/PortfolioFrontier[[#This Row],[P130 HWM]]-1</f>
        <v>-0.20219415117514361</v>
      </c>
      <c r="TC80" s="28">
        <f>SUMPRODUCT(INDEX(PortfolioRef[[SPY]:[PE]],MATCH(TC$1,PortfolioRef[Reference '#]),0),AssetMonthlyReturns[[#This Row],[SPY]:[PE]])</f>
        <v>-7.6411739226753678E-2</v>
      </c>
      <c r="TD80" s="27">
        <f>IF(ISNUMBER(TD79),TD79*(1+PortfolioFrontier[[#This Row],[P131 Return]]),1+PortfolioFrontier[[#This Row],[P131 Return]])</f>
        <v>1.3717390028327372</v>
      </c>
      <c r="TE80" s="27">
        <f>MAX(TE79,PortfolioFrontier[[#This Row],[P131 Growth]])</f>
        <v>1.6891185966988822</v>
      </c>
      <c r="TF80" s="27">
        <f>PortfolioFrontier[[#This Row],[P131 Growth]]/PortfolioFrontier[[#This Row],[P131 HWM]]-1</f>
        <v>-0.18789657190822107</v>
      </c>
      <c r="TG80" s="28">
        <f>SUMPRODUCT(INDEX(PortfolioRef[[SPY]:[PE]],MATCH(TG$1,PortfolioRef[Reference '#]),0),AssetMonthlyReturns[[#This Row],[SPY]:[PE]])</f>
        <v>-6.9428934481603283E-2</v>
      </c>
      <c r="TH80" s="27">
        <f>IF(ISNUMBER(TH79),TH79*(1+PortfolioFrontier[[#This Row],[P132 Return]]),1+PortfolioFrontier[[#This Row],[P132 Return]])</f>
        <v>1.3703079169484422</v>
      </c>
      <c r="TI80" s="27">
        <f>MAX(TI79,PortfolioFrontier[[#This Row],[P132 Growth]])</f>
        <v>1.6579261593145806</v>
      </c>
      <c r="TJ80" s="27">
        <f>PortfolioFrontier[[#This Row],[P132 Growth]]/PortfolioFrontier[[#This Row],[P132 HWM]]-1</f>
        <v>-0.17348073118349583</v>
      </c>
      <c r="TK80" s="28">
        <f>SUMPRODUCT(INDEX(PortfolioRef[[SPY]:[PE]],MATCH(TK$1,PortfolioRef[Reference '#]),0),AssetMonthlyReturns[[#This Row],[SPY]:[PE]])</f>
        <v>-7.7302753393316936E-2</v>
      </c>
      <c r="TL80" s="27">
        <f>IF(ISNUMBER(TL79),TL79*(1+PortfolioFrontier[[#This Row],[P133 Return]]),1+PortfolioFrontier[[#This Row],[P133 Return]])</f>
        <v>1.3913715506817077</v>
      </c>
      <c r="TM80" s="27">
        <f>MAX(TM79,PortfolioFrontier[[#This Row],[P133 Growth]])</f>
        <v>1.7171102853087914</v>
      </c>
      <c r="TN80" s="27">
        <f>PortfolioFrontier[[#This Row],[P133 Growth]]/PortfolioFrontier[[#This Row],[P133 HWM]]-1</f>
        <v>-0.18970169674832826</v>
      </c>
      <c r="TO80" s="28">
        <f>SUMPRODUCT(INDEX(PortfolioRef[[SPY]:[PE]],MATCH(TO$1,PortfolioRef[Reference '#]),0),AssetMonthlyReturns[[#This Row],[SPY]:[PE]])</f>
        <v>-7.0319948648166528E-2</v>
      </c>
      <c r="TP80" s="27">
        <f>IF(ISNUMBER(TP79),TP79*(1+PortfolioFrontier[[#This Row],[P134 Return]]),1+PortfolioFrontier[[#This Row],[P134 Return]])</f>
        <v>1.3901493538778897</v>
      </c>
      <c r="TQ80" s="27">
        <f>MAX(TQ79,PortfolioFrontier[[#This Row],[P134 Growth]])</f>
        <v>1.6856432974461595</v>
      </c>
      <c r="TR80" s="27">
        <f>PortfolioFrontier[[#This Row],[P134 Growth]]/PortfolioFrontier[[#This Row],[P134 HWM]]-1</f>
        <v>-0.17530039956612353</v>
      </c>
      <c r="TS80" s="28">
        <f>SUMPRODUCT(INDEX(PortfolioRef[[SPY]:[PE]],MATCH(TS$1,PortfolioRef[Reference '#]),0),AssetMonthlyReturns[[#This Row],[SPY]:[PE]])</f>
        <v>-6.3337143903016119E-2</v>
      </c>
      <c r="TT80" s="27">
        <f>IF(ISNUMBER(TT79),TT79*(1+PortfolioFrontier[[#This Row],[P135 Return]]),1+PortfolioFrontier[[#This Row],[P135 Return]])</f>
        <v>1.3880914239679469</v>
      </c>
      <c r="TU80" s="27">
        <f>MAX(TU79,PortfolioFrontier[[#This Row],[P135 Growth]])</f>
        <v>1.6540304901705998</v>
      </c>
      <c r="TV80" s="27">
        <f>PortfolioFrontier[[#This Row],[P135 Growth]]/PortfolioFrontier[[#This Row],[P135 HWM]]-1</f>
        <v>-0.16078244493257399</v>
      </c>
      <c r="TW80" s="28">
        <f>SUMPRODUCT(INDEX(PortfolioRef[[SPY]:[PE]],MATCH(TW$1,PortfolioRef[Reference '#]),0),AssetMonthlyReturns[[#This Row],[SPY]:[PE]])</f>
        <v>-8.2761139496063396E-2</v>
      </c>
      <c r="TX80" s="27">
        <f>IF(ISNUMBER(TX79),TX79*(1+PortfolioFrontier[[#This Row],[P136 Return]]),1+PortfolioFrontier[[#This Row],[P136 Return]])</f>
        <v>1.3892221827653917</v>
      </c>
      <c r="TY80" s="27">
        <f>MAX(TY79,PortfolioFrontier[[#This Row],[P136 Growth]])</f>
        <v>1.7361155602147582</v>
      </c>
      <c r="TZ80" s="27">
        <f>PortfolioFrontier[[#This Row],[P136 Growth]]/PortfolioFrontier[[#This Row],[P136 HWM]]-1</f>
        <v>-0.19981007336081691</v>
      </c>
      <c r="UA80" s="28">
        <f>SUMPRODUCT(INDEX(PortfolioRef[[SPY]:[PE]],MATCH(UA$1,PortfolioRef[Reference '#]),0),AssetMonthlyReturns[[#This Row],[SPY]:[PE]])</f>
        <v>-7.5778334750912973E-2</v>
      </c>
      <c r="UB80" s="27">
        <f>IF(ISNUMBER(UB79),UB79*(1+PortfolioFrontier[[#This Row],[P137 Return]]),1+PortfolioFrontier[[#This Row],[P137 Return]])</f>
        <v>1.3886456278725821</v>
      </c>
      <c r="UC80" s="27">
        <f>MAX(UC79,PortfolioFrontier[[#This Row],[P137 Growth]])</f>
        <v>1.7048691873265751</v>
      </c>
      <c r="UD80" s="27">
        <f>PortfolioFrontier[[#This Row],[P137 Growth]]/PortfolioFrontier[[#This Row],[P137 HWM]]-1</f>
        <v>-0.18548259409266865</v>
      </c>
      <c r="UE80" s="28">
        <f>SUMPRODUCT(INDEX(PortfolioRef[[SPY]:[PE]],MATCH(UE$1,PortfolioRef[Reference '#]),0),AssetMonthlyReturns[[#This Row],[SPY]:[PE]])</f>
        <v>-6.8795530005762578E-2</v>
      </c>
      <c r="UF80" s="27">
        <f>IF(ISNUMBER(UF79),UF79*(1+PortfolioFrontier[[#This Row],[P138 Return]]),1+PortfolioFrontier[[#This Row],[P138 Return]])</f>
        <v>1.387228702533337</v>
      </c>
      <c r="UG80" s="27">
        <f>MAX(UG79,PortfolioFrontier[[#This Row],[P138 Growth]])</f>
        <v>1.6734502822541619</v>
      </c>
      <c r="UH80" s="27">
        <f>PortfolioFrontier[[#This Row],[P138 Growth]]/PortfolioFrontier[[#This Row],[P138 HWM]]-1</f>
        <v>-0.17103679909467062</v>
      </c>
      <c r="UI80" s="28">
        <f>SUMPRODUCT(INDEX(PortfolioRef[[SPY]:[PE]],MATCH(UI$1,PortfolioRef[Reference '#]),0),AssetMonthlyReturns[[#This Row],[SPY]:[PE]])</f>
        <v>-8.8219525598809856E-2</v>
      </c>
      <c r="UJ80" s="27">
        <f>IF(ISNUMBER(UJ79),UJ79*(1+PortfolioFrontier[[#This Row],[P139 Return]]),1+PortfolioFrontier[[#This Row],[P139 Return]])</f>
        <v>1.3861711864052835</v>
      </c>
      <c r="UK80" s="27">
        <f>MAX(UK79,PortfolioFrontier[[#This Row],[P139 Growth]])</f>
        <v>1.7543965710992384</v>
      </c>
      <c r="UL80" s="27">
        <f>PortfolioFrontier[[#This Row],[P139 Growth]]/PortfolioFrontier[[#This Row],[P139 HWM]]-1</f>
        <v>-0.20988720039690845</v>
      </c>
      <c r="UM80" s="28">
        <f>SUMPRODUCT(INDEX(PortfolioRef[[SPY]:[PE]],MATCH(UM$1,PortfolioRef[Reference '#]),0),AssetMonthlyReturns[[#This Row],[SPY]:[PE]])</f>
        <v>-8.1236720853659433E-2</v>
      </c>
      <c r="UN80" s="27">
        <f>IF(ISNUMBER(UN79),UN79*(1+PortfolioFrontier[[#This Row],[P140 Return]]),1+PortfolioFrontier[[#This Row],[P140 Return]])</f>
        <v>1.386242526866863</v>
      </c>
      <c r="UO80" s="27">
        <f>MAX(UO79,PortfolioFrontier[[#This Row],[P140 Growth]])</f>
        <v>1.7234002022793458</v>
      </c>
      <c r="UP80" s="27">
        <f>PortfolioFrontier[[#This Row],[P140 Growth]]/PortfolioFrontier[[#This Row],[P140 HWM]]-1</f>
        <v>-0.19563516063567976</v>
      </c>
      <c r="UQ80" s="28">
        <f>SUMPRODUCT(INDEX(PortfolioRef[[SPY]:[PE]],MATCH(UQ$1,PortfolioRef[Reference '#]),0),AssetMonthlyReturns[[#This Row],[SPY]:[PE]])</f>
        <v>-7.4253916108509024E-2</v>
      </c>
      <c r="UR80" s="27">
        <f>IF(ISNUMBER(UR79),UR79*(1+PortfolioFrontier[[#This Row],[P141 Return]]),1+PortfolioFrontier[[#This Row],[P141 Return]])</f>
        <v>1.3854698181061595</v>
      </c>
      <c r="US80" s="27">
        <f>MAX(US79,PortfolioFrontier[[#This Row],[P141 Growth]])</f>
        <v>1.6922041432386774</v>
      </c>
      <c r="UT80" s="27">
        <f>PortfolioFrontier[[#This Row],[P141 Growth]]/PortfolioFrontier[[#This Row],[P141 HWM]]-1</f>
        <v>-0.18126319236251531</v>
      </c>
    </row>
    <row r="81" spans="2:566" x14ac:dyDescent="0.2">
      <c r="B81" s="41">
        <f>AssetMonthlyReturns[[#This Row],[Date]]</f>
        <v>44835</v>
      </c>
      <c r="C81" s="28">
        <f>SUMPRODUCT(INDEX(PortfolioRef[[SPY]:[PE]],MATCH(C$1,PortfolioRef[Reference '#]),0),AssetMonthlyReturns[[#This Row],[SPY]:[PE]])</f>
        <v>4.9358434541258454E-2</v>
      </c>
      <c r="D81" s="29">
        <f>IF(ISNUMBER(D80),D80*(1+PortfolioFrontier[[#This Row],[P1 Return]]),1+PortfolioFrontier[[#This Row],[P1 Return]])</f>
        <v>1.6544610953606553</v>
      </c>
      <c r="E81" s="29">
        <f>MAX(E80,PortfolioFrontier[[#This Row],[P1 Growth]])</f>
        <v>1.9531239567566241</v>
      </c>
      <c r="F81" s="29">
        <f>PortfolioFrontier[[#This Row],[P1 Growth]]/PortfolioFrontier[[#This Row],[P1 HWM]]-1</f>
        <v>-0.15291546671309642</v>
      </c>
      <c r="G81" s="28">
        <f>SUMPRODUCT(INDEX(PortfolioRef[[SPY]:[PE]],MATCH(G$1,PortfolioRef[Reference '#]),0),AssetMonthlyReturns[[#This Row],[SPY]:[PE]])</f>
        <v>4.4425203109954951E-2</v>
      </c>
      <c r="H81" s="27">
        <f>IF(ISNUMBER(H80),H80*(1+PortfolioFrontier[[#This Row],[P2 Return]]),1+PortfolioFrontier[[#This Row],[P2 Return]])</f>
        <v>1.5953860868695251</v>
      </c>
      <c r="I81" s="27">
        <f>MAX(I80,PortfolioFrontier[[#This Row],[P2 Growth]])</f>
        <v>1.880902671218339</v>
      </c>
      <c r="J81" s="27">
        <f>PortfolioFrontier[[#This Row],[P2 Growth]]/PortfolioFrontier[[#This Row],[P2 HWM]]-1</f>
        <v>-0.1517976388240615</v>
      </c>
      <c r="K81" s="28">
        <f>SUMPRODUCT(INDEX(PortfolioRef[[SPY]:[PE]],MATCH(K$1,PortfolioRef[Reference '#]),0),AssetMonthlyReturns[[#This Row],[SPY]:[PE]])</f>
        <v>4.4180349221008976E-2</v>
      </c>
      <c r="L81" s="27">
        <f>IF(ISNUMBER(L80),L80*(1+PortfolioFrontier[[#This Row],[P3 Return]]),1+PortfolioFrontier[[#This Row],[P3 Return]])</f>
        <v>1.6147534473937744</v>
      </c>
      <c r="M81" s="27">
        <f>MAX(M80,PortfolioFrontier[[#This Row],[P3 Growth]])</f>
        <v>1.8984394560781046</v>
      </c>
      <c r="N81" s="27">
        <f>PortfolioFrontier[[#This Row],[P3 Growth]]/PortfolioFrontier[[#This Row],[P3 HWM]]-1</f>
        <v>-0.14943115924822992</v>
      </c>
      <c r="O81" s="28">
        <f>SUMPRODUCT(INDEX(PortfolioRef[[SPY]:[PE]],MATCH(O$1,PortfolioRef[Reference '#]),0),AssetMonthlyReturns[[#This Row],[SPY]:[PE]])</f>
        <v>4.7385687297455979E-2</v>
      </c>
      <c r="P81" s="27">
        <f>IF(ISNUMBER(P80),P80*(1+PortfolioFrontier[[#This Row],[P4 Return]]),1+PortfolioFrontier[[#This Row],[P4 Return]])</f>
        <v>1.6170845782599059</v>
      </c>
      <c r="Q81" s="27">
        <f>MAX(Q80,PortfolioFrontier[[#This Row],[P4 Growth]])</f>
        <v>1.9193367929729268</v>
      </c>
      <c r="R81" s="27">
        <f>PortfolioFrontier[[#This Row],[P4 Growth]]/PortfolioFrontier[[#This Row],[P4 HWM]]-1</f>
        <v>-0.15747742439973345</v>
      </c>
      <c r="S81" s="28">
        <f>SUMPRODUCT(INDEX(PortfolioRef[[SPY]:[PE]],MATCH(S$1,PortfolioRef[Reference '#]),0),AssetMonthlyReturns[[#This Row],[SPY]:[PE]])</f>
        <v>4.5729682148291588E-2</v>
      </c>
      <c r="T81" s="27">
        <f>IF(ISNUMBER(T80),T80*(1+PortfolioFrontier[[#This Row],[P5 Return]]),1+PortfolioFrontier[[#This Row],[P5 Return]])</f>
        <v>1.6133213477605481</v>
      </c>
      <c r="U81" s="27">
        <f>MAX(U80,PortfolioFrontier[[#This Row],[P5 Growth]])</f>
        <v>1.8841834525169079</v>
      </c>
      <c r="V81" s="27">
        <f>PortfolioFrontier[[#This Row],[P5 Growth]]/PortfolioFrontier[[#This Row],[P5 HWM]]-1</f>
        <v>-0.14375569660934018</v>
      </c>
      <c r="W81" s="28">
        <f>SUMPRODUCT(INDEX(PortfolioRef[[SPY]:[PE]],MATCH(W$1,PortfolioRef[Reference '#]),0),AssetMonthlyReturns[[#This Row],[SPY]:[PE]])</f>
        <v>3.9491971678651455E-2</v>
      </c>
      <c r="X81" s="27">
        <f>IF(ISNUMBER(X80),X80*(1+PortfolioFrontier[[#This Row],[P6 Return]]),1+PortfolioFrontier[[#This Row],[P6 Return]])</f>
        <v>1.5377674177277936</v>
      </c>
      <c r="Y81" s="27">
        <f>MAX(Y80,PortfolioFrontier[[#This Row],[P6 Growth]])</f>
        <v>1.8107203423144032</v>
      </c>
      <c r="Z81" s="27">
        <f>PortfolioFrontier[[#This Row],[P6 Growth]]/PortfolioFrontier[[#This Row],[P6 HWM]]-1</f>
        <v>-0.15074272829879964</v>
      </c>
      <c r="AA81" s="28">
        <f>SUMPRODUCT(INDEX(PortfolioRef[[SPY]:[PE]],MATCH(AA$1,PortfolioRef[Reference '#]),0),AssetMonthlyReturns[[#This Row],[SPY]:[PE]])</f>
        <v>3.924711778970548E-2</v>
      </c>
      <c r="AB81" s="27">
        <f>IF(ISNUMBER(AB80),AB80*(1+PortfolioFrontier[[#This Row],[P7 Return]]),1+PortfolioFrontier[[#This Row],[P7 Return]])</f>
        <v>1.5564443315199583</v>
      </c>
      <c r="AC81" s="27">
        <f>MAX(AC80,PortfolioFrontier[[#This Row],[P7 Growth]])</f>
        <v>1.8276317298765399</v>
      </c>
      <c r="AD81" s="27">
        <f>PortfolioFrontier[[#This Row],[P7 Growth]]/PortfolioFrontier[[#This Row],[P7 HWM]]-1</f>
        <v>-0.14838186157716837</v>
      </c>
      <c r="AE81" s="28">
        <f>SUMPRODUCT(INDEX(PortfolioRef[[SPY]:[PE]],MATCH(AE$1,PortfolioRef[Reference '#]),0),AssetMonthlyReturns[[#This Row],[SPY]:[PE]])</f>
        <v>4.2452455866152483E-2</v>
      </c>
      <c r="AF81" s="27">
        <f>IF(ISNUMBER(AF80),AF80*(1+PortfolioFrontier[[#This Row],[P8 Return]]),1+PortfolioFrontier[[#This Row],[P8 Return]])</f>
        <v>1.5592271259367425</v>
      </c>
      <c r="AG81" s="27">
        <f>MAX(AG80,PortfolioFrontier[[#This Row],[P8 Growth]])</f>
        <v>1.8482324314062795</v>
      </c>
      <c r="AH81" s="27">
        <f>PortfolioFrontier[[#This Row],[P8 Growth]]/PortfolioFrontier[[#This Row],[P8 HWM]]-1</f>
        <v>-0.15636848513129875</v>
      </c>
      <c r="AI81" s="28">
        <f>SUMPRODUCT(INDEX(PortfolioRef[[SPY]:[PE]],MATCH(AI$1,PortfolioRef[Reference '#]),0),AssetMonthlyReturns[[#This Row],[SPY]:[PE]])</f>
        <v>4.0796450716988092E-2</v>
      </c>
      <c r="AJ81" s="27">
        <f>IF(ISNUMBER(AJ80),AJ80*(1+PortfolioFrontier[[#This Row],[P9 Return]]),1+PortfolioFrontier[[#This Row],[P9 Return]])</f>
        <v>1.5550799239650501</v>
      </c>
      <c r="AK81" s="27">
        <f>MAX(AK80,PortfolioFrontier[[#This Row],[P9 Growth]])</f>
        <v>1.8139467261629987</v>
      </c>
      <c r="AL81" s="27">
        <f>PortfolioFrontier[[#This Row],[P9 Growth]]/PortfolioFrontier[[#This Row],[P9 HWM]]-1</f>
        <v>-0.14270915372775239</v>
      </c>
      <c r="AM81" s="28">
        <f>SUMPRODUCT(INDEX(PortfolioRef[[SPY]:[PE]],MATCH(AM$1,PortfolioRef[Reference '#]),0),AssetMonthlyReturns[[#This Row],[SPY]:[PE]])</f>
        <v>3.9002263900759511E-2</v>
      </c>
      <c r="AN81" s="27">
        <f>IF(ISNUMBER(AN80),AN80*(1+PortfolioFrontier[[#This Row],[P10 Return]]),1+PortfolioFrontier[[#This Row],[P10 Return]])</f>
        <v>1.5749909490103904</v>
      </c>
      <c r="AO81" s="27">
        <f>MAX(AO80,PortfolioFrontier[[#This Row],[P10 Growth]])</f>
        <v>1.8443368551596837</v>
      </c>
      <c r="AP81" s="27">
        <f>PortfolioFrontier[[#This Row],[P10 Growth]]/PortfolioFrontier[[#This Row],[P10 HWM]]-1</f>
        <v>-0.14603943167744871</v>
      </c>
      <c r="AQ81" s="28">
        <f>SUMPRODUCT(INDEX(PortfolioRef[[SPY]:[PE]],MATCH(AQ$1,PortfolioRef[Reference '#]),0),AssetMonthlyReturns[[#This Row],[SPY]:[PE]])</f>
        <v>4.2207601977206508E-2</v>
      </c>
      <c r="AR81" s="27">
        <f>IF(ISNUMBER(AR80),AR80*(1+PortfolioFrontier[[#This Row],[P11 Return]]),1+PortfolioFrontier[[#This Row],[P11 Return]])</f>
        <v>1.5781308599903292</v>
      </c>
      <c r="AS81" s="27">
        <f>MAX(AS80,PortfolioFrontier[[#This Row],[P11 Growth]])</f>
        <v>1.865449984246593</v>
      </c>
      <c r="AT81" s="27">
        <f>PortfolioFrontier[[#This Row],[P11 Growth]]/PortfolioFrontier[[#This Row],[P11 HWM]]-1</f>
        <v>-0.15402134963822389</v>
      </c>
      <c r="AU81" s="28">
        <f>SUMPRODUCT(INDEX(PortfolioRef[[SPY]:[PE]],MATCH(AU$1,PortfolioRef[Reference '#]),0),AssetMonthlyReturns[[#This Row],[SPY]:[PE]])</f>
        <v>4.0551596828042116E-2</v>
      </c>
      <c r="AV81" s="27">
        <f>IF(ISNUMBER(AV80),AV80*(1+PortfolioFrontier[[#This Row],[P12 Return]]),1+PortfolioFrontier[[#This Row],[P12 Return]])</f>
        <v>1.5739687546576884</v>
      </c>
      <c r="AW81" s="27">
        <f>MAX(AW80,PortfolioFrontier[[#This Row],[P12 Growth]])</f>
        <v>1.8309154354259589</v>
      </c>
      <c r="AX81" s="27">
        <f>PortfolioFrontier[[#This Row],[P12 Growth]]/PortfolioFrontier[[#This Row],[P12 HWM]]-1</f>
        <v>-0.14033781997609973</v>
      </c>
      <c r="AY81" s="28">
        <f>SUMPRODUCT(INDEX(PortfolioRef[[SPY]:[PE]],MATCH(AY$1,PortfolioRef[Reference '#]),0),AssetMonthlyReturns[[#This Row],[SPY]:[PE]])</f>
        <v>4.5412940053653518E-2</v>
      </c>
      <c r="AZ81" s="27">
        <f>IF(ISNUMBER(AZ80),AZ80*(1+PortfolioFrontier[[#This Row],[P13 Return]]),1+PortfolioFrontier[[#This Row],[P13 Return]])</f>
        <v>1.5802378633454992</v>
      </c>
      <c r="BA81" s="27">
        <f>MAX(BA80,PortfolioFrontier[[#This Row],[P13 Growth]])</f>
        <v>1.8858075751364967</v>
      </c>
      <c r="BB81" s="27">
        <f>PortfolioFrontier[[#This Row],[P13 Growth]]/PortfolioFrontier[[#This Row],[P13 HWM]]-1</f>
        <v>-0.16203652791503931</v>
      </c>
      <c r="BC81" s="28">
        <f>SUMPRODUCT(INDEX(PortfolioRef[[SPY]:[PE]],MATCH(BC$1,PortfolioRef[Reference '#]),0),AssetMonthlyReturns[[#This Row],[SPY]:[PE]])</f>
        <v>4.375693490448912E-2</v>
      </c>
      <c r="BD81" s="27">
        <f>IF(ISNUMBER(BD80),BD80*(1+PortfolioFrontier[[#This Row],[P14 Return]]),1+PortfolioFrontier[[#This Row],[P14 Return]])</f>
        <v>1.5768061662669346</v>
      </c>
      <c r="BE81" s="27">
        <f>MAX(BE80,PortfolioFrontier[[#This Row],[P14 Growth]])</f>
        <v>1.8515113734383843</v>
      </c>
      <c r="BF81" s="27">
        <f>PortfolioFrontier[[#This Row],[P14 Growth]]/PortfolioFrontier[[#This Row],[P14 HWM]]-1</f>
        <v>-0.14836809058391209</v>
      </c>
      <c r="BG81" s="28">
        <f>SUMPRODUCT(INDEX(PortfolioRef[[SPY]:[PE]],MATCH(BG$1,PortfolioRef[Reference '#]),0),AssetMonthlyReturns[[#This Row],[SPY]:[PE]])</f>
        <v>4.2100929755324729E-2</v>
      </c>
      <c r="BH81" s="27">
        <f>IF(ISNUMBER(BH80),BH80*(1+PortfolioFrontier[[#This Row],[P15 Return]]),1+PortfolioFrontier[[#This Row],[P15 Return]])</f>
        <v>1.5724280626187634</v>
      </c>
      <c r="BI81" s="27">
        <f>MAX(BI80,PortfolioFrontier[[#This Row],[P15 Growth]])</f>
        <v>1.8170439473092146</v>
      </c>
      <c r="BJ81" s="27">
        <f>PortfolioFrontier[[#This Row],[P15 Growth]]/PortfolioFrontier[[#This Row],[P15 HWM]]-1</f>
        <v>-0.13462298754671986</v>
      </c>
      <c r="BK81" s="28">
        <f>SUMPRODUCT(INDEX(PortfolioRef[[SPY]:[PE]],MATCH(BK$1,PortfolioRef[Reference '#]),0),AssetMonthlyReturns[[#This Row],[SPY]:[PE]])</f>
        <v>3.4558740247347959E-2</v>
      </c>
      <c r="BL81" s="27">
        <f>IF(ISNUMBER(BL80),BL80*(1+PortfolioFrontier[[#This Row],[P16 Return]]),1+PortfolioFrontier[[#This Row],[P16 Return]])</f>
        <v>1.4816007777073623</v>
      </c>
      <c r="BM81" s="27">
        <f>MAX(BM80,PortfolioFrontier[[#This Row],[P16 Growth]])</f>
        <v>1.7425494832470445</v>
      </c>
      <c r="BN81" s="27">
        <f>PortfolioFrontier[[#This Row],[P16 Growth]]/PortfolioFrontier[[#This Row],[P16 HWM]]-1</f>
        <v>-0.14975110207684528</v>
      </c>
      <c r="BO81" s="28">
        <f>SUMPRODUCT(INDEX(PortfolioRef[[SPY]:[PE]],MATCH(BO$1,PortfolioRef[Reference '#]),0),AssetMonthlyReturns[[#This Row],[SPY]:[PE]])</f>
        <v>3.4313886358401983E-2</v>
      </c>
      <c r="BP81" s="27">
        <f>IF(ISNUMBER(BP80),BP80*(1+PortfolioFrontier[[#This Row],[P17 Return]]),1+PortfolioFrontier[[#This Row],[P17 Return]])</f>
        <v>1.4996046116892539</v>
      </c>
      <c r="BQ81" s="27">
        <f>MAX(BQ80,PortfolioFrontier[[#This Row],[P17 Growth]])</f>
        <v>1.7588525148836969</v>
      </c>
      <c r="BR81" s="27">
        <f>PortfolioFrontier[[#This Row],[P17 Growth]]/PortfolioFrontier[[#This Row],[P17 HWM]]-1</f>
        <v>-0.14739604429629261</v>
      </c>
      <c r="BS81" s="28">
        <f>SUMPRODUCT(INDEX(PortfolioRef[[SPY]:[PE]],MATCH(BS$1,PortfolioRef[Reference '#]),0),AssetMonthlyReturns[[#This Row],[SPY]:[PE]])</f>
        <v>3.7519224434848987E-2</v>
      </c>
      <c r="BT81" s="27">
        <f>IF(ISNUMBER(BT80),BT80*(1+PortfolioFrontier[[#This Row],[P18 Return]]),1+PortfolioFrontier[[#This Row],[P18 Return]])</f>
        <v>1.5028006992624996</v>
      </c>
      <c r="BU81" s="27">
        <f>MAX(BU80,PortfolioFrontier[[#This Row],[P18 Growth]])</f>
        <v>1.7791407441475846</v>
      </c>
      <c r="BV81" s="27">
        <f>PortfolioFrontier[[#This Row],[P18 Growth]]/PortfolioFrontier[[#This Row],[P18 HWM]]-1</f>
        <v>-0.1553221946010146</v>
      </c>
      <c r="BW81" s="28">
        <f>SUMPRODUCT(INDEX(PortfolioRef[[SPY]:[PE]],MATCH(BW$1,PortfolioRef[Reference '#]),0),AssetMonthlyReturns[[#This Row],[SPY]:[PE]])</f>
        <v>3.5863219285684596E-2</v>
      </c>
      <c r="BX81" s="27">
        <f>IF(ISNUMBER(BX80),BX80*(1+PortfolioFrontier[[#This Row],[P19 Return]]),1+PortfolioFrontier[[#This Row],[P19 Return]])</f>
        <v>1.4983050181178497</v>
      </c>
      <c r="BY81" s="27">
        <f>MAX(BY80,PortfolioFrontier[[#This Row],[P19 Growth]])</f>
        <v>1.7457196180719312</v>
      </c>
      <c r="BZ81" s="27">
        <f>PortfolioFrontier[[#This Row],[P19 Growth]]/PortfolioFrontier[[#This Row],[P19 HWM]]-1</f>
        <v>-0.14172642467485119</v>
      </c>
      <c r="CA81" s="28">
        <f>SUMPRODUCT(INDEX(PortfolioRef[[SPY]:[PE]],MATCH(CA$1,PortfolioRef[Reference '#]),0),AssetMonthlyReturns[[#This Row],[SPY]:[PE]])</f>
        <v>3.4069032469456008E-2</v>
      </c>
      <c r="CB81" s="27">
        <f>IF(ISNUMBER(CB80),CB80*(1+PortfolioFrontier[[#This Row],[P20 Return]]),1+PortfolioFrontier[[#This Row],[P20 Return]])</f>
        <v>1.5174823763814365</v>
      </c>
      <c r="CC81" s="27">
        <f>MAX(CC80,PortfolioFrontier[[#This Row],[P20 Growth]])</f>
        <v>1.7749567522517573</v>
      </c>
      <c r="CD81" s="27">
        <f>PortfolioFrontier[[#This Row],[P20 Growth]]/PortfolioFrontier[[#This Row],[P20 HWM]]-1</f>
        <v>-0.14505952077067907</v>
      </c>
      <c r="CE81" s="28">
        <f>SUMPRODUCT(INDEX(PortfolioRef[[SPY]:[PE]],MATCH(CE$1,PortfolioRef[Reference '#]),0),AssetMonthlyReturns[[#This Row],[SPY]:[PE]])</f>
        <v>3.7274370545903011E-2</v>
      </c>
      <c r="CF81" s="27">
        <f>IF(ISNUMBER(CF80),CF80*(1+PortfolioFrontier[[#This Row],[P21 Return]]),1+PortfolioFrontier[[#This Row],[P21 Return]])</f>
        <v>1.5210293290555021</v>
      </c>
      <c r="CG81" s="27">
        <f>MAX(CG80,PortfolioFrontier[[#This Row],[P21 Growth]])</f>
        <v>1.795743356031652</v>
      </c>
      <c r="CH81" s="27">
        <f>PortfolioFrontier[[#This Row],[P21 Growth]]/PortfolioFrontier[[#This Row],[P21 HWM]]-1</f>
        <v>-0.15298067290819906</v>
      </c>
      <c r="CI81" s="28">
        <f>SUMPRODUCT(INDEX(PortfolioRef[[SPY]:[PE]],MATCH(CI$1,PortfolioRef[Reference '#]),0),AssetMonthlyReturns[[#This Row],[SPY]:[PE]])</f>
        <v>3.561836539673862E-2</v>
      </c>
      <c r="CJ81" s="27">
        <f>IF(ISNUMBER(CJ80),CJ80*(1+PortfolioFrontier[[#This Row],[P22 Return]]),1+PortfolioFrontier[[#This Row],[P22 Return]])</f>
        <v>1.5165134689317887</v>
      </c>
      <c r="CK81" s="27">
        <f>MAX(CK80,PortfolioFrontier[[#This Row],[P22 Growth]])</f>
        <v>1.7620784578443487</v>
      </c>
      <c r="CL81" s="27">
        <f>PortfolioFrontier[[#This Row],[P22 Growth]]/PortfolioFrontier[[#This Row],[P22 HWM]]-1</f>
        <v>-0.13936098464819413</v>
      </c>
      <c r="CM81" s="28">
        <f>SUMPRODUCT(INDEX(PortfolioRef[[SPY]:[PE]],MATCH(CM$1,PortfolioRef[Reference '#]),0),AssetMonthlyReturns[[#This Row],[SPY]:[PE]])</f>
        <v>4.0479708622350022E-2</v>
      </c>
      <c r="CN81" s="27">
        <f>IF(ISNUMBER(CN80),CN80*(1+PortfolioFrontier[[#This Row],[P23 Return]]),1+PortfolioFrontier[[#This Row],[P23 Return]])</f>
        <v>1.5235843929218311</v>
      </c>
      <c r="CO81" s="27">
        <f>MAX(CO80,PortfolioFrontier[[#This Row],[P23 Growth]])</f>
        <v>1.8158151760868648</v>
      </c>
      <c r="CP81" s="27">
        <f>PortfolioFrontier[[#This Row],[P23 Growth]]/PortfolioFrontier[[#This Row],[P23 HWM]]-1</f>
        <v>-0.16093641413153048</v>
      </c>
      <c r="CQ81" s="28">
        <f>SUMPRODUCT(INDEX(PortfolioRef[[SPY]:[PE]],MATCH(CQ$1,PortfolioRef[Reference '#]),0),AssetMonthlyReturns[[#This Row],[SPY]:[PE]])</f>
        <v>3.8823703473185624E-2</v>
      </c>
      <c r="CR81" s="27">
        <f>IF(ISNUMBER(CR80),CR80*(1+PortfolioFrontier[[#This Row],[P24 Return]]),1+PortfolioFrontier[[#This Row],[P24 Return]])</f>
        <v>1.5197679391883987</v>
      </c>
      <c r="CS81" s="27">
        <f>MAX(CS80,PortfolioFrontier[[#This Row],[P24 Growth]])</f>
        <v>1.7823638134718676</v>
      </c>
      <c r="CT81" s="27">
        <f>PortfolioFrontier[[#This Row],[P24 Growth]]/PortfolioFrontier[[#This Row],[P24 HWM]]-1</f>
        <v>-0.14733011986590894</v>
      </c>
      <c r="CU81" s="28">
        <f>SUMPRODUCT(INDEX(PortfolioRef[[SPY]:[PE]],MATCH(CU$1,PortfolioRef[Reference '#]),0),AssetMonthlyReturns[[#This Row],[SPY]:[PE]])</f>
        <v>3.7167698324021232E-2</v>
      </c>
      <c r="CV81" s="27">
        <f>IF(ISNUMBER(CV80),CV80*(1+PortfolioFrontier[[#This Row],[P25 Return]]),1+PortfolioFrontier[[#This Row],[P25 Return]])</f>
        <v>1.5150442384846732</v>
      </c>
      <c r="CW81" s="27">
        <f>MAX(CW80,PortfolioFrontier[[#This Row],[P25 Growth]])</f>
        <v>1.7487656732120247</v>
      </c>
      <c r="CX81" s="27">
        <f>PortfolioFrontier[[#This Row],[P25 Growth]]/PortfolioFrontier[[#This Row],[P25 HWM]]-1</f>
        <v>-0.13364937241595465</v>
      </c>
      <c r="CY81" s="28">
        <f>SUMPRODUCT(INDEX(PortfolioRef[[SPY]:[PE]],MATCH(CY$1,PortfolioRef[Reference '#]),0),AssetMonthlyReturns[[#This Row],[SPY]:[PE]])</f>
        <v>3.7029516656957043E-2</v>
      </c>
      <c r="CZ81" s="27">
        <f>IF(ISNUMBER(CZ80),CZ80*(1+PortfolioFrontier[[#This Row],[P26 Return]]),1+PortfolioFrontier[[#This Row],[P26 Return]])</f>
        <v>1.5391298647386491</v>
      </c>
      <c r="DA81" s="27">
        <f>MAX(DA80,PortfolioFrontier[[#This Row],[P26 Growth]])</f>
        <v>1.8121428498945955</v>
      </c>
      <c r="DB81" s="27">
        <f>PortfolioFrontier[[#This Row],[P26 Growth]]/PortfolioFrontier[[#This Row],[P26 HWM]]-1</f>
        <v>-0.15065754069654413</v>
      </c>
      <c r="DC81" s="28">
        <f>SUMPRODUCT(INDEX(PortfolioRef[[SPY]:[PE]],MATCH(DC$1,PortfolioRef[Reference '#]),0),AssetMonthlyReturns[[#This Row],[SPY]:[PE]])</f>
        <v>3.5373511507792645E-2</v>
      </c>
      <c r="DD81" s="27">
        <f>IF(ISNUMBER(DD80),DD80*(1+PortfolioFrontier[[#This Row],[P27 Return]]),1+PortfolioFrontier[[#This Row],[P27 Return]])</f>
        <v>1.5345946982810721</v>
      </c>
      <c r="DE81" s="27">
        <f>MAX(DE80,PortfolioFrontier[[#This Row],[P27 Growth]])</f>
        <v>1.7782387807323972</v>
      </c>
      <c r="DF81" s="27">
        <f>PortfolioFrontier[[#This Row],[P27 Growth]]/PortfolioFrontier[[#This Row],[P27 HWM]]-1</f>
        <v>-0.1370142666391384</v>
      </c>
      <c r="DG81" s="28">
        <f>SUMPRODUCT(INDEX(PortfolioRef[[SPY]:[PE]],MATCH(DG$1,PortfolioRef[Reference '#]),0),AssetMonthlyReturns[[#This Row],[SPY]:[PE]])</f>
        <v>4.0234854733404046E-2</v>
      </c>
      <c r="DH81" s="27">
        <f>IF(ISNUMBER(DH80),DH80*(1+PortfolioFrontier[[#This Row],[P28 Return]]),1+PortfolioFrontier[[#This Row],[P28 Return]])</f>
        <v>1.5420322071185815</v>
      </c>
      <c r="DI81" s="27">
        <f>MAX(DI80,PortfolioFrontier[[#This Row],[P28 Growth]])</f>
        <v>1.8327167417336543</v>
      </c>
      <c r="DJ81" s="27">
        <f>PortfolioFrontier[[#This Row],[P28 Growth]]/PortfolioFrontier[[#This Row],[P28 HWM]]-1</f>
        <v>-0.15860854435154037</v>
      </c>
      <c r="DK81" s="28">
        <f>SUMPRODUCT(INDEX(PortfolioRef[[SPY]:[PE]],MATCH(DK$1,PortfolioRef[Reference '#]),0),AssetMonthlyReturns[[#This Row],[SPY]:[PE]])</f>
        <v>3.8578849584239648E-2</v>
      </c>
      <c r="DL81" s="27">
        <f>IF(ISNUMBER(DL80),DL80*(1+PortfolioFrontier[[#This Row],[P29 Return]]),1+PortfolioFrontier[[#This Row],[P29 Return]])</f>
        <v>1.5382039978380362</v>
      </c>
      <c r="DM81" s="27">
        <f>MAX(DM80,PortfolioFrontier[[#This Row],[P29 Growth]])</f>
        <v>1.7990232294645383</v>
      </c>
      <c r="DN81" s="27">
        <f>PortfolioFrontier[[#This Row],[P29 Growth]]/PortfolioFrontier[[#This Row],[P29 HWM]]-1</f>
        <v>-0.1449782456139449</v>
      </c>
      <c r="DO81" s="28">
        <f>SUMPRODUCT(INDEX(PortfolioRef[[SPY]:[PE]],MATCH(DO$1,PortfolioRef[Reference '#]),0),AssetMonthlyReturns[[#This Row],[SPY]:[PE]])</f>
        <v>3.6922844435075257E-2</v>
      </c>
      <c r="DP81" s="27">
        <f>IF(ISNUMBER(DP80),DP80*(1+PortfolioFrontier[[#This Row],[P30 Return]]),1+PortfolioFrontier[[#This Row],[P30 Return]])</f>
        <v>1.5334579085280544</v>
      </c>
      <c r="DQ81" s="27">
        <f>MAX(DQ80,PortfolioFrontier[[#This Row],[P30 Growth]])</f>
        <v>1.7651792866223672</v>
      </c>
      <c r="DR81" s="27">
        <f>PortfolioFrontier[[#This Row],[P30 Growth]]/PortfolioFrontier[[#This Row],[P30 HWM]]-1</f>
        <v>-0.13127356515592625</v>
      </c>
      <c r="DS81" s="28">
        <f>SUMPRODUCT(INDEX(PortfolioRef[[SPY]:[PE]],MATCH(DS$1,PortfolioRef[Reference '#]),0),AssetMonthlyReturns[[#This Row],[SPY]:[PE]])</f>
        <v>4.3440192809851057E-2</v>
      </c>
      <c r="DT81" s="27">
        <f>IF(ISNUMBER(DT80),DT80*(1+PortfolioFrontier[[#This Row],[P31 Return]]),1+PortfolioFrontier[[#This Row],[P31 Return]])</f>
        <v>1.5439229036431721</v>
      </c>
      <c r="DU81" s="27">
        <f>MAX(DU80,PortfolioFrontier[[#This Row],[P31 Growth]])</f>
        <v>1.8525428026208837</v>
      </c>
      <c r="DV81" s="27">
        <f>PortfolioFrontier[[#This Row],[P31 Growth]]/PortfolioFrontier[[#This Row],[P31 HWM]]-1</f>
        <v>-0.16659258751867534</v>
      </c>
      <c r="DW81" s="28">
        <f>SUMPRODUCT(INDEX(PortfolioRef[[SPY]:[PE]],MATCH(DW$1,PortfolioRef[Reference '#]),0),AssetMonthlyReturns[[#This Row],[SPY]:[PE]])</f>
        <v>4.1784187660686659E-2</v>
      </c>
      <c r="DX81" s="27">
        <f>IF(ISNUMBER(DX80),DX80*(1+PortfolioFrontier[[#This Row],[P32 Return]]),1+PortfolioFrontier[[#This Row],[P32 Return]])</f>
        <v>1.5408109279322657</v>
      </c>
      <c r="DY81" s="27">
        <f>MAX(DY80,PortfolioFrontier[[#This Row],[P32 Growth]])</f>
        <v>1.8190908915066115</v>
      </c>
      <c r="DZ81" s="27">
        <f>PortfolioFrontier[[#This Row],[P32 Growth]]/PortfolioFrontier[[#This Row],[P32 HWM]]-1</f>
        <v>-0.1529774926990416</v>
      </c>
      <c r="EA81" s="28">
        <f>SUMPRODUCT(INDEX(PortfolioRef[[SPY]:[PE]],MATCH(EA$1,PortfolioRef[Reference '#]),0),AssetMonthlyReturns[[#This Row],[SPY]:[PE]])</f>
        <v>4.012818251152226E-2</v>
      </c>
      <c r="EB81" s="27">
        <f>IF(ISNUMBER(EB80),EB80*(1+PortfolioFrontier[[#This Row],[P33 Return]]),1+PortfolioFrontier[[#This Row],[P33 Return]])</f>
        <v>1.5367710589204175</v>
      </c>
      <c r="EC81" s="27">
        <f>MAX(EC80,PortfolioFrontier[[#This Row],[P33 Growth]])</f>
        <v>1.7854600976944932</v>
      </c>
      <c r="ED81" s="27">
        <f>PortfolioFrontier[[#This Row],[P33 Growth]]/PortfolioFrontier[[#This Row],[P33 HWM]]-1</f>
        <v>-0.13928568837533795</v>
      </c>
      <c r="EE81" s="28">
        <f>SUMPRODUCT(INDEX(PortfolioRef[[SPY]:[PE]],MATCH(EE$1,PortfolioRef[Reference '#]),0),AssetMonthlyReturns[[#This Row],[SPY]:[PE]])</f>
        <v>2.9625508816044453E-2</v>
      </c>
      <c r="EF81" s="27">
        <f>IF(ISNUMBER(EF80),EF80*(1+PortfolioFrontier[[#This Row],[P34 Return]]),1+PortfolioFrontier[[#This Row],[P34 Return]])</f>
        <v>1.426880103206432</v>
      </c>
      <c r="EG81" s="27">
        <f>MAX(EG80,PortfolioFrontier[[#This Row],[P34 Growth]])</f>
        <v>1.6763614413137211</v>
      </c>
      <c r="EH81" s="27">
        <f>PortfolioFrontier[[#This Row],[P34 Growth]]/PortfolioFrontier[[#This Row],[P34 HWM]]-1</f>
        <v>-0.14882311890434385</v>
      </c>
      <c r="EI81" s="28">
        <f>SUMPRODUCT(INDEX(PortfolioRef[[SPY]:[PE]],MATCH(EI$1,PortfolioRef[Reference '#]),0),AssetMonthlyReturns[[#This Row],[SPY]:[PE]])</f>
        <v>2.9380654927098477E-2</v>
      </c>
      <c r="EJ81" s="27">
        <f>IF(ISNUMBER(EJ80),EJ80*(1+PortfolioFrontier[[#This Row],[P35 Return]]),1+PortfolioFrontier[[#This Row],[P35 Return]])</f>
        <v>1.4442281314090404</v>
      </c>
      <c r="EK81" s="27">
        <f>MAX(EK80,PortfolioFrontier[[#This Row],[P35 Growth]])</f>
        <v>1.6920729334369538</v>
      </c>
      <c r="EL81" s="27">
        <f>PortfolioFrontier[[#This Row],[P35 Growth]]/PortfolioFrontier[[#This Row],[P35 HWM]]-1</f>
        <v>-0.14647406570382804</v>
      </c>
      <c r="EM81" s="28">
        <f>SUMPRODUCT(INDEX(PortfolioRef[[SPY]:[PE]],MATCH(EM$1,PortfolioRef[Reference '#]),0),AssetMonthlyReturns[[#This Row],[SPY]:[PE]])</f>
        <v>3.2585993003545484E-2</v>
      </c>
      <c r="EN81" s="27">
        <f>IF(ISNUMBER(EN80),EN80*(1+PortfolioFrontier[[#This Row],[P36 Return]]),1+PortfolioFrontier[[#This Row],[P36 Return]])</f>
        <v>1.4478008596731655</v>
      </c>
      <c r="EO81" s="27">
        <f>MAX(EO80,PortfolioFrontier[[#This Row],[P36 Growth]])</f>
        <v>1.7120343963250326</v>
      </c>
      <c r="EP81" s="27">
        <f>PortfolioFrontier[[#This Row],[P36 Growth]]/PortfolioFrontier[[#This Row],[P36 HWM]]-1</f>
        <v>-0.15433891820109313</v>
      </c>
      <c r="EQ81" s="28">
        <f>SUMPRODUCT(INDEX(PortfolioRef[[SPY]:[PE]],MATCH(EQ$1,PortfolioRef[Reference '#]),0),AssetMonthlyReturns[[#This Row],[SPY]:[PE]])</f>
        <v>3.0929987854381089E-2</v>
      </c>
      <c r="ER81" s="27">
        <f>IF(ISNUMBER(ER80),ER80*(1+PortfolioFrontier[[#This Row],[P37 Return]]),1+PortfolioFrontier[[#This Row],[P37 Return]])</f>
        <v>1.4429905727981871</v>
      </c>
      <c r="ES81" s="27">
        <f>MAX(ES80,PortfolioFrontier[[#This Row],[P37 Growth]])</f>
        <v>1.6794736802569215</v>
      </c>
      <c r="ET81" s="27">
        <f>PortfolioFrontier[[#This Row],[P37 Growth]]/PortfolioFrontier[[#This Row],[P37 HWM]]-1</f>
        <v>-0.14080786751153951</v>
      </c>
      <c r="EU81" s="28">
        <f>SUMPRODUCT(INDEX(PortfolioRef[[SPY]:[PE]],MATCH(EU$1,PortfolioRef[Reference '#]),0),AssetMonthlyReturns[[#This Row],[SPY]:[PE]])</f>
        <v>2.9135801038152505E-2</v>
      </c>
      <c r="EV81" s="27">
        <f>IF(ISNUMBER(EV80),EV80*(1+PortfolioFrontier[[#This Row],[P38 Return]]),1+PortfolioFrontier[[#This Row],[P38 Return]])</f>
        <v>1.4614542328207916</v>
      </c>
      <c r="EW81" s="27">
        <f>MAX(EW80,PortfolioFrontier[[#This Row],[P38 Growth]])</f>
        <v>1.7075928941250238</v>
      </c>
      <c r="EX81" s="27">
        <f>PortfolioFrontier[[#This Row],[P38 Growth]]/PortfolioFrontier[[#This Row],[P38 HWM]]-1</f>
        <v>-0.14414364345920661</v>
      </c>
      <c r="EY81" s="28">
        <f>SUMPRODUCT(INDEX(PortfolioRef[[SPY]:[PE]],MATCH(EY$1,PortfolioRef[Reference '#]),0),AssetMonthlyReturns[[#This Row],[SPY]:[PE]])</f>
        <v>3.2341139114599515E-2</v>
      </c>
      <c r="EZ81" s="27">
        <f>IF(ISNUMBER(EZ80),EZ80*(1+PortfolioFrontier[[#This Row],[P39 Return]]),1+PortfolioFrontier[[#This Row],[P39 Return]])</f>
        <v>1.4653714126546071</v>
      </c>
      <c r="FA81" s="27">
        <f>MAX(FA80,PortfolioFrontier[[#This Row],[P39 Growth]])</f>
        <v>1.7280388577532122</v>
      </c>
      <c r="FB81" s="27">
        <f>PortfolioFrontier[[#This Row],[P39 Growth]]/PortfolioFrontier[[#This Row],[P39 HWM]]-1</f>
        <v>-0.15200320520576949</v>
      </c>
      <c r="FC81" s="28">
        <f>SUMPRODUCT(INDEX(PortfolioRef[[SPY]:[PE]],MATCH(FC$1,PortfolioRef[Reference '#]),0),AssetMonthlyReturns[[#This Row],[SPY]:[PE]])</f>
        <v>3.0685133965435114E-2</v>
      </c>
      <c r="FD81" s="27">
        <f>IF(ISNUMBER(FD80),FD80*(1+PortfolioFrontier[[#This Row],[P40 Return]]),1+PortfolioFrontier[[#This Row],[P40 Return]])</f>
        <v>1.4605360900541835</v>
      </c>
      <c r="FE81" s="27">
        <f>MAX(FE80,PortfolioFrontier[[#This Row],[P40 Growth]])</f>
        <v>1.6952394830468527</v>
      </c>
      <c r="FF81" s="27">
        <f>PortfolioFrontier[[#This Row],[P40 Growth]]/PortfolioFrontier[[#This Row],[P40 HWM]]-1</f>
        <v>-0.13844851735687336</v>
      </c>
      <c r="FG81" s="28">
        <f>SUMPRODUCT(INDEX(PortfolioRef[[SPY]:[PE]],MATCH(FG$1,PortfolioRef[Reference '#]),0),AssetMonthlyReturns[[#This Row],[SPY]:[PE]])</f>
        <v>3.5546477191046519E-2</v>
      </c>
      <c r="FH81" s="27">
        <f>IF(ISNUMBER(FH80),FH80*(1+PortfolioFrontier[[#This Row],[P41 Return]]),1+PortfolioFrontier[[#This Row],[P41 Return]])</f>
        <v>1.4683367537352163</v>
      </c>
      <c r="FI81" s="27">
        <f>MAX(FI80,PortfolioFrontier[[#This Row],[P41 Growth]])</f>
        <v>1.7478091274239449</v>
      </c>
      <c r="FJ81" s="27">
        <f>PortfolioFrontier[[#This Row],[P41 Growth]]/PortfolioFrontier[[#This Row],[P41 HWM]]-1</f>
        <v>-0.15989868075619695</v>
      </c>
      <c r="FK81" s="28">
        <f>SUMPRODUCT(INDEX(PortfolioRef[[SPY]:[PE]],MATCH(FK$1,PortfolioRef[Reference '#]),0),AssetMonthlyReturns[[#This Row],[SPY]:[PE]])</f>
        <v>3.3890472041882121E-2</v>
      </c>
      <c r="FL81" s="27">
        <f>IF(ISNUMBER(FL80),FL80*(1+PortfolioFrontier[[#This Row],[P42 Return]]),1+PortfolioFrontier[[#This Row],[P42 Return]])</f>
        <v>1.4641705938931573</v>
      </c>
      <c r="FM81" s="27">
        <f>MAX(FM80,PortfolioFrontier[[#This Row],[P42 Growth]])</f>
        <v>1.7151998522045959</v>
      </c>
      <c r="FN81" s="27">
        <f>PortfolioFrontier[[#This Row],[P42 Growth]]/PortfolioFrontier[[#This Row],[P42 HWM]]-1</f>
        <v>-0.14635569026477202</v>
      </c>
      <c r="FO81" s="28">
        <f>SUMPRODUCT(INDEX(PortfolioRef[[SPY]:[PE]],MATCH(FO$1,PortfolioRef[Reference '#]),0),AssetMonthlyReturns[[#This Row],[SPY]:[PE]])</f>
        <v>3.2234466892717722E-2</v>
      </c>
      <c r="FP81" s="27">
        <f>IF(ISNUMBER(FP80),FP80*(1+PortfolioFrontier[[#This Row],[P43 Return]]),1+PortfolioFrontier[[#This Row],[P43 Return]])</f>
        <v>1.4591353502275244</v>
      </c>
      <c r="FQ81" s="27">
        <f>MAX(FQ80,PortfolioFrontier[[#This Row],[P43 Growth]])</f>
        <v>1.6824667632825669</v>
      </c>
      <c r="FR81" s="27">
        <f>PortfolioFrontier[[#This Row],[P43 Growth]]/PortfolioFrontier[[#This Row],[P43 HWM]]-1</f>
        <v>-0.13274046057190048</v>
      </c>
      <c r="FS81" s="28">
        <f>SUMPRODUCT(INDEX(PortfolioRef[[SPY]:[PE]],MATCH(FS$1,PortfolioRef[Reference '#]),0),AssetMonthlyReturns[[#This Row],[SPY]:[PE]])</f>
        <v>3.209628522565354E-2</v>
      </c>
      <c r="FT81" s="27">
        <f>IF(ISNUMBER(FT80),FT80*(1+PortfolioFrontier[[#This Row],[P44 Return]]),1+PortfolioFrontier[[#This Row],[P44 Return]])</f>
        <v>1.4828180397041963</v>
      </c>
      <c r="FU81" s="27">
        <f>MAX(FU80,PortfolioFrontier[[#This Row],[P44 Growth]])</f>
        <v>1.7438475694471607</v>
      </c>
      <c r="FV81" s="27">
        <f>PortfolioFrontier[[#This Row],[P44 Growth]]/PortfolioFrontier[[#This Row],[P44 HWM]]-1</f>
        <v>-0.14968597847443543</v>
      </c>
      <c r="FW81" s="28">
        <f>SUMPRODUCT(INDEX(PortfolioRef[[SPY]:[PE]],MATCH(FW$1,PortfolioRef[Reference '#]),0),AssetMonthlyReturns[[#This Row],[SPY]:[PE]])</f>
        <v>3.0440280076489142E-2</v>
      </c>
      <c r="FX81" s="27">
        <f>IF(ISNUMBER(FX80),FX80*(1+PortfolioFrontier[[#This Row],[P45 Return]]),1+PortfolioFrontier[[#This Row],[P45 Return]])</f>
        <v>1.47795856513198</v>
      </c>
      <c r="FY81" s="27">
        <f>MAX(FY80,PortfolioFrontier[[#This Row],[P45 Growth]])</f>
        <v>1.7108140158896465</v>
      </c>
      <c r="FZ81" s="27">
        <f>PortfolioFrontier[[#This Row],[P45 Growth]]/PortfolioFrontier[[#This Row],[P45 HWM]]-1</f>
        <v>-0.13610798637079125</v>
      </c>
      <c r="GA81" s="28">
        <f>SUMPRODUCT(INDEX(PortfolioRef[[SPY]:[PE]],MATCH(GA$1,PortfolioRef[Reference '#]),0),AssetMonthlyReturns[[#This Row],[SPY]:[PE]])</f>
        <v>3.5301623302100543E-2</v>
      </c>
      <c r="GB81" s="27">
        <f>IF(ISNUMBER(GB80),GB80*(1+PortfolioFrontier[[#This Row],[P46 Return]]),1+PortfolioFrontier[[#This Row],[P46 Return]])</f>
        <v>1.4861245895213835</v>
      </c>
      <c r="GC81" s="27">
        <f>MAX(GC80,PortfolioFrontier[[#This Row],[P46 Growth]])</f>
        <v>1.7641061270089846</v>
      </c>
      <c r="GD81" s="27">
        <f>PortfolioFrontier[[#This Row],[P46 Growth]]/PortfolioFrontier[[#This Row],[P46 HWM]]-1</f>
        <v>-0.15757642538145633</v>
      </c>
      <c r="GE81" s="28">
        <f>SUMPRODUCT(INDEX(PortfolioRef[[SPY]:[PE]],MATCH(GE$1,PortfolioRef[Reference '#]),0),AssetMonthlyReturns[[#This Row],[SPY]:[PE]])</f>
        <v>3.3645618152936145E-2</v>
      </c>
      <c r="GF81" s="27">
        <f>IF(ISNUMBER(GF80),GF80*(1+PortfolioFrontier[[#This Row],[P47 Return]]),1+PortfolioFrontier[[#This Row],[P47 Return]])</f>
        <v>1.4819414160597826</v>
      </c>
      <c r="GG81" s="27">
        <f>MAX(GG80,PortfolioFrontier[[#This Row],[P47 Growth]])</f>
        <v>1.7312596087544752</v>
      </c>
      <c r="GH81" s="27">
        <f>PortfolioFrontier[[#This Row],[P47 Growth]]/PortfolioFrontier[[#This Row],[P47 HWM]]-1</f>
        <v>-0.14400970913545441</v>
      </c>
      <c r="GI81" s="28">
        <f>SUMPRODUCT(INDEX(PortfolioRef[[SPY]:[PE]],MATCH(GI$1,PortfolioRef[Reference '#]),0),AssetMonthlyReturns[[#This Row],[SPY]:[PE]])</f>
        <v>3.1989613003771747E-2</v>
      </c>
      <c r="GJ81" s="27">
        <f>IF(ISNUMBER(GJ80),GJ80*(1+PortfolioFrontier[[#This Row],[P48 Return]]),1+PortfolioFrontier[[#This Row],[P48 Return]])</f>
        <v>1.4768789451295188</v>
      </c>
      <c r="GK81" s="27">
        <f>MAX(GK80,PortfolioFrontier[[#This Row],[P48 Growth]])</f>
        <v>1.6982858835097865</v>
      </c>
      <c r="GL81" s="27">
        <f>PortfolioFrontier[[#This Row],[P48 Growth]]/PortfolioFrontier[[#This Row],[P48 HWM]]-1</f>
        <v>-0.13037082892233309</v>
      </c>
      <c r="GM81" s="28">
        <f>SUMPRODUCT(INDEX(PortfolioRef[[SPY]:[PE]],MATCH(GM$1,PortfolioRef[Reference '#]),0),AssetMonthlyReturns[[#This Row],[SPY]:[PE]])</f>
        <v>3.8506961378547554E-2</v>
      </c>
      <c r="GN81" s="27">
        <f>IF(ISNUMBER(GN80),GN80*(1+PortfolioFrontier[[#This Row],[P49 Return]]),1+PortfolioFrontier[[#This Row],[P49 Return]])</f>
        <v>1.4884596504701912</v>
      </c>
      <c r="GO81" s="27">
        <f>MAX(GO80,PortfolioFrontier[[#This Row],[P49 Growth]])</f>
        <v>1.7836571071341945</v>
      </c>
      <c r="GP81" s="27">
        <f>PortfolioFrontier[[#This Row],[P49 Growth]]/PortfolioFrontier[[#This Row],[P49 HWM]]-1</f>
        <v>-0.16550123646707948</v>
      </c>
      <c r="GQ81" s="28">
        <f>SUMPRODUCT(INDEX(PortfolioRef[[SPY]:[PE]],MATCH(GQ$1,PortfolioRef[Reference '#]),0),AssetMonthlyReturns[[#This Row],[SPY]:[PE]])</f>
        <v>3.6850956229383156E-2</v>
      </c>
      <c r="GR81" s="27">
        <f>IF(ISNUMBER(GR80),GR80*(1+PortfolioFrontier[[#This Row],[P50 Return]]),1+PortfolioFrontier[[#This Row],[P50 Return]])</f>
        <v>1.4849623705758943</v>
      </c>
      <c r="GS81" s="27">
        <f>MAX(GS80,PortfolioFrontier[[#This Row],[P50 Growth]])</f>
        <v>1.7510275614895194</v>
      </c>
      <c r="GT81" s="27">
        <f>PortfolioFrontier[[#This Row],[P50 Growth]]/PortfolioFrontier[[#This Row],[P50 HWM]]-1</f>
        <v>-0.1519480314103655</v>
      </c>
      <c r="GU81" s="28">
        <f>SUMPRODUCT(INDEX(PortfolioRef[[SPY]:[PE]],MATCH(GU$1,PortfolioRef[Reference '#]),0),AssetMonthlyReturns[[#This Row],[SPY]:[PE]])</f>
        <v>3.5194951080218757E-2</v>
      </c>
      <c r="GV81" s="27">
        <f>IF(ISNUMBER(GV80),GV80*(1+PortfolioFrontier[[#This Row],[P51 Return]]),1+PortfolioFrontier[[#This Row],[P51 Return]])</f>
        <v>1.4805755284244306</v>
      </c>
      <c r="GW81" s="27">
        <f>MAX(GW80,PortfolioFrontier[[#This Row],[P51 Growth]])</f>
        <v>1.7182435242855478</v>
      </c>
      <c r="GX81" s="27">
        <f>PortfolioFrontier[[#This Row],[P51 Growth]]/PortfolioFrontier[[#This Row],[P51 HWM]]-1</f>
        <v>-0.13832032101499725</v>
      </c>
      <c r="GY81" s="28">
        <f>SUMPRODUCT(INDEX(PortfolioRef[[SPY]:[PE]],MATCH(GY$1,PortfolioRef[Reference '#]),0),AssetMonthlyReturns[[#This Row],[SPY]:[PE]])</f>
        <v>3.5056769413154575E-2</v>
      </c>
      <c r="GZ81" s="27">
        <f>IF(ISNUMBER(GZ80),GZ80*(1+PortfolioFrontier[[#This Row],[P52 Return]]),1+PortfolioFrontier[[#This Row],[P52 Return]])</f>
        <v>1.5037865284852705</v>
      </c>
      <c r="HA81" s="27">
        <f>MAX(HA80,PortfolioFrontier[[#This Row],[P52 Growth]])</f>
        <v>1.7802031417261526</v>
      </c>
      <c r="HB81" s="27">
        <f>PortfolioFrontier[[#This Row],[P52 Growth]]/PortfolioFrontier[[#This Row],[P52 HWM]]-1</f>
        <v>-0.15527251174989953</v>
      </c>
      <c r="HC81" s="28">
        <f>SUMPRODUCT(INDEX(PortfolioRef[[SPY]:[PE]],MATCH(HC$1,PortfolioRef[Reference '#]),0),AssetMonthlyReturns[[#This Row],[SPY]:[PE]])</f>
        <v>3.3400764263990176E-2</v>
      </c>
      <c r="HD81" s="27">
        <f>IF(ISNUMBER(HD80),HD80*(1+PortfolioFrontier[[#This Row],[P53 Return]]),1+PortfolioFrontier[[#This Row],[P53 Return]])</f>
        <v>1.499587175440404</v>
      </c>
      <c r="HE81" s="27">
        <f>MAX(HE80,PortfolioFrontier[[#This Row],[P53 Growth]])</f>
        <v>1.7471238825308339</v>
      </c>
      <c r="HF81" s="27">
        <f>PortfolioFrontier[[#This Row],[P53 Growth]]/PortfolioFrontier[[#This Row],[P53 HWM]]-1</f>
        <v>-0.14168240132568921</v>
      </c>
      <c r="HG81" s="28">
        <f>SUMPRODUCT(INDEX(PortfolioRef[[SPY]:[PE]],MATCH(HG$1,PortfolioRef[Reference '#]),0),AssetMonthlyReturns[[#This Row],[SPY]:[PE]])</f>
        <v>3.1744759114825778E-2</v>
      </c>
      <c r="HH81" s="27">
        <f>IF(ISNUMBER(HH80),HH80*(1+PortfolioFrontier[[#This Row],[P54 Return]]),1+PortfolioFrontier[[#This Row],[P54 Return]])</f>
        <v>1.4944983858590533</v>
      </c>
      <c r="HI81" s="27">
        <f>MAX(HI80,PortfolioFrontier[[#This Row],[P54 Growth]])</f>
        <v>1.7139140104060526</v>
      </c>
      <c r="HJ81" s="27">
        <f>PortfolioFrontier[[#This Row],[P54 Growth]]/PortfolioFrontier[[#This Row],[P54 HWM]]-1</f>
        <v>-0.12802020592329277</v>
      </c>
      <c r="HK81" s="28">
        <f>SUMPRODUCT(INDEX(PortfolioRef[[SPY]:[PE]],MATCH(HK$1,PortfolioRef[Reference '#]),0),AssetMonthlyReturns[[#This Row],[SPY]:[PE]])</f>
        <v>3.8262107489601578E-2</v>
      </c>
      <c r="HL81" s="27">
        <f>IF(ISNUMBER(HL80),HL80*(1+PortfolioFrontier[[#This Row],[P55 Return]]),1+PortfolioFrontier[[#This Row],[P55 Return]])</f>
        <v>1.5064592261939256</v>
      </c>
      <c r="HM81" s="27">
        <f>MAX(HM80,PortfolioFrontier[[#This Row],[P55 Growth]])</f>
        <v>1.8002459621778737</v>
      </c>
      <c r="HN81" s="27">
        <f>PortfolioFrontier[[#This Row],[P55 Growth]]/PortfolioFrontier[[#This Row],[P55 HWM]]-1</f>
        <v>-0.16319255377111652</v>
      </c>
      <c r="HO81" s="28">
        <f>SUMPRODUCT(INDEX(PortfolioRef[[SPY]:[PE]],MATCH(HO$1,PortfolioRef[Reference '#]),0),AssetMonthlyReturns[[#This Row],[SPY]:[PE]])</f>
        <v>3.660610234043718E-2</v>
      </c>
      <c r="HP81" s="27">
        <f>IF(ISNUMBER(HP80),HP80*(1+PortfolioFrontier[[#This Row],[P56 Return]]),1+PortfolioFrontier[[#This Row],[P56 Return]])</f>
        <v>1.5029532060579853</v>
      </c>
      <c r="HQ81" s="27">
        <f>MAX(HQ80,PortfolioFrontier[[#This Row],[P56 Growth]])</f>
        <v>1.767380839986993</v>
      </c>
      <c r="HR81" s="27">
        <f>PortfolioFrontier[[#This Row],[P56 Growth]]/PortfolioFrontier[[#This Row],[P56 HWM]]-1</f>
        <v>-0.14961553726640697</v>
      </c>
      <c r="HS81" s="28">
        <f>SUMPRODUCT(INDEX(PortfolioRef[[SPY]:[PE]],MATCH(HS$1,PortfolioRef[Reference '#]),0),AssetMonthlyReturns[[#This Row],[SPY]:[PE]])</f>
        <v>3.4950097191272782E-2</v>
      </c>
      <c r="HT81" s="27">
        <f>IF(ISNUMBER(HT80),HT80*(1+PortfolioFrontier[[#This Row],[P57 Return]]),1+PortfolioFrontier[[#This Row],[P57 Return]])</f>
        <v>1.4985472201395926</v>
      </c>
      <c r="HU81" s="27">
        <f>MAX(HU80,PortfolioFrontier[[#This Row],[P57 Growth]])</f>
        <v>1.7343575628436463</v>
      </c>
      <c r="HV81" s="27">
        <f>PortfolioFrontier[[#This Row],[P57 Growth]]/PortfolioFrontier[[#This Row],[P57 HWM]]-1</f>
        <v>-0.13596408708099372</v>
      </c>
      <c r="HW81" s="28">
        <f>SUMPRODUCT(INDEX(PortfolioRef[[SPY]:[PE]],MATCH(HW$1,PortfolioRef[Reference '#]),0),AssetMonthlyReturns[[#This Row],[SPY]:[PE]])</f>
        <v>4.1467445566048589E-2</v>
      </c>
      <c r="HX81" s="27">
        <f>IF(ISNUMBER(HX80),HX80*(1+PortfolioFrontier[[#This Row],[P58 Return]]),1+PortfolioFrontier[[#This Row],[P58 Return]])</f>
        <v>1.5081413126476086</v>
      </c>
      <c r="HY81" s="27">
        <f>MAX(HY80,PortfolioFrontier[[#This Row],[P58 Growth]])</f>
        <v>1.8195487359549802</v>
      </c>
      <c r="HZ81" s="27">
        <f>PortfolioFrontier[[#This Row],[P58 Growth]]/PortfolioFrontier[[#This Row],[P58 HWM]]-1</f>
        <v>-0.17114541487888812</v>
      </c>
      <c r="IA81" s="28">
        <f>SUMPRODUCT(INDEX(PortfolioRef[[SPY]:[PE]],MATCH(IA$1,PortfolioRef[Reference '#]),0),AssetMonthlyReturns[[#This Row],[SPY]:[PE]])</f>
        <v>3.981144041688419E-2</v>
      </c>
      <c r="IB81" s="27">
        <f>IF(ISNUMBER(IB80),IB80*(1+PortfolioFrontier[[#This Row],[P59 Return]]),1+PortfolioFrontier[[#This Row],[P59 Return]])</f>
        <v>1.5053374528700836</v>
      </c>
      <c r="IC81" s="27">
        <f>MAX(IC80,PortfolioFrontier[[#This Row],[P59 Growth]])</f>
        <v>1.7869282396294996</v>
      </c>
      <c r="ID81" s="27">
        <f>PortfolioFrontier[[#This Row],[P59 Growth]]/PortfolioFrontier[[#This Row],[P59 HWM]]-1</f>
        <v>-0.15758371294070594</v>
      </c>
      <c r="IE81" s="28">
        <f>SUMPRODUCT(INDEX(PortfolioRef[[SPY]:[PE]],MATCH(IE$1,PortfolioRef[Reference '#]),0),AssetMonthlyReturns[[#This Row],[SPY]:[PE]])</f>
        <v>3.8155435267719792E-2</v>
      </c>
      <c r="IF81" s="27">
        <f>IF(ISNUMBER(IF80),IF80*(1+PortfolioFrontier[[#This Row],[P60 Return]]),1+PortfolioFrontier[[#This Row],[P60 Return]])</f>
        <v>1.501624082943811</v>
      </c>
      <c r="IG81" s="27">
        <f>MAX(IG80,PortfolioFrontier[[#This Row],[P60 Growth]])</f>
        <v>1.7541215677111524</v>
      </c>
      <c r="IH81" s="27">
        <f>PortfolioFrontier[[#This Row],[P60 Growth]]/PortfolioFrontier[[#This Row],[P60 HWM]]-1</f>
        <v>-0.14394525978995298</v>
      </c>
      <c r="II81" s="28">
        <f>SUMPRODUCT(INDEX(PortfolioRef[[SPY]:[PE]],MATCH(II$1,PortfolioRef[Reference '#]),0),AssetMonthlyReturns[[#This Row],[SPY]:[PE]])</f>
        <v>2.4692277384740956E-2</v>
      </c>
      <c r="IJ81" s="27">
        <f>IF(ISNUMBER(IJ80),IJ80*(1+PortfolioFrontier[[#This Row],[P61 Return]]),1+PortfolioFrontier[[#This Row],[P61 Return]])</f>
        <v>1.3735976631950544</v>
      </c>
      <c r="IK81" s="27">
        <f>MAX(IK80,PortfolioFrontier[[#This Row],[P61 Growth]])</f>
        <v>1.6121264956964798</v>
      </c>
      <c r="IL81" s="27">
        <f>PortfolioFrontier[[#This Row],[P61 Growth]]/PortfolioFrontier[[#This Row],[P61 HWM]]-1</f>
        <v>-0.14795912922352594</v>
      </c>
      <c r="IM81" s="28">
        <f>SUMPRODUCT(INDEX(PortfolioRef[[SPY]:[PE]],MATCH(IM$1,PortfolioRef[Reference '#]),0),AssetMonthlyReturns[[#This Row],[SPY]:[PE]])</f>
        <v>2.4447423495794981E-2</v>
      </c>
      <c r="IN81" s="27">
        <f>IF(ISNUMBER(IN80),IN80*(1+PortfolioFrontier[[#This Row],[P62 Return]]),1+PortfolioFrontier[[#This Row],[P62 Return]])</f>
        <v>1.39030704883586</v>
      </c>
      <c r="IO81" s="27">
        <f>MAX(IO80,PortfolioFrontier[[#This Row],[P62 Growth]])</f>
        <v>1.6272630311124299</v>
      </c>
      <c r="IP81" s="27">
        <f>PortfolioFrontier[[#This Row],[P62 Growth]]/PortfolioFrontier[[#This Row],[P62 HWM]]-1</f>
        <v>-0.14561627576248815</v>
      </c>
      <c r="IQ81" s="28">
        <f>SUMPRODUCT(INDEX(PortfolioRef[[SPY]:[PE]],MATCH(IQ$1,PortfolioRef[Reference '#]),0),AssetMonthlyReturns[[#This Row],[SPY]:[PE]])</f>
        <v>2.7652761572241991E-2</v>
      </c>
      <c r="IR81" s="27">
        <f>IF(ISNUMBER(IR80),IR80*(1+PortfolioFrontier[[#This Row],[P63 Return]]),1+PortfolioFrontier[[#This Row],[P63 Return]])</f>
        <v>1.3942214515542988</v>
      </c>
      <c r="IS81" s="27">
        <f>MAX(IS80,PortfolioFrontier[[#This Row],[P63 Growth]])</f>
        <v>1.646884909102555</v>
      </c>
      <c r="IT81" s="27">
        <f>PortfolioFrontier[[#This Row],[P63 Growth]]/PortfolioFrontier[[#This Row],[P63 HWM]]-1</f>
        <v>-0.15341901316342832</v>
      </c>
      <c r="IU81" s="28">
        <f>SUMPRODUCT(INDEX(PortfolioRef[[SPY]:[PE]],MATCH(IU$1,PortfolioRef[Reference '#]),0),AssetMonthlyReturns[[#This Row],[SPY]:[PE]])</f>
        <v>2.5996756423077593E-2</v>
      </c>
      <c r="IV81" s="27">
        <f>IF(ISNUMBER(IV80),IV80*(1+PortfolioFrontier[[#This Row],[P64 Return]]),1+PortfolioFrontier[[#This Row],[P64 Return]])</f>
        <v>1.3891288433943976</v>
      </c>
      <c r="IW81" s="27">
        <f>MAX(IW80,PortfolioFrontier[[#This Row],[P64 Growth]])</f>
        <v>1.6151793879801097</v>
      </c>
      <c r="IX81" s="27">
        <f>PortfolioFrontier[[#This Row],[P64 Growth]]/PortfolioFrontier[[#This Row],[P64 HWM]]-1</f>
        <v>-0.13995383191981148</v>
      </c>
      <c r="IY81" s="28">
        <f>SUMPRODUCT(INDEX(PortfolioRef[[SPY]:[PE]],MATCH(IY$1,PortfolioRef[Reference '#]),0),AssetMonthlyReturns[[#This Row],[SPY]:[PE]])</f>
        <v>2.4202569606849009E-2</v>
      </c>
      <c r="IZ81" s="27">
        <f>IF(ISNUMBER(IZ80),IZ80*(1+PortfolioFrontier[[#This Row],[P65 Return]]),1+PortfolioFrontier[[#This Row],[P65 Return]])</f>
        <v>1.406898564830712</v>
      </c>
      <c r="JA81" s="27">
        <f>MAX(JA80,PortfolioFrontier[[#This Row],[P65 Growth]])</f>
        <v>1.6422150953060746</v>
      </c>
      <c r="JB81" s="27">
        <f>PortfolioFrontier[[#This Row],[P65 Growth]]/PortfolioFrontier[[#This Row],[P65 HWM]]-1</f>
        <v>-0.14329214921234457</v>
      </c>
      <c r="JC81" s="28">
        <f>SUMPRODUCT(INDEX(PortfolioRef[[SPY]:[PE]],MATCH(JC$1,PortfolioRef[Reference '#]),0),AssetMonthlyReturns[[#This Row],[SPY]:[PE]])</f>
        <v>2.7407907683296016E-2</v>
      </c>
      <c r="JD81" s="27">
        <f>IF(ISNUMBER(JD80),JD80*(1+PortfolioFrontier[[#This Row],[P66 Return]]),1+PortfolioFrontier[[#This Row],[P66 Return]])</f>
        <v>1.4111508622087725</v>
      </c>
      <c r="JE81" s="27">
        <f>MAX(JE80,PortfolioFrontier[[#This Row],[P66 Growth]])</f>
        <v>1.6623077877531292</v>
      </c>
      <c r="JF81" s="27">
        <f>PortfolioFrontier[[#This Row],[P66 Growth]]/PortfolioFrontier[[#This Row],[P66 HWM]]-1</f>
        <v>-0.15108930331357873</v>
      </c>
      <c r="JG81" s="28">
        <f>SUMPRODUCT(INDEX(PortfolioRef[[SPY]:[PE]],MATCH(JG$1,PortfolioRef[Reference '#]),0),AssetMonthlyReturns[[#This Row],[SPY]:[PE]])</f>
        <v>2.5751902534131618E-2</v>
      </c>
      <c r="JH81" s="27">
        <f>IF(ISNUMBER(JH80),JH80*(1+PortfolioFrontier[[#This Row],[P67 Return]]),1+PortfolioFrontier[[#This Row],[P67 Return]])</f>
        <v>1.4060287622463312</v>
      </c>
      <c r="JI81" s="27">
        <f>MAX(JI80,PortfolioFrontier[[#This Row],[P67 Growth]])</f>
        <v>1.6303687537292939</v>
      </c>
      <c r="JJ81" s="27">
        <f>PortfolioFrontier[[#This Row],[P67 Growth]]/PortfolioFrontier[[#This Row],[P67 HWM]]-1</f>
        <v>-0.13760076729255821</v>
      </c>
      <c r="JK81" s="28">
        <f>SUMPRODUCT(INDEX(PortfolioRef[[SPY]:[PE]],MATCH(JK$1,PortfolioRef[Reference '#]),0),AssetMonthlyReturns[[#This Row],[SPY]:[PE]])</f>
        <v>3.0613245759743023E-2</v>
      </c>
      <c r="JL81" s="27">
        <f>IF(ISNUMBER(JL80),JL80*(1+PortfolioFrontier[[#This Row],[P68 Return]]),1+PortfolioFrontier[[#This Row],[P68 Return]])</f>
        <v>1.4144903883694777</v>
      </c>
      <c r="JM81" s="27">
        <f>MAX(JM80,PortfolioFrontier[[#This Row],[P68 Growth]])</f>
        <v>1.6817622542850994</v>
      </c>
      <c r="JN81" s="27">
        <f>PortfolioFrontier[[#This Row],[P68 Growth]]/PortfolioFrontier[[#This Row],[P68 HWM]]-1</f>
        <v>-0.1589236916422746</v>
      </c>
      <c r="JO81" s="28">
        <f>SUMPRODUCT(INDEX(PortfolioRef[[SPY]:[PE]],MATCH(JO$1,PortfolioRef[Reference '#]),0),AssetMonthlyReturns[[#This Row],[SPY]:[PE]])</f>
        <v>2.8957240610578628E-2</v>
      </c>
      <c r="JP81" s="27">
        <f>IF(ISNUMBER(JP80),JP80*(1+PortfolioFrontier[[#This Row],[P69 Return]]),1+PortfolioFrontier[[#This Row],[P69 Return]])</f>
        <v>1.4100079778144903</v>
      </c>
      <c r="JQ81" s="27">
        <f>MAX(JQ80,PortfolioFrontier[[#This Row],[P69 Growth]])</f>
        <v>1.6499912107010917</v>
      </c>
      <c r="JR81" s="27">
        <f>PortfolioFrontier[[#This Row],[P69 Growth]]/PortfolioFrontier[[#This Row],[P69 HWM]]-1</f>
        <v>-0.14544515833186222</v>
      </c>
      <c r="JS81" s="28">
        <f>SUMPRODUCT(INDEX(PortfolioRef[[SPY]:[PE]],MATCH(JS$1,PortfolioRef[Reference '#]),0),AssetMonthlyReturns[[#This Row],[SPY]:[PE]])</f>
        <v>2.730123546141423E-2</v>
      </c>
      <c r="JT81" s="27">
        <f>IF(ISNUMBER(JT80),JT80*(1+PortfolioFrontier[[#This Row],[P70 Return]]),1+PortfolioFrontier[[#This Row],[P70 Return]])</f>
        <v>1.404693642054186</v>
      </c>
      <c r="JU81" s="27">
        <f>MAX(JU80,PortfolioFrontier[[#This Row],[P70 Growth]])</f>
        <v>1.6181178918603722</v>
      </c>
      <c r="JV81" s="27">
        <f>PortfolioFrontier[[#This Row],[P70 Growth]]/PortfolioFrontier[[#This Row],[P70 HWM]]-1</f>
        <v>-0.13189660090885558</v>
      </c>
      <c r="JW81" s="28">
        <f>SUMPRODUCT(INDEX(PortfolioRef[[SPY]:[PE]],MATCH(JW$1,PortfolioRef[Reference '#]),0),AssetMonthlyReturns[[#This Row],[SPY]:[PE]])</f>
        <v>2.7163053794350044E-2</v>
      </c>
      <c r="JX81" s="27">
        <f>IF(ISNUMBER(JX80),JX80*(1+PortfolioFrontier[[#This Row],[P71 Return]]),1+PortfolioFrontier[[#This Row],[P71 Return]])</f>
        <v>1.4279604312212237</v>
      </c>
      <c r="JY81" s="27">
        <f>MAX(JY80,PortfolioFrontier[[#This Row],[P71 Growth]])</f>
        <v>1.6775420819631024</v>
      </c>
      <c r="JZ81" s="27">
        <f>PortfolioFrontier[[#This Row],[P71 Growth]]/PortfolioFrontier[[#This Row],[P71 HWM]]-1</f>
        <v>-0.14877817577596142</v>
      </c>
      <c r="KA81" s="28">
        <f>SUMPRODUCT(INDEX(PortfolioRef[[SPY]:[PE]],MATCH(KA$1,PortfolioRef[Reference '#]),0),AssetMonthlyReturns[[#This Row],[SPY]:[PE]])</f>
        <v>2.5507048645185645E-2</v>
      </c>
      <c r="KB81" s="27">
        <f>IF(ISNUMBER(KB80),KB80*(1+PortfolioFrontier[[#This Row],[P72 Return]]),1+PortfolioFrontier[[#This Row],[P72 Return]])</f>
        <v>1.4228097321512729</v>
      </c>
      <c r="KC81" s="27">
        <f>MAX(KC80,PortfolioFrontier[[#This Row],[P72 Growth]])</f>
        <v>1.6453738946019467</v>
      </c>
      <c r="KD81" s="27">
        <f>PortfolioFrontier[[#This Row],[P72 Growth]]/PortfolioFrontier[[#This Row],[P72 HWM]]-1</f>
        <v>-0.13526661823239705</v>
      </c>
      <c r="KE81" s="28">
        <f>SUMPRODUCT(INDEX(PortfolioRef[[SPY]:[PE]],MATCH(KE$1,PortfolioRef[Reference '#]),0),AssetMonthlyReturns[[#This Row],[SPY]:[PE]])</f>
        <v>3.0368391870797047E-2</v>
      </c>
      <c r="KF81" s="27">
        <f>IF(ISNUMBER(KF80),KF80*(1+PortfolioFrontier[[#This Row],[P73 Return]]),1+PortfolioFrontier[[#This Row],[P73 Return]])</f>
        <v>1.4316349368609969</v>
      </c>
      <c r="KG81" s="27">
        <f>MAX(KG80,PortfolioFrontier[[#This Row],[P73 Growth]])</f>
        <v>1.6974712283523181</v>
      </c>
      <c r="KH81" s="27">
        <f>PortfolioFrontier[[#This Row],[P73 Growth]]/PortfolioFrontier[[#This Row],[P73 HWM]]-1</f>
        <v>-0.15660724438278706</v>
      </c>
      <c r="KI81" s="28">
        <f>SUMPRODUCT(INDEX(PortfolioRef[[SPY]:[PE]],MATCH(KI$1,PortfolioRef[Reference '#]),0),AssetMonthlyReturns[[#This Row],[SPY]:[PE]])</f>
        <v>2.8712386721632652E-2</v>
      </c>
      <c r="KJ81" s="27">
        <f>IF(ISNUMBER(KJ80),KJ80*(1+PortfolioFrontier[[#This Row],[P74 Return]]),1+PortfolioFrontier[[#This Row],[P74 Return]])</f>
        <v>1.4271306675536037</v>
      </c>
      <c r="KK81" s="27">
        <f>MAX(KK80,PortfolioFrontier[[#This Row],[P74 Growth]])</f>
        <v>1.6654678920548054</v>
      </c>
      <c r="KL81" s="27">
        <f>PortfolioFrontier[[#This Row],[P74 Growth]]/PortfolioFrontier[[#This Row],[P74 HWM]]-1</f>
        <v>-0.14310526527602296</v>
      </c>
      <c r="KM81" s="28">
        <f>SUMPRODUCT(INDEX(PortfolioRef[[SPY]:[PE]],MATCH(KM$1,PortfolioRef[Reference '#]),0),AssetMonthlyReturns[[#This Row],[SPY]:[PE]])</f>
        <v>2.7056381572468254E-2</v>
      </c>
      <c r="KN81" s="27">
        <f>IF(ISNUMBER(KN80),KN80*(1+PortfolioFrontier[[#This Row],[P75 Return]]),1+PortfolioFrontier[[#This Row],[P75 Return]])</f>
        <v>1.4217846688508202</v>
      </c>
      <c r="KO81" s="27">
        <f>MAX(KO80,PortfolioFrontier[[#This Row],[P75 Growth]])</f>
        <v>1.6333591346427441</v>
      </c>
      <c r="KP81" s="27">
        <f>PortfolioFrontier[[#This Row],[P75 Growth]]/PortfolioFrontier[[#This Row],[P75 HWM]]-1</f>
        <v>-0.12953334101762037</v>
      </c>
      <c r="KQ81" s="28">
        <f>SUMPRODUCT(INDEX(PortfolioRef[[SPY]:[PE]],MATCH(KQ$1,PortfolioRef[Reference '#]),0),AssetMonthlyReturns[[#This Row],[SPY]:[PE]])</f>
        <v>3.3573729947244058E-2</v>
      </c>
      <c r="KR81" s="27">
        <f>IF(ISNUMBER(KR80),KR80*(1+PortfolioFrontier[[#This Row],[P76 Return]]),1+PortfolioFrontier[[#This Row],[P76 Return]])</f>
        <v>1.434377162909386</v>
      </c>
      <c r="KS81" s="27">
        <f>MAX(KS80,PortfolioFrontier[[#This Row],[P76 Growth]])</f>
        <v>1.7167314071133803</v>
      </c>
      <c r="KT81" s="27">
        <f>PortfolioFrontier[[#This Row],[P76 Growth]]/PortfolioFrontier[[#This Row],[P76 HWM]]-1</f>
        <v>-0.16447199779420496</v>
      </c>
      <c r="KU81" s="28">
        <f>SUMPRODUCT(INDEX(PortfolioRef[[SPY]:[PE]],MATCH(KU$1,PortfolioRef[Reference '#]),0),AssetMonthlyReturns[[#This Row],[SPY]:[PE]])</f>
        <v>3.1917724798079659E-2</v>
      </c>
      <c r="KV81" s="27">
        <f>IF(ISNUMBER(KV80),KV80*(1+PortfolioFrontier[[#This Row],[P77 Return]]),1+PortfolioFrontier[[#This Row],[P77 Return]])</f>
        <v>1.4305291868937891</v>
      </c>
      <c r="KW81" s="27">
        <f>MAX(KW80,PortfolioFrontier[[#This Row],[P77 Growth]])</f>
        <v>1.6849217747429484</v>
      </c>
      <c r="KX81" s="27">
        <f>PortfolioFrontier[[#This Row],[P77 Growth]]/PortfolioFrontier[[#This Row],[P77 HWM]]-1</f>
        <v>-0.15098183883816774</v>
      </c>
      <c r="KY81" s="28">
        <f>SUMPRODUCT(INDEX(PortfolioRef[[SPY]:[PE]],MATCH(KY$1,PortfolioRef[Reference '#]),0),AssetMonthlyReturns[[#This Row],[SPY]:[PE]])</f>
        <v>3.0261719648915265E-2</v>
      </c>
      <c r="KZ81" s="27">
        <f>IF(ISNUMBER(KZ80),KZ80*(1+PortfolioFrontier[[#This Row],[P78 Return]]),1+PortfolioFrontier[[#This Row],[P78 Return]])</f>
        <v>1.4258290068597046</v>
      </c>
      <c r="LA81" s="27">
        <f>MAX(LA80,PortfolioFrontier[[#This Row],[P78 Growth]])</f>
        <v>1.6529805725839544</v>
      </c>
      <c r="LB81" s="27">
        <f>PortfolioFrontier[[#This Row],[P78 Growth]]/PortfolioFrontier[[#This Row],[P78 HWM]]-1</f>
        <v>-0.13741938017405997</v>
      </c>
      <c r="LC81" s="28">
        <f>SUMPRODUCT(INDEX(PortfolioRef[[SPY]:[PE]],MATCH(LC$1,PortfolioRef[Reference '#]),0),AssetMonthlyReturns[[#This Row],[SPY]:[PE]])</f>
        <v>3.0123537981851078E-2</v>
      </c>
      <c r="LD81" s="27">
        <f>IF(ISNUMBER(LD80),LD80*(1+PortfolioFrontier[[#This Row],[P79 Return]]),1+PortfolioFrontier[[#This Row],[P79 Return]])</f>
        <v>1.4486576975401155</v>
      </c>
      <c r="LE81" s="27">
        <f>MAX(LE80,PortfolioFrontier[[#This Row],[P79 Growth]])</f>
        <v>1.7129874860839263</v>
      </c>
      <c r="LF81" s="27">
        <f>PortfolioFrontier[[#This Row],[P79 Growth]]/PortfolioFrontier[[#This Row],[P79 HWM]]-1</f>
        <v>-0.15430923500094973</v>
      </c>
      <c r="LG81" s="28">
        <f>SUMPRODUCT(INDEX(PortfolioRef[[SPY]:[PE]],MATCH(LG$1,PortfolioRef[Reference '#]),0),AssetMonthlyReturns[[#This Row],[SPY]:[PE]])</f>
        <v>2.846753283268668E-2</v>
      </c>
      <c r="LH81" s="27">
        <f>IF(ISNUMBER(LH80),LH80*(1+PortfolioFrontier[[#This Row],[P80 Return]]),1+PortfolioFrontier[[#This Row],[P80 Return]])</f>
        <v>1.4441324152217447</v>
      </c>
      <c r="LI81" s="27">
        <f>MAX(LI80,PortfolioFrontier[[#This Row],[P80 Growth]])</f>
        <v>1.6807562405101484</v>
      </c>
      <c r="LJ81" s="27">
        <f>PortfolioFrontier[[#This Row],[P80 Growth]]/PortfolioFrontier[[#This Row],[P80 HWM]]-1</f>
        <v>-0.14078414203393519</v>
      </c>
      <c r="LK81" s="28">
        <f>SUMPRODUCT(INDEX(PortfolioRef[[SPY]:[PE]],MATCH(LK$1,PortfolioRef[Reference '#]),0),AssetMonthlyReturns[[#This Row],[SPY]:[PE]])</f>
        <v>2.6811527683522282E-2</v>
      </c>
      <c r="LL81" s="27">
        <f>IF(ISNUMBER(LL80),LL80*(1+PortfolioFrontier[[#This Row],[P81 Return]]),1+PortfolioFrontier[[#This Row],[P81 Return]])</f>
        <v>1.4387556706481155</v>
      </c>
      <c r="LM81" s="27">
        <f>MAX(LM80,PortfolioFrontier[[#This Row],[P81 Growth]])</f>
        <v>1.648416413491208</v>
      </c>
      <c r="LN81" s="27">
        <f>PortfolioFrontier[[#This Row],[P81 Growth]]/PortfolioFrontier[[#This Row],[P81 HWM]]-1</f>
        <v>-0.12718918662005352</v>
      </c>
      <c r="LO81" s="28">
        <f>SUMPRODUCT(INDEX(PortfolioRef[[SPY]:[PE]],MATCH(LO$1,PortfolioRef[Reference '#]),0),AssetMonthlyReturns[[#This Row],[SPY]:[PE]])</f>
        <v>3.3328876058298082E-2</v>
      </c>
      <c r="LP81" s="27">
        <f>IF(ISNUMBER(LP80),LP80*(1+PortfolioFrontier[[#This Row],[P82 Return]]),1+PortfolioFrontier[[#This Row],[P82 Return]])</f>
        <v>1.4517316688057389</v>
      </c>
      <c r="LQ81" s="27">
        <f>MAX(LQ80,PortfolioFrontier[[#This Row],[P82 Growth]])</f>
        <v>1.7327259878391794</v>
      </c>
      <c r="LR81" s="27">
        <f>PortfolioFrontier[[#This Row],[P82 Growth]]/PortfolioFrontier[[#This Row],[P82 HWM]]-1</f>
        <v>-0.16216892977051633</v>
      </c>
      <c r="LS81" s="28">
        <f>SUMPRODUCT(INDEX(PortfolioRef[[SPY]:[PE]],MATCH(LS$1,PortfolioRef[Reference '#]),0),AssetMonthlyReturns[[#This Row],[SPY]:[PE]])</f>
        <v>3.1672870909133684E-2</v>
      </c>
      <c r="LT81" s="27">
        <f>IF(ISNUMBER(LT80),LT80*(1+PortfolioFrontier[[#This Row],[P83 Return]]),1+PortfolioFrontier[[#This Row],[P83 Return]])</f>
        <v>1.4478697143955199</v>
      </c>
      <c r="LU81" s="27">
        <f>MAX(LU80,PortfolioFrontier[[#This Row],[P83 Growth]])</f>
        <v>1.7006855237848306</v>
      </c>
      <c r="LV81" s="27">
        <f>PortfolioFrontier[[#This Row],[P83 Growth]]/PortfolioFrontier[[#This Row],[P83 HWM]]-1</f>
        <v>-0.14865523687570159</v>
      </c>
      <c r="LW81" s="28">
        <f>SUMPRODUCT(INDEX(PortfolioRef[[SPY]:[PE]],MATCH(LW$1,PortfolioRef[Reference '#]),0),AssetMonthlyReturns[[#This Row],[SPY]:[PE]])</f>
        <v>3.0016865759969289E-2</v>
      </c>
      <c r="LX81" s="27">
        <f>IF(ISNUMBER(LX80),LX80*(1+PortfolioFrontier[[#This Row],[P84 Return]]),1+PortfolioFrontier[[#This Row],[P84 Return]])</f>
        <v>1.4431455620893336</v>
      </c>
      <c r="LY81" s="27">
        <f>MAX(LY80,PortfolioFrontier[[#This Row],[P84 Growth]])</f>
        <v>1.6685100840279028</v>
      </c>
      <c r="LZ81" s="27">
        <f>PortfolioFrontier[[#This Row],[P84 Growth]]/PortfolioFrontier[[#This Row],[P84 HWM]]-1</f>
        <v>-0.13506931968581393</v>
      </c>
      <c r="MA81" s="28">
        <f>SUMPRODUCT(INDEX(PortfolioRef[[SPY]:[PE]],MATCH(MA$1,PortfolioRef[Reference '#]),0),AssetMonthlyReturns[[#This Row],[SPY]:[PE]])</f>
        <v>3.6534214134745092E-2</v>
      </c>
      <c r="MB81" s="27">
        <f>IF(ISNUMBER(MB80),MB80*(1+PortfolioFrontier[[#This Row],[P85 Return]]),1+PortfolioFrontier[[#This Row],[P85 Return]])</f>
        <v>1.4538543338077441</v>
      </c>
      <c r="MC81" s="27">
        <f>MAX(MC80,PortfolioFrontier[[#This Row],[P85 Growth]])</f>
        <v>1.7517641950154219</v>
      </c>
      <c r="MD81" s="27">
        <f>PortfolioFrontier[[#This Row],[P85 Growth]]/PortfolioFrontier[[#This Row],[P85 HWM]]-1</f>
        <v>-0.17006276418673749</v>
      </c>
      <c r="ME81" s="28">
        <f>SUMPRODUCT(INDEX(PortfolioRef[[SPY]:[PE]],MATCH(ME$1,PortfolioRef[Reference '#]),0),AssetMonthlyReturns[[#This Row],[SPY]:[PE]])</f>
        <v>3.4878208985580694E-2</v>
      </c>
      <c r="MF81" s="27">
        <f>IF(ISNUMBER(MF80),MF80*(1+PortfolioFrontier[[#This Row],[P86 Return]]),1+PortfolioFrontier[[#This Row],[P86 Return]])</f>
        <v>1.4506648543792617</v>
      </c>
      <c r="MG81" s="27">
        <f>MAX(MG80,PortfolioFrontier[[#This Row],[P86 Growth]])</f>
        <v>1.7199439154573082</v>
      </c>
      <c r="MH81" s="27">
        <f>PortfolioFrontier[[#This Row],[P86 Growth]]/PortfolioFrontier[[#This Row],[P86 HWM]]-1</f>
        <v>-0.15656269873570217</v>
      </c>
      <c r="MI81" s="28">
        <f>SUMPRODUCT(INDEX(PortfolioRef[[SPY]:[PE]],MATCH(MI$1,PortfolioRef[Reference '#]),0),AssetMonthlyReturns[[#This Row],[SPY]:[PE]])</f>
        <v>3.3222203836416296E-2</v>
      </c>
      <c r="MJ81" s="27">
        <f>IF(ISNUMBER(MJ80),MJ80*(1+PortfolioFrontier[[#This Row],[P87 Return]]),1+PortfolioFrontier[[#This Row],[P87 Return]])</f>
        <v>1.4466033757837096</v>
      </c>
      <c r="MK81" s="27">
        <f>MAX(MK80,PortfolioFrontier[[#This Row],[P87 Growth]])</f>
        <v>1.6879617873128629</v>
      </c>
      <c r="ML81" s="27">
        <f>PortfolioFrontier[[#This Row],[P87 Growth]]/PortfolioFrontier[[#This Row],[P87 HWM]]-1</f>
        <v>-0.14298807789563883</v>
      </c>
      <c r="MM81" s="28">
        <f>SUMPRODUCT(INDEX(PortfolioRef[[SPY]:[PE]],MATCH(MM$1,PortfolioRef[Reference '#]),0),AssetMonthlyReturns[[#This Row],[SPY]:[PE]])</f>
        <v>3.3084022169352106E-2</v>
      </c>
      <c r="MN81" s="27">
        <f>IF(ISNUMBER(MN80),MN80*(1+PortfolioFrontier[[#This Row],[P88 Return]]),1+PortfolioFrontier[[#This Row],[P88 Return]])</f>
        <v>1.4689624691163949</v>
      </c>
      <c r="MO81" s="27">
        <f>MAX(MO80,PortfolioFrontier[[#This Row],[P88 Growth]])</f>
        <v>1.7485237047822844</v>
      </c>
      <c r="MP81" s="27">
        <f>PortfolioFrontier[[#This Row],[P88 Growth]]/PortfolioFrontier[[#This Row],[P88 HWM]]-1</f>
        <v>-0.15988415535990619</v>
      </c>
      <c r="MQ81" s="28">
        <f>SUMPRODUCT(INDEX(PortfolioRef[[SPY]:[PE]],MATCH(MQ$1,PortfolioRef[Reference '#]),0),AssetMonthlyReturns[[#This Row],[SPY]:[PE]])</f>
        <v>3.1428017020187715E-2</v>
      </c>
      <c r="MR81" s="27">
        <f>IF(ISNUMBER(MR80),MR80*(1+PortfolioFrontier[[#This Row],[P89 Return]]),1+PortfolioFrontier[[#This Row],[P89 Return]])</f>
        <v>1.4650873326518623</v>
      </c>
      <c r="MS81" s="27">
        <f>MAX(MS80,PortfolioFrontier[[#This Row],[P89 Growth]])</f>
        <v>1.7162568132506029</v>
      </c>
      <c r="MT81" s="27">
        <f>PortfolioFrontier[[#This Row],[P89 Growth]]/PortfolioFrontier[[#This Row],[P89 HWM]]-1</f>
        <v>-0.14634725913951285</v>
      </c>
      <c r="MU81" s="28">
        <f>SUMPRODUCT(INDEX(PortfolioRef[[SPY]:[PE]],MATCH(MU$1,PortfolioRef[Reference '#]),0),AssetMonthlyReturns[[#This Row],[SPY]:[PE]])</f>
        <v>2.9772011871023317E-2</v>
      </c>
      <c r="MV81" s="27">
        <f>IF(ISNUMBER(MV80),MV80*(1+PortfolioFrontier[[#This Row],[P90 Return]]),1+PortfolioFrontier[[#This Row],[P90 Return]])</f>
        <v>1.4603400780636591</v>
      </c>
      <c r="MW81" s="27">
        <f>MAX(MW80,PortfolioFrontier[[#This Row],[P90 Growth]])</f>
        <v>1.6838515290273213</v>
      </c>
      <c r="MX81" s="27">
        <f>PortfolioFrontier[[#This Row],[P90 Growth]]/PortfolioFrontier[[#This Row],[P90 HWM]]-1</f>
        <v>-0.13273821777670258</v>
      </c>
      <c r="MY81" s="28">
        <f>SUMPRODUCT(INDEX(PortfolioRef[[SPY]:[PE]],MATCH(MY$1,PortfolioRef[Reference '#]),0),AssetMonthlyReturns[[#This Row],[SPY]:[PE]])</f>
        <v>3.6289360245799117E-2</v>
      </c>
      <c r="MZ81" s="27">
        <f>IF(ISNUMBER(MZ80),MZ80*(1+PortfolioFrontier[[#This Row],[P91 Return]]),1+PortfolioFrontier[[#This Row],[P91 Return]])</f>
        <v>1.4714133238728264</v>
      </c>
      <c r="NA81" s="27">
        <f>MAX(NA80,PortfolioFrontier[[#This Row],[P91 Growth]])</f>
        <v>1.7680436458517257</v>
      </c>
      <c r="NB81" s="27">
        <f>PortfolioFrontier[[#This Row],[P91 Growth]]/PortfolioFrontier[[#This Row],[P91 HWM]]-1</f>
        <v>-0.16777318969182042</v>
      </c>
      <c r="NC81" s="28">
        <f>SUMPRODUCT(INDEX(PortfolioRef[[SPY]:[PE]],MATCH(NC$1,PortfolioRef[Reference '#]),0),AssetMonthlyReturns[[#This Row],[SPY]:[PE]])</f>
        <v>3.4633355096634719E-2</v>
      </c>
      <c r="ND81" s="27">
        <f>IF(ISNUMBER(ND80),ND80*(1+PortfolioFrontier[[#This Row],[P92 Return]]),1+PortfolioFrontier[[#This Row],[P92 Return]])</f>
        <v>1.4682179899517851</v>
      </c>
      <c r="NE81" s="27">
        <f>MAX(NE80,PortfolioFrontier[[#This Row],[P92 Growth]])</f>
        <v>1.73599424265744</v>
      </c>
      <c r="NF81" s="27">
        <f>PortfolioFrontier[[#This Row],[P92 Growth]]/PortfolioFrontier[[#This Row],[P92 HWM]]-1</f>
        <v>-0.15424950505351109</v>
      </c>
      <c r="NG81" s="28">
        <f>SUMPRODUCT(INDEX(PortfolioRef[[SPY]:[PE]],MATCH(NG$1,PortfolioRef[Reference '#]),0),AssetMonthlyReturns[[#This Row],[SPY]:[PE]])</f>
        <v>3.2977349947470321E-2</v>
      </c>
      <c r="NH81" s="27">
        <f>IF(ISNUMBER(NH80),NH80*(1+PortfolioFrontier[[#This Row],[P93 Return]]),1+PortfolioFrontier[[#This Row],[P93 Return]])</f>
        <v>1.4641404803370468</v>
      </c>
      <c r="NI81" s="27">
        <f>MAX(NI80,PortfolioFrontier[[#This Row],[P93 Growth]])</f>
        <v>1.7037793193389816</v>
      </c>
      <c r="NJ81" s="27">
        <f>PortfolioFrontier[[#This Row],[P93 Growth]]/PortfolioFrontier[[#This Row],[P93 HWM]]-1</f>
        <v>-0.14065133687319786</v>
      </c>
      <c r="NK81" s="28">
        <f>SUMPRODUCT(INDEX(PortfolioRef[[SPY]:[PE]],MATCH(NK$1,PortfolioRef[Reference '#]),0),AssetMonthlyReturns[[#This Row],[SPY]:[PE]])</f>
        <v>3.9494698322246127E-2</v>
      </c>
      <c r="NL81" s="27">
        <f>IF(ISNUMBER(NL80),NL80*(1+PortfolioFrontier[[#This Row],[P94 Return]]),1+PortfolioFrontier[[#This Row],[P94 Return]])</f>
        <v>1.4728943710928322</v>
      </c>
      <c r="NM81" s="27">
        <f>MAX(NM80,PortfolioFrontier[[#This Row],[P94 Growth]])</f>
        <v>1.7868313973018393</v>
      </c>
      <c r="NN81" s="27">
        <f>PortfolioFrontier[[#This Row],[P94 Growth]]/PortfolioFrontier[[#This Row],[P94 HWM]]-1</f>
        <v>-0.17569482307231676</v>
      </c>
      <c r="NO81" s="28">
        <f>SUMPRODUCT(INDEX(PortfolioRef[[SPY]:[PE]],MATCH(NO$1,PortfolioRef[Reference '#]),0),AssetMonthlyReturns[[#This Row],[SPY]:[PE]])</f>
        <v>3.7838693173081729E-2</v>
      </c>
      <c r="NP81" s="27">
        <f>IF(ISNUMBER(NP80),NP80*(1+PortfolioFrontier[[#This Row],[P95 Return]]),1+PortfolioFrontier[[#This Row],[P95 Return]])</f>
        <v>1.4703872305344374</v>
      </c>
      <c r="NQ81" s="27">
        <f>MAX(NQ80,PortfolioFrontier[[#This Row],[P95 Growth]])</f>
        <v>1.7550294195356591</v>
      </c>
      <c r="NR81" s="27">
        <f>PortfolioFrontier[[#This Row],[P95 Growth]]/PortfolioFrontier[[#This Row],[P95 HWM]]-1</f>
        <v>-0.16218656270533149</v>
      </c>
      <c r="NS81" s="28">
        <f>SUMPRODUCT(INDEX(PortfolioRef[[SPY]:[PE]],MATCH(NS$1,PortfolioRef[Reference '#]),0),AssetMonthlyReturns[[#This Row],[SPY]:[PE]])</f>
        <v>3.6182688023917331E-2</v>
      </c>
      <c r="NT81" s="27">
        <f>IF(ISNUMBER(NT80),NT80*(1+PortfolioFrontier[[#This Row],[P96 Return]]),1+PortfolioFrontier[[#This Row],[P96 Return]])</f>
        <v>1.4669888262539899</v>
      </c>
      <c r="NU81" s="27">
        <f>MAX(NU80,PortfolioFrontier[[#This Row],[P96 Growth]])</f>
        <v>1.7230343324336159</v>
      </c>
      <c r="NV81" s="27">
        <f>PortfolioFrontier[[#This Row],[P96 Growth]]/PortfolioFrontier[[#This Row],[P96 HWM]]-1</f>
        <v>-0.14860151150789147</v>
      </c>
      <c r="NW81" s="28">
        <f>SUMPRODUCT(INDEX(PortfolioRef[[SPY]:[PE]],MATCH(NW$1,PortfolioRef[Reference '#]),0),AssetMonthlyReturns[[#This Row],[SPY]:[PE]])</f>
        <v>1.975904595343746E-2</v>
      </c>
      <c r="NX81" s="27">
        <f>IF(ISNUMBER(NX80),NX80*(1+PortfolioFrontier[[#This Row],[P97 Return]]),1+PortfolioFrontier[[#This Row],[P97 Return]])</f>
        <v>1.3217441446873417</v>
      </c>
      <c r="NY81" s="27">
        <f>MAX(NY80,PortfolioFrontier[[#This Row],[P97 Growth]])</f>
        <v>1.5498139523617234</v>
      </c>
      <c r="NZ81" s="27">
        <f>PortfolioFrontier[[#This Row],[P97 Growth]]/PortfolioFrontier[[#This Row],[P97 HWM]]-1</f>
        <v>-0.14715947506268845</v>
      </c>
      <c r="OA81" s="28">
        <f>SUMPRODUCT(INDEX(PortfolioRef[[SPY]:[PE]],MATCH(OA$1,PortfolioRef[Reference '#]),0),AssetMonthlyReturns[[#This Row],[SPY]:[PE]])</f>
        <v>1.9514192064491488E-2</v>
      </c>
      <c r="OB81" s="27">
        <f>IF(ISNUMBER(OB80),OB80*(1+PortfolioFrontier[[#This Row],[P98 Return]]),1+PortfolioFrontier[[#This Row],[P98 Return]])</f>
        <v>1.3378319231893008</v>
      </c>
      <c r="OC81" s="27">
        <f>MAX(OC80,PortfolioFrontier[[#This Row],[P98 Growth]])</f>
        <v>1.5643918723292729</v>
      </c>
      <c r="OD81" s="27">
        <f>PortfolioFrontier[[#This Row],[P98 Growth]]/PortfolioFrontier[[#This Row],[P98 HWM]]-1</f>
        <v>-0.1448230159893632</v>
      </c>
      <c r="OE81" s="28">
        <f>SUMPRODUCT(INDEX(PortfolioRef[[SPY]:[PE]],MATCH(OE$1,PortfolioRef[Reference '#]),0),AssetMonthlyReturns[[#This Row],[SPY]:[PE]])</f>
        <v>2.2719530140938492E-2</v>
      </c>
      <c r="OF81" s="27">
        <f>IF(ISNUMBER(OF80),OF80*(1+PortfolioFrontier[[#This Row],[P99 Return]]),1+PortfolioFrontier[[#This Row],[P99 Return]])</f>
        <v>1.3420546869577585</v>
      </c>
      <c r="OG81" s="27">
        <f>MAX(OG80,PortfolioFrontier[[#This Row],[P99 Growth]])</f>
        <v>1.5836627563813395</v>
      </c>
      <c r="OH81" s="27">
        <f>PortfolioFrontier[[#This Row],[P99 Growth]]/PortfolioFrontier[[#This Row],[P99 HWM]]-1</f>
        <v>-0.15256282844944469</v>
      </c>
      <c r="OI81" s="28">
        <f>SUMPRODUCT(INDEX(PortfolioRef[[SPY]:[PE]],MATCH(OI$1,PortfolioRef[Reference '#]),0),AssetMonthlyReturns[[#This Row],[SPY]:[PE]])</f>
        <v>2.1063524991774097E-2</v>
      </c>
      <c r="OJ81" s="27">
        <f>IF(ISNUMBER(OJ80),OJ80*(1+PortfolioFrontier[[#This Row],[P100 Return]]),1+PortfolioFrontier[[#This Row],[P100 Return]])</f>
        <v>1.3367104844456232</v>
      </c>
      <c r="OK81" s="27">
        <f>MAX(OK80,PortfolioFrontier[[#This Row],[P100 Growth]])</f>
        <v>1.5528062347399851</v>
      </c>
      <c r="OL81" s="27">
        <f>PortfolioFrontier[[#This Row],[P100 Growth]]/PortfolioFrontier[[#This Row],[P100 HWM]]-1</f>
        <v>-0.13916465909254083</v>
      </c>
      <c r="OM81" s="28">
        <f>SUMPRODUCT(INDEX(PortfolioRef[[SPY]:[PE]],MATCH(OM$1,PortfolioRef[Reference '#]),0),AssetMonthlyReturns[[#This Row],[SPY]:[PE]])</f>
        <v>1.9269338175545513E-2</v>
      </c>
      <c r="ON81" s="27">
        <f>IF(ISNUMBER(ON80),ON80*(1+PortfolioFrontier[[#This Row],[P101 Return]]),1+PortfolioFrontier[[#This Row],[P101 Return]])</f>
        <v>1.3538058031486588</v>
      </c>
      <c r="OO81" s="27">
        <f>MAX(OO80,PortfolioFrontier[[#This Row],[P101 Growth]])</f>
        <v>1.5787921813488919</v>
      </c>
      <c r="OP81" s="27">
        <f>PortfolioFrontier[[#This Row],[P101 Growth]]/PortfolioFrontier[[#This Row],[P101 HWM]]-1</f>
        <v>-0.14250537902208804</v>
      </c>
      <c r="OQ81" s="28">
        <f>SUMPRODUCT(INDEX(PortfolioRef[[SPY]:[PE]],MATCH(OQ$1,PortfolioRef[Reference '#]),0),AssetMonthlyReturns[[#This Row],[SPY]:[PE]])</f>
        <v>2.247467625199252E-2</v>
      </c>
      <c r="OR81" s="27">
        <f>IF(ISNUMBER(OR80),OR80*(1+PortfolioFrontier[[#This Row],[P102 Return]]),1+PortfolioFrontier[[#This Row],[P102 Return]])</f>
        <v>1.3583597792859023</v>
      </c>
      <c r="OS81" s="27">
        <f>MAX(OS80,PortfolioFrontier[[#This Row],[P102 Growth]])</f>
        <v>1.5985203886251573</v>
      </c>
      <c r="OT81" s="27">
        <f>PortfolioFrontier[[#This Row],[P102 Growth]]/PortfolioFrontier[[#This Row],[P102 HWM]]-1</f>
        <v>-0.15023931571233218</v>
      </c>
      <c r="OU81" s="28">
        <f>SUMPRODUCT(INDEX(PortfolioRef[[SPY]:[PE]],MATCH(OU$1,PortfolioRef[Reference '#]),0),AssetMonthlyReturns[[#This Row],[SPY]:[PE]])</f>
        <v>2.0818671102828125E-2</v>
      </c>
      <c r="OV81" s="27">
        <f>IF(ISNUMBER(OV80),OV80*(1+PortfolioFrontier[[#This Row],[P103 Return]]),1+PortfolioFrontier[[#This Row],[P103 Return]])</f>
        <v>1.3529820116973799</v>
      </c>
      <c r="OW81" s="27">
        <f>MAX(OW80,PortfolioFrontier[[#This Row],[P103 Growth]])</f>
        <v>1.5674355228105428</v>
      </c>
      <c r="OX81" s="27">
        <f>PortfolioFrontier[[#This Row],[P103 Growth]]/PortfolioFrontier[[#This Row],[P103 HWM]]-1</f>
        <v>-0.1368180751247936</v>
      </c>
      <c r="OY81" s="28">
        <f>SUMPRODUCT(INDEX(PortfolioRef[[SPY]:[PE]],MATCH(OY$1,PortfolioRef[Reference '#]),0),AssetMonthlyReturns[[#This Row],[SPY]:[PE]])</f>
        <v>2.5680014328439527E-2</v>
      </c>
      <c r="OZ81" s="27">
        <f>IF(ISNUMBER(OZ80),OZ80*(1+PortfolioFrontier[[#This Row],[P104 Return]]),1+PortfolioFrontier[[#This Row],[P104 Return]])</f>
        <v>1.3620390581902109</v>
      </c>
      <c r="PA81" s="27">
        <f>MAX(PA80,PortfolioFrontier[[#This Row],[P104 Growth]])</f>
        <v>1.6176462594840681</v>
      </c>
      <c r="PB81" s="27">
        <f>PortfolioFrontier[[#This Row],[P104 Growth]]/PortfolioFrontier[[#This Row],[P104 HWM]]-1</f>
        <v>-0.15801180251569991</v>
      </c>
      <c r="PC81" s="28">
        <f>SUMPRODUCT(INDEX(PortfolioRef[[SPY]:[PE]],MATCH(PC$1,PortfolioRef[Reference '#]),0),AssetMonthlyReturns[[#This Row],[SPY]:[PE]])</f>
        <v>2.4024009179275128E-2</v>
      </c>
      <c r="PD81" s="27">
        <f>IF(ISNUMBER(PD80),PD80*(1+PortfolioFrontier[[#This Row],[P105 Return]]),1+PortfolioFrontier[[#This Row],[P105 Return]])</f>
        <v>1.3572722866650353</v>
      </c>
      <c r="PE81" s="27">
        <f>MAX(PE80,PortfolioFrontier[[#This Row],[P105 Growth]])</f>
        <v>1.5867085542337835</v>
      </c>
      <c r="PF81" s="27">
        <f>PortfolioFrontier[[#This Row],[P105 Growth]]/PortfolioFrontier[[#This Row],[P105 HWM]]-1</f>
        <v>-0.1445988722733913</v>
      </c>
      <c r="PG81" s="28">
        <f>SUMPRODUCT(INDEX(PortfolioRef[[SPY]:[PE]],MATCH(PG$1,PortfolioRef[Reference '#]),0),AssetMonthlyReturns[[#This Row],[SPY]:[PE]])</f>
        <v>2.2368004030110734E-2</v>
      </c>
      <c r="PH81" s="27">
        <f>IF(ISNUMBER(PH80),PH80*(1+PortfolioFrontier[[#This Row],[P106 Return]]),1+PortfolioFrontier[[#This Row],[P106 Return]])</f>
        <v>1.3517097383264078</v>
      </c>
      <c r="PI81" s="27">
        <f>MAX(PI80,PortfolioFrontier[[#This Row],[P106 Growth]])</f>
        <v>1.5556887430167754</v>
      </c>
      <c r="PJ81" s="27">
        <f>PortfolioFrontier[[#This Row],[P106 Growth]]/PortfolioFrontier[[#This Row],[P106 HWM]]-1</f>
        <v>-0.13111813375650816</v>
      </c>
      <c r="PK81" s="28">
        <f>SUMPRODUCT(INDEX(PortfolioRef[[SPY]:[PE]],MATCH(PK$1,PortfolioRef[Reference '#]),0),AssetMonthlyReturns[[#This Row],[SPY]:[PE]])</f>
        <v>2.2229822363046547E-2</v>
      </c>
      <c r="PL81" s="27">
        <f>IF(ISNUMBER(PL80),PL80*(1+PortfolioFrontier[[#This Row],[P107 Return]]),1+PortfolioFrontier[[#This Row],[P107 Return]])</f>
        <v>1.3745490295712419</v>
      </c>
      <c r="PM81" s="27">
        <f>MAX(PM80,PortfolioFrontier[[#This Row],[P107 Growth]])</f>
        <v>1.6131964012798079</v>
      </c>
      <c r="PN81" s="27">
        <f>PortfolioFrontier[[#This Row],[P107 Growth]]/PortfolioFrontier[[#This Row],[P107 HWM]]-1</f>
        <v>-0.14793448058726033</v>
      </c>
      <c r="PO81" s="28">
        <f>SUMPRODUCT(INDEX(PortfolioRef[[SPY]:[PE]],MATCH(PO$1,PortfolioRef[Reference '#]),0),AssetMonthlyReturns[[#This Row],[SPY]:[PE]])</f>
        <v>2.0573817213882149E-2</v>
      </c>
      <c r="PP81" s="27">
        <f>IF(ISNUMBER(PP80),PP80*(1+PortfolioFrontier[[#This Row],[P108 Return]]),1+PortfolioFrontier[[#This Row],[P108 Return]])</f>
        <v>1.3691385964809997</v>
      </c>
      <c r="PQ81" s="27">
        <f>MAX(PQ80,PortfolioFrontier[[#This Row],[P108 Growth]])</f>
        <v>1.5818874318633449</v>
      </c>
      <c r="PR81" s="27">
        <f>PortfolioFrontier[[#This Row],[P108 Growth]]/PortfolioFrontier[[#This Row],[P108 HWM]]-1</f>
        <v>-0.1344905023562537</v>
      </c>
      <c r="PS81" s="28">
        <f>SUMPRODUCT(INDEX(PortfolioRef[[SPY]:[PE]],MATCH(PS$1,PortfolioRef[Reference '#]),0),AssetMonthlyReturns[[#This Row],[SPY]:[PE]])</f>
        <v>2.5435160439493554E-2</v>
      </c>
      <c r="PT81" s="27">
        <f>IF(ISNUMBER(PT80),PT80*(1+PortfolioFrontier[[#This Row],[P109 Return]]),1+PortfolioFrontier[[#This Row],[P109 Return]])</f>
        <v>1.3785569175489505</v>
      </c>
      <c r="PU81" s="27">
        <f>MAX(PU80,PortfolioFrontier[[#This Row],[P109 Growth]])</f>
        <v>1.6327835279326679</v>
      </c>
      <c r="PV81" s="27">
        <f>PortfolioFrontier[[#This Row],[P109 Growth]]/PortfolioFrontier[[#This Row],[P109 HWM]]-1</f>
        <v>-0.15570135663090856</v>
      </c>
      <c r="PW81" s="28">
        <f>SUMPRODUCT(INDEX(PortfolioRef[[SPY]:[PE]],MATCH(PW$1,PortfolioRef[Reference '#]),0),AssetMonthlyReturns[[#This Row],[SPY]:[PE]])</f>
        <v>2.3779155290329156E-2</v>
      </c>
      <c r="PX81" s="27">
        <f>IF(ISNUMBER(PX80),PX80*(1+PortfolioFrontier[[#This Row],[P110 Return]]),1+PortfolioFrontier[[#This Row],[P110 Return]])</f>
        <v>1.3737638371720793</v>
      </c>
      <c r="PY81" s="27">
        <f>MAX(PY80,PortfolioFrontier[[#This Row],[P110 Growth]])</f>
        <v>1.6016185143364081</v>
      </c>
      <c r="PZ81" s="27">
        <f>PortfolioFrontier[[#This Row],[P110 Growth]]/PortfolioFrontier[[#This Row],[P110 HWM]]-1</f>
        <v>-0.14226526174913434</v>
      </c>
      <c r="QA81" s="28">
        <f>SUMPRODUCT(INDEX(PortfolioRef[[SPY]:[PE]],MATCH(QA$1,PortfolioRef[Reference '#]),0),AssetMonthlyReturns[[#This Row],[SPY]:[PE]])</f>
        <v>2.2123150141164762E-2</v>
      </c>
      <c r="QB81" s="27">
        <f>IF(ISNUMBER(QB80),QB80*(1+PortfolioFrontier[[#This Row],[P111 Return]]),1+PortfolioFrontier[[#This Row],[P111 Return]])</f>
        <v>1.3681655751724451</v>
      </c>
      <c r="QC81" s="27">
        <f>MAX(QC80,PortfolioFrontier[[#This Row],[P111 Growth]])</f>
        <v>1.5703684845094485</v>
      </c>
      <c r="QD81" s="27">
        <f>PortfolioFrontier[[#This Row],[P111 Growth]]/PortfolioFrontier[[#This Row],[P111 HWM]]-1</f>
        <v>-0.12876144123598332</v>
      </c>
      <c r="QE81" s="28">
        <f>SUMPRODUCT(INDEX(PortfolioRef[[SPY]:[PE]],MATCH(QE$1,PortfolioRef[Reference '#]),0),AssetMonthlyReturns[[#This Row],[SPY]:[PE]])</f>
        <v>2.8640498515940561E-2</v>
      </c>
      <c r="QF81" s="27">
        <f>IF(ISNUMBER(QF80),QF80*(1+PortfolioFrontier[[#This Row],[P112 Return]]),1+PortfolioFrontier[[#This Row],[P112 Return]])</f>
        <v>1.3816707739183685</v>
      </c>
      <c r="QG81" s="27">
        <f>MAX(QG80,PortfolioFrontier[[#This Row],[P112 Growth]])</f>
        <v>1.6517386955477045</v>
      </c>
      <c r="QH81" s="27">
        <f>PortfolioFrontier[[#This Row],[P112 Growth]]/PortfolioFrontier[[#This Row],[P112 HWM]]-1</f>
        <v>-0.1635052338225832</v>
      </c>
      <c r="QI81" s="28">
        <f>SUMPRODUCT(INDEX(PortfolioRef[[SPY]:[PE]],MATCH(QI$1,PortfolioRef[Reference '#]),0),AssetMonthlyReturns[[#This Row],[SPY]:[PE]])</f>
        <v>2.6984493366776163E-2</v>
      </c>
      <c r="QJ81" s="27">
        <f>IF(ISNUMBER(QJ80),QJ80*(1+PortfolioFrontier[[#This Row],[P113 Return]]),1+PortfolioFrontier[[#This Row],[P113 Return]])</f>
        <v>1.3775051382863279</v>
      </c>
      <c r="QK81" s="27">
        <f>MAX(QK80,PortfolioFrontier[[#This Row],[P113 Growth]])</f>
        <v>1.6207454292109018</v>
      </c>
      <c r="QL81" s="27">
        <f>PortfolioFrontier[[#This Row],[P113 Growth]]/PortfolioFrontier[[#This Row],[P113 HWM]]-1</f>
        <v>-0.15007927003255606</v>
      </c>
      <c r="QM81" s="28">
        <f>SUMPRODUCT(INDEX(PortfolioRef[[SPY]:[PE]],MATCH(QM$1,PortfolioRef[Reference '#]),0),AssetMonthlyReturns[[#This Row],[SPY]:[PE]])</f>
        <v>2.5328488217611769E-2</v>
      </c>
      <c r="QN81" s="27">
        <f>IF(ISNUMBER(QN80),QN80*(1+PortfolioFrontier[[#This Row],[P114 Return]]),1+PortfolioFrontier[[#This Row],[P114 Return]])</f>
        <v>1.3725236759363497</v>
      </c>
      <c r="QO81" s="27">
        <f>MAX(QO80,PortfolioFrontier[[#This Row],[P114 Growth]])</f>
        <v>1.5896421022161857</v>
      </c>
      <c r="QP81" s="27">
        <f>PortfolioFrontier[[#This Row],[P114 Growth]]/PortfolioFrontier[[#This Row],[P114 HWM]]-1</f>
        <v>-0.13658321327620992</v>
      </c>
      <c r="QQ81" s="28">
        <f>SUMPRODUCT(INDEX(PortfolioRef[[SPY]:[PE]],MATCH(QQ$1,PortfolioRef[Reference '#]),0),AssetMonthlyReturns[[#This Row],[SPY]:[PE]])</f>
        <v>2.5190306550547582E-2</v>
      </c>
      <c r="QR81" s="27">
        <f>IF(ISNUMBER(QR80),QR80*(1+PortfolioFrontier[[#This Row],[P115 Return]]),1+PortfolioFrontier[[#This Row],[P115 Return]])</f>
        <v>1.3949570148705905</v>
      </c>
      <c r="QS81" s="27">
        <f>MAX(QS80,PortfolioFrontier[[#This Row],[P115 Growth]])</f>
        <v>1.6477351477866757</v>
      </c>
      <c r="QT81" s="27">
        <f>PortfolioFrontier[[#This Row],[P115 Growth]]/PortfolioFrontier[[#This Row],[P115 HWM]]-1</f>
        <v>-0.15340944402116452</v>
      </c>
      <c r="QU81" s="28">
        <f>SUMPRODUCT(INDEX(PortfolioRef[[SPY]:[PE]],MATCH(QU$1,PortfolioRef[Reference '#]),0),AssetMonthlyReturns[[#This Row],[SPY]:[PE]])</f>
        <v>2.3534301401383184E-2</v>
      </c>
      <c r="QV81" s="27">
        <f>IF(ISNUMBER(QV80),QV80*(1+PortfolioFrontier[[#This Row],[P116 Return]]),1+PortfolioFrontier[[#This Row],[P116 Return]])</f>
        <v>1.3901384809323125</v>
      </c>
      <c r="QW81" s="27">
        <f>MAX(QW80,PortfolioFrontier[[#This Row],[P116 Growth]])</f>
        <v>1.6163470917094751</v>
      </c>
      <c r="QX81" s="27">
        <f>PortfolioFrontier[[#This Row],[P116 Growth]]/PortfolioFrontier[[#This Row],[P116 HWM]]-1</f>
        <v>-0.13995051677787884</v>
      </c>
      <c r="QY81" s="28">
        <f>SUMPRODUCT(INDEX(PortfolioRef[[SPY]:[PE]],MATCH(QY$1,PortfolioRef[Reference '#]),0),AssetMonthlyReturns[[#This Row],[SPY]:[PE]])</f>
        <v>2.1878296252218786E-2</v>
      </c>
      <c r="QZ81" s="27">
        <f>IF(ISNUMBER(QZ80),QZ80*(1+PortfolioFrontier[[#This Row],[P117 Return]]),1+PortfolioFrontier[[#This Row],[P117 Return]])</f>
        <v>1.3845054287343914</v>
      </c>
      <c r="RA81" s="27">
        <f>MAX(RA80,PortfolioFrontier[[#This Row],[P117 Growth]])</f>
        <v>1.5848710929942145</v>
      </c>
      <c r="RB81" s="27">
        <f>PortfolioFrontier[[#This Row],[P117 Growth]]/PortfolioFrontier[[#This Row],[P117 HWM]]-1</f>
        <v>-0.1264239502793143</v>
      </c>
      <c r="RC81" s="28">
        <f>SUMPRODUCT(INDEX(PortfolioRef[[SPY]:[PE]],MATCH(RC$1,PortfolioRef[Reference '#]),0),AssetMonthlyReturns[[#This Row],[SPY]:[PE]])</f>
        <v>2.8395644626994586E-2</v>
      </c>
      <c r="RD81" s="27">
        <f>IF(ISNUMBER(RD80),RD80*(1+PortfolioFrontier[[#This Row],[P118 Return]]),1+PortfolioFrontier[[#This Row],[P118 Return]])</f>
        <v>1.3983965679878487</v>
      </c>
      <c r="RE81" s="27">
        <f>MAX(RE80,PortfolioFrontier[[#This Row],[P118 Growth]])</f>
        <v>1.667155293527623</v>
      </c>
      <c r="RF81" s="27">
        <f>PortfolioFrontier[[#This Row],[P118 Growth]]/PortfolioFrontier[[#This Row],[P118 HWM]]-1</f>
        <v>-0.16120797299638079</v>
      </c>
      <c r="RG81" s="28">
        <f>SUMPRODUCT(INDEX(PortfolioRef[[SPY]:[PE]],MATCH(RG$1,PortfolioRef[Reference '#]),0),AssetMonthlyReturns[[#This Row],[SPY]:[PE]])</f>
        <v>2.6739639477830191E-2</v>
      </c>
      <c r="RH81" s="27">
        <f>IF(ISNUMBER(RH80),RH80*(1+PortfolioFrontier[[#This Row],[P119 Return]]),1+PortfolioFrontier[[#This Row],[P119 Return]])</f>
        <v>1.3942121228292725</v>
      </c>
      <c r="RI81" s="27">
        <f>MAX(RI80,PortfolioFrontier[[#This Row],[P119 Growth]])</f>
        <v>1.6359359857167841</v>
      </c>
      <c r="RJ81" s="27">
        <f>PortfolioFrontier[[#This Row],[P119 Growth]]/PortfolioFrontier[[#This Row],[P119 HWM]]-1</f>
        <v>-0.14775875400870309</v>
      </c>
      <c r="RK81" s="28">
        <f>SUMPRODUCT(INDEX(PortfolioRef[[SPY]:[PE]],MATCH(RK$1,PortfolioRef[Reference '#]),0),AssetMonthlyReturns[[#This Row],[SPY]:[PE]])</f>
        <v>2.5083634328665793E-2</v>
      </c>
      <c r="RL81" s="27">
        <f>IF(ISNUMBER(RL80),RL80*(1+PortfolioFrontier[[#This Row],[P120 Return]]),1+PortfolioFrontier[[#This Row],[P120 Return]])</f>
        <v>1.3892022570314162</v>
      </c>
      <c r="RM81" s="27">
        <f>MAX(RM80,PortfolioFrontier[[#This Row],[P120 Growth]])</f>
        <v>1.6046034567476111</v>
      </c>
      <c r="RN81" s="27">
        <f>PortfolioFrontier[[#This Row],[P120 Growth]]/PortfolioFrontier[[#This Row],[P120 HWM]]-1</f>
        <v>-0.13423952117914162</v>
      </c>
      <c r="RO81" s="28">
        <f>SUMPRODUCT(INDEX(PortfolioRef[[SPY]:[PE]],MATCH(RO$1,PortfolioRef[Reference '#]),0),AssetMonthlyReturns[[#This Row],[SPY]:[PE]])</f>
        <v>3.1600982703441596E-2</v>
      </c>
      <c r="RP81" s="27">
        <f>IF(ISNUMBER(RP80),RP80*(1+PortfolioFrontier[[#This Row],[P121 Return]]),1+PortfolioFrontier[[#This Row],[P121 Return]])</f>
        <v>1.400923192948075</v>
      </c>
      <c r="RQ81" s="27">
        <f>MAX(RQ80,PortfolioFrontier[[#This Row],[P121 Growth]])</f>
        <v>1.6859132740659151</v>
      </c>
      <c r="RR81" s="27">
        <f>PortfolioFrontier[[#This Row],[P121 Growth]]/PortfolioFrontier[[#This Row],[P121 HWM]]-1</f>
        <v>-0.16904195814920531</v>
      </c>
      <c r="RS81" s="28">
        <f>SUMPRODUCT(INDEX(PortfolioRef[[SPY]:[PE]],MATCH(RS$1,PortfolioRef[Reference '#]),0),AssetMonthlyReturns[[#This Row],[SPY]:[PE]])</f>
        <v>2.9944977554277198E-2</v>
      </c>
      <c r="RT81" s="27">
        <f>IF(ISNUMBER(RT80),RT80*(1+PortfolioFrontier[[#This Row],[P122 Return]]),1+PortfolioFrontier[[#This Row],[P122 Return]])</f>
        <v>1.3973822588577545</v>
      </c>
      <c r="RU81" s="27">
        <f>MAX(RU80,PortfolioFrontier[[#This Row],[P122 Growth]])</f>
        <v>1.6548910536150563</v>
      </c>
      <c r="RV81" s="27">
        <f>PortfolioFrontier[[#This Row],[P122 Growth]]/PortfolioFrontier[[#This Row],[P122 HWM]]-1</f>
        <v>-0.15560468116301807</v>
      </c>
      <c r="RW81" s="28">
        <f>SUMPRODUCT(INDEX(PortfolioRef[[SPY]:[PE]],MATCH(RW$1,PortfolioRef[Reference '#]),0),AssetMonthlyReturns[[#This Row],[SPY]:[PE]])</f>
        <v>2.82889724051128E-2</v>
      </c>
      <c r="RX81" s="27">
        <f>IF(ISNUMBER(RX80),RX80*(1+PortfolioFrontier[[#This Row],[P123 Return]]),1+PortfolioFrontier[[#This Row],[P123 Return]])</f>
        <v>1.3930058871374822</v>
      </c>
      <c r="RY81" s="27">
        <f>MAX(RY80,PortfolioFrontier[[#This Row],[P123 Growth]])</f>
        <v>1.6237298558231279</v>
      </c>
      <c r="RZ81" s="27">
        <f>PortfolioFrontier[[#This Row],[P123 Growth]]/PortfolioFrontier[[#This Row],[P123 HWM]]-1</f>
        <v>-0.14209504608060763</v>
      </c>
      <c r="SA81" s="28">
        <f>SUMPRODUCT(INDEX(PortfolioRef[[SPY]:[PE]],MATCH(SA$1,PortfolioRef[Reference '#]),0),AssetMonthlyReturns[[#This Row],[SPY]:[PE]])</f>
        <v>2.8150790738048614E-2</v>
      </c>
      <c r="SB81" s="27">
        <f>IF(ISNUMBER(SB80),SB80*(1+PortfolioFrontier[[#This Row],[P124 Return]]),1+PortfolioFrontier[[#This Row],[P124 Return]])</f>
        <v>1.4150027060235404</v>
      </c>
      <c r="SC81" s="27">
        <f>MAX(SC80,PortfolioFrontier[[#This Row],[P124 Growth]])</f>
        <v>1.6823821965094672</v>
      </c>
      <c r="SD81" s="27">
        <f>PortfolioFrontier[[#This Row],[P124 Growth]]/PortfolioFrontier[[#This Row],[P124 HWM]]-1</f>
        <v>-0.15892910127120585</v>
      </c>
      <c r="SE81" s="28">
        <f>SUMPRODUCT(INDEX(PortfolioRef[[SPY]:[PE]],MATCH(SE$1,PortfolioRef[Reference '#]),0),AssetMonthlyReturns[[#This Row],[SPY]:[PE]])</f>
        <v>2.6494785588884219E-2</v>
      </c>
      <c r="SF81" s="27">
        <f>IF(ISNUMBER(SF80),SF80*(1+PortfolioFrontier[[#This Row],[P125 Return]]),1+PortfolioFrontier[[#This Row],[P125 Return]])</f>
        <v>1.4108002599576144</v>
      </c>
      <c r="SG81" s="27">
        <f>MAX(SG80,PortfolioFrontier[[#This Row],[P125 Growth]])</f>
        <v>1.6509411354388694</v>
      </c>
      <c r="SH81" s="27">
        <f>PortfolioFrontier[[#This Row],[P125 Growth]]/PortfolioFrontier[[#This Row],[P125 HWM]]-1</f>
        <v>-0.14545695805042647</v>
      </c>
      <c r="SI81" s="28">
        <f>SUMPRODUCT(INDEX(PortfolioRef[[SPY]:[PE]],MATCH(SI$1,PortfolioRef[Reference '#]),0),AssetMonthlyReturns[[#This Row],[SPY]:[PE]])</f>
        <v>2.4838780439719821E-2</v>
      </c>
      <c r="SJ81" s="27">
        <f>IF(ISNUMBER(SJ80),SJ80*(1+PortfolioFrontier[[#This Row],[P126 Return]]),1+PortfolioFrontier[[#This Row],[P126 Return]])</f>
        <v>1.4057628697813593</v>
      </c>
      <c r="SK81" s="27">
        <f>MAX(SK80,PortfolioFrontier[[#This Row],[P126 Growth]])</f>
        <v>1.6193836797956254</v>
      </c>
      <c r="SL81" s="27">
        <f>PortfolioFrontier[[#This Row],[P126 Growth]]/PortfolioFrontier[[#This Row],[P126 HWM]]-1</f>
        <v>-0.13191488384100925</v>
      </c>
      <c r="SM81" s="28">
        <f>SUMPRODUCT(INDEX(PortfolioRef[[SPY]:[PE]],MATCH(SM$1,PortfolioRef[Reference '#]),0),AssetMonthlyReturns[[#This Row],[SPY]:[PE]])</f>
        <v>3.1356128814495621E-2</v>
      </c>
      <c r="SN81" s="27">
        <f>IF(ISNUMBER(SN80),SN80*(1+PortfolioFrontier[[#This Row],[P127 Return]]),1+PortfolioFrontier[[#This Row],[P127 Return]])</f>
        <v>1.4178518039889809</v>
      </c>
      <c r="SO81" s="27">
        <f>MAX(SO80,PortfolioFrontier[[#This Row],[P127 Growth]])</f>
        <v>1.7016086575400751</v>
      </c>
      <c r="SP81" s="27">
        <f>PortfolioFrontier[[#This Row],[P127 Growth]]/PortfolioFrontier[[#This Row],[P127 HWM]]-1</f>
        <v>-0.16675799825872206</v>
      </c>
      <c r="SQ81" s="28">
        <f>SUMPRODUCT(INDEX(PortfolioRef[[SPY]:[PE]],MATCH(SQ$1,PortfolioRef[Reference '#]),0),AssetMonthlyReturns[[#This Row],[SPY]:[PE]])</f>
        <v>2.9700123665331223E-2</v>
      </c>
      <c r="SR81" s="27">
        <f>IF(ISNUMBER(SR80),SR80*(1+PortfolioFrontier[[#This Row],[P128 Return]]),1+PortfolioFrontier[[#This Row],[P128 Return]])</f>
        <v>1.4142997994700797</v>
      </c>
      <c r="SS81" s="27">
        <f>MAX(SS80,PortfolioFrontier[[#This Row],[P128 Growth]])</f>
        <v>1.6703618996398835</v>
      </c>
      <c r="ST81" s="27">
        <f>PortfolioFrontier[[#This Row],[P128 Growth]]/PortfolioFrontier[[#This Row],[P128 HWM]]-1</f>
        <v>-0.15329737838549162</v>
      </c>
      <c r="SU81" s="28">
        <f>SUMPRODUCT(INDEX(PortfolioRef[[SPY]:[PE]],MATCH(SU$1,PortfolioRef[Reference '#]),0),AssetMonthlyReturns[[#This Row],[SPY]:[PE]])</f>
        <v>2.8044118516166824E-2</v>
      </c>
      <c r="SV81" s="27">
        <f>IF(ISNUMBER(SV80),SV80*(1+PortfolioFrontier[[#This Row],[P129 Return]]),1+PortfolioFrontier[[#This Row],[P129 Return]])</f>
        <v>1.4099025808097221</v>
      </c>
      <c r="SW81" s="27">
        <f>MAX(SW80,PortfolioFrontier[[#This Row],[P129 Growth]])</f>
        <v>1.6389727481356613</v>
      </c>
      <c r="SX81" s="27">
        <f>PortfolioFrontier[[#This Row],[P129 Growth]]/PortfolioFrontier[[#This Row],[P129 HWM]]-1</f>
        <v>-0.13976447600273256</v>
      </c>
      <c r="SY81" s="28">
        <f>SUMPRODUCT(INDEX(PortfolioRef[[SPY]:[PE]],MATCH(SY$1,PortfolioRef[Reference '#]),0),AssetMonthlyReturns[[#This Row],[SPY]:[PE]])</f>
        <v>3.4561466890942624E-2</v>
      </c>
      <c r="SZ81" s="27">
        <f>IF(ISNUMBER(SZ80),SZ80*(1+PortfolioFrontier[[#This Row],[P130 Return]]),1+PortfolioFrontier[[#This Row],[P130 Return]])</f>
        <v>1.4197695573716409</v>
      </c>
      <c r="TA81" s="27">
        <f>MAX(TA80,PortfolioFrontier[[#This Row],[P130 Growth]])</f>
        <v>1.720142179322633</v>
      </c>
      <c r="TB81" s="27">
        <f>PortfolioFrontier[[#This Row],[P130 Growth]]/PortfolioFrontier[[#This Row],[P130 HWM]]-1</f>
        <v>-0.174620810745583</v>
      </c>
      <c r="TC81" s="28">
        <f>SUMPRODUCT(INDEX(PortfolioRef[[SPY]:[PE]],MATCH(TC$1,PortfolioRef[Reference '#]),0),AssetMonthlyReturns[[#This Row],[SPY]:[PE]])</f>
        <v>3.2905461741778233E-2</v>
      </c>
      <c r="TD81" s="27">
        <f>IF(ISNUMBER(TD80),TD80*(1+PortfolioFrontier[[#This Row],[P131 Return]]),1+PortfolioFrontier[[#This Row],[P131 Return]])</f>
        <v>1.416876708110155</v>
      </c>
      <c r="TE81" s="27">
        <f>MAX(TE80,PortfolioFrontier[[#This Row],[P131 Growth]])</f>
        <v>1.6891185966988822</v>
      </c>
      <c r="TF81" s="27">
        <f>PortfolioFrontier[[#This Row],[P131 Growth]]/PortfolioFrontier[[#This Row],[P131 HWM]]-1</f>
        <v>-0.16117393362478005</v>
      </c>
      <c r="TG81" s="28">
        <f>SUMPRODUCT(INDEX(PortfolioRef[[SPY]:[PE]],MATCH(TG$1,PortfolioRef[Reference '#]),0),AssetMonthlyReturns[[#This Row],[SPY]:[PE]])</f>
        <v>3.1249456592613835E-2</v>
      </c>
      <c r="TH81" s="27">
        <f>IF(ISNUMBER(TH80),TH80*(1+PortfolioFrontier[[#This Row],[P132 Return]]),1+PortfolioFrontier[[#This Row],[P132 Return]])</f>
        <v>1.4131292947176377</v>
      </c>
      <c r="TI81" s="27">
        <f>MAX(TI80,PortfolioFrontier[[#This Row],[P132 Growth]])</f>
        <v>1.6579261593145806</v>
      </c>
      <c r="TJ81" s="27">
        <f>PortfolioFrontier[[#This Row],[P132 Growth]]/PortfolioFrontier[[#This Row],[P132 HWM]]-1</f>
        <v>-0.14765245316965547</v>
      </c>
      <c r="TK81" s="28">
        <f>SUMPRODUCT(INDEX(PortfolioRef[[SPY]:[PE]],MATCH(TK$1,PortfolioRef[Reference '#]),0),AssetMonthlyReturns[[#This Row],[SPY]:[PE]])</f>
        <v>3.1111274925549645E-2</v>
      </c>
      <c r="TL81" s="27">
        <f>IF(ISNUMBER(TL80),TL80*(1+PortfolioFrontier[[#This Row],[P133 Return]]),1+PortfolioFrontier[[#This Row],[P133 Return]])</f>
        <v>1.4346588935185545</v>
      </c>
      <c r="TM81" s="27">
        <f>MAX(TM80,PortfolioFrontier[[#This Row],[P133 Growth]])</f>
        <v>1.7171102853087914</v>
      </c>
      <c r="TN81" s="27">
        <f>PortfolioFrontier[[#This Row],[P133 Growth]]/PortfolioFrontier[[#This Row],[P133 HWM]]-1</f>
        <v>-0.16449228346415912</v>
      </c>
      <c r="TO81" s="28">
        <f>SUMPRODUCT(INDEX(PortfolioRef[[SPY]:[PE]],MATCH(TO$1,PortfolioRef[Reference '#]),0),AssetMonthlyReturns[[#This Row],[SPY]:[PE]])</f>
        <v>2.945526977638525E-2</v>
      </c>
      <c r="TP81" s="27">
        <f>IF(ISNUMBER(TP80),TP80*(1+PortfolioFrontier[[#This Row],[P134 Return]]),1+PortfolioFrontier[[#This Row],[P134 Return]])</f>
        <v>1.4310965781258307</v>
      </c>
      <c r="TQ81" s="27">
        <f>MAX(TQ80,PortfolioFrontier[[#This Row],[P134 Growth]])</f>
        <v>1.6856432974461595</v>
      </c>
      <c r="TR81" s="27">
        <f>PortfolioFrontier[[#This Row],[P134 Growth]]/PortfolioFrontier[[#This Row],[P134 HWM]]-1</f>
        <v>-0.15100865035086652</v>
      </c>
      <c r="TS81" s="28">
        <f>SUMPRODUCT(INDEX(PortfolioRef[[SPY]:[PE]],MATCH(TS$1,PortfolioRef[Reference '#]),0),AssetMonthlyReturns[[#This Row],[SPY]:[PE]])</f>
        <v>2.7799264627220856E-2</v>
      </c>
      <c r="TT81" s="27">
        <f>IF(ISNUMBER(TT80),TT80*(1+PortfolioFrontier[[#This Row],[P135 Return]]),1+PortfolioFrontier[[#This Row],[P135 Return]])</f>
        <v>1.4266793447896078</v>
      </c>
      <c r="TU81" s="27">
        <f>MAX(TU80,PortfolioFrontier[[#This Row],[P135 Growth]])</f>
        <v>1.6540304901705998</v>
      </c>
      <c r="TV81" s="27">
        <f>PortfolioFrontier[[#This Row],[P135 Growth]]/PortfolioFrontier[[#This Row],[P135 HWM]]-1</f>
        <v>-0.13745281403944531</v>
      </c>
      <c r="TW81" s="28">
        <f>SUMPRODUCT(INDEX(PortfolioRef[[SPY]:[PE]],MATCH(TW$1,PortfolioRef[Reference '#]),0),AssetMonthlyReturns[[#This Row],[SPY]:[PE]])</f>
        <v>3.4316613001996649E-2</v>
      </c>
      <c r="TX81" s="27">
        <f>IF(ISNUMBER(TX80),TX80*(1+PortfolioFrontier[[#This Row],[P136 Return]]),1+PortfolioFrontier[[#This Row],[P136 Return]])</f>
        <v>1.4368955827851408</v>
      </c>
      <c r="TY81" s="27">
        <f>MAX(TY80,PortfolioFrontier[[#This Row],[P136 Growth]])</f>
        <v>1.7361155602147582</v>
      </c>
      <c r="TZ81" s="27">
        <f>PortfolioFrontier[[#This Row],[P136 Growth]]/PortfolioFrontier[[#This Row],[P136 HWM]]-1</f>
        <v>-0.17235026532024389</v>
      </c>
      <c r="UA81" s="28">
        <f>SUMPRODUCT(INDEX(PortfolioRef[[SPY]:[PE]],MATCH(UA$1,PortfolioRef[Reference '#]),0),AssetMonthlyReturns[[#This Row],[SPY]:[PE]])</f>
        <v>3.2660607852832257E-2</v>
      </c>
      <c r="UB81" s="27">
        <f>IF(ISNUMBER(UB80),UB80*(1+PortfolioFrontier[[#This Row],[P137 Return]]),1+PortfolioFrontier[[#This Row],[P137 Return]])</f>
        <v>1.4339996381710785</v>
      </c>
      <c r="UC81" s="27">
        <f>MAX(UC80,PortfolioFrontier[[#This Row],[P137 Growth]])</f>
        <v>1.7048691873265751</v>
      </c>
      <c r="UD81" s="27">
        <f>PortfolioFrontier[[#This Row],[P137 Growth]]/PortfolioFrontier[[#This Row],[P137 HWM]]-1</f>
        <v>-0.1588799605090232</v>
      </c>
      <c r="UE81" s="28">
        <f>SUMPRODUCT(INDEX(PortfolioRef[[SPY]:[PE]],MATCH(UE$1,PortfolioRef[Reference '#]),0),AssetMonthlyReturns[[#This Row],[SPY]:[PE]])</f>
        <v>3.1004602703667859E-2</v>
      </c>
      <c r="UF81" s="27">
        <f>IF(ISNUMBER(UF80),UF80*(1+PortfolioFrontier[[#This Row],[P138 Return]]),1+PortfolioFrontier[[#This Row],[P138 Return]])</f>
        <v>1.4302391773145078</v>
      </c>
      <c r="UG81" s="27">
        <f>MAX(UG80,PortfolioFrontier[[#This Row],[P138 Growth]])</f>
        <v>1.6734502822541619</v>
      </c>
      <c r="UH81" s="27">
        <f>PortfolioFrontier[[#This Row],[P138 Growth]]/PortfolioFrontier[[#This Row],[P138 HWM]]-1</f>
        <v>-0.14533512439464003</v>
      </c>
      <c r="UI81" s="28">
        <f>SUMPRODUCT(INDEX(PortfolioRef[[SPY]:[PE]],MATCH(UI$1,PortfolioRef[Reference '#]),0),AssetMonthlyReturns[[#This Row],[SPY]:[PE]])</f>
        <v>3.7521951078443666E-2</v>
      </c>
      <c r="UJ81" s="27">
        <f>IF(ISNUMBER(UJ80),UJ80*(1+PortfolioFrontier[[#This Row],[P139 Return]]),1+PortfolioFrontier[[#This Row],[P139 Return]])</f>
        <v>1.4381830338479307</v>
      </c>
      <c r="UK81" s="27">
        <f>MAX(UK80,PortfolioFrontier[[#This Row],[P139 Growth]])</f>
        <v>1.7543965710992384</v>
      </c>
      <c r="UL81" s="27">
        <f>PortfolioFrontier[[#This Row],[P139 Growth]]/PortfolioFrontier[[#This Row],[P139 HWM]]-1</f>
        <v>-0.18024062658374918</v>
      </c>
      <c r="UM81" s="28">
        <f>SUMPRODUCT(INDEX(PortfolioRef[[SPY]:[PE]],MATCH(UM$1,PortfolioRef[Reference '#]),0),AssetMonthlyReturns[[#This Row],[SPY]:[PE]])</f>
        <v>3.5865945929279261E-2</v>
      </c>
      <c r="UN81" s="27">
        <f>IF(ISNUMBER(UN80),UN80*(1+PortfolioFrontier[[#This Row],[P140 Return]]),1+PortfolioFrontier[[#This Row],[P140 Return]])</f>
        <v>1.4359614263803373</v>
      </c>
      <c r="UO81" s="27">
        <f>MAX(UO80,PortfolioFrontier[[#This Row],[P140 Growth]])</f>
        <v>1.7234002022793458</v>
      </c>
      <c r="UP81" s="27">
        <f>PortfolioFrontier[[#This Row],[P140 Growth]]/PortfolioFrontier[[#This Row],[P140 HWM]]-1</f>
        <v>-0.16678585479962571</v>
      </c>
      <c r="UQ81" s="28">
        <f>SUMPRODUCT(INDEX(PortfolioRef[[SPY]:[PE]],MATCH(UQ$1,PortfolioRef[Reference '#]),0),AssetMonthlyReturns[[#This Row],[SPY]:[PE]])</f>
        <v>3.420994078011487E-2</v>
      </c>
      <c r="UR81" s="27">
        <f>IF(ISNUMBER(UR80),UR80*(1+PortfolioFrontier[[#This Row],[P141 Return]]),1+PortfolioFrontier[[#This Row],[P141 Return]])</f>
        <v>1.4328666585362078</v>
      </c>
      <c r="US81" s="27">
        <f>MAX(US80,PortfolioFrontier[[#This Row],[P141 Growth]])</f>
        <v>1.6922041432386774</v>
      </c>
      <c r="UT81" s="27">
        <f>PortfolioFrontier[[#This Row],[P141 Growth]]/PortfolioFrontier[[#This Row],[P141 HWM]]-1</f>
        <v>-0.15325425465873677</v>
      </c>
    </row>
    <row r="82" spans="2:566" x14ac:dyDescent="0.2">
      <c r="B82" s="41">
        <f>AssetMonthlyReturns[[#This Row],[Date]]</f>
        <v>44866</v>
      </c>
      <c r="C82" s="28">
        <f>SUMPRODUCT(INDEX(PortfolioRef[[SPY]:[PE]],MATCH(C$1,PortfolioRef[Reference '#]),0),AssetMonthlyReturns[[#This Row],[SPY]:[PE]])</f>
        <v>5.4468292965733259E-2</v>
      </c>
      <c r="D82" s="29">
        <f>IF(ISNUMBER(D81),D81*(1+PortfolioFrontier[[#This Row],[P1 Return]]),1+PortfolioFrontier[[#This Row],[P1 Return]])</f>
        <v>1.7445767670031673</v>
      </c>
      <c r="E82" s="29">
        <f>MAX(E81,PortfolioFrontier[[#This Row],[P1 Growth]])</f>
        <v>1.9531239567566241</v>
      </c>
      <c r="F82" s="29">
        <f>PortfolioFrontier[[#This Row],[P1 Growth]]/PortfolioFrontier[[#This Row],[P1 HWM]]-1</f>
        <v>-0.106776218187284</v>
      </c>
      <c r="G82" s="28">
        <f>SUMPRODUCT(INDEX(PortfolioRef[[SPY]:[PE]],MATCH(G$1,PortfolioRef[Reference '#]),0),AssetMonthlyReturns[[#This Row],[SPY]:[PE]])</f>
        <v>5.358844745693718E-2</v>
      </c>
      <c r="H82" s="27">
        <f>IF(ISNUMBER(H81),H81*(1+PortfolioFrontier[[#This Row],[P2 Return]]),1+PortfolioFrontier[[#This Row],[P2 Return]])</f>
        <v>1.6808803503592613</v>
      </c>
      <c r="I82" s="27">
        <f>MAX(I81,PortfolioFrontier[[#This Row],[P2 Growth]])</f>
        <v>1.880902671218339</v>
      </c>
      <c r="J82" s="27">
        <f>PortfolioFrontier[[#This Row],[P2 Growth]]/PortfolioFrontier[[#This Row],[P2 HWM]]-1</f>
        <v>-0.10634379115933468</v>
      </c>
      <c r="K82" s="28">
        <f>SUMPRODUCT(INDEX(PortfolioRef[[SPY]:[PE]],MATCH(K$1,PortfolioRef[Reference '#]),0),AssetMonthlyReturns[[#This Row],[SPY]:[PE]])</f>
        <v>5.5934646927511891E-2</v>
      </c>
      <c r="L82" s="27">
        <f>IF(ISNUMBER(L81),L81*(1+PortfolioFrontier[[#This Row],[P3 Return]]),1+PortfolioFrontier[[#This Row],[P3 Return]])</f>
        <v>1.7050741113487278</v>
      </c>
      <c r="M82" s="27">
        <f>MAX(M81,PortfolioFrontier[[#This Row],[P3 Growth]])</f>
        <v>1.8984394560781046</v>
      </c>
      <c r="N82" s="27">
        <f>PortfolioFrontier[[#This Row],[P3 Growth]]/PortfolioFrontier[[#This Row],[P3 HWM]]-1</f>
        <v>-0.10185489145323656</v>
      </c>
      <c r="O82" s="28">
        <f>SUMPRODUCT(INDEX(PortfolioRef[[SPY]:[PE]],MATCH(O$1,PortfolioRef[Reference '#]),0),AssetMonthlyReturns[[#This Row],[SPY]:[PE]])</f>
        <v>5.4761748490857354E-2</v>
      </c>
      <c r="P82" s="27">
        <f>IF(ISNUMBER(P81),P81*(1+PortfolioFrontier[[#This Row],[P4 Return]]),1+PortfolioFrontier[[#This Row],[P4 Return]])</f>
        <v>1.7056389572230191</v>
      </c>
      <c r="Q82" s="27">
        <f>MAX(Q81,PortfolioFrontier[[#This Row],[P4 Growth]])</f>
        <v>1.9193367929729268</v>
      </c>
      <c r="R82" s="27">
        <f>PortfolioFrontier[[#This Row],[P4 Growth]]/PortfolioFrontier[[#This Row],[P4 HWM]]-1</f>
        <v>-0.1113394150168423</v>
      </c>
      <c r="S82" s="28">
        <f>SUMPRODUCT(INDEX(PortfolioRef[[SPY]:[PE]],MATCH(S$1,PortfolioRef[Reference '#]),0),AssetMonthlyReturns[[#This Row],[SPY]:[PE]])</f>
        <v>5.346660802304451E-2</v>
      </c>
      <c r="T82" s="27">
        <f>IF(ISNUMBER(T81),T81*(1+PortfolioFrontier[[#This Row],[P5 Return]]),1+PortfolioFrontier[[#This Row],[P5 Return]])</f>
        <v>1.6995801678764715</v>
      </c>
      <c r="U82" s="27">
        <f>MAX(U81,PortfolioFrontier[[#This Row],[P5 Growth]])</f>
        <v>1.8841834525169079</v>
      </c>
      <c r="V82" s="27">
        <f>PortfolioFrontier[[#This Row],[P5 Growth]]/PortfolioFrontier[[#This Row],[P5 HWM]]-1</f>
        <v>-9.7975218067986813E-2</v>
      </c>
      <c r="W82" s="28">
        <f>SUMPRODUCT(INDEX(PortfolioRef[[SPY]:[PE]],MATCH(W$1,PortfolioRef[Reference '#]),0),AssetMonthlyReturns[[#This Row],[SPY]:[PE]])</f>
        <v>5.2708601948141101E-2</v>
      </c>
      <c r="X82" s="27">
        <f>IF(ISNUMBER(X81),X81*(1+PortfolioFrontier[[#This Row],[P6 Return]]),1+PortfolioFrontier[[#This Row],[P6 Return]])</f>
        <v>1.6188209884376286</v>
      </c>
      <c r="Y82" s="27">
        <f>MAX(Y81,PortfolioFrontier[[#This Row],[P6 Growth]])</f>
        <v>1.8107203423144032</v>
      </c>
      <c r="Z82" s="27">
        <f>PortfolioFrontier[[#This Row],[P6 Growth]]/PortfolioFrontier[[#This Row],[P6 HWM]]-1</f>
        <v>-0.10597956481313686</v>
      </c>
      <c r="AA82" s="28">
        <f>SUMPRODUCT(INDEX(PortfolioRef[[SPY]:[PE]],MATCH(AA$1,PortfolioRef[Reference '#]),0),AssetMonthlyReturns[[#This Row],[SPY]:[PE]])</f>
        <v>5.5054801418715826E-2</v>
      </c>
      <c r="AB82" s="27">
        <f>IF(ISNUMBER(AB81),AB81*(1+PortfolioFrontier[[#This Row],[P7 Return]]),1+PortfolioFrontier[[#This Row],[P7 Return]])</f>
        <v>1.6421340651110754</v>
      </c>
      <c r="AC82" s="27">
        <f>MAX(AC81,PortfolioFrontier[[#This Row],[P7 Growth]])</f>
        <v>1.8276317298765399</v>
      </c>
      <c r="AD82" s="27">
        <f>PortfolioFrontier[[#This Row],[P7 Growth]]/PortfolioFrontier[[#This Row],[P7 HWM]]-1</f>
        <v>-0.10149619408172306</v>
      </c>
      <c r="AE82" s="28">
        <f>SUMPRODUCT(INDEX(PortfolioRef[[SPY]:[PE]],MATCH(AE$1,PortfolioRef[Reference '#]),0),AssetMonthlyReturns[[#This Row],[SPY]:[PE]])</f>
        <v>5.3881902982061275E-2</v>
      </c>
      <c r="AF82" s="27">
        <f>IF(ISNUMBER(AF81),AF81*(1+PortfolioFrontier[[#This Row],[P8 Return]]),1+PortfolioFrontier[[#This Row],[P8 Return]])</f>
        <v>1.6432412506634642</v>
      </c>
      <c r="AG82" s="27">
        <f>MAX(AG81,PortfolioFrontier[[#This Row],[P8 Growth]])</f>
        <v>1.8482324314062795</v>
      </c>
      <c r="AH82" s="27">
        <f>PortfolioFrontier[[#This Row],[P8 Growth]]/PortfolioFrontier[[#This Row],[P8 HWM]]-1</f>
        <v>-0.11091201369453407</v>
      </c>
      <c r="AI82" s="28">
        <f>SUMPRODUCT(INDEX(PortfolioRef[[SPY]:[PE]],MATCH(AI$1,PortfolioRef[Reference '#]),0),AssetMonthlyReturns[[#This Row],[SPY]:[PE]])</f>
        <v>5.2586762514248431E-2</v>
      </c>
      <c r="AJ82" s="27">
        <f>IF(ISNUMBER(AJ81),AJ81*(1+PortfolioFrontier[[#This Row],[P9 Return]]),1+PortfolioFrontier[[#This Row],[P9 Return]])</f>
        <v>1.6368565426172756</v>
      </c>
      <c r="AK82" s="27">
        <f>MAX(AK81,PortfolioFrontier[[#This Row],[P9 Growth]])</f>
        <v>1.8139467261629987</v>
      </c>
      <c r="AL82" s="27">
        <f>PortfolioFrontier[[#This Row],[P9 Growth]]/PortfolioFrontier[[#This Row],[P9 HWM]]-1</f>
        <v>-9.7627003589194739E-2</v>
      </c>
      <c r="AM82" s="28">
        <f>SUMPRODUCT(INDEX(PortfolioRef[[SPY]:[PE]],MATCH(AM$1,PortfolioRef[Reference '#]),0),AssetMonthlyReturns[[#This Row],[SPY]:[PE]])</f>
        <v>5.7401000889290538E-2</v>
      </c>
      <c r="AN82" s="27">
        <f>IF(ISNUMBER(AN81),AN81*(1+PortfolioFrontier[[#This Row],[P10 Return]]),1+PortfolioFrontier[[#This Row],[P10 Return]])</f>
        <v>1.6653970058751602</v>
      </c>
      <c r="AO82" s="27">
        <f>MAX(AO81,PortfolioFrontier[[#This Row],[P10 Growth]])</f>
        <v>1.8443368551596837</v>
      </c>
      <c r="AP82" s="27">
        <f>PortfolioFrontier[[#This Row],[P10 Growth]]/PortfolioFrontier[[#This Row],[P10 HWM]]-1</f>
        <v>-9.7021240335746994E-2</v>
      </c>
      <c r="AQ82" s="28">
        <f>SUMPRODUCT(INDEX(PortfolioRef[[SPY]:[PE]],MATCH(AQ$1,PortfolioRef[Reference '#]),0),AssetMonthlyReturns[[#This Row],[SPY]:[PE]])</f>
        <v>5.6228102452635993E-2</v>
      </c>
      <c r="AR82" s="27">
        <f>IF(ISNUMBER(AR81),AR81*(1+PortfolioFrontier[[#This Row],[P11 Return]]),1+PortfolioFrontier[[#This Row],[P11 Return]])</f>
        <v>1.6668661636695321</v>
      </c>
      <c r="AS82" s="27">
        <f>MAX(AS81,PortfolioFrontier[[#This Row],[P11 Growth]])</f>
        <v>1.865449984246593</v>
      </c>
      <c r="AT82" s="27">
        <f>PortfolioFrontier[[#This Row],[P11 Growth]]/PortfolioFrontier[[#This Row],[P11 HWM]]-1</f>
        <v>-0.10645357541293921</v>
      </c>
      <c r="AU82" s="28">
        <f>SUMPRODUCT(INDEX(PortfolioRef[[SPY]:[PE]],MATCH(AU$1,PortfolioRef[Reference '#]),0),AssetMonthlyReturns[[#This Row],[SPY]:[PE]])</f>
        <v>5.4932961984823149E-2</v>
      </c>
      <c r="AV82" s="27">
        <f>IF(ISNUMBER(AV81),AV81*(1+PortfolioFrontier[[#This Row],[P12 Return]]),1+PortfolioFrontier[[#This Row],[P12 Return]])</f>
        <v>1.6604315204225986</v>
      </c>
      <c r="AW82" s="27">
        <f>MAX(AW81,PortfolioFrontier[[#This Row],[P12 Growth]])</f>
        <v>1.8309154354259589</v>
      </c>
      <c r="AX82" s="27">
        <f>PortfolioFrontier[[#This Row],[P12 Growth]]/PortfolioFrontier[[#This Row],[P12 HWM]]-1</f>
        <v>-9.3114030121056679E-2</v>
      </c>
      <c r="AY82" s="28">
        <f>SUMPRODUCT(INDEX(PortfolioRef[[SPY]:[PE]],MATCH(AY$1,PortfolioRef[Reference '#]),0),AssetMonthlyReturns[[#This Row],[SPY]:[PE]])</f>
        <v>5.5055204015981449E-2</v>
      </c>
      <c r="AZ82" s="27">
        <f>IF(ISNUMBER(AZ81),AZ81*(1+PortfolioFrontier[[#This Row],[P13 Return]]),1+PortfolioFrontier[[#This Row],[P13 Return]])</f>
        <v>1.6672381813057644</v>
      </c>
      <c r="BA82" s="27">
        <f>MAX(BA81,PortfolioFrontier[[#This Row],[P13 Growth]])</f>
        <v>1.8858075751364967</v>
      </c>
      <c r="BB82" s="27">
        <f>PortfolioFrontier[[#This Row],[P13 Growth]]/PortfolioFrontier[[#This Row],[P13 HWM]]-1</f>
        <v>-0.11590227800146147</v>
      </c>
      <c r="BC82" s="28">
        <f>SUMPRODUCT(INDEX(PortfolioRef[[SPY]:[PE]],MATCH(BC$1,PortfolioRef[Reference '#]),0),AssetMonthlyReturns[[#This Row],[SPY]:[PE]])</f>
        <v>5.3760063548168605E-2</v>
      </c>
      <c r="BD82" s="27">
        <f>IF(ISNUMBER(BD81),BD81*(1+PortfolioFrontier[[#This Row],[P14 Return]]),1+PortfolioFrontier[[#This Row],[P14 Return]])</f>
        <v>1.661575365968589</v>
      </c>
      <c r="BE82" s="27">
        <f>MAX(BE81,PortfolioFrontier[[#This Row],[P14 Growth]])</f>
        <v>1.8515113734383843</v>
      </c>
      <c r="BF82" s="27">
        <f>PortfolioFrontier[[#This Row],[P14 Growth]]/PortfolioFrontier[[#This Row],[P14 HWM]]-1</f>
        <v>-0.10258430501405513</v>
      </c>
      <c r="BG82" s="28">
        <f>SUMPRODUCT(INDEX(PortfolioRef[[SPY]:[PE]],MATCH(BG$1,PortfolioRef[Reference '#]),0),AssetMonthlyReturns[[#This Row],[SPY]:[PE]])</f>
        <v>5.2464923080355753E-2</v>
      </c>
      <c r="BH82" s="27">
        <f>IF(ISNUMBER(BH81),BH81*(1+PortfolioFrontier[[#This Row],[P15 Return]]),1+PortfolioFrontier[[#This Row],[P15 Return]])</f>
        <v>1.6549253799734498</v>
      </c>
      <c r="BI82" s="27">
        <f>MAX(BI81,PortfolioFrontier[[#This Row],[P15 Growth]])</f>
        <v>1.8170439473092146</v>
      </c>
      <c r="BJ82" s="27">
        <f>PortfolioFrontier[[#This Row],[P15 Growth]]/PortfolioFrontier[[#This Row],[P15 HWM]]-1</f>
        <v>-8.9221049152850451E-2</v>
      </c>
      <c r="BK82" s="28">
        <f>SUMPRODUCT(INDEX(PortfolioRef[[SPY]:[PE]],MATCH(BK$1,PortfolioRef[Reference '#]),0),AssetMonthlyReturns[[#This Row],[SPY]:[PE]])</f>
        <v>5.1828756439345036E-2</v>
      </c>
      <c r="BL82" s="27">
        <f>IF(ISNUMBER(BL81),BL81*(1+PortfolioFrontier[[#This Row],[P16 Return]]),1+PortfolioFrontier[[#This Row],[P16 Return]])</f>
        <v>1.5583903035555011</v>
      </c>
      <c r="BM82" s="27">
        <f>MAX(BM81,PortfolioFrontier[[#This Row],[P16 Growth]])</f>
        <v>1.7425494832470445</v>
      </c>
      <c r="BN82" s="27">
        <f>PortfolioFrontier[[#This Row],[P16 Growth]]/PortfolioFrontier[[#This Row],[P16 HWM]]-1</f>
        <v>-0.10568375903356475</v>
      </c>
      <c r="BO82" s="28">
        <f>SUMPRODUCT(INDEX(PortfolioRef[[SPY]:[PE]],MATCH(BO$1,PortfolioRef[Reference '#]),0),AssetMonthlyReturns[[#This Row],[SPY]:[PE]])</f>
        <v>5.4174955909919748E-2</v>
      </c>
      <c r="BP82" s="27">
        <f>IF(ISNUMBER(BP81),BP81*(1+PortfolioFrontier[[#This Row],[P17 Return]]),1+PortfolioFrontier[[#This Row],[P17 Return]])</f>
        <v>1.5808456254098315</v>
      </c>
      <c r="BQ82" s="27">
        <f>MAX(BQ81,PortfolioFrontier[[#This Row],[P17 Growth]])</f>
        <v>1.7588525148836969</v>
      </c>
      <c r="BR82" s="27">
        <f>PortfolioFrontier[[#This Row],[P17 Growth]]/PortfolioFrontier[[#This Row],[P17 HWM]]-1</f>
        <v>-0.10120626258742105</v>
      </c>
      <c r="BS82" s="28">
        <f>SUMPRODUCT(INDEX(PortfolioRef[[SPY]:[PE]],MATCH(BS$1,PortfolioRef[Reference '#]),0),AssetMonthlyReturns[[#This Row],[SPY]:[PE]])</f>
        <v>5.300205747326521E-2</v>
      </c>
      <c r="BT82" s="27">
        <f>IF(ISNUMBER(BT81),BT81*(1+PortfolioFrontier[[#This Row],[P18 Return]]),1+PortfolioFrontier[[#This Row],[P18 Return]])</f>
        <v>1.5824522282956739</v>
      </c>
      <c r="BU82" s="27">
        <f>MAX(BU81,PortfolioFrontier[[#This Row],[P18 Growth]])</f>
        <v>1.7791407441475846</v>
      </c>
      <c r="BV82" s="27">
        <f>PortfolioFrontier[[#This Row],[P18 Growth]]/PortfolioFrontier[[#This Row],[P18 HWM]]-1</f>
        <v>-0.11055253301286594</v>
      </c>
      <c r="BW82" s="28">
        <f>SUMPRODUCT(INDEX(PortfolioRef[[SPY]:[PE]],MATCH(BW$1,PortfolioRef[Reference '#]),0),AssetMonthlyReturns[[#This Row],[SPY]:[PE]])</f>
        <v>5.1706917005452366E-2</v>
      </c>
      <c r="BX82" s="27">
        <f>IF(ISNUMBER(BX81),BX81*(1+PortfolioFrontier[[#This Row],[P19 Return]]),1+PortfolioFrontier[[#This Row],[P19 Return]])</f>
        <v>1.575777751338522</v>
      </c>
      <c r="BY82" s="27">
        <f>MAX(BY81,PortfolioFrontier[[#This Row],[P19 Growth]])</f>
        <v>1.7457196180719312</v>
      </c>
      <c r="BZ82" s="27">
        <f>PortfolioFrontier[[#This Row],[P19 Growth]]/PortfolioFrontier[[#This Row],[P19 HWM]]-1</f>
        <v>-9.7347744147540882E-2</v>
      </c>
      <c r="CA82" s="28">
        <f>SUMPRODUCT(INDEX(PortfolioRef[[SPY]:[PE]],MATCH(CA$1,PortfolioRef[Reference '#]),0),AssetMonthlyReturns[[#This Row],[SPY]:[PE]])</f>
        <v>5.6521155380494473E-2</v>
      </c>
      <c r="CB82" s="27">
        <f>IF(ISNUMBER(CB81),CB81*(1+PortfolioFrontier[[#This Row],[P20 Return]]),1+PortfolioFrontier[[#This Row],[P20 Return]])</f>
        <v>1.6032522335640538</v>
      </c>
      <c r="CC82" s="27">
        <f>MAX(CC81,PortfolioFrontier[[#This Row],[P20 Growth]])</f>
        <v>1.7749567522517573</v>
      </c>
      <c r="CD82" s="27">
        <f>PortfolioFrontier[[#This Row],[P20 Growth]]/PortfolioFrontier[[#This Row],[P20 HWM]]-1</f>
        <v>-9.6737297103084097E-2</v>
      </c>
      <c r="CE82" s="28">
        <f>SUMPRODUCT(INDEX(PortfolioRef[[SPY]:[PE]],MATCH(CE$1,PortfolioRef[Reference '#]),0),AssetMonthlyReturns[[#This Row],[SPY]:[PE]])</f>
        <v>5.5348256943839921E-2</v>
      </c>
      <c r="CF82" s="27">
        <f>IF(ISNUMBER(CF81),CF81*(1+PortfolioFrontier[[#This Row],[P21 Return]]),1+PortfolioFrontier[[#This Row],[P21 Return]])</f>
        <v>1.6052156511791826</v>
      </c>
      <c r="CG82" s="27">
        <f>MAX(CG81,PortfolioFrontier[[#This Row],[P21 Growth]])</f>
        <v>1.795743356031652</v>
      </c>
      <c r="CH82" s="27">
        <f>PortfolioFrontier[[#This Row],[P21 Growth]]/PortfolioFrontier[[#This Row],[P21 HWM]]-1</f>
        <v>-0.10609962955592367</v>
      </c>
      <c r="CI82" s="28">
        <f>SUMPRODUCT(INDEX(PortfolioRef[[SPY]:[PE]],MATCH(CI$1,PortfolioRef[Reference '#]),0),AssetMonthlyReturns[[#This Row],[SPY]:[PE]])</f>
        <v>5.4053116476027077E-2</v>
      </c>
      <c r="CJ82" s="27">
        <f>IF(ISNUMBER(CJ81),CJ81*(1+PortfolioFrontier[[#This Row],[P22 Return]]),1+PortfolioFrontier[[#This Row],[P22 Return]])</f>
        <v>1.5984857481054227</v>
      </c>
      <c r="CK82" s="27">
        <f>MAX(CK81,PortfolioFrontier[[#This Row],[P22 Growth]])</f>
        <v>1.7620784578443487</v>
      </c>
      <c r="CL82" s="27">
        <f>PortfolioFrontier[[#This Row],[P22 Growth]]/PortfolioFrontier[[#This Row],[P22 HWM]]-1</f>
        <v>-9.2840763707569773E-2</v>
      </c>
      <c r="CM82" s="28">
        <f>SUMPRODUCT(INDEX(PortfolioRef[[SPY]:[PE]],MATCH(CM$1,PortfolioRef[Reference '#]),0),AssetMonthlyReturns[[#This Row],[SPY]:[PE]])</f>
        <v>5.4175358507185377E-2</v>
      </c>
      <c r="CN82" s="27">
        <f>IF(ISNUMBER(CN81),CN81*(1+PortfolioFrontier[[#This Row],[P23 Return]]),1+PortfolioFrontier[[#This Row],[P23 Return]])</f>
        <v>1.6061251236243237</v>
      </c>
      <c r="CO82" s="27">
        <f>MAX(CO81,PortfolioFrontier[[#This Row],[P23 Growth]])</f>
        <v>1.8158151760868648</v>
      </c>
      <c r="CP82" s="27">
        <f>PortfolioFrontier[[#This Row],[P23 Growth]]/PortfolioFrontier[[#This Row],[P23 HWM]]-1</f>
        <v>-0.11547984355678165</v>
      </c>
      <c r="CQ82" s="28">
        <f>SUMPRODUCT(INDEX(PortfolioRef[[SPY]:[PE]],MATCH(CQ$1,PortfolioRef[Reference '#]),0),AssetMonthlyReturns[[#This Row],[SPY]:[PE]])</f>
        <v>5.2880218039372533E-2</v>
      </c>
      <c r="CR82" s="27">
        <f>IF(ISNUMBER(CR81),CR81*(1+PortfolioFrontier[[#This Row],[P24 Return]]),1+PortfolioFrontier[[#This Row],[P24 Return]])</f>
        <v>1.6001335991819292</v>
      </c>
      <c r="CS82" s="27">
        <f>MAX(CS81,PortfolioFrontier[[#This Row],[P24 Growth]])</f>
        <v>1.7823638134718676</v>
      </c>
      <c r="CT82" s="27">
        <f>PortfolioFrontier[[#This Row],[P24 Growth]]/PortfolioFrontier[[#This Row],[P24 HWM]]-1</f>
        <v>-0.10224075068881255</v>
      </c>
      <c r="CU82" s="28">
        <f>SUMPRODUCT(INDEX(PortfolioRef[[SPY]:[PE]],MATCH(CU$1,PortfolioRef[Reference '#]),0),AssetMonthlyReturns[[#This Row],[SPY]:[PE]])</f>
        <v>5.1585077571559682E-2</v>
      </c>
      <c r="CV82" s="27">
        <f>IF(ISNUMBER(CV81),CV81*(1+PortfolioFrontier[[#This Row],[P25 Return]]),1+PortfolioFrontier[[#This Row],[P25 Return]])</f>
        <v>1.5931979130512495</v>
      </c>
      <c r="CW82" s="27">
        <f>MAX(CW81,PortfolioFrontier[[#This Row],[P25 Growth]])</f>
        <v>1.7487656732120247</v>
      </c>
      <c r="CX82" s="27">
        <f>PortfolioFrontier[[#This Row],[P25 Growth]]/PortfolioFrontier[[#This Row],[P25 HWM]]-1</f>
        <v>-8.8958608087862379E-2</v>
      </c>
      <c r="CY82" s="28">
        <f>SUMPRODUCT(INDEX(PortfolioRef[[SPY]:[PE]],MATCH(CY$1,PortfolioRef[Reference '#]),0),AssetMonthlyReturns[[#This Row],[SPY]:[PE]])</f>
        <v>5.769445641441464E-2</v>
      </c>
      <c r="CZ82" s="27">
        <f>IF(ISNUMBER(CZ81),CZ81*(1+PortfolioFrontier[[#This Row],[P26 Return]]),1+PortfolioFrontier[[#This Row],[P26 Return]])</f>
        <v>1.6279291256359369</v>
      </c>
      <c r="DA82" s="27">
        <f>MAX(DA81,PortfolioFrontier[[#This Row],[P26 Growth]])</f>
        <v>1.8121428498945955</v>
      </c>
      <c r="DB82" s="27">
        <f>PortfolioFrontier[[#This Row],[P26 Growth]]/PortfolioFrontier[[#This Row],[P26 HWM]]-1</f>
        <v>-0.10165518919734917</v>
      </c>
      <c r="DC82" s="28">
        <f>SUMPRODUCT(INDEX(PortfolioRef[[SPY]:[PE]],MATCH(DC$1,PortfolioRef[Reference '#]),0),AssetMonthlyReturns[[#This Row],[SPY]:[PE]])</f>
        <v>5.6399315946601795E-2</v>
      </c>
      <c r="DD82" s="27">
        <f>IF(ISNUMBER(DD81),DD81*(1+PortfolioFrontier[[#This Row],[P27 Return]]),1+PortfolioFrontier[[#This Row],[P27 Return]])</f>
        <v>1.6211447895194064</v>
      </c>
      <c r="DE82" s="27">
        <f>MAX(DE81,PortfolioFrontier[[#This Row],[P27 Growth]])</f>
        <v>1.7782387807323972</v>
      </c>
      <c r="DF82" s="27">
        <f>PortfolioFrontier[[#This Row],[P27 Growth]]/PortfolioFrontier[[#This Row],[P27 HWM]]-1</f>
        <v>-8.8342461605909306E-2</v>
      </c>
      <c r="DG82" s="28">
        <f>SUMPRODUCT(INDEX(PortfolioRef[[SPY]:[PE]],MATCH(DG$1,PortfolioRef[Reference '#]),0),AssetMonthlyReturns[[#This Row],[SPY]:[PE]])</f>
        <v>5.6521557977760095E-2</v>
      </c>
      <c r="DH82" s="27">
        <f>IF(ISNUMBER(DH81),DH81*(1+PortfolioFrontier[[#This Row],[P28 Return]]),1+PortfolioFrontier[[#This Row],[P28 Return]])</f>
        <v>1.6291902699168077</v>
      </c>
      <c r="DI82" s="27">
        <f>MAX(DI81,PortfolioFrontier[[#This Row],[P28 Growth]])</f>
        <v>1.8327167417336543</v>
      </c>
      <c r="DJ82" s="27">
        <f>PortfolioFrontier[[#This Row],[P28 Growth]]/PortfolioFrontier[[#This Row],[P28 HWM]]-1</f>
        <v>-0.11105178840911401</v>
      </c>
      <c r="DK82" s="28">
        <f>SUMPRODUCT(INDEX(PortfolioRef[[SPY]:[PE]],MATCH(DK$1,PortfolioRef[Reference '#]),0),AssetMonthlyReturns[[#This Row],[SPY]:[PE]])</f>
        <v>5.5226417509947251E-2</v>
      </c>
      <c r="DL82" s="27">
        <f>IF(ISNUMBER(DL81),DL81*(1+PortfolioFrontier[[#This Row],[P29 Return]]),1+PortfolioFrontier[[#This Row],[P29 Return]])</f>
        <v>1.6231534940381096</v>
      </c>
      <c r="DM82" s="27">
        <f>MAX(DM81,PortfolioFrontier[[#This Row],[P29 Growth]])</f>
        <v>1.7990232294645383</v>
      </c>
      <c r="DN82" s="27">
        <f>PortfolioFrontier[[#This Row],[P29 Growth]]/PortfolioFrontier[[#This Row],[P29 HWM]]-1</f>
        <v>-9.7758457226132967E-2</v>
      </c>
      <c r="DO82" s="28">
        <f>SUMPRODUCT(INDEX(PortfolioRef[[SPY]:[PE]],MATCH(DO$1,PortfolioRef[Reference '#]),0),AssetMonthlyReturns[[#This Row],[SPY]:[PE]])</f>
        <v>5.39312770421344E-2</v>
      </c>
      <c r="DP82" s="27">
        <f>IF(ISNUMBER(DP81),DP81*(1+PortfolioFrontier[[#This Row],[P30 Return]]),1+PortfolioFrontier[[#This Row],[P30 Return]])</f>
        <v>1.6161592518253327</v>
      </c>
      <c r="DQ82" s="27">
        <f>MAX(DQ81,PortfolioFrontier[[#This Row],[P30 Growth]])</f>
        <v>1.7651792866223672</v>
      </c>
      <c r="DR82" s="27">
        <f>PortfolioFrontier[[#This Row],[P30 Growth]]/PortfolioFrontier[[#This Row],[P30 HWM]]-1</f>
        <v>-8.442203912452495E-2</v>
      </c>
      <c r="DS82" s="28">
        <f>SUMPRODUCT(INDEX(PortfolioRef[[SPY]:[PE]],MATCH(DS$1,PortfolioRef[Reference '#]),0),AssetMonthlyReturns[[#This Row],[SPY]:[PE]])</f>
        <v>5.5348659541105544E-2</v>
      </c>
      <c r="DT82" s="27">
        <f>IF(ISNUMBER(DT81),DT81*(1+PortfolioFrontier[[#This Row],[P31 Return]]),1+PortfolioFrontier[[#This Row],[P31 Return]])</f>
        <v>1.629376966794633</v>
      </c>
      <c r="DU82" s="27">
        <f>MAX(DU81,PortfolioFrontier[[#This Row],[P31 Growth]])</f>
        <v>1.8525428026208837</v>
      </c>
      <c r="DV82" s="27">
        <f>PortfolioFrontier[[#This Row],[P31 Growth]]/PortfolioFrontier[[#This Row],[P31 HWM]]-1</f>
        <v>-0.12046460438621287</v>
      </c>
      <c r="DW82" s="28">
        <f>SUMPRODUCT(INDEX(PortfolioRef[[SPY]:[PE]],MATCH(DW$1,PortfolioRef[Reference '#]),0),AssetMonthlyReturns[[#This Row],[SPY]:[PE]])</f>
        <v>5.40535190732927E-2</v>
      </c>
      <c r="DX82" s="27">
        <f>IF(ISNUMBER(DX81),DX81*(1+PortfolioFrontier[[#This Row],[P32 Return]]),1+PortfolioFrontier[[#This Row],[P32 Return]])</f>
        <v>1.6240971808135902</v>
      </c>
      <c r="DY82" s="27">
        <f>MAX(DY81,PortfolioFrontier[[#This Row],[P32 Growth]])</f>
        <v>1.8190908915066115</v>
      </c>
      <c r="DZ82" s="27">
        <f>PortfolioFrontier[[#This Row],[P32 Growth]]/PortfolioFrontier[[#This Row],[P32 HWM]]-1</f>
        <v>-0.10719294544514113</v>
      </c>
      <c r="EA82" s="28">
        <f>SUMPRODUCT(INDEX(PortfolioRef[[SPY]:[PE]],MATCH(EA$1,PortfolioRef[Reference '#]),0),AssetMonthlyReturns[[#This Row],[SPY]:[PE]])</f>
        <v>5.2758378605479848E-2</v>
      </c>
      <c r="EB82" s="27">
        <f>IF(ISNUMBER(EB81),EB81*(1+PortfolioFrontier[[#This Row],[P33 Return]]),1+PortfolioFrontier[[#This Row],[P33 Return]])</f>
        <v>1.6178486082768853</v>
      </c>
      <c r="EC82" s="27">
        <f>MAX(EC81,PortfolioFrontier[[#This Row],[P33 Growth]])</f>
        <v>1.7854600976944932</v>
      </c>
      <c r="ED82" s="27">
        <f>PortfolioFrontier[[#This Row],[P33 Growth]]/PortfolioFrontier[[#This Row],[P33 HWM]]-1</f>
        <v>-9.3875796851488946E-2</v>
      </c>
      <c r="EE82" s="28">
        <f>SUMPRODUCT(INDEX(PortfolioRef[[SPY]:[PE]],MATCH(EE$1,PortfolioRef[Reference '#]),0),AssetMonthlyReturns[[#This Row],[SPY]:[PE]])</f>
        <v>5.0948910930548957E-2</v>
      </c>
      <c r="EF82" s="27">
        <f>IF(ISNUMBER(EF81),EF81*(1+PortfolioFrontier[[#This Row],[P34 Return]]),1+PortfolioFrontier[[#This Row],[P34 Return]])</f>
        <v>1.499578090493269</v>
      </c>
      <c r="EG82" s="27">
        <f>MAX(EG81,PortfolioFrontier[[#This Row],[P34 Growth]])</f>
        <v>1.6763614413137211</v>
      </c>
      <c r="EH82" s="27">
        <f>PortfolioFrontier[[#This Row],[P34 Growth]]/PortfolioFrontier[[#This Row],[P34 HWM]]-1</f>
        <v>-0.10545658380325884</v>
      </c>
      <c r="EI82" s="28">
        <f>SUMPRODUCT(INDEX(PortfolioRef[[SPY]:[PE]],MATCH(EI$1,PortfolioRef[Reference '#]),0),AssetMonthlyReturns[[#This Row],[SPY]:[PE]])</f>
        <v>5.3295110401123669E-2</v>
      </c>
      <c r="EJ82" s="27">
        <f>IF(ISNUMBER(EJ81),EJ81*(1+PortfolioFrontier[[#This Row],[P35 Return]]),1+PortfolioFrontier[[#This Row],[P35 Return]])</f>
        <v>1.5211984291168936</v>
      </c>
      <c r="EK82" s="27">
        <f>MAX(EK81,PortfolioFrontier[[#This Row],[P35 Growth]])</f>
        <v>1.6920729334369538</v>
      </c>
      <c r="EL82" s="27">
        <f>PortfolioFrontier[[#This Row],[P35 Growth]]/PortfolioFrontier[[#This Row],[P35 HWM]]-1</f>
        <v>-0.10098530680529139</v>
      </c>
      <c r="EM82" s="28">
        <f>SUMPRODUCT(INDEX(PortfolioRef[[SPY]:[PE]],MATCH(EM$1,PortfolioRef[Reference '#]),0),AssetMonthlyReturns[[#This Row],[SPY]:[PE]])</f>
        <v>5.2122211964469131E-2</v>
      </c>
      <c r="EN82" s="27">
        <f>IF(ISNUMBER(EN81),EN81*(1+PortfolioFrontier[[#This Row],[P36 Return]]),1+PortfolioFrontier[[#This Row],[P36 Return]])</f>
        <v>1.5232634429633909</v>
      </c>
      <c r="EO82" s="27">
        <f>MAX(EO81,PortfolioFrontier[[#This Row],[P36 Growth]])</f>
        <v>1.7120343963250326</v>
      </c>
      <c r="EP82" s="27">
        <f>PortfolioFrontier[[#This Row],[P36 Growth]]/PortfolioFrontier[[#This Row],[P36 HWM]]-1</f>
        <v>-0.11026119204546825</v>
      </c>
      <c r="EQ82" s="28">
        <f>SUMPRODUCT(INDEX(PortfolioRef[[SPY]:[PE]],MATCH(EQ$1,PortfolioRef[Reference '#]),0),AssetMonthlyReturns[[#This Row],[SPY]:[PE]])</f>
        <v>5.0827071496656287E-2</v>
      </c>
      <c r="ER82" s="27">
        <f>IF(ISNUMBER(ER81),ER81*(1+PortfolioFrontier[[#This Row],[P37 Return]]),1+PortfolioFrontier[[#This Row],[P37 Return]])</f>
        <v>1.5163335578108017</v>
      </c>
      <c r="ES82" s="27">
        <f>MAX(ES81,PortfolioFrontier[[#This Row],[P37 Growth]])</f>
        <v>1.6794736802569215</v>
      </c>
      <c r="ET82" s="27">
        <f>PortfolioFrontier[[#This Row],[P37 Growth]]/PortfolioFrontier[[#This Row],[P37 HWM]]-1</f>
        <v>-9.7137647564183971E-2</v>
      </c>
      <c r="EU82" s="28">
        <f>SUMPRODUCT(INDEX(PortfolioRef[[SPY]:[PE]],MATCH(EU$1,PortfolioRef[Reference '#]),0),AssetMonthlyReturns[[#This Row],[SPY]:[PE]])</f>
        <v>5.5641309871698394E-2</v>
      </c>
      <c r="EV82" s="27">
        <f>IF(ISNUMBER(EV81),EV81*(1+PortfolioFrontier[[#This Row],[P38 Return]]),1+PortfolioFrontier[[#This Row],[P38 Return]])</f>
        <v>1.5427714606524785</v>
      </c>
      <c r="EW82" s="27">
        <f>MAX(EW81,PortfolioFrontier[[#This Row],[P38 Growth]])</f>
        <v>1.7075928941250238</v>
      </c>
      <c r="EX82" s="27">
        <f>PortfolioFrontier[[#This Row],[P38 Growth]]/PortfolioFrontier[[#This Row],[P38 HWM]]-1</f>
        <v>-9.6522674719257573E-2</v>
      </c>
      <c r="EY82" s="28">
        <f>SUMPRODUCT(INDEX(PortfolioRef[[SPY]:[PE]],MATCH(EY$1,PortfolioRef[Reference '#]),0),AssetMonthlyReturns[[#This Row],[SPY]:[PE]])</f>
        <v>5.4468411435043843E-2</v>
      </c>
      <c r="EZ82" s="27">
        <f>IF(ISNUMBER(EZ81),EZ81*(1+PortfolioFrontier[[#This Row],[P39 Return]]),1+PortfolioFrontier[[#This Row],[P39 Return]])</f>
        <v>1.5451878656642295</v>
      </c>
      <c r="FA82" s="27">
        <f>MAX(FA81,PortfolioFrontier[[#This Row],[P39 Growth]])</f>
        <v>1.7280388577532122</v>
      </c>
      <c r="FB82" s="27">
        <f>PortfolioFrontier[[#This Row],[P39 Growth]]/PortfolioFrontier[[#This Row],[P39 HWM]]-1</f>
        <v>-0.10581416689131906</v>
      </c>
      <c r="FC82" s="28">
        <f>SUMPRODUCT(INDEX(PortfolioRef[[SPY]:[PE]],MATCH(FC$1,PortfolioRef[Reference '#]),0),AssetMonthlyReturns[[#This Row],[SPY]:[PE]])</f>
        <v>5.3173270967230998E-2</v>
      </c>
      <c r="FD82" s="27">
        <f>IF(ISNUMBER(FD81),FD81*(1+PortfolioFrontier[[#This Row],[P40 Return]]),1+PortfolioFrontier[[#This Row],[P40 Return]])</f>
        <v>1.5381975713280547</v>
      </c>
      <c r="FE82" s="27">
        <f>MAX(FE81,PortfolioFrontier[[#This Row],[P40 Growth]])</f>
        <v>1.6952394830468527</v>
      </c>
      <c r="FF82" s="27">
        <f>PortfolioFrontier[[#This Row],[P40 Growth]]/PortfolioFrontier[[#This Row],[P40 HWM]]-1</f>
        <v>-9.2637006918070752E-2</v>
      </c>
      <c r="FG82" s="28">
        <f>SUMPRODUCT(INDEX(PortfolioRef[[SPY]:[PE]],MATCH(FG$1,PortfolioRef[Reference '#]),0),AssetMonthlyReturns[[#This Row],[SPY]:[PE]])</f>
        <v>5.3295512998389305E-2</v>
      </c>
      <c r="FH82" s="27">
        <f>IF(ISNUMBER(FH81),FH81*(1+PortfolioFrontier[[#This Row],[P41 Return]]),1+PortfolioFrontier[[#This Row],[P41 Return]])</f>
        <v>1.5465925142799244</v>
      </c>
      <c r="FI82" s="27">
        <f>MAX(FI81,PortfolioFrontier[[#This Row],[P41 Growth]])</f>
        <v>1.7478091274239449</v>
      </c>
      <c r="FJ82" s="27">
        <f>PortfolioFrontier[[#This Row],[P41 Growth]]/PortfolioFrontier[[#This Row],[P41 HWM]]-1</f>
        <v>-0.11512504997647477</v>
      </c>
      <c r="FK82" s="28">
        <f>SUMPRODUCT(INDEX(PortfolioRef[[SPY]:[PE]],MATCH(FK$1,PortfolioRef[Reference '#]),0),AssetMonthlyReturns[[#This Row],[SPY]:[PE]])</f>
        <v>5.2000372530576461E-2</v>
      </c>
      <c r="FL82" s="27">
        <f>IF(ISNUMBER(FL81),FL81*(1+PortfolioFrontier[[#This Row],[P42 Return]]),1+PortfolioFrontier[[#This Row],[P42 Return]])</f>
        <v>1.5403080102239168</v>
      </c>
      <c r="FM82" s="27">
        <f>MAX(FM81,PortfolioFrontier[[#This Row],[P42 Growth]])</f>
        <v>1.7151998522045959</v>
      </c>
      <c r="FN82" s="27">
        <f>PortfolioFrontier[[#This Row],[P42 Growth]]/PortfolioFrontier[[#This Row],[P42 HWM]]-1</f>
        <v>-0.10196586814993336</v>
      </c>
      <c r="FO82" s="28">
        <f>SUMPRODUCT(INDEX(PortfolioRef[[SPY]:[PE]],MATCH(FO$1,PortfolioRef[Reference '#]),0),AssetMonthlyReturns[[#This Row],[SPY]:[PE]])</f>
        <v>5.070523206276361E-2</v>
      </c>
      <c r="FP82" s="27">
        <f>IF(ISNUMBER(FP81),FP81*(1+PortfolioFrontier[[#This Row],[P43 Return]]),1+PortfolioFrontier[[#This Row],[P43 Return]])</f>
        <v>1.5331211467717929</v>
      </c>
      <c r="FQ82" s="27">
        <f>MAX(FQ81,PortfolioFrontier[[#This Row],[P43 Growth]])</f>
        <v>1.6824667632825669</v>
      </c>
      <c r="FR82" s="27">
        <f>PortfolioFrontier[[#This Row],[P43 Growth]]/PortfolioFrontier[[#This Row],[P43 HWM]]-1</f>
        <v>-8.8765864366553204E-2</v>
      </c>
      <c r="FS82" s="28">
        <f>SUMPRODUCT(INDEX(PortfolioRef[[SPY]:[PE]],MATCH(FS$1,PortfolioRef[Reference '#]),0),AssetMonthlyReturns[[#This Row],[SPY]:[PE]])</f>
        <v>5.6814610905618568E-2</v>
      </c>
      <c r="FT82" s="27">
        <f>IF(ISNUMBER(FT81),FT81*(1+PortfolioFrontier[[#This Row],[P44 Return]]),1+PortfolioFrontier[[#This Row],[P44 Return]])</f>
        <v>1.5670637696738225</v>
      </c>
      <c r="FU82" s="27">
        <f>MAX(FU81,PortfolioFrontier[[#This Row],[P44 Growth]])</f>
        <v>1.7438475694471607</v>
      </c>
      <c r="FV82" s="27">
        <f>PortfolioFrontier[[#This Row],[P44 Growth]]/PortfolioFrontier[[#This Row],[P44 HWM]]-1</f>
        <v>-0.10137571819386859</v>
      </c>
      <c r="FW82" s="28">
        <f>SUMPRODUCT(INDEX(PortfolioRef[[SPY]:[PE]],MATCH(FW$1,PortfolioRef[Reference '#]),0),AssetMonthlyReturns[[#This Row],[SPY]:[PE]])</f>
        <v>5.5519470437805724E-2</v>
      </c>
      <c r="FX82" s="27">
        <f>IF(ISNUMBER(FX81),FX81*(1+PortfolioFrontier[[#This Row],[P45 Return]]),1+PortfolioFrontier[[#This Row],[P45 Return]])</f>
        <v>1.5600140419971267</v>
      </c>
      <c r="FY82" s="27">
        <f>MAX(FY81,PortfolioFrontier[[#This Row],[P45 Growth]])</f>
        <v>1.7108140158896465</v>
      </c>
      <c r="FZ82" s="27">
        <f>PortfolioFrontier[[#This Row],[P45 Growth]]/PortfolioFrontier[[#This Row],[P45 HWM]]-1</f>
        <v>-8.8145159258647854E-2</v>
      </c>
      <c r="GA82" s="28">
        <f>SUMPRODUCT(INDEX(PortfolioRef[[SPY]:[PE]],MATCH(GA$1,PortfolioRef[Reference '#]),0),AssetMonthlyReturns[[#This Row],[SPY]:[PE]])</f>
        <v>5.5641712468964016E-2</v>
      </c>
      <c r="GB82" s="27">
        <f>IF(ISNUMBER(GB81),GB81*(1+PortfolioFrontier[[#This Row],[P46 Return]]),1+PortfolioFrontier[[#This Row],[P46 Return]])</f>
        <v>1.5688151066245897</v>
      </c>
      <c r="GC82" s="27">
        <f>MAX(GC81,PortfolioFrontier[[#This Row],[P46 Growth]])</f>
        <v>1.7641061270089846</v>
      </c>
      <c r="GD82" s="27">
        <f>PortfolioFrontier[[#This Row],[P46 Growth]]/PortfolioFrontier[[#This Row],[P46 HWM]]-1</f>
        <v>-0.11070253506545435</v>
      </c>
      <c r="GE82" s="28">
        <f>SUMPRODUCT(INDEX(PortfolioRef[[SPY]:[PE]],MATCH(GE$1,PortfolioRef[Reference '#]),0),AssetMonthlyReturns[[#This Row],[SPY]:[PE]])</f>
        <v>5.4346572001151172E-2</v>
      </c>
      <c r="GF82" s="27">
        <f>IF(ISNUMBER(GF81),GF81*(1+PortfolioFrontier[[#This Row],[P47 Return]]),1+PortfolioFrontier[[#This Row],[P47 Return]])</f>
        <v>1.5624798519291634</v>
      </c>
      <c r="GG82" s="27">
        <f>MAX(GG81,PortfolioFrontier[[#This Row],[P47 Growth]])</f>
        <v>1.7312596087544752</v>
      </c>
      <c r="GH82" s="27">
        <f>PortfolioFrontier[[#This Row],[P47 Growth]]/PortfolioFrontier[[#This Row],[P47 HWM]]-1</f>
        <v>-9.7489571160698119E-2</v>
      </c>
      <c r="GI82" s="28">
        <f>SUMPRODUCT(INDEX(PortfolioRef[[SPY]:[PE]],MATCH(GI$1,PortfolioRef[Reference '#]),0),AssetMonthlyReturns[[#This Row],[SPY]:[PE]])</f>
        <v>5.3051431533338321E-2</v>
      </c>
      <c r="GJ82" s="27">
        <f>IF(ISNUMBER(GJ81),GJ81*(1+PortfolioFrontier[[#This Row],[P48 Return]]),1+PortfolioFrontier[[#This Row],[P48 Return]])</f>
        <v>1.5552294873700865</v>
      </c>
      <c r="GK82" s="27">
        <f>MAX(GK81,PortfolioFrontier[[#This Row],[P48 Growth]])</f>
        <v>1.6982858835097865</v>
      </c>
      <c r="GL82" s="27">
        <f>PortfolioFrontier[[#This Row],[P48 Growth]]/PortfolioFrontier[[#This Row],[P48 HWM]]-1</f>
        <v>-8.4235756493512448E-2</v>
      </c>
      <c r="GM82" s="28">
        <f>SUMPRODUCT(INDEX(PortfolioRef[[SPY]:[PE]],MATCH(GM$1,PortfolioRef[Reference '#]),0),AssetMonthlyReturns[[#This Row],[SPY]:[PE]])</f>
        <v>5.4468814032309472E-2</v>
      </c>
      <c r="GN82" s="27">
        <f>IF(ISNUMBER(GN81),GN81*(1+PortfolioFrontier[[#This Row],[P49 Return]]),1+PortfolioFrontier[[#This Row],[P49 Return]])</f>
        <v>1.5695342823662486</v>
      </c>
      <c r="GO82" s="27">
        <f>MAX(GO81,PortfolioFrontier[[#This Row],[P49 Growth]])</f>
        <v>1.7836571071341945</v>
      </c>
      <c r="GP82" s="27">
        <f>PortfolioFrontier[[#This Row],[P49 Growth]]/PortfolioFrontier[[#This Row],[P49 HWM]]-1</f>
        <v>-0.12004707850601259</v>
      </c>
      <c r="GQ82" s="28">
        <f>SUMPRODUCT(INDEX(PortfolioRef[[SPY]:[PE]],MATCH(GQ$1,PortfolioRef[Reference '#]),0),AssetMonthlyReturns[[#This Row],[SPY]:[PE]])</f>
        <v>5.3173673564496628E-2</v>
      </c>
      <c r="GR82" s="27">
        <f>IF(ISNUMBER(GR81),GR81*(1+PortfolioFrontier[[#This Row],[P50 Return]]),1+PortfolioFrontier[[#This Row],[P50 Return]])</f>
        <v>1.5639232749244578</v>
      </c>
      <c r="GS82" s="27">
        <f>MAX(GS81,PortfolioFrontier[[#This Row],[P50 Growth]])</f>
        <v>1.7510275614895194</v>
      </c>
      <c r="GT82" s="27">
        <f>PortfolioFrontier[[#This Row],[P50 Growth]]/PortfolioFrontier[[#This Row],[P50 HWM]]-1</f>
        <v>-0.1068539928668516</v>
      </c>
      <c r="GU82" s="28">
        <f>SUMPRODUCT(INDEX(PortfolioRef[[SPY]:[PE]],MATCH(GU$1,PortfolioRef[Reference '#]),0),AssetMonthlyReturns[[#This Row],[SPY]:[PE]])</f>
        <v>5.1878533096683777E-2</v>
      </c>
      <c r="GV82" s="27">
        <f>IF(ISNUMBER(GV81),GV81*(1+PortfolioFrontier[[#This Row],[P51 Return]]),1+PortfolioFrontier[[#This Row],[P51 Return]])</f>
        <v>1.5573856149779375</v>
      </c>
      <c r="GW82" s="27">
        <f>MAX(GW81,PortfolioFrontier[[#This Row],[P51 Growth]])</f>
        <v>1.7182435242855478</v>
      </c>
      <c r="GX82" s="27">
        <f>PortfolioFrontier[[#This Row],[P51 Growth]]/PortfolioFrontier[[#This Row],[P51 HWM]]-1</f>
        <v>-9.3617643270033968E-2</v>
      </c>
      <c r="GY82" s="28">
        <f>SUMPRODUCT(INDEX(PortfolioRef[[SPY]:[PE]],MATCH(GY$1,PortfolioRef[Reference '#]),0),AssetMonthlyReturns[[#This Row],[SPY]:[PE]])</f>
        <v>5.7987911939538735E-2</v>
      </c>
      <c r="GZ82" s="27">
        <f>IF(ISNUMBER(GZ81),GZ81*(1+PortfolioFrontier[[#This Row],[P52 Return]]),1+PortfolioFrontier[[#This Row],[P52 Return]])</f>
        <v>1.5909879692749391</v>
      </c>
      <c r="HA82" s="27">
        <f>MAX(HA81,PortfolioFrontier[[#This Row],[P52 Growth]])</f>
        <v>1.7802031417261526</v>
      </c>
      <c r="HB82" s="27">
        <f>PortfolioFrontier[[#This Row],[P52 Growth]]/PortfolioFrontier[[#This Row],[P52 HWM]]-1</f>
        <v>-0.10628852854834492</v>
      </c>
      <c r="HC82" s="28">
        <f>SUMPRODUCT(INDEX(PortfolioRef[[SPY]:[PE]],MATCH(HC$1,PortfolioRef[Reference '#]),0),AssetMonthlyReturns[[#This Row],[SPY]:[PE]])</f>
        <v>5.669277147172589E-2</v>
      </c>
      <c r="HD82" s="27">
        <f>IF(ISNUMBER(HD81),HD81*(1+PortfolioFrontier[[#This Row],[P53 Return]]),1+PortfolioFrontier[[#This Row],[P53 Return]])</f>
        <v>1.5846029284795775</v>
      </c>
      <c r="HE82" s="27">
        <f>MAX(HE81,PortfolioFrontier[[#This Row],[P53 Growth]])</f>
        <v>1.7471238825308339</v>
      </c>
      <c r="HF82" s="27">
        <f>PortfolioFrontier[[#This Row],[P53 Growth]]/PortfolioFrontier[[#This Row],[P53 HWM]]-1</f>
        <v>-9.3021997853886096E-2</v>
      </c>
      <c r="HG82" s="28">
        <f>SUMPRODUCT(INDEX(PortfolioRef[[SPY]:[PE]],MATCH(HG$1,PortfolioRef[Reference '#]),0),AssetMonthlyReturns[[#This Row],[SPY]:[PE]])</f>
        <v>5.5397631003913039E-2</v>
      </c>
      <c r="HH82" s="27">
        <f>IF(ISNUMBER(HH81),HH81*(1+PortfolioFrontier[[#This Row],[P54 Return]]),1+PortfolioFrontier[[#This Row],[P54 Return]])</f>
        <v>1.5772900559748166</v>
      </c>
      <c r="HI82" s="27">
        <f>MAX(HI81,PortfolioFrontier[[#This Row],[P54 Growth]])</f>
        <v>1.7139140104060526</v>
      </c>
      <c r="HJ82" s="27">
        <f>PortfolioFrontier[[#This Row],[P54 Growth]]/PortfolioFrontier[[#This Row],[P54 HWM]]-1</f>
        <v>-7.9714591048163252E-2</v>
      </c>
      <c r="HK82" s="28">
        <f>SUMPRODUCT(INDEX(PortfolioRef[[SPY]:[PE]],MATCH(HK$1,PortfolioRef[Reference '#]),0),AssetMonthlyReturns[[#This Row],[SPY]:[PE]])</f>
        <v>5.681501350288419E-2</v>
      </c>
      <c r="HL82" s="27">
        <f>IF(ISNUMBER(HL81),HL81*(1+PortfolioFrontier[[#This Row],[P55 Return]]),1+PortfolioFrontier[[#This Row],[P55 Return]])</f>
        <v>1.5920487274716779</v>
      </c>
      <c r="HM82" s="27">
        <f>MAX(HM81,PortfolioFrontier[[#This Row],[P55 Growth]])</f>
        <v>1.8002459621778737</v>
      </c>
      <c r="HN82" s="27">
        <f>PortfolioFrontier[[#This Row],[P55 Growth]]/PortfolioFrontier[[#This Row],[P55 HWM]]-1</f>
        <v>-0.11564932741430856</v>
      </c>
      <c r="HO82" s="28">
        <f>SUMPRODUCT(INDEX(PortfolioRef[[SPY]:[PE]],MATCH(HO$1,PortfolioRef[Reference '#]),0),AssetMonthlyReturns[[#This Row],[SPY]:[PE]])</f>
        <v>5.5519873035071346E-2</v>
      </c>
      <c r="HP82" s="27">
        <f>IF(ISNUMBER(HP81),HP81*(1+PortfolioFrontier[[#This Row],[P56 Return]]),1+PortfolioFrontier[[#This Row],[P56 Return]])</f>
        <v>1.5863969772359783</v>
      </c>
      <c r="HQ82" s="27">
        <f>MAX(HQ81,PortfolioFrontier[[#This Row],[P56 Growth]])</f>
        <v>1.767380839986993</v>
      </c>
      <c r="HR82" s="27">
        <f>PortfolioFrontier[[#This Row],[P56 Growth]]/PortfolioFrontier[[#This Row],[P56 HWM]]-1</f>
        <v>-0.10240229986444049</v>
      </c>
      <c r="HS82" s="28">
        <f>SUMPRODUCT(INDEX(PortfolioRef[[SPY]:[PE]],MATCH(HS$1,PortfolioRef[Reference '#]),0),AssetMonthlyReturns[[#This Row],[SPY]:[PE]])</f>
        <v>5.4224732567258495E-2</v>
      </c>
      <c r="HT82" s="27">
        <f>IF(ISNUMBER(HT81),HT81*(1+PortfolioFrontier[[#This Row],[P57 Return]]),1+PortfolioFrontier[[#This Row],[P57 Return]])</f>
        <v>1.5798055423910706</v>
      </c>
      <c r="HU82" s="27">
        <f>MAX(HU81,PortfolioFrontier[[#This Row],[P57 Growth]])</f>
        <v>1.7343575628436463</v>
      </c>
      <c r="HV82" s="27">
        <f>PortfolioFrontier[[#This Row],[P57 Growth]]/PortfolioFrontier[[#This Row],[P57 HWM]]-1</f>
        <v>-8.9111970774453653E-2</v>
      </c>
      <c r="HW82" s="28">
        <f>SUMPRODUCT(INDEX(PortfolioRef[[SPY]:[PE]],MATCH(HW$1,PortfolioRef[Reference '#]),0),AssetMonthlyReturns[[#This Row],[SPY]:[PE]])</f>
        <v>5.5642115066229639E-2</v>
      </c>
      <c r="HX82" s="27">
        <f>IF(ISNUMBER(HX81),HX81*(1+PortfolioFrontier[[#This Row],[P58 Return]]),1+PortfolioFrontier[[#This Row],[P58 Return]])</f>
        <v>1.5920574851020814</v>
      </c>
      <c r="HY82" s="27">
        <f>MAX(HY81,PortfolioFrontier[[#This Row],[P58 Growth]])</f>
        <v>1.8195487359549802</v>
      </c>
      <c r="HZ82" s="27">
        <f>PortfolioFrontier[[#This Row],[P58 Growth]]/PortfolioFrontier[[#This Row],[P58 HWM]]-1</f>
        <v>-0.12502619268040727</v>
      </c>
      <c r="IA82" s="28">
        <f>SUMPRODUCT(INDEX(PortfolioRef[[SPY]:[PE]],MATCH(IA$1,PortfolioRef[Reference '#]),0),AssetMonthlyReturns[[#This Row],[SPY]:[PE]])</f>
        <v>5.4346974598416795E-2</v>
      </c>
      <c r="IB82" s="27">
        <f>IF(ISNUMBER(IB81),IB81*(1+PortfolioFrontier[[#This Row],[P59 Return]]),1+PortfolioFrontier[[#This Row],[P59 Return]])</f>
        <v>1.5871479891832596</v>
      </c>
      <c r="IC82" s="27">
        <f>MAX(IC81,PortfolioFrontier[[#This Row],[P59 Growth]])</f>
        <v>1.7869282396294996</v>
      </c>
      <c r="ID82" s="27">
        <f>PortfolioFrontier[[#This Row],[P59 Growth]]/PortfolioFrontier[[#This Row],[P59 HWM]]-1</f>
        <v>-0.11180093638660182</v>
      </c>
      <c r="IE82" s="28">
        <f>SUMPRODUCT(INDEX(PortfolioRef[[SPY]:[PE]],MATCH(IE$1,PortfolioRef[Reference '#]),0),AssetMonthlyReturns[[#This Row],[SPY]:[PE]])</f>
        <v>5.3051834130603943E-2</v>
      </c>
      <c r="IF82" s="27">
        <f>IF(ISNUMBER(IF81),IF81*(1+PortfolioFrontier[[#This Row],[P60 Return]]),1+PortfolioFrontier[[#This Row],[P60 Return]])</f>
        <v>1.5812879947186662</v>
      </c>
      <c r="IG82" s="27">
        <f>MAX(IG81,PortfolioFrontier[[#This Row],[P60 Growth]])</f>
        <v>1.7541215677111524</v>
      </c>
      <c r="IH82" s="27">
        <f>PortfolioFrontier[[#This Row],[P60 Growth]]/PortfolioFrontier[[#This Row],[P60 HWM]]-1</f>
        <v>-9.8529985705612333E-2</v>
      </c>
      <c r="II82" s="28">
        <f>SUMPRODUCT(INDEX(PortfolioRef[[SPY]:[PE]],MATCH(II$1,PortfolioRef[Reference '#]),0),AssetMonthlyReturns[[#This Row],[SPY]:[PE]])</f>
        <v>5.0069065421752892E-2</v>
      </c>
      <c r="IJ82" s="27">
        <f>IF(ISNUMBER(IJ81),IJ81*(1+PortfolioFrontier[[#This Row],[P61 Return]]),1+PortfolioFrontier[[#This Row],[P61 Return]])</f>
        <v>1.4423724144567343</v>
      </c>
      <c r="IK82" s="27">
        <f>MAX(IK81,PortfolioFrontier[[#This Row],[P61 Growth]])</f>
        <v>1.6121264956964798</v>
      </c>
      <c r="IL82" s="27">
        <f>PortfolioFrontier[[#This Row],[P61 Growth]]/PortfolioFrontier[[#This Row],[P61 HWM]]-1</f>
        <v>-0.10529823912261149</v>
      </c>
      <c r="IM82" s="28">
        <f>SUMPRODUCT(INDEX(PortfolioRef[[SPY]:[PE]],MATCH(IM$1,PortfolioRef[Reference '#]),0),AssetMonthlyReturns[[#This Row],[SPY]:[PE]])</f>
        <v>5.2415264892327604E-2</v>
      </c>
      <c r="IN82" s="27">
        <f>IF(ISNUMBER(IN81),IN81*(1+PortfolioFrontier[[#This Row],[P62 Return]]),1+PortfolioFrontier[[#This Row],[P62 Return]])</f>
        <v>1.4631803610822618</v>
      </c>
      <c r="IO82" s="27">
        <f>MAX(IO81,PortfolioFrontier[[#This Row],[P62 Growth]])</f>
        <v>1.6272630311124299</v>
      </c>
      <c r="IP82" s="27">
        <f>PortfolioFrontier[[#This Row],[P62 Growth]]/PortfolioFrontier[[#This Row],[P62 HWM]]-1</f>
        <v>-0.1008335265368856</v>
      </c>
      <c r="IQ82" s="28">
        <f>SUMPRODUCT(INDEX(PortfolioRef[[SPY]:[PE]],MATCH(IQ$1,PortfolioRef[Reference '#]),0),AssetMonthlyReturns[[#This Row],[SPY]:[PE]])</f>
        <v>5.1242366455673052E-2</v>
      </c>
      <c r="IR82" s="27">
        <f>IF(ISNUMBER(IR81),IR81*(1+PortfolioFrontier[[#This Row],[P63 Return]]),1+PortfolioFrontier[[#This Row],[P63 Return]])</f>
        <v>1.4656646580952046</v>
      </c>
      <c r="IS82" s="27">
        <f>MAX(IS81,PortfolioFrontier[[#This Row],[P63 Growth]])</f>
        <v>1.646884909102555</v>
      </c>
      <c r="IT82" s="27">
        <f>PortfolioFrontier[[#This Row],[P63 Growth]]/PortfolioFrontier[[#This Row],[P63 HWM]]-1</f>
        <v>-0.1100382000015433</v>
      </c>
      <c r="IU82" s="28">
        <f>SUMPRODUCT(INDEX(PortfolioRef[[SPY]:[PE]],MATCH(IU$1,PortfolioRef[Reference '#]),0),AssetMonthlyReturns[[#This Row],[SPY]:[PE]])</f>
        <v>4.9947225987860208E-2</v>
      </c>
      <c r="IV82" s="27">
        <f>IF(ISNUMBER(IV81),IV81*(1+PortfolioFrontier[[#This Row],[P64 Return]]),1+PortfolioFrontier[[#This Row],[P64 Return]])</f>
        <v>1.4585119756616725</v>
      </c>
      <c r="IW82" s="27">
        <f>MAX(IW81,PortfolioFrontier[[#This Row],[P64 Growth]])</f>
        <v>1.6151793879801097</v>
      </c>
      <c r="IX82" s="27">
        <f>PortfolioFrontier[[#This Row],[P64 Growth]]/PortfolioFrontier[[#This Row],[P64 HWM]]-1</f>
        <v>-9.6996911602717062E-2</v>
      </c>
      <c r="IY82" s="28">
        <f>SUMPRODUCT(INDEX(PortfolioRef[[SPY]:[PE]],MATCH(IY$1,PortfolioRef[Reference '#]),0),AssetMonthlyReturns[[#This Row],[SPY]:[PE]])</f>
        <v>5.4761464362902322E-2</v>
      </c>
      <c r="IZ82" s="27">
        <f>IF(ISNUMBER(IZ81),IZ81*(1+PortfolioFrontier[[#This Row],[P65 Return]]),1+PortfolioFrontier[[#This Row],[P65 Return]])</f>
        <v>1.4839423904509075</v>
      </c>
      <c r="JA82" s="27">
        <f>MAX(JA81,PortfolioFrontier[[#This Row],[P65 Growth]])</f>
        <v>1.6422150953060746</v>
      </c>
      <c r="JB82" s="27">
        <f>PortfolioFrontier[[#This Row],[P65 Growth]]/PortfolioFrontier[[#This Row],[P65 HWM]]-1</f>
        <v>-9.6377572772017639E-2</v>
      </c>
      <c r="JC82" s="28">
        <f>SUMPRODUCT(INDEX(PortfolioRef[[SPY]:[PE]],MATCH(JC$1,PortfolioRef[Reference '#]),0),AssetMonthlyReturns[[#This Row],[SPY]:[PE]])</f>
        <v>5.3588565926247778E-2</v>
      </c>
      <c r="JD82" s="27">
        <f>IF(ISNUMBER(JD81),JD81*(1+PortfolioFrontier[[#This Row],[P66 Return]]),1+PortfolioFrontier[[#This Row],[P66 Return]])</f>
        <v>1.4867724132201288</v>
      </c>
      <c r="JE82" s="27">
        <f>MAX(JE81,PortfolioFrontier[[#This Row],[P66 Growth]])</f>
        <v>1.6623077877531292</v>
      </c>
      <c r="JF82" s="27">
        <f>PortfolioFrontier[[#This Row],[P66 Growth]]/PortfolioFrontier[[#This Row],[P66 HWM]]-1</f>
        <v>-0.10559739647870148</v>
      </c>
      <c r="JG82" s="28">
        <f>SUMPRODUCT(INDEX(PortfolioRef[[SPY]:[PE]],MATCH(JG$1,PortfolioRef[Reference '#]),0),AssetMonthlyReturns[[#This Row],[SPY]:[PE]])</f>
        <v>5.2293425458434933E-2</v>
      </c>
      <c r="JH82" s="27">
        <f>IF(ISNUMBER(JH81),JH81*(1+PortfolioFrontier[[#This Row],[P67 Return]]),1+PortfolioFrontier[[#This Row],[P67 Return]])</f>
        <v>1.4795548225172752</v>
      </c>
      <c r="JI82" s="27">
        <f>MAX(JI81,PortfolioFrontier[[#This Row],[P67 Growth]])</f>
        <v>1.6303687537292939</v>
      </c>
      <c r="JJ82" s="27">
        <f>PortfolioFrontier[[#This Row],[P67 Growth]]/PortfolioFrontier[[#This Row],[P67 HWM]]-1</f>
        <v>-9.2502957301560107E-2</v>
      </c>
      <c r="JK82" s="28">
        <f>SUMPRODUCT(INDEX(PortfolioRef[[SPY]:[PE]],MATCH(JK$1,PortfolioRef[Reference '#]),0),AssetMonthlyReturns[[#This Row],[SPY]:[PE]])</f>
        <v>5.2415667489593226E-2</v>
      </c>
      <c r="JL82" s="27">
        <f>IF(ISNUMBER(JL81),JL81*(1+PortfolioFrontier[[#This Row],[P68 Return]]),1+PortfolioFrontier[[#This Row],[P68 Return]])</f>
        <v>1.4886318462334778</v>
      </c>
      <c r="JM82" s="27">
        <f>MAX(JM81,PortfolioFrontier[[#This Row],[P68 Growth]])</f>
        <v>1.6817622542850994</v>
      </c>
      <c r="JN82" s="27">
        <f>PortfolioFrontier[[#This Row],[P68 Growth]]/PortfolioFrontier[[#This Row],[P68 HWM]]-1</f>
        <v>-0.11483811553002155</v>
      </c>
      <c r="JO82" s="28">
        <f>SUMPRODUCT(INDEX(PortfolioRef[[SPY]:[PE]],MATCH(JO$1,PortfolioRef[Reference '#]),0),AssetMonthlyReturns[[#This Row],[SPY]:[PE]])</f>
        <v>5.1120527021780382E-2</v>
      </c>
      <c r="JP82" s="27">
        <f>IF(ISNUMBER(JP81),JP81*(1+PortfolioFrontier[[#This Row],[P69 Return]]),1+PortfolioFrontier[[#This Row],[P69 Return]])</f>
        <v>1.482088328745282</v>
      </c>
      <c r="JQ82" s="27">
        <f>MAX(JQ81,PortfolioFrontier[[#This Row],[P69 Growth]])</f>
        <v>1.6499912107010917</v>
      </c>
      <c r="JR82" s="27">
        <f>PortfolioFrontier[[#This Row],[P69 Growth]]/PortfolioFrontier[[#This Row],[P69 HWM]]-1</f>
        <v>-0.10175986445677287</v>
      </c>
      <c r="JS82" s="28">
        <f>SUMPRODUCT(INDEX(PortfolioRef[[SPY]:[PE]],MATCH(JS$1,PortfolioRef[Reference '#]),0),AssetMonthlyReturns[[#This Row],[SPY]:[PE]])</f>
        <v>4.9825386553967531E-2</v>
      </c>
      <c r="JT82" s="27">
        <f>IF(ISNUMBER(JT81),JT81*(1+PortfolioFrontier[[#This Row],[P70 Return]]),1+PortfolioFrontier[[#This Row],[P70 Return]])</f>
        <v>1.4746830457594362</v>
      </c>
      <c r="JU82" s="27">
        <f>MAX(JU81,PortfolioFrontier[[#This Row],[P70 Growth]])</f>
        <v>1.6181178918603722</v>
      </c>
      <c r="JV82" s="27">
        <f>PortfolioFrontier[[#This Row],[P70 Growth]]/PortfolioFrontier[[#This Row],[P70 HWM]]-1</f>
        <v>-8.8643013480326216E-2</v>
      </c>
      <c r="JW82" s="28">
        <f>SUMPRODUCT(INDEX(PortfolioRef[[SPY]:[PE]],MATCH(JW$1,PortfolioRef[Reference '#]),0),AssetMonthlyReturns[[#This Row],[SPY]:[PE]])</f>
        <v>5.5934765396822489E-2</v>
      </c>
      <c r="JX82" s="27">
        <f>IF(ISNUMBER(JX81),JX81*(1+PortfolioFrontier[[#This Row],[P71 Return]]),1+PortfolioFrontier[[#This Row],[P71 Return]])</f>
        <v>1.5078330629375285</v>
      </c>
      <c r="JY82" s="27">
        <f>MAX(JY81,PortfolioFrontier[[#This Row],[P71 Growth]])</f>
        <v>1.6775420819631024</v>
      </c>
      <c r="JZ82" s="27">
        <f>PortfolioFrontier[[#This Row],[P71 Growth]]/PortfolioFrontier[[#This Row],[P71 HWM]]-1</f>
        <v>-0.10116528273733438</v>
      </c>
      <c r="KA82" s="28">
        <f>SUMPRODUCT(INDEX(PortfolioRef[[SPY]:[PE]],MATCH(KA$1,PortfolioRef[Reference '#]),0),AssetMonthlyReturns[[#This Row],[SPY]:[PE]])</f>
        <v>5.4639624929009645E-2</v>
      </c>
      <c r="KB82" s="27">
        <f>IF(ISNUMBER(KB81),KB81*(1+PortfolioFrontier[[#This Row],[P72 Return]]),1+PortfolioFrontier[[#This Row],[P72 Return]])</f>
        <v>1.5005515222613632</v>
      </c>
      <c r="KC82" s="27">
        <f>MAX(KC81,PortfolioFrontier[[#This Row],[P72 Growth]])</f>
        <v>1.6453738946019467</v>
      </c>
      <c r="KD82" s="27">
        <f>PortfolioFrontier[[#This Row],[P72 Growth]]/PortfolioFrontier[[#This Row],[P72 HWM]]-1</f>
        <v>-8.8017910589021087E-2</v>
      </c>
      <c r="KE82" s="28">
        <f>SUMPRODUCT(INDEX(PortfolioRef[[SPY]:[PE]],MATCH(KE$1,PortfolioRef[Reference '#]),0),AssetMonthlyReturns[[#This Row],[SPY]:[PE]])</f>
        <v>5.4761866960167944E-2</v>
      </c>
      <c r="KF82" s="27">
        <f>IF(ISNUMBER(KF81),KF81*(1+PortfolioFrontier[[#This Row],[P73 Return]]),1+PortfolioFrontier[[#This Row],[P73 Return]])</f>
        <v>1.5100339388089072</v>
      </c>
      <c r="KG82" s="27">
        <f>MAX(KG81,PortfolioFrontier[[#This Row],[P73 Growth]])</f>
        <v>1.6974712283523181</v>
      </c>
      <c r="KH82" s="27">
        <f>PortfolioFrontier[[#This Row],[P73 Growth]]/PortfolioFrontier[[#This Row],[P73 HWM]]-1</f>
        <v>-0.11042148250450778</v>
      </c>
      <c r="KI82" s="28">
        <f>SUMPRODUCT(INDEX(PortfolioRef[[SPY]:[PE]],MATCH(KI$1,PortfolioRef[Reference '#]),0),AssetMonthlyReturns[[#This Row],[SPY]:[PE]])</f>
        <v>5.34667264923551E-2</v>
      </c>
      <c r="KJ82" s="27">
        <f>IF(ISNUMBER(KJ81),KJ81*(1+PortfolioFrontier[[#This Row],[P74 Return]]),1+PortfolioFrontier[[#This Row],[P74 Return]])</f>
        <v>1.5034346726245444</v>
      </c>
      <c r="KK82" s="27">
        <f>MAX(KK81,PortfolioFrontier[[#This Row],[P74 Growth]])</f>
        <v>1.6654678920548054</v>
      </c>
      <c r="KL82" s="27">
        <f>PortfolioFrontier[[#This Row],[P74 Growth]]/PortfolioFrontier[[#This Row],[P74 HWM]]-1</f>
        <v>-9.7289908861796892E-2</v>
      </c>
      <c r="KM82" s="28">
        <f>SUMPRODUCT(INDEX(PortfolioRef[[SPY]:[PE]],MATCH(KM$1,PortfolioRef[Reference '#]),0),AssetMonthlyReturns[[#This Row],[SPY]:[PE]])</f>
        <v>5.2171586024542249E-2</v>
      </c>
      <c r="KN82" s="27">
        <f>IF(ISNUMBER(KN81),KN81*(1+PortfolioFrontier[[#This Row],[P75 Return]]),1+PortfolioFrontier[[#This Row],[P75 Return]])</f>
        <v>1.495961430010146</v>
      </c>
      <c r="KO82" s="27">
        <f>MAX(KO81,PortfolioFrontier[[#This Row],[P75 Growth]])</f>
        <v>1.6333591346427441</v>
      </c>
      <c r="KP82" s="27">
        <f>PortfolioFrontier[[#This Row],[P75 Growth]]/PortfolioFrontier[[#This Row],[P75 HWM]]-1</f>
        <v>-8.4119714837025295E-2</v>
      </c>
      <c r="KQ82" s="28">
        <f>SUMPRODUCT(INDEX(PortfolioRef[[SPY]:[PE]],MATCH(KQ$1,PortfolioRef[Reference '#]),0),AssetMonthlyReturns[[#This Row],[SPY]:[PE]])</f>
        <v>5.35889685235134E-2</v>
      </c>
      <c r="KR82" s="27">
        <f>IF(ISNUMBER(KR81),KR81*(1+PortfolioFrontier[[#This Row],[P76 Return]]),1+PortfolioFrontier[[#This Row],[P76 Return]])</f>
        <v>1.5112439555433834</v>
      </c>
      <c r="KS82" s="27">
        <f>MAX(KS81,PortfolioFrontier[[#This Row],[P76 Growth]])</f>
        <v>1.7167314071133803</v>
      </c>
      <c r="KT82" s="27">
        <f>PortfolioFrontier[[#This Row],[P76 Growth]]/PortfolioFrontier[[#This Row],[P76 HWM]]-1</f>
        <v>-0.1196969139834847</v>
      </c>
      <c r="KU82" s="28">
        <f>SUMPRODUCT(INDEX(PortfolioRef[[SPY]:[PE]],MATCH(KU$1,PortfolioRef[Reference '#]),0),AssetMonthlyReturns[[#This Row],[SPY]:[PE]])</f>
        <v>5.2293828055700556E-2</v>
      </c>
      <c r="KV82" s="27">
        <f>IF(ISNUMBER(KV81),KV81*(1+PortfolioFrontier[[#This Row],[P77 Return]]),1+PortfolioFrontier[[#This Row],[P77 Return]])</f>
        <v>1.5053370342218741</v>
      </c>
      <c r="KW82" s="27">
        <f>MAX(KW81,PortfolioFrontier[[#This Row],[P77 Growth]])</f>
        <v>1.6849217747429484</v>
      </c>
      <c r="KX82" s="27">
        <f>PortfolioFrontier[[#This Row],[P77 Growth]]/PortfolioFrontier[[#This Row],[P77 HWM]]-1</f>
        <v>-0.10658342910220364</v>
      </c>
      <c r="KY82" s="28">
        <f>SUMPRODUCT(INDEX(PortfolioRef[[SPY]:[PE]],MATCH(KY$1,PortfolioRef[Reference '#]),0),AssetMonthlyReturns[[#This Row],[SPY]:[PE]])</f>
        <v>5.0998687587887705E-2</v>
      </c>
      <c r="KZ82" s="27">
        <f>IF(ISNUMBER(KZ81),KZ81*(1+PortfolioFrontier[[#This Row],[P78 Return]]),1+PortfolioFrontier[[#This Row],[P78 Return]])</f>
        <v>1.4985444149342908</v>
      </c>
      <c r="LA82" s="27">
        <f>MAX(LA81,PortfolioFrontier[[#This Row],[P78 Growth]])</f>
        <v>1.6529805725839544</v>
      </c>
      <c r="LB82" s="27">
        <f>PortfolioFrontier[[#This Row],[P78 Growth]]/PortfolioFrontier[[#This Row],[P78 HWM]]-1</f>
        <v>-9.3428900624190403E-2</v>
      </c>
      <c r="LC82" s="28">
        <f>SUMPRODUCT(INDEX(PortfolioRef[[SPY]:[PE]],MATCH(LC$1,PortfolioRef[Reference '#]),0),AssetMonthlyReturns[[#This Row],[SPY]:[PE]])</f>
        <v>5.7108066430742663E-2</v>
      </c>
      <c r="LD82" s="27">
        <f>IF(ISNUMBER(LD81),LD81*(1+PortfolioFrontier[[#This Row],[P79 Return]]),1+PortfolioFrontier[[#This Row],[P79 Return]])</f>
        <v>1.5313877375666431</v>
      </c>
      <c r="LE82" s="27">
        <f>MAX(LE81,PortfolioFrontier[[#This Row],[P79 Growth]])</f>
        <v>1.7129874860839263</v>
      </c>
      <c r="LF82" s="27">
        <f>PortfolioFrontier[[#This Row],[P79 Growth]]/PortfolioFrontier[[#This Row],[P79 HWM]]-1</f>
        <v>-0.1060134706135184</v>
      </c>
      <c r="LG82" s="28">
        <f>SUMPRODUCT(INDEX(PortfolioRef[[SPY]:[PE]],MATCH(LG$1,PortfolioRef[Reference '#]),0),AssetMonthlyReturns[[#This Row],[SPY]:[PE]])</f>
        <v>5.5812925962929819E-2</v>
      </c>
      <c r="LH82" s="27">
        <f>IF(ISNUMBER(LH81),LH81*(1+PortfolioFrontier[[#This Row],[P80 Return]]),1+PortfolioFrontier[[#This Row],[P80 Return]])</f>
        <v>1.5247336707931831</v>
      </c>
      <c r="LI82" s="27">
        <f>MAX(LI81,PortfolioFrontier[[#This Row],[P80 Growth]])</f>
        <v>1.6807562405101484</v>
      </c>
      <c r="LJ82" s="27">
        <f>PortfolioFrontier[[#This Row],[P80 Growth]]/PortfolioFrontier[[#This Row],[P80 HWM]]-1</f>
        <v>-9.282879096709995E-2</v>
      </c>
      <c r="LK82" s="28">
        <f>SUMPRODUCT(INDEX(PortfolioRef[[SPY]:[PE]],MATCH(LK$1,PortfolioRef[Reference '#]),0),AssetMonthlyReturns[[#This Row],[SPY]:[PE]])</f>
        <v>5.4517785495116967E-2</v>
      </c>
      <c r="LL82" s="27">
        <f>IF(ISNUMBER(LL81),LL81*(1+PortfolioFrontier[[#This Row],[P81 Return]]),1+PortfolioFrontier[[#This Row],[P81 Return]])</f>
        <v>1.5171934436803924</v>
      </c>
      <c r="LM82" s="27">
        <f>MAX(LM81,PortfolioFrontier[[#This Row],[P81 Growth]])</f>
        <v>1.648416413491208</v>
      </c>
      <c r="LN82" s="27">
        <f>PortfolioFrontier[[#This Row],[P81 Growth]]/PortfolioFrontier[[#This Row],[P81 HWM]]-1</f>
        <v>-7.9605473918387126E-2</v>
      </c>
      <c r="LO82" s="28">
        <f>SUMPRODUCT(INDEX(PortfolioRef[[SPY]:[PE]],MATCH(LO$1,PortfolioRef[Reference '#]),0),AssetMonthlyReturns[[#This Row],[SPY]:[PE]])</f>
        <v>5.5935167994088111E-2</v>
      </c>
      <c r="LP82" s="27">
        <f>IF(ISNUMBER(LP81),LP81*(1+PortfolioFrontier[[#This Row],[P82 Return]]),1+PortfolioFrontier[[#This Row],[P82 Return]])</f>
        <v>1.5329345235827256</v>
      </c>
      <c r="LQ82" s="27">
        <f>MAX(LQ81,PortfolioFrontier[[#This Row],[P82 Growth]])</f>
        <v>1.7327259878391794</v>
      </c>
      <c r="LR82" s="27">
        <f>PortfolioFrontier[[#This Row],[P82 Growth]]/PortfolioFrontier[[#This Row],[P82 HWM]]-1</f>
        <v>-0.11530470810656368</v>
      </c>
      <c r="LS82" s="28">
        <f>SUMPRODUCT(INDEX(PortfolioRef[[SPY]:[PE]],MATCH(LS$1,PortfolioRef[Reference '#]),0),AssetMonthlyReturns[[#This Row],[SPY]:[PE]])</f>
        <v>5.4640027526275267E-2</v>
      </c>
      <c r="LT82" s="27">
        <f>IF(ISNUMBER(LT81),LT81*(1+PortfolioFrontier[[#This Row],[P83 Return]]),1+PortfolioFrontier[[#This Row],[P83 Return]])</f>
        <v>1.5269813554445515</v>
      </c>
      <c r="LU82" s="27">
        <f>MAX(LU81,PortfolioFrontier[[#This Row],[P83 Growth]])</f>
        <v>1.7006855237848306</v>
      </c>
      <c r="LV82" s="27">
        <f>PortfolioFrontier[[#This Row],[P83 Growth]]/PortfolioFrontier[[#This Row],[P83 HWM]]-1</f>
        <v>-0.10213773558423966</v>
      </c>
      <c r="LW82" s="28">
        <f>SUMPRODUCT(INDEX(PortfolioRef[[SPY]:[PE]],MATCH(LW$1,PortfolioRef[Reference '#]),0),AssetMonthlyReturns[[#This Row],[SPY]:[PE]])</f>
        <v>5.3344887058462416E-2</v>
      </c>
      <c r="LX82" s="27">
        <f>IF(ISNUMBER(LX81),LX81*(1+PortfolioFrontier[[#This Row],[P84 Return]]),1+PortfolioFrontier[[#This Row],[P84 Return]])</f>
        <v>1.5201299991079105</v>
      </c>
      <c r="LY82" s="27">
        <f>MAX(LY81,PortfolioFrontier[[#This Row],[P84 Growth]])</f>
        <v>1.6685100840279028</v>
      </c>
      <c r="LZ82" s="27">
        <f>PortfolioFrontier[[#This Row],[P84 Growth]]/PortfolioFrontier[[#This Row],[P84 HWM]]-1</f>
        <v>-8.8929690231054681E-2</v>
      </c>
      <c r="MA82" s="28">
        <f>SUMPRODUCT(INDEX(PortfolioRef[[SPY]:[PE]],MATCH(MA$1,PortfolioRef[Reference '#]),0),AssetMonthlyReturns[[#This Row],[SPY]:[PE]])</f>
        <v>5.4762269557433574E-2</v>
      </c>
      <c r="MB82" s="27">
        <f>IF(ISNUMBER(MB81),MB81*(1+PortfolioFrontier[[#This Row],[P85 Return]]),1+PortfolioFrontier[[#This Row],[P85 Return]])</f>
        <v>1.5334706967329665</v>
      </c>
      <c r="MC82" s="27">
        <f>MAX(MC81,PortfolioFrontier[[#This Row],[P85 Growth]])</f>
        <v>1.7517641950154219</v>
      </c>
      <c r="MD82" s="27">
        <f>PortfolioFrontier[[#This Row],[P85 Growth]]/PortfolioFrontier[[#This Row],[P85 HWM]]-1</f>
        <v>-0.12461351756338046</v>
      </c>
      <c r="ME82" s="28">
        <f>SUMPRODUCT(INDEX(PortfolioRef[[SPY]:[PE]],MATCH(ME$1,PortfolioRef[Reference '#]),0),AssetMonthlyReturns[[#This Row],[SPY]:[PE]])</f>
        <v>5.346712908962073E-2</v>
      </c>
      <c r="MF82" s="27">
        <f>IF(ISNUMBER(MF81),MF81*(1+PortfolioFrontier[[#This Row],[P86 Return]]),1+PortfolioFrontier[[#This Row],[P86 Return]])</f>
        <v>1.5282277394141335</v>
      </c>
      <c r="MG82" s="27">
        <f>MAX(MG81,PortfolioFrontier[[#This Row],[P86 Growth]])</f>
        <v>1.7199439154573082</v>
      </c>
      <c r="MH82" s="27">
        <f>PortfolioFrontier[[#This Row],[P86 Growth]]/PortfolioFrontier[[#This Row],[P86 HWM]]-1</f>
        <v>-0.11146652767000265</v>
      </c>
      <c r="MI82" s="28">
        <f>SUMPRODUCT(INDEX(PortfolioRef[[SPY]:[PE]],MATCH(MI$1,PortfolioRef[Reference '#]),0),AssetMonthlyReturns[[#This Row],[SPY]:[PE]])</f>
        <v>5.2171988621807878E-2</v>
      </c>
      <c r="MJ82" s="27">
        <f>IF(ISNUMBER(MJ81),MJ81*(1+PortfolioFrontier[[#This Row],[P87 Return]]),1+PortfolioFrontier[[#This Row],[P87 Return]])</f>
        <v>1.5220755506453663</v>
      </c>
      <c r="MK82" s="27">
        <f>MAX(MK81,PortfolioFrontier[[#This Row],[P87 Growth]])</f>
        <v>1.6879617873128629</v>
      </c>
      <c r="ML82" s="27">
        <f>PortfolioFrontier[[#This Row],[P87 Growth]]/PortfolioFrontier[[#This Row],[P87 HWM]]-1</f>
        <v>-9.8276061646856316E-2</v>
      </c>
      <c r="MM82" s="28">
        <f>SUMPRODUCT(INDEX(PortfolioRef[[SPY]:[PE]],MATCH(MM$1,PortfolioRef[Reference '#]),0),AssetMonthlyReturns[[#This Row],[SPY]:[PE]])</f>
        <v>5.8281367464662837E-2</v>
      </c>
      <c r="MN82" s="27">
        <f>IF(ISNUMBER(MN81),MN81*(1+PortfolioFrontier[[#This Row],[P88 Return]]),1+PortfolioFrontier[[#This Row],[P88 Return]])</f>
        <v>1.5545756105707658</v>
      </c>
      <c r="MO82" s="27">
        <f>MAX(MO81,PortfolioFrontier[[#This Row],[P88 Growth]])</f>
        <v>1.7485237047822844</v>
      </c>
      <c r="MP82" s="27">
        <f>PortfolioFrontier[[#This Row],[P88 Growth]]/PortfolioFrontier[[#This Row],[P88 HWM]]-1</f>
        <v>-0.11092105510555139</v>
      </c>
      <c r="MQ82" s="28">
        <f>SUMPRODUCT(INDEX(PortfolioRef[[SPY]:[PE]],MATCH(MQ$1,PortfolioRef[Reference '#]),0),AssetMonthlyReturns[[#This Row],[SPY]:[PE]])</f>
        <v>5.6986226996849992E-2</v>
      </c>
      <c r="MR82" s="27">
        <f>IF(ISNUMBER(MR81),MR81*(1+PortfolioFrontier[[#This Row],[P89 Return]]),1+PortfolioFrontier[[#This Row],[P89 Return]])</f>
        <v>1.5485771319605708</v>
      </c>
      <c r="MS82" s="27">
        <f>MAX(MS81,PortfolioFrontier[[#This Row],[P89 Growth]])</f>
        <v>1.7162568132506029</v>
      </c>
      <c r="MT82" s="27">
        <f>PortfolioFrontier[[#This Row],[P89 Growth]]/PortfolioFrontier[[#This Row],[P89 HWM]]-1</f>
        <v>-9.7700810272354E-2</v>
      </c>
      <c r="MU82" s="28">
        <f>SUMPRODUCT(INDEX(PortfolioRef[[SPY]:[PE]],MATCH(MU$1,PortfolioRef[Reference '#]),0),AssetMonthlyReturns[[#This Row],[SPY]:[PE]])</f>
        <v>5.5691086529037141E-2</v>
      </c>
      <c r="MV82" s="27">
        <f>IF(ISNUMBER(MV81),MV81*(1+PortfolioFrontier[[#This Row],[P90 Return]]),1+PortfolioFrontier[[#This Row],[P90 Return]])</f>
        <v>1.5416680037129233</v>
      </c>
      <c r="MW82" s="27">
        <f>MAX(MW81,PortfolioFrontier[[#This Row],[P90 Growth]])</f>
        <v>1.6838515290273213</v>
      </c>
      <c r="MX82" s="27">
        <f>PortfolioFrontier[[#This Row],[P90 Growth]]/PortfolioFrontier[[#This Row],[P90 HWM]]-1</f>
        <v>-8.4439466819577813E-2</v>
      </c>
      <c r="MY82" s="28">
        <f>SUMPRODUCT(INDEX(PortfolioRef[[SPY]:[PE]],MATCH(MY$1,PortfolioRef[Reference '#]),0),AssetMonthlyReturns[[#This Row],[SPY]:[PE]])</f>
        <v>5.7108469028008285E-2</v>
      </c>
      <c r="MZ82" s="27">
        <f>IF(ISNUMBER(MZ81),MZ81*(1+PortfolioFrontier[[#This Row],[P91 Return]]),1+PortfolioFrontier[[#This Row],[P91 Return]])</f>
        <v>1.5554434861066166</v>
      </c>
      <c r="NA82" s="27">
        <f>MAX(NA81,PortfolioFrontier[[#This Row],[P91 Growth]])</f>
        <v>1.7680436458517257</v>
      </c>
      <c r="NB82" s="27">
        <f>PortfolioFrontier[[#This Row],[P91 Growth]]/PortfolioFrontier[[#This Row],[P91 HWM]]-1</f>
        <v>-0.12024599067105746</v>
      </c>
      <c r="NC82" s="28">
        <f>SUMPRODUCT(INDEX(PortfolioRef[[SPY]:[PE]],MATCH(NC$1,PortfolioRef[Reference '#]),0),AssetMonthlyReturns[[#This Row],[SPY]:[PE]])</f>
        <v>5.5813328560195441E-2</v>
      </c>
      <c r="ND82" s="27">
        <f>IF(ISNUMBER(ND81),ND81*(1+PortfolioFrontier[[#This Row],[P92 Return]]),1+PortfolioFrontier[[#This Row],[P92 Return]])</f>
        <v>1.5501641230229537</v>
      </c>
      <c r="NE82" s="27">
        <f>MAX(NE81,PortfolioFrontier[[#This Row],[P92 Growth]])</f>
        <v>1.73599424265744</v>
      </c>
      <c r="NF82" s="27">
        <f>PortfolioFrontier[[#This Row],[P92 Growth]]/PortfolioFrontier[[#This Row],[P92 HWM]]-1</f>
        <v>-0.10704535479911481</v>
      </c>
      <c r="NG82" s="28">
        <f>SUMPRODUCT(INDEX(PortfolioRef[[SPY]:[PE]],MATCH(NG$1,PortfolioRef[Reference '#]),0),AssetMonthlyReturns[[#This Row],[SPY]:[PE]])</f>
        <v>5.451818809238259E-2</v>
      </c>
      <c r="NH82" s="27">
        <f>IF(ISNUMBER(NH81),NH81*(1+PortfolioFrontier[[#This Row],[P93 Return]]),1+PortfolioFrontier[[#This Row],[P93 Return]])</f>
        <v>1.5439627664377333</v>
      </c>
      <c r="NI82" s="27">
        <f>MAX(NI81,PortfolioFrontier[[#This Row],[P93 Growth]])</f>
        <v>1.7037793193389816</v>
      </c>
      <c r="NJ82" s="27">
        <f>PortfolioFrontier[[#This Row],[P93 Growth]]/PortfolioFrontier[[#This Row],[P93 HWM]]-1</f>
        <v>-9.3801204819913275E-2</v>
      </c>
      <c r="NK82" s="28">
        <f>SUMPRODUCT(INDEX(PortfolioRef[[SPY]:[PE]],MATCH(NK$1,PortfolioRef[Reference '#]),0),AssetMonthlyReturns[[#This Row],[SPY]:[PE]])</f>
        <v>5.5935570591353741E-2</v>
      </c>
      <c r="NL82" s="27">
        <f>IF(ISNUMBER(NL81),NL81*(1+PortfolioFrontier[[#This Row],[P94 Return]]),1+PortfolioFrontier[[#This Row],[P94 Return]])</f>
        <v>1.5552815581607029</v>
      </c>
      <c r="NM82" s="27">
        <f>MAX(NM81,PortfolioFrontier[[#This Row],[P94 Growth]])</f>
        <v>1.7868313973018393</v>
      </c>
      <c r="NN82" s="27">
        <f>PortfolioFrontier[[#This Row],[P94 Growth]]/PortfolioFrontier[[#This Row],[P94 HWM]]-1</f>
        <v>-0.12958684265945997</v>
      </c>
      <c r="NO82" s="28">
        <f>SUMPRODUCT(INDEX(PortfolioRef[[SPY]:[PE]],MATCH(NO$1,PortfolioRef[Reference '#]),0),AssetMonthlyReturns[[#This Row],[SPY]:[PE]])</f>
        <v>5.4640430123540897E-2</v>
      </c>
      <c r="NP82" s="27">
        <f>IF(ISNUMBER(NP81),NP81*(1+PortfolioFrontier[[#This Row],[P95 Return]]),1+PortfolioFrontier[[#This Row],[P95 Return]])</f>
        <v>1.5507298212590011</v>
      </c>
      <c r="NQ82" s="27">
        <f>MAX(NQ81,PortfolioFrontier[[#This Row],[P95 Growth]])</f>
        <v>1.7550294195356591</v>
      </c>
      <c r="NR82" s="27">
        <f>PortfolioFrontier[[#This Row],[P95 Growth]]/PortfolioFrontier[[#This Row],[P95 HWM]]-1</f>
        <v>-0.11640807612826853</v>
      </c>
      <c r="NS82" s="28">
        <f>SUMPRODUCT(INDEX(PortfolioRef[[SPY]:[PE]],MATCH(NS$1,PortfolioRef[Reference '#]),0),AssetMonthlyReturns[[#This Row],[SPY]:[PE]])</f>
        <v>5.3345289655728045E-2</v>
      </c>
      <c r="NT82" s="27">
        <f>IF(ISNUMBER(NT81),NT81*(1+PortfolioFrontier[[#This Row],[P96 Return]]),1+PortfolioFrontier[[#This Row],[P96 Return]])</f>
        <v>1.5452457701122255</v>
      </c>
      <c r="NU82" s="27">
        <f>MAX(NU81,PortfolioFrontier[[#This Row],[P96 Growth]])</f>
        <v>1.7230343324336159</v>
      </c>
      <c r="NV82" s="27">
        <f>PortfolioFrontier[[#This Row],[P96 Growth]]/PortfolioFrontier[[#This Row],[P96 HWM]]-1</f>
        <v>-0.10318341252683083</v>
      </c>
      <c r="NW82" s="28">
        <f>SUMPRODUCT(INDEX(PortfolioRef[[SPY]:[PE]],MATCH(NW$1,PortfolioRef[Reference '#]),0),AssetMonthlyReturns[[#This Row],[SPY]:[PE]])</f>
        <v>4.9189219912956814E-2</v>
      </c>
      <c r="NX82" s="27">
        <f>IF(ISNUMBER(NX81),NX81*(1+PortfolioFrontier[[#This Row],[P97 Return]]),1+PortfolioFrontier[[#This Row],[P97 Return]])</f>
        <v>1.3867597080890304</v>
      </c>
      <c r="NY82" s="27">
        <f>MAX(NY81,PortfolioFrontier[[#This Row],[P97 Growth]])</f>
        <v>1.5498139523617234</v>
      </c>
      <c r="NZ82" s="27">
        <f>PortfolioFrontier[[#This Row],[P97 Growth]]/PortfolioFrontier[[#This Row],[P97 HWM]]-1</f>
        <v>-0.10520891493086548</v>
      </c>
      <c r="OA82" s="28">
        <f>SUMPRODUCT(INDEX(PortfolioRef[[SPY]:[PE]],MATCH(OA$1,PortfolioRef[Reference '#]),0),AssetMonthlyReturns[[#This Row],[SPY]:[PE]])</f>
        <v>5.1535419383531525E-2</v>
      </c>
      <c r="OB82" s="27">
        <f>IF(ISNUMBER(OB81),OB81*(1+PortfolioFrontier[[#This Row],[P98 Return]]),1+PortfolioFrontier[[#This Row],[P98 Return]])</f>
        <v>1.406777652415538</v>
      </c>
      <c r="OC82" s="27">
        <f>MAX(OC81,PortfolioFrontier[[#This Row],[P98 Growth]])</f>
        <v>1.5643918723292729</v>
      </c>
      <c r="OD82" s="27">
        <f>PortfolioFrontier[[#This Row],[P98 Growth]]/PortfolioFrontier[[#This Row],[P98 HWM]]-1</f>
        <v>-0.10075111147123139</v>
      </c>
      <c r="OE82" s="28">
        <f>SUMPRODUCT(INDEX(PortfolioRef[[SPY]:[PE]],MATCH(OE$1,PortfolioRef[Reference '#]),0),AssetMonthlyReturns[[#This Row],[SPY]:[PE]])</f>
        <v>5.0362520946876987E-2</v>
      </c>
      <c r="OF82" s="27">
        <f>IF(ISNUMBER(OF81),OF81*(1+PortfolioFrontier[[#This Row],[P99 Return]]),1+PortfolioFrontier[[#This Row],[P99 Return]])</f>
        <v>1.4096439442415232</v>
      </c>
      <c r="OG82" s="27">
        <f>MAX(OG81,PortfolioFrontier[[#This Row],[P99 Growth]])</f>
        <v>1.5836627563813395</v>
      </c>
      <c r="OH82" s="27">
        <f>PortfolioFrontier[[#This Row],[P99 Growth]]/PortfolioFrontier[[#This Row],[P99 HWM]]-1</f>
        <v>-0.1098837561460676</v>
      </c>
      <c r="OI82" s="28">
        <f>SUMPRODUCT(INDEX(PortfolioRef[[SPY]:[PE]],MATCH(OI$1,PortfolioRef[Reference '#]),0),AssetMonthlyReturns[[#This Row],[SPY]:[PE]])</f>
        <v>4.9067380479064143E-2</v>
      </c>
      <c r="OJ82" s="27">
        <f>IF(ISNUMBER(OJ81),OJ81*(1+PortfolioFrontier[[#This Row],[P100 Return]]),1+PortfolioFrontier[[#This Row],[P100 Return]])</f>
        <v>1.4022993663762708</v>
      </c>
      <c r="OK82" s="27">
        <f>MAX(OK81,PortfolioFrontier[[#This Row],[P100 Growth]])</f>
        <v>1.5528062347399851</v>
      </c>
      <c r="OL82" s="27">
        <f>PortfolioFrontier[[#This Row],[P100 Growth]]/PortfolioFrontier[[#This Row],[P100 HWM]]-1</f>
        <v>-9.6925723890409543E-2</v>
      </c>
      <c r="OM82" s="28">
        <f>SUMPRODUCT(INDEX(PortfolioRef[[SPY]:[PE]],MATCH(OM$1,PortfolioRef[Reference '#]),0),AssetMonthlyReturns[[#This Row],[SPY]:[PE]])</f>
        <v>5.388161885410625E-2</v>
      </c>
      <c r="ON82" s="27">
        <f>IF(ISNUMBER(ON81),ON81*(1+PortfolioFrontier[[#This Row],[P101 Return]]),1+PortfolioFrontier[[#This Row],[P101 Return]])</f>
        <v>1.4267510514363921</v>
      </c>
      <c r="OO82" s="27">
        <f>MAX(OO81,PortfolioFrontier[[#This Row],[P101 Growth]])</f>
        <v>1.5787921813488919</v>
      </c>
      <c r="OP82" s="27">
        <f>PortfolioFrontier[[#This Row],[P101 Growth]]/PortfolioFrontier[[#This Row],[P101 HWM]]-1</f>
        <v>-9.6302180685109873E-2</v>
      </c>
      <c r="OQ82" s="28">
        <f>SUMPRODUCT(INDEX(PortfolioRef[[SPY]:[PE]],MATCH(OQ$1,PortfolioRef[Reference '#]),0),AssetMonthlyReturns[[#This Row],[SPY]:[PE]])</f>
        <v>5.2708720417451699E-2</v>
      </c>
      <c r="OR82" s="27">
        <f>IF(ISNUMBER(OR81),OR81*(1+PortfolioFrontier[[#This Row],[P102 Return]]),1+PortfolioFrontier[[#This Row],[P102 Return]])</f>
        <v>1.4299571851185944</v>
      </c>
      <c r="OS82" s="27">
        <f>MAX(OS81,PortfolioFrontier[[#This Row],[P102 Growth]])</f>
        <v>1.5985203886251573</v>
      </c>
      <c r="OT82" s="27">
        <f>PortfolioFrontier[[#This Row],[P102 Growth]]/PortfolioFrontier[[#This Row],[P102 HWM]]-1</f>
        <v>-0.1054495173824711</v>
      </c>
      <c r="OU82" s="28">
        <f>SUMPRODUCT(INDEX(PortfolioRef[[SPY]:[PE]],MATCH(OU$1,PortfolioRef[Reference '#]),0),AssetMonthlyReturns[[#This Row],[SPY]:[PE]])</f>
        <v>5.1413579949638855E-2</v>
      </c>
      <c r="OV82" s="27">
        <f>IF(ISNUMBER(OV81),OV81*(1+PortfolioFrontier[[#This Row],[P103 Return]]),1+PortfolioFrontier[[#This Row],[P103 Return]])</f>
        <v>1.4225436605262063</v>
      </c>
      <c r="OW82" s="27">
        <f>MAX(OW81,PortfolioFrontier[[#This Row],[P103 Growth]])</f>
        <v>1.5674355228105428</v>
      </c>
      <c r="OX82" s="27">
        <f>PortfolioFrontier[[#This Row],[P103 Growth]]/PortfolioFrontier[[#This Row],[P103 HWM]]-1</f>
        <v>-9.2438802219139027E-2</v>
      </c>
      <c r="OY82" s="28">
        <f>SUMPRODUCT(INDEX(PortfolioRef[[SPY]:[PE]],MATCH(OY$1,PortfolioRef[Reference '#]),0),AssetMonthlyReturns[[#This Row],[SPY]:[PE]])</f>
        <v>5.1535821980797161E-2</v>
      </c>
      <c r="OZ82" s="27">
        <f>IF(ISNUMBER(OZ81),OZ81*(1+PortfolioFrontier[[#This Row],[P104 Return]]),1+PortfolioFrontier[[#This Row],[P104 Return]])</f>
        <v>1.432232860623994</v>
      </c>
      <c r="PA82" s="27">
        <f>MAX(PA81,PortfolioFrontier[[#This Row],[P104 Growth]])</f>
        <v>1.6176462594840681</v>
      </c>
      <c r="PB82" s="27">
        <f>PortfolioFrontier[[#This Row],[P104 Growth]]/PortfolioFrontier[[#This Row],[P104 HWM]]-1</f>
        <v>-0.11461924866021689</v>
      </c>
      <c r="PC82" s="28">
        <f>SUMPRODUCT(INDEX(PortfolioRef[[SPY]:[PE]],MATCH(PC$1,PortfolioRef[Reference '#]),0),AssetMonthlyReturns[[#This Row],[SPY]:[PE]])</f>
        <v>5.0240681512984317E-2</v>
      </c>
      <c r="PD82" s="27">
        <f>IF(ISNUMBER(PD81),PD81*(1+PortfolioFrontier[[#This Row],[P105 Return]]),1+PortfolioFrontier[[#This Row],[P105 Return]])</f>
        <v>1.4254625713457734</v>
      </c>
      <c r="PE82" s="27">
        <f>MAX(PE81,PortfolioFrontier[[#This Row],[P105 Growth]])</f>
        <v>1.5867085542337835</v>
      </c>
      <c r="PF82" s="27">
        <f>PortfolioFrontier[[#This Row],[P105 Growth]]/PortfolioFrontier[[#This Row],[P105 HWM]]-1</f>
        <v>-0.10162293664943112</v>
      </c>
      <c r="PG82" s="28">
        <f>SUMPRODUCT(INDEX(PortfolioRef[[SPY]:[PE]],MATCH(PG$1,PortfolioRef[Reference '#]),0),AssetMonthlyReturns[[#This Row],[SPY]:[PE]])</f>
        <v>4.8945541045171466E-2</v>
      </c>
      <c r="PH82" s="27">
        <f>IF(ISNUMBER(PH81),PH81*(1+PortfolioFrontier[[#This Row],[P106 Return]]),1+PortfolioFrontier[[#This Row],[P106 Return]])</f>
        <v>1.4178699028048212</v>
      </c>
      <c r="PI82" s="27">
        <f>MAX(PI81,PortfolioFrontier[[#This Row],[P106 Growth]])</f>
        <v>1.5556887430167754</v>
      </c>
      <c r="PJ82" s="27">
        <f>PortfolioFrontier[[#This Row],[P106 Growth]]/PortfolioFrontier[[#This Row],[P106 HWM]]-1</f>
        <v>-8.8590240708881995E-2</v>
      </c>
      <c r="PK82" s="28">
        <f>SUMPRODUCT(INDEX(PortfolioRef[[SPY]:[PE]],MATCH(PK$1,PortfolioRef[Reference '#]),0),AssetMonthlyReturns[[#This Row],[SPY]:[PE]])</f>
        <v>5.5054919888026417E-2</v>
      </c>
      <c r="PL82" s="27">
        <f>IF(ISNUMBER(PL81),PL81*(1+PortfolioFrontier[[#This Row],[P107 Return]]),1+PortfolioFrontier[[#This Row],[P107 Return]])</f>
        <v>1.450224716276451</v>
      </c>
      <c r="PM82" s="27">
        <f>MAX(PM81,PortfolioFrontier[[#This Row],[P107 Growth]])</f>
        <v>1.6131964012798079</v>
      </c>
      <c r="PN82" s="27">
        <f>PortfolioFrontier[[#This Row],[P107 Growth]]/PortfolioFrontier[[#This Row],[P107 HWM]]-1</f>
        <v>-0.10102408167664245</v>
      </c>
      <c r="PO82" s="28">
        <f>SUMPRODUCT(INDEX(PortfolioRef[[SPY]:[PE]],MATCH(PO$1,PortfolioRef[Reference '#]),0),AssetMonthlyReturns[[#This Row],[SPY]:[PE]])</f>
        <v>5.3759779420213573E-2</v>
      </c>
      <c r="PP82" s="27">
        <f>IF(ISNUMBER(PP81),PP81*(1+PortfolioFrontier[[#This Row],[P108 Return]]),1+PortfolioFrontier[[#This Row],[P108 Return]])</f>
        <v>1.4427431854235191</v>
      </c>
      <c r="PQ82" s="27">
        <f>MAX(PQ81,PortfolioFrontier[[#This Row],[P108 Growth]])</f>
        <v>1.5818874318633449</v>
      </c>
      <c r="PR82" s="27">
        <f>PortfolioFrontier[[#This Row],[P108 Growth]]/PortfolioFrontier[[#This Row],[P108 HWM]]-1</f>
        <v>-8.7960902676825992E-2</v>
      </c>
      <c r="PS82" s="28">
        <f>SUMPRODUCT(INDEX(PortfolioRef[[SPY]:[PE]],MATCH(PS$1,PortfolioRef[Reference '#]),0),AssetMonthlyReturns[[#This Row],[SPY]:[PE]])</f>
        <v>5.3882021451371873E-2</v>
      </c>
      <c r="PT82" s="27">
        <f>IF(ISNUMBER(PT81),PT81*(1+PortfolioFrontier[[#This Row],[P109 Return]]),1+PortfolioFrontier[[#This Row],[P109 Return]])</f>
        <v>1.4528363509522599</v>
      </c>
      <c r="PU82" s="27">
        <f>MAX(PU81,PortfolioFrontier[[#This Row],[P109 Growth]])</f>
        <v>1.6327835279326679</v>
      </c>
      <c r="PV82" s="27">
        <f>PortfolioFrontier[[#This Row],[P109 Growth]]/PortfolioFrontier[[#This Row],[P109 HWM]]-1</f>
        <v>-0.11020883901753109</v>
      </c>
      <c r="PW82" s="28">
        <f>SUMPRODUCT(INDEX(PortfolioRef[[SPY]:[PE]],MATCH(PW$1,PortfolioRef[Reference '#]),0),AssetMonthlyReturns[[#This Row],[SPY]:[PE]])</f>
        <v>5.2586880983559028E-2</v>
      </c>
      <c r="PX82" s="27">
        <f>IF(ISNUMBER(PX81),PX81*(1+PortfolioFrontier[[#This Row],[P110 Return]]),1+PortfolioFrontier[[#This Row],[P110 Return]])</f>
        <v>1.4460057925769647</v>
      </c>
      <c r="PY82" s="27">
        <f>MAX(PY81,PortfolioFrontier[[#This Row],[P110 Growth]])</f>
        <v>1.6016185143364081</v>
      </c>
      <c r="PZ82" s="27">
        <f>PortfolioFrontier[[#This Row],[P110 Growth]]/PortfolioFrontier[[#This Row],[P110 HWM]]-1</f>
        <v>-9.7159667153271956E-2</v>
      </c>
      <c r="QA82" s="28">
        <f>SUMPRODUCT(INDEX(PortfolioRef[[SPY]:[PE]],MATCH(QA$1,PortfolioRef[Reference '#]),0),AssetMonthlyReturns[[#This Row],[SPY]:[PE]])</f>
        <v>5.1291740515746177E-2</v>
      </c>
      <c r="QB82" s="27">
        <f>IF(ISNUMBER(QB81),QB81*(1+PortfolioFrontier[[#This Row],[P111 Return]]),1+PortfolioFrontier[[#This Row],[P111 Return]])</f>
        <v>1.4383411688367669</v>
      </c>
      <c r="QC82" s="27">
        <f>MAX(QC81,PortfolioFrontier[[#This Row],[P111 Growth]])</f>
        <v>1.5703684845094485</v>
      </c>
      <c r="QD82" s="27">
        <f>PortfolioFrontier[[#This Row],[P111 Growth]]/PortfolioFrontier[[#This Row],[P111 HWM]]-1</f>
        <v>-8.40740991525466E-2</v>
      </c>
      <c r="QE82" s="28">
        <f>SUMPRODUCT(INDEX(PortfolioRef[[SPY]:[PE]],MATCH(QE$1,PortfolioRef[Reference '#]),0),AssetMonthlyReturns[[#This Row],[SPY]:[PE]])</f>
        <v>5.2709123014717321E-2</v>
      </c>
      <c r="QF82" s="27">
        <f>IF(ISNUMBER(QF81),QF81*(1+PortfolioFrontier[[#This Row],[P112 Return]]),1+PortfolioFrontier[[#This Row],[P112 Return]])</f>
        <v>1.4544974287066716</v>
      </c>
      <c r="QG82" s="27">
        <f>MAX(QG81,PortfolioFrontier[[#This Row],[P112 Growth]])</f>
        <v>1.6517386955477045</v>
      </c>
      <c r="QH82" s="27">
        <f>PortfolioFrontier[[#This Row],[P112 Growth]]/PortfolioFrontier[[#This Row],[P112 HWM]]-1</f>
        <v>-0.11941432829097043</v>
      </c>
      <c r="QI82" s="28">
        <f>SUMPRODUCT(INDEX(PortfolioRef[[SPY]:[PE]],MATCH(QI$1,PortfolioRef[Reference '#]),0),AssetMonthlyReturns[[#This Row],[SPY]:[PE]])</f>
        <v>5.1413982546904477E-2</v>
      </c>
      <c r="QJ82" s="27">
        <f>IF(ISNUMBER(QJ81),QJ81*(1+PortfolioFrontier[[#This Row],[P113 Return]]),1+PortfolioFrontier[[#This Row],[P113 Return]])</f>
        <v>1.4483281634244525</v>
      </c>
      <c r="QK82" s="27">
        <f>MAX(QK81,PortfolioFrontier[[#This Row],[P113 Growth]])</f>
        <v>1.6207454292109018</v>
      </c>
      <c r="QL82" s="27">
        <f>PortfolioFrontier[[#This Row],[P113 Growth]]/PortfolioFrontier[[#This Row],[P113 HWM]]-1</f>
        <v>-0.10638146045575758</v>
      </c>
      <c r="QM82" s="28">
        <f>SUMPRODUCT(INDEX(PortfolioRef[[SPY]:[PE]],MATCH(QM$1,PortfolioRef[Reference '#]),0),AssetMonthlyReturns[[#This Row],[SPY]:[PE]])</f>
        <v>5.0118842079091626E-2</v>
      </c>
      <c r="QN82" s="27">
        <f>IF(ISNUMBER(QN81),QN81*(1+PortfolioFrontier[[#This Row],[P114 Return]]),1+PortfolioFrontier[[#This Row],[P114 Return]])</f>
        <v>1.441312973300418</v>
      </c>
      <c r="QO82" s="27">
        <f>MAX(QO81,PortfolioFrontier[[#This Row],[P114 Growth]])</f>
        <v>1.5896421022161857</v>
      </c>
      <c r="QP82" s="27">
        <f>PortfolioFrontier[[#This Row],[P114 Growth]]/PortfolioFrontier[[#This Row],[P114 HWM]]-1</f>
        <v>-9.3309763693963599E-2</v>
      </c>
      <c r="QQ82" s="28">
        <f>SUMPRODUCT(INDEX(PortfolioRef[[SPY]:[PE]],MATCH(QQ$1,PortfolioRef[Reference '#]),0),AssetMonthlyReturns[[#This Row],[SPY]:[PE]])</f>
        <v>5.6228220921946591E-2</v>
      </c>
      <c r="QR82" s="27">
        <f>IF(ISNUMBER(QR81),QR81*(1+PortfolioFrontier[[#This Row],[P115 Return]]),1+PortfolioFrontier[[#This Row],[P115 Return]])</f>
        <v>1.4733929660793534</v>
      </c>
      <c r="QS82" s="27">
        <f>MAX(QS81,PortfolioFrontier[[#This Row],[P115 Growth]])</f>
        <v>1.6477351477866757</v>
      </c>
      <c r="QT82" s="27">
        <f>PortfolioFrontier[[#This Row],[P115 Growth]]/PortfolioFrontier[[#This Row],[P115 HWM]]-1</f>
        <v>-0.10580716320915284</v>
      </c>
      <c r="QU82" s="28">
        <f>SUMPRODUCT(INDEX(PortfolioRef[[SPY]:[PE]],MATCH(QU$1,PortfolioRef[Reference '#]),0),AssetMonthlyReturns[[#This Row],[SPY]:[PE]])</f>
        <v>5.4933080454133747E-2</v>
      </c>
      <c r="QV82" s="27">
        <f>IF(ISNUMBER(QV81),QV81*(1+PortfolioFrontier[[#This Row],[P116 Return]]),1+PortfolioFrontier[[#This Row],[P116 Return]])</f>
        <v>1.4665030699477544</v>
      </c>
      <c r="QW82" s="27">
        <f>MAX(QW81,PortfolioFrontier[[#This Row],[P116 Growth]])</f>
        <v>1.6163470917094751</v>
      </c>
      <c r="QX82" s="27">
        <f>PortfolioFrontier[[#This Row],[P116 Growth]]/PortfolioFrontier[[#This Row],[P116 HWM]]-1</f>
        <v>-9.2705349321501984E-2</v>
      </c>
      <c r="QY82" s="28">
        <f>SUMPRODUCT(INDEX(PortfolioRef[[SPY]:[PE]],MATCH(QY$1,PortfolioRef[Reference '#]),0),AssetMonthlyReturns[[#This Row],[SPY]:[PE]])</f>
        <v>5.3637939986320896E-2</v>
      </c>
      <c r="QZ82" s="27">
        <f>IF(ISNUMBER(QZ81),QZ81*(1+PortfolioFrontier[[#This Row],[P117 Return]]),1+PortfolioFrontier[[#This Row],[P117 Return]])</f>
        <v>1.4587674478315822</v>
      </c>
      <c r="RA82" s="27">
        <f>MAX(RA81,PortfolioFrontier[[#This Row],[P117 Growth]])</f>
        <v>1.5848710929942145</v>
      </c>
      <c r="RB82" s="27">
        <f>PortfolioFrontier[[#This Row],[P117 Growth]]/PortfolioFrontier[[#This Row],[P117 HWM]]-1</f>
        <v>-7.9567130550908916E-2</v>
      </c>
      <c r="RC82" s="28">
        <f>SUMPRODUCT(INDEX(PortfolioRef[[SPY]:[PE]],MATCH(RC$1,PortfolioRef[Reference '#]),0),AssetMonthlyReturns[[#This Row],[SPY]:[PE]])</f>
        <v>5.5055322485292046E-2</v>
      </c>
      <c r="RD82" s="27">
        <f>IF(ISNUMBER(RD81),RD81*(1+PortfolioFrontier[[#This Row],[P118 Return]]),1+PortfolioFrontier[[#This Row],[P118 Return]])</f>
        <v>1.4753857420007455</v>
      </c>
      <c r="RE82" s="27">
        <f>MAX(RE81,PortfolioFrontier[[#This Row],[P118 Growth]])</f>
        <v>1.667155293527623</v>
      </c>
      <c r="RF82" s="27">
        <f>PortfolioFrontier[[#This Row],[P118 Growth]]/PortfolioFrontier[[#This Row],[P118 HWM]]-1</f>
        <v>-0.11502800745160469</v>
      </c>
      <c r="RG82" s="28">
        <f>SUMPRODUCT(INDEX(PortfolioRef[[SPY]:[PE]],MATCH(RG$1,PortfolioRef[Reference '#]),0),AssetMonthlyReturns[[#This Row],[SPY]:[PE]])</f>
        <v>5.3760182017479202E-2</v>
      </c>
      <c r="RH82" s="27">
        <f>IF(ISNUMBER(RH81),RH81*(1+PortfolioFrontier[[#This Row],[P119 Return]]),1+PortfolioFrontier[[#This Row],[P119 Return]])</f>
        <v>1.4691652203235501</v>
      </c>
      <c r="RI82" s="27">
        <f>MAX(RI81,PortfolioFrontier[[#This Row],[P119 Growth]])</f>
        <v>1.6359359857167841</v>
      </c>
      <c r="RJ82" s="27">
        <f>PortfolioFrontier[[#This Row],[P119 Growth]]/PortfolioFrontier[[#This Row],[P119 HWM]]-1</f>
        <v>-0.10194210950140781</v>
      </c>
      <c r="RK82" s="28">
        <f>SUMPRODUCT(INDEX(PortfolioRef[[SPY]:[PE]],MATCH(RK$1,PortfolioRef[Reference '#]),0),AssetMonthlyReturns[[#This Row],[SPY]:[PE]])</f>
        <v>5.2465041549666351E-2</v>
      </c>
      <c r="RL82" s="27">
        <f>IF(ISNUMBER(RL81),RL81*(1+PortfolioFrontier[[#This Row],[P120 Return]]),1+PortfolioFrontier[[#This Row],[P120 Return]])</f>
        <v>1.4620868111674596</v>
      </c>
      <c r="RM82" s="27">
        <f>MAX(RM81,PortfolioFrontier[[#This Row],[P120 Growth]])</f>
        <v>1.6046034567476111</v>
      </c>
      <c r="RN82" s="27">
        <f>PortfolioFrontier[[#This Row],[P120 Growth]]/PortfolioFrontier[[#This Row],[P120 HWM]]-1</f>
        <v>-8.8817361685746388E-2</v>
      </c>
      <c r="RO82" s="28">
        <f>SUMPRODUCT(INDEX(PortfolioRef[[SPY]:[PE]],MATCH(RO$1,PortfolioRef[Reference '#]),0),AssetMonthlyReturns[[#This Row],[SPY]:[PE]])</f>
        <v>5.3882424048637495E-2</v>
      </c>
      <c r="RP82" s="27">
        <f>IF(ISNUMBER(RP81),RP81*(1+PortfolioFrontier[[#This Row],[P121 Return]]),1+PortfolioFrontier[[#This Row],[P121 Return]])</f>
        <v>1.4764083304900744</v>
      </c>
      <c r="RQ82" s="27">
        <f>MAX(RQ81,PortfolioFrontier[[#This Row],[P121 Growth]])</f>
        <v>1.6859132740659151</v>
      </c>
      <c r="RR82" s="27">
        <f>PortfolioFrontier[[#This Row],[P121 Growth]]/PortfolioFrontier[[#This Row],[P121 HWM]]-1</f>
        <v>-0.12426792457157532</v>
      </c>
      <c r="RS82" s="28">
        <f>SUMPRODUCT(INDEX(PortfolioRef[[SPY]:[PE]],MATCH(RS$1,PortfolioRef[Reference '#]),0),AssetMonthlyReturns[[#This Row],[SPY]:[PE]])</f>
        <v>5.2587283580824651E-2</v>
      </c>
      <c r="RT82" s="27">
        <f>IF(ISNUMBER(RT81),RT81*(1+PortfolioFrontier[[#This Row],[P122 Return]]),1+PortfolioFrontier[[#This Row],[P122 Return]])</f>
        <v>1.4708667959751203</v>
      </c>
      <c r="RU82" s="27">
        <f>MAX(RU81,PortfolioFrontier[[#This Row],[P122 Growth]])</f>
        <v>1.6548910536150563</v>
      </c>
      <c r="RV82" s="27">
        <f>PortfolioFrontier[[#This Row],[P122 Growth]]/PortfolioFrontier[[#This Row],[P122 HWM]]-1</f>
        <v>-0.11120022507701699</v>
      </c>
      <c r="RW82" s="28">
        <f>SUMPRODUCT(INDEX(PortfolioRef[[SPY]:[PE]],MATCH(RW$1,PortfolioRef[Reference '#]),0),AssetMonthlyReturns[[#This Row],[SPY]:[PE]])</f>
        <v>5.12921431130118E-2</v>
      </c>
      <c r="RX82" s="27">
        <f>IF(ISNUMBER(RX81),RX81*(1+PortfolioFrontier[[#This Row],[P123 Return]]),1+PortfolioFrontier[[#This Row],[P123 Return]])</f>
        <v>1.4644561444578059</v>
      </c>
      <c r="RY82" s="27">
        <f>MAX(RY81,PortfolioFrontier[[#This Row],[P123 Growth]])</f>
        <v>1.6237298558231279</v>
      </c>
      <c r="RZ82" s="27">
        <f>PortfolioFrontier[[#This Row],[P123 Growth]]/PortfolioFrontier[[#This Row],[P123 HWM]]-1</f>
        <v>-9.8091262406812318E-2</v>
      </c>
      <c r="SA82" s="28">
        <f>SUMPRODUCT(INDEX(PortfolioRef[[SPY]:[PE]],MATCH(SA$1,PortfolioRef[Reference '#]),0),AssetMonthlyReturns[[#This Row],[SPY]:[PE]])</f>
        <v>5.7401521955866758E-2</v>
      </c>
      <c r="SB82" s="27">
        <f>IF(ISNUMBER(SB81),SB81*(1+PortfolioFrontier[[#This Row],[P124 Return]]),1+PortfolioFrontier[[#This Row],[P124 Return]])</f>
        <v>1.4962260149209616</v>
      </c>
      <c r="SC82" s="27">
        <f>MAX(SC81,PortfolioFrontier[[#This Row],[P124 Growth]])</f>
        <v>1.6823821965094672</v>
      </c>
      <c r="SD82" s="27">
        <f>PortfolioFrontier[[#This Row],[P124 Growth]]/PortfolioFrontier[[#This Row],[P124 HWM]]-1</f>
        <v>-0.11065035161138426</v>
      </c>
      <c r="SE82" s="28">
        <f>SUMPRODUCT(INDEX(PortfolioRef[[SPY]:[PE]],MATCH(SE$1,PortfolioRef[Reference '#]),0),AssetMonthlyReturns[[#This Row],[SPY]:[PE]])</f>
        <v>5.6106381488053914E-2</v>
      </c>
      <c r="SF82" s="27">
        <f>IF(ISNUMBER(SF81),SF81*(1+PortfolioFrontier[[#This Row],[P125 Return]]),1+PortfolioFrontier[[#This Row],[P125 Return]])</f>
        <v>1.4899551575462417</v>
      </c>
      <c r="SG82" s="27">
        <f>MAX(SG81,PortfolioFrontier[[#This Row],[P125 Growth]])</f>
        <v>1.6509411354388694</v>
      </c>
      <c r="SH82" s="27">
        <f>PortfolioFrontier[[#This Row],[P125 Growth]]/PortfolioFrontier[[#This Row],[P125 HWM]]-1</f>
        <v>-9.7511640140841682E-2</v>
      </c>
      <c r="SI82" s="28">
        <f>SUMPRODUCT(INDEX(PortfolioRef[[SPY]:[PE]],MATCH(SI$1,PortfolioRef[Reference '#]),0),AssetMonthlyReturns[[#This Row],[SPY]:[PE]])</f>
        <v>5.4811241020241062E-2</v>
      </c>
      <c r="SJ82" s="27">
        <f>IF(ISNUMBER(SJ81),SJ81*(1+PortfolioFrontier[[#This Row],[P126 Return]]),1+PortfolioFrontier[[#This Row],[P126 Return]])</f>
        <v>1.4828144772542511</v>
      </c>
      <c r="SK82" s="27">
        <f>MAX(SK81,PortfolioFrontier[[#This Row],[P126 Growth]])</f>
        <v>1.6193836797956254</v>
      </c>
      <c r="SL82" s="27">
        <f>PortfolioFrontier[[#This Row],[P126 Growth]]/PortfolioFrontier[[#This Row],[P126 HWM]]-1</f>
        <v>-8.4334061313134923E-2</v>
      </c>
      <c r="SM82" s="28">
        <f>SUMPRODUCT(INDEX(PortfolioRef[[SPY]:[PE]],MATCH(SM$1,PortfolioRef[Reference '#]),0),AssetMonthlyReturns[[#This Row],[SPY]:[PE]])</f>
        <v>5.6228623519212213E-2</v>
      </c>
      <c r="SN82" s="27">
        <f>IF(ISNUMBER(SN81),SN81*(1+PortfolioFrontier[[#This Row],[P127 Return]]),1+PortfolioFrontier[[#This Row],[P127 Return]])</f>
        <v>1.4975756592815133</v>
      </c>
      <c r="SO82" s="27">
        <f>MAX(SO81,PortfolioFrontier[[#This Row],[P127 Growth]])</f>
        <v>1.7016086575400751</v>
      </c>
      <c r="SP82" s="27">
        <f>PortfolioFrontier[[#This Row],[P127 Growth]]/PortfolioFrontier[[#This Row],[P127 HWM]]-1</f>
        <v>-0.11990594744241689</v>
      </c>
      <c r="SQ82" s="28">
        <f>SUMPRODUCT(INDEX(PortfolioRef[[SPY]:[PE]],MATCH(SQ$1,PortfolioRef[Reference '#]),0),AssetMonthlyReturns[[#This Row],[SPY]:[PE]])</f>
        <v>5.4933483051399369E-2</v>
      </c>
      <c r="SR82" s="27">
        <f>IF(ISNUMBER(SR81),SR81*(1+PortfolioFrontier[[#This Row],[P128 Return]]),1+PortfolioFrontier[[#This Row],[P128 Return]])</f>
        <v>1.491992213533867</v>
      </c>
      <c r="SS82" s="27">
        <f>MAX(SS81,PortfolioFrontier[[#This Row],[P128 Growth]])</f>
        <v>1.6703618996398835</v>
      </c>
      <c r="ST82" s="27">
        <f>PortfolioFrontier[[#This Row],[P128 Growth]]/PortfolioFrontier[[#This Row],[P128 HWM]]-1</f>
        <v>-0.10678505427145546</v>
      </c>
      <c r="SU82" s="28">
        <f>SUMPRODUCT(INDEX(PortfolioRef[[SPY]:[PE]],MATCH(SU$1,PortfolioRef[Reference '#]),0),AssetMonthlyReturns[[#This Row],[SPY]:[PE]])</f>
        <v>5.3638342583586518E-2</v>
      </c>
      <c r="SV82" s="27">
        <f>IF(ISNUMBER(SV81),SV81*(1+PortfolioFrontier[[#This Row],[P129 Return]]),1+PortfolioFrontier[[#This Row],[P129 Return]])</f>
        <v>1.4855274184486766</v>
      </c>
      <c r="SW82" s="27">
        <f>MAX(SW81,PortfolioFrontier[[#This Row],[P129 Growth]])</f>
        <v>1.6389727481356613</v>
      </c>
      <c r="SX82" s="27">
        <f>PortfolioFrontier[[#This Row],[P129 Growth]]/PortfolioFrontier[[#This Row],[P129 HWM]]-1</f>
        <v>-9.3622868263996128E-2</v>
      </c>
      <c r="SY82" s="28">
        <f>SUMPRODUCT(INDEX(PortfolioRef[[SPY]:[PE]],MATCH(SY$1,PortfolioRef[Reference '#]),0),AssetMonthlyReturns[[#This Row],[SPY]:[PE]])</f>
        <v>5.5055725082557669E-2</v>
      </c>
      <c r="SZ82" s="27">
        <f>IF(ISNUMBER(SZ81),SZ81*(1+PortfolioFrontier[[#This Row],[P130 Return]]),1+PortfolioFrontier[[#This Row],[P130 Return]])</f>
        <v>1.4979359998028785</v>
      </c>
      <c r="TA82" s="27">
        <f>MAX(TA81,PortfolioFrontier[[#This Row],[P130 Growth]])</f>
        <v>1.720142179322633</v>
      </c>
      <c r="TB82" s="27">
        <f>PortfolioFrontier[[#This Row],[P130 Growth]]/PortfolioFrontier[[#This Row],[P130 HWM]]-1</f>
        <v>-0.12917896101312742</v>
      </c>
      <c r="TC82" s="28">
        <f>SUMPRODUCT(INDEX(PortfolioRef[[SPY]:[PE]],MATCH(TC$1,PortfolioRef[Reference '#]),0),AssetMonthlyReturns[[#This Row],[SPY]:[PE]])</f>
        <v>5.3760584614744825E-2</v>
      </c>
      <c r="TD82" s="27">
        <f>IF(ISNUMBER(TD81),TD81*(1+PortfolioFrontier[[#This Row],[P131 Return]]),1+PortfolioFrontier[[#This Row],[P131 Return]])</f>
        <v>1.4930488282651722</v>
      </c>
      <c r="TE82" s="27">
        <f>MAX(TE81,PortfolioFrontier[[#This Row],[P131 Growth]])</f>
        <v>1.6891185966988822</v>
      </c>
      <c r="TF82" s="27">
        <f>PortfolioFrontier[[#This Row],[P131 Growth]]/PortfolioFrontier[[#This Row],[P131 HWM]]-1</f>
        <v>-0.11607815390636145</v>
      </c>
      <c r="TG82" s="28">
        <f>SUMPRODUCT(INDEX(PortfolioRef[[SPY]:[PE]],MATCH(TG$1,PortfolioRef[Reference '#]),0),AssetMonthlyReturns[[#This Row],[SPY]:[PE]])</f>
        <v>5.2465444146931974E-2</v>
      </c>
      <c r="TH82" s="27">
        <f>IF(ISNUMBER(TH81),TH81*(1+PortfolioFrontier[[#This Row],[P132 Return]]),1+PortfolioFrontier[[#This Row],[P132 Return]])</f>
        <v>1.4872697508020392</v>
      </c>
      <c r="TI82" s="27">
        <f>MAX(TI81,PortfolioFrontier[[#This Row],[P132 Growth]])</f>
        <v>1.6579261593145806</v>
      </c>
      <c r="TJ82" s="27">
        <f>PortfolioFrontier[[#This Row],[P132 Growth]]/PortfolioFrontier[[#This Row],[P132 HWM]]-1</f>
        <v>-0.10293366055765363</v>
      </c>
      <c r="TK82" s="28">
        <f>SUMPRODUCT(INDEX(PortfolioRef[[SPY]:[PE]],MATCH(TK$1,PortfolioRef[Reference '#]),0),AssetMonthlyReturns[[#This Row],[SPY]:[PE]])</f>
        <v>5.8574822989786932E-2</v>
      </c>
      <c r="TL82" s="27">
        <f>IF(ISNUMBER(TL81),TL81*(1+PortfolioFrontier[[#This Row],[P133 Return]]),1+PortfolioFrontier[[#This Row],[P133 Return]])</f>
        <v>1.5186937842571273</v>
      </c>
      <c r="TM82" s="27">
        <f>MAX(TM81,PortfolioFrontier[[#This Row],[P133 Growth]])</f>
        <v>1.7171102853087914</v>
      </c>
      <c r="TN82" s="27">
        <f>PortfolioFrontier[[#This Row],[P133 Growth]]/PortfolioFrontier[[#This Row],[P133 HWM]]-1</f>
        <v>-0.1155525668614712</v>
      </c>
      <c r="TO82" s="28">
        <f>SUMPRODUCT(INDEX(PortfolioRef[[SPY]:[PE]],MATCH(TO$1,PortfolioRef[Reference '#]),0),AssetMonthlyReturns[[#This Row],[SPY]:[PE]])</f>
        <v>5.7279682521974087E-2</v>
      </c>
      <c r="TP82" s="27">
        <f>IF(ISNUMBER(TP81),TP81*(1+PortfolioFrontier[[#This Row],[P134 Return]]),1+PortfolioFrontier[[#This Row],[P134 Return]])</f>
        <v>1.5130693357791618</v>
      </c>
      <c r="TQ82" s="27">
        <f>MAX(TQ81,PortfolioFrontier[[#This Row],[P134 Growth]])</f>
        <v>1.6856432974461595</v>
      </c>
      <c r="TR82" s="27">
        <f>PortfolioFrontier[[#This Row],[P134 Growth]]/PortfolioFrontier[[#This Row],[P134 HWM]]-1</f>
        <v>-0.10237869537906186</v>
      </c>
      <c r="TS82" s="28">
        <f>SUMPRODUCT(INDEX(PortfolioRef[[SPY]:[PE]],MATCH(TS$1,PortfolioRef[Reference '#]),0),AssetMonthlyReturns[[#This Row],[SPY]:[PE]])</f>
        <v>5.5984542054161236E-2</v>
      </c>
      <c r="TT82" s="27">
        <f>IF(ISNUMBER(TT81),TT81*(1+PortfolioFrontier[[#This Row],[P135 Return]]),1+PortfolioFrontier[[#This Row],[P135 Return]])</f>
        <v>1.5065513345657846</v>
      </c>
      <c r="TU82" s="27">
        <f>MAX(TU81,PortfolioFrontier[[#This Row],[P135 Growth]])</f>
        <v>1.6540304901705998</v>
      </c>
      <c r="TV82" s="27">
        <f>PortfolioFrontier[[#This Row],[P135 Growth]]/PortfolioFrontier[[#This Row],[P135 HWM]]-1</f>
        <v>-8.9163504833338236E-2</v>
      </c>
      <c r="TW82" s="28">
        <f>SUMPRODUCT(INDEX(PortfolioRef[[SPY]:[PE]],MATCH(TW$1,PortfolioRef[Reference '#]),0),AssetMonthlyReturns[[#This Row],[SPY]:[PE]])</f>
        <v>5.740192455313238E-2</v>
      </c>
      <c r="TX82" s="27">
        <f>IF(ISNUMBER(TX81),TX81*(1+PortfolioFrontier[[#This Row],[P136 Return]]),1+PortfolioFrontier[[#This Row],[P136 Return]])</f>
        <v>1.5193761546189026</v>
      </c>
      <c r="TY82" s="27">
        <f>MAX(TY81,PortfolioFrontier[[#This Row],[P136 Growth]])</f>
        <v>1.7361155602147582</v>
      </c>
      <c r="TZ82" s="27">
        <f>PortfolioFrontier[[#This Row],[P136 Growth]]/PortfolioFrontier[[#This Row],[P136 HWM]]-1</f>
        <v>-0.12484157769373649</v>
      </c>
      <c r="UA82" s="28">
        <f>SUMPRODUCT(INDEX(PortfolioRef[[SPY]:[PE]],MATCH(UA$1,PortfolioRef[Reference '#]),0),AssetMonthlyReturns[[#This Row],[SPY]:[PE]])</f>
        <v>5.6106784085319536E-2</v>
      </c>
      <c r="UB82" s="27">
        <f>IF(ISNUMBER(UB81),UB81*(1+PortfolioFrontier[[#This Row],[P137 Return]]),1+PortfolioFrontier[[#This Row],[P137 Return]])</f>
        <v>1.5144567462483696</v>
      </c>
      <c r="UC82" s="27">
        <f>MAX(UC81,PortfolioFrontier[[#This Row],[P137 Growth]])</f>
        <v>1.7048691873265751</v>
      </c>
      <c r="UD82" s="27">
        <f>PortfolioFrontier[[#This Row],[P137 Growth]]/PortfolioFrontier[[#This Row],[P137 HWM]]-1</f>
        <v>-0.11168742006346744</v>
      </c>
      <c r="UE82" s="28">
        <f>SUMPRODUCT(INDEX(PortfolioRef[[SPY]:[PE]],MATCH(UE$1,PortfolioRef[Reference '#]),0),AssetMonthlyReturns[[#This Row],[SPY]:[PE]])</f>
        <v>5.4811643617506685E-2</v>
      </c>
      <c r="UF82" s="27">
        <f>IF(ISNUMBER(UF81),UF81*(1+PortfolioFrontier[[#This Row],[P138 Return]]),1+PortfolioFrontier[[#This Row],[P138 Return]])</f>
        <v>1.5086329373892666</v>
      </c>
      <c r="UG82" s="27">
        <f>MAX(UG81,PortfolioFrontier[[#This Row],[P138 Growth]])</f>
        <v>1.6734502822541619</v>
      </c>
      <c r="UH82" s="27">
        <f>PortfolioFrontier[[#This Row],[P138 Growth]]/PortfolioFrontier[[#This Row],[P138 HWM]]-1</f>
        <v>-9.8489537820558359E-2</v>
      </c>
      <c r="UI82" s="28">
        <f>SUMPRODUCT(INDEX(PortfolioRef[[SPY]:[PE]],MATCH(UI$1,PortfolioRef[Reference '#]),0),AssetMonthlyReturns[[#This Row],[SPY]:[PE]])</f>
        <v>5.6229026116477843E-2</v>
      </c>
      <c r="UJ82" s="27">
        <f>IF(ISNUMBER(UJ81),UJ81*(1+PortfolioFrontier[[#This Row],[P139 Return]]),1+PortfolioFrontier[[#This Row],[P139 Return]])</f>
        <v>1.5190506652184415</v>
      </c>
      <c r="UK82" s="27">
        <f>MAX(UK81,PortfolioFrontier[[#This Row],[P139 Growth]])</f>
        <v>1.7543965710992384</v>
      </c>
      <c r="UL82" s="27">
        <f>PortfolioFrontier[[#This Row],[P139 Growth]]/PortfolioFrontier[[#This Row],[P139 HWM]]-1</f>
        <v>-0.13414635536669917</v>
      </c>
      <c r="UM82" s="28">
        <f>SUMPRODUCT(INDEX(PortfolioRef[[SPY]:[PE]],MATCH(UM$1,PortfolioRef[Reference '#]),0),AssetMonthlyReturns[[#This Row],[SPY]:[PE]])</f>
        <v>5.4933885648664998E-2</v>
      </c>
      <c r="UN82" s="27">
        <f>IF(ISNUMBER(UN81),UN81*(1+PortfolioFrontier[[#This Row],[P140 Return]]),1+PortfolioFrontier[[#This Row],[P140 Return]])</f>
        <v>1.5148443671730085</v>
      </c>
      <c r="UO82" s="27">
        <f>MAX(UO81,PortfolioFrontier[[#This Row],[P140 Growth]])</f>
        <v>1.7234002022793458</v>
      </c>
      <c r="UP82" s="27">
        <f>PortfolioFrontier[[#This Row],[P140 Growth]]/PortfolioFrontier[[#This Row],[P140 HWM]]-1</f>
        <v>-0.12101416422633826</v>
      </c>
      <c r="UQ82" s="28">
        <f>SUMPRODUCT(INDEX(PortfolioRef[[SPY]:[PE]],MATCH(UQ$1,PortfolioRef[Reference '#]),0),AssetMonthlyReturns[[#This Row],[SPY]:[PE]])</f>
        <v>5.3638745180852147E-2</v>
      </c>
      <c r="UR82" s="27">
        <f>IF(ISNUMBER(UR81),UR81*(1+PortfolioFrontier[[#This Row],[P141 Return]]),1+PortfolioFrontier[[#This Row],[P141 Return]])</f>
        <v>1.5097238281115706</v>
      </c>
      <c r="US82" s="27">
        <f>MAX(US81,PortfolioFrontier[[#This Row],[P141 Growth]])</f>
        <v>1.6922041432386774</v>
      </c>
      <c r="UT82" s="27">
        <f>PortfolioFrontier[[#This Row],[P141 Growth]]/PortfolioFrontier[[#This Row],[P141 HWM]]-1</f>
        <v>-0.10783587539140593</v>
      </c>
    </row>
    <row r="83" spans="2:566" x14ac:dyDescent="0.2">
      <c r="B83" s="41">
        <f>AssetMonthlyReturns[[#This Row],[Date]]</f>
        <v>44896</v>
      </c>
      <c r="C83" s="28">
        <f>SUMPRODUCT(INDEX(PortfolioRef[[SPY]:[PE]],MATCH(C$1,PortfolioRef[Reference '#]),0),AssetMonthlyReturns[[#This Row],[SPY]:[PE]])</f>
        <v>-3.9574758907186786E-2</v>
      </c>
      <c r="D83" s="29">
        <f>IF(ISNUMBER(D82),D82*(1+PortfolioFrontier[[#This Row],[P1 Return]]),1+PortfolioFrontier[[#This Row],[P1 Return]])</f>
        <v>1.6755355620539376</v>
      </c>
      <c r="E83" s="29">
        <f>MAX(E82,PortfolioFrontier[[#This Row],[P1 Growth]])</f>
        <v>1.9531239567566241</v>
      </c>
      <c r="F83" s="29">
        <f>PortfolioFrontier[[#This Row],[P1 Growth]]/PortfolioFrontier[[#This Row],[P1 HWM]]-1</f>
        <v>-0.1421253340026879</v>
      </c>
      <c r="G83" s="28">
        <f>SUMPRODUCT(INDEX(PortfolioRef[[SPY]:[PE]],MATCH(G$1,PortfolioRef[Reference '#]),0),AssetMonthlyReturns[[#This Row],[SPY]:[PE]])</f>
        <v>-3.7026717306100403E-2</v>
      </c>
      <c r="H83" s="27">
        <f>IF(ISNUMBER(H82),H82*(1+PortfolioFrontier[[#This Row],[P2 Return]]),1+PortfolioFrontier[[#This Row],[P2 Return]])</f>
        <v>1.6186428688011298</v>
      </c>
      <c r="I83" s="27">
        <f>MAX(I82,PortfolioFrontier[[#This Row],[P2 Growth]])</f>
        <v>1.880902671218339</v>
      </c>
      <c r="J83" s="27">
        <f>PortfolioFrontier[[#This Row],[P2 Growth]]/PortfolioFrontier[[#This Row],[P2 HWM]]-1</f>
        <v>-0.13943294697291941</v>
      </c>
      <c r="K83" s="28">
        <f>SUMPRODUCT(INDEX(PortfolioRef[[SPY]:[PE]],MATCH(K$1,PortfolioRef[Reference '#]),0),AssetMonthlyReturns[[#This Row],[SPY]:[PE]])</f>
        <v>-3.5012641006182316E-2</v>
      </c>
      <c r="L83" s="27">
        <f>IF(ISNUMBER(L82),L82*(1+PortfolioFrontier[[#This Row],[P3 Return]]),1+PortfolioFrontier[[#This Row],[P3 Return]])</f>
        <v>1.6453749635991395</v>
      </c>
      <c r="M83" s="27">
        <f>MAX(M82,PortfolioFrontier[[#This Row],[P3 Growth]])</f>
        <v>1.8984394560781046</v>
      </c>
      <c r="N83" s="27">
        <f>PortfolioFrontier[[#This Row],[P3 Growth]]/PortfolioFrontier[[#This Row],[P3 HWM]]-1</f>
        <v>-0.13330132371024306</v>
      </c>
      <c r="O83" s="28">
        <f>SUMPRODUCT(INDEX(PortfolioRef[[SPY]:[PE]],MATCH(O$1,PortfolioRef[Reference '#]),0),AssetMonthlyReturns[[#This Row],[SPY]:[PE]])</f>
        <v>-3.9656905784506161E-2</v>
      </c>
      <c r="P83" s="27">
        <f>IF(ISNUMBER(P82),P82*(1+PortfolioFrontier[[#This Row],[P4 Return]]),1+PortfolioFrontier[[#This Row],[P4 Return]])</f>
        <v>1.6379985937940424</v>
      </c>
      <c r="Q83" s="27">
        <f>MAX(Q82,PortfolioFrontier[[#This Row],[P4 Growth]])</f>
        <v>1.9193367929729268</v>
      </c>
      <c r="R83" s="27">
        <f>PortfolioFrontier[[#This Row],[P4 Growth]]/PortfolioFrontier[[#This Row],[P4 HWM]]-1</f>
        <v>-0.14658094410992351</v>
      </c>
      <c r="S83" s="28">
        <f>SUMPRODUCT(INDEX(PortfolioRef[[SPY]:[PE]],MATCH(S$1,PortfolioRef[Reference '#]),0),AssetMonthlyReturns[[#This Row],[SPY]:[PE]])</f>
        <v>-3.6696235511125538E-2</v>
      </c>
      <c r="T83" s="27">
        <f>IF(ISNUMBER(T82),T82*(1+PortfolioFrontier[[#This Row],[P5 Return]]),1+PortfolioFrontier[[#This Row],[P5 Return]])</f>
        <v>1.6372119737660382</v>
      </c>
      <c r="U83" s="27">
        <f>MAX(U82,PortfolioFrontier[[#This Row],[P5 Growth]])</f>
        <v>1.8841834525169079</v>
      </c>
      <c r="V83" s="27">
        <f>PortfolioFrontier[[#This Row],[P5 Growth]]/PortfolioFrontier[[#This Row],[P5 HWM]]-1</f>
        <v>-0.13107613190263567</v>
      </c>
      <c r="W83" s="28">
        <f>SUMPRODUCT(INDEX(PortfolioRef[[SPY]:[PE]],MATCH(W$1,PortfolioRef[Reference '#]),0),AssetMonthlyReturns[[#This Row],[SPY]:[PE]])</f>
        <v>-3.447867570501402E-2</v>
      </c>
      <c r="X83" s="27">
        <f>IF(ISNUMBER(X82),X82*(1+PortfolioFrontier[[#This Row],[P6 Return]]),1+PortfolioFrontier[[#This Row],[P6 Return]])</f>
        <v>1.5630061845528171</v>
      </c>
      <c r="Y83" s="27">
        <f>MAX(Y82,PortfolioFrontier[[#This Row],[P6 Growth]])</f>
        <v>1.8107203423144032</v>
      </c>
      <c r="Z83" s="27">
        <f>PortfolioFrontier[[#This Row],[P6 Growth]]/PortfolioFrontier[[#This Row],[P6 HWM]]-1</f>
        <v>-0.13680420547160033</v>
      </c>
      <c r="AA83" s="28">
        <f>SUMPRODUCT(INDEX(PortfolioRef[[SPY]:[PE]],MATCH(AA$1,PortfolioRef[Reference '#]),0),AssetMonthlyReturns[[#This Row],[SPY]:[PE]])</f>
        <v>-3.2464599405095933E-2</v>
      </c>
      <c r="AB83" s="27">
        <f>IF(ISNUMBER(AB82),AB82*(1+PortfolioFrontier[[#This Row],[P7 Return]]),1+PortfolioFrontier[[#This Row],[P7 Return]])</f>
        <v>1.5888228405177827</v>
      </c>
      <c r="AC83" s="27">
        <f>MAX(AC82,PortfolioFrontier[[#This Row],[P7 Growth]])</f>
        <v>1.8276317298765399</v>
      </c>
      <c r="AD83" s="27">
        <f>PortfolioFrontier[[#This Row],[P7 Growth]]/PortfolioFrontier[[#This Row],[P7 HWM]]-1</f>
        <v>-0.13066576020481391</v>
      </c>
      <c r="AE83" s="28">
        <f>SUMPRODUCT(INDEX(PortfolioRef[[SPY]:[PE]],MATCH(AE$1,PortfolioRef[Reference '#]),0),AssetMonthlyReturns[[#This Row],[SPY]:[PE]])</f>
        <v>-3.7108864183419778E-2</v>
      </c>
      <c r="AF83" s="27">
        <f>IF(ISNUMBER(AF82),AF82*(1+PortfolioFrontier[[#This Row],[P8 Return]]),1+PortfolioFrontier[[#This Row],[P8 Return]])</f>
        <v>1.5822624342720009</v>
      </c>
      <c r="AG83" s="27">
        <f>MAX(AG82,PortfolioFrontier[[#This Row],[P8 Growth]])</f>
        <v>1.8482324314062795</v>
      </c>
      <c r="AH83" s="27">
        <f>PortfolioFrontier[[#This Row],[P8 Growth]]/PortfolioFrontier[[#This Row],[P8 HWM]]-1</f>
        <v>-0.14390505902545381</v>
      </c>
      <c r="AI83" s="28">
        <f>SUMPRODUCT(INDEX(PortfolioRef[[SPY]:[PE]],MATCH(AI$1,PortfolioRef[Reference '#]),0),AssetMonthlyReturns[[#This Row],[SPY]:[PE]])</f>
        <v>-3.4148193910039155E-2</v>
      </c>
      <c r="AJ83" s="27">
        <f>IF(ISNUMBER(AJ82),AJ82*(1+PortfolioFrontier[[#This Row],[P9 Return]]),1+PortfolioFrontier[[#This Row],[P9 Return]])</f>
        <v>1.5809608479970645</v>
      </c>
      <c r="AK83" s="27">
        <f>MAX(AK82,PortfolioFrontier[[#This Row],[P9 Growth]])</f>
        <v>1.8139467261629987</v>
      </c>
      <c r="AL83" s="27">
        <f>PortfolioFrontier[[#This Row],[P9 Growth]]/PortfolioFrontier[[#This Row],[P9 HWM]]-1</f>
        <v>-0.12844141164981404</v>
      </c>
      <c r="AM83" s="28">
        <f>SUMPRODUCT(INDEX(PortfolioRef[[SPY]:[PE]],MATCH(AM$1,PortfolioRef[Reference '#]),0),AssetMonthlyReturns[[#This Row],[SPY]:[PE]])</f>
        <v>-3.0450523105177842E-2</v>
      </c>
      <c r="AN83" s="27">
        <f>IF(ISNUMBER(AN82),AN82*(1+PortfolioFrontier[[#This Row],[P10 Return]]),1+PortfolioFrontier[[#This Row],[P10 Return]])</f>
        <v>1.6146847958684647</v>
      </c>
      <c r="AO83" s="27">
        <f>MAX(AO82,PortfolioFrontier[[#This Row],[P10 Growth]])</f>
        <v>1.8443368551596837</v>
      </c>
      <c r="AP83" s="27">
        <f>PortfolioFrontier[[#This Row],[P10 Growth]]/PortfolioFrontier[[#This Row],[P10 HWM]]-1</f>
        <v>-0.12451741592038812</v>
      </c>
      <c r="AQ83" s="28">
        <f>SUMPRODUCT(INDEX(PortfolioRef[[SPY]:[PE]],MATCH(AQ$1,PortfolioRef[Reference '#]),0),AssetMonthlyReturns[[#This Row],[SPY]:[PE]])</f>
        <v>-3.5094787883501691E-2</v>
      </c>
      <c r="AR83" s="27">
        <f>IF(ISNUMBER(AR82),AR82*(1+PortfolioFrontier[[#This Row],[P11 Return]]),1+PortfolioFrontier[[#This Row],[P11 Return]])</f>
        <v>1.6083678492253637</v>
      </c>
      <c r="AS83" s="27">
        <f>MAX(AS82,PortfolioFrontier[[#This Row],[P11 Growth]])</f>
        <v>1.865449984246593</v>
      </c>
      <c r="AT83" s="27">
        <f>PortfolioFrontier[[#This Row],[P11 Growth]]/PortfolioFrontier[[#This Row],[P11 HWM]]-1</f>
        <v>-0.13781239764788344</v>
      </c>
      <c r="AU83" s="28">
        <f>SUMPRODUCT(INDEX(PortfolioRef[[SPY]:[PE]],MATCH(AU$1,PortfolioRef[Reference '#]),0),AssetMonthlyReturns[[#This Row],[SPY]:[PE]])</f>
        <v>-3.2134117610121062E-2</v>
      </c>
      <c r="AV83" s="27">
        <f>IF(ISNUMBER(AV82),AV82*(1+PortfolioFrontier[[#This Row],[P12 Return]]),1+PortfolioFrontier[[#This Row],[P12 Return]])</f>
        <v>1.6070750186617866</v>
      </c>
      <c r="AW83" s="27">
        <f>MAX(AW82,PortfolioFrontier[[#This Row],[P12 Growth]])</f>
        <v>1.8309154354259589</v>
      </c>
      <c r="AX83" s="27">
        <f>PortfolioFrontier[[#This Row],[P12 Growth]]/PortfolioFrontier[[#This Row],[P12 HWM]]-1</f>
        <v>-0.12225601053611534</v>
      </c>
      <c r="AY83" s="28">
        <f>SUMPRODUCT(INDEX(PortfolioRef[[SPY]:[PE]],MATCH(AY$1,PortfolioRef[Reference '#]),0),AssetMonthlyReturns[[#This Row],[SPY]:[PE]])</f>
        <v>-3.9739052661825536E-2</v>
      </c>
      <c r="AZ83" s="27">
        <f>IF(ISNUMBER(AZ82),AZ82*(1+PortfolioFrontier[[#This Row],[P13 Return]]),1+PortfolioFrontier[[#This Row],[P13 Return]])</f>
        <v>1.6009837154190485</v>
      </c>
      <c r="BA83" s="27">
        <f>MAX(BA82,PortfolioFrontier[[#This Row],[P13 Growth]])</f>
        <v>1.8858075751364967</v>
      </c>
      <c r="BB83" s="27">
        <f>PortfolioFrontier[[#This Row],[P13 Growth]]/PortfolioFrontier[[#This Row],[P13 HWM]]-1</f>
        <v>-0.15103548393416133</v>
      </c>
      <c r="BC83" s="28">
        <f>SUMPRODUCT(INDEX(PortfolioRef[[SPY]:[PE]],MATCH(BC$1,PortfolioRef[Reference '#]),0),AssetMonthlyReturns[[#This Row],[SPY]:[PE]])</f>
        <v>-3.6778382388444913E-2</v>
      </c>
      <c r="BD83" s="27">
        <f>IF(ISNUMBER(BD82),BD82*(1+PortfolioFrontier[[#This Row],[P14 Return]]),1+PortfolioFrontier[[#This Row],[P14 Return]])</f>
        <v>1.600465311791776</v>
      </c>
      <c r="BE83" s="27">
        <f>MAX(BE82,PortfolioFrontier[[#This Row],[P14 Growth]])</f>
        <v>1.8515113734383843</v>
      </c>
      <c r="BF83" s="27">
        <f>PortfolioFrontier[[#This Row],[P14 Growth]]/PortfolioFrontier[[#This Row],[P14 HWM]]-1</f>
        <v>-0.13558980260564024</v>
      </c>
      <c r="BG83" s="28">
        <f>SUMPRODUCT(INDEX(PortfolioRef[[SPY]:[PE]],MATCH(BG$1,PortfolioRef[Reference '#]),0),AssetMonthlyReturns[[#This Row],[SPY]:[PE]])</f>
        <v>-3.3817712115064291E-2</v>
      </c>
      <c r="BH83" s="27">
        <f>IF(ISNUMBER(BH82),BH82*(1+PortfolioFrontier[[#This Row],[P15 Return]]),1+PortfolioFrontier[[#This Row],[P15 Return]])</f>
        <v>1.5989595899015945</v>
      </c>
      <c r="BI83" s="27">
        <f>MAX(BI82,PortfolioFrontier[[#This Row],[P15 Growth]])</f>
        <v>1.8170439473092146</v>
      </c>
      <c r="BJ83" s="27">
        <f>PortfolioFrontier[[#This Row],[P15 Growth]]/PortfolioFrontier[[#This Row],[P15 HWM]]-1</f>
        <v>-0.12002150951305957</v>
      </c>
      <c r="BK83" s="28">
        <f>SUMPRODUCT(INDEX(PortfolioRef[[SPY]:[PE]],MATCH(BK$1,PortfolioRef[Reference '#]),0),AssetMonthlyReturns[[#This Row],[SPY]:[PE]])</f>
        <v>-3.1930634103927637E-2</v>
      </c>
      <c r="BL83" s="27">
        <f>IF(ISNUMBER(BL82),BL82*(1+PortfolioFrontier[[#This Row],[P16 Return]]),1+PortfolioFrontier[[#This Row],[P16 Return]])</f>
        <v>1.5086299129815617</v>
      </c>
      <c r="BM83" s="27">
        <f>MAX(BM82,PortfolioFrontier[[#This Row],[P16 Growth]])</f>
        <v>1.7425494832470445</v>
      </c>
      <c r="BN83" s="27">
        <f>PortfolioFrontier[[#This Row],[P16 Growth]]/PortfolioFrontier[[#This Row],[P16 HWM]]-1</f>
        <v>-0.13423984369706399</v>
      </c>
      <c r="BO83" s="28">
        <f>SUMPRODUCT(INDEX(PortfolioRef[[SPY]:[PE]],MATCH(BO$1,PortfolioRef[Reference '#]),0),AssetMonthlyReturns[[#This Row],[SPY]:[PE]])</f>
        <v>-2.991655780400955E-2</v>
      </c>
      <c r="BP83" s="27">
        <f>IF(ISNUMBER(BP82),BP82*(1+PortfolioFrontier[[#This Row],[P17 Return]]),1+PortfolioFrontier[[#This Row],[P17 Return]])</f>
        <v>1.5335521658780427</v>
      </c>
      <c r="BQ83" s="27">
        <f>MAX(BQ82,PortfolioFrontier[[#This Row],[P17 Growth]])</f>
        <v>1.7588525148836969</v>
      </c>
      <c r="BR83" s="27">
        <f>PortfolioFrontier[[#This Row],[P17 Growth]]/PortfolioFrontier[[#This Row],[P17 HWM]]-1</f>
        <v>-0.1280950773866063</v>
      </c>
      <c r="BS83" s="28">
        <f>SUMPRODUCT(INDEX(PortfolioRef[[SPY]:[PE]],MATCH(BS$1,PortfolioRef[Reference '#]),0),AssetMonthlyReturns[[#This Row],[SPY]:[PE]])</f>
        <v>-3.4560822582333395E-2</v>
      </c>
      <c r="BT83" s="27">
        <f>IF(ISNUMBER(BT82),BT82*(1+PortfolioFrontier[[#This Row],[P18 Return]]),1+PortfolioFrontier[[#This Row],[P18 Return]])</f>
        <v>1.527761377588529</v>
      </c>
      <c r="BU83" s="27">
        <f>MAX(BU82,PortfolioFrontier[[#This Row],[P18 Growth]])</f>
        <v>1.7791407441475846</v>
      </c>
      <c r="BV83" s="27">
        <f>PortfolioFrontier[[#This Row],[P18 Growth]]/PortfolioFrontier[[#This Row],[P18 HWM]]-1</f>
        <v>-0.14129256911571408</v>
      </c>
      <c r="BW83" s="28">
        <f>SUMPRODUCT(INDEX(PortfolioRef[[SPY]:[PE]],MATCH(BW$1,PortfolioRef[Reference '#]),0),AssetMonthlyReturns[[#This Row],[SPY]:[PE]])</f>
        <v>-3.1600152308952772E-2</v>
      </c>
      <c r="BX83" s="27">
        <f>IF(ISNUMBER(BX82),BX82*(1+PortfolioFrontier[[#This Row],[P19 Return]]),1+PortfolioFrontier[[#This Row],[P19 Return]])</f>
        <v>1.5259829343911657</v>
      </c>
      <c r="BY83" s="27">
        <f>MAX(BY82,PortfolioFrontier[[#This Row],[P19 Growth]])</f>
        <v>1.7457196180719312</v>
      </c>
      <c r="BZ83" s="27">
        <f>PortfolioFrontier[[#This Row],[P19 Growth]]/PortfolioFrontier[[#This Row],[P19 HWM]]-1</f>
        <v>-0.1258716929144984</v>
      </c>
      <c r="CA83" s="28">
        <f>SUMPRODUCT(INDEX(PortfolioRef[[SPY]:[PE]],MATCH(CA$1,PortfolioRef[Reference '#]),0),AssetMonthlyReturns[[#This Row],[SPY]:[PE]])</f>
        <v>-2.7902481504091463E-2</v>
      </c>
      <c r="CB83" s="27">
        <f>IF(ISNUMBER(CB82),CB82*(1+PortfolioFrontier[[#This Row],[P20 Return]]),1+PortfolioFrontier[[#This Row],[P20 Return]])</f>
        <v>1.5585175177706394</v>
      </c>
      <c r="CC83" s="27">
        <f>MAX(CC82,PortfolioFrontier[[#This Row],[P20 Growth]])</f>
        <v>1.7749567522517573</v>
      </c>
      <c r="CD83" s="27">
        <f>PortfolioFrontier[[#This Row],[P20 Growth]]/PortfolioFrontier[[#This Row],[P20 HWM]]-1</f>
        <v>-0.12194056796400099</v>
      </c>
      <c r="CE83" s="28">
        <f>SUMPRODUCT(INDEX(PortfolioRef[[SPY]:[PE]],MATCH(CE$1,PortfolioRef[Reference '#]),0),AssetMonthlyReturns[[#This Row],[SPY]:[PE]])</f>
        <v>-3.2546746282415308E-2</v>
      </c>
      <c r="CF83" s="27">
        <f>IF(ISNUMBER(CF82),CF82*(1+PortfolioFrontier[[#This Row],[P21 Return]]),1+PortfolioFrontier[[#This Row],[P21 Return]])</f>
        <v>1.5529711046516919</v>
      </c>
      <c r="CG83" s="27">
        <f>MAX(CG82,PortfolioFrontier[[#This Row],[P21 Growth]])</f>
        <v>1.795743356031652</v>
      </c>
      <c r="CH83" s="27">
        <f>PortfolioFrontier[[#This Row],[P21 Growth]]/PortfolioFrontier[[#This Row],[P21 HWM]]-1</f>
        <v>-0.13519317811452403</v>
      </c>
      <c r="CI83" s="28">
        <f>SUMPRODUCT(INDEX(PortfolioRef[[SPY]:[PE]],MATCH(CI$1,PortfolioRef[Reference '#]),0),AssetMonthlyReturns[[#This Row],[SPY]:[PE]])</f>
        <v>-2.9586076009034686E-2</v>
      </c>
      <c r="CJ83" s="27">
        <f>IF(ISNUMBER(CJ82),CJ82*(1+PortfolioFrontier[[#This Row],[P22 Return]]),1+PortfolioFrontier[[#This Row],[P22 Return]])</f>
        <v>1.551192827262617</v>
      </c>
      <c r="CK83" s="27">
        <f>MAX(CK82,PortfolioFrontier[[#This Row],[P22 Growth]])</f>
        <v>1.7620784578443487</v>
      </c>
      <c r="CL83" s="27">
        <f>PortfolioFrontier[[#This Row],[P22 Growth]]/PortfolioFrontier[[#This Row],[P22 HWM]]-1</f>
        <v>-0.1196800458248154</v>
      </c>
      <c r="CM83" s="28">
        <f>SUMPRODUCT(INDEX(PortfolioRef[[SPY]:[PE]],MATCH(CM$1,PortfolioRef[Reference '#]),0),AssetMonthlyReturns[[#This Row],[SPY]:[PE]])</f>
        <v>-3.719101106073916E-2</v>
      </c>
      <c r="CN83" s="27">
        <f>IF(ISNUMBER(CN82),CN82*(1+PortfolioFrontier[[#This Row],[P23 Return]]),1+PortfolioFrontier[[#This Row],[P23 Return]])</f>
        <v>1.5463917063866803</v>
      </c>
      <c r="CO83" s="27">
        <f>MAX(CO82,PortfolioFrontier[[#This Row],[P23 Growth]])</f>
        <v>1.8158151760868648</v>
      </c>
      <c r="CP83" s="27">
        <f>PortfolioFrontier[[#This Row],[P23 Growth]]/PortfolioFrontier[[#This Row],[P23 HWM]]-1</f>
        <v>-0.14837604247850822</v>
      </c>
      <c r="CQ83" s="28">
        <f>SUMPRODUCT(INDEX(PortfolioRef[[SPY]:[PE]],MATCH(CQ$1,PortfolioRef[Reference '#]),0),AssetMonthlyReturns[[#This Row],[SPY]:[PE]])</f>
        <v>-3.4230340787358531E-2</v>
      </c>
      <c r="CR83" s="27">
        <f>IF(ISNUMBER(CR82),CR82*(1+PortfolioFrontier[[#This Row],[P24 Return]]),1+PortfolioFrontier[[#This Row],[P24 Return]])</f>
        <v>1.5453604807766292</v>
      </c>
      <c r="CS83" s="27">
        <f>MAX(CS82,PortfolioFrontier[[#This Row],[P24 Growth]])</f>
        <v>1.7823638134718676</v>
      </c>
      <c r="CT83" s="27">
        <f>PortfolioFrontier[[#This Row],[P24 Growth]]/PortfolioFrontier[[#This Row],[P24 HWM]]-1</f>
        <v>-0.13297135573773766</v>
      </c>
      <c r="CU83" s="28">
        <f>SUMPRODUCT(INDEX(PortfolioRef[[SPY]:[PE]],MATCH(CU$1,PortfolioRef[Reference '#]),0),AssetMonthlyReturns[[#This Row],[SPY]:[PE]])</f>
        <v>-3.1269670513977915E-2</v>
      </c>
      <c r="CV83" s="27">
        <f>IF(ISNUMBER(CV82),CV82*(1+PortfolioFrontier[[#This Row],[P25 Return]]),1+PortfolioFrontier[[#This Row],[P25 Return]])</f>
        <v>1.5433791392465797</v>
      </c>
      <c r="CW83" s="27">
        <f>MAX(CW82,PortfolioFrontier[[#This Row],[P25 Growth]])</f>
        <v>1.7487656732120247</v>
      </c>
      <c r="CX83" s="27">
        <f>PortfolioFrontier[[#This Row],[P25 Growth]]/PortfolioFrontier[[#This Row],[P25 HWM]]-1</f>
        <v>-0.11744657223755073</v>
      </c>
      <c r="CY83" s="28">
        <f>SUMPRODUCT(INDEX(PortfolioRef[[SPY]:[PE]],MATCH(CY$1,PortfolioRef[Reference '#]),0),AssetMonthlyReturns[[#This Row],[SPY]:[PE]])</f>
        <v>-3.0532669982497221E-2</v>
      </c>
      <c r="CZ83" s="27">
        <f>IF(ISNUMBER(CZ82),CZ82*(1+PortfolioFrontier[[#This Row],[P26 Return]]),1+PortfolioFrontier[[#This Row],[P26 Return]])</f>
        <v>1.5782241028879995</v>
      </c>
      <c r="DA83" s="27">
        <f>MAX(DA82,PortfolioFrontier[[#This Row],[P26 Growth]])</f>
        <v>1.8121428498945955</v>
      </c>
      <c r="DB83" s="27">
        <f>PortfolioFrontier[[#This Row],[P26 Growth]]/PortfolioFrontier[[#This Row],[P26 HWM]]-1</f>
        <v>-0.12908405483607543</v>
      </c>
      <c r="DC83" s="28">
        <f>SUMPRODUCT(INDEX(PortfolioRef[[SPY]:[PE]],MATCH(DC$1,PortfolioRef[Reference '#]),0),AssetMonthlyReturns[[#This Row],[SPY]:[PE]])</f>
        <v>-2.7571999709116595E-2</v>
      </c>
      <c r="DD83" s="27">
        <f>IF(ISNUMBER(DD82),DD82*(1+PortfolioFrontier[[#This Row],[P27 Return]]),1+PortfolioFrontier[[#This Row],[P27 Return]])</f>
        <v>1.5764465858543415</v>
      </c>
      <c r="DE83" s="27">
        <f>MAX(DE82,PortfolioFrontier[[#This Row],[P27 Growth]])</f>
        <v>1.7782387807323972</v>
      </c>
      <c r="DF83" s="27">
        <f>PortfolioFrontier[[#This Row],[P27 Growth]]/PortfolioFrontier[[#This Row],[P27 HWM]]-1</f>
        <v>-0.11347868298932506</v>
      </c>
      <c r="DG83" s="28">
        <f>SUMPRODUCT(INDEX(PortfolioRef[[SPY]:[PE]],MATCH(DG$1,PortfolioRef[Reference '#]),0),AssetMonthlyReturns[[#This Row],[SPY]:[PE]])</f>
        <v>-3.5176934760821066E-2</v>
      </c>
      <c r="DH83" s="27">
        <f>IF(ISNUMBER(DH82),DH82*(1+PortfolioFrontier[[#This Row],[P28 Return]]),1+PortfolioFrontier[[#This Row],[P28 Return]])</f>
        <v>1.5718803500789797</v>
      </c>
      <c r="DI83" s="27">
        <f>MAX(DI82,PortfolioFrontier[[#This Row],[P28 Growth]])</f>
        <v>1.8327167417336543</v>
      </c>
      <c r="DJ83" s="27">
        <f>PortfolioFrontier[[#This Row],[P28 Growth]]/PortfolioFrontier[[#This Row],[P28 HWM]]-1</f>
        <v>-0.14232226165399509</v>
      </c>
      <c r="DK83" s="28">
        <f>SUMPRODUCT(INDEX(PortfolioRef[[SPY]:[PE]],MATCH(DK$1,PortfolioRef[Reference '#]),0),AssetMonthlyReturns[[#This Row],[SPY]:[PE]])</f>
        <v>-3.2216264487440444E-2</v>
      </c>
      <c r="DL83" s="27">
        <f>IF(ISNUMBER(DL82),DL82*(1+PortfolioFrontier[[#This Row],[P29 Return]]),1+PortfolioFrontier[[#This Row],[P29 Return]])</f>
        <v>1.5708615517704647</v>
      </c>
      <c r="DM83" s="27">
        <f>MAX(DM82,PortfolioFrontier[[#This Row],[P29 Growth]])</f>
        <v>1.7990232294645383</v>
      </c>
      <c r="DN83" s="27">
        <f>PortfolioFrontier[[#This Row],[P29 Growth]]/PortfolioFrontier[[#This Row],[P29 HWM]]-1</f>
        <v>-0.12682530939969228</v>
      </c>
      <c r="DO83" s="28">
        <f>SUMPRODUCT(INDEX(PortfolioRef[[SPY]:[PE]],MATCH(DO$1,PortfolioRef[Reference '#]),0),AssetMonthlyReturns[[#This Row],[SPY]:[PE]])</f>
        <v>-2.9255594214059821E-2</v>
      </c>
      <c r="DP83" s="27">
        <f>IF(ISNUMBER(DP82),DP82*(1+PortfolioFrontier[[#This Row],[P30 Return]]),1+PortfolioFrontier[[#This Row],[P30 Return]])</f>
        <v>1.5688775525686323</v>
      </c>
      <c r="DQ83" s="27">
        <f>MAX(DQ82,PortfolioFrontier[[#This Row],[P30 Growth]])</f>
        <v>1.7651792866223672</v>
      </c>
      <c r="DR83" s="27">
        <f>PortfolioFrontier[[#This Row],[P30 Growth]]/PortfolioFrontier[[#This Row],[P30 HWM]]-1</f>
        <v>-0.11120781641923416</v>
      </c>
      <c r="DS83" s="28">
        <f>SUMPRODUCT(INDEX(PortfolioRef[[SPY]:[PE]],MATCH(DS$1,PortfolioRef[Reference '#]),0),AssetMonthlyReturns[[#This Row],[SPY]:[PE]])</f>
        <v>-3.9821199539144918E-2</v>
      </c>
      <c r="DT83" s="27">
        <f>IF(ISNUMBER(DT82),DT82*(1+PortfolioFrontier[[#This Row],[P31 Return]]),1+PortfolioFrontier[[#This Row],[P31 Return]])</f>
        <v>1.5644932214754173</v>
      </c>
      <c r="DU83" s="27">
        <f>MAX(DU82,PortfolioFrontier[[#This Row],[P31 Growth]])</f>
        <v>1.8525428026208837</v>
      </c>
      <c r="DV83" s="27">
        <f>PortfolioFrontier[[#This Row],[P31 Growth]]/PortfolioFrontier[[#This Row],[P31 HWM]]-1</f>
        <v>-0.15548875887669023</v>
      </c>
      <c r="DW83" s="28">
        <f>SUMPRODUCT(INDEX(PortfolioRef[[SPY]:[PE]],MATCH(DW$1,PortfolioRef[Reference '#]),0),AssetMonthlyReturns[[#This Row],[SPY]:[PE]])</f>
        <v>-3.6860529265764289E-2</v>
      </c>
      <c r="DX83" s="27">
        <f>IF(ISNUMBER(DX82),DX82*(1+PortfolioFrontier[[#This Row],[P32 Return]]),1+PortfolioFrontier[[#This Row],[P32 Return]])</f>
        <v>1.5642320991497656</v>
      </c>
      <c r="DY83" s="27">
        <f>MAX(DY82,PortfolioFrontier[[#This Row],[P32 Growth]])</f>
        <v>1.8190908915066115</v>
      </c>
      <c r="DZ83" s="27">
        <f>PortfolioFrontier[[#This Row],[P32 Growth]]/PortfolioFrontier[[#This Row],[P32 HWM]]-1</f>
        <v>-0.14010228600824126</v>
      </c>
      <c r="EA83" s="28">
        <f>SUMPRODUCT(INDEX(PortfolioRef[[SPY]:[PE]],MATCH(EA$1,PortfolioRef[Reference '#]),0),AssetMonthlyReturns[[#This Row],[SPY]:[PE]])</f>
        <v>-3.3899858992383673E-2</v>
      </c>
      <c r="EB83" s="27">
        <f>IF(ISNUMBER(EB82),EB82*(1+PortfolioFrontier[[#This Row],[P33 Return]]),1+PortfolioFrontier[[#This Row],[P33 Return]])</f>
        <v>1.5630037685852747</v>
      </c>
      <c r="EC83" s="27">
        <f>MAX(EC82,PortfolioFrontier[[#This Row],[P33 Growth]])</f>
        <v>1.7854600976944932</v>
      </c>
      <c r="ED83" s="27">
        <f>PortfolioFrontier[[#This Row],[P33 Growth]]/PortfolioFrontier[[#This Row],[P33 HWM]]-1</f>
        <v>-0.12459327956780952</v>
      </c>
      <c r="EE83" s="28">
        <f>SUMPRODUCT(INDEX(PortfolioRef[[SPY]:[PE]],MATCH(EE$1,PortfolioRef[Reference '#]),0),AssetMonthlyReturns[[#This Row],[SPY]:[PE]])</f>
        <v>-2.9382592502841257E-2</v>
      </c>
      <c r="EF83" s="27">
        <f>IF(ISNUMBER(EF82),EF82*(1+PortfolioFrontier[[#This Row],[P34 Return]]),1+PortfolioFrontier[[#This Row],[P34 Return]])</f>
        <v>1.4555165985341165</v>
      </c>
      <c r="EG83" s="27">
        <f>MAX(EG82,PortfolioFrontier[[#This Row],[P34 Growth]])</f>
        <v>1.6763614413137211</v>
      </c>
      <c r="EH83" s="27">
        <f>PortfolioFrontier[[#This Row],[P34 Growth]]/PortfolioFrontier[[#This Row],[P34 HWM]]-1</f>
        <v>-0.13174058847746717</v>
      </c>
      <c r="EI83" s="28">
        <f>SUMPRODUCT(INDEX(PortfolioRef[[SPY]:[PE]],MATCH(EI$1,PortfolioRef[Reference '#]),0),AssetMonthlyReturns[[#This Row],[SPY]:[PE]])</f>
        <v>-2.7368516202923167E-2</v>
      </c>
      <c r="EJ83" s="27">
        <f>IF(ISNUMBER(EJ82),EJ82*(1+PortfolioFrontier[[#This Row],[P35 Return]]),1+PortfolioFrontier[[#This Row],[P35 Return]])</f>
        <v>1.4795654852617468</v>
      </c>
      <c r="EK83" s="27">
        <f>MAX(EK82,PortfolioFrontier[[#This Row],[P35 Growth]])</f>
        <v>1.6920729334369538</v>
      </c>
      <c r="EL83" s="27">
        <f>PortfolioFrontier[[#This Row],[P35 Growth]]/PortfolioFrontier[[#This Row],[P35 HWM]]-1</f>
        <v>-0.12559000500265671</v>
      </c>
      <c r="EM83" s="28">
        <f>SUMPRODUCT(INDEX(PortfolioRef[[SPY]:[PE]],MATCH(EM$1,PortfolioRef[Reference '#]),0),AssetMonthlyReturns[[#This Row],[SPY]:[PE]])</f>
        <v>-3.2012780981247012E-2</v>
      </c>
      <c r="EN83" s="27">
        <f>IF(ISNUMBER(EN82),EN82*(1+PortfolioFrontier[[#This Row],[P36 Return]]),1+PortfolioFrontier[[#This Row],[P36 Return]])</f>
        <v>1.4744995439870636</v>
      </c>
      <c r="EO83" s="27">
        <f>MAX(EO82,PortfolioFrontier[[#This Row],[P36 Growth]])</f>
        <v>1.7120343963250326</v>
      </c>
      <c r="EP83" s="27">
        <f>PortfolioFrontier[[#This Row],[P36 Growth]]/PortfolioFrontier[[#This Row],[P36 HWM]]-1</f>
        <v>-0.13874420563503242</v>
      </c>
      <c r="EQ83" s="28">
        <f>SUMPRODUCT(INDEX(PortfolioRef[[SPY]:[PE]],MATCH(EQ$1,PortfolioRef[Reference '#]),0),AssetMonthlyReturns[[#This Row],[SPY]:[PE]])</f>
        <v>-2.905211070786639E-2</v>
      </c>
      <c r="ER83" s="27">
        <f>IF(ISNUMBER(ER82),ER82*(1+PortfolioFrontier[[#This Row],[P37 Return]]),1+PortfolioFrontier[[#This Row],[P37 Return]])</f>
        <v>1.4722808674192294</v>
      </c>
      <c r="ES83" s="27">
        <f>MAX(ES82,PortfolioFrontier[[#This Row],[P37 Growth]])</f>
        <v>1.6794736802569215</v>
      </c>
      <c r="ET83" s="27">
        <f>PortfolioFrontier[[#This Row],[P37 Growth]]/PortfolioFrontier[[#This Row],[P37 HWM]]-1</f>
        <v>-0.1233677045811139</v>
      </c>
      <c r="EU83" s="28">
        <f>SUMPRODUCT(INDEX(PortfolioRef[[SPY]:[PE]],MATCH(EU$1,PortfolioRef[Reference '#]),0),AssetMonthlyReturns[[#This Row],[SPY]:[PE]])</f>
        <v>-2.535443990300508E-2</v>
      </c>
      <c r="EV83" s="27">
        <f>IF(ISNUMBER(EV82),EV82*(1+PortfolioFrontier[[#This Row],[P38 Return]]),1+PortfolioFrontier[[#This Row],[P38 Return]])</f>
        <v>1.5036553543692939</v>
      </c>
      <c r="EW83" s="27">
        <f>MAX(EW82,PortfolioFrontier[[#This Row],[P38 Growth]])</f>
        <v>1.7075928941250238</v>
      </c>
      <c r="EX83" s="27">
        <f>PortfolioFrontier[[#This Row],[P38 Growth]]/PortfolioFrontier[[#This Row],[P38 HWM]]-1</f>
        <v>-0.11942983626681591</v>
      </c>
      <c r="EY83" s="28">
        <f>SUMPRODUCT(INDEX(PortfolioRef[[SPY]:[PE]],MATCH(EY$1,PortfolioRef[Reference '#]),0),AssetMonthlyReturns[[#This Row],[SPY]:[PE]])</f>
        <v>-2.9998704681328925E-2</v>
      </c>
      <c r="EZ83" s="27">
        <f>IF(ISNUMBER(EZ82),EZ82*(1+PortfolioFrontier[[#This Row],[P39 Return]]),1+PortfolioFrontier[[#This Row],[P39 Return]])</f>
        <v>1.4988342312049954</v>
      </c>
      <c r="FA83" s="27">
        <f>MAX(FA82,PortfolioFrontier[[#This Row],[P39 Growth]])</f>
        <v>1.7280388577532122</v>
      </c>
      <c r="FB83" s="27">
        <f>PortfolioFrontier[[#This Row],[P39 Growth]]/PortfolioFrontier[[#This Row],[P39 HWM]]-1</f>
        <v>-0.1326385836289744</v>
      </c>
      <c r="FC83" s="28">
        <f>SUMPRODUCT(INDEX(PortfolioRef[[SPY]:[PE]],MATCH(FC$1,PortfolioRef[Reference '#]),0),AssetMonthlyReturns[[#This Row],[SPY]:[PE]])</f>
        <v>-2.7038034407948303E-2</v>
      </c>
      <c r="FD83" s="27">
        <f>IF(ISNUMBER(FD82),FD82*(1+PortfolioFrontier[[#This Row],[P40 Return]]),1+PortfolioFrontier[[#This Row],[P40 Return]])</f>
        <v>1.4966077324682643</v>
      </c>
      <c r="FE83" s="27">
        <f>MAX(FE82,PortfolioFrontier[[#This Row],[P40 Growth]])</f>
        <v>1.6952394830468527</v>
      </c>
      <c r="FF83" s="27">
        <f>PortfolioFrontier[[#This Row],[P40 Growth]]/PortfolioFrontier[[#This Row],[P40 HWM]]-1</f>
        <v>-0.11717031874551886</v>
      </c>
      <c r="FG83" s="28">
        <f>SUMPRODUCT(INDEX(PortfolioRef[[SPY]:[PE]],MATCH(FG$1,PortfolioRef[Reference '#]),0),AssetMonthlyReturns[[#This Row],[SPY]:[PE]])</f>
        <v>-3.4642969459652777E-2</v>
      </c>
      <c r="FH83" s="27">
        <f>IF(ISNUMBER(FH82),FH82*(1+PortfolioFrontier[[#This Row],[P41 Return]]),1+PortfolioFrontier[[#This Row],[P41 Return]])</f>
        <v>1.4930139570411975</v>
      </c>
      <c r="FI83" s="27">
        <f>MAX(FI82,PortfolioFrontier[[#This Row],[P41 Growth]])</f>
        <v>1.7478091274239449</v>
      </c>
      <c r="FJ83" s="27">
        <f>PortfolioFrontier[[#This Row],[P41 Growth]]/PortfolioFrontier[[#This Row],[P41 HWM]]-1</f>
        <v>-0.14577974584575148</v>
      </c>
      <c r="FK83" s="28">
        <f>SUMPRODUCT(INDEX(PortfolioRef[[SPY]:[PE]],MATCH(FK$1,PortfolioRef[Reference '#]),0),AssetMonthlyReturns[[#This Row],[SPY]:[PE]])</f>
        <v>-3.1682299186272148E-2</v>
      </c>
      <c r="FL83" s="27">
        <f>IF(ISNUMBER(FL82),FL82*(1+PortfolioFrontier[[#This Row],[P42 Return]]),1+PortfolioFrontier[[#This Row],[P42 Return]])</f>
        <v>1.4915075110049911</v>
      </c>
      <c r="FM83" s="27">
        <f>MAX(FM82,PortfolioFrontier[[#This Row],[P42 Growth]])</f>
        <v>1.7151998522045959</v>
      </c>
      <c r="FN83" s="27">
        <f>PortfolioFrontier[[#This Row],[P42 Growth]]/PortfolioFrontier[[#This Row],[P42 HWM]]-1</f>
        <v>-0.13041765419469142</v>
      </c>
      <c r="FO83" s="28">
        <f>SUMPRODUCT(INDEX(PortfolioRef[[SPY]:[PE]],MATCH(FO$1,PortfolioRef[Reference '#]),0),AssetMonthlyReturns[[#This Row],[SPY]:[PE]])</f>
        <v>-2.8721628912891529E-2</v>
      </c>
      <c r="FP83" s="27">
        <f>IF(ISNUMBER(FP82),FP82*(1+PortfolioFrontier[[#This Row],[P43 Return]]),1+PortfolioFrontier[[#This Row],[P43 Return]])</f>
        <v>1.4890874101157068</v>
      </c>
      <c r="FQ83" s="27">
        <f>MAX(FQ82,PortfolioFrontier[[#This Row],[P43 Growth]])</f>
        <v>1.6824667632825669</v>
      </c>
      <c r="FR83" s="27">
        <f>PortfolioFrontier[[#This Row],[P43 Growth]]/PortfolioFrontier[[#This Row],[P43 HWM]]-1</f>
        <v>-0.11493799306297647</v>
      </c>
      <c r="FS83" s="28">
        <f>SUMPRODUCT(INDEX(PortfolioRef[[SPY]:[PE]],MATCH(FS$1,PortfolioRef[Reference '#]),0),AssetMonthlyReturns[[#This Row],[SPY]:[PE]])</f>
        <v>-2.7984628381410838E-2</v>
      </c>
      <c r="FT83" s="27">
        <f>IF(ISNUMBER(FT82),FT82*(1+PortfolioFrontier[[#This Row],[P44 Return]]),1+PortfolioFrontier[[#This Row],[P44 Return]])</f>
        <v>1.5232100724295279</v>
      </c>
      <c r="FU83" s="27">
        <f>MAX(FU82,PortfolioFrontier[[#This Row],[P44 Growth]])</f>
        <v>1.7438475694471607</v>
      </c>
      <c r="FV83" s="27">
        <f>PortfolioFrontier[[#This Row],[P44 Growth]]/PortfolioFrontier[[#This Row],[P44 HWM]]-1</f>
        <v>-0.12652338477472536</v>
      </c>
      <c r="FW83" s="28">
        <f>SUMPRODUCT(INDEX(PortfolioRef[[SPY]:[PE]],MATCH(FW$1,PortfolioRef[Reference '#]),0),AssetMonthlyReturns[[#This Row],[SPY]:[PE]])</f>
        <v>-2.5023958108030216E-2</v>
      </c>
      <c r="FX83" s="27">
        <f>IF(ISNUMBER(FX82),FX82*(1+PortfolioFrontier[[#This Row],[P45 Return]]),1+PortfolioFrontier[[#This Row],[P45 Return]])</f>
        <v>1.5209763159622516</v>
      </c>
      <c r="FY83" s="27">
        <f>MAX(FY82,PortfolioFrontier[[#This Row],[P45 Growth]])</f>
        <v>1.7108140158896465</v>
      </c>
      <c r="FZ83" s="27">
        <f>PortfolioFrontier[[#This Row],[P45 Growth]]/PortfolioFrontier[[#This Row],[P45 HWM]]-1</f>
        <v>-0.11096337659396416</v>
      </c>
      <c r="GA83" s="28">
        <f>SUMPRODUCT(INDEX(PortfolioRef[[SPY]:[PE]],MATCH(GA$1,PortfolioRef[Reference '#]),0),AssetMonthlyReturns[[#This Row],[SPY]:[PE]])</f>
        <v>-3.262889315973469E-2</v>
      </c>
      <c r="GB83" s="27">
        <f>IF(ISNUMBER(GB82),GB82*(1+PortfolioFrontier[[#This Row],[P46 Return]]),1+PortfolioFrontier[[#This Row],[P46 Return]])</f>
        <v>1.5176264061231581</v>
      </c>
      <c r="GC83" s="27">
        <f>MAX(GC82,PortfolioFrontier[[#This Row],[P46 Growth]])</f>
        <v>1.7641061270089846</v>
      </c>
      <c r="GD83" s="27">
        <f>PortfolioFrontier[[#This Row],[P46 Growth]]/PortfolioFrontier[[#This Row],[P46 HWM]]-1</f>
        <v>-0.13971932703602652</v>
      </c>
      <c r="GE83" s="28">
        <f>SUMPRODUCT(INDEX(PortfolioRef[[SPY]:[PE]],MATCH(GE$1,PortfolioRef[Reference '#]),0),AssetMonthlyReturns[[#This Row],[SPY]:[PE]])</f>
        <v>-2.9668222886354061E-2</v>
      </c>
      <c r="GF83" s="27">
        <f>IF(ISNUMBER(GF82),GF82*(1+PortfolioFrontier[[#This Row],[P47 Return]]),1+PortfolioFrontier[[#This Row],[P47 Return]])</f>
        <v>1.5161238514266915</v>
      </c>
      <c r="GG83" s="27">
        <f>MAX(GG82,PortfolioFrontier[[#This Row],[P47 Growth]])</f>
        <v>1.7312596087544752</v>
      </c>
      <c r="GH83" s="27">
        <f>PortfolioFrontier[[#This Row],[P47 Growth]]/PortfolioFrontier[[#This Row],[P47 HWM]]-1</f>
        <v>-0.12426545172076153</v>
      </c>
      <c r="GI83" s="28">
        <f>SUMPRODUCT(INDEX(PortfolioRef[[SPY]:[PE]],MATCH(GI$1,PortfolioRef[Reference '#]),0),AssetMonthlyReturns[[#This Row],[SPY]:[PE]])</f>
        <v>-2.6707552612973442E-2</v>
      </c>
      <c r="GJ83" s="27">
        <f>IF(ISNUMBER(GJ82),GJ82*(1+PortfolioFrontier[[#This Row],[P48 Return]]),1+PortfolioFrontier[[#This Row],[P48 Return]])</f>
        <v>1.5136931140109022</v>
      </c>
      <c r="GK83" s="27">
        <f>MAX(GK82,PortfolioFrontier[[#This Row],[P48 Growth]])</f>
        <v>1.6982858835097865</v>
      </c>
      <c r="GL83" s="27">
        <f>PortfolioFrontier[[#This Row],[P48 Growth]]/PortfolioFrontier[[#This Row],[P48 HWM]]-1</f>
        <v>-0.10869357820804171</v>
      </c>
      <c r="GM83" s="28">
        <f>SUMPRODUCT(INDEX(PortfolioRef[[SPY]:[PE]],MATCH(GM$1,PortfolioRef[Reference '#]),0),AssetMonthlyReturns[[#This Row],[SPY]:[PE]])</f>
        <v>-3.7273157938058535E-2</v>
      </c>
      <c r="GN83" s="27">
        <f>IF(ISNUMBER(GN82),GN82*(1+PortfolioFrontier[[#This Row],[P49 Return]]),1+PortfolioFrontier[[#This Row],[P49 Return]])</f>
        <v>1.511032783170414</v>
      </c>
      <c r="GO83" s="27">
        <f>MAX(GO82,PortfolioFrontier[[#This Row],[P49 Growth]])</f>
        <v>1.7836571071341945</v>
      </c>
      <c r="GP83" s="27">
        <f>PortfolioFrontier[[#This Row],[P49 Growth]]/PortfolioFrontier[[#This Row],[P49 HWM]]-1</f>
        <v>-0.152845702726914</v>
      </c>
      <c r="GQ83" s="28">
        <f>SUMPRODUCT(INDEX(PortfolioRef[[SPY]:[PE]],MATCH(GQ$1,PortfolioRef[Reference '#]),0),AssetMonthlyReturns[[#This Row],[SPY]:[PE]])</f>
        <v>-3.4312487664677913E-2</v>
      </c>
      <c r="GR83" s="27">
        <f>IF(ISNUMBER(GR82),GR82*(1+PortfolioFrontier[[#This Row],[P50 Return]]),1+PortfolioFrontier[[#This Row],[P50 Return]])</f>
        <v>1.5102611768451097</v>
      </c>
      <c r="GS83" s="27">
        <f>MAX(GS82,PortfolioFrontier[[#This Row],[P50 Growth]])</f>
        <v>1.7510275614895194</v>
      </c>
      <c r="GT83" s="27">
        <f>PortfolioFrontier[[#This Row],[P50 Growth]]/PortfolioFrontier[[#This Row],[P50 HWM]]-1</f>
        <v>-0.13750005421936407</v>
      </c>
      <c r="GU83" s="28">
        <f>SUMPRODUCT(INDEX(PortfolioRef[[SPY]:[PE]],MATCH(GU$1,PortfolioRef[Reference '#]),0),AssetMonthlyReturns[[#This Row],[SPY]:[PE]])</f>
        <v>-3.135181739129729E-2</v>
      </c>
      <c r="GV83" s="27">
        <f>IF(ISNUMBER(GV82),GV82*(1+PortfolioFrontier[[#This Row],[P51 Return]]),1+PortfolioFrontier[[#This Row],[P51 Return]])</f>
        <v>1.5085587455693159</v>
      </c>
      <c r="GW83" s="27">
        <f>MAX(GW82,PortfolioFrontier[[#This Row],[P51 Growth]])</f>
        <v>1.7182435242855478</v>
      </c>
      <c r="GX83" s="27">
        <f>PortfolioFrontier[[#This Row],[P51 Growth]]/PortfolioFrontier[[#This Row],[P51 HWM]]-1</f>
        <v>-0.12203437740492551</v>
      </c>
      <c r="GY83" s="28">
        <f>SUMPRODUCT(INDEX(PortfolioRef[[SPY]:[PE]],MATCH(GY$1,PortfolioRef[Reference '#]),0),AssetMonthlyReturns[[#This Row],[SPY]:[PE]])</f>
        <v>-3.0614816859816596E-2</v>
      </c>
      <c r="GZ83" s="27">
        <f>IF(ISNUMBER(GZ82),GZ82*(1+PortfolioFrontier[[#This Row],[P52 Return]]),1+PortfolioFrontier[[#This Row],[P52 Return]])</f>
        <v>1.5422801639694153</v>
      </c>
      <c r="HA83" s="27">
        <f>MAX(HA82,PortfolioFrontier[[#This Row],[P52 Growth]])</f>
        <v>1.7802031417261526</v>
      </c>
      <c r="HB83" s="27">
        <f>PortfolioFrontier[[#This Row],[P52 Growth]]/PortfolioFrontier[[#This Row],[P52 HWM]]-1</f>
        <v>-0.13364934157235453</v>
      </c>
      <c r="HC83" s="28">
        <f>SUMPRODUCT(INDEX(PortfolioRef[[SPY]:[PE]],MATCH(HC$1,PortfolioRef[Reference '#]),0),AssetMonthlyReturns[[#This Row],[SPY]:[PE]])</f>
        <v>-2.7654146586435974E-2</v>
      </c>
      <c r="HD83" s="27">
        <f>IF(ISNUMBER(HD82),HD82*(1+PortfolioFrontier[[#This Row],[P53 Return]]),1+PortfolioFrontier[[#This Row],[P53 Return]])</f>
        <v>1.5407820868141076</v>
      </c>
      <c r="HE83" s="27">
        <f>MAX(HE82,PortfolioFrontier[[#This Row],[P53 Growth]])</f>
        <v>1.7471238825308339</v>
      </c>
      <c r="HF83" s="27">
        <f>PortfolioFrontier[[#This Row],[P53 Growth]]/PortfolioFrontier[[#This Row],[P53 HWM]]-1</f>
        <v>-0.11810370047590757</v>
      </c>
      <c r="HG83" s="28">
        <f>SUMPRODUCT(INDEX(PortfolioRef[[SPY]:[PE]],MATCH(HG$1,PortfolioRef[Reference '#]),0),AssetMonthlyReturns[[#This Row],[SPY]:[PE]])</f>
        <v>-2.4693476313055351E-2</v>
      </c>
      <c r="HH83" s="27">
        <f>IF(ISNUMBER(HH82),HH82*(1+PortfolioFrontier[[#This Row],[P54 Return]]),1+PortfolioFrontier[[#This Row],[P54 Return]])</f>
        <v>1.5383412813387849</v>
      </c>
      <c r="HI83" s="27">
        <f>MAX(HI82,PortfolioFrontier[[#This Row],[P54 Growth]])</f>
        <v>1.7139140104060526</v>
      </c>
      <c r="HJ83" s="27">
        <f>PortfolioFrontier[[#This Row],[P54 Growth]]/PortfolioFrontier[[#This Row],[P54 HWM]]-1</f>
        <v>-0.10243963699536585</v>
      </c>
      <c r="HK83" s="28">
        <f>SUMPRODUCT(INDEX(PortfolioRef[[SPY]:[PE]],MATCH(HK$1,PortfolioRef[Reference '#]),0),AssetMonthlyReturns[[#This Row],[SPY]:[PE]])</f>
        <v>-3.5259081638140448E-2</v>
      </c>
      <c r="HL83" s="27">
        <f>IF(ISNUMBER(HL82),HL82*(1+PortfolioFrontier[[#This Row],[P55 Return]]),1+PortfolioFrontier[[#This Row],[P55 Return]])</f>
        <v>1.5359145514178565</v>
      </c>
      <c r="HM83" s="27">
        <f>MAX(HM82,PortfolioFrontier[[#This Row],[P55 Growth]])</f>
        <v>1.8002459621778737</v>
      </c>
      <c r="HN83" s="27">
        <f>PortfolioFrontier[[#This Row],[P55 Growth]]/PortfolioFrontier[[#This Row],[P55 HWM]]-1</f>
        <v>-0.14683071997575181</v>
      </c>
      <c r="HO83" s="28">
        <f>SUMPRODUCT(INDEX(PortfolioRef[[SPY]:[PE]],MATCH(HO$1,PortfolioRef[Reference '#]),0),AssetMonthlyReturns[[#This Row],[SPY]:[PE]])</f>
        <v>-3.2298411364759819E-2</v>
      </c>
      <c r="HP83" s="27">
        <f>IF(ISNUMBER(HP82),HP82*(1+PortfolioFrontier[[#This Row],[P56 Return]]),1+PortfolioFrontier[[#This Row],[P56 Return]])</f>
        <v>1.535158875077399</v>
      </c>
      <c r="HQ83" s="27">
        <f>MAX(HQ82,PortfolioFrontier[[#This Row],[P56 Growth]])</f>
        <v>1.767380839986993</v>
      </c>
      <c r="HR83" s="27">
        <f>PortfolioFrontier[[#This Row],[P56 Growth]]/PortfolioFrontier[[#This Row],[P56 HWM]]-1</f>
        <v>-0.13139327962348113</v>
      </c>
      <c r="HS83" s="28">
        <f>SUMPRODUCT(INDEX(PortfolioRef[[SPY]:[PE]],MATCH(HS$1,PortfolioRef[Reference '#]),0),AssetMonthlyReturns[[#This Row],[SPY]:[PE]])</f>
        <v>-2.93377410913792E-2</v>
      </c>
      <c r="HT83" s="27">
        <f>IF(ISNUMBER(HT82),HT82*(1+PortfolioFrontier[[#This Row],[P57 Return]]),1+PortfolioFrontier[[#This Row],[P57 Return]])</f>
        <v>1.5334576164136755</v>
      </c>
      <c r="HU83" s="27">
        <f>MAX(HU82,PortfolioFrontier[[#This Row],[P57 Growth]])</f>
        <v>1.7343575628436463</v>
      </c>
      <c r="HV83" s="27">
        <f>PortfolioFrontier[[#This Row],[P57 Growth]]/PortfolioFrontier[[#This Row],[P57 HWM]]-1</f>
        <v>-0.11583536793910942</v>
      </c>
      <c r="HW83" s="28">
        <f>SUMPRODUCT(INDEX(PortfolioRef[[SPY]:[PE]],MATCH(HW$1,PortfolioRef[Reference '#]),0),AssetMonthlyReturns[[#This Row],[SPY]:[PE]])</f>
        <v>-3.9903346416464293E-2</v>
      </c>
      <c r="HX83" s="27">
        <f>IF(ISNUMBER(HX82),HX82*(1+PortfolioFrontier[[#This Row],[P58 Return]]),1+PortfolioFrontier[[#This Row],[P58 Return]])</f>
        <v>1.5285290637591282</v>
      </c>
      <c r="HY83" s="27">
        <f>MAX(HY82,PortfolioFrontier[[#This Row],[P58 Growth]])</f>
        <v>1.8195487359549802</v>
      </c>
      <c r="HZ83" s="27">
        <f>PortfolioFrontier[[#This Row],[P58 Growth]]/PortfolioFrontier[[#This Row],[P58 HWM]]-1</f>
        <v>-0.1599405756192136</v>
      </c>
      <c r="IA83" s="28">
        <f>SUMPRODUCT(INDEX(PortfolioRef[[SPY]:[PE]],MATCH(IA$1,PortfolioRef[Reference '#]),0),AssetMonthlyReturns[[#This Row],[SPY]:[PE]])</f>
        <v>-3.6942676143083671E-2</v>
      </c>
      <c r="IB83" s="27">
        <f>IF(ISNUMBER(IB82),IB82*(1+PortfolioFrontier[[#This Row],[P59 Return]]),1+PortfolioFrontier[[#This Row],[P59 Return]])</f>
        <v>1.5285144950277161</v>
      </c>
      <c r="IC83" s="27">
        <f>MAX(IC82,PortfolioFrontier[[#This Row],[P59 Growth]])</f>
        <v>1.7869282396294996</v>
      </c>
      <c r="ID83" s="27">
        <f>PortfolioFrontier[[#This Row],[P59 Growth]]/PortfolioFrontier[[#This Row],[P59 HWM]]-1</f>
        <v>-0.14461338674426172</v>
      </c>
      <c r="IE83" s="28">
        <f>SUMPRODUCT(INDEX(PortfolioRef[[SPY]:[PE]],MATCH(IE$1,PortfolioRef[Reference '#]),0),AssetMonthlyReturns[[#This Row],[SPY]:[PE]])</f>
        <v>-3.3982005869703048E-2</v>
      </c>
      <c r="IF83" s="27">
        <f>IF(ISNUMBER(IF82),IF82*(1+PortfolioFrontier[[#This Row],[P60 Return]]),1+PortfolioFrontier[[#This Row],[P60 Return]])</f>
        <v>1.5275526568004456</v>
      </c>
      <c r="IG83" s="27">
        <f>MAX(IG82,PortfolioFrontier[[#This Row],[P60 Growth]])</f>
        <v>1.7541215677111524</v>
      </c>
      <c r="IH83" s="27">
        <f>PortfolioFrontier[[#This Row],[P60 Growth]]/PortfolioFrontier[[#This Row],[P60 HWM]]-1</f>
        <v>-0.12916374502272543</v>
      </c>
      <c r="II83" s="28">
        <f>SUMPRODUCT(INDEX(PortfolioRef[[SPY]:[PE]],MATCH(II$1,PortfolioRef[Reference '#]),0),AssetMonthlyReturns[[#This Row],[SPY]:[PE]])</f>
        <v>-2.6834550901754874E-2</v>
      </c>
      <c r="IJ83" s="27">
        <f>IF(ISNUMBER(IJ82),IJ82*(1+PortfolioFrontier[[#This Row],[P61 Return]]),1+PortfolioFrontier[[#This Row],[P61 Return]])</f>
        <v>1.4036669984817078</v>
      </c>
      <c r="IK83" s="27">
        <f>MAX(IK82,PortfolioFrontier[[#This Row],[P61 Growth]])</f>
        <v>1.6121264956964798</v>
      </c>
      <c r="IL83" s="27">
        <f>PortfolioFrontier[[#This Row],[P61 Growth]]/PortfolioFrontier[[#This Row],[P61 HWM]]-1</f>
        <v>-0.12930715906676549</v>
      </c>
      <c r="IM83" s="28">
        <f>SUMPRODUCT(INDEX(PortfolioRef[[SPY]:[PE]],MATCH(IM$1,PortfolioRef[Reference '#]),0),AssetMonthlyReturns[[#This Row],[SPY]:[PE]])</f>
        <v>-2.4820474601836787E-2</v>
      </c>
      <c r="IN83" s="27">
        <f>IF(ISNUMBER(IN82),IN82*(1+PortfolioFrontier[[#This Row],[P62 Return]]),1+PortfolioFrontier[[#This Row],[P62 Return]])</f>
        <v>1.4268635300921131</v>
      </c>
      <c r="IO83" s="27">
        <f>MAX(IO82,PortfolioFrontier[[#This Row],[P62 Growth]])</f>
        <v>1.6272630311124299</v>
      </c>
      <c r="IP83" s="27">
        <f>PortfolioFrontier[[#This Row],[P62 Growth]]/PortfolioFrontier[[#This Row],[P62 HWM]]-1</f>
        <v>-0.12315126515429997</v>
      </c>
      <c r="IQ83" s="28">
        <f>SUMPRODUCT(INDEX(PortfolioRef[[SPY]:[PE]],MATCH(IQ$1,PortfolioRef[Reference '#]),0),AssetMonthlyReturns[[#This Row],[SPY]:[PE]])</f>
        <v>-2.9464739380160636E-2</v>
      </c>
      <c r="IR83" s="27">
        <f>IF(ISNUMBER(IR82),IR82*(1+PortfolioFrontier[[#This Row],[P63 Return]]),1+PortfolioFrontier[[#This Row],[P63 Return]])</f>
        <v>1.4224792309257173</v>
      </c>
      <c r="IS83" s="27">
        <f>MAX(IS82,PortfolioFrontier[[#This Row],[P63 Growth]])</f>
        <v>1.646884909102555</v>
      </c>
      <c r="IT83" s="27">
        <f>PortfolioFrontier[[#This Row],[P63 Growth]]/PortfolioFrontier[[#This Row],[P63 HWM]]-1</f>
        <v>-0.1362606924967964</v>
      </c>
      <c r="IU83" s="28">
        <f>SUMPRODUCT(INDEX(PortfolioRef[[SPY]:[PE]],MATCH(IU$1,PortfolioRef[Reference '#]),0),AssetMonthlyReturns[[#This Row],[SPY]:[PE]])</f>
        <v>-2.650406910678001E-2</v>
      </c>
      <c r="IV83" s="27">
        <f>IF(ISNUMBER(IV82),IV82*(1+PortfolioFrontier[[#This Row],[P64 Return]]),1+PortfolioFrontier[[#This Row],[P64 Return]])</f>
        <v>1.4198554734656692</v>
      </c>
      <c r="IW83" s="27">
        <f>MAX(IW82,PortfolioFrontier[[#This Row],[P64 Growth]])</f>
        <v>1.6151793879801097</v>
      </c>
      <c r="IX83" s="27">
        <f>PortfolioFrontier[[#This Row],[P64 Growth]]/PortfolioFrontier[[#This Row],[P64 HWM]]-1</f>
        <v>-0.12093016786123445</v>
      </c>
      <c r="IY83" s="28">
        <f>SUMPRODUCT(INDEX(PortfolioRef[[SPY]:[PE]],MATCH(IY$1,PortfolioRef[Reference '#]),0),AssetMonthlyReturns[[#This Row],[SPY]:[PE]])</f>
        <v>-2.2806398301918697E-2</v>
      </c>
      <c r="IZ83" s="27">
        <f>IF(ISNUMBER(IZ82),IZ82*(1+PortfolioFrontier[[#This Row],[P65 Return]]),1+PortfolioFrontier[[#This Row],[P65 Return]])</f>
        <v>1.4500990092371828</v>
      </c>
      <c r="JA83" s="27">
        <f>MAX(JA82,PortfolioFrontier[[#This Row],[P65 Growth]])</f>
        <v>1.6422150953060746</v>
      </c>
      <c r="JB83" s="27">
        <f>PortfolioFrontier[[#This Row],[P65 Growth]]/PortfolioFrontier[[#This Row],[P65 HWM]]-1</f>
        <v>-0.11698594576192545</v>
      </c>
      <c r="JC83" s="28">
        <f>SUMPRODUCT(INDEX(PortfolioRef[[SPY]:[PE]],MATCH(JC$1,PortfolioRef[Reference '#]),0),AssetMonthlyReturns[[#This Row],[SPY]:[PE]])</f>
        <v>-2.7450663080242542E-2</v>
      </c>
      <c r="JD83" s="27">
        <f>IF(ISNUMBER(JD82),JD82*(1+PortfolioFrontier[[#This Row],[P66 Return]]),1+PortfolioFrontier[[#This Row],[P66 Return]])</f>
        <v>1.4459595246278238</v>
      </c>
      <c r="JE83" s="27">
        <f>MAX(JE82,PortfolioFrontier[[#This Row],[P66 Growth]])</f>
        <v>1.6623077877531292</v>
      </c>
      <c r="JF83" s="27">
        <f>PortfolioFrontier[[#This Row],[P66 Growth]]/PortfolioFrontier[[#This Row],[P66 HWM]]-1</f>
        <v>-0.13014934100605646</v>
      </c>
      <c r="JG83" s="28">
        <f>SUMPRODUCT(INDEX(PortfolioRef[[SPY]:[PE]],MATCH(JG$1,PortfolioRef[Reference '#]),0),AssetMonthlyReturns[[#This Row],[SPY]:[PE]])</f>
        <v>-2.448999280686192E-2</v>
      </c>
      <c r="JH83" s="27">
        <f>IF(ISNUMBER(JH82),JH82*(1+PortfolioFrontier[[#This Row],[P67 Return]]),1+PortfolioFrontier[[#This Row],[P67 Return]])</f>
        <v>1.4433205355564693</v>
      </c>
      <c r="JI83" s="27">
        <f>MAX(JI82,PortfolioFrontier[[#This Row],[P67 Growth]])</f>
        <v>1.6303687537292939</v>
      </c>
      <c r="JJ83" s="27">
        <f>PortfolioFrontier[[#This Row],[P67 Growth]]/PortfolioFrontier[[#This Row],[P67 HWM]]-1</f>
        <v>-0.11472755334949336</v>
      </c>
      <c r="JK83" s="28">
        <f>SUMPRODUCT(INDEX(PortfolioRef[[SPY]:[PE]],MATCH(JK$1,PortfolioRef[Reference '#]),0),AssetMonthlyReturns[[#This Row],[SPY]:[PE]])</f>
        <v>-3.2094927858566394E-2</v>
      </c>
      <c r="JL83" s="27">
        <f>IF(ISNUMBER(JL82),JL82*(1+PortfolioFrontier[[#This Row],[P68 Return]]),1+PortfolioFrontier[[#This Row],[P68 Return]])</f>
        <v>1.4408543145206498</v>
      </c>
      <c r="JM83" s="27">
        <f>MAX(JM82,PortfolioFrontier[[#This Row],[P68 Growth]])</f>
        <v>1.6817622542850994</v>
      </c>
      <c r="JN83" s="27">
        <f>PortfolioFrontier[[#This Row],[P68 Growth]]/PortfolioFrontier[[#This Row],[P68 HWM]]-1</f>
        <v>-0.14324732235523807</v>
      </c>
      <c r="JO83" s="28">
        <f>SUMPRODUCT(INDEX(PortfolioRef[[SPY]:[PE]],MATCH(JO$1,PortfolioRef[Reference '#]),0),AssetMonthlyReturns[[#This Row],[SPY]:[PE]])</f>
        <v>-2.9134257585185765E-2</v>
      </c>
      <c r="JP83" s="27">
        <f>IF(ISNUMBER(JP82),JP82*(1+PortfolioFrontier[[#This Row],[P69 Return]]),1+PortfolioFrontier[[#This Row],[P69 Return]])</f>
        <v>1.4389087856116194</v>
      </c>
      <c r="JQ83" s="27">
        <f>MAX(JQ82,PortfolioFrontier[[#This Row],[P69 Growth]])</f>
        <v>1.6499912107010917</v>
      </c>
      <c r="JR83" s="27">
        <f>PortfolioFrontier[[#This Row],[P69 Growth]]/PortfolioFrontier[[#This Row],[P69 HWM]]-1</f>
        <v>-0.1279294239390415</v>
      </c>
      <c r="JS83" s="28">
        <f>SUMPRODUCT(INDEX(PortfolioRef[[SPY]:[PE]],MATCH(JS$1,PortfolioRef[Reference '#]),0),AssetMonthlyReturns[[#This Row],[SPY]:[PE]])</f>
        <v>-2.6173587311805146E-2</v>
      </c>
      <c r="JT83" s="27">
        <f>IF(ISNUMBER(JT82),JT82*(1+PortfolioFrontier[[#This Row],[P70 Return]]),1+PortfolioFrontier[[#This Row],[P70 Return]])</f>
        <v>1.4360853003040128</v>
      </c>
      <c r="JU83" s="27">
        <f>MAX(JU82,PortfolioFrontier[[#This Row],[P70 Growth]])</f>
        <v>1.6181178918603722</v>
      </c>
      <c r="JV83" s="27">
        <f>PortfolioFrontier[[#This Row],[P70 Growth]]/PortfolioFrontier[[#This Row],[P70 HWM]]-1</f>
        <v>-0.11249649513922255</v>
      </c>
      <c r="JW83" s="28">
        <f>SUMPRODUCT(INDEX(PortfolioRef[[SPY]:[PE]],MATCH(JW$1,PortfolioRef[Reference '#]),0),AssetMonthlyReturns[[#This Row],[SPY]:[PE]])</f>
        <v>-2.5436586780324455E-2</v>
      </c>
      <c r="JX83" s="27">
        <f>IF(ISNUMBER(JX82),JX82*(1+PortfolioFrontier[[#This Row],[P71 Return]]),1+PortfolioFrontier[[#This Row],[P71 Return]])</f>
        <v>1.4694789363818757</v>
      </c>
      <c r="JY83" s="27">
        <f>MAX(JY82,PortfolioFrontier[[#This Row],[P71 Growth]])</f>
        <v>1.6775420819631024</v>
      </c>
      <c r="JZ83" s="27">
        <f>PortfolioFrontier[[#This Row],[P71 Growth]]/PortfolioFrontier[[#This Row],[P71 HWM]]-1</f>
        <v>-0.12402857002415457</v>
      </c>
      <c r="KA83" s="28">
        <f>SUMPRODUCT(INDEX(PortfolioRef[[SPY]:[PE]],MATCH(KA$1,PortfolioRef[Reference '#]),0),AssetMonthlyReturns[[#This Row],[SPY]:[PE]])</f>
        <v>-2.2475916506943833E-2</v>
      </c>
      <c r="KB83" s="27">
        <f>IF(ISNUMBER(KB82),KB82*(1+PortfolioFrontier[[#This Row],[P72 Return]]),1+PortfolioFrontier[[#This Row],[P72 Return]])</f>
        <v>1.4668252515326494</v>
      </c>
      <c r="KC83" s="27">
        <f>MAX(KC82,PortfolioFrontier[[#This Row],[P72 Growth]])</f>
        <v>1.6453738946019467</v>
      </c>
      <c r="KD83" s="27">
        <f>PortfolioFrontier[[#This Row],[P72 Growth]]/PortfolioFrontier[[#This Row],[P72 HWM]]-1</f>
        <v>-0.10851554388645035</v>
      </c>
      <c r="KE83" s="28">
        <f>SUMPRODUCT(INDEX(PortfolioRef[[SPY]:[PE]],MATCH(KE$1,PortfolioRef[Reference '#]),0),AssetMonthlyReturns[[#This Row],[SPY]:[PE]])</f>
        <v>-3.0080851558648307E-2</v>
      </c>
      <c r="KF83" s="27">
        <f>IF(ISNUMBER(KF82),KF82*(1+PortfolioFrontier[[#This Row],[P73 Return]]),1+PortfolioFrontier[[#This Row],[P73 Return]])</f>
        <v>1.4646108320470757</v>
      </c>
      <c r="KG83" s="27">
        <f>MAX(KG82,PortfolioFrontier[[#This Row],[P73 Growth]])</f>
        <v>1.6974712283523181</v>
      </c>
      <c r="KH83" s="27">
        <f>PortfolioFrontier[[#This Row],[P73 Growth]]/PortfolioFrontier[[#This Row],[P73 HWM]]-1</f>
        <v>-0.13718076183905203</v>
      </c>
      <c r="KI83" s="28">
        <f>SUMPRODUCT(INDEX(PortfolioRef[[SPY]:[PE]],MATCH(KI$1,PortfolioRef[Reference '#]),0),AssetMonthlyReturns[[#This Row],[SPY]:[PE]])</f>
        <v>-2.7120181285267678E-2</v>
      </c>
      <c r="KJ83" s="27">
        <f>IF(ISNUMBER(KJ82),KJ82*(1+PortfolioFrontier[[#This Row],[P74 Return]]),1+PortfolioFrontier[[#This Row],[P74 Return]])</f>
        <v>1.4626612517524096</v>
      </c>
      <c r="KK83" s="27">
        <f>MAX(KK82,PortfolioFrontier[[#This Row],[P74 Growth]])</f>
        <v>1.6654678920548054</v>
      </c>
      <c r="KL83" s="27">
        <f>PortfolioFrontier[[#This Row],[P74 Growth]]/PortfolioFrontier[[#This Row],[P74 HWM]]-1</f>
        <v>-0.12177157018150553</v>
      </c>
      <c r="KM83" s="28">
        <f>SUMPRODUCT(INDEX(PortfolioRef[[SPY]:[PE]],MATCH(KM$1,PortfolioRef[Reference '#]),0),AssetMonthlyReturns[[#This Row],[SPY]:[PE]])</f>
        <v>-2.4159511011887059E-2</v>
      </c>
      <c r="KN83" s="27">
        <f>IF(ISNUMBER(KN82),KN82*(1+PortfolioFrontier[[#This Row],[P75 Return]]),1+PortfolioFrontier[[#This Row],[P75 Return]])</f>
        <v>1.4598197333684575</v>
      </c>
      <c r="KO83" s="27">
        <f>MAX(KO82,PortfolioFrontier[[#This Row],[P75 Growth]])</f>
        <v>1.6333591346427441</v>
      </c>
      <c r="KP83" s="27">
        <f>PortfolioFrontier[[#This Row],[P75 Growth]]/PortfolioFrontier[[#This Row],[P75 HWM]]-1</f>
        <v>-0.10624693467199053</v>
      </c>
      <c r="KQ83" s="28">
        <f>SUMPRODUCT(INDEX(PortfolioRef[[SPY]:[PE]],MATCH(KQ$1,PortfolioRef[Reference '#]),0),AssetMonthlyReturns[[#This Row],[SPY]:[PE]])</f>
        <v>-3.4725116336972152E-2</v>
      </c>
      <c r="KR83" s="27">
        <f>IF(ISNUMBER(KR82),KR82*(1+PortfolioFrontier[[#This Row],[P76 Return]]),1+PortfolioFrontier[[#This Row],[P76 Return]])</f>
        <v>1.4587658333735933</v>
      </c>
      <c r="KS83" s="27">
        <f>MAX(KS82,PortfolioFrontier[[#This Row],[P76 Growth]])</f>
        <v>1.7167314071133803</v>
      </c>
      <c r="KT83" s="27">
        <f>PortfolioFrontier[[#This Row],[P76 Growth]]/PortfolioFrontier[[#This Row],[P76 HWM]]-1</f>
        <v>-0.15026554105720391</v>
      </c>
      <c r="KU83" s="28">
        <f>SUMPRODUCT(INDEX(PortfolioRef[[SPY]:[PE]],MATCH(KU$1,PortfolioRef[Reference '#]),0),AssetMonthlyReturns[[#This Row],[SPY]:[PE]])</f>
        <v>-3.176444606359153E-2</v>
      </c>
      <c r="KV83" s="27">
        <f>IF(ISNUMBER(KV82),KV82*(1+PortfolioFrontier[[#This Row],[P77 Return]]),1+PortfolioFrontier[[#This Row],[P77 Return]])</f>
        <v>1.4575208371908066</v>
      </c>
      <c r="KW83" s="27">
        <f>MAX(KW82,PortfolioFrontier[[#This Row],[P77 Growth]])</f>
        <v>1.6849217747429484</v>
      </c>
      <c r="KX83" s="27">
        <f>PortfolioFrontier[[#This Row],[P77 Growth]]/PortfolioFrontier[[#This Row],[P77 HWM]]-1</f>
        <v>-0.13496231158080563</v>
      </c>
      <c r="KY83" s="28">
        <f>SUMPRODUCT(INDEX(PortfolioRef[[SPY]:[PE]],MATCH(KY$1,PortfolioRef[Reference '#]),0),AssetMonthlyReturns[[#This Row],[SPY]:[PE]])</f>
        <v>-2.8803775790210904E-2</v>
      </c>
      <c r="KZ83" s="27">
        <f>IF(ISNUMBER(KZ82),KZ82*(1+PortfolioFrontier[[#This Row],[P78 Return]]),1+PortfolioFrontier[[#This Row],[P78 Return]])</f>
        <v>1.4553806775948508</v>
      </c>
      <c r="LA83" s="27">
        <f>MAX(LA82,PortfolioFrontier[[#This Row],[P78 Growth]])</f>
        <v>1.6529805725839544</v>
      </c>
      <c r="LB83" s="27">
        <f>PortfolioFrontier[[#This Row],[P78 Growth]]/PortfolioFrontier[[#This Row],[P78 HWM]]-1</f>
        <v>-0.11954157130849619</v>
      </c>
      <c r="LC83" s="28">
        <f>SUMPRODUCT(INDEX(PortfolioRef[[SPY]:[PE]],MATCH(LC$1,PortfolioRef[Reference '#]),0),AssetMonthlyReturns[[#This Row],[SPY]:[PE]])</f>
        <v>-2.806677525873022E-2</v>
      </c>
      <c r="LD83" s="27">
        <f>IF(ISNUMBER(LD82),LD82*(1+PortfolioFrontier[[#This Row],[P79 Return]]),1+PortfolioFrontier[[#This Row],[P79 Return]])</f>
        <v>1.4884066221023848</v>
      </c>
      <c r="LE83" s="27">
        <f>MAX(LE82,PortfolioFrontier[[#This Row],[P79 Growth]])</f>
        <v>1.7129874860839263</v>
      </c>
      <c r="LF83" s="27">
        <f>PortfolioFrontier[[#This Row],[P79 Growth]]/PortfolioFrontier[[#This Row],[P79 HWM]]-1</f>
        <v>-0.13110478961814098</v>
      </c>
      <c r="LG83" s="28">
        <f>SUMPRODUCT(INDEX(PortfolioRef[[SPY]:[PE]],MATCH(LG$1,PortfolioRef[Reference '#]),0),AssetMonthlyReturns[[#This Row],[SPY]:[PE]])</f>
        <v>-2.5106104985349591E-2</v>
      </c>
      <c r="LH83" s="27">
        <f>IF(ISNUMBER(LH82),LH82*(1+PortfolioFrontier[[#This Row],[P80 Return]]),1+PortfolioFrontier[[#This Row],[P80 Return]])</f>
        <v>1.4864535471795519</v>
      </c>
      <c r="LI83" s="27">
        <f>MAX(LI82,PortfolioFrontier[[#This Row],[P80 Growth]])</f>
        <v>1.6807562405101484</v>
      </c>
      <c r="LJ83" s="27">
        <f>PortfolioFrontier[[#This Row],[P80 Growth]]/PortfolioFrontier[[#This Row],[P80 HWM]]-1</f>
        <v>-0.11560432658076647</v>
      </c>
      <c r="LK83" s="28">
        <f>SUMPRODUCT(INDEX(PortfolioRef[[SPY]:[PE]],MATCH(LK$1,PortfolioRef[Reference '#]),0),AssetMonthlyReturns[[#This Row],[SPY]:[PE]])</f>
        <v>-2.2145434711968972E-2</v>
      </c>
      <c r="LL83" s="27">
        <f>IF(ISNUMBER(LL82),LL82*(1+PortfolioFrontier[[#This Row],[P81 Return]]),1+PortfolioFrontier[[#This Row],[P81 Return]])</f>
        <v>1.4835945353279409</v>
      </c>
      <c r="LM83" s="27">
        <f>MAX(LM82,PortfolioFrontier[[#This Row],[P81 Growth]])</f>
        <v>1.648416413491208</v>
      </c>
      <c r="LN83" s="27">
        <f>PortfolioFrontier[[#This Row],[P81 Growth]]/PortfolioFrontier[[#This Row],[P81 HWM]]-1</f>
        <v>-9.9988010804981098E-2</v>
      </c>
      <c r="LO83" s="28">
        <f>SUMPRODUCT(INDEX(PortfolioRef[[SPY]:[PE]],MATCH(LO$1,PortfolioRef[Reference '#]),0),AssetMonthlyReturns[[#This Row],[SPY]:[PE]])</f>
        <v>-3.2711040037054065E-2</v>
      </c>
      <c r="LP83" s="27">
        <f>IF(ISNUMBER(LP82),LP82*(1+PortfolioFrontier[[#This Row],[P82 Return]]),1+PortfolioFrontier[[#This Row],[P82 Return]])</f>
        <v>1.4827906410076288</v>
      </c>
      <c r="LQ83" s="27">
        <f>MAX(LQ82,PortfolioFrontier[[#This Row],[P82 Growth]])</f>
        <v>1.7327259878391794</v>
      </c>
      <c r="LR83" s="27">
        <f>PortfolioFrontier[[#This Row],[P82 Growth]]/PortfolioFrontier[[#This Row],[P82 HWM]]-1</f>
        <v>-0.14424401122028307</v>
      </c>
      <c r="LS83" s="28">
        <f>SUMPRODUCT(INDEX(PortfolioRef[[SPY]:[PE]],MATCH(LS$1,PortfolioRef[Reference '#]),0),AssetMonthlyReturns[[#This Row],[SPY]:[PE]])</f>
        <v>-2.9750369763673443E-2</v>
      </c>
      <c r="LT83" s="27">
        <f>IF(ISNUMBER(LT82),LT82*(1+PortfolioFrontier[[#This Row],[P83 Return]]),1+PortfolioFrontier[[#This Row],[P83 Return]])</f>
        <v>1.4815530954978409</v>
      </c>
      <c r="LU83" s="27">
        <f>MAX(LU82,PortfolioFrontier[[#This Row],[P83 Growth]])</f>
        <v>1.7006855237848306</v>
      </c>
      <c r="LV83" s="27">
        <f>PortfolioFrontier[[#This Row],[P83 Growth]]/PortfolioFrontier[[#This Row],[P83 HWM]]-1</f>
        <v>-0.12884946994745761</v>
      </c>
      <c r="LW83" s="28">
        <f>SUMPRODUCT(INDEX(PortfolioRef[[SPY]:[PE]],MATCH(LW$1,PortfolioRef[Reference '#]),0),AssetMonthlyReturns[[#This Row],[SPY]:[PE]])</f>
        <v>-2.6789699490292817E-2</v>
      </c>
      <c r="LX83" s="27">
        <f>IF(ISNUMBER(LX82),LX82*(1+PortfolioFrontier[[#This Row],[P84 Return]]),1+PortfolioFrontier[[#This Row],[P84 Return]])</f>
        <v>1.4794061732456303</v>
      </c>
      <c r="LY83" s="27">
        <f>MAX(LY82,PortfolioFrontier[[#This Row],[P84 Growth]])</f>
        <v>1.6685100840279028</v>
      </c>
      <c r="LZ83" s="27">
        <f>PortfolioFrontier[[#This Row],[P84 Growth]]/PortfolioFrontier[[#This Row],[P84 HWM]]-1</f>
        <v>-0.11333699004429276</v>
      </c>
      <c r="MA83" s="28">
        <f>SUMPRODUCT(INDEX(PortfolioRef[[SPY]:[PE]],MATCH(MA$1,PortfolioRef[Reference '#]),0),AssetMonthlyReturns[[#This Row],[SPY]:[PE]])</f>
        <v>-3.7355304815377917E-2</v>
      </c>
      <c r="MB83" s="27">
        <f>IF(ISNUMBER(MB82),MB82*(1+PortfolioFrontier[[#This Row],[P85 Return]]),1+PortfolioFrontier[[#This Row],[P85 Return]])</f>
        <v>1.4761874314310566</v>
      </c>
      <c r="MC83" s="27">
        <f>MAX(MC82,PortfolioFrontier[[#This Row],[P85 Growth]])</f>
        <v>1.7517641950154219</v>
      </c>
      <c r="MD83" s="27">
        <f>PortfolioFrontier[[#This Row],[P85 Growth]]/PortfolioFrontier[[#This Row],[P85 HWM]]-1</f>
        <v>-0.15731384644606194</v>
      </c>
      <c r="ME83" s="28">
        <f>SUMPRODUCT(INDEX(PortfolioRef[[SPY]:[PE]],MATCH(ME$1,PortfolioRef[Reference '#]),0),AssetMonthlyReturns[[#This Row],[SPY]:[PE]])</f>
        <v>-3.4394634541997288E-2</v>
      </c>
      <c r="MF83" s="27">
        <f>IF(ISNUMBER(MF82),MF82*(1+PortfolioFrontier[[#This Row],[P86 Return]]),1+PortfolioFrontier[[#This Row],[P86 Return]])</f>
        <v>1.4756649048200416</v>
      </c>
      <c r="MG83" s="27">
        <f>MAX(MG82,PortfolioFrontier[[#This Row],[P86 Growth]])</f>
        <v>1.7199439154573082</v>
      </c>
      <c r="MH83" s="27">
        <f>PortfolioFrontier[[#This Row],[P86 Growth]]/PortfolioFrontier[[#This Row],[P86 HWM]]-1</f>
        <v>-0.14202731172912475</v>
      </c>
      <c r="MI83" s="28">
        <f>SUMPRODUCT(INDEX(PortfolioRef[[SPY]:[PE]],MATCH(MI$1,PortfolioRef[Reference '#]),0),AssetMonthlyReturns[[#This Row],[SPY]:[PE]])</f>
        <v>-3.1433964268616672E-2</v>
      </c>
      <c r="MJ83" s="27">
        <f>IF(ISNUMBER(MJ82),MJ82*(1+PortfolioFrontier[[#This Row],[P87 Return]]),1+PortfolioFrontier[[#This Row],[P87 Return]])</f>
        <v>1.4742306821722448</v>
      </c>
      <c r="MK83" s="27">
        <f>MAX(MK82,PortfolioFrontier[[#This Row],[P87 Growth]])</f>
        <v>1.6879617873128629</v>
      </c>
      <c r="ML83" s="27">
        <f>PortfolioFrontier[[#This Row],[P87 Growth]]/PortfolioFrontier[[#This Row],[P87 HWM]]-1</f>
        <v>-0.12662081970520533</v>
      </c>
      <c r="MM83" s="28">
        <f>SUMPRODUCT(INDEX(PortfolioRef[[SPY]:[PE]],MATCH(MM$1,PortfolioRef[Reference '#]),0),AssetMonthlyReturns[[#This Row],[SPY]:[PE]])</f>
        <v>-3.0696963737135975E-2</v>
      </c>
      <c r="MN83" s="27">
        <f>IF(ISNUMBER(MN82),MN82*(1+PortfolioFrontier[[#This Row],[P88 Return]]),1+PortfolioFrontier[[#This Row],[P88 Return]])</f>
        <v>1.506854859426439</v>
      </c>
      <c r="MO83" s="27">
        <f>MAX(MO82,PortfolioFrontier[[#This Row],[P88 Growth]])</f>
        <v>1.7485237047822844</v>
      </c>
      <c r="MP83" s="27">
        <f>PortfolioFrontier[[#This Row],[P88 Growth]]/PortfolioFrontier[[#This Row],[P88 HWM]]-1</f>
        <v>-0.13821307923642734</v>
      </c>
      <c r="MQ83" s="28">
        <f>SUMPRODUCT(INDEX(PortfolioRef[[SPY]:[PE]],MATCH(MQ$1,PortfolioRef[Reference '#]),0),AssetMonthlyReturns[[#This Row],[SPY]:[PE]])</f>
        <v>-2.7736293463755349E-2</v>
      </c>
      <c r="MR83" s="27">
        <f>IF(ISNUMBER(MR82),MR82*(1+PortfolioFrontier[[#This Row],[P89 Return]]),1+PortfolioFrontier[[#This Row],[P89 Return]])</f>
        <v>1.5056253421772516</v>
      </c>
      <c r="MS83" s="27">
        <f>MAX(MS82,PortfolioFrontier[[#This Row],[P89 Growth]])</f>
        <v>1.7162568132506029</v>
      </c>
      <c r="MT83" s="27">
        <f>PortfolioFrontier[[#This Row],[P89 Growth]]/PortfolioFrontier[[#This Row],[P89 HWM]]-1</f>
        <v>-0.12272724539074875</v>
      </c>
      <c r="MU83" s="28">
        <f>SUMPRODUCT(INDEX(PortfolioRef[[SPY]:[PE]],MATCH(MU$1,PortfolioRef[Reference '#]),0),AssetMonthlyReturns[[#This Row],[SPY]:[PE]])</f>
        <v>-2.477562319037473E-2</v>
      </c>
      <c r="MV83" s="27">
        <f>IF(ISNUMBER(MV82),MV82*(1+PortfolioFrontier[[#This Row],[P90 Return]]),1+PortfolioFrontier[[#This Row],[P90 Return]])</f>
        <v>1.5034722181682747</v>
      </c>
      <c r="MW83" s="27">
        <f>MAX(MW82,PortfolioFrontier[[#This Row],[P90 Growth]])</f>
        <v>1.6838515290273213</v>
      </c>
      <c r="MX83" s="27">
        <f>PortfolioFrontier[[#This Row],[P90 Growth]]/PortfolioFrontier[[#This Row],[P90 HWM]]-1</f>
        <v>-0.10712304959763463</v>
      </c>
      <c r="MY83" s="28">
        <f>SUMPRODUCT(INDEX(PortfolioRef[[SPY]:[PE]],MATCH(MY$1,PortfolioRef[Reference '#]),0),AssetMonthlyReturns[[#This Row],[SPY]:[PE]])</f>
        <v>-3.5341228515459823E-2</v>
      </c>
      <c r="MZ83" s="27">
        <f>IF(ISNUMBER(MZ82),MZ82*(1+PortfolioFrontier[[#This Row],[P91 Return]]),1+PortfolioFrontier[[#This Row],[P91 Return]])</f>
        <v>1.5004722024212391</v>
      </c>
      <c r="NA83" s="27">
        <f>MAX(NA82,PortfolioFrontier[[#This Row],[P91 Growth]])</f>
        <v>1.7680436458517257</v>
      </c>
      <c r="NB83" s="27">
        <f>PortfolioFrontier[[#This Row],[P91 Growth]]/PortfolioFrontier[[#This Row],[P91 HWM]]-1</f>
        <v>-0.15133757815214366</v>
      </c>
      <c r="NC83" s="28">
        <f>SUMPRODUCT(INDEX(PortfolioRef[[SPY]:[PE]],MATCH(NC$1,PortfolioRef[Reference '#]),0),AssetMonthlyReturns[[#This Row],[SPY]:[PE]])</f>
        <v>-3.2380558242079201E-2</v>
      </c>
      <c r="ND83" s="27">
        <f>IF(ISNUMBER(ND82),ND82*(1+PortfolioFrontier[[#This Row],[P92 Return]]),1+PortfolioFrontier[[#This Row],[P92 Return]])</f>
        <v>1.4999689433526273</v>
      </c>
      <c r="NE83" s="27">
        <f>MAX(NE82,PortfolioFrontier[[#This Row],[P92 Growth]])</f>
        <v>1.73599424265744</v>
      </c>
      <c r="NF83" s="27">
        <f>PortfolioFrontier[[#This Row],[P92 Growth]]/PortfolioFrontier[[#This Row],[P92 HWM]]-1</f>
        <v>-0.13595972469557727</v>
      </c>
      <c r="NG83" s="28">
        <f>SUMPRODUCT(INDEX(PortfolioRef[[SPY]:[PE]],MATCH(NG$1,PortfolioRef[Reference '#]),0),AssetMonthlyReturns[[#This Row],[SPY]:[PE]])</f>
        <v>-2.9419887968698575E-2</v>
      </c>
      <c r="NH83" s="27">
        <f>IF(ISNUMBER(NH82),NH82*(1+PortfolioFrontier[[#This Row],[P93 Return]]),1+PortfolioFrontier[[#This Row],[P93 Return]])</f>
        <v>1.4985395548212934</v>
      </c>
      <c r="NI83" s="27">
        <f>MAX(NI82,PortfolioFrontier[[#This Row],[P93 Growth]])</f>
        <v>1.7037793193389816</v>
      </c>
      <c r="NJ83" s="27">
        <f>PortfolioFrontier[[#This Row],[P93 Growth]]/PortfolioFrontier[[#This Row],[P93 HWM]]-1</f>
        <v>-0.12046147185148104</v>
      </c>
      <c r="NK83" s="28">
        <f>SUMPRODUCT(INDEX(PortfolioRef[[SPY]:[PE]],MATCH(NK$1,PortfolioRef[Reference '#]),0),AssetMonthlyReturns[[#This Row],[SPY]:[PE]])</f>
        <v>-3.9985493293783668E-2</v>
      </c>
      <c r="NL83" s="27">
        <f>IF(ISNUMBER(NL82),NL82*(1+PortfolioFrontier[[#This Row],[P94 Return]]),1+PortfolioFrontier[[#This Row],[P94 Return]])</f>
        <v>1.4930928578469227</v>
      </c>
      <c r="NM83" s="27">
        <f>MAX(NM82,PortfolioFrontier[[#This Row],[P94 Growth]])</f>
        <v>1.7868313973018393</v>
      </c>
      <c r="NN83" s="27">
        <f>PortfolioFrontier[[#This Row],[P94 Growth]]/PortfolioFrontier[[#This Row],[P94 HWM]]-1</f>
        <v>-0.16439074212512117</v>
      </c>
      <c r="NO83" s="28">
        <f>SUMPRODUCT(INDEX(PortfolioRef[[SPY]:[PE]],MATCH(NO$1,PortfolioRef[Reference '#]),0),AssetMonthlyReturns[[#This Row],[SPY]:[PE]])</f>
        <v>-3.7024823020403046E-2</v>
      </c>
      <c r="NP83" s="27">
        <f>IF(ISNUMBER(NP82),NP82*(1+PortfolioFrontier[[#This Row],[P95 Return]]),1+PortfolioFrontier[[#This Row],[P95 Return]])</f>
        <v>1.4933143240744253</v>
      </c>
      <c r="NQ83" s="27">
        <f>MAX(NQ82,PortfolioFrontier[[#This Row],[P95 Growth]])</f>
        <v>1.7550294195356591</v>
      </c>
      <c r="NR83" s="27">
        <f>PortfolioFrontier[[#This Row],[P95 Growth]]/PortfolioFrontier[[#This Row],[P95 HWM]]-1</f>
        <v>-0.14912291073187689</v>
      </c>
      <c r="NS83" s="28">
        <f>SUMPRODUCT(INDEX(PortfolioRef[[SPY]:[PE]],MATCH(NS$1,PortfolioRef[Reference '#]),0),AssetMonthlyReturns[[#This Row],[SPY]:[PE]])</f>
        <v>-3.406415274702243E-2</v>
      </c>
      <c r="NT83" s="27">
        <f>IF(ISNUMBER(NT82),NT82*(1+PortfolioFrontier[[#This Row],[P96 Return]]),1+PortfolioFrontier[[#This Row],[P96 Return]])</f>
        <v>1.4926082821674322</v>
      </c>
      <c r="NU83" s="27">
        <f>MAX(NU82,PortfolioFrontier[[#This Row],[P96 Growth]])</f>
        <v>1.7230343324336159</v>
      </c>
      <c r="NV83" s="27">
        <f>PortfolioFrontier[[#This Row],[P96 Growth]]/PortfolioFrontier[[#This Row],[P96 HWM]]-1</f>
        <v>-0.13373270974858031</v>
      </c>
      <c r="NW83" s="28">
        <f>SUMPRODUCT(INDEX(PortfolioRef[[SPY]:[PE]],MATCH(NW$1,PortfolioRef[Reference '#]),0),AssetMonthlyReturns[[#This Row],[SPY]:[PE]])</f>
        <v>-2.4286509300668495E-2</v>
      </c>
      <c r="NX83" s="27">
        <f>IF(ISNUMBER(NX82),NX82*(1+PortfolioFrontier[[#This Row],[P97 Return]]),1+PortfolioFrontier[[#This Row],[P97 Return]])</f>
        <v>1.3530801555407339</v>
      </c>
      <c r="NY83" s="27">
        <f>MAX(NY82,PortfolioFrontier[[#This Row],[P97 Growth]])</f>
        <v>1.5498139523617234</v>
      </c>
      <c r="NZ83" s="27">
        <f>PortfolioFrontier[[#This Row],[P97 Growth]]/PortfolioFrontier[[#This Row],[P97 HWM]]-1</f>
        <v>-0.12694026694055227</v>
      </c>
      <c r="OA83" s="28">
        <f>SUMPRODUCT(INDEX(PortfolioRef[[SPY]:[PE]],MATCH(OA$1,PortfolioRef[Reference '#]),0),AssetMonthlyReturns[[#This Row],[SPY]:[PE]])</f>
        <v>-2.2272433000750404E-2</v>
      </c>
      <c r="OB83" s="27">
        <f>IF(ISNUMBER(OB82),OB82*(1+PortfolioFrontier[[#This Row],[P98 Return]]),1+PortfolioFrontier[[#This Row],[P98 Return]])</f>
        <v>1.37544529140516</v>
      </c>
      <c r="OC83" s="27">
        <f>MAX(OC82,PortfolioFrontier[[#This Row],[P98 Growth]])</f>
        <v>1.5643918723292729</v>
      </c>
      <c r="OD83" s="27">
        <f>PortfolioFrontier[[#This Row],[P98 Growth]]/PortfolioFrontier[[#This Row],[P98 HWM]]-1</f>
        <v>-0.12077957209198764</v>
      </c>
      <c r="OE83" s="28">
        <f>SUMPRODUCT(INDEX(PortfolioRef[[SPY]:[PE]],MATCH(OE$1,PortfolioRef[Reference '#]),0),AssetMonthlyReturns[[#This Row],[SPY]:[PE]])</f>
        <v>-2.6916697779074253E-2</v>
      </c>
      <c r="OF83" s="27">
        <f>IF(ISNUMBER(OF82),OF82*(1+PortfolioFrontier[[#This Row],[P99 Return]]),1+PortfolioFrontier[[#This Row],[P99 Return]])</f>
        <v>1.3717009842182719</v>
      </c>
      <c r="OG83" s="27">
        <f>MAX(OG82,PortfolioFrontier[[#This Row],[P99 Growth]])</f>
        <v>1.5836627563813395</v>
      </c>
      <c r="OH83" s="27">
        <f>PortfolioFrontier[[#This Row],[P99 Growth]]/PortfolioFrontier[[#This Row],[P99 HWM]]-1</f>
        <v>-0.13384274607012858</v>
      </c>
      <c r="OI83" s="28">
        <f>SUMPRODUCT(INDEX(PortfolioRef[[SPY]:[PE]],MATCH(OI$1,PortfolioRef[Reference '#]),0),AssetMonthlyReturns[[#This Row],[SPY]:[PE]])</f>
        <v>-2.3956027505693627E-2</v>
      </c>
      <c r="OJ83" s="27">
        <f>IF(ISNUMBER(OJ82),OJ82*(1+PortfolioFrontier[[#This Row],[P100 Return]]),1+PortfolioFrontier[[#This Row],[P100 Return]])</f>
        <v>1.3687058441841442</v>
      </c>
      <c r="OK83" s="27">
        <f>MAX(OK82,PortfolioFrontier[[#This Row],[P100 Growth]])</f>
        <v>1.5528062347399851</v>
      </c>
      <c r="OL83" s="27">
        <f>PortfolioFrontier[[#This Row],[P100 Growth]]/PortfolioFrontier[[#This Row],[P100 HWM]]-1</f>
        <v>-0.11855979608857525</v>
      </c>
      <c r="OM83" s="28">
        <f>SUMPRODUCT(INDEX(PortfolioRef[[SPY]:[PE]],MATCH(OM$1,PortfolioRef[Reference '#]),0),AssetMonthlyReturns[[#This Row],[SPY]:[PE]])</f>
        <v>-2.0258356700832317E-2</v>
      </c>
      <c r="ON83" s="27">
        <f>IF(ISNUMBER(ON82),ON82*(1+PortfolioFrontier[[#This Row],[P101 Return]]),1+PortfolioFrontier[[#This Row],[P101 Return]])</f>
        <v>1.3978474197131061</v>
      </c>
      <c r="OO83" s="27">
        <f>MAX(OO82,PortfolioFrontier[[#This Row],[P101 Growth]])</f>
        <v>1.5787921813488919</v>
      </c>
      <c r="OP83" s="27">
        <f>PortfolioFrontier[[#This Row],[P101 Growth]]/PortfolioFrontier[[#This Row],[P101 HWM]]-1</f>
        <v>-0.11460961345855525</v>
      </c>
      <c r="OQ83" s="28">
        <f>SUMPRODUCT(INDEX(PortfolioRef[[SPY]:[PE]],MATCH(OQ$1,PortfolioRef[Reference '#]),0),AssetMonthlyReturns[[#This Row],[SPY]:[PE]])</f>
        <v>-2.4902621479156166E-2</v>
      </c>
      <c r="OR83" s="27">
        <f>IF(ISNUMBER(OR82),OR82*(1+PortfolioFrontier[[#This Row],[P102 Return]]),1+PortfolioFrontier[[#This Row],[P102 Return]])</f>
        <v>1.3943475026061865</v>
      </c>
      <c r="OS83" s="27">
        <f>MAX(OS82,PortfolioFrontier[[#This Row],[P102 Growth]])</f>
        <v>1.5985203886251573</v>
      </c>
      <c r="OT83" s="27">
        <f>PortfolioFrontier[[#This Row],[P102 Growth]]/PortfolioFrontier[[#This Row],[P102 HWM]]-1</f>
        <v>-0.12772616944509185</v>
      </c>
      <c r="OU83" s="28">
        <f>SUMPRODUCT(INDEX(PortfolioRef[[SPY]:[PE]],MATCH(OU$1,PortfolioRef[Reference '#]),0),AssetMonthlyReturns[[#This Row],[SPY]:[PE]])</f>
        <v>-2.194195120577554E-2</v>
      </c>
      <c r="OV83" s="27">
        <f>IF(ISNUMBER(OV82),OV82*(1+PortfolioFrontier[[#This Row],[P103 Return]]),1+PortfolioFrontier[[#This Row],[P103 Return]])</f>
        <v>1.3913302769388549</v>
      </c>
      <c r="OW83" s="27">
        <f>MAX(OW82,PortfolioFrontier[[#This Row],[P103 Growth]])</f>
        <v>1.5674355228105428</v>
      </c>
      <c r="OX83" s="27">
        <f>PortfolioFrontier[[#This Row],[P103 Growth]]/PortfolioFrontier[[#This Row],[P103 HWM]]-1</f>
        <v>-0.11235246573710189</v>
      </c>
      <c r="OY83" s="28">
        <f>SUMPRODUCT(INDEX(PortfolioRef[[SPY]:[PE]],MATCH(OY$1,PortfolioRef[Reference '#]),0),AssetMonthlyReturns[[#This Row],[SPY]:[PE]])</f>
        <v>-2.9546886257480011E-2</v>
      </c>
      <c r="OZ83" s="27">
        <f>IF(ISNUMBER(OZ82),OZ82*(1+PortfolioFrontier[[#This Row],[P104 Return]]),1+PortfolioFrontier[[#This Row],[P104 Return]])</f>
        <v>1.3899148391969116</v>
      </c>
      <c r="PA83" s="27">
        <f>MAX(PA82,PortfolioFrontier[[#This Row],[P104 Growth]])</f>
        <v>1.6176462594840681</v>
      </c>
      <c r="PB83" s="27">
        <f>PortfolioFrontier[[#This Row],[P104 Growth]]/PortfolioFrontier[[#This Row],[P104 HWM]]-1</f>
        <v>-0.14077949301461568</v>
      </c>
      <c r="PC83" s="28">
        <f>SUMPRODUCT(INDEX(PortfolioRef[[SPY]:[PE]],MATCH(PC$1,PortfolioRef[Reference '#]),0),AssetMonthlyReturns[[#This Row],[SPY]:[PE]])</f>
        <v>-2.6586215984099389E-2</v>
      </c>
      <c r="PD83" s="27">
        <f>IF(ISNUMBER(PD82),PD82*(1+PortfolioFrontier[[#This Row],[P105 Return]]),1+PortfolioFrontier[[#This Row],[P105 Return]])</f>
        <v>1.3875649155467249</v>
      </c>
      <c r="PE83" s="27">
        <f>MAX(PE82,PortfolioFrontier[[#This Row],[P105 Growth]])</f>
        <v>1.5867085542337835</v>
      </c>
      <c r="PF83" s="27">
        <f>PortfolioFrontier[[#This Row],[P105 Growth]]/PortfolioFrontier[[#This Row],[P105 HWM]]-1</f>
        <v>-0.12550738329083033</v>
      </c>
      <c r="PG83" s="28">
        <f>SUMPRODUCT(INDEX(PortfolioRef[[SPY]:[PE]],MATCH(PG$1,PortfolioRef[Reference '#]),0),AssetMonthlyReturns[[#This Row],[SPY]:[PE]])</f>
        <v>-2.3625545710718766E-2</v>
      </c>
      <c r="PH83" s="27">
        <f>IF(ISNUMBER(PH82),PH82*(1+PortfolioFrontier[[#This Row],[P106 Return]]),1+PortfolioFrontier[[#This Row],[P106 Return]])</f>
        <v>1.3843719526042535</v>
      </c>
      <c r="PI83" s="27">
        <f>MAX(PI82,PortfolioFrontier[[#This Row],[P106 Growth]])</f>
        <v>1.5556887430167754</v>
      </c>
      <c r="PJ83" s="27">
        <f>PortfolioFrontier[[#This Row],[P106 Growth]]/PortfolioFrontier[[#This Row],[P106 HWM]]-1</f>
        <v>-0.11012279363820954</v>
      </c>
      <c r="PK83" s="28">
        <f>SUMPRODUCT(INDEX(PortfolioRef[[SPY]:[PE]],MATCH(PK$1,PortfolioRef[Reference '#]),0),AssetMonthlyReturns[[#This Row],[SPY]:[PE]])</f>
        <v>-2.2888545179238072E-2</v>
      </c>
      <c r="PL83" s="27">
        <f>IF(ISNUMBER(PL82),PL82*(1+PortfolioFrontier[[#This Row],[P107 Return]]),1+PortfolioFrontier[[#This Row],[P107 Return]])</f>
        <v>1.4170311823379096</v>
      </c>
      <c r="PM83" s="27">
        <f>MAX(PM82,PortfolioFrontier[[#This Row],[P107 Growth]])</f>
        <v>1.6131964012798079</v>
      </c>
      <c r="PN83" s="27">
        <f>PortfolioFrontier[[#This Row],[P107 Growth]]/PortfolioFrontier[[#This Row],[P107 HWM]]-1</f>
        <v>-0.12160033259823366</v>
      </c>
      <c r="PO83" s="28">
        <f>SUMPRODUCT(INDEX(PortfolioRef[[SPY]:[PE]],MATCH(PO$1,PortfolioRef[Reference '#]),0),AssetMonthlyReturns[[#This Row],[SPY]:[PE]])</f>
        <v>-1.992787490585745E-2</v>
      </c>
      <c r="PP83" s="27">
        <f>IF(ISNUMBER(PP82),PP82*(1+PortfolioFrontier[[#This Row],[P108 Return]]),1+PortfolioFrontier[[#This Row],[P108 Return]])</f>
        <v>1.4139923797031209</v>
      </c>
      <c r="PQ83" s="27">
        <f>MAX(PQ82,PortfolioFrontier[[#This Row],[P108 Growth]])</f>
        <v>1.5818874318633449</v>
      </c>
      <c r="PR83" s="27">
        <f>PortfolioFrontier[[#This Row],[P108 Growth]]/PortfolioFrontier[[#This Row],[P108 HWM]]-1</f>
        <v>-0.10613590371753334</v>
      </c>
      <c r="PS83" s="28">
        <f>SUMPRODUCT(INDEX(PortfolioRef[[SPY]:[PE]],MATCH(PS$1,PortfolioRef[Reference '#]),0),AssetMonthlyReturns[[#This Row],[SPY]:[PE]])</f>
        <v>-2.7532809957561924E-2</v>
      </c>
      <c r="PT83" s="27">
        <f>IF(ISNUMBER(PT82),PT82*(1+PortfolioFrontier[[#This Row],[P109 Return]]),1+PortfolioFrontier[[#This Row],[P109 Return]])</f>
        <v>1.4128356838020537</v>
      </c>
      <c r="PU83" s="27">
        <f>MAX(PU82,PortfolioFrontier[[#This Row],[P109 Growth]])</f>
        <v>1.6327835279326679</v>
      </c>
      <c r="PV83" s="27">
        <f>PortfolioFrontier[[#This Row],[P109 Growth]]/PortfolioFrontier[[#This Row],[P109 HWM]]-1</f>
        <v>-0.13470728995477976</v>
      </c>
      <c r="PW83" s="28">
        <f>SUMPRODUCT(INDEX(PortfolioRef[[SPY]:[PE]],MATCH(PW$1,PortfolioRef[Reference '#]),0),AssetMonthlyReturns[[#This Row],[SPY]:[PE]])</f>
        <v>-2.4572139684181295E-2</v>
      </c>
      <c r="PX83" s="27">
        <f>IF(ISNUMBER(PX82),PX82*(1+PortfolioFrontier[[#This Row],[P110 Return]]),1+PortfolioFrontier[[#This Row],[P110 Return]])</f>
        <v>1.4104743362576282</v>
      </c>
      <c r="PY83" s="27">
        <f>MAX(PY82,PortfolioFrontier[[#This Row],[P110 Growth]])</f>
        <v>1.6016185143364081</v>
      </c>
      <c r="PZ83" s="27">
        <f>PortfolioFrontier[[#This Row],[P110 Growth]]/PortfolioFrontier[[#This Row],[P110 HWM]]-1</f>
        <v>-0.11934438592449459</v>
      </c>
      <c r="QA83" s="28">
        <f>SUMPRODUCT(INDEX(PortfolioRef[[SPY]:[PE]],MATCH(QA$1,PortfolioRef[Reference '#]),0),AssetMonthlyReturns[[#This Row],[SPY]:[PE]])</f>
        <v>-2.1611469410800676E-2</v>
      </c>
      <c r="QB83" s="27">
        <f>IF(ISNUMBER(QB82),QB82*(1+PortfolioFrontier[[#This Row],[P111 Return]]),1+PortfolioFrontier[[#This Row],[P111 Return]])</f>
        <v>1.4072565026641557</v>
      </c>
      <c r="QC83" s="27">
        <f>MAX(QC82,PortfolioFrontier[[#This Row],[P111 Growth]])</f>
        <v>1.5703684845094485</v>
      </c>
      <c r="QD83" s="27">
        <f>PortfolioFrontier[[#This Row],[P111 Growth]]/PortfolioFrontier[[#This Row],[P111 HWM]]-1</f>
        <v>-0.10386860374127138</v>
      </c>
      <c r="QE83" s="28">
        <f>SUMPRODUCT(INDEX(PortfolioRef[[SPY]:[PE]],MATCH(QE$1,PortfolioRef[Reference '#]),0),AssetMonthlyReturns[[#This Row],[SPY]:[PE]])</f>
        <v>-3.2177074735885769E-2</v>
      </c>
      <c r="QF83" s="27">
        <f>IF(ISNUMBER(QF82),QF82*(1+PortfolioFrontier[[#This Row],[P112 Return]]),1+PortfolioFrontier[[#This Row],[P112 Return]])</f>
        <v>1.4076959562400233</v>
      </c>
      <c r="QG83" s="27">
        <f>MAX(QG82,PortfolioFrontier[[#This Row],[P112 Growth]])</f>
        <v>1.6517386955477045</v>
      </c>
      <c r="QH83" s="27">
        <f>PortfolioFrontier[[#This Row],[P112 Growth]]/PortfolioFrontier[[#This Row],[P112 HWM]]-1</f>
        <v>-0.14774899926090213</v>
      </c>
      <c r="QI83" s="28">
        <f>SUMPRODUCT(INDEX(PortfolioRef[[SPY]:[PE]],MATCH(QI$1,PortfolioRef[Reference '#]),0),AssetMonthlyReturns[[#This Row],[SPY]:[PE]])</f>
        <v>-2.9216404462505147E-2</v>
      </c>
      <c r="QJ83" s="27">
        <f>IF(ISNUMBER(QJ82),QJ82*(1+PortfolioFrontier[[#This Row],[P113 Return]]),1+PortfolioFrontier[[#This Row],[P113 Return]])</f>
        <v>1.4060132220074064</v>
      </c>
      <c r="QK83" s="27">
        <f>MAX(QK82,PortfolioFrontier[[#This Row],[P113 Growth]])</f>
        <v>1.6207454292109018</v>
      </c>
      <c r="QL83" s="27">
        <f>PortfolioFrontier[[#This Row],[P113 Growth]]/PortfolioFrontier[[#This Row],[P113 HWM]]-1</f>
        <v>-0.13248978114227528</v>
      </c>
      <c r="QM83" s="28">
        <f>SUMPRODUCT(INDEX(PortfolioRef[[SPY]:[PE]],MATCH(QM$1,PortfolioRef[Reference '#]),0),AssetMonthlyReturns[[#This Row],[SPY]:[PE]])</f>
        <v>-2.6255734189124521E-2</v>
      </c>
      <c r="QN83" s="27">
        <f>IF(ISNUMBER(QN82),QN82*(1+PortfolioFrontier[[#This Row],[P114 Return]]),1+PortfolioFrontier[[#This Row],[P114 Return]])</f>
        <v>1.4034702429901054</v>
      </c>
      <c r="QO83" s="27">
        <f>MAX(QO82,PortfolioFrontier[[#This Row],[P114 Growth]])</f>
        <v>1.5896421022161857</v>
      </c>
      <c r="QP83" s="27">
        <f>PortfolioFrontier[[#This Row],[P114 Growth]]/PortfolioFrontier[[#This Row],[P114 HWM]]-1</f>
        <v>-0.11711558153028945</v>
      </c>
      <c r="QQ83" s="28">
        <f>SUMPRODUCT(INDEX(PortfolioRef[[SPY]:[PE]],MATCH(QQ$1,PortfolioRef[Reference '#]),0),AssetMonthlyReturns[[#This Row],[SPY]:[PE]])</f>
        <v>-2.5518733657643837E-2</v>
      </c>
      <c r="QR83" s="27">
        <f>IF(ISNUMBER(QR82),QR82*(1+PortfolioFrontier[[#This Row],[P115 Return]]),1+PortfolioFrontier[[#This Row],[P115 Return]])</f>
        <v>1.4357938434049287</v>
      </c>
      <c r="QS83" s="27">
        <f>MAX(QS82,PortfolioFrontier[[#This Row],[P115 Growth]])</f>
        <v>1.6477351477866757</v>
      </c>
      <c r="QT83" s="27">
        <f>PortfolioFrontier[[#This Row],[P115 Growth]]/PortfolioFrontier[[#This Row],[P115 HWM]]-1</f>
        <v>-0.12862583204979139</v>
      </c>
      <c r="QU83" s="28">
        <f>SUMPRODUCT(INDEX(PortfolioRef[[SPY]:[PE]],MATCH(QU$1,PortfolioRef[Reference '#]),0),AssetMonthlyReturns[[#This Row],[SPY]:[PE]])</f>
        <v>-2.2558063384263208E-2</v>
      </c>
      <c r="QV83" s="27">
        <f>IF(ISNUMBER(QV82),QV82*(1+PortfolioFrontier[[#This Row],[P116 Return]]),1+PortfolioFrontier[[#This Row],[P116 Return]])</f>
        <v>1.4334216007426563</v>
      </c>
      <c r="QW83" s="27">
        <f>MAX(QW82,PortfolioFrontier[[#This Row],[P116 Growth]])</f>
        <v>1.6163470917094751</v>
      </c>
      <c r="QX83" s="27">
        <f>PortfolioFrontier[[#This Row],[P116 Growth]]/PortfolioFrontier[[#This Row],[P116 HWM]]-1</f>
        <v>-0.11317215955971049</v>
      </c>
      <c r="QY83" s="28">
        <f>SUMPRODUCT(INDEX(PortfolioRef[[SPY]:[PE]],MATCH(QY$1,PortfolioRef[Reference '#]),0),AssetMonthlyReturns[[#This Row],[SPY]:[PE]])</f>
        <v>-1.9597393110882589E-2</v>
      </c>
      <c r="QZ83" s="27">
        <f>IF(ISNUMBER(QZ82),QZ82*(1+PortfolioFrontier[[#This Row],[P117 Return]]),1+PortfolioFrontier[[#This Row],[P117 Return]])</f>
        <v>1.4301794086990678</v>
      </c>
      <c r="RA83" s="27">
        <f>MAX(RA82,PortfolioFrontier[[#This Row],[P117 Growth]])</f>
        <v>1.5848710929942145</v>
      </c>
      <c r="RB83" s="27">
        <f>PortfolioFrontier[[#This Row],[P117 Growth]]/PortfolioFrontier[[#This Row],[P117 HWM]]-1</f>
        <v>-9.7605215325680339E-2</v>
      </c>
      <c r="RC83" s="28">
        <f>SUMPRODUCT(INDEX(PortfolioRef[[SPY]:[PE]],MATCH(RC$1,PortfolioRef[Reference '#]),0),AssetMonthlyReturns[[#This Row],[SPY]:[PE]])</f>
        <v>-3.0162998435967682E-2</v>
      </c>
      <c r="RD83" s="27">
        <f>IF(ISNUMBER(RD82),RD82*(1+PortfolioFrontier[[#This Row],[P118 Return]]),1+PortfolioFrontier[[#This Row],[P118 Return]])</f>
        <v>1.430883684172328</v>
      </c>
      <c r="RE83" s="27">
        <f>MAX(RE82,PortfolioFrontier[[#This Row],[P118 Growth]])</f>
        <v>1.667155293527623</v>
      </c>
      <c r="RF83" s="27">
        <f>PortfolioFrontier[[#This Row],[P118 Growth]]/PortfolioFrontier[[#This Row],[P118 HWM]]-1</f>
        <v>-0.14172141627871704</v>
      </c>
      <c r="RG83" s="28">
        <f>SUMPRODUCT(INDEX(PortfolioRef[[SPY]:[PE]],MATCH(RG$1,PortfolioRef[Reference '#]),0),AssetMonthlyReturns[[#This Row],[SPY]:[PE]])</f>
        <v>-2.720232816258706E-2</v>
      </c>
      <c r="RH83" s="27">
        <f>IF(ISNUMBER(RH82),RH82*(1+PortfolioFrontier[[#This Row],[P119 Return]]),1+PortfolioFrontier[[#This Row],[P119 Return]])</f>
        <v>1.4292005058752495</v>
      </c>
      <c r="RI83" s="27">
        <f>MAX(RI82,PortfolioFrontier[[#This Row],[P119 Growth]])</f>
        <v>1.6359359857167841</v>
      </c>
      <c r="RJ83" s="27">
        <f>PortfolioFrontier[[#This Row],[P119 Growth]]/PortfolioFrontier[[#This Row],[P119 HWM]]-1</f>
        <v>-0.12637137494775119</v>
      </c>
      <c r="RK83" s="28">
        <f>SUMPRODUCT(INDEX(PortfolioRef[[SPY]:[PE]],MATCH(RK$1,PortfolioRef[Reference '#]),0),AssetMonthlyReturns[[#This Row],[SPY]:[PE]])</f>
        <v>-2.4241657889206434E-2</v>
      </c>
      <c r="RL83" s="27">
        <f>IF(ISNUMBER(RL82),RL82*(1+PortfolioFrontier[[#This Row],[P120 Return]]),1+PortfolioFrontier[[#This Row],[P120 Return]])</f>
        <v>1.4266434028868173</v>
      </c>
      <c r="RM83" s="27">
        <f>MAX(RM82,PortfolioFrontier[[#This Row],[P120 Growth]])</f>
        <v>1.6046034567476111</v>
      </c>
      <c r="RN83" s="27">
        <f>PortfolioFrontier[[#This Row],[P120 Growth]]/PortfolioFrontier[[#This Row],[P120 HWM]]-1</f>
        <v>-0.11090593947834504</v>
      </c>
      <c r="RO83" s="28">
        <f>SUMPRODUCT(INDEX(PortfolioRef[[SPY]:[PE]],MATCH(RO$1,PortfolioRef[Reference '#]),0),AssetMonthlyReturns[[#This Row],[SPY]:[PE]])</f>
        <v>-3.4807263214291527E-2</v>
      </c>
      <c r="RP83" s="27">
        <f>IF(ISNUMBER(RP82),RP82*(1+PortfolioFrontier[[#This Row],[P121 Return]]),1+PortfolioFrontier[[#This Row],[P121 Return]])</f>
        <v>1.4250185971189337</v>
      </c>
      <c r="RQ83" s="27">
        <f>MAX(RQ82,PortfolioFrontier[[#This Row],[P121 Growth]])</f>
        <v>1.6859132740659151</v>
      </c>
      <c r="RR83" s="27">
        <f>PortfolioFrontier[[#This Row],[P121 Growth]]/PortfolioFrontier[[#This Row],[P121 HWM]]-1</f>
        <v>-0.15474976142621022</v>
      </c>
      <c r="RS83" s="28">
        <f>SUMPRODUCT(INDEX(PortfolioRef[[SPY]:[PE]],MATCH(RS$1,PortfolioRef[Reference '#]),0),AssetMonthlyReturns[[#This Row],[SPY]:[PE]])</f>
        <v>-3.1846592940910905E-2</v>
      </c>
      <c r="RT83" s="27">
        <f>IF(ISNUMBER(RT82),RT82*(1+PortfolioFrontier[[#This Row],[P122 Return]]),1+PortfolioFrontier[[#This Row],[P122 Return]])</f>
        <v>1.4240246998533987</v>
      </c>
      <c r="RU83" s="27">
        <f>MAX(RU82,PortfolioFrontier[[#This Row],[P122 Growth]])</f>
        <v>1.6548910536150563</v>
      </c>
      <c r="RV83" s="27">
        <f>PortfolioFrontier[[#This Row],[P122 Growth]]/PortfolioFrontier[[#This Row],[P122 HWM]]-1</f>
        <v>-0.13950546971496247</v>
      </c>
      <c r="RW83" s="28">
        <f>SUMPRODUCT(INDEX(PortfolioRef[[SPY]:[PE]],MATCH(RW$1,PortfolioRef[Reference '#]),0),AssetMonthlyReturns[[#This Row],[SPY]:[PE]])</f>
        <v>-2.8885922667530286E-2</v>
      </c>
      <c r="RX83" s="27">
        <f>IF(ISNUMBER(RX82),RX82*(1+PortfolioFrontier[[#This Row],[P123 Return]]),1+PortfolioFrontier[[#This Row],[P123 Return]])</f>
        <v>1.4221539775190082</v>
      </c>
      <c r="RY83" s="27">
        <f>MAX(RY82,PortfolioFrontier[[#This Row],[P123 Growth]])</f>
        <v>1.6237298558231279</v>
      </c>
      <c r="RZ83" s="27">
        <f>PortfolioFrontier[[#This Row],[P123 Growth]]/PortfolioFrontier[[#This Row],[P123 HWM]]-1</f>
        <v>-0.12414372845409904</v>
      </c>
      <c r="SA83" s="28">
        <f>SUMPRODUCT(INDEX(PortfolioRef[[SPY]:[PE]],MATCH(SA$1,PortfolioRef[Reference '#]),0),AssetMonthlyReturns[[#This Row],[SPY]:[PE]])</f>
        <v>-2.8148922136049595E-2</v>
      </c>
      <c r="SB83" s="27">
        <f>IF(ISNUMBER(SB82),SB82*(1+PortfolioFrontier[[#This Row],[P124 Return]]),1+PortfolioFrontier[[#This Row],[P124 Return]])</f>
        <v>1.4541088653290197</v>
      </c>
      <c r="SC83" s="27">
        <f>MAX(SC82,PortfolioFrontier[[#This Row],[P124 Growth]])</f>
        <v>1.6823821965094672</v>
      </c>
      <c r="SD83" s="27">
        <f>PortfolioFrontier[[#This Row],[P124 Growth]]/PortfolioFrontier[[#This Row],[P124 HWM]]-1</f>
        <v>-0.13568458561559849</v>
      </c>
      <c r="SE83" s="28">
        <f>SUMPRODUCT(INDEX(PortfolioRef[[SPY]:[PE]],MATCH(SE$1,PortfolioRef[Reference '#]),0),AssetMonthlyReturns[[#This Row],[SPY]:[PE]])</f>
        <v>-2.5188251862668973E-2</v>
      </c>
      <c r="SF83" s="27">
        <f>IF(ISNUMBER(SF82),SF82*(1+PortfolioFrontier[[#This Row],[P125 Return]]),1+PortfolioFrontier[[#This Row],[P125 Return]])</f>
        <v>1.4524257917738845</v>
      </c>
      <c r="SG83" s="27">
        <f>MAX(SG82,PortfolioFrontier[[#This Row],[P125 Growth]])</f>
        <v>1.6509411354388694</v>
      </c>
      <c r="SH83" s="27">
        <f>PortfolioFrontier[[#This Row],[P125 Growth]]/PortfolioFrontier[[#This Row],[P125 HWM]]-1</f>
        <v>-0.12024374425210116</v>
      </c>
      <c r="SI83" s="28">
        <f>SUMPRODUCT(INDEX(PortfolioRef[[SPY]:[PE]],MATCH(SI$1,PortfolioRef[Reference '#]),0),AssetMonthlyReturns[[#This Row],[SPY]:[PE]])</f>
        <v>-2.2227581589288347E-2</v>
      </c>
      <c r="SJ83" s="27">
        <f>IF(ISNUMBER(SJ82),SJ82*(1+PortfolioFrontier[[#This Row],[P126 Return]]),1+PortfolioFrontier[[#This Row],[P126 Return]])</f>
        <v>1.4498550974793043</v>
      </c>
      <c r="SK83" s="27">
        <f>MAX(SK82,PortfolioFrontier[[#This Row],[P126 Growth]])</f>
        <v>1.6193836797956254</v>
      </c>
      <c r="SL83" s="27">
        <f>PortfolioFrontier[[#This Row],[P126 Growth]]/PortfolioFrontier[[#This Row],[P126 HWM]]-1</f>
        <v>-0.10468710067382947</v>
      </c>
      <c r="SM83" s="28">
        <f>SUMPRODUCT(INDEX(PortfolioRef[[SPY]:[PE]],MATCH(SM$1,PortfolioRef[Reference '#]),0),AssetMonthlyReturns[[#This Row],[SPY]:[PE]])</f>
        <v>-3.2793186914373447E-2</v>
      </c>
      <c r="SN83" s="27">
        <f>IF(ISNUMBER(SN82),SN82*(1+PortfolioFrontier[[#This Row],[P127 Return]]),1+PortfolioFrontier[[#This Row],[P127 Return]])</f>
        <v>1.4484653807682786</v>
      </c>
      <c r="SO83" s="27">
        <f>MAX(SO82,PortfolioFrontier[[#This Row],[P127 Growth]])</f>
        <v>1.7016086575400751</v>
      </c>
      <c r="SP83" s="27">
        <f>PortfolioFrontier[[#This Row],[P127 Growth]]/PortfolioFrontier[[#This Row],[P127 HWM]]-1</f>
        <v>-0.14876703621016607</v>
      </c>
      <c r="SQ83" s="28">
        <f>SUMPRODUCT(INDEX(PortfolioRef[[SPY]:[PE]],MATCH(SQ$1,PortfolioRef[Reference '#]),0),AssetMonthlyReturns[[#This Row],[SPY]:[PE]])</f>
        <v>-2.9832516640992818E-2</v>
      </c>
      <c r="SR83" s="27">
        <f>IF(ISNUMBER(SR82),SR82*(1+PortfolioFrontier[[#This Row],[P128 Return]]),1+PortfolioFrontier[[#This Row],[P128 Return]])</f>
        <v>1.4474823309953861</v>
      </c>
      <c r="SS83" s="27">
        <f>MAX(SS82,PortfolioFrontier[[#This Row],[P128 Growth]])</f>
        <v>1.6703618996398835</v>
      </c>
      <c r="ST83" s="27">
        <f>PortfolioFrontier[[#This Row],[P128 Growth]]/PortfolioFrontier[[#This Row],[P128 HWM]]-1</f>
        <v>-0.13343190400388583</v>
      </c>
      <c r="SU83" s="28">
        <f>SUMPRODUCT(INDEX(PortfolioRef[[SPY]:[PE]],MATCH(SU$1,PortfolioRef[Reference '#]),0),AssetMonthlyReturns[[#This Row],[SPY]:[PE]])</f>
        <v>-2.6871846367612199E-2</v>
      </c>
      <c r="SV83" s="27">
        <f>IF(ISNUMBER(SV82),SV82*(1+PortfolioFrontier[[#This Row],[P129 Return]]),1+PortfolioFrontier[[#This Row],[P129 Return]])</f>
        <v>1.4456085538852483</v>
      </c>
      <c r="SW83" s="27">
        <f>MAX(SW82,PortfolioFrontier[[#This Row],[P129 Growth]])</f>
        <v>1.6389727481356613</v>
      </c>
      <c r="SX83" s="27">
        <f>PortfolioFrontier[[#This Row],[P129 Growth]]/PortfolioFrontier[[#This Row],[P129 HWM]]-1</f>
        <v>-0.11797889529912298</v>
      </c>
      <c r="SY83" s="28">
        <f>SUMPRODUCT(INDEX(PortfolioRef[[SPY]:[PE]],MATCH(SY$1,PortfolioRef[Reference '#]),0),AssetMonthlyReturns[[#This Row],[SPY]:[PE]])</f>
        <v>-3.7437451692697292E-2</v>
      </c>
      <c r="SZ83" s="27">
        <f>IF(ISNUMBER(SZ82),SZ82*(1+PortfolioFrontier[[#This Row],[P130 Return]]),1+PortfolioFrontier[[#This Row],[P130 Return]])</f>
        <v>1.441857093171506</v>
      </c>
      <c r="TA83" s="27">
        <f>MAX(TA82,PortfolioFrontier[[#This Row],[P130 Growth]])</f>
        <v>1.720142179322633</v>
      </c>
      <c r="TB83" s="27">
        <f>PortfolioFrontier[[#This Row],[P130 Growth]]/PortfolioFrontier[[#This Row],[P130 HWM]]-1</f>
        <v>-0.16178028159318303</v>
      </c>
      <c r="TC83" s="28">
        <f>SUMPRODUCT(INDEX(PortfolioRef[[SPY]:[PE]],MATCH(TC$1,PortfolioRef[Reference '#]),0),AssetMonthlyReturns[[#This Row],[SPY]:[PE]])</f>
        <v>-3.447678141931667E-2</v>
      </c>
      <c r="TD83" s="27">
        <f>IF(ISNUMBER(TD82),TD82*(1+PortfolioFrontier[[#This Row],[P131 Return]]),1+PortfolioFrontier[[#This Row],[P131 Return]])</f>
        <v>1.441573310164707</v>
      </c>
      <c r="TE83" s="27">
        <f>MAX(TE82,PortfolioFrontier[[#This Row],[P131 Growth]])</f>
        <v>1.6891185966988822</v>
      </c>
      <c r="TF83" s="27">
        <f>PortfolioFrontier[[#This Row],[P131 Growth]]/PortfolioFrontier[[#This Row],[P131 HWM]]-1</f>
        <v>-0.14655293418589066</v>
      </c>
      <c r="TG83" s="28">
        <f>SUMPRODUCT(INDEX(PortfolioRef[[SPY]:[PE]],MATCH(TG$1,PortfolioRef[Reference '#]),0),AssetMonthlyReturns[[#This Row],[SPY]:[PE]])</f>
        <v>-3.1516111145936047E-2</v>
      </c>
      <c r="TH83" s="27">
        <f>IF(ISNUMBER(TH82),TH82*(1+PortfolioFrontier[[#This Row],[P132 Return]]),1+PortfolioFrontier[[#This Row],[P132 Return]])</f>
        <v>1.4403967920317735</v>
      </c>
      <c r="TI83" s="27">
        <f>MAX(TI82,PortfolioFrontier[[#This Row],[P132 Growth]])</f>
        <v>1.6579261593145806</v>
      </c>
      <c r="TJ83" s="27">
        <f>PortfolioFrontier[[#This Row],[P132 Growth]]/PortfolioFrontier[[#This Row],[P132 HWM]]-1</f>
        <v>-0.13120570301679668</v>
      </c>
      <c r="TK83" s="28">
        <f>SUMPRODUCT(INDEX(PortfolioRef[[SPY]:[PE]],MATCH(TK$1,PortfolioRef[Reference '#]),0),AssetMonthlyReturns[[#This Row],[SPY]:[PE]])</f>
        <v>-3.0779110614455353E-2</v>
      </c>
      <c r="TL83" s="27">
        <f>IF(ISNUMBER(TL82),TL82*(1+PortfolioFrontier[[#This Row],[P133 Return]]),1+PortfolioFrontier[[#This Row],[P133 Return]])</f>
        <v>1.4719497402819914</v>
      </c>
      <c r="TM83" s="27">
        <f>MAX(TM82,PortfolioFrontier[[#This Row],[P133 Growth]])</f>
        <v>1.7171102853087914</v>
      </c>
      <c r="TN83" s="27">
        <f>PortfolioFrontier[[#This Row],[P133 Growth]]/PortfolioFrontier[[#This Row],[P133 HWM]]-1</f>
        <v>-0.14277507223871311</v>
      </c>
      <c r="TO83" s="28">
        <f>SUMPRODUCT(INDEX(PortfolioRef[[SPY]:[PE]],MATCH(TO$1,PortfolioRef[Reference '#]),0),AssetMonthlyReturns[[#This Row],[SPY]:[PE]])</f>
        <v>-2.7818440341074727E-2</v>
      </c>
      <c r="TP83" s="27">
        <f>IF(ISNUMBER(TP82),TP82*(1+PortfolioFrontier[[#This Row],[P134 Return]]),1+PortfolioFrontier[[#This Row],[P134 Return]])</f>
        <v>1.4709781067298797</v>
      </c>
      <c r="TQ83" s="27">
        <f>MAX(TQ82,PortfolioFrontier[[#This Row],[P134 Growth]])</f>
        <v>1.6856432974461595</v>
      </c>
      <c r="TR83" s="27">
        <f>PortfolioFrontier[[#This Row],[P134 Growth]]/PortfolioFrontier[[#This Row],[P134 HWM]]-1</f>
        <v>-0.127349120090537</v>
      </c>
      <c r="TS83" s="28">
        <f>SUMPRODUCT(INDEX(PortfolioRef[[SPY]:[PE]],MATCH(TS$1,PortfolioRef[Reference '#]),0),AssetMonthlyReturns[[#This Row],[SPY]:[PE]])</f>
        <v>-2.4857770067694105E-2</v>
      </c>
      <c r="TT83" s="27">
        <f>IF(ISNUMBER(TT82),TT82*(1+PortfolioFrontier[[#This Row],[P135 Return]]),1+PortfolioFrontier[[#This Row],[P135 Return]])</f>
        <v>1.4691018278959707</v>
      </c>
      <c r="TU83" s="27">
        <f>MAX(TU82,PortfolioFrontier[[#This Row],[P135 Growth]])</f>
        <v>1.6540304901705998</v>
      </c>
      <c r="TV83" s="27">
        <f>PortfolioFrontier[[#This Row],[P135 Growth]]/PortfolioFrontier[[#This Row],[P135 HWM]]-1</f>
        <v>-0.11180486899945552</v>
      </c>
      <c r="TW83" s="28">
        <f>SUMPRODUCT(INDEX(PortfolioRef[[SPY]:[PE]],MATCH(TW$1,PortfolioRef[Reference '#]),0),AssetMonthlyReturns[[#This Row],[SPY]:[PE]])</f>
        <v>-3.5423375392779198E-2</v>
      </c>
      <c r="TX83" s="27">
        <f>IF(ISNUMBER(TX82),TX82*(1+PortfolioFrontier[[#This Row],[P136 Return]]),1+PortfolioFrontier[[#This Row],[P136 Return]])</f>
        <v>1.465554722731</v>
      </c>
      <c r="TY83" s="27">
        <f>MAX(TY82,PortfolioFrontier[[#This Row],[P136 Growth]])</f>
        <v>1.7361155602147582</v>
      </c>
      <c r="TZ83" s="27">
        <f>PortfolioFrontier[[#This Row],[P136 Growth]]/PortfolioFrontier[[#This Row],[P136 HWM]]-1</f>
        <v>-0.15584264301524364</v>
      </c>
      <c r="UA83" s="28">
        <f>SUMPRODUCT(INDEX(PortfolioRef[[SPY]:[PE]],MATCH(UA$1,PortfolioRef[Reference '#]),0),AssetMonthlyReturns[[#This Row],[SPY]:[PE]])</f>
        <v>-3.2462705119398576E-2</v>
      </c>
      <c r="UB83" s="27">
        <f>IF(ISNUMBER(UB82),UB82*(1+PortfolioFrontier[[#This Row],[P137 Return]]),1+PortfolioFrontier[[#This Row],[P137 Return]])</f>
        <v>1.4652933834788249</v>
      </c>
      <c r="UC83" s="27">
        <f>MAX(UC82,PortfolioFrontier[[#This Row],[P137 Growth]])</f>
        <v>1.7048691873265751</v>
      </c>
      <c r="UD83" s="27">
        <f>PortfolioFrontier[[#This Row],[P137 Growth]]/PortfolioFrontier[[#This Row],[P137 HWM]]-1</f>
        <v>-0.14052444939979924</v>
      </c>
      <c r="UE83" s="28">
        <f>SUMPRODUCT(INDEX(PortfolioRef[[SPY]:[PE]],MATCH(UE$1,PortfolioRef[Reference '#]),0),AssetMonthlyReturns[[#This Row],[SPY]:[PE]])</f>
        <v>-2.9502034846017954E-2</v>
      </c>
      <c r="UF83" s="27">
        <f>IF(ISNUMBER(UF82),UF82*(1+PortfolioFrontier[[#This Row],[P138 Return]]),1+PortfolioFrontier[[#This Row],[P138 Return]])</f>
        <v>1.4641251959005581</v>
      </c>
      <c r="UG83" s="27">
        <f>MAX(UG82,PortfolioFrontier[[#This Row],[P138 Growth]])</f>
        <v>1.6734502822541619</v>
      </c>
      <c r="UH83" s="27">
        <f>PortfolioFrontier[[#This Row],[P138 Growth]]/PortfolioFrontier[[#This Row],[P138 HWM]]-1</f>
        <v>-0.12508593088982589</v>
      </c>
      <c r="UI83" s="28">
        <f>SUMPRODUCT(INDEX(PortfolioRef[[SPY]:[PE]],MATCH(UI$1,PortfolioRef[Reference '#]),0),AssetMonthlyReturns[[#This Row],[SPY]:[PE]])</f>
        <v>-4.006764017110305E-2</v>
      </c>
      <c r="UJ83" s="27">
        <f>IF(ISNUMBER(UJ82),UJ82*(1+PortfolioFrontier[[#This Row],[P139 Return]]),1+PortfolioFrontier[[#This Row],[P139 Return]])</f>
        <v>1.4581858897627942</v>
      </c>
      <c r="UK83" s="27">
        <f>MAX(UK82,PortfolioFrontier[[#This Row],[P139 Growth]])</f>
        <v>1.7543965710992384</v>
      </c>
      <c r="UL83" s="27">
        <f>PortfolioFrontier[[#This Row],[P139 Growth]]/PortfolioFrontier[[#This Row],[P139 HWM]]-1</f>
        <v>-0.16883906764070444</v>
      </c>
      <c r="UM83" s="28">
        <f>SUMPRODUCT(INDEX(PortfolioRef[[SPY]:[PE]],MATCH(UM$1,PortfolioRef[Reference '#]),0),AssetMonthlyReturns[[#This Row],[SPY]:[PE]])</f>
        <v>-3.7106969897722421E-2</v>
      </c>
      <c r="UN83" s="27">
        <f>IF(ISNUMBER(UN82),UN82*(1+PortfolioFrontier[[#This Row],[P140 Return]]),1+PortfolioFrontier[[#This Row],[P140 Return]])</f>
        <v>1.4586330828405853</v>
      </c>
      <c r="UO83" s="27">
        <f>MAX(UO82,PortfolioFrontier[[#This Row],[P140 Growth]])</f>
        <v>1.7234002022793458</v>
      </c>
      <c r="UP83" s="27">
        <f>PortfolioFrontier[[#This Row],[P140 Growth]]/PortfolioFrontier[[#This Row],[P140 HWM]]-1</f>
        <v>-0.15363066517491586</v>
      </c>
      <c r="UQ83" s="28">
        <f>SUMPRODUCT(INDEX(PortfolioRef[[SPY]:[PE]],MATCH(UQ$1,PortfolioRef[Reference '#]),0),AssetMonthlyReturns[[#This Row],[SPY]:[PE]])</f>
        <v>-3.4146299624341805E-2</v>
      </c>
      <c r="UR83" s="27">
        <f>IF(ISNUMBER(UR82),UR82*(1+PortfolioFrontier[[#This Row],[P141 Return]]),1+PortfolioFrontier[[#This Row],[P141 Return]])</f>
        <v>1.4581723459268645</v>
      </c>
      <c r="US83" s="27">
        <f>MAX(US82,PortfolioFrontier[[#This Row],[P141 Growth]])</f>
        <v>1.6922041432386774</v>
      </c>
      <c r="UT83" s="27">
        <f>PortfolioFrontier[[#This Row],[P141 Growth]]/PortfolioFrontier[[#This Row],[P141 HWM]]-1</f>
        <v>-0.13829997890437962</v>
      </c>
    </row>
    <row r="84" spans="2:566" x14ac:dyDescent="0.2">
      <c r="B84" s="41">
        <f>AssetMonthlyReturns[[#This Row],[Date]]</f>
        <v>44927</v>
      </c>
      <c r="C84" s="28">
        <f>SUMPRODUCT(INDEX(PortfolioRef[[SPY]:[PE]],MATCH(C$1,PortfolioRef[Reference '#]),0),AssetMonthlyReturns[[#This Row],[SPY]:[PE]])</f>
        <v>5.9681778081826307E-2</v>
      </c>
      <c r="D84" s="29">
        <f>IF(ISNUMBER(D83),D83*(1+PortfolioFrontier[[#This Row],[P1 Return]]),1+PortfolioFrontier[[#This Row],[P1 Return]])</f>
        <v>1.775534503636649</v>
      </c>
      <c r="E84" s="29">
        <f>MAX(E83,PortfolioFrontier[[#This Row],[P1 Growth]])</f>
        <v>1.9531239567566241</v>
      </c>
      <c r="F84" s="29">
        <f>PortfolioFrontier[[#This Row],[P1 Growth]]/PortfolioFrontier[[#This Row],[P1 HWM]]-1</f>
        <v>-9.0925848564615275E-2</v>
      </c>
      <c r="G84" s="28">
        <f>SUMPRODUCT(INDEX(PortfolioRef[[SPY]:[PE]],MATCH(G$1,PortfolioRef[Reference '#]),0),AssetMonthlyReturns[[#This Row],[SPY]:[PE]])</f>
        <v>5.8195345001541686E-2</v>
      </c>
      <c r="H84" s="27">
        <f>IF(ISNUMBER(H83),H83*(1+PortfolioFrontier[[#This Row],[P2 Return]]),1+PortfolioFrontier[[#This Row],[P2 Return]])</f>
        <v>1.712840348985297</v>
      </c>
      <c r="I84" s="27">
        <f>MAX(I83,PortfolioFrontier[[#This Row],[P2 Growth]])</f>
        <v>1.880902671218339</v>
      </c>
      <c r="J84" s="27">
        <f>PortfolioFrontier[[#This Row],[P2 Growth]]/PortfolioFrontier[[#This Row],[P2 HWM]]-1</f>
        <v>-8.9351950425048288E-2</v>
      </c>
      <c r="K84" s="28">
        <f>SUMPRODUCT(INDEX(PortfolioRef[[SPY]:[PE]],MATCH(K$1,PortfolioRef[Reference '#]),0),AssetMonthlyReturns[[#This Row],[SPY]:[PE]])</f>
        <v>5.9173129851333828E-2</v>
      </c>
      <c r="L84" s="27">
        <f>IF(ISNUMBER(L83),L83*(1+PortfolioFrontier[[#This Row],[P3 Return]]),1+PortfolioFrontier[[#This Row],[P3 Return]])</f>
        <v>1.742736949974325</v>
      </c>
      <c r="M84" s="27">
        <f>MAX(M83,PortfolioFrontier[[#This Row],[P3 Growth]])</f>
        <v>1.8984394560781046</v>
      </c>
      <c r="N84" s="27">
        <f>PortfolioFrontier[[#This Row],[P3 Growth]]/PortfolioFrontier[[#This Row],[P3 HWM]]-1</f>
        <v>-8.2016050396170104E-2</v>
      </c>
      <c r="O84" s="28">
        <f>SUMPRODUCT(INDEX(PortfolioRef[[SPY]:[PE]],MATCH(O$1,PortfolioRef[Reference '#]),0),AssetMonthlyReturns[[#This Row],[SPY]:[PE]])</f>
        <v>6.2274965995791604E-2</v>
      </c>
      <c r="P84" s="27">
        <f>IF(ISNUMBER(P83),P83*(1+PortfolioFrontier[[#This Row],[P4 Return]]),1+PortfolioFrontier[[#This Row],[P4 Return]])</f>
        <v>1.7400049005237208</v>
      </c>
      <c r="Q84" s="27">
        <f>MAX(Q83,PortfolioFrontier[[#This Row],[P4 Growth]])</f>
        <v>1.9193367929729268</v>
      </c>
      <c r="R84" s="27">
        <f>PortfolioFrontier[[#This Row],[P4 Growth]]/PortfolioFrontier[[#This Row],[P4 HWM]]-1</f>
        <v>-9.3434301424208388E-2</v>
      </c>
      <c r="S84" s="28">
        <f>SUMPRODUCT(INDEX(PortfolioRef[[SPY]:[PE]],MATCH(S$1,PortfolioRef[Reference '#]),0),AssetMonthlyReturns[[#This Row],[SPY]:[PE]])</f>
        <v>5.5785007515451498E-2</v>
      </c>
      <c r="T84" s="27">
        <f>IF(ISNUMBER(T83),T83*(1+PortfolioFrontier[[#This Row],[P5 Return]]),1+PortfolioFrontier[[#This Row],[P5 Return]])</f>
        <v>1.7285438560269639</v>
      </c>
      <c r="U84" s="27">
        <f>MAX(U83,PortfolioFrontier[[#This Row],[P5 Growth]])</f>
        <v>1.8841834525169079</v>
      </c>
      <c r="V84" s="27">
        <f>PortfolioFrontier[[#This Row],[P5 Growth]]/PortfolioFrontier[[#This Row],[P5 HWM]]-1</f>
        <v>-8.2603207390469002E-2</v>
      </c>
      <c r="W84" s="28">
        <f>SUMPRODUCT(INDEX(PortfolioRef[[SPY]:[PE]],MATCH(W$1,PortfolioRef[Reference '#]),0),AssetMonthlyReturns[[#This Row],[SPY]:[PE]])</f>
        <v>5.6708911921257071E-2</v>
      </c>
      <c r="X84" s="27">
        <f>IF(ISNUMBER(X83),X83*(1+PortfolioFrontier[[#This Row],[P6 Return]]),1+PortfolioFrontier[[#This Row],[P6 Return]])</f>
        <v>1.651642564605003</v>
      </c>
      <c r="Y84" s="27">
        <f>MAX(Y83,PortfolioFrontier[[#This Row],[P6 Growth]])</f>
        <v>1.8107203423144032</v>
      </c>
      <c r="Z84" s="27">
        <f>PortfolioFrontier[[#This Row],[P6 Growth]]/PortfolioFrontier[[#This Row],[P6 HWM]]-1</f>
        <v>-8.7853311188889727E-2</v>
      </c>
      <c r="AA84" s="28">
        <f>SUMPRODUCT(INDEX(PortfolioRef[[SPY]:[PE]],MATCH(AA$1,PortfolioRef[Reference '#]),0),AssetMonthlyReturns[[#This Row],[SPY]:[PE]])</f>
        <v>5.7686696771049213E-2</v>
      </c>
      <c r="AB84" s="27">
        <f>IF(ISNUMBER(AB83),AB83*(1+PortfolioFrontier[[#This Row],[P7 Return]]),1+PortfolioFrontier[[#This Row],[P7 Return]])</f>
        <v>1.6804767819416491</v>
      </c>
      <c r="AC84" s="27">
        <f>MAX(AC83,PortfolioFrontier[[#This Row],[P7 Growth]])</f>
        <v>1.8276317298765399</v>
      </c>
      <c r="AD84" s="27">
        <f>PortfolioFrontier[[#This Row],[P7 Growth]]/PortfolioFrontier[[#This Row],[P7 HWM]]-1</f>
        <v>-8.0516739521058422E-2</v>
      </c>
      <c r="AE84" s="28">
        <f>SUMPRODUCT(INDEX(PortfolioRef[[SPY]:[PE]],MATCH(AE$1,PortfolioRef[Reference '#]),0),AssetMonthlyReturns[[#This Row],[SPY]:[PE]])</f>
        <v>6.0788532915506989E-2</v>
      </c>
      <c r="AF84" s="27">
        <f>IF(ISNUMBER(AF83),AF83*(1+PortfolioFrontier[[#This Row],[P8 Return]]),1+PortfolioFrontier[[#This Row],[P8 Return]])</f>
        <v>1.6784458463387144</v>
      </c>
      <c r="AG84" s="27">
        <f>MAX(AG83,PortfolioFrontier[[#This Row],[P8 Growth]])</f>
        <v>1.8482324314062795</v>
      </c>
      <c r="AH84" s="27">
        <f>PortfolioFrontier[[#This Row],[P8 Growth]]/PortfolioFrontier[[#This Row],[P8 HWM]]-1</f>
        <v>-9.1864303527223634E-2</v>
      </c>
      <c r="AI84" s="28">
        <f>SUMPRODUCT(INDEX(PortfolioRef[[SPY]:[PE]],MATCH(AI$1,PortfolioRef[Reference '#]),0),AssetMonthlyReturns[[#This Row],[SPY]:[PE]])</f>
        <v>5.4298574435166884E-2</v>
      </c>
      <c r="AJ84" s="27">
        <f>IF(ISNUMBER(AJ83),AJ83*(1+PortfolioFrontier[[#This Row],[P9 Return]]),1+PortfolioFrontier[[#This Row],[P9 Return]])</f>
        <v>1.6668047682811178</v>
      </c>
      <c r="AK84" s="27">
        <f>MAX(AK83,PortfolioFrontier[[#This Row],[P9 Growth]])</f>
        <v>1.8139467261629987</v>
      </c>
      <c r="AL84" s="27">
        <f>PortfolioFrontier[[#This Row],[P9 Growth]]/PortfolioFrontier[[#This Row],[P9 HWM]]-1</f>
        <v>-8.1117022765672453E-2</v>
      </c>
      <c r="AM84" s="28">
        <f>SUMPRODUCT(INDEX(PortfolioRef[[SPY]:[PE]],MATCH(AM$1,PortfolioRef[Reference '#]),0),AssetMonthlyReturns[[#This Row],[SPY]:[PE]])</f>
        <v>5.8664481620841348E-2</v>
      </c>
      <c r="AN84" s="27">
        <f>IF(ISNUMBER(AN83),AN83*(1+PortfolioFrontier[[#This Row],[P10 Return]]),1+PortfolioFrontier[[#This Row],[P10 Return]])</f>
        <v>1.7094094423991422</v>
      </c>
      <c r="AO84" s="27">
        <f>MAX(AO83,PortfolioFrontier[[#This Row],[P10 Growth]])</f>
        <v>1.8443368551596837</v>
      </c>
      <c r="AP84" s="27">
        <f>PortfolioFrontier[[#This Row],[P10 Growth]]/PortfolioFrontier[[#This Row],[P10 HWM]]-1</f>
        <v>-7.315768395728306E-2</v>
      </c>
      <c r="AQ84" s="28">
        <f>SUMPRODUCT(INDEX(PortfolioRef[[SPY]:[PE]],MATCH(AQ$1,PortfolioRef[Reference '#]),0),AssetMonthlyReturns[[#This Row],[SPY]:[PE]])</f>
        <v>6.1766317765299131E-2</v>
      </c>
      <c r="AR84" s="27">
        <f>IF(ISNUMBER(AR83),AR83*(1+PortfolioFrontier[[#This Row],[P11 Return]]),1+PortfolioFrontier[[#This Row],[P11 Return]])</f>
        <v>1.7077108088841082</v>
      </c>
      <c r="AS84" s="27">
        <f>MAX(AS83,PortfolioFrontier[[#This Row],[P11 Growth]])</f>
        <v>1.865449984246593</v>
      </c>
      <c r="AT84" s="27">
        <f>PortfolioFrontier[[#This Row],[P11 Growth]]/PortfolioFrontier[[#This Row],[P11 HWM]]-1</f>
        <v>-8.4558244227701196E-2</v>
      </c>
      <c r="AU84" s="28">
        <f>SUMPRODUCT(INDEX(PortfolioRef[[SPY]:[PE]],MATCH(AU$1,PortfolioRef[Reference '#]),0),AssetMonthlyReturns[[#This Row],[SPY]:[PE]])</f>
        <v>5.5276359284959026E-2</v>
      </c>
      <c r="AV84" s="27">
        <f>IF(ISNUMBER(AV83),AV83*(1+PortfolioFrontier[[#This Row],[P12 Return]]),1+PortfolioFrontier[[#This Row],[P12 Return]])</f>
        <v>1.6959082747912178</v>
      </c>
      <c r="AW84" s="27">
        <f>MAX(AW83,PortfolioFrontier[[#This Row],[P12 Growth]])</f>
        <v>1.8309154354259589</v>
      </c>
      <c r="AX84" s="27">
        <f>PortfolioFrontier[[#This Row],[P12 Growth]]/PortfolioFrontier[[#This Row],[P12 HWM]]-1</f>
        <v>-7.3737518414296432E-2</v>
      </c>
      <c r="AY84" s="28">
        <f>SUMPRODUCT(INDEX(PortfolioRef[[SPY]:[PE]],MATCH(AY$1,PortfolioRef[Reference '#]),0),AssetMonthlyReturns[[#This Row],[SPY]:[PE]])</f>
        <v>6.486815390975692E-2</v>
      </c>
      <c r="AZ84" s="27">
        <f>IF(ISNUMBER(AZ83),AZ83*(1+PortfolioFrontier[[#This Row],[P13 Return]]),1+PortfolioFrontier[[#This Row],[P13 Return]])</f>
        <v>1.7048365734778657</v>
      </c>
      <c r="BA84" s="27">
        <f>MAX(BA83,PortfolioFrontier[[#This Row],[P13 Growth]])</f>
        <v>1.8858075751364967</v>
      </c>
      <c r="BB84" s="27">
        <f>PortfolioFrontier[[#This Row],[P13 Growth]]/PortfolioFrontier[[#This Row],[P13 HWM]]-1</f>
        <v>-9.5964723042080369E-2</v>
      </c>
      <c r="BC84" s="28">
        <f>SUMPRODUCT(INDEX(PortfolioRef[[SPY]:[PE]],MATCH(BC$1,PortfolioRef[Reference '#]),0),AssetMonthlyReturns[[#This Row],[SPY]:[PE]])</f>
        <v>5.8378195429416802E-2</v>
      </c>
      <c r="BD84" s="27">
        <f>IF(ISNUMBER(BD83),BD83*(1+PortfolioFrontier[[#This Row],[P14 Return]]),1+PortfolioFrontier[[#This Row],[P14 Return]])</f>
        <v>1.693897588541559</v>
      </c>
      <c r="BE84" s="27">
        <f>MAX(BE83,PortfolioFrontier[[#This Row],[P14 Growth]])</f>
        <v>1.8515113734383843</v>
      </c>
      <c r="BF84" s="27">
        <f>PortfolioFrontier[[#This Row],[P14 Growth]]/PortfolioFrontier[[#This Row],[P14 HWM]]-1</f>
        <v>-8.512709517097139E-2</v>
      </c>
      <c r="BG84" s="28">
        <f>SUMPRODUCT(INDEX(PortfolioRef[[SPY]:[PE]],MATCH(BG$1,PortfolioRef[Reference '#]),0),AssetMonthlyReturns[[#This Row],[SPY]:[PE]])</f>
        <v>5.1888236949076696E-2</v>
      </c>
      <c r="BH84" s="27">
        <f>IF(ISNUMBER(BH83),BH83*(1+PortfolioFrontier[[#This Row],[P15 Return]]),1+PortfolioFrontier[[#This Row],[P15 Return]])</f>
        <v>1.681926783974407</v>
      </c>
      <c r="BI84" s="27">
        <f>MAX(BI83,PortfolioFrontier[[#This Row],[P15 Growth]])</f>
        <v>1.8170439473092146</v>
      </c>
      <c r="BJ84" s="27">
        <f>PortfolioFrontier[[#This Row],[P15 Growth]]/PortfolioFrontier[[#This Row],[P15 HWM]]-1</f>
        <v>-7.4360977088582247E-2</v>
      </c>
      <c r="BK84" s="28">
        <f>SUMPRODUCT(INDEX(PortfolioRef[[SPY]:[PE]],MATCH(BK$1,PortfolioRef[Reference '#]),0),AssetMonthlyReturns[[#This Row],[SPY]:[PE]])</f>
        <v>5.5222478840972443E-2</v>
      </c>
      <c r="BL84" s="27">
        <f>IF(ISNUMBER(BL83),BL83*(1+PortfolioFrontier[[#This Row],[P16 Return]]),1+PortfolioFrontier[[#This Row],[P16 Return]])</f>
        <v>1.5919401964300441</v>
      </c>
      <c r="BM84" s="27">
        <f>MAX(BM83,PortfolioFrontier[[#This Row],[P16 Growth]])</f>
        <v>1.7425494832470445</v>
      </c>
      <c r="BN84" s="27">
        <f>PortfolioFrontier[[#This Row],[P16 Growth]]/PortfolioFrontier[[#This Row],[P16 HWM]]-1</f>
        <v>-8.6430421784268074E-2</v>
      </c>
      <c r="BO84" s="28">
        <f>SUMPRODUCT(INDEX(PortfolioRef[[SPY]:[PE]],MATCH(BO$1,PortfolioRef[Reference '#]),0),AssetMonthlyReturns[[#This Row],[SPY]:[PE]])</f>
        <v>5.6200263690764585E-2</v>
      </c>
      <c r="BP84" s="27">
        <f>IF(ISNUMBER(BP83),BP83*(1+PortfolioFrontier[[#This Row],[P17 Return]]),1+PortfolioFrontier[[#This Row],[P17 Return]])</f>
        <v>1.6197382019839317</v>
      </c>
      <c r="BQ84" s="27">
        <f>MAX(BQ83,PortfolioFrontier[[#This Row],[P17 Growth]])</f>
        <v>1.7588525148836969</v>
      </c>
      <c r="BR84" s="27">
        <f>PortfolioFrontier[[#This Row],[P17 Growth]]/PortfolioFrontier[[#This Row],[P17 HWM]]-1</f>
        <v>-7.9093790822457932E-2</v>
      </c>
      <c r="BS84" s="28">
        <f>SUMPRODUCT(INDEX(PortfolioRef[[SPY]:[PE]],MATCH(BS$1,PortfolioRef[Reference '#]),0),AssetMonthlyReturns[[#This Row],[SPY]:[PE]])</f>
        <v>5.9302099835222361E-2</v>
      </c>
      <c r="BT84" s="27">
        <f>IF(ISNUMBER(BT83),BT83*(1+PortfolioFrontier[[#This Row],[P18 Return]]),1+PortfolioFrontier[[#This Row],[P18 Return]])</f>
        <v>1.6183608353266807</v>
      </c>
      <c r="BU84" s="27">
        <f>MAX(BU83,PortfolioFrontier[[#This Row],[P18 Growth]])</f>
        <v>1.7791407441475846</v>
      </c>
      <c r="BV84" s="27">
        <f>PortfolioFrontier[[#This Row],[P18 Growth]]/PortfolioFrontier[[#This Row],[P18 HWM]]-1</f>
        <v>-9.0369415320166846E-2</v>
      </c>
      <c r="BW84" s="28">
        <f>SUMPRODUCT(INDEX(PortfolioRef[[SPY]:[PE]],MATCH(BW$1,PortfolioRef[Reference '#]),0),AssetMonthlyReturns[[#This Row],[SPY]:[PE]])</f>
        <v>5.2812141354882255E-2</v>
      </c>
      <c r="BX84" s="27">
        <f>IF(ISNUMBER(BX83),BX83*(1+PortfolioFrontier[[#This Row],[P19 Return]]),1+PortfolioFrontier[[#This Row],[P19 Return]])</f>
        <v>1.60657336082737</v>
      </c>
      <c r="BY84" s="27">
        <f>MAX(BY83,PortfolioFrontier[[#This Row],[P19 Growth]])</f>
        <v>1.7457196180719312</v>
      </c>
      <c r="BZ84" s="27">
        <f>PortfolioFrontier[[#This Row],[P19 Growth]]/PortfolioFrontier[[#This Row],[P19 HWM]]-1</f>
        <v>-7.9707105198394856E-2</v>
      </c>
      <c r="CA84" s="28">
        <f>SUMPRODUCT(INDEX(PortfolioRef[[SPY]:[PE]],MATCH(CA$1,PortfolioRef[Reference '#]),0),AssetMonthlyReturns[[#This Row],[SPY]:[PE]])</f>
        <v>5.7178048540556727E-2</v>
      </c>
      <c r="CB84" s="27">
        <f>IF(ISNUMBER(CB83),CB83*(1+PortfolioFrontier[[#This Row],[P20 Return]]),1+PortfolioFrontier[[#This Row],[P20 Return]])</f>
        <v>1.6476305080530369</v>
      </c>
      <c r="CC84" s="27">
        <f>MAX(CC83,PortfolioFrontier[[#This Row],[P20 Growth]])</f>
        <v>1.7749567522517573</v>
      </c>
      <c r="CD84" s="27">
        <f>PortfolioFrontier[[#This Row],[P20 Growth]]/PortfolioFrontier[[#This Row],[P20 HWM]]-1</f>
        <v>-7.1734843137553073E-2</v>
      </c>
      <c r="CE84" s="28">
        <f>SUMPRODUCT(INDEX(PortfolioRef[[SPY]:[PE]],MATCH(CE$1,PortfolioRef[Reference '#]),0),AssetMonthlyReturns[[#This Row],[SPY]:[PE]])</f>
        <v>6.0279884685014509E-2</v>
      </c>
      <c r="CF84" s="27">
        <f>IF(ISNUMBER(CF83),CF83*(1+PortfolioFrontier[[#This Row],[P21 Return]]),1+PortfolioFrontier[[#This Row],[P21 Return]])</f>
        <v>1.6465840237592555</v>
      </c>
      <c r="CG84" s="27">
        <f>MAX(CG83,PortfolioFrontier[[#This Row],[P21 Growth]])</f>
        <v>1.795743356031652</v>
      </c>
      <c r="CH84" s="27">
        <f>PortfolioFrontier[[#This Row],[P21 Growth]]/PortfolioFrontier[[#This Row],[P21 HWM]]-1</f>
        <v>-8.3062722616453533E-2</v>
      </c>
      <c r="CI84" s="28">
        <f>SUMPRODUCT(INDEX(PortfolioRef[[SPY]:[PE]],MATCH(CI$1,PortfolioRef[Reference '#]),0),AssetMonthlyReturns[[#This Row],[SPY]:[PE]])</f>
        <v>5.3789926204674404E-2</v>
      </c>
      <c r="CJ84" s="27">
        <f>IF(ISNUMBER(CJ83),CJ83*(1+PortfolioFrontier[[#This Row],[P22 Return]]),1+PortfolioFrontier[[#This Row],[P22 Return]])</f>
        <v>1.6346313749702934</v>
      </c>
      <c r="CK84" s="27">
        <f>MAX(CK83,PortfolioFrontier[[#This Row],[P22 Growth]])</f>
        <v>1.7620784578443487</v>
      </c>
      <c r="CL84" s="27">
        <f>PortfolioFrontier[[#This Row],[P22 Growth]]/PortfolioFrontier[[#This Row],[P22 HWM]]-1</f>
        <v>-7.2327700453229893E-2</v>
      </c>
      <c r="CM84" s="28">
        <f>SUMPRODUCT(INDEX(PortfolioRef[[SPY]:[PE]],MATCH(CM$1,PortfolioRef[Reference '#]),0),AssetMonthlyReturns[[#This Row],[SPY]:[PE]])</f>
        <v>6.3381720829472299E-2</v>
      </c>
      <c r="CN84" s="27">
        <f>IF(ISNUMBER(CN83),CN83*(1+PortfolioFrontier[[#This Row],[P23 Return]]),1+PortfolioFrontier[[#This Row],[P23 Return]])</f>
        <v>1.6444046738138922</v>
      </c>
      <c r="CO84" s="27">
        <f>MAX(CO83,PortfolioFrontier[[#This Row],[P23 Growth]])</f>
        <v>1.8158151760868648</v>
      </c>
      <c r="CP84" s="27">
        <f>PortfolioFrontier[[#This Row],[P23 Growth]]/PortfolioFrontier[[#This Row],[P23 HWM]]-1</f>
        <v>-9.4398650551190566E-2</v>
      </c>
      <c r="CQ84" s="28">
        <f>SUMPRODUCT(INDEX(PortfolioRef[[SPY]:[PE]],MATCH(CQ$1,PortfolioRef[Reference '#]),0),AssetMonthlyReturns[[#This Row],[SPY]:[PE]])</f>
        <v>5.689176234913218E-2</v>
      </c>
      <c r="CR84" s="27">
        <f>IF(ISNUMBER(CR83),CR83*(1+PortfolioFrontier[[#This Row],[P24 Return]]),1+PortfolioFrontier[[#This Row],[P24 Return]])</f>
        <v>1.6332787619927136</v>
      </c>
      <c r="CS84" s="27">
        <f>MAX(CS83,PortfolioFrontier[[#This Row],[P24 Growth]])</f>
        <v>1.7823638134718676</v>
      </c>
      <c r="CT84" s="27">
        <f>PortfolioFrontier[[#This Row],[P24 Growth]]/PortfolioFrontier[[#This Row],[P24 HWM]]-1</f>
        <v>-8.3644568158478871E-2</v>
      </c>
      <c r="CU84" s="28">
        <f>SUMPRODUCT(INDEX(PortfolioRef[[SPY]:[PE]],MATCH(CU$1,PortfolioRef[Reference '#]),0),AssetMonthlyReturns[[#This Row],[SPY]:[PE]])</f>
        <v>5.0401803868792075E-2</v>
      </c>
      <c r="CV84" s="27">
        <f>IF(ISNUMBER(CV83),CV83*(1+PortfolioFrontier[[#This Row],[P25 Return]]),1+PortfolioFrontier[[#This Row],[P25 Return]])</f>
        <v>1.6211682319180709</v>
      </c>
      <c r="CW84" s="27">
        <f>MAX(CW83,PortfolioFrontier[[#This Row],[P25 Growth]])</f>
        <v>1.7487656732120247</v>
      </c>
      <c r="CX84" s="27">
        <f>PortfolioFrontier[[#This Row],[P25 Growth]]/PortfolioFrontier[[#This Row],[P25 HWM]]-1</f>
        <v>-7.2964287467737532E-2</v>
      </c>
      <c r="CY84" s="28">
        <f>SUMPRODUCT(INDEX(PortfolioRef[[SPY]:[PE]],MATCH(CY$1,PortfolioRef[Reference '#]),0),AssetMonthlyReturns[[#This Row],[SPY]:[PE]])</f>
        <v>6.1257669534806651E-2</v>
      </c>
      <c r="CZ84" s="27">
        <f>IF(ISNUMBER(CZ83),CZ83*(1+PortfolioFrontier[[#This Row],[P26 Return]]),1+PortfolioFrontier[[#This Row],[P26 Return]])</f>
        <v>1.6749024334345792</v>
      </c>
      <c r="DA84" s="27">
        <f>MAX(DA83,PortfolioFrontier[[#This Row],[P26 Growth]])</f>
        <v>1.8121428498945955</v>
      </c>
      <c r="DB84" s="27">
        <f>PortfolioFrontier[[#This Row],[P26 Growth]]/PortfolioFrontier[[#This Row],[P26 HWM]]-1</f>
        <v>-7.5733773674629967E-2</v>
      </c>
      <c r="DC84" s="28">
        <f>SUMPRODUCT(INDEX(PortfolioRef[[SPY]:[PE]],MATCH(DC$1,PortfolioRef[Reference '#]),0),AssetMonthlyReturns[[#This Row],[SPY]:[PE]])</f>
        <v>5.4767711054466546E-2</v>
      </c>
      <c r="DD84" s="27">
        <f>IF(ISNUMBER(DD83),DD83*(1+PortfolioFrontier[[#This Row],[P27 Return]]),1+PortfolioFrontier[[#This Row],[P27 Return]])</f>
        <v>1.6627849569612125</v>
      </c>
      <c r="DE84" s="27">
        <f>MAX(DE83,PortfolioFrontier[[#This Row],[P27 Growth]])</f>
        <v>1.7782387807323972</v>
      </c>
      <c r="DF84" s="27">
        <f>PortfolioFrontier[[#This Row],[P27 Growth]]/PortfolioFrontier[[#This Row],[P27 HWM]]-1</f>
        <v>-6.4925939655659182E-2</v>
      </c>
      <c r="DG84" s="28">
        <f>SUMPRODUCT(INDEX(PortfolioRef[[SPY]:[PE]],MATCH(DG$1,PortfolioRef[Reference '#]),0),AssetMonthlyReturns[[#This Row],[SPY]:[PE]])</f>
        <v>6.4359505679264434E-2</v>
      </c>
      <c r="DH84" s="27">
        <f>IF(ISNUMBER(DH83),DH83*(1+PortfolioFrontier[[#This Row],[P28 Return]]),1+PortfolioFrontier[[#This Row],[P28 Return]])</f>
        <v>1.6730457923970121</v>
      </c>
      <c r="DI84" s="27">
        <f>MAX(DI83,PortfolioFrontier[[#This Row],[P28 Growth]])</f>
        <v>1.8327167417336543</v>
      </c>
      <c r="DJ84" s="27">
        <f>PortfolioFrontier[[#This Row],[P28 Growth]]/PortfolioFrontier[[#This Row],[P28 HWM]]-1</f>
        <v>-8.7122546381936727E-2</v>
      </c>
      <c r="DK84" s="28">
        <f>SUMPRODUCT(INDEX(PortfolioRef[[SPY]:[PE]],MATCH(DK$1,PortfolioRef[Reference '#]),0),AssetMonthlyReturns[[#This Row],[SPY]:[PE]])</f>
        <v>5.7869547198924322E-2</v>
      </c>
      <c r="DL84" s="27">
        <f>IF(ISNUMBER(DL83),DL83*(1+PortfolioFrontier[[#This Row],[P29 Return]]),1+PortfolioFrontier[[#This Row],[P29 Return]])</f>
        <v>1.6617665984836212</v>
      </c>
      <c r="DM84" s="27">
        <f>MAX(DM83,PortfolioFrontier[[#This Row],[P29 Growth]])</f>
        <v>1.7990232294645383</v>
      </c>
      <c r="DN84" s="27">
        <f>PortfolioFrontier[[#This Row],[P29 Growth]]/PortfolioFrontier[[#This Row],[P29 HWM]]-1</f>
        <v>-7.629508542909158E-2</v>
      </c>
      <c r="DO84" s="28">
        <f>SUMPRODUCT(INDEX(PortfolioRef[[SPY]:[PE]],MATCH(DO$1,PortfolioRef[Reference '#]),0),AssetMonthlyReturns[[#This Row],[SPY]:[PE]])</f>
        <v>5.1379588718584217E-2</v>
      </c>
      <c r="DP84" s="27">
        <f>IF(ISNUMBER(DP83),DP83*(1+PortfolioFrontier[[#This Row],[P30 Return]]),1+PortfolioFrontier[[#This Row],[P30 Return]])</f>
        <v>1.6494858359694275</v>
      </c>
      <c r="DQ84" s="27">
        <f>MAX(DQ83,PortfolioFrontier[[#This Row],[P30 Growth]])</f>
        <v>1.7651792866223672</v>
      </c>
      <c r="DR84" s="27">
        <f>PortfolioFrontier[[#This Row],[P30 Growth]]/PortfolioFrontier[[#This Row],[P30 HWM]]-1</f>
        <v>-6.5542039570562038E-2</v>
      </c>
      <c r="DS84" s="28">
        <f>SUMPRODUCT(INDEX(PortfolioRef[[SPY]:[PE]],MATCH(DS$1,PortfolioRef[Reference '#]),0),AssetMonthlyReturns[[#This Row],[SPY]:[PE]])</f>
        <v>6.746134182372221E-2</v>
      </c>
      <c r="DT84" s="27">
        <f>IF(ISNUMBER(DT83),DT83*(1+PortfolioFrontier[[#This Row],[P31 Return]]),1+PortfolioFrontier[[#This Row],[P31 Return]])</f>
        <v>1.6700360334702666</v>
      </c>
      <c r="DU84" s="27">
        <f>MAX(DU83,PortfolioFrontier[[#This Row],[P31 Growth]])</f>
        <v>1.8525428026208837</v>
      </c>
      <c r="DV84" s="27">
        <f>PortfolioFrontier[[#This Row],[P31 Growth]]/PortfolioFrontier[[#This Row],[P31 HWM]]-1</f>
        <v>-9.8516897365294676E-2</v>
      </c>
      <c r="DW84" s="28">
        <f>SUMPRODUCT(INDEX(PortfolioRef[[SPY]:[PE]],MATCH(DW$1,PortfolioRef[Reference '#]),0),AssetMonthlyReturns[[#This Row],[SPY]:[PE]])</f>
        <v>6.0971383343382105E-2</v>
      </c>
      <c r="DX84" s="27">
        <f>IF(ISNUMBER(DX83),DX83*(1+PortfolioFrontier[[#This Row],[P32 Return]]),1+PortfolioFrontier[[#This Row],[P32 Return]])</f>
        <v>1.6596054941050491</v>
      </c>
      <c r="DY84" s="27">
        <f>MAX(DY83,PortfolioFrontier[[#This Row],[P32 Growth]])</f>
        <v>1.8190908915066115</v>
      </c>
      <c r="DZ84" s="27">
        <f>PortfolioFrontier[[#This Row],[P32 Growth]]/PortfolioFrontier[[#This Row],[P32 HWM]]-1</f>
        <v>-8.7673132852351898E-2</v>
      </c>
      <c r="EA84" s="28">
        <f>SUMPRODUCT(INDEX(PortfolioRef[[SPY]:[PE]],MATCH(EA$1,PortfolioRef[Reference '#]),0),AssetMonthlyReturns[[#This Row],[SPY]:[PE]])</f>
        <v>5.4481424863041993E-2</v>
      </c>
      <c r="EB84" s="27">
        <f>IF(ISNUMBER(EB83),EB83*(1+PortfolioFrontier[[#This Row],[P33 Return]]),1+PortfolioFrontier[[#This Row],[P33 Return]])</f>
        <v>1.648158440964105</v>
      </c>
      <c r="EC84" s="27">
        <f>MAX(EC83,PortfolioFrontier[[#This Row],[P33 Growth]])</f>
        <v>1.7854600976944932</v>
      </c>
      <c r="ED84" s="27">
        <f>PortfolioFrontier[[#This Row],[P33 Growth]]/PortfolioFrontier[[#This Row],[P33 HWM]]-1</f>
        <v>-7.6899874103981025E-2</v>
      </c>
      <c r="EE84" s="28">
        <f>SUMPRODUCT(INDEX(PortfolioRef[[SPY]:[PE]],MATCH(EE$1,PortfolioRef[Reference '#]),0),AssetMonthlyReturns[[#This Row],[SPY]:[PE]])</f>
        <v>5.3736045760687821E-2</v>
      </c>
      <c r="EF84" s="27">
        <f>IF(ISNUMBER(EF83),EF83*(1+PortfolioFrontier[[#This Row],[P34 Return]]),1+PortfolioFrontier[[#This Row],[P34 Return]])</f>
        <v>1.5337303050783866</v>
      </c>
      <c r="EG84" s="27">
        <f>MAX(EG83,PortfolioFrontier[[#This Row],[P34 Growth]])</f>
        <v>1.6763614413137211</v>
      </c>
      <c r="EH84" s="27">
        <f>PortfolioFrontier[[#This Row],[P34 Growth]]/PortfolioFrontier[[#This Row],[P34 HWM]]-1</f>
        <v>-8.5083761007744396E-2</v>
      </c>
      <c r="EI84" s="28">
        <f>SUMPRODUCT(INDEX(PortfolioRef[[SPY]:[PE]],MATCH(EI$1,PortfolioRef[Reference '#]),0),AssetMonthlyReturns[[#This Row],[SPY]:[PE]])</f>
        <v>5.4713830610479963E-2</v>
      </c>
      <c r="EJ84" s="27">
        <f>IF(ISNUMBER(EJ83),EJ83*(1+PortfolioFrontier[[#This Row],[P35 Return]]),1+PortfolioFrontier[[#This Row],[P35 Return]])</f>
        <v>1.5605181805994706</v>
      </c>
      <c r="EK84" s="27">
        <f>MAX(EK83,PortfolioFrontier[[#This Row],[P35 Growth]])</f>
        <v>1.6920729334369538</v>
      </c>
      <c r="EL84" s="27">
        <f>PortfolioFrontier[[#This Row],[P35 Growth]]/PortfolioFrontier[[#This Row],[P35 HWM]]-1</f>
        <v>-7.7747684652261451E-2</v>
      </c>
      <c r="EM84" s="28">
        <f>SUMPRODUCT(INDEX(PortfolioRef[[SPY]:[PE]],MATCH(EM$1,PortfolioRef[Reference '#]),0),AssetMonthlyReturns[[#This Row],[SPY]:[PE]])</f>
        <v>5.7815666754937739E-2</v>
      </c>
      <c r="EN84" s="27">
        <f>IF(ISNUMBER(EN83),EN83*(1+PortfolioFrontier[[#This Row],[P36 Return]]),1+PortfolioFrontier[[#This Row],[P36 Return]])</f>
        <v>1.5597487182525271</v>
      </c>
      <c r="EO84" s="27">
        <f>MAX(EO83,PortfolioFrontier[[#This Row],[P36 Growth]])</f>
        <v>1.7120343963250326</v>
      </c>
      <c r="EP84" s="27">
        <f>PortfolioFrontier[[#This Row],[P36 Growth]]/PortfolioFrontier[[#This Row],[P36 HWM]]-1</f>
        <v>-8.8950127637268395E-2</v>
      </c>
      <c r="EQ84" s="28">
        <f>SUMPRODUCT(INDEX(PortfolioRef[[SPY]:[PE]],MATCH(EQ$1,PortfolioRef[Reference '#]),0),AssetMonthlyReturns[[#This Row],[SPY]:[PE]])</f>
        <v>5.1325708274597634E-2</v>
      </c>
      <c r="ER84" s="27">
        <f>IF(ISNUMBER(ER83),ER83*(1+PortfolioFrontier[[#This Row],[P37 Return]]),1+PortfolioFrontier[[#This Row],[P37 Return]])</f>
        <v>1.5478467257186603</v>
      </c>
      <c r="ES84" s="27">
        <f>MAX(ES83,PortfolioFrontier[[#This Row],[P37 Growth]])</f>
        <v>1.6794736802569215</v>
      </c>
      <c r="ET84" s="27">
        <f>PortfolioFrontier[[#This Row],[P37 Growth]]/PortfolioFrontier[[#This Row],[P37 HWM]]-1</f>
        <v>-7.8373931122353246E-2</v>
      </c>
      <c r="EU84" s="28">
        <f>SUMPRODUCT(INDEX(PortfolioRef[[SPY]:[PE]],MATCH(EU$1,PortfolioRef[Reference '#]),0),AssetMonthlyReturns[[#This Row],[SPY]:[PE]])</f>
        <v>5.5691615460272105E-2</v>
      </c>
      <c r="EV84" s="27">
        <f>IF(ISNUMBER(EV83),EV83*(1+PortfolioFrontier[[#This Row],[P38 Return]]),1+PortfolioFrontier[[#This Row],[P38 Return]])</f>
        <v>1.5873963501496076</v>
      </c>
      <c r="EW84" s="27">
        <f>MAX(EW83,PortfolioFrontier[[#This Row],[P38 Growth]])</f>
        <v>1.7075928941250238</v>
      </c>
      <c r="EX84" s="27">
        <f>PortfolioFrontier[[#This Row],[P38 Growth]]/PortfolioFrontier[[#This Row],[P38 HWM]]-1</f>
        <v>-7.0389461322398761E-2</v>
      </c>
      <c r="EY84" s="28">
        <f>SUMPRODUCT(INDEX(PortfolioRef[[SPY]:[PE]],MATCH(EY$1,PortfolioRef[Reference '#]),0),AssetMonthlyReturns[[#This Row],[SPY]:[PE]])</f>
        <v>5.8793451604729888E-2</v>
      </c>
      <c r="EZ84" s="27">
        <f>IF(ISNUMBER(EZ83),EZ83*(1+PortfolioFrontier[[#This Row],[P39 Return]]),1+PortfolioFrontier[[#This Row],[P39 Return]])</f>
        <v>1.5869558690408589</v>
      </c>
      <c r="FA84" s="27">
        <f>MAX(FA83,PortfolioFrontier[[#This Row],[P39 Growth]])</f>
        <v>1.7280388577532122</v>
      </c>
      <c r="FB84" s="27">
        <f>PortfolioFrontier[[#This Row],[P39 Growth]]/PortfolioFrontier[[#This Row],[P39 HWM]]-1</f>
        <v>-8.1643412171754415E-2</v>
      </c>
      <c r="FC84" s="28">
        <f>SUMPRODUCT(INDEX(PortfolioRef[[SPY]:[PE]],MATCH(FC$1,PortfolioRef[Reference '#]),0),AssetMonthlyReturns[[#This Row],[SPY]:[PE]])</f>
        <v>5.2303493124389783E-2</v>
      </c>
      <c r="FD84" s="27">
        <f>IF(ISNUMBER(FD83),FD83*(1+PortfolioFrontier[[#This Row],[P40 Return]]),1+PortfolioFrontier[[#This Row],[P40 Return]])</f>
        <v>1.5748855447133268</v>
      </c>
      <c r="FE84" s="27">
        <f>MAX(FE83,PortfolioFrontier[[#This Row],[P40 Growth]])</f>
        <v>1.6952394830468527</v>
      </c>
      <c r="FF84" s="27">
        <f>PortfolioFrontier[[#This Row],[P40 Growth]]/PortfolioFrontier[[#This Row],[P40 HWM]]-1</f>
        <v>-7.0995242582017948E-2</v>
      </c>
      <c r="FG84" s="28">
        <f>SUMPRODUCT(INDEX(PortfolioRef[[SPY]:[PE]],MATCH(FG$1,PortfolioRef[Reference '#]),0),AssetMonthlyReturns[[#This Row],[SPY]:[PE]])</f>
        <v>6.1895287749187677E-2</v>
      </c>
      <c r="FH84" s="27">
        <f>IF(ISNUMBER(FH83),FH83*(1+PortfolioFrontier[[#This Row],[P41 Return]]),1+PortfolioFrontier[[#This Row],[P41 Return]])</f>
        <v>1.5854244855258157</v>
      </c>
      <c r="FI84" s="27">
        <f>MAX(FI83,PortfolioFrontier[[#This Row],[P41 Growth]])</f>
        <v>1.7478091274239449</v>
      </c>
      <c r="FJ84" s="27">
        <f>PortfolioFrontier[[#This Row],[P41 Growth]]/PortfolioFrontier[[#This Row],[P41 HWM]]-1</f>
        <v>-9.2907537413690067E-2</v>
      </c>
      <c r="FK84" s="28">
        <f>SUMPRODUCT(INDEX(PortfolioRef[[SPY]:[PE]],MATCH(FK$1,PortfolioRef[Reference '#]),0),AssetMonthlyReturns[[#This Row],[SPY]:[PE]])</f>
        <v>5.5405329268847558E-2</v>
      </c>
      <c r="FL84" s="27">
        <f>IF(ISNUMBER(FL83),FL83*(1+PortfolioFrontier[[#This Row],[P42 Return]]),1+PortfolioFrontier[[#This Row],[P42 Return]])</f>
        <v>1.5741449757591821</v>
      </c>
      <c r="FM84" s="27">
        <f>MAX(FM83,PortfolioFrontier[[#This Row],[P42 Growth]])</f>
        <v>1.7151998522045959</v>
      </c>
      <c r="FN84" s="27">
        <f>PortfolioFrontier[[#This Row],[P42 Growth]]/PortfolioFrontier[[#This Row],[P42 HWM]]-1</f>
        <v>-8.2238157998971273E-2</v>
      </c>
      <c r="FO84" s="28">
        <f>SUMPRODUCT(INDEX(PortfolioRef[[SPY]:[PE]],MATCH(FO$1,PortfolioRef[Reference '#]),0),AssetMonthlyReturns[[#This Row],[SPY]:[PE]])</f>
        <v>4.8915370788507453E-2</v>
      </c>
      <c r="FP84" s="27">
        <f>IF(ISNUMBER(FP83),FP83*(1+PortfolioFrontier[[#This Row],[P43 Return]]),1+PortfolioFrontier[[#This Row],[P43 Return]])</f>
        <v>1.5619266729180148</v>
      </c>
      <c r="FQ84" s="27">
        <f>MAX(FQ83,PortfolioFrontier[[#This Row],[P43 Growth]])</f>
        <v>1.6824667632825669</v>
      </c>
      <c r="FR84" s="27">
        <f>PortfolioFrontier[[#This Row],[P43 Growth]]/PortfolioFrontier[[#This Row],[P43 HWM]]-1</f>
        <v>-7.1644856822831393E-2</v>
      </c>
      <c r="FS84" s="28">
        <f>SUMPRODUCT(INDEX(PortfolioRef[[SPY]:[PE]],MATCH(FS$1,PortfolioRef[Reference '#]),0),AssetMonthlyReturns[[#This Row],[SPY]:[PE]])</f>
        <v>5.977123645452203E-2</v>
      </c>
      <c r="FT84" s="27">
        <f>IF(ISNUMBER(FT83),FT83*(1+PortfolioFrontier[[#This Row],[P44 Return]]),1+PortfolioFrontier[[#This Row],[P44 Return]])</f>
        <v>1.6142542218386227</v>
      </c>
      <c r="FU84" s="27">
        <f>MAX(FU83,PortfolioFrontier[[#This Row],[P44 Growth]])</f>
        <v>1.7438475694471607</v>
      </c>
      <c r="FV84" s="27">
        <f>PortfolioFrontier[[#This Row],[P44 Growth]]/PortfolioFrontier[[#This Row],[P44 HWM]]-1</f>
        <v>-7.431460746860008E-2</v>
      </c>
      <c r="FW84" s="28">
        <f>SUMPRODUCT(INDEX(PortfolioRef[[SPY]:[PE]],MATCH(FW$1,PortfolioRef[Reference '#]),0),AssetMonthlyReturns[[#This Row],[SPY]:[PE]])</f>
        <v>5.3281277974181925E-2</v>
      </c>
      <c r="FX84" s="27">
        <f>IF(ISNUMBER(FX83),FX83*(1+PortfolioFrontier[[#This Row],[P45 Return]]),1+PortfolioFrontier[[#This Row],[P45 Return]])</f>
        <v>1.6020158778451836</v>
      </c>
      <c r="FY84" s="27">
        <f>MAX(FY83,PortfolioFrontier[[#This Row],[P45 Growth]])</f>
        <v>1.7108140158896465</v>
      </c>
      <c r="FZ84" s="27">
        <f>PortfolioFrontier[[#This Row],[P45 Growth]]/PortfolioFrontier[[#This Row],[P45 HWM]]-1</f>
        <v>-6.3594369133038953E-2</v>
      </c>
      <c r="GA84" s="28">
        <f>SUMPRODUCT(INDEX(PortfolioRef[[SPY]:[PE]],MATCH(GA$1,PortfolioRef[Reference '#]),0),AssetMonthlyReturns[[#This Row],[SPY]:[PE]])</f>
        <v>6.2873072598979812E-2</v>
      </c>
      <c r="GB84" s="27">
        <f>IF(ISNUMBER(GB83),GB83*(1+PortfolioFrontier[[#This Row],[P46 Return]]),1+PortfolioFrontier[[#This Row],[P46 Return]])</f>
        <v>1.6130442413334685</v>
      </c>
      <c r="GC84" s="27">
        <f>MAX(GC83,PortfolioFrontier[[#This Row],[P46 Growth]])</f>
        <v>1.7641061270089846</v>
      </c>
      <c r="GD84" s="27">
        <f>PortfolioFrontier[[#This Row],[P46 Growth]]/PortfolioFrontier[[#This Row],[P46 HWM]]-1</f>
        <v>-8.5630837829263284E-2</v>
      </c>
      <c r="GE84" s="28">
        <f>SUMPRODUCT(INDEX(PortfolioRef[[SPY]:[PE]],MATCH(GE$1,PortfolioRef[Reference '#]),0),AssetMonthlyReturns[[#This Row],[SPY]:[PE]])</f>
        <v>5.63831141186397E-2</v>
      </c>
      <c r="GF84" s="27">
        <f>IF(ISNUMBER(GF83),GF83*(1+PortfolioFrontier[[#This Row],[P47 Return]]),1+PortfolioFrontier[[#This Row],[P47 Return]])</f>
        <v>1.6016076355596742</v>
      </c>
      <c r="GG84" s="27">
        <f>MAX(GG83,PortfolioFrontier[[#This Row],[P47 Growth]])</f>
        <v>1.7312596087544752</v>
      </c>
      <c r="GH84" s="27">
        <f>PortfolioFrontier[[#This Row],[P47 Growth]]/PortfolioFrontier[[#This Row],[P47 HWM]]-1</f>
        <v>-7.4888810747497758E-2</v>
      </c>
      <c r="GI84" s="28">
        <f>SUMPRODUCT(INDEX(PortfolioRef[[SPY]:[PE]],MATCH(GI$1,PortfolioRef[Reference '#]),0),AssetMonthlyReturns[[#This Row],[SPY]:[PE]])</f>
        <v>4.9893155638299595E-2</v>
      </c>
      <c r="GJ84" s="27">
        <f>IF(ISNUMBER(GJ83),GJ83*(1+PortfolioFrontier[[#This Row],[P48 Return]]),1+PortfolioFrontier[[#This Row],[P48 Return]])</f>
        <v>1.5892160401368705</v>
      </c>
      <c r="GK84" s="27">
        <f>MAX(GK83,PortfolioFrontier[[#This Row],[P48 Growth]])</f>
        <v>1.6982858835097865</v>
      </c>
      <c r="GL84" s="27">
        <f>PortfolioFrontier[[#This Row],[P48 Growth]]/PortfolioFrontier[[#This Row],[P48 HWM]]-1</f>
        <v>-6.4223488184159683E-2</v>
      </c>
      <c r="GM84" s="28">
        <f>SUMPRODUCT(INDEX(PortfolioRef[[SPY]:[PE]],MATCH(GM$1,PortfolioRef[Reference '#]),0),AssetMonthlyReturns[[#This Row],[SPY]:[PE]])</f>
        <v>6.5974908743437588E-2</v>
      </c>
      <c r="GN84" s="27">
        <f>IF(ISNUMBER(GN83),GN83*(1+PortfolioFrontier[[#This Row],[P49 Return]]),1+PortfolioFrontier[[#This Row],[P49 Return]])</f>
        <v>1.6107230331484246</v>
      </c>
      <c r="GO84" s="27">
        <f>MAX(GO83,PortfolioFrontier[[#This Row],[P49 Growth]])</f>
        <v>1.7836571071341945</v>
      </c>
      <c r="GP84" s="27">
        <f>PortfolioFrontier[[#This Row],[P49 Growth]]/PortfolioFrontier[[#This Row],[P49 HWM]]-1</f>
        <v>-9.6954775272711125E-2</v>
      </c>
      <c r="GQ84" s="28">
        <f>SUMPRODUCT(INDEX(PortfolioRef[[SPY]:[PE]],MATCH(GQ$1,PortfolioRef[Reference '#]),0),AssetMonthlyReturns[[#This Row],[SPY]:[PE]])</f>
        <v>5.9484950263097483E-2</v>
      </c>
      <c r="GR84" s="27">
        <f>IF(ISNUMBER(GR83),GR83*(1+PortfolioFrontier[[#This Row],[P50 Return]]),1+PortfolioFrontier[[#This Row],[P50 Return]])</f>
        <v>1.6000989878340282</v>
      </c>
      <c r="GS84" s="27">
        <f>MAX(GS83,PortfolioFrontier[[#This Row],[P50 Growth]])</f>
        <v>1.7510275614895194</v>
      </c>
      <c r="GT84" s="27">
        <f>PortfolioFrontier[[#This Row],[P50 Growth]]/PortfolioFrontier[[#This Row],[P50 HWM]]-1</f>
        <v>-8.6194287842678574E-2</v>
      </c>
      <c r="GU84" s="28">
        <f>SUMPRODUCT(INDEX(PortfolioRef[[SPY]:[PE]],MATCH(GU$1,PortfolioRef[Reference '#]),0),AssetMonthlyReturns[[#This Row],[SPY]:[PE]])</f>
        <v>5.2994991782757371E-2</v>
      </c>
      <c r="GV84" s="27">
        <f>IF(ISNUMBER(GV83),GV83*(1+PortfolioFrontier[[#This Row],[P51 Return]]),1+PortfolioFrontier[[#This Row],[P51 Return]])</f>
        <v>1.5885048038945686</v>
      </c>
      <c r="GW84" s="27">
        <f>MAX(GW83,PortfolioFrontier[[#This Row],[P51 Growth]])</f>
        <v>1.7182435242855478</v>
      </c>
      <c r="GX84" s="27">
        <f>PortfolioFrontier[[#This Row],[P51 Growth]]/PortfolioFrontier[[#This Row],[P51 HWM]]-1</f>
        <v>-7.5506596449956165E-2</v>
      </c>
      <c r="GY84" s="28">
        <f>SUMPRODUCT(INDEX(PortfolioRef[[SPY]:[PE]],MATCH(GY$1,PortfolioRef[Reference '#]),0),AssetMonthlyReturns[[#This Row],[SPY]:[PE]])</f>
        <v>6.3850857448771947E-2</v>
      </c>
      <c r="GZ84" s="27">
        <f>IF(ISNUMBER(GZ83),GZ83*(1+PortfolioFrontier[[#This Row],[P52 Return]]),1+PortfolioFrontier[[#This Row],[P52 Return]])</f>
        <v>1.6407560748650951</v>
      </c>
      <c r="HA84" s="27">
        <f>MAX(HA83,PortfolioFrontier[[#This Row],[P52 Growth]])</f>
        <v>1.7802031417261526</v>
      </c>
      <c r="HB84" s="27">
        <f>PortfolioFrontier[[#This Row],[P52 Growth]]/PortfolioFrontier[[#This Row],[P52 HWM]]-1</f>
        <v>-7.8332109180441201E-2</v>
      </c>
      <c r="HC84" s="28">
        <f>SUMPRODUCT(INDEX(PortfolioRef[[SPY]:[PE]],MATCH(HC$1,PortfolioRef[Reference '#]),0),AssetMonthlyReturns[[#This Row],[SPY]:[PE]])</f>
        <v>5.7360898968431835E-2</v>
      </c>
      <c r="HD84" s="27">
        <f>IF(ISNUMBER(HD83),HD83*(1+PortfolioFrontier[[#This Row],[P53 Return]]),1+PortfolioFrontier[[#This Row],[P53 Return]])</f>
        <v>1.629162732428221</v>
      </c>
      <c r="HE84" s="27">
        <f>MAX(HE83,PortfolioFrontier[[#This Row],[P53 Growth]])</f>
        <v>1.7471238825308339</v>
      </c>
      <c r="HF84" s="27">
        <f>PortfolioFrontier[[#This Row],[P53 Growth]]/PortfolioFrontier[[#This Row],[P53 HWM]]-1</f>
        <v>-6.751733593827236E-2</v>
      </c>
      <c r="HG84" s="28">
        <f>SUMPRODUCT(INDEX(PortfolioRef[[SPY]:[PE]],MATCH(HG$1,PortfolioRef[Reference '#]),0),AssetMonthlyReturns[[#This Row],[SPY]:[PE]])</f>
        <v>5.087094048809173E-2</v>
      </c>
      <c r="HH84" s="27">
        <f>IF(ISNUMBER(HH83),HH83*(1+PortfolioFrontier[[#This Row],[P54 Return]]),1+PortfolioFrontier[[#This Row],[P54 Return]])</f>
        <v>1.6165981491121451</v>
      </c>
      <c r="HI84" s="27">
        <f>MAX(HI83,PortfolioFrontier[[#This Row],[P54 Growth]])</f>
        <v>1.7139140104060526</v>
      </c>
      <c r="HJ84" s="27">
        <f>PortfolioFrontier[[#This Row],[P54 Growth]]/PortfolioFrontier[[#This Row],[P54 HWM]]-1</f>
        <v>-5.677989718448706E-2</v>
      </c>
      <c r="HK84" s="28">
        <f>SUMPRODUCT(INDEX(PortfolioRef[[SPY]:[PE]],MATCH(HK$1,PortfolioRef[Reference '#]),0),AssetMonthlyReturns[[#This Row],[SPY]:[PE]])</f>
        <v>6.6952693593229723E-2</v>
      </c>
      <c r="HL84" s="27">
        <f>IF(ISNUMBER(HL83),HL83*(1+PortfolioFrontier[[#This Row],[P55 Return]]),1+PortfolioFrontier[[#This Row],[P55 Return]])</f>
        <v>1.638748167764319</v>
      </c>
      <c r="HM84" s="27">
        <f>MAX(HM83,PortfolioFrontier[[#This Row],[P55 Growth]])</f>
        <v>1.8002459621778737</v>
      </c>
      <c r="HN84" s="27">
        <f>PortfolioFrontier[[#This Row],[P55 Growth]]/PortfolioFrontier[[#This Row],[P55 HWM]]-1</f>
        <v>-8.9708738587131909E-2</v>
      </c>
      <c r="HO84" s="28">
        <f>SUMPRODUCT(INDEX(PortfolioRef[[SPY]:[PE]],MATCH(HO$1,PortfolioRef[Reference '#]),0),AssetMonthlyReturns[[#This Row],[SPY]:[PE]])</f>
        <v>6.0462735112889625E-2</v>
      </c>
      <c r="HP84" s="27">
        <f>IF(ISNUMBER(HP83),HP83*(1+PortfolioFrontier[[#This Row],[P56 Return]]),1+PortfolioFrontier[[#This Row],[P56 Return]])</f>
        <v>1.6279787794974054</v>
      </c>
      <c r="HQ84" s="27">
        <f>MAX(HQ83,PortfolioFrontier[[#This Row],[P56 Growth]])</f>
        <v>1.767380839986993</v>
      </c>
      <c r="HR84" s="27">
        <f>PortfolioFrontier[[#This Row],[P56 Growth]]/PortfolioFrontier[[#This Row],[P56 HWM]]-1</f>
        <v>-7.887494157207986E-2</v>
      </c>
      <c r="HS84" s="28">
        <f>SUMPRODUCT(INDEX(PortfolioRef[[SPY]:[PE]],MATCH(HS$1,PortfolioRef[Reference '#]),0),AssetMonthlyReturns[[#This Row],[SPY]:[PE]])</f>
        <v>5.3972776632549513E-2</v>
      </c>
      <c r="HT84" s="27">
        <f>IF(ISNUMBER(HT83),HT83*(1+PortfolioFrontier[[#This Row],[P57 Return]]),1+PortfolioFrontier[[#This Row],[P57 Return]])</f>
        <v>1.6162225818198526</v>
      </c>
      <c r="HU84" s="27">
        <f>MAX(HU83,PortfolioFrontier[[#This Row],[P57 Growth]])</f>
        <v>1.7343575628436463</v>
      </c>
      <c r="HV84" s="27">
        <f>PortfolioFrontier[[#This Row],[P57 Growth]]/PortfolioFrontier[[#This Row],[P57 HWM]]-1</f>
        <v>-6.811454774648662E-2</v>
      </c>
      <c r="HW84" s="28">
        <f>SUMPRODUCT(INDEX(PortfolioRef[[SPY]:[PE]],MATCH(HW$1,PortfolioRef[Reference '#]),0),AssetMonthlyReturns[[#This Row],[SPY]:[PE]])</f>
        <v>7.0054529737687499E-2</v>
      </c>
      <c r="HX84" s="27">
        <f>IF(ISNUMBER(HX83),HX83*(1+PortfolioFrontier[[#This Row],[P58 Return]]),1+PortfolioFrontier[[#This Row],[P58 Return]])</f>
        <v>1.6356094485111619</v>
      </c>
      <c r="HY84" s="27">
        <f>MAX(HY83,PortfolioFrontier[[#This Row],[P58 Growth]])</f>
        <v>1.8195487359549802</v>
      </c>
      <c r="HZ84" s="27">
        <f>PortfolioFrontier[[#This Row],[P58 Growth]]/PortfolioFrontier[[#This Row],[P58 HWM]]-1</f>
        <v>-0.10109060769250511</v>
      </c>
      <c r="IA84" s="28">
        <f>SUMPRODUCT(INDEX(PortfolioRef[[SPY]:[PE]],MATCH(IA$1,PortfolioRef[Reference '#]),0),AssetMonthlyReturns[[#This Row],[SPY]:[PE]])</f>
        <v>6.3564571257347408E-2</v>
      </c>
      <c r="IB84" s="27">
        <f>IF(ISNUMBER(IB83),IB83*(1+PortfolioFrontier[[#This Row],[P59 Return]]),1+PortfolioFrontier[[#This Row],[P59 Return]])</f>
        <v>1.6256738635647936</v>
      </c>
      <c r="IC84" s="27">
        <f>MAX(IC83,PortfolioFrontier[[#This Row],[P59 Growth]])</f>
        <v>1.7869282396294996</v>
      </c>
      <c r="ID84" s="27">
        <f>PortfolioFrontier[[#This Row],[P59 Growth]]/PortfolioFrontier[[#This Row],[P59 HWM]]-1</f>
        <v>-9.0241103413386314E-2</v>
      </c>
      <c r="IE84" s="28">
        <f>SUMPRODUCT(INDEX(PortfolioRef[[SPY]:[PE]],MATCH(IE$1,PortfolioRef[Reference '#]),0),AssetMonthlyReturns[[#This Row],[SPY]:[PE]])</f>
        <v>5.7074612777007296E-2</v>
      </c>
      <c r="IF84" s="27">
        <f>IF(ISNUMBER(IF83),IF83*(1+PortfolioFrontier[[#This Row],[P60 Return]]),1+PortfolioFrontier[[#This Row],[P60 Return]])</f>
        <v>1.6147371331838196</v>
      </c>
      <c r="IG84" s="27">
        <f>MAX(IG83,PortfolioFrontier[[#This Row],[P60 Growth]])</f>
        <v>1.7541215677111524</v>
      </c>
      <c r="IH84" s="27">
        <f>PortfolioFrontier[[#This Row],[P60 Growth]]/PortfolioFrontier[[#This Row],[P60 HWM]]-1</f>
        <v>-7.9461102977718356E-2</v>
      </c>
      <c r="II84" s="28">
        <f>SUMPRODUCT(INDEX(PortfolioRef[[SPY]:[PE]],MATCH(II$1,PortfolioRef[Reference '#]),0),AssetMonthlyReturns[[#This Row],[SPY]:[PE]])</f>
        <v>5.22496126804032E-2</v>
      </c>
      <c r="IJ84" s="27">
        <f>IF(ISNUMBER(IJ83),IJ83*(1+PortfolioFrontier[[#This Row],[P61 Return]]),1+PortfolioFrontier[[#This Row],[P61 Return]])</f>
        <v>1.4770080554846412</v>
      </c>
      <c r="IK84" s="27">
        <f>MAX(IK83,PortfolioFrontier[[#This Row],[P61 Growth]])</f>
        <v>1.6121264956964798</v>
      </c>
      <c r="IL84" s="27">
        <f>PortfolioFrontier[[#This Row],[P61 Growth]]/PortfolioFrontier[[#This Row],[P61 HWM]]-1</f>
        <v>-8.3813795364404031E-2</v>
      </c>
      <c r="IM84" s="28">
        <f>SUMPRODUCT(INDEX(PortfolioRef[[SPY]:[PE]],MATCH(IM$1,PortfolioRef[Reference '#]),0),AssetMonthlyReturns[[#This Row],[SPY]:[PE]])</f>
        <v>5.3227397530195342E-2</v>
      </c>
      <c r="IN84" s="27">
        <f>IF(ISNUMBER(IN83),IN83*(1+PortfolioFrontier[[#This Row],[P62 Return]]),1+PortfolioFrontier[[#This Row],[P62 Return]])</f>
        <v>1.5028117624296637</v>
      </c>
      <c r="IO84" s="27">
        <f>MAX(IO83,PortfolioFrontier[[#This Row],[P62 Growth]])</f>
        <v>1.6272630311124299</v>
      </c>
      <c r="IP84" s="27">
        <f>PortfolioFrontier[[#This Row],[P62 Growth]]/PortfolioFrontier[[#This Row],[P62 HWM]]-1</f>
        <v>-7.6478888970819114E-2</v>
      </c>
      <c r="IQ84" s="28">
        <f>SUMPRODUCT(INDEX(PortfolioRef[[SPY]:[PE]],MATCH(IQ$1,PortfolioRef[Reference '#]),0),AssetMonthlyReturns[[#This Row],[SPY]:[PE]])</f>
        <v>5.6329233674653117E-2</v>
      </c>
      <c r="IR84" s="27">
        <f>IF(ISNUMBER(IR83),IR83*(1+PortfolioFrontier[[#This Row],[P63 Return]]),1+PortfolioFrontier[[#This Row],[P63 Return]])</f>
        <v>1.5026063959218727</v>
      </c>
      <c r="IS84" s="27">
        <f>MAX(IS83,PortfolioFrontier[[#This Row],[P63 Growth]])</f>
        <v>1.646884909102555</v>
      </c>
      <c r="IT84" s="27">
        <f>PortfolioFrontier[[#This Row],[P63 Growth]]/PortfolioFrontier[[#This Row],[P63 HWM]]-1</f>
        <v>-8.7606919210465484E-2</v>
      </c>
      <c r="IU84" s="28">
        <f>SUMPRODUCT(INDEX(PortfolioRef[[SPY]:[PE]],MATCH(IU$1,PortfolioRef[Reference '#]),0),AssetMonthlyReturns[[#This Row],[SPY]:[PE]])</f>
        <v>4.9839275194313012E-2</v>
      </c>
      <c r="IV84" s="27">
        <f>IF(ISNUMBER(IV83),IV83*(1+PortfolioFrontier[[#This Row],[P64 Return]]),1+PortfolioFrontier[[#This Row],[P64 Return]])</f>
        <v>1.4906200411438764</v>
      </c>
      <c r="IW84" s="27">
        <f>MAX(IW83,PortfolioFrontier[[#This Row],[P64 Growth]])</f>
        <v>1.6151793879801097</v>
      </c>
      <c r="IX84" s="27">
        <f>PortfolioFrontier[[#This Row],[P64 Growth]]/PortfolioFrontier[[#This Row],[P64 HWM]]-1</f>
        <v>-7.7117964582251841E-2</v>
      </c>
      <c r="IY84" s="28">
        <f>SUMPRODUCT(INDEX(PortfolioRef[[SPY]:[PE]],MATCH(IY$1,PortfolioRef[Reference '#]),0),AssetMonthlyReturns[[#This Row],[SPY]:[PE]])</f>
        <v>5.4205182379987484E-2</v>
      </c>
      <c r="IZ84" s="27">
        <f>IF(ISNUMBER(IZ83),IZ83*(1+PortfolioFrontier[[#This Row],[P65 Return]]),1+PortfolioFrontier[[#This Row],[P65 Return]])</f>
        <v>1.5287018905019234</v>
      </c>
      <c r="JA84" s="27">
        <f>MAX(JA83,PortfolioFrontier[[#This Row],[P65 Growth]])</f>
        <v>1.6422150953060746</v>
      </c>
      <c r="JB84" s="27">
        <f>PortfolioFrontier[[#This Row],[P65 Growth]]/PortfolioFrontier[[#This Row],[P65 HWM]]-1</f>
        <v>-6.9122007907858496E-2</v>
      </c>
      <c r="JC84" s="28">
        <f>SUMPRODUCT(INDEX(PortfolioRef[[SPY]:[PE]],MATCH(JC$1,PortfolioRef[Reference '#]),0),AssetMonthlyReturns[[#This Row],[SPY]:[PE]])</f>
        <v>5.7307018524445259E-2</v>
      </c>
      <c r="JD84" s="27">
        <f>IF(ISNUMBER(JD83),JD83*(1+PortfolioFrontier[[#This Row],[P66 Return]]),1+PortfolioFrontier[[#This Row],[P66 Return]])</f>
        <v>1.5288231538912687</v>
      </c>
      <c r="JE84" s="27">
        <f>MAX(JE83,PortfolioFrontier[[#This Row],[P66 Growth]])</f>
        <v>1.6623077877531292</v>
      </c>
      <c r="JF84" s="27">
        <f>PortfolioFrontier[[#This Row],[P66 Growth]]/PortfolioFrontier[[#This Row],[P66 HWM]]-1</f>
        <v>-8.0300793177589536E-2</v>
      </c>
      <c r="JG84" s="28">
        <f>SUMPRODUCT(INDEX(PortfolioRef[[SPY]:[PE]],MATCH(JG$1,PortfolioRef[Reference '#]),0),AssetMonthlyReturns[[#This Row],[SPY]:[PE]])</f>
        <v>5.0817060044105154E-2</v>
      </c>
      <c r="JH84" s="27">
        <f>IF(ISNUMBER(JH83),JH83*(1+PortfolioFrontier[[#This Row],[P67 Return]]),1+PortfolioFrontier[[#This Row],[P67 Return]])</f>
        <v>1.5166658418747323</v>
      </c>
      <c r="JI84" s="27">
        <f>MAX(JI83,PortfolioFrontier[[#This Row],[P67 Growth]])</f>
        <v>1.6303687537292939</v>
      </c>
      <c r="JJ84" s="27">
        <f>PortfolioFrontier[[#This Row],[P67 Growth]]/PortfolioFrontier[[#This Row],[P67 HWM]]-1</f>
        <v>-6.9740610272662762E-2</v>
      </c>
      <c r="JK84" s="28">
        <f>SUMPRODUCT(INDEX(PortfolioRef[[SPY]:[PE]],MATCH(JK$1,PortfolioRef[Reference '#]),0),AssetMonthlyReturns[[#This Row],[SPY]:[PE]])</f>
        <v>6.0408854668903042E-2</v>
      </c>
      <c r="JL84" s="27">
        <f>IF(ISNUMBER(JL83),JL83*(1+PortfolioFrontier[[#This Row],[P68 Return]]),1+PortfolioFrontier[[#This Row],[P68 Return]])</f>
        <v>1.5278946734055896</v>
      </c>
      <c r="JM84" s="27">
        <f>MAX(JM83,PortfolioFrontier[[#This Row],[P68 Growth]])</f>
        <v>1.6817622542850994</v>
      </c>
      <c r="JN84" s="27">
        <f>PortfolioFrontier[[#This Row],[P68 Growth]]/PortfolioFrontier[[#This Row],[P68 HWM]]-1</f>
        <v>-9.1491874364202253E-2</v>
      </c>
      <c r="JO84" s="28">
        <f>SUMPRODUCT(INDEX(PortfolioRef[[SPY]:[PE]],MATCH(JO$1,PortfolioRef[Reference '#]),0),AssetMonthlyReturns[[#This Row],[SPY]:[PE]])</f>
        <v>5.391889618856293E-2</v>
      </c>
      <c r="JP84" s="27">
        <f>IF(ISNUMBER(JP83),JP83*(1+PortfolioFrontier[[#This Row],[P69 Return]]),1+PortfolioFrontier[[#This Row],[P69 Return]])</f>
        <v>1.5164931590478232</v>
      </c>
      <c r="JQ84" s="27">
        <f>MAX(JQ83,PortfolioFrontier[[#This Row],[P69 Growth]])</f>
        <v>1.6499912107010917</v>
      </c>
      <c r="JR84" s="27">
        <f>PortfolioFrontier[[#This Row],[P69 Growth]]/PortfolioFrontier[[#This Row],[P69 HWM]]-1</f>
        <v>-8.0908341079310553E-2</v>
      </c>
      <c r="JS84" s="28">
        <f>SUMPRODUCT(INDEX(PortfolioRef[[SPY]:[PE]],MATCH(JS$1,PortfolioRef[Reference '#]),0),AssetMonthlyReturns[[#This Row],[SPY]:[PE]])</f>
        <v>4.7428937708222825E-2</v>
      </c>
      <c r="JT84" s="27">
        <f>IF(ISNUMBER(JT83),JT83*(1+PortfolioFrontier[[#This Row],[P70 Return]]),1+PortfolioFrontier[[#This Row],[P70 Return]])</f>
        <v>1.5041973005558265</v>
      </c>
      <c r="JU84" s="27">
        <f>MAX(JU83,PortfolioFrontier[[#This Row],[P70 Growth]])</f>
        <v>1.6181178918603722</v>
      </c>
      <c r="JV84" s="27">
        <f>PortfolioFrontier[[#This Row],[P70 Growth]]/PortfolioFrontier[[#This Row],[P70 HWM]]-1</f>
        <v>-7.0403146691351282E-2</v>
      </c>
      <c r="JW84" s="28">
        <f>SUMPRODUCT(INDEX(PortfolioRef[[SPY]:[PE]],MATCH(JW$1,PortfolioRef[Reference '#]),0),AssetMonthlyReturns[[#This Row],[SPY]:[PE]])</f>
        <v>5.8284803374237401E-2</v>
      </c>
      <c r="JX84" s="27">
        <f>IF(ISNUMBER(JX83),JX83*(1+PortfolioFrontier[[#This Row],[P71 Return]]),1+PortfolioFrontier[[#This Row],[P71 Return]])</f>
        <v>1.5551272272514767</v>
      </c>
      <c r="JY84" s="27">
        <f>MAX(JY83,PortfolioFrontier[[#This Row],[P71 Growth]])</f>
        <v>1.6775420819631024</v>
      </c>
      <c r="JZ84" s="27">
        <f>PortfolioFrontier[[#This Row],[P71 Growth]]/PortfolioFrontier[[#This Row],[P71 HWM]]-1</f>
        <v>-7.2972747466562904E-2</v>
      </c>
      <c r="KA84" s="28">
        <f>SUMPRODUCT(INDEX(PortfolioRef[[SPY]:[PE]],MATCH(KA$1,PortfolioRef[Reference '#]),0),AssetMonthlyReturns[[#This Row],[SPY]:[PE]])</f>
        <v>5.1794844893897296E-2</v>
      </c>
      <c r="KB84" s="27">
        <f>IF(ISNUMBER(KB83),KB83*(1+PortfolioFrontier[[#This Row],[P72 Return]]),1+PortfolioFrontier[[#This Row],[P72 Return]])</f>
        <v>1.5427992379222346</v>
      </c>
      <c r="KC84" s="27">
        <f>MAX(KC83,PortfolioFrontier[[#This Row],[P72 Growth]])</f>
        <v>1.6453738946019467</v>
      </c>
      <c r="KD84" s="27">
        <f>PortfolioFrontier[[#This Row],[P72 Growth]]/PortfolioFrontier[[#This Row],[P72 HWM]]-1</f>
        <v>-6.2341244756728864E-2</v>
      </c>
      <c r="KE84" s="28">
        <f>SUMPRODUCT(INDEX(PortfolioRef[[SPY]:[PE]],MATCH(KE$1,PortfolioRef[Reference '#]),0),AssetMonthlyReturns[[#This Row],[SPY]:[PE]])</f>
        <v>6.1386639518695184E-2</v>
      </c>
      <c r="KF84" s="27">
        <f>IF(ISNUMBER(KF83),KF83*(1+PortfolioFrontier[[#This Row],[P73 Return]]),1+PortfolioFrontier[[#This Row],[P73 Return]])</f>
        <v>1.5545183692291258</v>
      </c>
      <c r="KG84" s="27">
        <f>MAX(KG83,PortfolioFrontier[[#This Row],[P73 Growth]])</f>
        <v>1.6974712283523181</v>
      </c>
      <c r="KH84" s="27">
        <f>PortfolioFrontier[[#This Row],[P73 Growth]]/PortfolioFrontier[[#This Row],[P73 HWM]]-1</f>
        <v>-8.4215188296270616E-2</v>
      </c>
      <c r="KI84" s="28">
        <f>SUMPRODUCT(INDEX(PortfolioRef[[SPY]:[PE]],MATCH(KI$1,PortfolioRef[Reference '#]),0),AssetMonthlyReturns[[#This Row],[SPY]:[PE]])</f>
        <v>5.4896681038355072E-2</v>
      </c>
      <c r="KJ84" s="27">
        <f>IF(ISNUMBER(KJ83),KJ83*(1+PortfolioFrontier[[#This Row],[P74 Return]]),1+PortfolioFrontier[[#This Row],[P74 Return]])</f>
        <v>1.5429564999570229</v>
      </c>
      <c r="KK84" s="27">
        <f>MAX(KK83,PortfolioFrontier[[#This Row],[P74 Growth]])</f>
        <v>1.6654678920548054</v>
      </c>
      <c r="KL84" s="27">
        <f>PortfolioFrontier[[#This Row],[P74 Growth]]/PortfolioFrontier[[#This Row],[P74 HWM]]-1</f>
        <v>-7.3559744190944132E-2</v>
      </c>
      <c r="KM84" s="28">
        <f>SUMPRODUCT(INDEX(PortfolioRef[[SPY]:[PE]],MATCH(KM$1,PortfolioRef[Reference '#]),0),AssetMonthlyReturns[[#This Row],[SPY]:[PE]])</f>
        <v>4.8406722558014967E-2</v>
      </c>
      <c r="KN84" s="27">
        <f>IF(ISNUMBER(KN83),KN83*(1+PortfolioFrontier[[#This Row],[P75 Return]]),1+PortfolioFrontier[[#This Row],[P75 Return]])</f>
        <v>1.5304848221863396</v>
      </c>
      <c r="KO84" s="27">
        <f>MAX(KO83,PortfolioFrontier[[#This Row],[P75 Growth]])</f>
        <v>1.6333591346427441</v>
      </c>
      <c r="KP84" s="27">
        <f>PortfolioFrontier[[#This Row],[P75 Growth]]/PortfolioFrontier[[#This Row],[P75 HWM]]-1</f>
        <v>-6.2983278003282184E-2</v>
      </c>
      <c r="KQ84" s="28">
        <f>SUMPRODUCT(INDEX(PortfolioRef[[SPY]:[PE]],MATCH(KQ$1,PortfolioRef[Reference '#]),0),AssetMonthlyReturns[[#This Row],[SPY]:[PE]])</f>
        <v>6.4488475663152967E-2</v>
      </c>
      <c r="KR84" s="27">
        <f>IF(ISNUMBER(KR83),KR83*(1+PortfolioFrontier[[#This Row],[P76 Return]]),1+PortfolioFrontier[[#This Row],[P76 Return]])</f>
        <v>1.5528394183173453</v>
      </c>
      <c r="KS84" s="27">
        <f>MAX(KS83,PortfolioFrontier[[#This Row],[P76 Growth]])</f>
        <v>1.7167314071133803</v>
      </c>
      <c r="KT84" s="27">
        <f>PortfolioFrontier[[#This Row],[P76 Growth]]/PortfolioFrontier[[#This Row],[P76 HWM]]-1</f>
        <v>-9.5467461081528926E-2</v>
      </c>
      <c r="KU84" s="28">
        <f>SUMPRODUCT(INDEX(PortfolioRef[[SPY]:[PE]],MATCH(KU$1,PortfolioRef[Reference '#]),0),AssetMonthlyReturns[[#This Row],[SPY]:[PE]])</f>
        <v>5.7998517182812862E-2</v>
      </c>
      <c r="KV84" s="27">
        <f>IF(ISNUMBER(KV83),KV83*(1+PortfolioFrontier[[#This Row],[P77 Return]]),1+PortfolioFrontier[[#This Row],[P77 Return]])</f>
        <v>1.5420548845109252</v>
      </c>
      <c r="KW84" s="27">
        <f>MAX(KW83,PortfolioFrontier[[#This Row],[P77 Growth]])</f>
        <v>1.6849217747429484</v>
      </c>
      <c r="KX84" s="27">
        <f>PortfolioFrontier[[#This Row],[P77 Growth]]/PortfolioFrontier[[#This Row],[P77 HWM]]-1</f>
        <v>-8.4791408345244346E-2</v>
      </c>
      <c r="KY84" s="28">
        <f>SUMPRODUCT(INDEX(PortfolioRef[[SPY]:[PE]],MATCH(KY$1,PortfolioRef[Reference '#]),0),AssetMonthlyReturns[[#This Row],[SPY]:[PE]])</f>
        <v>5.150855870247275E-2</v>
      </c>
      <c r="KZ84" s="27">
        <f>IF(ISNUMBER(KZ83),KZ83*(1+PortfolioFrontier[[#This Row],[P78 Return]]),1+PortfolioFrontier[[#This Row],[P78 Return]])</f>
        <v>1.5303452386611898</v>
      </c>
      <c r="LA84" s="27">
        <f>MAX(LA83,PortfolioFrontier[[#This Row],[P78 Growth]])</f>
        <v>1.6529805725839544</v>
      </c>
      <c r="LB84" s="27">
        <f>PortfolioFrontier[[#This Row],[P78 Growth]]/PortfolioFrontier[[#This Row],[P78 HWM]]-1</f>
        <v>-7.4190426649152874E-2</v>
      </c>
      <c r="LC84" s="28">
        <f>SUMPRODUCT(INDEX(PortfolioRef[[SPY]:[PE]],MATCH(LC$1,PortfolioRef[Reference '#]),0),AssetMonthlyReturns[[#This Row],[SPY]:[PE]])</f>
        <v>6.2364424368487326E-2</v>
      </c>
      <c r="LD84" s="27">
        <f>IF(ISNUMBER(LD83),LD83*(1+PortfolioFrontier[[#This Row],[P79 Return]]),1+PortfolioFrontier[[#This Row],[P79 Return]])</f>
        <v>1.5812302443160446</v>
      </c>
      <c r="LE84" s="27">
        <f>MAX(LE83,PortfolioFrontier[[#This Row],[P79 Growth]])</f>
        <v>1.7129874860839263</v>
      </c>
      <c r="LF84" s="27">
        <f>PortfolioFrontier[[#This Row],[P79 Growth]]/PortfolioFrontier[[#This Row],[P79 HWM]]-1</f>
        <v>-7.6916639986140733E-2</v>
      </c>
      <c r="LG84" s="28">
        <f>SUMPRODUCT(INDEX(PortfolioRef[[SPY]:[PE]],MATCH(LG$1,PortfolioRef[Reference '#]),0),AssetMonthlyReturns[[#This Row],[SPY]:[PE]])</f>
        <v>5.5874465888147214E-2</v>
      </c>
      <c r="LH84" s="27">
        <f>IF(ISNUMBER(LH83),LH83*(1+PortfolioFrontier[[#This Row],[P80 Return]]),1+PortfolioFrontier[[#This Row],[P80 Return]])</f>
        <v>1.5695083451957512</v>
      </c>
      <c r="LI84" s="27">
        <f>MAX(LI83,PortfolioFrontier[[#This Row],[P80 Growth]])</f>
        <v>1.6807562405101484</v>
      </c>
      <c r="LJ84" s="27">
        <f>PortfolioFrontier[[#This Row],[P80 Growth]]/PortfolioFrontier[[#This Row],[P80 HWM]]-1</f>
        <v>-6.6189190694678546E-2</v>
      </c>
      <c r="LK84" s="28">
        <f>SUMPRODUCT(INDEX(PortfolioRef[[SPY]:[PE]],MATCH(LK$1,PortfolioRef[Reference '#]),0),AssetMonthlyReturns[[#This Row],[SPY]:[PE]])</f>
        <v>4.9384507407807109E-2</v>
      </c>
      <c r="LL84" s="27">
        <f>IF(ISNUMBER(LL83),LL83*(1+PortfolioFrontier[[#This Row],[P81 Return]]),1+PortfolioFrontier[[#This Row],[P81 Return]])</f>
        <v>1.5568611206480258</v>
      </c>
      <c r="LM84" s="27">
        <f>MAX(LM83,PortfolioFrontier[[#This Row],[P81 Growth]])</f>
        <v>1.648416413491208</v>
      </c>
      <c r="LN84" s="27">
        <f>PortfolioFrontier[[#This Row],[P81 Growth]]/PortfolioFrontier[[#This Row],[P81 HWM]]-1</f>
        <v>-5.5541362057464405E-2</v>
      </c>
      <c r="LO84" s="28">
        <f>SUMPRODUCT(INDEX(PortfolioRef[[SPY]:[PE]],MATCH(LO$1,PortfolioRef[Reference '#]),0),AssetMonthlyReturns[[#This Row],[SPY]:[PE]])</f>
        <v>6.5466260512945101E-2</v>
      </c>
      <c r="LP84" s="27">
        <f>IF(ISNUMBER(LP83),LP83*(1+PortfolioFrontier[[#This Row],[P82 Return]]),1+PortfolioFrontier[[#This Row],[P82 Return]])</f>
        <v>1.5798633993979909</v>
      </c>
      <c r="LQ84" s="27">
        <f>MAX(LQ83,PortfolioFrontier[[#This Row],[P82 Growth]])</f>
        <v>1.7327259878391794</v>
      </c>
      <c r="LR84" s="27">
        <f>PortfolioFrontier[[#This Row],[P82 Growth]]/PortfolioFrontier[[#This Row],[P82 HWM]]-1</f>
        <v>-8.8220866723317304E-2</v>
      </c>
      <c r="LS84" s="28">
        <f>SUMPRODUCT(INDEX(PortfolioRef[[SPY]:[PE]],MATCH(LS$1,PortfolioRef[Reference '#]),0),AssetMonthlyReturns[[#This Row],[SPY]:[PE]])</f>
        <v>5.8976302032605003E-2</v>
      </c>
      <c r="LT84" s="27">
        <f>IF(ISNUMBER(LT83),LT83*(1+PortfolioFrontier[[#This Row],[P83 Return]]),1+PortfolioFrontier[[#This Row],[P83 Return]])</f>
        <v>1.5689296183352626</v>
      </c>
      <c r="LU84" s="27">
        <f>MAX(LU83,PortfolioFrontier[[#This Row],[P83 Growth]])</f>
        <v>1.7006855237848306</v>
      </c>
      <c r="LV84" s="27">
        <f>PortfolioFrontier[[#This Row],[P83 Growth]]/PortfolioFrontier[[#This Row],[P83 HWM]]-1</f>
        <v>-7.7472233171214877E-2</v>
      </c>
      <c r="LW84" s="28">
        <f>SUMPRODUCT(INDEX(PortfolioRef[[SPY]:[PE]],MATCH(LW$1,PortfolioRef[Reference '#]),0),AssetMonthlyReturns[[#This Row],[SPY]:[PE]])</f>
        <v>5.2486343552264891E-2</v>
      </c>
      <c r="LX84" s="27">
        <f>IF(ISNUMBER(LX83),LX83*(1+PortfolioFrontier[[#This Row],[P84 Return]]),1+PortfolioFrontier[[#This Row],[P84 Return]])</f>
        <v>1.557054793907942</v>
      </c>
      <c r="LY84" s="27">
        <f>MAX(LY83,PortfolioFrontier[[#This Row],[P84 Growth]])</f>
        <v>1.6685100840279028</v>
      </c>
      <c r="LZ84" s="27">
        <f>PortfolioFrontier[[#This Row],[P84 Growth]]/PortfolioFrontier[[#This Row],[P84 HWM]]-1</f>
        <v>-6.6799290688672186E-2</v>
      </c>
      <c r="MA84" s="28">
        <f>SUMPRODUCT(INDEX(PortfolioRef[[SPY]:[PE]],MATCH(MA$1,PortfolioRef[Reference '#]),0),AssetMonthlyReturns[[#This Row],[SPY]:[PE]])</f>
        <v>6.8568096657402877E-2</v>
      </c>
      <c r="MB84" s="27">
        <f>IF(ISNUMBER(MB83),MB83*(1+PortfolioFrontier[[#This Row],[P85 Return]]),1+PortfolioFrontier[[#This Row],[P85 Return]])</f>
        <v>1.5774067939138647</v>
      </c>
      <c r="MC84" s="27">
        <f>MAX(MC83,PortfolioFrontier[[#This Row],[P85 Growth]])</f>
        <v>1.7517641950154219</v>
      </c>
      <c r="MD84" s="27">
        <f>PortfolioFrontier[[#This Row],[P85 Growth]]/PortfolioFrontier[[#This Row],[P85 HWM]]-1</f>
        <v>-9.9532460817320367E-2</v>
      </c>
      <c r="ME84" s="28">
        <f>SUMPRODUCT(INDEX(PortfolioRef[[SPY]:[PE]],MATCH(ME$1,PortfolioRef[Reference '#]),0),AssetMonthlyReturns[[#This Row],[SPY]:[PE]])</f>
        <v>6.2078138177062786E-2</v>
      </c>
      <c r="MF84" s="27">
        <f>IF(ISNUMBER(MF83),MF83*(1+PortfolioFrontier[[#This Row],[P86 Return]]),1+PortfolioFrontier[[#This Row],[P86 Return]])</f>
        <v>1.5672714346845023</v>
      </c>
      <c r="MG84" s="27">
        <f>MAX(MG83,PortfolioFrontier[[#This Row],[P86 Growth]])</f>
        <v>1.7199439154573082</v>
      </c>
      <c r="MH84" s="27">
        <f>PortfolioFrontier[[#This Row],[P86 Growth]]/PortfolioFrontier[[#This Row],[P86 HWM]]-1</f>
        <v>-8.8765964634499483E-2</v>
      </c>
      <c r="MI84" s="28">
        <f>SUMPRODUCT(INDEX(PortfolioRef[[SPY]:[PE]],MATCH(MI$1,PortfolioRef[Reference '#]),0),AssetMonthlyReturns[[#This Row],[SPY]:[PE]])</f>
        <v>5.5588179696722674E-2</v>
      </c>
      <c r="MJ84" s="27">
        <f>IF(ISNUMBER(MJ83),MJ83*(1+PortfolioFrontier[[#This Row],[P87 Return]]),1+PortfolioFrontier[[#This Row],[P87 Return]])</f>
        <v>1.5561804822472576</v>
      </c>
      <c r="MK84" s="27">
        <f>MAX(MK83,PortfolioFrontier[[#This Row],[P87 Growth]])</f>
        <v>1.6879617873128629</v>
      </c>
      <c r="ML84" s="27">
        <f>PortfolioFrontier[[#This Row],[P87 Growth]]/PortfolioFrontier[[#This Row],[P87 HWM]]-1</f>
        <v>-7.8071260887601968E-2</v>
      </c>
      <c r="MM84" s="28">
        <f>SUMPRODUCT(INDEX(PortfolioRef[[SPY]:[PE]],MATCH(MM$1,PortfolioRef[Reference '#]),0),AssetMonthlyReturns[[#This Row],[SPY]:[PE]])</f>
        <v>6.644404536273725E-2</v>
      </c>
      <c r="MN84" s="27">
        <f>IF(ISNUMBER(MN83),MN83*(1+PortfolioFrontier[[#This Row],[P88 Return]]),1+PortfolioFrontier[[#This Row],[P88 Return]])</f>
        <v>1.6069763920612306</v>
      </c>
      <c r="MO84" s="27">
        <f>MAX(MO83,PortfolioFrontier[[#This Row],[P88 Growth]])</f>
        <v>1.7485237047822844</v>
      </c>
      <c r="MP84" s="27">
        <f>PortfolioFrontier[[#This Row],[P88 Growth]]/PortfolioFrontier[[#This Row],[P88 HWM]]-1</f>
        <v>-8.0952469980198782E-2</v>
      </c>
      <c r="MQ84" s="28">
        <f>SUMPRODUCT(INDEX(PortfolioRef[[SPY]:[PE]],MATCH(MQ$1,PortfolioRef[Reference '#]),0),AssetMonthlyReturns[[#This Row],[SPY]:[PE]])</f>
        <v>5.9954086882397145E-2</v>
      </c>
      <c r="MR84" s="27">
        <f>IF(ISNUMBER(MR83),MR83*(1+PortfolioFrontier[[#This Row],[P89 Return]]),1+PortfolioFrontier[[#This Row],[P89 Return]])</f>
        <v>1.5958937347544855</v>
      </c>
      <c r="MS84" s="27">
        <f>MAX(MS83,PortfolioFrontier[[#This Row],[P89 Growth]])</f>
        <v>1.7162568132506029</v>
      </c>
      <c r="MT84" s="27">
        <f>PortfolioFrontier[[#This Row],[P89 Growth]]/PortfolioFrontier[[#This Row],[P89 HWM]]-1</f>
        <v>-7.0131158441345876E-2</v>
      </c>
      <c r="MU84" s="28">
        <f>SUMPRODUCT(INDEX(PortfolioRef[[SPY]:[PE]],MATCH(MU$1,PortfolioRef[Reference '#]),0),AssetMonthlyReturns[[#This Row],[SPY]:[PE]])</f>
        <v>5.3464128402057033E-2</v>
      </c>
      <c r="MV84" s="27">
        <f>IF(ISNUMBER(MV83),MV83*(1+PortfolioFrontier[[#This Row],[P90 Return]]),1+PortfolioFrontier[[#This Row],[P90 Return]])</f>
        <v>1.5838540498893487</v>
      </c>
      <c r="MW84" s="27">
        <f>MAX(MW83,PortfolioFrontier[[#This Row],[P90 Growth]])</f>
        <v>1.6838515290273213</v>
      </c>
      <c r="MX84" s="27">
        <f>PortfolioFrontier[[#This Row],[P90 Growth]]/PortfolioFrontier[[#This Row],[P90 HWM]]-1</f>
        <v>-5.9386161674085503E-2</v>
      </c>
      <c r="MY84" s="28">
        <f>SUMPRODUCT(INDEX(PortfolioRef[[SPY]:[PE]],MATCH(MY$1,PortfolioRef[Reference '#]),0),AssetMonthlyReturns[[#This Row],[SPY]:[PE]])</f>
        <v>6.9545881507195026E-2</v>
      </c>
      <c r="MZ84" s="27">
        <f>IF(ISNUMBER(MZ83),MZ83*(1+PortfolioFrontier[[#This Row],[P91 Return]]),1+PortfolioFrontier[[#This Row],[P91 Return]])</f>
        <v>1.6048238644156665</v>
      </c>
      <c r="NA84" s="27">
        <f>MAX(NA83,PortfolioFrontier[[#This Row],[P91 Growth]])</f>
        <v>1.7680436458517257</v>
      </c>
      <c r="NB84" s="27">
        <f>PortfolioFrontier[[#This Row],[P91 Growth]]/PortfolioFrontier[[#This Row],[P91 HWM]]-1</f>
        <v>-9.2316601922703523E-2</v>
      </c>
      <c r="NC84" s="28">
        <f>SUMPRODUCT(INDEX(PortfolioRef[[SPY]:[PE]],MATCH(NC$1,PortfolioRef[Reference '#]),0),AssetMonthlyReturns[[#This Row],[SPY]:[PE]])</f>
        <v>6.3055923026854921E-2</v>
      </c>
      <c r="ND84" s="27">
        <f>IF(ISNUMBER(ND83),ND83*(1+PortfolioFrontier[[#This Row],[P92 Return]]),1+PortfolioFrontier[[#This Row],[P92 Return]])</f>
        <v>1.5945508695873434</v>
      </c>
      <c r="NE84" s="27">
        <f>MAX(NE83,PortfolioFrontier[[#This Row],[P92 Growth]])</f>
        <v>1.73599424265744</v>
      </c>
      <c r="NF84" s="27">
        <f>PortfolioFrontier[[#This Row],[P92 Growth]]/PortfolioFrontier[[#This Row],[P92 HWM]]-1</f>
        <v>-8.1476867603879066E-2</v>
      </c>
      <c r="NG84" s="28">
        <f>SUMPRODUCT(INDEX(PortfolioRef[[SPY]:[PE]],MATCH(NG$1,PortfolioRef[Reference '#]),0),AssetMonthlyReturns[[#This Row],[SPY]:[PE]])</f>
        <v>5.6565964546514816E-2</v>
      </c>
      <c r="NH84" s="27">
        <f>IF(ISNUMBER(NH83),NH83*(1+PortfolioFrontier[[#This Row],[P93 Return]]),1+PortfolioFrontier[[#This Row],[P93 Return]])</f>
        <v>1.5833058901508648</v>
      </c>
      <c r="NI84" s="27">
        <f>MAX(NI83,PortfolioFrontier[[#This Row],[P93 Growth]])</f>
        <v>1.7037793193389816</v>
      </c>
      <c r="NJ84" s="27">
        <f>PortfolioFrontier[[#This Row],[P93 Growth]]/PortfolioFrontier[[#This Row],[P93 HWM]]-1</f>
        <v>-7.0709526650938104E-2</v>
      </c>
      <c r="NK84" s="28">
        <f>SUMPRODUCT(INDEX(PortfolioRef[[SPY]:[PE]],MATCH(NK$1,PortfolioRef[Reference '#]),0),AssetMonthlyReturns[[#This Row],[SPY]:[PE]])</f>
        <v>7.2647717651652802E-2</v>
      </c>
      <c r="NL84" s="27">
        <f>IF(ISNUMBER(NL83),NL83*(1+PortfolioFrontier[[#This Row],[P94 Return]]),1+PortfolioFrontier[[#This Row],[P94 Return]])</f>
        <v>1.6015626462114854</v>
      </c>
      <c r="NM84" s="27">
        <f>MAX(NM83,PortfolioFrontier[[#This Row],[P94 Growth]])</f>
        <v>1.7868313973018393</v>
      </c>
      <c r="NN84" s="27">
        <f>PortfolioFrontier[[#This Row],[P94 Growth]]/PortfolioFrontier[[#This Row],[P94 HWM]]-1</f>
        <v>-0.10368563669191977</v>
      </c>
      <c r="NO84" s="28">
        <f>SUMPRODUCT(INDEX(PortfolioRef[[SPY]:[PE]],MATCH(NO$1,PortfolioRef[Reference '#]),0),AssetMonthlyReturns[[#This Row],[SPY]:[PE]])</f>
        <v>6.6157759171312697E-2</v>
      </c>
      <c r="NP84" s="27">
        <f>IF(ISNUMBER(NP83),NP83*(1+PortfolioFrontier[[#This Row],[P95 Return]]),1+PortfolioFrontier[[#This Row],[P95 Return]])</f>
        <v>1.5921086534936129</v>
      </c>
      <c r="NQ84" s="27">
        <f>MAX(NQ83,PortfolioFrontier[[#This Row],[P95 Growth]])</f>
        <v>1.7550294195356591</v>
      </c>
      <c r="NR84" s="27">
        <f>PortfolioFrontier[[#This Row],[P95 Growth]]/PortfolioFrontier[[#This Row],[P95 HWM]]-1</f>
        <v>-9.2830789175688766E-2</v>
      </c>
      <c r="NS84" s="28">
        <f>SUMPRODUCT(INDEX(PortfolioRef[[SPY]:[PE]],MATCH(NS$1,PortfolioRef[Reference '#]),0),AssetMonthlyReturns[[#This Row],[SPY]:[PE]])</f>
        <v>5.9667800690972592E-2</v>
      </c>
      <c r="NT84" s="27">
        <f>IF(ISNUMBER(NT83),NT83*(1+PortfolioFrontier[[#This Row],[P96 Return]]),1+PortfolioFrontier[[#This Row],[P96 Return]])</f>
        <v>1.5816689356574936</v>
      </c>
      <c r="NU84" s="27">
        <f>MAX(NU83,PortfolioFrontier[[#This Row],[P96 Growth]])</f>
        <v>1.7230343324336159</v>
      </c>
      <c r="NV84" s="27">
        <f>PortfolioFrontier[[#This Row],[P96 Growth]]/PortfolioFrontier[[#This Row],[P96 HWM]]-1</f>
        <v>-8.2044445728749804E-2</v>
      </c>
      <c r="NW84" s="28">
        <f>SUMPRODUCT(INDEX(PortfolioRef[[SPY]:[PE]],MATCH(NW$1,PortfolioRef[Reference '#]),0),AssetMonthlyReturns[[#This Row],[SPY]:[PE]])</f>
        <v>5.0763179600118585E-2</v>
      </c>
      <c r="NX84" s="27">
        <f>IF(ISNUMBER(NX83),NX83*(1+PortfolioFrontier[[#This Row],[P97 Return]]),1+PortfolioFrontier[[#This Row],[P97 Return]])</f>
        <v>1.4217668064898046</v>
      </c>
      <c r="NY84" s="27">
        <f>MAX(NY83,PortfolioFrontier[[#This Row],[P97 Growth]])</f>
        <v>1.5498139523617234</v>
      </c>
      <c r="NZ84" s="27">
        <f>PortfolioFrontier[[#This Row],[P97 Growth]]/PortfolioFrontier[[#This Row],[P97 HWM]]-1</f>
        <v>-8.2620978909623943E-2</v>
      </c>
      <c r="OA84" s="28">
        <f>SUMPRODUCT(INDEX(PortfolioRef[[SPY]:[PE]],MATCH(OA$1,PortfolioRef[Reference '#]),0),AssetMonthlyReturns[[#This Row],[SPY]:[PE]])</f>
        <v>5.174096444991072E-2</v>
      </c>
      <c r="OB84" s="27">
        <f>IF(ISNUMBER(OB83),OB83*(1+PortfolioFrontier[[#This Row],[P98 Return]]),1+PortfolioFrontier[[#This Row],[P98 Return]])</f>
        <v>1.4466121573305515</v>
      </c>
      <c r="OC84" s="27">
        <f>MAX(OC83,PortfolioFrontier[[#This Row],[P98 Growth]])</f>
        <v>1.5643918723292729</v>
      </c>
      <c r="OD84" s="27">
        <f>PortfolioFrontier[[#This Row],[P98 Growth]]/PortfolioFrontier[[#This Row],[P98 HWM]]-1</f>
        <v>-7.5287859187963879E-2</v>
      </c>
      <c r="OE84" s="28">
        <f>SUMPRODUCT(INDEX(PortfolioRef[[SPY]:[PE]],MATCH(OE$1,PortfolioRef[Reference '#]),0),AssetMonthlyReturns[[#This Row],[SPY]:[PE]])</f>
        <v>5.4842800594368496E-2</v>
      </c>
      <c r="OF84" s="27">
        <f>IF(ISNUMBER(OF83),OF83*(1+PortfolioFrontier[[#This Row],[P99 Return]]),1+PortfolioFrontier[[#This Row],[P99 Return]])</f>
        <v>1.4469289077708536</v>
      </c>
      <c r="OG84" s="27">
        <f>MAX(OG83,PortfolioFrontier[[#This Row],[P99 Growth]])</f>
        <v>1.5836627563813395</v>
      </c>
      <c r="OH84" s="27">
        <f>PortfolioFrontier[[#This Row],[P99 Growth]]/PortfolioFrontier[[#This Row],[P99 HWM]]-1</f>
        <v>-8.6340256509486846E-2</v>
      </c>
      <c r="OI84" s="28">
        <f>SUMPRODUCT(INDEX(PortfolioRef[[SPY]:[PE]],MATCH(OI$1,PortfolioRef[Reference '#]),0),AssetMonthlyReturns[[#This Row],[SPY]:[PE]])</f>
        <v>4.8352842114028391E-2</v>
      </c>
      <c r="OJ84" s="27">
        <f>IF(ISNUMBER(OJ83),OJ83*(1+PortfolioFrontier[[#This Row],[P100 Return]]),1+PortfolioFrontier[[#This Row],[P100 Return]])</f>
        <v>1.4348866617685281</v>
      </c>
      <c r="OK84" s="27">
        <f>MAX(OK83,PortfolioFrontier[[#This Row],[P100 Growth]])</f>
        <v>1.5528062347399851</v>
      </c>
      <c r="OL84" s="27">
        <f>PortfolioFrontier[[#This Row],[P100 Growth]]/PortfolioFrontier[[#This Row],[P100 HWM]]-1</f>
        <v>-7.5939657075889122E-2</v>
      </c>
      <c r="OM84" s="28">
        <f>SUMPRODUCT(INDEX(PortfolioRef[[SPY]:[PE]],MATCH(OM$1,PortfolioRef[Reference '#]),0),AssetMonthlyReturns[[#This Row],[SPY]:[PE]])</f>
        <v>5.2718749299702862E-2</v>
      </c>
      <c r="ON84" s="27">
        <f>IF(ISNUMBER(ON83),ON83*(1+PortfolioFrontier[[#This Row],[P101 Return]]),1+PortfolioFrontier[[#This Row],[P101 Return]])</f>
        <v>1.4715401873921978</v>
      </c>
      <c r="OO84" s="27">
        <f>MAX(OO83,PortfolioFrontier[[#This Row],[P101 Growth]])</f>
        <v>1.5787921813488919</v>
      </c>
      <c r="OP84" s="27">
        <f>PortfolioFrontier[[#This Row],[P101 Growth]]/PortfolioFrontier[[#This Row],[P101 HWM]]-1</f>
        <v>-6.7932939638109868E-2</v>
      </c>
      <c r="OQ84" s="28">
        <f>SUMPRODUCT(INDEX(PortfolioRef[[SPY]:[PE]],MATCH(OQ$1,PortfolioRef[Reference '#]),0),AssetMonthlyReturns[[#This Row],[SPY]:[PE]])</f>
        <v>5.5820585444160638E-2</v>
      </c>
      <c r="OR84" s="27">
        <f>IF(ISNUMBER(OR83),OR83*(1+PortfolioFrontier[[#This Row],[P102 Return]]),1+PortfolioFrontier[[#This Row],[P102 Return]])</f>
        <v>1.4721807965142673</v>
      </c>
      <c r="OS84" s="27">
        <f>MAX(OS83,PortfolioFrontier[[#This Row],[P102 Growth]])</f>
        <v>1.5985203886251573</v>
      </c>
      <c r="OT84" s="27">
        <f>PortfolioFrontier[[#This Row],[P102 Growth]]/PortfolioFrontier[[#This Row],[P102 HWM]]-1</f>
        <v>-7.9035333555896203E-2</v>
      </c>
      <c r="OU84" s="28">
        <f>SUMPRODUCT(INDEX(PortfolioRef[[SPY]:[PE]],MATCH(OU$1,PortfolioRef[Reference '#]),0),AssetMonthlyReturns[[#This Row],[SPY]:[PE]])</f>
        <v>4.9330626963820533E-2</v>
      </c>
      <c r="OV84" s="27">
        <f>IF(ISNUMBER(OV83),OV83*(1+PortfolioFrontier[[#This Row],[P103 Return]]),1+PortfolioFrontier[[#This Row],[P103 Return]])</f>
        <v>1.4599654718139947</v>
      </c>
      <c r="OW84" s="27">
        <f>MAX(OW83,PortfolioFrontier[[#This Row],[P103 Growth]])</f>
        <v>1.5674355228105428</v>
      </c>
      <c r="OX84" s="27">
        <f>PortfolioFrontier[[#This Row],[P103 Growth]]/PortfolioFrontier[[#This Row],[P103 HWM]]-1</f>
        <v>-6.8564256349023744E-2</v>
      </c>
      <c r="OY84" s="28">
        <f>SUMPRODUCT(INDEX(PortfolioRef[[SPY]:[PE]],MATCH(OY$1,PortfolioRef[Reference '#]),0),AssetMonthlyReturns[[#This Row],[SPY]:[PE]])</f>
        <v>5.8922421588618427E-2</v>
      </c>
      <c r="OZ84" s="27">
        <f>IF(ISNUMBER(OZ83),OZ83*(1+PortfolioFrontier[[#This Row],[P104 Return]]),1+PortfolioFrontier[[#This Row],[P104 Return]])</f>
        <v>1.4718119873243487</v>
      </c>
      <c r="PA84" s="27">
        <f>MAX(PA83,PortfolioFrontier[[#This Row],[P104 Growth]])</f>
        <v>1.6176462594840681</v>
      </c>
      <c r="PB84" s="27">
        <f>PortfolioFrontier[[#This Row],[P104 Growth]]/PortfolioFrontier[[#This Row],[P104 HWM]]-1</f>
        <v>-9.0152140064436503E-2</v>
      </c>
      <c r="PC84" s="28">
        <f>SUMPRODUCT(INDEX(PortfolioRef[[SPY]:[PE]],MATCH(PC$1,PortfolioRef[Reference '#]),0),AssetMonthlyReturns[[#This Row],[SPY]:[PE]])</f>
        <v>5.2432463108278315E-2</v>
      </c>
      <c r="PD84" s="27">
        <f>IF(ISNUMBER(PD83),PD83*(1+PortfolioFrontier[[#This Row],[P105 Return]]),1+PortfolioFrontier[[#This Row],[P105 Return]])</f>
        <v>1.4603183617914701</v>
      </c>
      <c r="PE84" s="27">
        <f>MAX(PE83,PortfolioFrontier[[#This Row],[P105 Growth]])</f>
        <v>1.5867085542337835</v>
      </c>
      <c r="PF84" s="27">
        <f>PortfolioFrontier[[#This Row],[P105 Growth]]/PortfolioFrontier[[#This Row],[P105 HWM]]-1</f>
        <v>-7.9655581426764765E-2</v>
      </c>
      <c r="PG84" s="28">
        <f>SUMPRODUCT(INDEX(PortfolioRef[[SPY]:[PE]],MATCH(PG$1,PortfolioRef[Reference '#]),0),AssetMonthlyReturns[[#This Row],[SPY]:[PE]])</f>
        <v>4.594250462793821E-2</v>
      </c>
      <c r="PH84" s="27">
        <f>IF(ISNUMBER(PH83),PH83*(1+PortfolioFrontier[[#This Row],[P106 Return]]),1+PortfolioFrontier[[#This Row],[P106 Return]])</f>
        <v>1.4479734674435623</v>
      </c>
      <c r="PI84" s="27">
        <f>MAX(PI83,PortfolioFrontier[[#This Row],[P106 Growth]])</f>
        <v>1.5556887430167754</v>
      </c>
      <c r="PJ84" s="27">
        <f>PortfolioFrontier[[#This Row],[P106 Growth]]/PortfolioFrontier[[#This Row],[P106 HWM]]-1</f>
        <v>-6.9239605966636253E-2</v>
      </c>
      <c r="PK84" s="28">
        <f>SUMPRODUCT(INDEX(PortfolioRef[[SPY]:[PE]],MATCH(PK$1,PortfolioRef[Reference '#]),0),AssetMonthlyReturns[[#This Row],[SPY]:[PE]])</f>
        <v>5.6798370293952787E-2</v>
      </c>
      <c r="PL84" s="27">
        <f>IF(ISNUMBER(PL83),PL83*(1+PortfolioFrontier[[#This Row],[P107 Return]]),1+PortfolioFrontier[[#This Row],[P107 Return]])</f>
        <v>1.4975162441504157</v>
      </c>
      <c r="PM84" s="27">
        <f>MAX(PM83,PortfolioFrontier[[#This Row],[P107 Growth]])</f>
        <v>1.6131964012798079</v>
      </c>
      <c r="PN84" s="27">
        <f>PortfolioFrontier[[#This Row],[P107 Growth]]/PortfolioFrontier[[#This Row],[P107 HWM]]-1</f>
        <v>-7.1708663023063335E-2</v>
      </c>
      <c r="PO84" s="28">
        <f>SUMPRODUCT(INDEX(PortfolioRef[[SPY]:[PE]],MATCH(PO$1,PortfolioRef[Reference '#]),0),AssetMonthlyReturns[[#This Row],[SPY]:[PE]])</f>
        <v>5.0308411813612681E-2</v>
      </c>
      <c r="PP84" s="27">
        <f>IF(ISNUMBER(PP83),PP83*(1+PortfolioFrontier[[#This Row],[P108 Return]]),1+PortfolioFrontier[[#This Row],[P108 Return]])</f>
        <v>1.4851280906425357</v>
      </c>
      <c r="PQ84" s="27">
        <f>MAX(PQ83,PortfolioFrontier[[#This Row],[P108 Growth]])</f>
        <v>1.5818874318633449</v>
      </c>
      <c r="PR84" s="27">
        <f>PortfolioFrontier[[#This Row],[P108 Growth]]/PortfolioFrontier[[#This Row],[P108 HWM]]-1</f>
        <v>-6.1167020656352267E-2</v>
      </c>
      <c r="PS84" s="28">
        <f>SUMPRODUCT(INDEX(PortfolioRef[[SPY]:[PE]],MATCH(PS$1,PortfolioRef[Reference '#]),0),AssetMonthlyReturns[[#This Row],[SPY]:[PE]])</f>
        <v>5.9900206438410569E-2</v>
      </c>
      <c r="PT84" s="27">
        <f>IF(ISNUMBER(PT83),PT83*(1+PortfolioFrontier[[#This Row],[P109 Return]]),1+PortfolioFrontier[[#This Row],[P109 Return]])</f>
        <v>1.4974648329253497</v>
      </c>
      <c r="PU84" s="27">
        <f>MAX(PU83,PortfolioFrontier[[#This Row],[P109 Growth]])</f>
        <v>1.6327835279326679</v>
      </c>
      <c r="PV84" s="27">
        <f>PortfolioFrontier[[#This Row],[P109 Growth]]/PortfolioFrontier[[#This Row],[P109 HWM]]-1</f>
        <v>-8.2876077993419339E-2</v>
      </c>
      <c r="PW84" s="28">
        <f>SUMPRODUCT(INDEX(PortfolioRef[[SPY]:[PE]],MATCH(PW$1,PortfolioRef[Reference '#]),0),AssetMonthlyReturns[[#This Row],[SPY]:[PE]])</f>
        <v>5.3410247958070457E-2</v>
      </c>
      <c r="PX84" s="27">
        <f>IF(ISNUMBER(PX83),PX83*(1+PortfolioFrontier[[#This Row],[P110 Return]]),1+PortfolioFrontier[[#This Row],[P110 Return]])</f>
        <v>1.485808120295643</v>
      </c>
      <c r="PY84" s="27">
        <f>MAX(PY83,PortfolioFrontier[[#This Row],[P110 Growth]])</f>
        <v>1.6016185143364081</v>
      </c>
      <c r="PZ84" s="27">
        <f>PortfolioFrontier[[#This Row],[P110 Growth]]/PortfolioFrontier[[#This Row],[P110 HWM]]-1</f>
        <v>-7.2308351211054944E-2</v>
      </c>
      <c r="QA84" s="28">
        <f>SUMPRODUCT(INDEX(PortfolioRef[[SPY]:[PE]],MATCH(QA$1,PortfolioRef[Reference '#]),0),AssetMonthlyReturns[[#This Row],[SPY]:[PE]])</f>
        <v>4.6920289477730352E-2</v>
      </c>
      <c r="QB84" s="27">
        <f>IF(ISNUMBER(QB83),QB83*(1+PortfolioFrontier[[#This Row],[P111 Return]]),1+PortfolioFrontier[[#This Row],[P111 Return]])</f>
        <v>1.4732853851385763</v>
      </c>
      <c r="QC84" s="27">
        <f>MAX(QC83,PortfolioFrontier[[#This Row],[P111 Growth]])</f>
        <v>1.5703684845094485</v>
      </c>
      <c r="QD84" s="27">
        <f>PortfolioFrontier[[#This Row],[P111 Growth]]/PortfolioFrontier[[#This Row],[P111 HWM]]-1</f>
        <v>-6.182185921872918E-2</v>
      </c>
      <c r="QE84" s="28">
        <f>SUMPRODUCT(INDEX(PortfolioRef[[SPY]:[PE]],MATCH(QE$1,PortfolioRef[Reference '#]),0),AssetMonthlyReturns[[#This Row],[SPY]:[PE]])</f>
        <v>6.3002042582868345E-2</v>
      </c>
      <c r="QF84" s="27">
        <f>IF(ISNUMBER(QF83),QF83*(1+PortfolioFrontier[[#This Row],[P112 Return]]),1+PortfolioFrontier[[#This Row],[P112 Return]])</f>
        <v>1.4963836768187888</v>
      </c>
      <c r="QG84" s="27">
        <f>MAX(QG83,PortfolioFrontier[[#This Row],[P112 Growth]])</f>
        <v>1.6517386955477045</v>
      </c>
      <c r="QH84" s="27">
        <f>PortfolioFrontier[[#This Row],[P112 Growth]]/PortfolioFrontier[[#This Row],[P112 HWM]]-1</f>
        <v>-9.405544542104527E-2</v>
      </c>
      <c r="QI84" s="28">
        <f>SUMPRODUCT(INDEX(PortfolioRef[[SPY]:[PE]],MATCH(QI$1,PortfolioRef[Reference '#]),0),AssetMonthlyReturns[[#This Row],[SPY]:[PE]])</f>
        <v>5.651208410252824E-2</v>
      </c>
      <c r="QJ84" s="27">
        <f>IF(ISNUMBER(QJ83),QJ83*(1+PortfolioFrontier[[#This Row],[P113 Return]]),1+PortfolioFrontier[[#This Row],[P113 Return]])</f>
        <v>1.4854699594587555</v>
      </c>
      <c r="QK84" s="27">
        <f>MAX(QK83,PortfolioFrontier[[#This Row],[P113 Growth]])</f>
        <v>1.6207454292109018</v>
      </c>
      <c r="QL84" s="27">
        <f>PortfolioFrontier[[#This Row],[P113 Growth]]/PortfolioFrontier[[#This Row],[P113 HWM]]-1</f>
        <v>-8.3464970694384966E-2</v>
      </c>
      <c r="QM84" s="28">
        <f>SUMPRODUCT(INDEX(PortfolioRef[[SPY]:[PE]],MATCH(QM$1,PortfolioRef[Reference '#]),0),AssetMonthlyReturns[[#This Row],[SPY]:[PE]])</f>
        <v>5.0022125622188128E-2</v>
      </c>
      <c r="QN84" s="27">
        <f>IF(ISNUMBER(QN83),QN83*(1+PortfolioFrontier[[#This Row],[P114 Return]]),1+PortfolioFrontier[[#This Row],[P114 Return]])</f>
        <v>1.4736748077919595</v>
      </c>
      <c r="QO84" s="27">
        <f>MAX(QO83,PortfolioFrontier[[#This Row],[P114 Growth]])</f>
        <v>1.5896421022161857</v>
      </c>
      <c r="QP84" s="27">
        <f>PortfolioFrontier[[#This Row],[P114 Growth]]/PortfolioFrontier[[#This Row],[P114 HWM]]-1</f>
        <v>-7.2951826239724959E-2</v>
      </c>
      <c r="QQ84" s="28">
        <f>SUMPRODUCT(INDEX(PortfolioRef[[SPY]:[PE]],MATCH(QQ$1,PortfolioRef[Reference '#]),0),AssetMonthlyReturns[[#This Row],[SPY]:[PE]])</f>
        <v>6.0877991288202704E-2</v>
      </c>
      <c r="QR84" s="27">
        <f>IF(ISNUMBER(QR83),QR83*(1+PortfolioFrontier[[#This Row],[P115 Return]]),1+PortfolioFrontier[[#This Row],[P115 Return]])</f>
        <v>1.523202088495389</v>
      </c>
      <c r="QS84" s="27">
        <f>MAX(QS83,PortfolioFrontier[[#This Row],[P115 Growth]])</f>
        <v>1.6477351477866757</v>
      </c>
      <c r="QT84" s="27">
        <f>PortfolioFrontier[[#This Row],[P115 Growth]]/PortfolioFrontier[[#This Row],[P115 HWM]]-1</f>
        <v>-7.5578323044553697E-2</v>
      </c>
      <c r="QU84" s="28">
        <f>SUMPRODUCT(INDEX(PortfolioRef[[SPY]:[PE]],MATCH(QU$1,PortfolioRef[Reference '#]),0),AssetMonthlyReturns[[#This Row],[SPY]:[PE]])</f>
        <v>5.4388032807862592E-2</v>
      </c>
      <c r="QV84" s="27">
        <f>IF(ISNUMBER(QV83),QV83*(1+PortfolioFrontier[[#This Row],[P116 Return]]),1+PortfolioFrontier[[#This Row],[P116 Return]])</f>
        <v>1.5113825817913467</v>
      </c>
      <c r="QW84" s="27">
        <f>MAX(QW83,PortfolioFrontier[[#This Row],[P116 Growth]])</f>
        <v>1.6163470917094751</v>
      </c>
      <c r="QX84" s="27">
        <f>PortfolioFrontier[[#This Row],[P116 Growth]]/PortfolioFrontier[[#This Row],[P116 HWM]]-1</f>
        <v>-6.4939337878918257E-2</v>
      </c>
      <c r="QY84" s="28">
        <f>SUMPRODUCT(INDEX(PortfolioRef[[SPY]:[PE]],MATCH(QY$1,PortfolioRef[Reference '#]),0),AssetMonthlyReturns[[#This Row],[SPY]:[PE]])</f>
        <v>4.7898074327522487E-2</v>
      </c>
      <c r="QZ84" s="27">
        <f>IF(ISNUMBER(QZ83),QZ83*(1+PortfolioFrontier[[#This Row],[P117 Return]]),1+PortfolioFrontier[[#This Row],[P117 Return]])</f>
        <v>1.498682248318628</v>
      </c>
      <c r="RA84" s="27">
        <f>MAX(RA83,PortfolioFrontier[[#This Row],[P117 Growth]])</f>
        <v>1.5848710929942145</v>
      </c>
      <c r="RB84" s="27">
        <f>PortfolioFrontier[[#This Row],[P117 Growth]]/PortfolioFrontier[[#This Row],[P117 HWM]]-1</f>
        <v>-5.4382242856581109E-2</v>
      </c>
      <c r="RC84" s="28">
        <f>SUMPRODUCT(INDEX(PortfolioRef[[SPY]:[PE]],MATCH(RC$1,PortfolioRef[Reference '#]),0),AssetMonthlyReturns[[#This Row],[SPY]:[PE]])</f>
        <v>6.397982743266048E-2</v>
      </c>
      <c r="RD84" s="27">
        <f>IF(ISNUMBER(RD83),RD83*(1+PortfolioFrontier[[#This Row],[P118 Return]]),1+PortfolioFrontier[[#This Row],[P118 Return]])</f>
        <v>1.522431375361883</v>
      </c>
      <c r="RE84" s="27">
        <f>MAX(RE83,PortfolioFrontier[[#This Row],[P118 Growth]])</f>
        <v>1.667155293527623</v>
      </c>
      <c r="RF84" s="27">
        <f>PortfolioFrontier[[#This Row],[P118 Growth]]/PortfolioFrontier[[#This Row],[P118 HWM]]-1</f>
        <v>-8.6808900603081218E-2</v>
      </c>
      <c r="RG84" s="28">
        <f>SUMPRODUCT(INDEX(PortfolioRef[[SPY]:[PE]],MATCH(RG$1,PortfolioRef[Reference '#]),0),AssetMonthlyReturns[[#This Row],[SPY]:[PE]])</f>
        <v>5.7489868952320382E-2</v>
      </c>
      <c r="RH84" s="27">
        <f>IF(ISNUMBER(RH83),RH83*(1+PortfolioFrontier[[#This Row],[P119 Return]]),1+PortfolioFrontier[[#This Row],[P119 Return]])</f>
        <v>1.5113650556646077</v>
      </c>
      <c r="RI84" s="27">
        <f>MAX(RI83,PortfolioFrontier[[#This Row],[P119 Growth]])</f>
        <v>1.6359359857167841</v>
      </c>
      <c r="RJ84" s="27">
        <f>PortfolioFrontier[[#This Row],[P119 Growth]]/PortfolioFrontier[[#This Row],[P119 HWM]]-1</f>
        <v>-7.6146579780501544E-2</v>
      </c>
      <c r="RK84" s="28">
        <f>SUMPRODUCT(INDEX(PortfolioRef[[SPY]:[PE]],MATCH(RK$1,PortfolioRef[Reference '#]),0),AssetMonthlyReturns[[#This Row],[SPY]:[PE]])</f>
        <v>5.099991047198027E-2</v>
      </c>
      <c r="RL84" s="27">
        <f>IF(ISNUMBER(RL83),RL83*(1+PortfolioFrontier[[#This Row],[P120 Return]]),1+PortfolioFrontier[[#This Row],[P120 Return]])</f>
        <v>1.4994020887094863</v>
      </c>
      <c r="RM84" s="27">
        <f>MAX(RM83,PortfolioFrontier[[#This Row],[P120 Growth]])</f>
        <v>1.6046034567476111</v>
      </c>
      <c r="RN84" s="27">
        <f>PortfolioFrontier[[#This Row],[P120 Growth]]/PortfolioFrontier[[#This Row],[P120 HWM]]-1</f>
        <v>-6.5562221990571157E-2</v>
      </c>
      <c r="RO84" s="28">
        <f>SUMPRODUCT(INDEX(PortfolioRef[[SPY]:[PE]],MATCH(RO$1,PortfolioRef[Reference '#]),0),AssetMonthlyReturns[[#This Row],[SPY]:[PE]])</f>
        <v>6.7081663577118256E-2</v>
      </c>
      <c r="RP84" s="27">
        <f>IF(ISNUMBER(RP83),RP83*(1+PortfolioFrontier[[#This Row],[P121 Return]]),1+PortfolioFrontier[[#This Row],[P121 Return]])</f>
        <v>1.5206112152420033</v>
      </c>
      <c r="RQ84" s="27">
        <f>MAX(RQ83,PortfolioFrontier[[#This Row],[P121 Growth]])</f>
        <v>1.6859132740659151</v>
      </c>
      <c r="RR84" s="27">
        <f>PortfolioFrontier[[#This Row],[P121 Growth]]/PortfolioFrontier[[#This Row],[P121 HWM]]-1</f>
        <v>-9.8048969283724197E-2</v>
      </c>
      <c r="RS84" s="28">
        <f>SUMPRODUCT(INDEX(PortfolioRef[[SPY]:[PE]],MATCH(RS$1,PortfolioRef[Reference '#]),0),AssetMonthlyReturns[[#This Row],[SPY]:[PE]])</f>
        <v>6.0591705096778158E-2</v>
      </c>
      <c r="RT84" s="27">
        <f>IF(ISNUMBER(RT83),RT83*(1+PortfolioFrontier[[#This Row],[P122 Return]]),1+PortfolioFrontier[[#This Row],[P122 Return]])</f>
        <v>1.5103087845174439</v>
      </c>
      <c r="RU84" s="27">
        <f>MAX(RU83,PortfolioFrontier[[#This Row],[P122 Growth]])</f>
        <v>1.6548910536150563</v>
      </c>
      <c r="RV84" s="27">
        <f>PortfolioFrontier[[#This Row],[P122 Growth]]/PortfolioFrontier[[#This Row],[P122 HWM]]-1</f>
        <v>-8.7366638898540794E-2</v>
      </c>
      <c r="RW84" s="28">
        <f>SUMPRODUCT(INDEX(PortfolioRef[[SPY]:[PE]],MATCH(RW$1,PortfolioRef[Reference '#]),0),AssetMonthlyReturns[[#This Row],[SPY]:[PE]])</f>
        <v>5.4101746616438053E-2</v>
      </c>
      <c r="RX84" s="27">
        <f>IF(ISNUMBER(RX83),RX83*(1+PortfolioFrontier[[#This Row],[P123 Return]]),1+PortfolioFrontier[[#This Row],[P123 Return]])</f>
        <v>1.4990949916603009</v>
      </c>
      <c r="RY84" s="27">
        <f>MAX(RY83,PortfolioFrontier[[#This Row],[P123 Growth]])</f>
        <v>1.6237298558231279</v>
      </c>
      <c r="RZ84" s="27">
        <f>PortfolioFrontier[[#This Row],[P123 Growth]]/PortfolioFrontier[[#This Row],[P123 HWM]]-1</f>
        <v>-7.6758374378504635E-2</v>
      </c>
      <c r="SA84" s="28">
        <f>SUMPRODUCT(INDEX(PortfolioRef[[SPY]:[PE]],MATCH(SA$1,PortfolioRef[Reference '#]),0),AssetMonthlyReturns[[#This Row],[SPY]:[PE]])</f>
        <v>6.4957612282452629E-2</v>
      </c>
      <c r="SB84" s="27">
        <f>IF(ISNUMBER(SB83),SB83*(1+PortfolioFrontier[[#This Row],[P124 Return]]),1+PortfolioFrontier[[#This Row],[P124 Return]])</f>
        <v>1.5485643052195395</v>
      </c>
      <c r="SC84" s="27">
        <f>MAX(SC83,PortfolioFrontier[[#This Row],[P124 Growth]])</f>
        <v>1.6823821965094672</v>
      </c>
      <c r="SD84" s="27">
        <f>PortfolioFrontier[[#This Row],[P124 Growth]]/PortfolioFrontier[[#This Row],[P124 HWM]]-1</f>
        <v>-7.9540720038269064E-2</v>
      </c>
      <c r="SE84" s="28">
        <f>SUMPRODUCT(INDEX(PortfolioRef[[SPY]:[PE]],MATCH(SE$1,PortfolioRef[Reference '#]),0),AssetMonthlyReturns[[#This Row],[SPY]:[PE]])</f>
        <v>5.8467653802112524E-2</v>
      </c>
      <c r="SF84" s="27">
        <f>IF(ISNUMBER(SF83),SF83*(1+PortfolioFrontier[[#This Row],[P125 Return]]),1+PortfolioFrontier[[#This Row],[P125 Return]])</f>
        <v>1.5373457201405791</v>
      </c>
      <c r="SG84" s="27">
        <f>MAX(SG83,PortfolioFrontier[[#This Row],[P125 Growth]])</f>
        <v>1.6509411354388694</v>
      </c>
      <c r="SH84" s="27">
        <f>PortfolioFrontier[[#This Row],[P125 Growth]]/PortfolioFrontier[[#This Row],[P125 HWM]]-1</f>
        <v>-6.8806460060790275E-2</v>
      </c>
      <c r="SI84" s="28">
        <f>SUMPRODUCT(INDEX(PortfolioRef[[SPY]:[PE]],MATCH(SI$1,PortfolioRef[Reference '#]),0),AssetMonthlyReturns[[#This Row],[SPY]:[PE]])</f>
        <v>5.1977695321772412E-2</v>
      </c>
      <c r="SJ84" s="27">
        <f>IF(ISNUMBER(SJ83),SJ83*(1+PortfolioFrontier[[#This Row],[P126 Return]]),1+PortfolioFrontier[[#This Row],[P126 Return]])</f>
        <v>1.525215223996802</v>
      </c>
      <c r="SK84" s="27">
        <f>MAX(SK83,PortfolioFrontier[[#This Row],[P126 Growth]])</f>
        <v>1.6193836797956254</v>
      </c>
      <c r="SL84" s="27">
        <f>PortfolioFrontier[[#This Row],[P126 Growth]]/PortfolioFrontier[[#This Row],[P126 HWM]]-1</f>
        <v>-5.8150799575001244E-2</v>
      </c>
      <c r="SM84" s="28">
        <f>SUMPRODUCT(INDEX(PortfolioRef[[SPY]:[PE]],MATCH(SM$1,PortfolioRef[Reference '#]),0),AssetMonthlyReturns[[#This Row],[SPY]:[PE]])</f>
        <v>6.8059448426910404E-2</v>
      </c>
      <c r="SN84" s="27">
        <f>IF(ISNUMBER(SN83),SN83*(1+PortfolioFrontier[[#This Row],[P127 Return]]),1+PortfolioFrontier[[#This Row],[P127 Return]])</f>
        <v>1.5470471356488422</v>
      </c>
      <c r="SO84" s="27">
        <f>MAX(SO83,PortfolioFrontier[[#This Row],[P127 Growth]])</f>
        <v>1.7016086575400751</v>
      </c>
      <c r="SP84" s="27">
        <f>PortfolioFrontier[[#This Row],[P127 Growth]]/PortfolioFrontier[[#This Row],[P127 HWM]]-1</f>
        <v>-9.0832590211825881E-2</v>
      </c>
      <c r="SQ84" s="28">
        <f>SUMPRODUCT(INDEX(PortfolioRef[[SPY]:[PE]],MATCH(SQ$1,PortfolioRef[Reference '#]),0),AssetMonthlyReturns[[#This Row],[SPY]:[PE]])</f>
        <v>6.1569489946570299E-2</v>
      </c>
      <c r="SR84" s="27">
        <f>IF(ISNUMBER(SR83),SR83*(1+PortfolioFrontier[[#This Row],[P128 Return]]),1+PortfolioFrontier[[#This Row],[P128 Return]])</f>
        <v>1.536603079821445</v>
      </c>
      <c r="SS84" s="27">
        <f>MAX(SS83,PortfolioFrontier[[#This Row],[P128 Growth]])</f>
        <v>1.6703618996398835</v>
      </c>
      <c r="ST84" s="27">
        <f>PortfolioFrontier[[#This Row],[P128 Growth]]/PortfolioFrontier[[#This Row],[P128 HWM]]-1</f>
        <v>-8.0077748329434373E-2</v>
      </c>
      <c r="SU84" s="28">
        <f>SUMPRODUCT(INDEX(PortfolioRef[[SPY]:[PE]],MATCH(SU$1,PortfolioRef[Reference '#]),0),AssetMonthlyReturns[[#This Row],[SPY]:[PE]])</f>
        <v>5.5079531466230194E-2</v>
      </c>
      <c r="SV84" s="27">
        <f>IF(ISNUMBER(SV83),SV83*(1+PortfolioFrontier[[#This Row],[P129 Return]]),1+PortfolioFrontier[[#This Row],[P129 Return]])</f>
        <v>1.5252319957168226</v>
      </c>
      <c r="SW84" s="27">
        <f>MAX(SW83,PortfolioFrontier[[#This Row],[P129 Growth]])</f>
        <v>1.6389727481356613</v>
      </c>
      <c r="SX84" s="27">
        <f>PortfolioFrontier[[#This Row],[P129 Growth]]/PortfolioFrontier[[#This Row],[P129 HWM]]-1</f>
        <v>-6.9397586108871812E-2</v>
      </c>
      <c r="SY84" s="28">
        <f>SUMPRODUCT(INDEX(PortfolioRef[[SPY]:[PE]],MATCH(SY$1,PortfolioRef[Reference '#]),0),AssetMonthlyReturns[[#This Row],[SPY]:[PE]])</f>
        <v>7.116128457136818E-2</v>
      </c>
      <c r="SZ84" s="27">
        <f>IF(ISNUMBER(SZ83),SZ83*(1+PortfolioFrontier[[#This Row],[P130 Return]]),1+PortfolioFrontier[[#This Row],[P130 Return]])</f>
        <v>1.5444614960899294</v>
      </c>
      <c r="TA84" s="27">
        <f>MAX(TA83,PortfolioFrontier[[#This Row],[P130 Growth]])</f>
        <v>1.720142179322633</v>
      </c>
      <c r="TB84" s="27">
        <f>PortfolioFrontier[[#This Row],[P130 Growth]]/PortfolioFrontier[[#This Row],[P130 HWM]]-1</f>
        <v>-0.10213148967830332</v>
      </c>
      <c r="TC84" s="28">
        <f>SUMPRODUCT(INDEX(PortfolioRef[[SPY]:[PE]],MATCH(TC$1,PortfolioRef[Reference '#]),0),AssetMonthlyReturns[[#This Row],[SPY]:[PE]])</f>
        <v>6.4671326091028075E-2</v>
      </c>
      <c r="TD84" s="27">
        <f>IF(ISNUMBER(TD83),TD83*(1+PortfolioFrontier[[#This Row],[P131 Return]]),1+PortfolioFrontier[[#This Row],[P131 Return]])</f>
        <v>1.5348017677904915</v>
      </c>
      <c r="TE84" s="27">
        <f>MAX(TE83,PortfolioFrontier[[#This Row],[P131 Growth]])</f>
        <v>1.6891185966988822</v>
      </c>
      <c r="TF84" s="27">
        <f>PortfolioFrontier[[#This Row],[P131 Growth]]/PortfolioFrontier[[#This Row],[P131 HWM]]-1</f>
        <v>-9.1359380691195313E-2</v>
      </c>
      <c r="TG84" s="28">
        <f>SUMPRODUCT(INDEX(PortfolioRef[[SPY]:[PE]],MATCH(TG$1,PortfolioRef[Reference '#]),0),AssetMonthlyReturns[[#This Row],[SPY]:[PE]])</f>
        <v>5.818136761068797E-2</v>
      </c>
      <c r="TH84" s="27">
        <f>IF(ISNUMBER(TH83),TH83*(1+PortfolioFrontier[[#This Row],[P132 Return]]),1+PortfolioFrontier[[#This Row],[P132 Return]])</f>
        <v>1.5242010472942298</v>
      </c>
      <c r="TI84" s="27">
        <f>MAX(TI83,PortfolioFrontier[[#This Row],[P132 Growth]])</f>
        <v>1.6579261593145806</v>
      </c>
      <c r="TJ84" s="27">
        <f>PortfolioFrontier[[#This Row],[P132 Growth]]/PortfolioFrontier[[#This Row],[P132 HWM]]-1</f>
        <v>-8.0658062645947659E-2</v>
      </c>
      <c r="TK84" s="28">
        <f>SUMPRODUCT(INDEX(PortfolioRef[[SPY]:[PE]],MATCH(TK$1,PortfolioRef[Reference '#]),0),AssetMonthlyReturns[[#This Row],[SPY]:[PE]])</f>
        <v>6.9037233276702553E-2</v>
      </c>
      <c r="TL84" s="27">
        <f>IF(ISNUMBER(TL83),TL83*(1+PortfolioFrontier[[#This Row],[P133 Return]]),1+PortfolioFrontier[[#This Row],[P133 Return]])</f>
        <v>1.573569077873421</v>
      </c>
      <c r="TM84" s="27">
        <f>MAX(TM83,PortfolioFrontier[[#This Row],[P133 Growth]])</f>
        <v>1.7171102853087914</v>
      </c>
      <c r="TN84" s="27">
        <f>PortfolioFrontier[[#This Row],[P133 Growth]]/PortfolioFrontier[[#This Row],[P133 HWM]]-1</f>
        <v>-8.3594634930252654E-2</v>
      </c>
      <c r="TO84" s="28">
        <f>SUMPRODUCT(INDEX(PortfolioRef[[SPY]:[PE]],MATCH(TO$1,PortfolioRef[Reference '#]),0),AssetMonthlyReturns[[#This Row],[SPY]:[PE]])</f>
        <v>6.2547274796362434E-2</v>
      </c>
      <c r="TP84" s="27">
        <f>IF(ISNUMBER(TP83),TP83*(1+PortfolioFrontier[[#This Row],[P134 Return]]),1+PortfolioFrontier[[#This Row],[P134 Return]])</f>
        <v>1.5629837785909464</v>
      </c>
      <c r="TQ84" s="27">
        <f>MAX(TQ83,PortfolioFrontier[[#This Row],[P134 Growth]])</f>
        <v>1.6856432974461595</v>
      </c>
      <c r="TR84" s="27">
        <f>PortfolioFrontier[[#This Row],[P134 Growth]]/PortfolioFrontier[[#This Row],[P134 HWM]]-1</f>
        <v>-7.276718570355234E-2</v>
      </c>
      <c r="TS84" s="28">
        <f>SUMPRODUCT(INDEX(PortfolioRef[[SPY]:[PE]],MATCH(TS$1,PortfolioRef[Reference '#]),0),AssetMonthlyReturns[[#This Row],[SPY]:[PE]])</f>
        <v>5.6057316316022336E-2</v>
      </c>
      <c r="TT84" s="27">
        <f>IF(ISNUMBER(TT83),TT83*(1+PortfolioFrontier[[#This Row],[P135 Return]]),1+PortfolioFrontier[[#This Row],[P135 Return]])</f>
        <v>1.5514557337627817</v>
      </c>
      <c r="TU84" s="27">
        <f>MAX(TU83,PortfolioFrontier[[#This Row],[P135 Growth]])</f>
        <v>1.6540304901705998</v>
      </c>
      <c r="TV84" s="27">
        <f>PortfolioFrontier[[#This Row],[P135 Growth]]/PortfolioFrontier[[#This Row],[P135 HWM]]-1</f>
        <v>-6.2015033590607116E-2</v>
      </c>
      <c r="TW84" s="28">
        <f>SUMPRODUCT(INDEX(PortfolioRef[[SPY]:[PE]],MATCH(TW$1,PortfolioRef[Reference '#]),0),AssetMonthlyReturns[[#This Row],[SPY]:[PE]])</f>
        <v>7.2139069421160329E-2</v>
      </c>
      <c r="TX84" s="27">
        <f>IF(ISNUMBER(TX83),TX83*(1+PortfolioFrontier[[#This Row],[P136 Return]]),1+PortfolioFrontier[[#This Row],[P136 Return]])</f>
        <v>1.5712784766146008</v>
      </c>
      <c r="TY84" s="27">
        <f>MAX(TY83,PortfolioFrontier[[#This Row],[P136 Growth]])</f>
        <v>1.7361155602147582</v>
      </c>
      <c r="TZ84" s="27">
        <f>PortfolioFrontier[[#This Row],[P136 Growth]]/PortfolioFrontier[[#This Row],[P136 HWM]]-1</f>
        <v>-9.4945916837337108E-2</v>
      </c>
      <c r="UA84" s="28">
        <f>SUMPRODUCT(INDEX(PortfolioRef[[SPY]:[PE]],MATCH(UA$1,PortfolioRef[Reference '#]),0),AssetMonthlyReturns[[#This Row],[SPY]:[PE]])</f>
        <v>6.564911094082021E-2</v>
      </c>
      <c r="UB84" s="27">
        <f>IF(ISNUMBER(UB83),UB83*(1+PortfolioFrontier[[#This Row],[P137 Return]]),1+PortfolioFrontier[[#This Row],[P137 Return]])</f>
        <v>1.5614885913716761</v>
      </c>
      <c r="UC84" s="27">
        <f>MAX(UC83,PortfolioFrontier[[#This Row],[P137 Growth]])</f>
        <v>1.7048691873265751</v>
      </c>
      <c r="UD84" s="27">
        <f>PortfolioFrontier[[#This Row],[P137 Growth]]/PortfolioFrontier[[#This Row],[P137 HWM]]-1</f>
        <v>-8.410064362752423E-2</v>
      </c>
      <c r="UE84" s="28">
        <f>SUMPRODUCT(INDEX(PortfolioRef[[SPY]:[PE]],MATCH(UE$1,PortfolioRef[Reference '#]),0),AssetMonthlyReturns[[#This Row],[SPY]:[PE]])</f>
        <v>5.9159152460480112E-2</v>
      </c>
      <c r="UF84" s="27">
        <f>IF(ISNUMBER(UF83),UF83*(1+PortfolioFrontier[[#This Row],[P138 Return]]),1+PortfolioFrontier[[#This Row],[P138 Return]])</f>
        <v>1.5507416015860698</v>
      </c>
      <c r="UG84" s="27">
        <f>MAX(UG83,PortfolioFrontier[[#This Row],[P138 Growth]])</f>
        <v>1.6734502822541619</v>
      </c>
      <c r="UH84" s="27">
        <f>PortfolioFrontier[[#This Row],[P138 Growth]]/PortfolioFrontier[[#This Row],[P138 HWM]]-1</f>
        <v>-7.3326756085517975E-2</v>
      </c>
      <c r="UI84" s="28">
        <f>SUMPRODUCT(INDEX(PortfolioRef[[SPY]:[PE]],MATCH(UI$1,PortfolioRef[Reference '#]),0),AssetMonthlyReturns[[#This Row],[SPY]:[PE]])</f>
        <v>7.5240905565618119E-2</v>
      </c>
      <c r="UJ84" s="27">
        <f>IF(ISNUMBER(UJ83),UJ83*(1+PortfolioFrontier[[#This Row],[P139 Return]]),1+PortfolioFrontier[[#This Row],[P139 Return]])</f>
        <v>1.5679011165915533</v>
      </c>
      <c r="UK84" s="27">
        <f>MAX(UK83,PortfolioFrontier[[#This Row],[P139 Growth]])</f>
        <v>1.7543965710992384</v>
      </c>
      <c r="UL84" s="27">
        <f>PortfolioFrontier[[#This Row],[P139 Growth]]/PortfolioFrontier[[#This Row],[P139 HWM]]-1</f>
        <v>-0.10630176641922762</v>
      </c>
      <c r="UM84" s="28">
        <f>SUMPRODUCT(INDEX(PortfolioRef[[SPY]:[PE]],MATCH(UM$1,PortfolioRef[Reference '#]),0),AssetMonthlyReturns[[#This Row],[SPY]:[PE]])</f>
        <v>6.8750947085278E-2</v>
      </c>
      <c r="UN84" s="27">
        <f>IF(ISNUMBER(UN83),UN83*(1+PortfolioFrontier[[#This Row],[P140 Return]]),1+PortfolioFrontier[[#This Row],[P140 Return]])</f>
        <v>1.5589154887357946</v>
      </c>
      <c r="UO84" s="27">
        <f>MAX(UO83,PortfolioFrontier[[#This Row],[P140 Growth]])</f>
        <v>1.7234002022793458</v>
      </c>
      <c r="UP84" s="27">
        <f>PortfolioFrontier[[#This Row],[P140 Growth]]/PortfolioFrontier[[#This Row],[P140 HWM]]-1</f>
        <v>-9.5441971821754401E-2</v>
      </c>
      <c r="UQ84" s="28">
        <f>SUMPRODUCT(INDEX(PortfolioRef[[SPY]:[PE]],MATCH(UQ$1,PortfolioRef[Reference '#]),0),AssetMonthlyReturns[[#This Row],[SPY]:[PE]])</f>
        <v>6.2260988604937895E-2</v>
      </c>
      <c r="UR84" s="27">
        <f>IF(ISNUMBER(UR83),UR83*(1+PortfolioFrontier[[#This Row],[P141 Return]]),1+PortfolioFrontier[[#This Row],[P141 Return]])</f>
        <v>1.5489595977406525</v>
      </c>
      <c r="US84" s="27">
        <f>MAX(US83,PortfolioFrontier[[#This Row],[P141 Growth]])</f>
        <v>1.6922041432386774</v>
      </c>
      <c r="UT84" s="27">
        <f>PortfolioFrontier[[#This Row],[P141 Growth]]/PortfolioFrontier[[#This Row],[P141 HWM]]-1</f>
        <v>-8.4649683710070533E-2</v>
      </c>
    </row>
    <row r="85" spans="2:566" x14ac:dyDescent="0.2">
      <c r="B85" s="41">
        <f>AssetMonthlyReturns[[#This Row],[Date]]</f>
        <v>44958</v>
      </c>
      <c r="C85" s="28">
        <f>SUMPRODUCT(INDEX(PortfolioRef[[SPY]:[PE]],MATCH(C$1,PortfolioRef[Reference '#]),0),AssetMonthlyReturns[[#This Row],[SPY]:[PE]])</f>
        <v>-2.9822975815058553E-2</v>
      </c>
      <c r="D85" s="29">
        <f>IF(ISNUMBER(D84),D84*(1+PortfolioFrontier[[#This Row],[P1 Return]]),1+PortfolioFrontier[[#This Row],[P1 Return]])</f>
        <v>1.7225827810758911</v>
      </c>
      <c r="E85" s="29">
        <f>MAX(E84,PortfolioFrontier[[#This Row],[P1 Growth]])</f>
        <v>1.9531239567566241</v>
      </c>
      <c r="F85" s="29">
        <f>PortfolioFrontier[[#This Row],[P1 Growth]]/PortfolioFrontier[[#This Row],[P1 HWM]]-1</f>
        <v>-0.11803714499696771</v>
      </c>
      <c r="G85" s="28">
        <f>SUMPRODUCT(INDEX(PortfolioRef[[SPY]:[PE]],MATCH(G$1,PortfolioRef[Reference '#]),0),AssetMonthlyReturns[[#This Row],[SPY]:[PE]])</f>
        <v>-3.0017292665495E-2</v>
      </c>
      <c r="H85" s="27">
        <f>IF(ISNUMBER(H84),H84*(1+PortfolioFrontier[[#This Row],[P2 Return]]),1+PortfolioFrontier[[#This Row],[P2 Return]])</f>
        <v>1.6614255189405367</v>
      </c>
      <c r="I85" s="27">
        <f>MAX(I84,PortfolioFrontier[[#This Row],[P2 Growth]])</f>
        <v>1.880902671218339</v>
      </c>
      <c r="J85" s="27">
        <f>PortfolioFrontier[[#This Row],[P2 Growth]]/PortfolioFrontier[[#This Row],[P2 HWM]]-1</f>
        <v>-0.1166871394444019</v>
      </c>
      <c r="K85" s="28">
        <f>SUMPRODUCT(INDEX(PortfolioRef[[SPY]:[PE]],MATCH(K$1,PortfolioRef[Reference '#]),0),AssetMonthlyReturns[[#This Row],[SPY]:[PE]])</f>
        <v>-3.1249299741999966E-2</v>
      </c>
      <c r="L85" s="27">
        <f>IF(ISNUMBER(L84),L84*(1+PortfolioFrontier[[#This Row],[P3 Return]]),1+PortfolioFrontier[[#This Row],[P3 Return]])</f>
        <v>1.6882776406531186</v>
      </c>
      <c r="M85" s="27">
        <f>MAX(M84,PortfolioFrontier[[#This Row],[P3 Growth]])</f>
        <v>1.8984394560781046</v>
      </c>
      <c r="N85" s="27">
        <f>PortfolioFrontier[[#This Row],[P3 Growth]]/PortfolioFrontier[[#This Row],[P3 HWM]]-1</f>
        <v>-0.11070240599568515</v>
      </c>
      <c r="O85" s="28">
        <f>SUMPRODUCT(INDEX(PortfolioRef[[SPY]:[PE]],MATCH(O$1,PortfolioRef[Reference '#]),0),AssetMonthlyReturns[[#This Row],[SPY]:[PE]])</f>
        <v>-3.1497639038233008E-2</v>
      </c>
      <c r="P85" s="27">
        <f>IF(ISNUMBER(P84),P84*(1+PortfolioFrontier[[#This Row],[P4 Return]]),1+PortfolioFrontier[[#This Row],[P4 Return]])</f>
        <v>1.6851988542422682</v>
      </c>
      <c r="Q85" s="27">
        <f>MAX(Q84,PortfolioFrontier[[#This Row],[P4 Growth]])</f>
        <v>1.9193367929729268</v>
      </c>
      <c r="R85" s="27">
        <f>PortfolioFrontier[[#This Row],[P4 Growth]]/PortfolioFrontier[[#This Row],[P4 HWM]]-1</f>
        <v>-0.12198898056239227</v>
      </c>
      <c r="S85" s="28">
        <f>SUMPRODUCT(INDEX(PortfolioRef[[SPY]:[PE]],MATCH(S$1,PortfolioRef[Reference '#]),0),AssetMonthlyReturns[[#This Row],[SPY]:[PE]])</f>
        <v>-2.8767258565788458E-2</v>
      </c>
      <c r="T85" s="27">
        <f>IF(ISNUMBER(T84),T84*(1+PortfolioFrontier[[#This Row],[P5 Return]]),1+PortfolioFrontier[[#This Row],[P5 Return]])</f>
        <v>1.6788183879783314</v>
      </c>
      <c r="U85" s="27">
        <f>MAX(U84,PortfolioFrontier[[#This Row],[P5 Growth]])</f>
        <v>1.8841834525169079</v>
      </c>
      <c r="V85" s="27">
        <f>PortfolioFrontier[[#This Row],[P5 Growth]]/PortfolioFrontier[[#This Row],[P5 HWM]]-1</f>
        <v>-0.10899419813089228</v>
      </c>
      <c r="W85" s="28">
        <f>SUMPRODUCT(INDEX(PortfolioRef[[SPY]:[PE]],MATCH(W$1,PortfolioRef[Reference '#]),0),AssetMonthlyReturns[[#This Row],[SPY]:[PE]])</f>
        <v>-3.0211609515931451E-2</v>
      </c>
      <c r="X85" s="27">
        <f>IF(ISNUMBER(X84),X84*(1+PortfolioFrontier[[#This Row],[P6 Return]]),1+PortfolioFrontier[[#This Row],[P6 Return]])</f>
        <v>1.6017437843832649</v>
      </c>
      <c r="Y85" s="27">
        <f>MAX(Y84,PortfolioFrontier[[#This Row],[P6 Growth]])</f>
        <v>1.8107203423144032</v>
      </c>
      <c r="Z85" s="27">
        <f>PortfolioFrontier[[#This Row],[P6 Growth]]/PortfolioFrontier[[#This Row],[P6 HWM]]-1</f>
        <v>-0.11541073077250086</v>
      </c>
      <c r="AA85" s="28">
        <f>SUMPRODUCT(INDEX(PortfolioRef[[SPY]:[PE]],MATCH(AA$1,PortfolioRef[Reference '#]),0),AssetMonthlyReturns[[#This Row],[SPY]:[PE]])</f>
        <v>-3.1443616592436413E-2</v>
      </c>
      <c r="AB85" s="27">
        <f>IF(ISNUMBER(AB84),AB84*(1+PortfolioFrontier[[#This Row],[P7 Return]]),1+PortfolioFrontier[[#This Row],[P7 Return]])</f>
        <v>1.6276365143177844</v>
      </c>
      <c r="AC85" s="27">
        <f>MAX(AC84,PortfolioFrontier[[#This Row],[P7 Growth]])</f>
        <v>1.8276317298765399</v>
      </c>
      <c r="AD85" s="27">
        <f>PortfolioFrontier[[#This Row],[P7 Growth]]/PortfolioFrontier[[#This Row],[P7 HWM]]-1</f>
        <v>-0.1094286186267216</v>
      </c>
      <c r="AE85" s="28">
        <f>SUMPRODUCT(INDEX(PortfolioRef[[SPY]:[PE]],MATCH(AE$1,PortfolioRef[Reference '#]),0),AssetMonthlyReturns[[#This Row],[SPY]:[PE]])</f>
        <v>-3.1691955888669458E-2</v>
      </c>
      <c r="AF85" s="27">
        <f>IF(ISNUMBER(AF84),AF84*(1+PortfolioFrontier[[#This Row],[P8 Return]]),1+PortfolioFrontier[[#This Row],[P8 Return]])</f>
        <v>1.6252526146150275</v>
      </c>
      <c r="AG85" s="27">
        <f>MAX(AG84,PortfolioFrontier[[#This Row],[P8 Growth]])</f>
        <v>1.8482324314062795</v>
      </c>
      <c r="AH85" s="27">
        <f>PortfolioFrontier[[#This Row],[P8 Growth]]/PortfolioFrontier[[#This Row],[P8 HWM]]-1</f>
        <v>-0.120644899960765</v>
      </c>
      <c r="AI85" s="28">
        <f>SUMPRODUCT(INDEX(PortfolioRef[[SPY]:[PE]],MATCH(AI$1,PortfolioRef[Reference '#]),0),AssetMonthlyReturns[[#This Row],[SPY]:[PE]])</f>
        <v>-2.8961575416224905E-2</v>
      </c>
      <c r="AJ85" s="27">
        <f>IF(ISNUMBER(AJ84),AJ84*(1+PortfolioFrontier[[#This Row],[P9 Return]]),1+PortfolioFrontier[[#This Row],[P9 Return]])</f>
        <v>1.6185314762804208</v>
      </c>
      <c r="AK85" s="27">
        <f>MAX(AK84,PortfolioFrontier[[#This Row],[P9 Growth]])</f>
        <v>1.8139467261629987</v>
      </c>
      <c r="AL85" s="27">
        <f>PortfolioFrontier[[#This Row],[P9 Growth]]/PortfolioFrontier[[#This Row],[P9 HWM]]-1</f>
        <v>-0.10772932140952973</v>
      </c>
      <c r="AM85" s="28">
        <f>SUMPRODUCT(INDEX(PortfolioRef[[SPY]:[PE]],MATCH(AM$1,PortfolioRef[Reference '#]),0),AssetMonthlyReturns[[#This Row],[SPY]:[PE]])</f>
        <v>-3.2675623668941375E-2</v>
      </c>
      <c r="AN85" s="27">
        <f>IF(ISNUMBER(AN84),AN84*(1+PortfolioFrontier[[#This Row],[P10 Return]]),1+PortfolioFrontier[[#This Row],[P10 Return]])</f>
        <v>1.6535534227631727</v>
      </c>
      <c r="AO85" s="27">
        <f>MAX(AO84,PortfolioFrontier[[#This Row],[P10 Growth]])</f>
        <v>1.8443368551596837</v>
      </c>
      <c r="AP85" s="27">
        <f>PortfolioFrontier[[#This Row],[P10 Growth]]/PortfolioFrontier[[#This Row],[P10 HWM]]-1</f>
        <v>-0.10344283467674498</v>
      </c>
      <c r="AQ85" s="28">
        <f>SUMPRODUCT(INDEX(PortfolioRef[[SPY]:[PE]],MATCH(AQ$1,PortfolioRef[Reference '#]),0),AssetMonthlyReturns[[#This Row],[SPY]:[PE]])</f>
        <v>-3.2923962965174421E-2</v>
      </c>
      <c r="AR85" s="27">
        <f>IF(ISNUMBER(AR84),AR84*(1+PortfolioFrontier[[#This Row],[P11 Return]]),1+PortfolioFrontier[[#This Row],[P11 Return]])</f>
        <v>1.6514862014571798</v>
      </c>
      <c r="AS85" s="27">
        <f>MAX(AS84,PortfolioFrontier[[#This Row],[P11 Growth]])</f>
        <v>1.865449984246593</v>
      </c>
      <c r="AT85" s="27">
        <f>PortfolioFrontier[[#This Row],[P11 Growth]]/PortfolioFrontier[[#This Row],[P11 HWM]]-1</f>
        <v>-0.11469821469152264</v>
      </c>
      <c r="AU85" s="28">
        <f>SUMPRODUCT(INDEX(PortfolioRef[[SPY]:[PE]],MATCH(AU$1,PortfolioRef[Reference '#]),0),AssetMonthlyReturns[[#This Row],[SPY]:[PE]])</f>
        <v>-3.0193582492729871E-2</v>
      </c>
      <c r="AV85" s="27">
        <f>IF(ISNUMBER(AV84),AV84*(1+PortfolioFrontier[[#This Row],[P12 Return]]),1+PortfolioFrontier[[#This Row],[P12 Return]])</f>
        <v>1.6447027283962059</v>
      </c>
      <c r="AW85" s="27">
        <f>MAX(AW84,PortfolioFrontier[[#This Row],[P12 Growth]])</f>
        <v>1.8309154354259589</v>
      </c>
      <c r="AX85" s="27">
        <f>PortfolioFrontier[[#This Row],[P12 Growth]]/PortfolioFrontier[[#This Row],[P12 HWM]]-1</f>
        <v>-0.10170470106197504</v>
      </c>
      <c r="AY85" s="28">
        <f>SUMPRODUCT(INDEX(PortfolioRef[[SPY]:[PE]],MATCH(AY$1,PortfolioRef[Reference '#]),0),AssetMonthlyReturns[[#This Row],[SPY]:[PE]])</f>
        <v>-3.3172302261407473E-2</v>
      </c>
      <c r="AZ85" s="27">
        <f>IF(ISNUMBER(AZ84),AZ84*(1+PortfolioFrontier[[#This Row],[P13 Return]]),1+PortfolioFrontier[[#This Row],[P13 Return]])</f>
        <v>1.6482832193561558</v>
      </c>
      <c r="BA85" s="27">
        <f>MAX(BA84,PortfolioFrontier[[#This Row],[P13 Growth]])</f>
        <v>1.8858075751364967</v>
      </c>
      <c r="BB85" s="27">
        <f>PortfolioFrontier[[#This Row],[P13 Growth]]/PortfolioFrontier[[#This Row],[P13 HWM]]-1</f>
        <v>-0.12595365450430362</v>
      </c>
      <c r="BC85" s="28">
        <f>SUMPRODUCT(INDEX(PortfolioRef[[SPY]:[PE]],MATCH(BC$1,PortfolioRef[Reference '#]),0),AssetMonthlyReturns[[#This Row],[SPY]:[PE]])</f>
        <v>-3.0441921788962916E-2</v>
      </c>
      <c r="BD85" s="27">
        <f>IF(ISNUMBER(BD84),BD84*(1+PortfolioFrontier[[#This Row],[P14 Return]]),1+PortfolioFrontier[[#This Row],[P14 Return]])</f>
        <v>1.6423320906326642</v>
      </c>
      <c r="BE85" s="27">
        <f>MAX(BE84,PortfolioFrontier[[#This Row],[P14 Growth]])</f>
        <v>1.8515113734383843</v>
      </c>
      <c r="BF85" s="27">
        <f>PortfolioFrontier[[#This Row],[P14 Growth]]/PortfolioFrontier[[#This Row],[P14 HWM]]-1</f>
        <v>-0.11297758458661789</v>
      </c>
      <c r="BG85" s="28">
        <f>SUMPRODUCT(INDEX(PortfolioRef[[SPY]:[PE]],MATCH(BG$1,PortfolioRef[Reference '#]),0),AssetMonthlyReturns[[#This Row],[SPY]:[PE]])</f>
        <v>-2.7711541316518366E-2</v>
      </c>
      <c r="BH85" s="27">
        <f>IF(ISNUMBER(BH84),BH84*(1+PortfolioFrontier[[#This Row],[P15 Return]]),1+PortfolioFrontier[[#This Row],[P15 Return]])</f>
        <v>1.6353180004089414</v>
      </c>
      <c r="BI85" s="27">
        <f>MAX(BI84,PortfolioFrontier[[#This Row],[P15 Growth]])</f>
        <v>1.8170439473092146</v>
      </c>
      <c r="BJ85" s="27">
        <f>PortfolioFrontier[[#This Row],[P15 Growth]]/PortfolioFrontier[[#This Row],[P15 HWM]]-1</f>
        <v>-0.10001186111617366</v>
      </c>
      <c r="BK85" s="28">
        <f>SUMPRODUCT(INDEX(PortfolioRef[[SPY]:[PE]],MATCH(BK$1,PortfolioRef[Reference '#]),0),AssetMonthlyReturns[[#This Row],[SPY]:[PE]])</f>
        <v>-3.0405926366367901E-2</v>
      </c>
      <c r="BL85" s="27">
        <f>IF(ISNUMBER(BL84),BL84*(1+PortfolioFrontier[[#This Row],[P16 Return]]),1+PortfolioFrontier[[#This Row],[P16 Return]])</f>
        <v>1.543535780037731</v>
      </c>
      <c r="BM85" s="27">
        <f>MAX(BM84,PortfolioFrontier[[#This Row],[P16 Growth]])</f>
        <v>1.7425494832470445</v>
      </c>
      <c r="BN85" s="27">
        <f>PortfolioFrontier[[#This Row],[P16 Growth]]/PortfolioFrontier[[#This Row],[P16 HWM]]-1</f>
        <v>-0.11420835111004934</v>
      </c>
      <c r="BO85" s="28">
        <f>SUMPRODUCT(INDEX(PortfolioRef[[SPY]:[PE]],MATCH(BO$1,PortfolioRef[Reference '#]),0),AssetMonthlyReturns[[#This Row],[SPY]:[PE]])</f>
        <v>-3.1637933442872863E-2</v>
      </c>
      <c r="BP85" s="27">
        <f>IF(ISNUMBER(BP84),BP84*(1+PortfolioFrontier[[#This Row],[P17 Return]]),1+PortfolioFrontier[[#This Row],[P17 Return]])</f>
        <v>1.5684930325546855</v>
      </c>
      <c r="BQ85" s="27">
        <f>MAX(BQ84,PortfolioFrontier[[#This Row],[P17 Growth]])</f>
        <v>1.7588525148836969</v>
      </c>
      <c r="BR85" s="27">
        <f>PortfolioFrontier[[#This Row],[P17 Growth]]/PortfolioFrontier[[#This Row],[P17 HWM]]-1</f>
        <v>-0.1082293601755453</v>
      </c>
      <c r="BS85" s="28">
        <f>SUMPRODUCT(INDEX(PortfolioRef[[SPY]:[PE]],MATCH(BS$1,PortfolioRef[Reference '#]),0),AssetMonthlyReturns[[#This Row],[SPY]:[PE]])</f>
        <v>-3.1886272739105909E-2</v>
      </c>
      <c r="BT85" s="27">
        <f>IF(ISNUMBER(BT84),BT84*(1+PortfolioFrontier[[#This Row],[P18 Return]]),1+PortfolioFrontier[[#This Row],[P18 Return]])</f>
        <v>1.566757340341167</v>
      </c>
      <c r="BU85" s="27">
        <f>MAX(BU84,PortfolioFrontier[[#This Row],[P18 Growth]])</f>
        <v>1.7791407441475846</v>
      </c>
      <c r="BV85" s="27">
        <f>PortfolioFrontier[[#This Row],[P18 Growth]]/PortfolioFrontier[[#This Row],[P18 HWM]]-1</f>
        <v>-0.1193741442351004</v>
      </c>
      <c r="BW85" s="28">
        <f>SUMPRODUCT(INDEX(PortfolioRef[[SPY]:[PE]],MATCH(BW$1,PortfolioRef[Reference '#]),0),AssetMonthlyReturns[[#This Row],[SPY]:[PE]])</f>
        <v>-2.9155892266661355E-2</v>
      </c>
      <c r="BX85" s="27">
        <f>IF(ISNUMBER(BX84),BX84*(1+PortfolioFrontier[[#This Row],[P19 Return]]),1+PortfolioFrontier[[#This Row],[P19 Return]])</f>
        <v>1.5597322810005991</v>
      </c>
      <c r="BY85" s="27">
        <f>MAX(BY84,PortfolioFrontier[[#This Row],[P19 Growth]])</f>
        <v>1.7457196180719312</v>
      </c>
      <c r="BZ85" s="27">
        <f>PortfolioFrontier[[#This Row],[P19 Growth]]/PortfolioFrontier[[#This Row],[P19 HWM]]-1</f>
        <v>-0.10653906569300442</v>
      </c>
      <c r="CA85" s="28">
        <f>SUMPRODUCT(INDEX(PortfolioRef[[SPY]:[PE]],MATCH(CA$1,PortfolioRef[Reference '#]),0),AssetMonthlyReturns[[#This Row],[SPY]:[PE]])</f>
        <v>-3.2869940519377826E-2</v>
      </c>
      <c r="CB85" s="27">
        <f>IF(ISNUMBER(CB84),CB84*(1+PortfolioFrontier[[#This Row],[P20 Return]]),1+PortfolioFrontier[[#This Row],[P20 Return]])</f>
        <v>1.5934729912554213</v>
      </c>
      <c r="CC85" s="27">
        <f>MAX(CC84,PortfolioFrontier[[#This Row],[P20 Growth]])</f>
        <v>1.7749567522517573</v>
      </c>
      <c r="CD85" s="27">
        <f>PortfolioFrontier[[#This Row],[P20 Growth]]/PortfolioFrontier[[#This Row],[P20 HWM]]-1</f>
        <v>-0.1022468636298326</v>
      </c>
      <c r="CE85" s="28">
        <f>SUMPRODUCT(INDEX(PortfolioRef[[SPY]:[PE]],MATCH(CE$1,PortfolioRef[Reference '#]),0),AssetMonthlyReturns[[#This Row],[SPY]:[PE]])</f>
        <v>-3.3118279815610871E-2</v>
      </c>
      <c r="CF85" s="27">
        <f>IF(ISNUMBER(CF84),CF84*(1+PortfolioFrontier[[#This Row],[P21 Return]]),1+PortfolioFrontier[[#This Row],[P21 Return]])</f>
        <v>1.592051993320482</v>
      </c>
      <c r="CG85" s="27">
        <f>MAX(CG84,PortfolioFrontier[[#This Row],[P21 Growth]])</f>
        <v>1.795743356031652</v>
      </c>
      <c r="CH85" s="27">
        <f>PortfolioFrontier[[#This Row],[P21 Growth]]/PortfolioFrontier[[#This Row],[P21 HWM]]-1</f>
        <v>-0.11343010794220632</v>
      </c>
      <c r="CI85" s="28">
        <f>SUMPRODUCT(INDEX(PortfolioRef[[SPY]:[PE]],MATCH(CI$1,PortfolioRef[Reference '#]),0),AssetMonthlyReturns[[#This Row],[SPY]:[PE]])</f>
        <v>-3.0387899343166318E-2</v>
      </c>
      <c r="CJ85" s="27">
        <f>IF(ISNUMBER(CJ84),CJ84*(1+PortfolioFrontier[[#This Row],[P22 Return]]),1+PortfolioFrontier[[#This Row],[P22 Return]])</f>
        <v>1.5849583612845146</v>
      </c>
      <c r="CK85" s="27">
        <f>MAX(CK84,PortfolioFrontier[[#This Row],[P22 Growth]])</f>
        <v>1.7620784578443487</v>
      </c>
      <c r="CL85" s="27">
        <f>PortfolioFrontier[[#This Row],[P22 Growth]]/PortfolioFrontier[[#This Row],[P22 HWM]]-1</f>
        <v>-0.10051771291530076</v>
      </c>
      <c r="CM85" s="28">
        <f>SUMPRODUCT(INDEX(PortfolioRef[[SPY]:[PE]],MATCH(CM$1,PortfolioRef[Reference '#]),0),AssetMonthlyReturns[[#This Row],[SPY]:[PE]])</f>
        <v>-3.3366619111843916E-2</v>
      </c>
      <c r="CN85" s="27">
        <f>IF(ISNUMBER(CN84),CN84*(1+PortfolioFrontier[[#This Row],[P23 Return]]),1+PortfolioFrontier[[#This Row],[P23 Return]])</f>
        <v>1.5895364493970081</v>
      </c>
      <c r="CO85" s="27">
        <f>MAX(CO84,PortfolioFrontier[[#This Row],[P23 Growth]])</f>
        <v>1.8158151760868648</v>
      </c>
      <c r="CP85" s="27">
        <f>PortfolioFrontier[[#This Row],[P23 Growth]]/PortfolioFrontier[[#This Row],[P23 HWM]]-1</f>
        <v>-0.12461550584542092</v>
      </c>
      <c r="CQ85" s="28">
        <f>SUMPRODUCT(INDEX(PortfolioRef[[SPY]:[PE]],MATCH(CQ$1,PortfolioRef[Reference '#]),0),AssetMonthlyReturns[[#This Row],[SPY]:[PE]])</f>
        <v>-3.0636238639399366E-2</v>
      </c>
      <c r="CR85" s="27">
        <f>IF(ISNUMBER(CR84),CR84*(1+PortfolioFrontier[[#This Row],[P24 Return]]),1+PortfolioFrontier[[#This Row],[P24 Return]])</f>
        <v>1.583241244075642</v>
      </c>
      <c r="CS85" s="27">
        <f>MAX(CS84,PortfolioFrontier[[#This Row],[P24 Growth]])</f>
        <v>1.7823638134718676</v>
      </c>
      <c r="CT85" s="27">
        <f>PortfolioFrontier[[#This Row],[P24 Growth]]/PortfolioFrontier[[#This Row],[P24 HWM]]-1</f>
        <v>-0.11171825184688555</v>
      </c>
      <c r="CU85" s="28">
        <f>SUMPRODUCT(INDEX(PortfolioRef[[SPY]:[PE]],MATCH(CU$1,PortfolioRef[Reference '#]),0),AssetMonthlyReturns[[#This Row],[SPY]:[PE]])</f>
        <v>-2.7905858166954813E-2</v>
      </c>
      <c r="CV85" s="27">
        <f>IF(ISNUMBER(CV84),CV84*(1+PortfolioFrontier[[#This Row],[P25 Return]]),1+PortfolioFrontier[[#This Row],[P25 Return]])</f>
        <v>1.5759281411733923</v>
      </c>
      <c r="CW85" s="27">
        <f>MAX(CW84,PortfolioFrontier[[#This Row],[P25 Growth]])</f>
        <v>1.7487656732120247</v>
      </c>
      <c r="CX85" s="27">
        <f>PortfolioFrontier[[#This Row],[P25 Growth]]/PortfolioFrontier[[#This Row],[P25 HWM]]-1</f>
        <v>-9.8834014577364737E-2</v>
      </c>
      <c r="CY85" s="28">
        <f>SUMPRODUCT(INDEX(PortfolioRef[[SPY]:[PE]],MATCH(CY$1,PortfolioRef[Reference '#]),0),AssetMonthlyReturns[[#This Row],[SPY]:[PE]])</f>
        <v>-3.435028689211584E-2</v>
      </c>
      <c r="CZ85" s="27">
        <f>IF(ISNUMBER(CZ84),CZ84*(1+PortfolioFrontier[[#This Row],[P26 Return]]),1+PortfolioFrontier[[#This Row],[P26 Return]])</f>
        <v>1.6173690543297985</v>
      </c>
      <c r="DA85" s="27">
        <f>MAX(DA84,PortfolioFrontier[[#This Row],[P26 Growth]])</f>
        <v>1.8121428498945955</v>
      </c>
      <c r="DB85" s="27">
        <f>PortfolioFrontier[[#This Row],[P26 Growth]]/PortfolioFrontier[[#This Row],[P26 HWM]]-1</f>
        <v>-0.10748258371359976</v>
      </c>
      <c r="DC85" s="28">
        <f>SUMPRODUCT(INDEX(PortfolioRef[[SPY]:[PE]],MATCH(DC$1,PortfolioRef[Reference '#]),0),AssetMonthlyReturns[[#This Row],[SPY]:[PE]])</f>
        <v>-3.1619906419671287E-2</v>
      </c>
      <c r="DD85" s="27">
        <f>IF(ISNUMBER(DD84),DD84*(1+PortfolioFrontier[[#This Row],[P27 Return]]),1+PortfolioFrontier[[#This Row],[P27 Return]])</f>
        <v>1.6102078522260619</v>
      </c>
      <c r="DE85" s="27">
        <f>MAX(DE84,PortfolioFrontier[[#This Row],[P27 Growth]])</f>
        <v>1.7782387807323972</v>
      </c>
      <c r="DF85" s="27">
        <f>PortfolioFrontier[[#This Row],[P27 Growth]]/PortfolioFrontier[[#This Row],[P27 HWM]]-1</f>
        <v>-9.4492893939209344E-2</v>
      </c>
      <c r="DG85" s="28">
        <f>SUMPRODUCT(INDEX(PortfolioRef[[SPY]:[PE]],MATCH(DG$1,PortfolioRef[Reference '#]),0),AssetMonthlyReturns[[#This Row],[SPY]:[PE]])</f>
        <v>-3.4598626188348885E-2</v>
      </c>
      <c r="DH85" s="27">
        <f>IF(ISNUMBER(DH84),DH84*(1+PortfolioFrontier[[#This Row],[P28 Return]]),1+PortfolioFrontier[[#This Row],[P28 Return]])</f>
        <v>1.6151607064298781</v>
      </c>
      <c r="DI85" s="27">
        <f>MAX(DI84,PortfolioFrontier[[#This Row],[P28 Growth]])</f>
        <v>1.8327167417336543</v>
      </c>
      <c r="DJ85" s="27">
        <f>PortfolioFrontier[[#This Row],[P28 Growth]]/PortfolioFrontier[[#This Row],[P28 HWM]]-1</f>
        <v>-0.11870685215543975</v>
      </c>
      <c r="DK85" s="28">
        <f>SUMPRODUCT(INDEX(PortfolioRef[[SPY]:[PE]],MATCH(DK$1,PortfolioRef[Reference '#]),0),AssetMonthlyReturns[[#This Row],[SPY]:[PE]])</f>
        <v>-3.1868245715904332E-2</v>
      </c>
      <c r="DL85" s="27">
        <f>IF(ISNUMBER(DL84),DL84*(1+PortfolioFrontier[[#This Row],[P29 Return]]),1+PortfolioFrontier[[#This Row],[P29 Return]])</f>
        <v>1.6088090122006626</v>
      </c>
      <c r="DM85" s="27">
        <f>MAX(DM84,PortfolioFrontier[[#This Row],[P29 Growth]])</f>
        <v>1.7990232294645383</v>
      </c>
      <c r="DN85" s="27">
        <f>PortfolioFrontier[[#This Row],[P29 Growth]]/PortfolioFrontier[[#This Row],[P29 HWM]]-1</f>
        <v>-0.10573194061562563</v>
      </c>
      <c r="DO85" s="28">
        <f>SUMPRODUCT(INDEX(PortfolioRef[[SPY]:[PE]],MATCH(DO$1,PortfolioRef[Reference '#]),0),AssetMonthlyReturns[[#This Row],[SPY]:[PE]])</f>
        <v>-2.9137865243459779E-2</v>
      </c>
      <c r="DP85" s="27">
        <f>IF(ISNUMBER(DP84),DP84*(1+PortfolioFrontier[[#This Row],[P30 Return]]),1+PortfolioFrontier[[#This Row],[P30 Return]])</f>
        <v>1.6014233399599549</v>
      </c>
      <c r="DQ85" s="27">
        <f>MAX(DQ84,PortfolioFrontier[[#This Row],[P30 Growth]])</f>
        <v>1.7651792866223672</v>
      </c>
      <c r="DR85" s="27">
        <f>PortfolioFrontier[[#This Row],[P30 Growth]]/PortfolioFrontier[[#This Row],[P30 HWM]]-1</f>
        <v>-9.2770149697233184E-2</v>
      </c>
      <c r="DS85" s="28">
        <f>SUMPRODUCT(INDEX(PortfolioRef[[SPY]:[PE]],MATCH(DS$1,PortfolioRef[Reference '#]),0),AssetMonthlyReturns[[#This Row],[SPY]:[PE]])</f>
        <v>-3.4846965484581931E-2</v>
      </c>
      <c r="DT85" s="27">
        <f>IF(ISNUMBER(DT84),DT84*(1+PortfolioFrontier[[#This Row],[P31 Return]]),1+PortfolioFrontier[[#This Row],[P31 Return]])</f>
        <v>1.6118403454539203</v>
      </c>
      <c r="DU85" s="27">
        <f>MAX(DU84,PortfolioFrontier[[#This Row],[P31 Growth]])</f>
        <v>1.8525428026208837</v>
      </c>
      <c r="DV85" s="27">
        <f>PortfolioFrontier[[#This Row],[P31 Growth]]/PortfolioFrontier[[#This Row],[P31 HWM]]-1</f>
        <v>-0.12993084792774001</v>
      </c>
      <c r="DW85" s="28">
        <f>SUMPRODUCT(INDEX(PortfolioRef[[SPY]:[PE]],MATCH(DW$1,PortfolioRef[Reference '#]),0),AssetMonthlyReturns[[#This Row],[SPY]:[PE]])</f>
        <v>-3.2116585012137384E-2</v>
      </c>
      <c r="DX85" s="27">
        <f>IF(ISNUMBER(DX84),DX84*(1+PortfolioFrontier[[#This Row],[P32 Return]]),1+PortfolioFrontier[[#This Row],[P32 Return]])</f>
        <v>1.6063046331670139</v>
      </c>
      <c r="DY85" s="27">
        <f>MAX(DY84,PortfolioFrontier[[#This Row],[P32 Growth]])</f>
        <v>1.8190908915066115</v>
      </c>
      <c r="DZ85" s="27">
        <f>PortfolioFrontier[[#This Row],[P32 Growth]]/PortfolioFrontier[[#This Row],[P32 HWM]]-1</f>
        <v>-0.11697395623995643</v>
      </c>
      <c r="EA85" s="28">
        <f>SUMPRODUCT(INDEX(PortfolioRef[[SPY]:[PE]],MATCH(EA$1,PortfolioRef[Reference '#]),0),AssetMonthlyReturns[[#This Row],[SPY]:[PE]])</f>
        <v>-2.9386204539692824E-2</v>
      </c>
      <c r="EB85" s="27">
        <f>IF(ISNUMBER(EB84),EB84*(1+PortfolioFrontier[[#This Row],[P33 Return]]),1+PortfolioFrontier[[#This Row],[P33 Return]])</f>
        <v>1.5997253199041126</v>
      </c>
      <c r="EC85" s="27">
        <f>MAX(EC84,PortfolioFrontier[[#This Row],[P33 Growth]])</f>
        <v>1.7854600976944932</v>
      </c>
      <c r="ED85" s="27">
        <f>PortfolioFrontier[[#This Row],[P33 Growth]]/PortfolioFrontier[[#This Row],[P33 HWM]]-1</f>
        <v>-0.10402628321417762</v>
      </c>
      <c r="EE85" s="28">
        <f>SUMPRODUCT(INDEX(PortfolioRef[[SPY]:[PE]],MATCH(EE$1,PortfolioRef[Reference '#]),0),AssetMonthlyReturns[[#This Row],[SPY]:[PE]])</f>
        <v>-3.0600243216804348E-2</v>
      </c>
      <c r="EF85" s="27">
        <f>IF(ISNUMBER(EF84),EF84*(1+PortfolioFrontier[[#This Row],[P34 Return]]),1+PortfolioFrontier[[#This Row],[P34 Return]])</f>
        <v>1.4867977847140044</v>
      </c>
      <c r="EG85" s="27">
        <f>MAX(EG84,PortfolioFrontier[[#This Row],[P34 Growth]])</f>
        <v>1.6763614413137211</v>
      </c>
      <c r="EH85" s="27">
        <f>PortfolioFrontier[[#This Row],[P34 Growth]]/PortfolioFrontier[[#This Row],[P34 HWM]]-1</f>
        <v>-0.11308042044391131</v>
      </c>
      <c r="EI85" s="28">
        <f>SUMPRODUCT(INDEX(PortfolioRef[[SPY]:[PE]],MATCH(EI$1,PortfolioRef[Reference '#]),0),AssetMonthlyReturns[[#This Row],[SPY]:[PE]])</f>
        <v>-3.1832250293309307E-2</v>
      </c>
      <c r="EJ85" s="27">
        <f>IF(ISNUMBER(EJ84),EJ84*(1+PortfolioFrontier[[#This Row],[P35 Return]]),1+PortfolioFrontier[[#This Row],[P35 Return]])</f>
        <v>1.5108433752873687</v>
      </c>
      <c r="EK85" s="27">
        <f>MAX(EK84,PortfolioFrontier[[#This Row],[P35 Growth]])</f>
        <v>1.6920729334369538</v>
      </c>
      <c r="EL85" s="27">
        <f>PortfolioFrontier[[#This Row],[P35 Growth]]/PortfolioFrontier[[#This Row],[P35 HWM]]-1</f>
        <v>-0.10710505118799463</v>
      </c>
      <c r="EM85" s="28">
        <f>SUMPRODUCT(INDEX(PortfolioRef[[SPY]:[PE]],MATCH(EM$1,PortfolioRef[Reference '#]),0),AssetMonthlyReturns[[#This Row],[SPY]:[PE]])</f>
        <v>-3.2080589589542359E-2</v>
      </c>
      <c r="EN85" s="27">
        <f>IF(ISNUMBER(EN84),EN84*(1+PortfolioFrontier[[#This Row],[P36 Return]]),1+PortfolioFrontier[[#This Row],[P36 Return]])</f>
        <v>1.509711059759453</v>
      </c>
      <c r="EO85" s="27">
        <f>MAX(EO84,PortfolioFrontier[[#This Row],[P36 Growth]])</f>
        <v>1.7120343963250326</v>
      </c>
      <c r="EP85" s="27">
        <f>PortfolioFrontier[[#This Row],[P36 Growth]]/PortfolioFrontier[[#This Row],[P36 HWM]]-1</f>
        <v>-0.11817714468814222</v>
      </c>
      <c r="EQ85" s="28">
        <f>SUMPRODUCT(INDEX(PortfolioRef[[SPY]:[PE]],MATCH(EQ$1,PortfolioRef[Reference '#]),0),AssetMonthlyReturns[[#This Row],[SPY]:[PE]])</f>
        <v>-2.9350209117097806E-2</v>
      </c>
      <c r="ER85" s="27">
        <f>IF(ISNUMBER(ER84),ER84*(1+PortfolioFrontier[[#This Row],[P37 Return]]),1+PortfolioFrontier[[#This Row],[P37 Return]])</f>
        <v>1.5024171006376024</v>
      </c>
      <c r="ES85" s="27">
        <f>MAX(ES84,PortfolioFrontier[[#This Row],[P37 Growth]])</f>
        <v>1.6794736802569215</v>
      </c>
      <c r="ET85" s="27">
        <f>PortfolioFrontier[[#This Row],[P37 Growth]]/PortfolioFrontier[[#This Row],[P37 HWM]]-1</f>
        <v>-0.10542384897168111</v>
      </c>
      <c r="EU85" s="28">
        <f>SUMPRODUCT(INDEX(PortfolioRef[[SPY]:[PE]],MATCH(EU$1,PortfolioRef[Reference '#]),0),AssetMonthlyReturns[[#This Row],[SPY]:[PE]])</f>
        <v>-3.3064257369814276E-2</v>
      </c>
      <c r="EV85" s="27">
        <f>IF(ISNUMBER(EV84),EV84*(1+PortfolioFrontier[[#This Row],[P38 Return]]),1+PortfolioFrontier[[#This Row],[P38 Return]])</f>
        <v>1.5349102686803571</v>
      </c>
      <c r="EW85" s="27">
        <f>MAX(EW84,PortfolioFrontier[[#This Row],[P38 Growth]])</f>
        <v>1.7075928941250238</v>
      </c>
      <c r="EX85" s="27">
        <f>PortfolioFrontier[[#This Row],[P38 Growth]]/PortfolioFrontier[[#This Row],[P38 HWM]]-1</f>
        <v>-0.10112634342692661</v>
      </c>
      <c r="EY85" s="28">
        <f>SUMPRODUCT(INDEX(PortfolioRef[[SPY]:[PE]],MATCH(EY$1,PortfolioRef[Reference '#]),0),AssetMonthlyReturns[[#This Row],[SPY]:[PE]])</f>
        <v>-3.3312596666047321E-2</v>
      </c>
      <c r="EZ85" s="27">
        <f>IF(ISNUMBER(EZ84),EZ84*(1+PortfolioFrontier[[#This Row],[P39 Return]]),1+PortfolioFrontier[[#This Row],[P39 Return]])</f>
        <v>1.5340902482486842</v>
      </c>
      <c r="FA85" s="27">
        <f>MAX(FA84,PortfolioFrontier[[#This Row],[P39 Growth]])</f>
        <v>1.7280388577532122</v>
      </c>
      <c r="FB85" s="27">
        <f>PortfolioFrontier[[#This Row],[P39 Growth]]/PortfolioFrontier[[#This Row],[P39 HWM]]-1</f>
        <v>-0.11223625477768429</v>
      </c>
      <c r="FC85" s="28">
        <f>SUMPRODUCT(INDEX(PortfolioRef[[SPY]:[PE]],MATCH(FC$1,PortfolioRef[Reference '#]),0),AssetMonthlyReturns[[#This Row],[SPY]:[PE]])</f>
        <v>-3.0582216193602768E-2</v>
      </c>
      <c r="FD85" s="27">
        <f>IF(ISNUMBER(FD84),FD84*(1+PortfolioFrontier[[#This Row],[P40 Return]]),1+PortfolioFrontier[[#This Row],[P40 Return]])</f>
        <v>1.526722054504724</v>
      </c>
      <c r="FE85" s="27">
        <f>MAX(FE84,PortfolioFrontier[[#This Row],[P40 Growth]])</f>
        <v>1.6952394830468527</v>
      </c>
      <c r="FF85" s="27">
        <f>PortfolioFrontier[[#This Row],[P40 Growth]]/PortfolioFrontier[[#This Row],[P40 HWM]]-1</f>
        <v>-9.9406266918260044E-2</v>
      </c>
      <c r="FG85" s="28">
        <f>SUMPRODUCT(INDEX(PortfolioRef[[SPY]:[PE]],MATCH(FG$1,PortfolioRef[Reference '#]),0),AssetMonthlyReturns[[#This Row],[SPY]:[PE]])</f>
        <v>-3.3560935962280367E-2</v>
      </c>
      <c r="FH85" s="27">
        <f>IF(ISNUMBER(FH84),FH84*(1+PortfolioFrontier[[#This Row],[P41 Return]]),1+PortfolioFrontier[[#This Row],[P41 Return]])</f>
        <v>1.5322161558940526</v>
      </c>
      <c r="FI85" s="27">
        <f>MAX(FI84,PortfolioFrontier[[#This Row],[P41 Growth]])</f>
        <v>1.7478091274239449</v>
      </c>
      <c r="FJ85" s="27">
        <f>PortfolioFrontier[[#This Row],[P41 Growth]]/PortfolioFrontier[[#This Row],[P41 HWM]]-1</f>
        <v>-0.12335040946241638</v>
      </c>
      <c r="FK85" s="28">
        <f>SUMPRODUCT(INDEX(PortfolioRef[[SPY]:[PE]],MATCH(FK$1,PortfolioRef[Reference '#]),0),AssetMonthlyReturns[[#This Row],[SPY]:[PE]])</f>
        <v>-3.0830555489835817E-2</v>
      </c>
      <c r="FL85" s="27">
        <f>IF(ISNUMBER(FL84),FL84*(1+PortfolioFrontier[[#This Row],[P42 Return]]),1+PortfolioFrontier[[#This Row],[P42 Return]])</f>
        <v>1.5256132117349923</v>
      </c>
      <c r="FM85" s="27">
        <f>MAX(FM84,PortfolioFrontier[[#This Row],[P42 Growth]])</f>
        <v>1.7151998522045959</v>
      </c>
      <c r="FN85" s="27">
        <f>PortfolioFrontier[[#This Row],[P42 Growth]]/PortfolioFrontier[[#This Row],[P42 HWM]]-1</f>
        <v>-0.110533265395238</v>
      </c>
      <c r="FO85" s="28">
        <f>SUMPRODUCT(INDEX(PortfolioRef[[SPY]:[PE]],MATCH(FO$1,PortfolioRef[Reference '#]),0),AssetMonthlyReturns[[#This Row],[SPY]:[PE]])</f>
        <v>-2.8100175017391264E-2</v>
      </c>
      <c r="FP85" s="27">
        <f>IF(ISNUMBER(FP84),FP84*(1+PortfolioFrontier[[#This Row],[P43 Return]]),1+PortfolioFrontier[[#This Row],[P43 Return]])</f>
        <v>1.5180362600446868</v>
      </c>
      <c r="FQ85" s="27">
        <f>MAX(FQ84,PortfolioFrontier[[#This Row],[P43 Growth]])</f>
        <v>1.6824667632825669</v>
      </c>
      <c r="FR85" s="27">
        <f>PortfolioFrontier[[#This Row],[P43 Growth]]/PortfolioFrontier[[#This Row],[P43 HWM]]-1</f>
        <v>-9.7731798824405303E-2</v>
      </c>
      <c r="FS85" s="28">
        <f>SUMPRODUCT(INDEX(PortfolioRef[[SPY]:[PE]],MATCH(FS$1,PortfolioRef[Reference '#]),0),AssetMonthlyReturns[[#This Row],[SPY]:[PE]])</f>
        <v>-3.4544603742552284E-2</v>
      </c>
      <c r="FT85" s="27">
        <f>IF(ISNUMBER(FT84),FT84*(1+PortfolioFrontier[[#This Row],[P44 Return]]),1+PortfolioFrontier[[#This Row],[P44 Return]])</f>
        <v>1.5584904494054652</v>
      </c>
      <c r="FU85" s="27">
        <f>MAX(FU84,PortfolioFrontier[[#This Row],[P44 Growth]])</f>
        <v>1.7438475694471607</v>
      </c>
      <c r="FV85" s="27">
        <f>PortfolioFrontier[[#This Row],[P44 Growth]]/PortfolioFrontier[[#This Row],[P44 HWM]]-1</f>
        <v>-0.10629204254386626</v>
      </c>
      <c r="FW85" s="28">
        <f>SUMPRODUCT(INDEX(PortfolioRef[[SPY]:[PE]],MATCH(FW$1,PortfolioRef[Reference '#]),0),AssetMonthlyReturns[[#This Row],[SPY]:[PE]])</f>
        <v>-3.1814223270107737E-2</v>
      </c>
      <c r="FX85" s="27">
        <f>IF(ISNUMBER(FX84),FX84*(1+PortfolioFrontier[[#This Row],[P45 Return]]),1+PortfolioFrontier[[#This Row],[P45 Return]])</f>
        <v>1.5510489870251594</v>
      </c>
      <c r="FY85" s="27">
        <f>MAX(FY84,PortfolioFrontier[[#This Row],[P45 Growth]])</f>
        <v>1.7108140158896465</v>
      </c>
      <c r="FZ85" s="27">
        <f>PortfolioFrontier[[#This Row],[P45 Growth]]/PortfolioFrontier[[#This Row],[P45 HWM]]-1</f>
        <v>-9.3385386944826454E-2</v>
      </c>
      <c r="GA85" s="28">
        <f>SUMPRODUCT(INDEX(PortfolioRef[[SPY]:[PE]],MATCH(GA$1,PortfolioRef[Reference '#]),0),AssetMonthlyReturns[[#This Row],[SPY]:[PE]])</f>
        <v>-3.4792943038785336E-2</v>
      </c>
      <c r="GB85" s="27">
        <f>IF(ISNUMBER(GB84),GB84*(1+PortfolioFrontier[[#This Row],[P46 Return]]),1+PortfolioFrontier[[#This Row],[P46 Return]])</f>
        <v>1.5569216849257124</v>
      </c>
      <c r="GC85" s="27">
        <f>MAX(GC84,PortfolioFrontier[[#This Row],[P46 Growth]])</f>
        <v>1.7641061270089846</v>
      </c>
      <c r="GD85" s="27">
        <f>PortfolioFrontier[[#This Row],[P46 Growth]]/PortfolioFrontier[[#This Row],[P46 HWM]]-1</f>
        <v>-0.11744443200509169</v>
      </c>
      <c r="GE85" s="28">
        <f>SUMPRODUCT(INDEX(PortfolioRef[[SPY]:[PE]],MATCH(GE$1,PortfolioRef[Reference '#]),0),AssetMonthlyReturns[[#This Row],[SPY]:[PE]])</f>
        <v>-3.2062562566340783E-2</v>
      </c>
      <c r="GF85" s="27">
        <f>IF(ISNUMBER(GF84),GF84*(1+PortfolioFrontier[[#This Row],[P47 Return]]),1+PortfolioFrontier[[#This Row],[P47 Return]])</f>
        <v>1.550255990537813</v>
      </c>
      <c r="GG85" s="27">
        <f>MAX(GG84,PortfolioFrontier[[#This Row],[P47 Growth]])</f>
        <v>1.7312596087544752</v>
      </c>
      <c r="GH85" s="27">
        <f>PortfolioFrontier[[#This Row],[P47 Growth]]/PortfolioFrontier[[#This Row],[P47 HWM]]-1</f>
        <v>-0.1045502461337281</v>
      </c>
      <c r="GI85" s="28">
        <f>SUMPRODUCT(INDEX(PortfolioRef[[SPY]:[PE]],MATCH(GI$1,PortfolioRef[Reference '#]),0),AssetMonthlyReturns[[#This Row],[SPY]:[PE]])</f>
        <v>-2.9332182093896229E-2</v>
      </c>
      <c r="GJ85" s="27">
        <f>IF(ISNUMBER(GJ84),GJ84*(1+PortfolioFrontier[[#This Row],[P48 Return]]),1+PortfolioFrontier[[#This Row],[P48 Return]])</f>
        <v>1.5426008658610351</v>
      </c>
      <c r="GK85" s="27">
        <f>MAX(GK84,PortfolioFrontier[[#This Row],[P48 Growth]])</f>
        <v>1.6982858835097865</v>
      </c>
      <c r="GL85" s="27">
        <f>PortfolioFrontier[[#This Row],[P48 Growth]]/PortfolioFrontier[[#This Row],[P48 HWM]]-1</f>
        <v>-9.1671855227932975E-2</v>
      </c>
      <c r="GM85" s="28">
        <f>SUMPRODUCT(INDEX(PortfolioRef[[SPY]:[PE]],MATCH(GM$1,PortfolioRef[Reference '#]),0),AssetMonthlyReturns[[#This Row],[SPY]:[PE]])</f>
        <v>-3.5041282335018381E-2</v>
      </c>
      <c r="GN85" s="27">
        <f>IF(ISNUMBER(GN84),GN84*(1+PortfolioFrontier[[#This Row],[P49 Return]]),1+PortfolioFrontier[[#This Row],[P49 Return]])</f>
        <v>1.5542812325803534</v>
      </c>
      <c r="GO85" s="27">
        <f>MAX(GO84,PortfolioFrontier[[#This Row],[P49 Growth]])</f>
        <v>1.7836571071341945</v>
      </c>
      <c r="GP85" s="27">
        <f>PortfolioFrontier[[#This Row],[P49 Growth]]/PortfolioFrontier[[#This Row],[P49 HWM]]-1</f>
        <v>-0.12859863795367021</v>
      </c>
      <c r="GQ85" s="28">
        <f>SUMPRODUCT(INDEX(PortfolioRef[[SPY]:[PE]],MATCH(GQ$1,PortfolioRef[Reference '#]),0),AssetMonthlyReturns[[#This Row],[SPY]:[PE]])</f>
        <v>-3.2310901862573835E-2</v>
      </c>
      <c r="GR85" s="27">
        <f>IF(ISNUMBER(GR84),GR84*(1+PortfolioFrontier[[#This Row],[P50 Return]]),1+PortfolioFrontier[[#This Row],[P50 Return]])</f>
        <v>1.5483983464677191</v>
      </c>
      <c r="GS85" s="27">
        <f>MAX(GS84,PortfolioFrontier[[#This Row],[P50 Growth]])</f>
        <v>1.7510275614895194</v>
      </c>
      <c r="GT85" s="27">
        <f>PortfolioFrontier[[#This Row],[P50 Growth]]/PortfolioFrontier[[#This Row],[P50 HWM]]-1</f>
        <v>-0.11572017452965322</v>
      </c>
      <c r="GU85" s="28">
        <f>SUMPRODUCT(INDEX(PortfolioRef[[SPY]:[PE]],MATCH(GU$1,PortfolioRef[Reference '#]),0),AssetMonthlyReturns[[#This Row],[SPY]:[PE]])</f>
        <v>-2.9580521390129275E-2</v>
      </c>
      <c r="GV85" s="27">
        <f>IF(ISNUMBER(GV84),GV84*(1+PortfolioFrontier[[#This Row],[P51 Return]]),1+PortfolioFrontier[[#This Row],[P51 Return]])</f>
        <v>1.5415160035646422</v>
      </c>
      <c r="GW85" s="27">
        <f>MAX(GW84,PortfolioFrontier[[#This Row],[P51 Growth]])</f>
        <v>1.7182435242855478</v>
      </c>
      <c r="GX85" s="27">
        <f>PortfolioFrontier[[#This Row],[P51 Growth]]/PortfolioFrontier[[#This Row],[P51 HWM]]-1</f>
        <v>-0.10285359334870159</v>
      </c>
      <c r="GY85" s="28">
        <f>SUMPRODUCT(INDEX(PortfolioRef[[SPY]:[PE]],MATCH(GY$1,PortfolioRef[Reference '#]),0),AssetMonthlyReturns[[#This Row],[SPY]:[PE]])</f>
        <v>-3.6024950115290298E-2</v>
      </c>
      <c r="GZ85" s="27">
        <f>IF(ISNUMBER(GZ84),GZ84*(1+PortfolioFrontier[[#This Row],[P52 Return]]),1+PortfolioFrontier[[#This Row],[P52 Return]])</f>
        <v>1.5816479191167205</v>
      </c>
      <c r="HA85" s="27">
        <f>MAX(HA84,PortfolioFrontier[[#This Row],[P52 Growth]])</f>
        <v>1.7802031417261526</v>
      </c>
      <c r="HB85" s="27">
        <f>PortfolioFrontier[[#This Row],[P52 Growth]]/PortfolioFrontier[[#This Row],[P52 HWM]]-1</f>
        <v>-0.11153514897008066</v>
      </c>
      <c r="HC85" s="28">
        <f>SUMPRODUCT(INDEX(PortfolioRef[[SPY]:[PE]],MATCH(HC$1,PortfolioRef[Reference '#]),0),AssetMonthlyReturns[[#This Row],[SPY]:[PE]])</f>
        <v>-3.3294569642845752E-2</v>
      </c>
      <c r="HD85" s="27">
        <f>IF(ISNUMBER(HD84),HD84*(1+PortfolioFrontier[[#This Row],[P53 Return]]),1+PortfolioFrontier[[#This Row],[P53 Return]])</f>
        <v>1.5749204603738607</v>
      </c>
      <c r="HE85" s="27">
        <f>MAX(HE84,PortfolioFrontier[[#This Row],[P53 Growth]])</f>
        <v>1.7471238825308339</v>
      </c>
      <c r="HF85" s="27">
        <f>PortfolioFrontier[[#This Row],[P53 Growth]]/PortfolioFrontier[[#This Row],[P53 HWM]]-1</f>
        <v>-9.8563944937621883E-2</v>
      </c>
      <c r="HG85" s="28">
        <f>SUMPRODUCT(INDEX(PortfolioRef[[SPY]:[PE]],MATCH(HG$1,PortfolioRef[Reference '#]),0),AssetMonthlyReturns[[#This Row],[SPY]:[PE]])</f>
        <v>-3.0564189170401195E-2</v>
      </c>
      <c r="HH85" s="27">
        <f>IF(ISNUMBER(HH84),HH84*(1+PortfolioFrontier[[#This Row],[P54 Return]]),1+PortfolioFrontier[[#This Row],[P54 Return]])</f>
        <v>1.5671881374701611</v>
      </c>
      <c r="HI85" s="27">
        <f>MAX(HI84,PortfolioFrontier[[#This Row],[P54 Growth]])</f>
        <v>1.7139140104060526</v>
      </c>
      <c r="HJ85" s="27">
        <f>PortfolioFrontier[[#This Row],[P54 Growth]]/PortfolioFrontier[[#This Row],[P54 HWM]]-1</f>
        <v>-8.5608654836265674E-2</v>
      </c>
      <c r="HK85" s="28">
        <f>SUMPRODUCT(INDEX(PortfolioRef[[SPY]:[PE]],MATCH(HK$1,PortfolioRef[Reference '#]),0),AssetMonthlyReturns[[#This Row],[SPY]:[PE]])</f>
        <v>-3.6273289411523343E-2</v>
      </c>
      <c r="HL85" s="27">
        <f>IF(ISNUMBER(HL84),HL84*(1+PortfolioFrontier[[#This Row],[P55 Return]]),1+PortfolioFrontier[[#This Row],[P55 Return]])</f>
        <v>1.5793053812024003</v>
      </c>
      <c r="HM85" s="27">
        <f>MAX(HM84,PortfolioFrontier[[#This Row],[P55 Growth]])</f>
        <v>1.8002459621778737</v>
      </c>
      <c r="HN85" s="27">
        <f>PortfolioFrontier[[#This Row],[P55 Growth]]/PortfolioFrontier[[#This Row],[P55 HWM]]-1</f>
        <v>-0.12272799696114156</v>
      </c>
      <c r="HO85" s="28">
        <f>SUMPRODUCT(INDEX(PortfolioRef[[SPY]:[PE]],MATCH(HO$1,PortfolioRef[Reference '#]),0),AssetMonthlyReturns[[#This Row],[SPY]:[PE]])</f>
        <v>-3.3542908939078797E-2</v>
      </c>
      <c r="HP85" s="27">
        <f>IF(ISNUMBER(HP84),HP84*(1+PortfolioFrontier[[#This Row],[P56 Return]]),1+PortfolioFrontier[[#This Row],[P56 Return]])</f>
        <v>1.5733716355419711</v>
      </c>
      <c r="HQ85" s="27">
        <f>MAX(HQ84,PortfolioFrontier[[#This Row],[P56 Growth]])</f>
        <v>1.767380839986993</v>
      </c>
      <c r="HR85" s="27">
        <f>PortfolioFrontier[[#This Row],[P56 Growth]]/PortfolioFrontier[[#This Row],[P56 HWM]]-1</f>
        <v>-0.10977215552843134</v>
      </c>
      <c r="HS85" s="28">
        <f>SUMPRODUCT(INDEX(PortfolioRef[[SPY]:[PE]],MATCH(HS$1,PortfolioRef[Reference '#]),0),AssetMonthlyReturns[[#This Row],[SPY]:[PE]])</f>
        <v>-3.0812528466634237E-2</v>
      </c>
      <c r="HT85" s="27">
        <f>IF(ISNUMBER(HT84),HT84*(1+PortfolioFrontier[[#This Row],[P57 Return]]),1+PortfolioFrontier[[#This Row],[P57 Return]])</f>
        <v>1.5664226775091112</v>
      </c>
      <c r="HU85" s="27">
        <f>MAX(HU84,PortfolioFrontier[[#This Row],[P57 Growth]])</f>
        <v>1.7343575628436463</v>
      </c>
      <c r="HV85" s="27">
        <f>PortfolioFrontier[[#This Row],[P57 Growth]]/PortfolioFrontier[[#This Row],[P57 HWM]]-1</f>
        <v>-9.6828294771690304E-2</v>
      </c>
      <c r="HW85" s="28">
        <f>SUMPRODUCT(INDEX(PortfolioRef[[SPY]:[PE]],MATCH(HW$1,PortfolioRef[Reference '#]),0),AssetMonthlyReturns[[#This Row],[SPY]:[PE]])</f>
        <v>-3.6521628707756396E-2</v>
      </c>
      <c r="HX85" s="27">
        <f>IF(ISNUMBER(HX84),HX84*(1+PortfolioFrontier[[#This Row],[P58 Return]]),1+PortfolioFrontier[[#This Row],[P58 Return]])</f>
        <v>1.5758743275217388</v>
      </c>
      <c r="HY85" s="27">
        <f>MAX(HY84,PortfolioFrontier[[#This Row],[P58 Growth]])</f>
        <v>1.8195487359549802</v>
      </c>
      <c r="HZ85" s="27">
        <f>PortfolioFrontier[[#This Row],[P58 Growth]]/PortfolioFrontier[[#This Row],[P58 HWM]]-1</f>
        <v>-0.13392024276027437</v>
      </c>
      <c r="IA85" s="28">
        <f>SUMPRODUCT(INDEX(PortfolioRef[[SPY]:[PE]],MATCH(IA$1,PortfolioRef[Reference '#]),0),AssetMonthlyReturns[[#This Row],[SPY]:[PE]])</f>
        <v>-3.3791248235311842E-2</v>
      </c>
      <c r="IB85" s="27">
        <f>IF(ISNUMBER(IB84),IB84*(1+PortfolioFrontier[[#This Row],[P59 Return]]),1+PortfolioFrontier[[#This Row],[P59 Return]])</f>
        <v>1.5707403144914172</v>
      </c>
      <c r="IC85" s="27">
        <f>MAX(IC84,PortfolioFrontier[[#This Row],[P59 Growth]])</f>
        <v>1.7869282396294996</v>
      </c>
      <c r="ID85" s="27">
        <f>PortfolioFrontier[[#This Row],[P59 Growth]]/PortfolioFrontier[[#This Row],[P59 HWM]]-1</f>
        <v>-0.12098299212222796</v>
      </c>
      <c r="IE85" s="28">
        <f>SUMPRODUCT(INDEX(PortfolioRef[[SPY]:[PE]],MATCH(IE$1,PortfolioRef[Reference '#]),0),AssetMonthlyReturns[[#This Row],[SPY]:[PE]])</f>
        <v>-3.1060867762867289E-2</v>
      </c>
      <c r="IF85" s="27">
        <f>IF(ISNUMBER(IF84),IF84*(1+PortfolioFrontier[[#This Row],[P60 Return]]),1+PortfolioFrontier[[#This Row],[P60 Return]])</f>
        <v>1.5645819966182055</v>
      </c>
      <c r="IG85" s="27">
        <f>MAX(IG84,PortfolioFrontier[[#This Row],[P60 Growth]])</f>
        <v>1.7541215677111524</v>
      </c>
      <c r="IH85" s="27">
        <f>PortfolioFrontier[[#This Row],[P60 Growth]]/PortfolioFrontier[[#This Row],[P60 HWM]]-1</f>
        <v>-0.10805383992870321</v>
      </c>
      <c r="II85" s="28">
        <f>SUMPRODUCT(INDEX(PortfolioRef[[SPY]:[PE]],MATCH(II$1,PortfolioRef[Reference '#]),0),AssetMonthlyReturns[[#This Row],[SPY]:[PE]])</f>
        <v>-3.0794560067240798E-2</v>
      </c>
      <c r="IJ85" s="27">
        <f>IF(ISNUMBER(IJ84),IJ84*(1+PortfolioFrontier[[#This Row],[P61 Return]]),1+PortfolioFrontier[[#This Row],[P61 Return]])</f>
        <v>1.4315242422002208</v>
      </c>
      <c r="IK85" s="27">
        <f>MAX(IK84,PortfolioFrontier[[#This Row],[P61 Growth]])</f>
        <v>1.6121264956964798</v>
      </c>
      <c r="IL85" s="27">
        <f>PortfolioFrontier[[#This Row],[P61 Growth]]/PortfolioFrontier[[#This Row],[P61 HWM]]-1</f>
        <v>-0.11202734647583235</v>
      </c>
      <c r="IM85" s="28">
        <f>SUMPRODUCT(INDEX(PortfolioRef[[SPY]:[PE]],MATCH(IM$1,PortfolioRef[Reference '#]),0),AssetMonthlyReturns[[#This Row],[SPY]:[PE]])</f>
        <v>-3.2026567143745757E-2</v>
      </c>
      <c r="IN85" s="27">
        <f>IF(ISNUMBER(IN84),IN84*(1+PortfolioFrontier[[#This Row],[P62 Return]]),1+PortfolioFrontier[[#This Row],[P62 Return]])</f>
        <v>1.4546818606157992</v>
      </c>
      <c r="IO85" s="27">
        <f>MAX(IO84,PortfolioFrontier[[#This Row],[P62 Growth]])</f>
        <v>1.6272630311124299</v>
      </c>
      <c r="IP85" s="27">
        <f>PortfolioFrontier[[#This Row],[P62 Growth]]/PortfolioFrontier[[#This Row],[P62 HWM]]-1</f>
        <v>-0.10605609984186193</v>
      </c>
      <c r="IQ85" s="28">
        <f>SUMPRODUCT(INDEX(PortfolioRef[[SPY]:[PE]],MATCH(IQ$1,PortfolioRef[Reference '#]),0),AssetMonthlyReturns[[#This Row],[SPY]:[PE]])</f>
        <v>-3.2274906439978802E-2</v>
      </c>
      <c r="IR85" s="27">
        <f>IF(ISNUMBER(IR84),IR84*(1+PortfolioFrontier[[#This Row],[P63 Return]]),1+PortfolioFrontier[[#This Row],[P63 Return]])</f>
        <v>1.4541099150773806</v>
      </c>
      <c r="IS85" s="27">
        <f>MAX(IS84,PortfolioFrontier[[#This Row],[P63 Growth]])</f>
        <v>1.646884909102555</v>
      </c>
      <c r="IT85" s="27">
        <f>PortfolioFrontier[[#This Row],[P63 Growth]]/PortfolioFrontier[[#This Row],[P63 HWM]]-1</f>
        <v>-0.11705432052943165</v>
      </c>
      <c r="IU85" s="28">
        <f>SUMPRODUCT(INDEX(PortfolioRef[[SPY]:[PE]],MATCH(IU$1,PortfolioRef[Reference '#]),0),AssetMonthlyReturns[[#This Row],[SPY]:[PE]])</f>
        <v>-2.9544525967534253E-2</v>
      </c>
      <c r="IV85" s="27">
        <f>IF(ISNUMBER(IV84),IV84*(1+PortfolioFrontier[[#This Row],[P64 Return]]),1+PortfolioFrontier[[#This Row],[P64 Return]])</f>
        <v>1.4465803786305742</v>
      </c>
      <c r="IW85" s="27">
        <f>MAX(IW84,PortfolioFrontier[[#This Row],[P64 Growth]])</f>
        <v>1.6151793879801097</v>
      </c>
      <c r="IX85" s="27">
        <f>PortfolioFrontier[[#This Row],[P64 Growth]]/PortfolioFrontier[[#This Row],[P64 HWM]]-1</f>
        <v>-0.10438407684262241</v>
      </c>
      <c r="IY85" s="28">
        <f>SUMPRODUCT(INDEX(PortfolioRef[[SPY]:[PE]],MATCH(IY$1,PortfolioRef[Reference '#]),0),AssetMonthlyReturns[[#This Row],[SPY]:[PE]])</f>
        <v>-3.3258574220250726E-2</v>
      </c>
      <c r="IZ85" s="27">
        <f>IF(ISNUMBER(IZ84),IZ84*(1+PortfolioFrontier[[#This Row],[P65 Return]]),1+PortfolioFrontier[[#This Row],[P65 Return]])</f>
        <v>1.4778594452160276</v>
      </c>
      <c r="JA85" s="27">
        <f>MAX(JA84,PortfolioFrontier[[#This Row],[P65 Growth]])</f>
        <v>1.6422150953060746</v>
      </c>
      <c r="JB85" s="27">
        <f>PortfolioFrontier[[#This Row],[P65 Growth]]/PortfolioFrontier[[#This Row],[P65 HWM]]-1</f>
        <v>-0.100081682697853</v>
      </c>
      <c r="JC85" s="28">
        <f>SUMPRODUCT(INDEX(PortfolioRef[[SPY]:[PE]],MATCH(JC$1,PortfolioRef[Reference '#]),0),AssetMonthlyReturns[[#This Row],[SPY]:[PE]])</f>
        <v>-3.3506913516483772E-2</v>
      </c>
      <c r="JD85" s="27">
        <f>IF(ISNUMBER(JD84),JD84*(1+PortfolioFrontier[[#This Row],[P66 Return]]),1+PortfolioFrontier[[#This Row],[P66 Return]])</f>
        <v>1.477597008691836</v>
      </c>
      <c r="JE85" s="27">
        <f>MAX(JE84,PortfolioFrontier[[#This Row],[P66 Growth]])</f>
        <v>1.6623077877531292</v>
      </c>
      <c r="JF85" s="27">
        <f>PortfolioFrontier[[#This Row],[P66 Growth]]/PortfolioFrontier[[#This Row],[P66 HWM]]-1</f>
        <v>-0.11111707496176682</v>
      </c>
      <c r="JG85" s="28">
        <f>SUMPRODUCT(INDEX(PortfolioRef[[SPY]:[PE]],MATCH(JG$1,PortfolioRef[Reference '#]),0),AssetMonthlyReturns[[#This Row],[SPY]:[PE]])</f>
        <v>-3.0776533044039218E-2</v>
      </c>
      <c r="JH85" s="27">
        <f>IF(ISNUMBER(JH84),JH84*(1+PortfolioFrontier[[#This Row],[P67 Return]]),1+PortfolioFrontier[[#This Row],[P67 Return]])</f>
        <v>1.4699881254755089</v>
      </c>
      <c r="JI85" s="27">
        <f>MAX(JI84,PortfolioFrontier[[#This Row],[P67 Growth]])</f>
        <v>1.6303687537292939</v>
      </c>
      <c r="JJ85" s="27">
        <f>PortfolioFrontier[[#This Row],[P67 Growth]]/PortfolioFrontier[[#This Row],[P67 HWM]]-1</f>
        <v>-9.8370769120133983E-2</v>
      </c>
      <c r="JK85" s="28">
        <f>SUMPRODUCT(INDEX(PortfolioRef[[SPY]:[PE]],MATCH(JK$1,PortfolioRef[Reference '#]),0),AssetMonthlyReturns[[#This Row],[SPY]:[PE]])</f>
        <v>-3.3755252812716817E-2</v>
      </c>
      <c r="JL85" s="27">
        <f>IF(ISNUMBER(JL84),JL84*(1+PortfolioFrontier[[#This Row],[P68 Return]]),1+PortfolioFrontier[[#This Row],[P68 Return]])</f>
        <v>1.4763202024335804</v>
      </c>
      <c r="JM85" s="27">
        <f>MAX(JM84,PortfolioFrontier[[#This Row],[P68 Growth]])</f>
        <v>1.6817622542850994</v>
      </c>
      <c r="JN85" s="27">
        <f>PortfolioFrontier[[#This Row],[P68 Growth]]/PortfolioFrontier[[#This Row],[P68 HWM]]-1</f>
        <v>-0.12215879582744615</v>
      </c>
      <c r="JO85" s="28">
        <f>SUMPRODUCT(INDEX(PortfolioRef[[SPY]:[PE]],MATCH(JO$1,PortfolioRef[Reference '#]),0),AssetMonthlyReturns[[#This Row],[SPY]:[PE]])</f>
        <v>-3.1024872340272267E-2</v>
      </c>
      <c r="JP85" s="27">
        <f>IF(ISNUMBER(JP84),JP84*(1+PortfolioFrontier[[#This Row],[P69 Return]]),1+PortfolioFrontier[[#This Row],[P69 Return]])</f>
        <v>1.4694441523834683</v>
      </c>
      <c r="JQ85" s="27">
        <f>MAX(JQ84,PortfolioFrontier[[#This Row],[P69 Growth]])</f>
        <v>1.6499912107010917</v>
      </c>
      <c r="JR85" s="27">
        <f>PortfolioFrontier[[#This Row],[P69 Growth]]/PortfolioFrontier[[#This Row],[P69 HWM]]-1</f>
        <v>-0.10942304246633405</v>
      </c>
      <c r="JS85" s="28">
        <f>SUMPRODUCT(INDEX(PortfolioRef[[SPY]:[PE]],MATCH(JS$1,PortfolioRef[Reference '#]),0),AssetMonthlyReturns[[#This Row],[SPY]:[PE]])</f>
        <v>-2.8294491867827714E-2</v>
      </c>
      <c r="JT85" s="27">
        <f>IF(ISNUMBER(JT84),JT84*(1+PortfolioFrontier[[#This Row],[P70 Return]]),1+PortfolioFrontier[[#This Row],[P70 Return]])</f>
        <v>1.4616368022676411</v>
      </c>
      <c r="JU85" s="27">
        <f>MAX(JU84,PortfolioFrontier[[#This Row],[P70 Growth]])</f>
        <v>1.6181178918603722</v>
      </c>
      <c r="JV85" s="27">
        <f>PortfolioFrontier[[#This Row],[P70 Growth]]/PortfolioFrontier[[#This Row],[P70 HWM]]-1</f>
        <v>-9.6705617297651036E-2</v>
      </c>
      <c r="JW85" s="28">
        <f>SUMPRODUCT(INDEX(PortfolioRef[[SPY]:[PE]],MATCH(JW$1,PortfolioRef[Reference '#]),0),AssetMonthlyReturns[[#This Row],[SPY]:[PE]])</f>
        <v>-3.4738920592988734E-2</v>
      </c>
      <c r="JX85" s="27">
        <f>IF(ISNUMBER(JX84),JX84*(1+PortfolioFrontier[[#This Row],[P71 Return]]),1+PortfolioFrontier[[#This Row],[P71 Return]])</f>
        <v>1.5011037859919929</v>
      </c>
      <c r="JY85" s="27">
        <f>MAX(JY84,PortfolioFrontier[[#This Row],[P71 Growth]])</f>
        <v>1.6775420819631024</v>
      </c>
      <c r="JZ85" s="27">
        <f>PortfolioFrontier[[#This Row],[P71 Growth]]/PortfolioFrontier[[#This Row],[P71 HWM]]-1</f>
        <v>-0.10517667357985849</v>
      </c>
      <c r="KA85" s="28">
        <f>SUMPRODUCT(INDEX(PortfolioRef[[SPY]:[PE]],MATCH(KA$1,PortfolioRef[Reference '#]),0),AssetMonthlyReturns[[#This Row],[SPY]:[PE]])</f>
        <v>-3.2008540120544188E-2</v>
      </c>
      <c r="KB85" s="27">
        <f>IF(ISNUMBER(KB84),KB84*(1+PortfolioFrontier[[#This Row],[P72 Return]]),1+PortfolioFrontier[[#This Row],[P72 Return]])</f>
        <v>1.4934164866172557</v>
      </c>
      <c r="KC85" s="27">
        <f>MAX(KC84,PortfolioFrontier[[#This Row],[P72 Growth]])</f>
        <v>1.6453738946019467</v>
      </c>
      <c r="KD85" s="27">
        <f>PortfolioFrontier[[#This Row],[P72 Growth]]/PortfolioFrontier[[#This Row],[P72 HWM]]-1</f>
        <v>-9.2354332643312609E-2</v>
      </c>
      <c r="KE85" s="28">
        <f>SUMPRODUCT(INDEX(PortfolioRef[[SPY]:[PE]],MATCH(KE$1,PortfolioRef[Reference '#]),0),AssetMonthlyReturns[[#This Row],[SPY]:[PE]])</f>
        <v>-3.4987259889221779E-2</v>
      </c>
      <c r="KF85" s="27">
        <f>IF(ISNUMBER(KF84),KF84*(1+PortfolioFrontier[[#This Row],[P73 Return]]),1+PortfolioFrontier[[#This Row],[P73 Return]])</f>
        <v>1.5001300310423371</v>
      </c>
      <c r="KG85" s="27">
        <f>MAX(KG84,PortfolioFrontier[[#This Row],[P73 Growth]])</f>
        <v>1.6974712283523181</v>
      </c>
      <c r="KH85" s="27">
        <f>PortfolioFrontier[[#This Row],[P73 Growth]]/PortfolioFrontier[[#This Row],[P73 HWM]]-1</f>
        <v>-0.11625598950595106</v>
      </c>
      <c r="KI85" s="28">
        <f>SUMPRODUCT(INDEX(PortfolioRef[[SPY]:[PE]],MATCH(KI$1,PortfolioRef[Reference '#]),0),AssetMonthlyReturns[[#This Row],[SPY]:[PE]])</f>
        <v>-3.2256879416777233E-2</v>
      </c>
      <c r="KJ85" s="27">
        <f>IF(ISNUMBER(KJ84),KJ84*(1+PortfolioFrontier[[#This Row],[P74 Return]]),1+PortfolioFrontier[[#This Row],[P74 Return]])</f>
        <v>1.4931855381925765</v>
      </c>
      <c r="KK85" s="27">
        <f>MAX(KK84,PortfolioFrontier[[#This Row],[P74 Growth]])</f>
        <v>1.6654678920548054</v>
      </c>
      <c r="KL85" s="27">
        <f>PortfolioFrontier[[#This Row],[P74 Growth]]/PortfolioFrontier[[#This Row],[P74 HWM]]-1</f>
        <v>-0.10344381580942519</v>
      </c>
      <c r="KM85" s="28">
        <f>SUMPRODUCT(INDEX(PortfolioRef[[SPY]:[PE]],MATCH(KM$1,PortfolioRef[Reference '#]),0),AssetMonthlyReturns[[#This Row],[SPY]:[PE]])</f>
        <v>-2.9526498944332676E-2</v>
      </c>
      <c r="KN85" s="27">
        <f>IF(ISNUMBER(KN84),KN84*(1+PortfolioFrontier[[#This Row],[P75 Return]]),1+PortfolioFrontier[[#This Row],[P75 Return]])</f>
        <v>1.4852949636997375</v>
      </c>
      <c r="KO85" s="27">
        <f>MAX(KO84,PortfolioFrontier[[#This Row],[P75 Growth]])</f>
        <v>1.6333591346427441</v>
      </c>
      <c r="KP85" s="27">
        <f>PortfolioFrontier[[#This Row],[P75 Growth]]/PortfolioFrontier[[#This Row],[P75 HWM]]-1</f>
        <v>-9.065010125614037E-2</v>
      </c>
      <c r="KQ85" s="28">
        <f>SUMPRODUCT(INDEX(PortfolioRef[[SPY]:[PE]],MATCH(KQ$1,PortfolioRef[Reference '#]),0),AssetMonthlyReturns[[#This Row],[SPY]:[PE]])</f>
        <v>-3.5235599185454825E-2</v>
      </c>
      <c r="KR85" s="27">
        <f>IF(ISNUMBER(KR84),KR84*(1+PortfolioFrontier[[#This Row],[P76 Return]]),1+PortfolioFrontier[[#This Row],[P76 Return]])</f>
        <v>1.4981241909741405</v>
      </c>
      <c r="KS85" s="27">
        <f>MAX(KS84,PortfolioFrontier[[#This Row],[P76 Growth]])</f>
        <v>1.7167314071133803</v>
      </c>
      <c r="KT85" s="27">
        <f>PortfolioFrontier[[#This Row],[P76 Growth]]/PortfolioFrontier[[#This Row],[P76 HWM]]-1</f>
        <v>-0.12733920707306201</v>
      </c>
      <c r="KU85" s="28">
        <f>SUMPRODUCT(INDEX(PortfolioRef[[SPY]:[PE]],MATCH(KU$1,PortfolioRef[Reference '#]),0),AssetMonthlyReturns[[#This Row],[SPY]:[PE]])</f>
        <v>-3.2505218713010278E-2</v>
      </c>
      <c r="KV85" s="27">
        <f>IF(ISNUMBER(KV84),KV84*(1+PortfolioFrontier[[#This Row],[P77 Return]]),1+PortfolioFrontier[[#This Row],[P77 Return]])</f>
        <v>1.4919300532224318</v>
      </c>
      <c r="KW85" s="27">
        <f>MAX(KW84,PortfolioFrontier[[#This Row],[P77 Growth]])</f>
        <v>1.6849217747429484</v>
      </c>
      <c r="KX85" s="27">
        <f>PortfolioFrontier[[#This Row],[P77 Growth]]/PortfolioFrontier[[#This Row],[P77 HWM]]-1</f>
        <v>-0.11454046378500826</v>
      </c>
      <c r="KY85" s="28">
        <f>SUMPRODUCT(INDEX(PortfolioRef[[SPY]:[PE]],MATCH(KY$1,PortfolioRef[Reference '#]),0),AssetMonthlyReturns[[#This Row],[SPY]:[PE]])</f>
        <v>-2.9774838240565725E-2</v>
      </c>
      <c r="KZ85" s="27">
        <f>IF(ISNUMBER(KZ84),KZ84*(1+PortfolioFrontier[[#This Row],[P78 Return]]),1+PortfolioFrontier[[#This Row],[P78 Return]])</f>
        <v>1.484779456727833</v>
      </c>
      <c r="LA85" s="27">
        <f>MAX(LA84,PortfolioFrontier[[#This Row],[P78 Growth]])</f>
        <v>1.6529805725839544</v>
      </c>
      <c r="LB85" s="27">
        <f>PortfolioFrontier[[#This Row],[P78 Growth]]/PortfolioFrontier[[#This Row],[P78 HWM]]-1</f>
        <v>-0.10175625693724144</v>
      </c>
      <c r="LC85" s="28">
        <f>SUMPRODUCT(INDEX(PortfolioRef[[SPY]:[PE]],MATCH(LC$1,PortfolioRef[Reference '#]),0),AssetMonthlyReturns[[#This Row],[SPY]:[PE]])</f>
        <v>-3.6219266965726749E-2</v>
      </c>
      <c r="LD85" s="27">
        <f>IF(ISNUMBER(LD84),LD84*(1+PortfolioFrontier[[#This Row],[P79 Return]]),1+PortfolioFrontier[[#This Row],[P79 Return]])</f>
        <v>1.5239592439628804</v>
      </c>
      <c r="LE85" s="27">
        <f>MAX(LE84,PortfolioFrontier[[#This Row],[P79 Growth]])</f>
        <v>1.7129874860839263</v>
      </c>
      <c r="LF85" s="27">
        <f>PortfolioFrontier[[#This Row],[P79 Growth]]/PortfolioFrontier[[#This Row],[P79 HWM]]-1</f>
        <v>-0.11035004263410286</v>
      </c>
      <c r="LG85" s="28">
        <f>SUMPRODUCT(INDEX(PortfolioRef[[SPY]:[PE]],MATCH(LG$1,PortfolioRef[Reference '#]),0),AssetMonthlyReturns[[#This Row],[SPY]:[PE]])</f>
        <v>-3.3488886493282195E-2</v>
      </c>
      <c r="LH85" s="27">
        <f>IF(ISNUMBER(LH84),LH84*(1+PortfolioFrontier[[#This Row],[P80 Return]]),1+PortfolioFrontier[[#This Row],[P80 Return]])</f>
        <v>1.5169472583732315</v>
      </c>
      <c r="LI85" s="27">
        <f>MAX(LI84,PortfolioFrontier[[#This Row],[P80 Growth]])</f>
        <v>1.6807562405101484</v>
      </c>
      <c r="LJ85" s="27">
        <f>PortfolioFrontier[[#This Row],[P80 Growth]]/PortfolioFrontier[[#This Row],[P80 HWM]]-1</f>
        <v>-9.7461474893704381E-2</v>
      </c>
      <c r="LK85" s="28">
        <f>SUMPRODUCT(INDEX(PortfolioRef[[SPY]:[PE]],MATCH(LK$1,PortfolioRef[Reference '#]),0),AssetMonthlyReturns[[#This Row],[SPY]:[PE]])</f>
        <v>-3.0758506020837642E-2</v>
      </c>
      <c r="LL85" s="27">
        <f>IF(ISNUMBER(LL84),LL84*(1+PortfolioFrontier[[#This Row],[P81 Return]]),1+PortfolioFrontier[[#This Row],[P81 Return]])</f>
        <v>1.5089743984949655</v>
      </c>
      <c r="LM85" s="27">
        <f>MAX(LM84,PortfolioFrontier[[#This Row],[P81 Growth]])</f>
        <v>1.648416413491208</v>
      </c>
      <c r="LN85" s="27">
        <f>PortfolioFrontier[[#This Row],[P81 Growth]]/PortfolioFrontier[[#This Row],[P81 HWM]]-1</f>
        <v>-8.4591498759052031E-2</v>
      </c>
      <c r="LO85" s="28">
        <f>SUMPRODUCT(INDEX(PortfolioRef[[SPY]:[PE]],MATCH(LO$1,PortfolioRef[Reference '#]),0),AssetMonthlyReturns[[#This Row],[SPY]:[PE]])</f>
        <v>-3.6467606261959794E-2</v>
      </c>
      <c r="LP85" s="27">
        <f>IF(ISNUMBER(LP84),LP84*(1+PortfolioFrontier[[#This Row],[P82 Return]]),1+PortfolioFrontier[[#This Row],[P82 Return]])</f>
        <v>1.5222495630010637</v>
      </c>
      <c r="LQ85" s="27">
        <f>MAX(LQ84,PortfolioFrontier[[#This Row],[P82 Growth]])</f>
        <v>1.7327259878391794</v>
      </c>
      <c r="LR85" s="27">
        <f>PortfolioFrontier[[#This Row],[P82 Growth]]/PortfolioFrontier[[#This Row],[P82 HWM]]-1</f>
        <v>-0.12147126915352224</v>
      </c>
      <c r="LS85" s="28">
        <f>SUMPRODUCT(INDEX(PortfolioRef[[SPY]:[PE]],MATCH(LS$1,PortfolioRef[Reference '#]),0),AssetMonthlyReturns[[#This Row],[SPY]:[PE]])</f>
        <v>-3.3737225789515247E-2</v>
      </c>
      <c r="LT85" s="27">
        <f>IF(ISNUMBER(LT84),LT84*(1+PortfolioFrontier[[#This Row],[P83 Return]]),1+PortfolioFrontier[[#This Row],[P83 Return]])</f>
        <v>1.5159982855536278</v>
      </c>
      <c r="LU85" s="27">
        <f>MAX(LU84,PortfolioFrontier[[#This Row],[P83 Growth]])</f>
        <v>1.7006855237848306</v>
      </c>
      <c r="LV85" s="27">
        <f>PortfolioFrontier[[#This Row],[P83 Growth]]/PortfolioFrontier[[#This Row],[P83 HWM]]-1</f>
        <v>-0.10859576073781485</v>
      </c>
      <c r="LW85" s="28">
        <f>SUMPRODUCT(INDEX(PortfolioRef[[SPY]:[PE]],MATCH(LW$1,PortfolioRef[Reference '#]),0),AssetMonthlyReturns[[#This Row],[SPY]:[PE]])</f>
        <v>-3.1006845317070687E-2</v>
      </c>
      <c r="LX85" s="27">
        <f>IF(ISNUMBER(LX84),LX84*(1+PortfolioFrontier[[#This Row],[P84 Return]]),1+PortfolioFrontier[[#This Row],[P84 Return]])</f>
        <v>1.508775436763035</v>
      </c>
      <c r="LY85" s="27">
        <f>MAX(LY84,PortfolioFrontier[[#This Row],[P84 Growth]])</f>
        <v>1.6685100840279028</v>
      </c>
      <c r="LZ85" s="27">
        <f>PortfolioFrontier[[#This Row],[P84 Growth]]/PortfolioFrontier[[#This Row],[P84 HWM]]-1</f>
        <v>-9.573490073206925E-2</v>
      </c>
      <c r="MA85" s="28">
        <f>SUMPRODUCT(INDEX(PortfolioRef[[SPY]:[PE]],MATCH(MA$1,PortfolioRef[Reference '#]),0),AssetMonthlyReturns[[#This Row],[SPY]:[PE]])</f>
        <v>-3.6715945558192839E-2</v>
      </c>
      <c r="MB85" s="27">
        <f>IF(ISNUMBER(MB84),MB84*(1+PortfolioFrontier[[#This Row],[P85 Return]]),1+PortfolioFrontier[[#This Row],[P85 Return]])</f>
        <v>1.5194908119453998</v>
      </c>
      <c r="MC85" s="27">
        <f>MAX(MC84,PortfolioFrontier[[#This Row],[P85 Growth]])</f>
        <v>1.7517641950154219</v>
      </c>
      <c r="MD85" s="27">
        <f>PortfolioFrontier[[#This Row],[P85 Growth]]/PortfolioFrontier[[#This Row],[P85 HWM]]-1</f>
        <v>-0.13259397796287142</v>
      </c>
      <c r="ME85" s="28">
        <f>SUMPRODUCT(INDEX(PortfolioRef[[SPY]:[PE]],MATCH(ME$1,PortfolioRef[Reference '#]),0),AssetMonthlyReturns[[#This Row],[SPY]:[PE]])</f>
        <v>-3.3985565085748293E-2</v>
      </c>
      <c r="MF85" s="27">
        <f>IF(ISNUMBER(MF84),MF84*(1+PortfolioFrontier[[#This Row],[P86 Return]]),1+PortfolioFrontier[[#This Row],[P86 Return]])</f>
        <v>1.5140068293339979</v>
      </c>
      <c r="MG85" s="27">
        <f>MAX(MG84,PortfolioFrontier[[#This Row],[P86 Growth]])</f>
        <v>1.7199439154573082</v>
      </c>
      <c r="MH85" s="27">
        <f>PortfolioFrontier[[#This Row],[P86 Growth]]/PortfolioFrontier[[#This Row],[P86 HWM]]-1</f>
        <v>-0.11973476825176277</v>
      </c>
      <c r="MI85" s="28">
        <f>SUMPRODUCT(INDEX(PortfolioRef[[SPY]:[PE]],MATCH(MI$1,PortfolioRef[Reference '#]),0),AssetMonthlyReturns[[#This Row],[SPY]:[PE]])</f>
        <v>-3.1255184613303739E-2</v>
      </c>
      <c r="MJ85" s="27">
        <f>IF(ISNUMBER(MJ84),MJ84*(1+PortfolioFrontier[[#This Row],[P87 Return]]),1+PortfolioFrontier[[#This Row],[P87 Return]])</f>
        <v>1.5075417739829995</v>
      </c>
      <c r="MK85" s="27">
        <f>MAX(MK84,PortfolioFrontier[[#This Row],[P87 Growth]])</f>
        <v>1.6879617873128629</v>
      </c>
      <c r="ML85" s="27">
        <f>PortfolioFrontier[[#This Row],[P87 Growth]]/PortfolioFrontier[[#This Row],[P87 HWM]]-1</f>
        <v>-0.10688631382887026</v>
      </c>
      <c r="MM85" s="28">
        <f>SUMPRODUCT(INDEX(PortfolioRef[[SPY]:[PE]],MATCH(MM$1,PortfolioRef[Reference '#]),0),AssetMonthlyReturns[[#This Row],[SPY]:[PE]])</f>
        <v>-3.7699613338464763E-2</v>
      </c>
      <c r="MN85" s="27">
        <f>IF(ISNUMBER(MN84),MN84*(1+PortfolioFrontier[[#This Row],[P88 Return]]),1+PortfolioFrontier[[#This Row],[P88 Return]])</f>
        <v>1.5463940034364811</v>
      </c>
      <c r="MO85" s="27">
        <f>MAX(MO84,PortfolioFrontier[[#This Row],[P88 Growth]])</f>
        <v>1.7485237047822844</v>
      </c>
      <c r="MP85" s="27">
        <f>PortfolioFrontier[[#This Row],[P88 Growth]]/PortfolioFrontier[[#This Row],[P88 HWM]]-1</f>
        <v>-0.11560020650161629</v>
      </c>
      <c r="MQ85" s="28">
        <f>SUMPRODUCT(INDEX(PortfolioRef[[SPY]:[PE]],MATCH(MQ$1,PortfolioRef[Reference '#]),0),AssetMonthlyReturns[[#This Row],[SPY]:[PE]])</f>
        <v>-3.496923286602021E-2</v>
      </c>
      <c r="MR85" s="27">
        <f>IF(ISNUMBER(MR84),MR84*(1+PortfolioFrontier[[#This Row],[P89 Return]]),1+PortfolioFrontier[[#This Row],[P89 Return]])</f>
        <v>1.5400865551144334</v>
      </c>
      <c r="MS85" s="27">
        <f>MAX(MS84,PortfolioFrontier[[#This Row],[P89 Growth]])</f>
        <v>1.7162568132506029</v>
      </c>
      <c r="MT85" s="27">
        <f>PortfolioFrontier[[#This Row],[P89 Growth]]/PortfolioFrontier[[#This Row],[P89 HWM]]-1</f>
        <v>-0.10264795849666675</v>
      </c>
      <c r="MU85" s="28">
        <f>SUMPRODUCT(INDEX(PortfolioRef[[SPY]:[PE]],MATCH(MU$1,PortfolioRef[Reference '#]),0),AssetMonthlyReturns[[#This Row],[SPY]:[PE]])</f>
        <v>-3.2238852393575657E-2</v>
      </c>
      <c r="MV85" s="27">
        <f>IF(ISNUMBER(MV84),MV84*(1+PortfolioFrontier[[#This Row],[P90 Return]]),1+PortfolioFrontier[[#This Row],[P90 Return]])</f>
        <v>1.532792412961999</v>
      </c>
      <c r="MW85" s="27">
        <f>MAX(MW84,PortfolioFrontier[[#This Row],[P90 Growth]])</f>
        <v>1.6838515290273213</v>
      </c>
      <c r="MX85" s="27">
        <f>PortfolioFrontier[[#This Row],[P90 Growth]]/PortfolioFrontier[[#This Row],[P90 HWM]]-1</f>
        <v>-8.9710472367229288E-2</v>
      </c>
      <c r="MY85" s="28">
        <f>SUMPRODUCT(INDEX(PortfolioRef[[SPY]:[PE]],MATCH(MY$1,PortfolioRef[Reference '#]),0),AssetMonthlyReturns[[#This Row],[SPY]:[PE]])</f>
        <v>-3.7947952634697801E-2</v>
      </c>
      <c r="MZ85" s="27">
        <f>IF(ISNUMBER(MZ84),MZ84*(1+PortfolioFrontier[[#This Row],[P91 Return]]),1+PortfolioFrontier[[#This Row],[P91 Return]])</f>
        <v>1.5439240844217881</v>
      </c>
      <c r="NA85" s="27">
        <f>MAX(NA84,PortfolioFrontier[[#This Row],[P91 Growth]])</f>
        <v>1.7680436458517257</v>
      </c>
      <c r="NB85" s="27">
        <f>PortfolioFrontier[[#This Row],[P91 Growth]]/PortfolioFrontier[[#This Row],[P91 HWM]]-1</f>
        <v>-0.12676132852024236</v>
      </c>
      <c r="NC85" s="28">
        <f>SUMPRODUCT(INDEX(PortfolioRef[[SPY]:[PE]],MATCH(NC$1,PortfolioRef[Reference '#]),0),AssetMonthlyReturns[[#This Row],[SPY]:[PE]])</f>
        <v>-3.5217572162253255E-2</v>
      </c>
      <c r="ND85" s="27">
        <f>IF(ISNUMBER(ND84),ND84*(1+PortfolioFrontier[[#This Row],[P92 Return]]),1+PortfolioFrontier[[#This Row],[P92 Return]])</f>
        <v>1.5383946592712674</v>
      </c>
      <c r="NE85" s="27">
        <f>MAX(NE84,PortfolioFrontier[[#This Row],[P92 Growth]])</f>
        <v>1.73599424265744</v>
      </c>
      <c r="NF85" s="27">
        <f>PortfolioFrontier[[#This Row],[P92 Growth]]/PortfolioFrontier[[#This Row],[P92 HWM]]-1</f>
        <v>-0.11382502230173841</v>
      </c>
      <c r="NG85" s="28">
        <f>SUMPRODUCT(INDEX(PortfolioRef[[SPY]:[PE]],MATCH(NG$1,PortfolioRef[Reference '#]),0),AssetMonthlyReturns[[#This Row],[SPY]:[PE]])</f>
        <v>-3.2487191689808702E-2</v>
      </c>
      <c r="NH85" s="27">
        <f>IF(ISNUMBER(NH84),NH84*(1+PortfolioFrontier[[#This Row],[P93 Return]]),1+PortfolioFrontier[[#This Row],[P93 Return]])</f>
        <v>1.5318687281939303</v>
      </c>
      <c r="NI85" s="27">
        <f>MAX(NI84,PortfolioFrontier[[#This Row],[P93 Growth]])</f>
        <v>1.7037793193389816</v>
      </c>
      <c r="NJ85" s="27">
        <f>PortfolioFrontier[[#This Row],[P93 Growth]]/PortfolioFrontier[[#This Row],[P93 HWM]]-1</f>
        <v>-0.10089956439414216</v>
      </c>
      <c r="NK85" s="28">
        <f>SUMPRODUCT(INDEX(PortfolioRef[[SPY]:[PE]],MATCH(NK$1,PortfolioRef[Reference '#]),0),AssetMonthlyReturns[[#This Row],[SPY]:[PE]])</f>
        <v>-3.8196291930930854E-2</v>
      </c>
      <c r="NL85" s="27">
        <f>IF(ISNUMBER(NL84),NL84*(1+PortfolioFrontier[[#This Row],[P94 Return]]),1+PortfolioFrontier[[#This Row],[P94 Return]])</f>
        <v>1.5403888918311173</v>
      </c>
      <c r="NM85" s="27">
        <f>MAX(NM84,PortfolioFrontier[[#This Row],[P94 Growth]])</f>
        <v>1.7868313973018393</v>
      </c>
      <c r="NN85" s="27">
        <f>PortfolioFrontier[[#This Row],[P94 Growth]]/PortfolioFrontier[[#This Row],[P94 HWM]]-1</f>
        <v>-0.13792152177472172</v>
      </c>
      <c r="NO85" s="28">
        <f>SUMPRODUCT(INDEX(PortfolioRef[[SPY]:[PE]],MATCH(NO$1,PortfolioRef[Reference '#]),0),AssetMonthlyReturns[[#This Row],[SPY]:[PE]])</f>
        <v>-3.5465911458486307E-2</v>
      </c>
      <c r="NP85" s="27">
        <f>IF(ISNUMBER(NP84),NP84*(1+PortfolioFrontier[[#This Row],[P95 Return]]),1+PortfolioFrontier[[#This Row],[P95 Return]])</f>
        <v>1.5356430689565186</v>
      </c>
      <c r="NQ85" s="27">
        <f>MAX(NQ84,PortfolioFrontier[[#This Row],[P95 Growth]])</f>
        <v>1.7550294195356591</v>
      </c>
      <c r="NR85" s="27">
        <f>PortfolioFrontier[[#This Row],[P95 Growth]]/PortfolioFrontier[[#This Row],[P95 HWM]]-1</f>
        <v>-0.12500437208464865</v>
      </c>
      <c r="NS85" s="28">
        <f>SUMPRODUCT(INDEX(PortfolioRef[[SPY]:[PE]],MATCH(NS$1,PortfolioRef[Reference '#]),0),AssetMonthlyReturns[[#This Row],[SPY]:[PE]])</f>
        <v>-3.2735530986041747E-2</v>
      </c>
      <c r="NT85" s="27">
        <f>IF(ISNUMBER(NT84),NT84*(1+PortfolioFrontier[[#This Row],[P96 Return]]),1+PortfolioFrontier[[#This Row],[P96 Return]])</f>
        <v>1.5298921632046181</v>
      </c>
      <c r="NU85" s="27">
        <f>MAX(NU84,PortfolioFrontier[[#This Row],[P96 Growth]])</f>
        <v>1.7230343324336159</v>
      </c>
      <c r="NV85" s="27">
        <f>PortfolioFrontier[[#This Row],[P96 Growth]]/PortfolioFrontier[[#This Row],[P96 HWM]]-1</f>
        <v>-0.11209420821940541</v>
      </c>
      <c r="NW85" s="28">
        <f>SUMPRODUCT(INDEX(PortfolioRef[[SPY]:[PE]],MATCH(NW$1,PortfolioRef[Reference '#]),0),AssetMonthlyReturns[[#This Row],[SPY]:[PE]])</f>
        <v>-3.0988876917677245E-2</v>
      </c>
      <c r="NX85" s="27">
        <f>IF(ISNUMBER(NX84),NX84*(1+PortfolioFrontier[[#This Row],[P97 Return]]),1+PortfolioFrontier[[#This Row],[P97 Return]])</f>
        <v>1.377707849917853</v>
      </c>
      <c r="NY85" s="27">
        <f>MAX(NY84,PortfolioFrontier[[#This Row],[P97 Growth]])</f>
        <v>1.5498139523617234</v>
      </c>
      <c r="NZ85" s="27">
        <f>PortfolioFrontier[[#This Row],[P97 Growth]]/PortfolioFrontier[[#This Row],[P97 HWM]]-1</f>
        <v>-0.11104952448105276</v>
      </c>
      <c r="OA85" s="28">
        <f>SUMPRODUCT(INDEX(PortfolioRef[[SPY]:[PE]],MATCH(OA$1,PortfolioRef[Reference '#]),0),AssetMonthlyReturns[[#This Row],[SPY]:[PE]])</f>
        <v>-3.2220883994182208E-2</v>
      </c>
      <c r="OB85" s="27">
        <f>IF(ISNUMBER(OB84),OB84*(1+PortfolioFrontier[[#This Row],[P98 Return]]),1+PortfolioFrontier[[#This Row],[P98 Return]])</f>
        <v>1.4000010348246301</v>
      </c>
      <c r="OC85" s="27">
        <f>MAX(OC84,PortfolioFrontier[[#This Row],[P98 Growth]])</f>
        <v>1.5643918723292729</v>
      </c>
      <c r="OD85" s="27">
        <f>PortfolioFrontier[[#This Row],[P98 Growth]]/PortfolioFrontier[[#This Row],[P98 HWM]]-1</f>
        <v>-0.1050829018050804</v>
      </c>
      <c r="OE85" s="28">
        <f>SUMPRODUCT(INDEX(PortfolioRef[[SPY]:[PE]],MATCH(OE$1,PortfolioRef[Reference '#]),0),AssetMonthlyReturns[[#This Row],[SPY]:[PE]])</f>
        <v>-3.2469223290415253E-2</v>
      </c>
      <c r="OF85" s="27">
        <f>IF(ISNUMBER(OF84),OF84*(1+PortfolioFrontier[[#This Row],[P99 Return]]),1+PortfolioFrontier[[#This Row],[P99 Return]])</f>
        <v>1.3999482499790852</v>
      </c>
      <c r="OG85" s="27">
        <f>MAX(OG84,PortfolioFrontier[[#This Row],[P99 Growth]])</f>
        <v>1.5836627563813395</v>
      </c>
      <c r="OH85" s="27">
        <f>PortfolioFrontier[[#This Row],[P99 Growth]]/PortfolioFrontier[[#This Row],[P99 HWM]]-1</f>
        <v>-0.11600607873234381</v>
      </c>
      <c r="OI85" s="28">
        <f>SUMPRODUCT(INDEX(PortfolioRef[[SPY]:[PE]],MATCH(OI$1,PortfolioRef[Reference '#]),0),AssetMonthlyReturns[[#This Row],[SPY]:[PE]])</f>
        <v>-2.9738842817970703E-2</v>
      </c>
      <c r="OJ85" s="27">
        <f>IF(ISNUMBER(OJ84),OJ84*(1+PortfolioFrontier[[#This Row],[P100 Return]]),1+PortfolioFrontier[[#This Row],[P100 Return]])</f>
        <v>1.3922147928725912</v>
      </c>
      <c r="OK85" s="27">
        <f>MAX(OK84,PortfolioFrontier[[#This Row],[P100 Growth]])</f>
        <v>1.5528062347399851</v>
      </c>
      <c r="OL85" s="27">
        <f>PortfolioFrontier[[#This Row],[P100 Growth]]/PortfolioFrontier[[#This Row],[P100 HWM]]-1</f>
        <v>-0.10342014236842934</v>
      </c>
      <c r="OM85" s="28">
        <f>SUMPRODUCT(INDEX(PortfolioRef[[SPY]:[PE]],MATCH(OM$1,PortfolioRef[Reference '#]),0),AssetMonthlyReturns[[#This Row],[SPY]:[PE]])</f>
        <v>-3.345289107068717E-2</v>
      </c>
      <c r="ON85" s="27">
        <f>IF(ISNUMBER(ON84),ON84*(1+PortfolioFrontier[[#This Row],[P101 Return]]),1+PortfolioFrontier[[#This Row],[P101 Return]])</f>
        <v>1.4223129137972281</v>
      </c>
      <c r="OO85" s="27">
        <f>MAX(OO84,PortfolioFrontier[[#This Row],[P101 Growth]])</f>
        <v>1.5787921813488919</v>
      </c>
      <c r="OP85" s="27">
        <f>PortfolioFrontier[[#This Row],[P101 Growth]]/PortfolioFrontier[[#This Row],[P101 HWM]]-1</f>
        <v>-9.9113277478971695E-2</v>
      </c>
      <c r="OQ85" s="28">
        <f>SUMPRODUCT(INDEX(PortfolioRef[[SPY]:[PE]],MATCH(OQ$1,PortfolioRef[Reference '#]),0),AssetMonthlyReturns[[#This Row],[SPY]:[PE]])</f>
        <v>-3.3701230366920215E-2</v>
      </c>
      <c r="OR85" s="27">
        <f>IF(ISNUMBER(OR84),OR84*(1+PortfolioFrontier[[#This Row],[P102 Return]]),1+PortfolioFrontier[[#This Row],[P102 Return]])</f>
        <v>1.4225664923491839</v>
      </c>
      <c r="OS85" s="27">
        <f>MAX(OS84,PortfolioFrontier[[#This Row],[P102 Growth]])</f>
        <v>1.5985203886251573</v>
      </c>
      <c r="OT85" s="27">
        <f>PortfolioFrontier[[#This Row],[P102 Growth]]/PortfolioFrontier[[#This Row],[P102 HWM]]-1</f>
        <v>-0.1100729759395227</v>
      </c>
      <c r="OU85" s="28">
        <f>SUMPRODUCT(INDEX(PortfolioRef[[SPY]:[PE]],MATCH(OU$1,PortfolioRef[Reference '#]),0),AssetMonthlyReturns[[#This Row],[SPY]:[PE]])</f>
        <v>-3.0970849894475665E-2</v>
      </c>
      <c r="OV85" s="27">
        <f>IF(ISNUMBER(OV84),OV84*(1+PortfolioFrontier[[#This Row],[P103 Return]]),1+PortfolioFrontier[[#This Row],[P103 Return]])</f>
        <v>1.4147491003353263</v>
      </c>
      <c r="OW85" s="27">
        <f>MAX(OW84,PortfolioFrontier[[#This Row],[P103 Growth]])</f>
        <v>1.5674355228105428</v>
      </c>
      <c r="OX85" s="27">
        <f>PortfolioFrontier[[#This Row],[P103 Growth]]/PortfolioFrontier[[#This Row],[P103 HWM]]-1</f>
        <v>-9.7411612951987303E-2</v>
      </c>
      <c r="OY85" s="28">
        <f>SUMPRODUCT(INDEX(PortfolioRef[[SPY]:[PE]],MATCH(OY$1,PortfolioRef[Reference '#]),0),AssetMonthlyReturns[[#This Row],[SPY]:[PE]])</f>
        <v>-3.3949569663153267E-2</v>
      </c>
      <c r="OZ85" s="27">
        <f>IF(ISNUMBER(OZ84),OZ84*(1+PortfolioFrontier[[#This Row],[P104 Return]]),1+PortfolioFrontier[[#This Row],[P104 Return]])</f>
        <v>1.4218446037296166</v>
      </c>
      <c r="PA85" s="27">
        <f>MAX(PA84,PortfolioFrontier[[#This Row],[P104 Growth]])</f>
        <v>1.6176462594840681</v>
      </c>
      <c r="PB85" s="27">
        <f>PortfolioFrontier[[#This Row],[P104 Growth]]/PortfolioFrontier[[#This Row],[P104 HWM]]-1</f>
        <v>-0.12104108336818986</v>
      </c>
      <c r="PC85" s="28">
        <f>SUMPRODUCT(INDEX(PortfolioRef[[SPY]:[PE]],MATCH(PC$1,PortfolioRef[Reference '#]),0),AssetMonthlyReturns[[#This Row],[SPY]:[PE]])</f>
        <v>-3.1219189190708711E-2</v>
      </c>
      <c r="PD85" s="27">
        <f>IF(ISNUMBER(PD84),PD84*(1+PortfolioFrontier[[#This Row],[P105 Return]]),1+PortfolioFrontier[[#This Row],[P105 Return]])</f>
        <v>1.4147284065760364</v>
      </c>
      <c r="PE85" s="27">
        <f>MAX(PE84,PortfolioFrontier[[#This Row],[P105 Growth]])</f>
        <v>1.5867085542337835</v>
      </c>
      <c r="PF85" s="27">
        <f>PortfolioFrontier[[#This Row],[P105 Growth]]/PortfolioFrontier[[#This Row],[P105 HWM]]-1</f>
        <v>-0.1083879879508155</v>
      </c>
      <c r="PG85" s="28">
        <f>SUMPRODUCT(INDEX(PortfolioRef[[SPY]:[PE]],MATCH(PG$1,PortfolioRef[Reference '#]),0),AssetMonthlyReturns[[#This Row],[SPY]:[PE]])</f>
        <v>-2.8488808718264161E-2</v>
      </c>
      <c r="PH85" s="27">
        <f>IF(ISNUMBER(PH84),PH84*(1+PortfolioFrontier[[#This Row],[P106 Return]]),1+PortfolioFrontier[[#This Row],[P106 Return]])</f>
        <v>1.4067224283004409</v>
      </c>
      <c r="PI85" s="27">
        <f>MAX(PI84,PortfolioFrontier[[#This Row],[P106 Growth]])</f>
        <v>1.5556887430167754</v>
      </c>
      <c r="PJ85" s="27">
        <f>PortfolioFrontier[[#This Row],[P106 Growth]]/PortfolioFrontier[[#This Row],[P106 HWM]]-1</f>
        <v>-9.5755860794788927E-2</v>
      </c>
      <c r="PK85" s="28">
        <f>SUMPRODUCT(INDEX(PortfolioRef[[SPY]:[PE]],MATCH(PK$1,PortfolioRef[Reference '#]),0),AssetMonthlyReturns[[#This Row],[SPY]:[PE]])</f>
        <v>-3.4933237443425184E-2</v>
      </c>
      <c r="PL85" s="27">
        <f>IF(ISNUMBER(PL84),PL84*(1+PortfolioFrontier[[#This Row],[P107 Return]]),1+PortfolioFrontier[[#This Row],[P107 Return]])</f>
        <v>1.4452031536181231</v>
      </c>
      <c r="PM85" s="27">
        <f>MAX(PM84,PortfolioFrontier[[#This Row],[P107 Growth]])</f>
        <v>1.6131964012798079</v>
      </c>
      <c r="PN85" s="27">
        <f>PortfolioFrontier[[#This Row],[P107 Growth]]/PortfolioFrontier[[#This Row],[P107 HWM]]-1</f>
        <v>-0.10413688471435323</v>
      </c>
      <c r="PO85" s="28">
        <f>SUMPRODUCT(INDEX(PortfolioRef[[SPY]:[PE]],MATCH(PO$1,PortfolioRef[Reference '#]),0),AssetMonthlyReturns[[#This Row],[SPY]:[PE]])</f>
        <v>-3.2202856970980638E-2</v>
      </c>
      <c r="PP85" s="27">
        <f>IF(ISNUMBER(PP84),PP84*(1+PortfolioFrontier[[#This Row],[P108 Return]]),1+PortfolioFrontier[[#This Row],[P108 Return]])</f>
        <v>1.4373027231559885</v>
      </c>
      <c r="PQ85" s="27">
        <f>MAX(PQ84,PortfolioFrontier[[#This Row],[P108 Growth]])</f>
        <v>1.5818874318633449</v>
      </c>
      <c r="PR85" s="27">
        <f>PortfolioFrontier[[#This Row],[P108 Growth]]/PortfolioFrontier[[#This Row],[P108 HWM]]-1</f>
        <v>-9.1400124809795424E-2</v>
      </c>
      <c r="PS85" s="28">
        <f>SUMPRODUCT(INDEX(PortfolioRef[[SPY]:[PE]],MATCH(PS$1,PortfolioRef[Reference '#]),0),AssetMonthlyReturns[[#This Row],[SPY]:[PE]])</f>
        <v>-3.518157673965823E-2</v>
      </c>
      <c r="PT85" s="27">
        <f>IF(ISNUMBER(PT84),PT84*(1+PortfolioFrontier[[#This Row],[P109 Return]]),1+PortfolioFrontier[[#This Row],[P109 Return]])</f>
        <v>1.4447816589908469</v>
      </c>
      <c r="PU85" s="27">
        <f>MAX(PU84,PortfolioFrontier[[#This Row],[P109 Growth]])</f>
        <v>1.6327835279326679</v>
      </c>
      <c r="PV85" s="27">
        <f>PortfolioFrontier[[#This Row],[P109 Growth]]/PortfolioFrontier[[#This Row],[P109 HWM]]-1</f>
        <v>-0.11514194363527031</v>
      </c>
      <c r="PW85" s="28">
        <f>SUMPRODUCT(INDEX(PortfolioRef[[SPY]:[PE]],MATCH(PW$1,PortfolioRef[Reference '#]),0),AssetMonthlyReturns[[#This Row],[SPY]:[PE]])</f>
        <v>-3.2451196267213676E-2</v>
      </c>
      <c r="PX85" s="27">
        <f>IF(ISNUMBER(PX84),PX84*(1+PortfolioFrontier[[#This Row],[P110 Return]]),1+PortfolioFrontier[[#This Row],[P110 Return]])</f>
        <v>1.4375918693685092</v>
      </c>
      <c r="PY85" s="27">
        <f>MAX(PY84,PortfolioFrontier[[#This Row],[P110 Growth]])</f>
        <v>1.6016185143364081</v>
      </c>
      <c r="PZ85" s="27">
        <f>PortfolioFrontier[[#This Row],[P110 Growth]]/PortfolioFrontier[[#This Row],[P110 HWM]]-1</f>
        <v>-0.10241305498136011</v>
      </c>
      <c r="QA85" s="28">
        <f>SUMPRODUCT(INDEX(PortfolioRef[[SPY]:[PE]],MATCH(QA$1,PortfolioRef[Reference '#]),0),AssetMonthlyReturns[[#This Row],[SPY]:[PE]])</f>
        <v>-2.9720815794769123E-2</v>
      </c>
      <c r="QB85" s="27">
        <f>IF(ISNUMBER(QB84),QB84*(1+PortfolioFrontier[[#This Row],[P111 Return]]),1+PortfolioFrontier[[#This Row],[P111 Return]])</f>
        <v>1.4294981415937471</v>
      </c>
      <c r="QC85" s="27">
        <f>MAX(QC84,PortfolioFrontier[[#This Row],[P111 Growth]])</f>
        <v>1.5703684845094485</v>
      </c>
      <c r="QD85" s="27">
        <f>PortfolioFrontier[[#This Row],[P111 Growth]]/PortfolioFrontier[[#This Row],[P111 HWM]]-1</f>
        <v>-8.9705278923568388E-2</v>
      </c>
      <c r="QE85" s="28">
        <f>SUMPRODUCT(INDEX(PortfolioRef[[SPY]:[PE]],MATCH(QE$1,PortfolioRef[Reference '#]),0),AssetMonthlyReturns[[#This Row],[SPY]:[PE]])</f>
        <v>-3.5429916035891275E-2</v>
      </c>
      <c r="QF85" s="27">
        <f>IF(ISNUMBER(QF84),QF84*(1+PortfolioFrontier[[#This Row],[P112 Return]]),1+PortfolioFrontier[[#This Row],[P112 Return]])</f>
        <v>1.4433669287916209</v>
      </c>
      <c r="QG85" s="27">
        <f>MAX(QG84,PortfolioFrontier[[#This Row],[P112 Growth]])</f>
        <v>1.6517386955477045</v>
      </c>
      <c r="QH85" s="27">
        <f>PortfolioFrontier[[#This Row],[P112 Growth]]/PortfolioFrontier[[#This Row],[P112 HWM]]-1</f>
        <v>-0.12615298492295057</v>
      </c>
      <c r="QI85" s="28">
        <f>SUMPRODUCT(INDEX(PortfolioRef[[SPY]:[PE]],MATCH(QI$1,PortfolioRef[Reference '#]),0),AssetMonthlyReturns[[#This Row],[SPY]:[PE]])</f>
        <v>-3.2699535563446729E-2</v>
      </c>
      <c r="QJ85" s="27">
        <f>IF(ISNUMBER(QJ84),QJ84*(1+PortfolioFrontier[[#This Row],[P113 Return]]),1+PortfolioFrontier[[#This Row],[P113 Return]])</f>
        <v>1.4368957816910022</v>
      </c>
      <c r="QK85" s="27">
        <f>MAX(QK84,PortfolioFrontier[[#This Row],[P113 Growth]])</f>
        <v>1.6207454292109018</v>
      </c>
      <c r="QL85" s="27">
        <f>PortfolioFrontier[[#This Row],[P113 Growth]]/PortfolioFrontier[[#This Row],[P113 HWM]]-1</f>
        <v>-0.11343524048030862</v>
      </c>
      <c r="QM85" s="28">
        <f>SUMPRODUCT(INDEX(PortfolioRef[[SPY]:[PE]],MATCH(QM$1,PortfolioRef[Reference '#]),0),AssetMonthlyReturns[[#This Row],[SPY]:[PE]])</f>
        <v>-2.9969155091002168E-2</v>
      </c>
      <c r="QN85" s="27">
        <f>IF(ISNUMBER(QN84),QN84*(1+PortfolioFrontier[[#This Row],[P114 Return]]),1+PortfolioFrontier[[#This Row],[P114 Return]])</f>
        <v>1.4295100189235395</v>
      </c>
      <c r="QO85" s="27">
        <f>MAX(QO84,PortfolioFrontier[[#This Row],[P114 Growth]])</f>
        <v>1.5896421022161857</v>
      </c>
      <c r="QP85" s="27">
        <f>PortfolioFrontier[[#This Row],[P114 Growth]]/PortfolioFrontier[[#This Row],[P114 HWM]]-1</f>
        <v>-0.10073467673597691</v>
      </c>
      <c r="QQ85" s="28">
        <f>SUMPRODUCT(INDEX(PortfolioRef[[SPY]:[PE]],MATCH(QQ$1,PortfolioRef[Reference '#]),0),AssetMonthlyReturns[[#This Row],[SPY]:[PE]])</f>
        <v>-3.6413583816163199E-2</v>
      </c>
      <c r="QR85" s="27">
        <f>IF(ISNUMBER(QR84),QR84*(1+PortfolioFrontier[[#This Row],[P115 Return]]),1+PortfolioFrontier[[#This Row],[P115 Return]])</f>
        <v>1.4677368415770073</v>
      </c>
      <c r="QS85" s="27">
        <f>MAX(QS84,PortfolioFrontier[[#This Row],[P115 Growth]])</f>
        <v>1.6477351477866757</v>
      </c>
      <c r="QT85" s="27">
        <f>PortfolioFrontier[[#This Row],[P115 Growth]]/PortfolioFrontier[[#This Row],[P115 HWM]]-1</f>
        <v>-0.10923982925984888</v>
      </c>
      <c r="QU85" s="28">
        <f>SUMPRODUCT(INDEX(PortfolioRef[[SPY]:[PE]],MATCH(QU$1,PortfolioRef[Reference '#]),0),AssetMonthlyReturns[[#This Row],[SPY]:[PE]])</f>
        <v>-3.3683203343718646E-2</v>
      </c>
      <c r="QV85" s="27">
        <f>IF(ISNUMBER(QV84),QV84*(1+PortfolioFrontier[[#This Row],[P116 Return]]),1+PortfolioFrontier[[#This Row],[P116 Return]])</f>
        <v>1.4604743749587141</v>
      </c>
      <c r="QW85" s="27">
        <f>MAX(QW84,PortfolioFrontier[[#This Row],[P116 Growth]])</f>
        <v>1.6163470917094751</v>
      </c>
      <c r="QX85" s="27">
        <f>PortfolioFrontier[[#This Row],[P116 Growth]]/PortfolioFrontier[[#This Row],[P116 HWM]]-1</f>
        <v>-9.6435176299854874E-2</v>
      </c>
      <c r="QY85" s="28">
        <f>SUMPRODUCT(INDEX(PortfolioRef[[SPY]:[PE]],MATCH(QY$1,PortfolioRef[Reference '#]),0),AssetMonthlyReturns[[#This Row],[SPY]:[PE]])</f>
        <v>-3.0952822871274092E-2</v>
      </c>
      <c r="QZ85" s="27">
        <f>IF(ISNUMBER(QZ84),QZ84*(1+PortfolioFrontier[[#This Row],[P117 Return]]),1+PortfolioFrontier[[#This Row],[P117 Return]])</f>
        <v>1.4522938021460987</v>
      </c>
      <c r="RA85" s="27">
        <f>MAX(RA84,PortfolioFrontier[[#This Row],[P117 Growth]])</f>
        <v>1.5848710929942145</v>
      </c>
      <c r="RB85" s="27">
        <f>PortfolioFrontier[[#This Row],[P117 Growth]]/PortfolioFrontier[[#This Row],[P117 HWM]]-1</f>
        <v>-8.365178179737276E-2</v>
      </c>
      <c r="RC85" s="28">
        <f>SUMPRODUCT(INDEX(PortfolioRef[[SPY]:[PE]],MATCH(RC$1,PortfolioRef[Reference '#]),0),AssetMonthlyReturns[[#This Row],[SPY]:[PE]])</f>
        <v>-3.6661923112396244E-2</v>
      </c>
      <c r="RD85" s="27">
        <f>IF(ISNUMBER(RD84),RD84*(1+PortfolioFrontier[[#This Row],[P118 Return]]),1+PortfolioFrontier[[#This Row],[P118 Return]])</f>
        <v>1.466616113334466</v>
      </c>
      <c r="RE85" s="27">
        <f>MAX(RE84,PortfolioFrontier[[#This Row],[P118 Growth]])</f>
        <v>1.667155293527623</v>
      </c>
      <c r="RF85" s="27">
        <f>PortfolioFrontier[[#This Row],[P118 Growth]]/PortfolioFrontier[[#This Row],[P118 HWM]]-1</f>
        <v>-0.1202882424760956</v>
      </c>
      <c r="RG85" s="28">
        <f>SUMPRODUCT(INDEX(PortfolioRef[[SPY]:[PE]],MATCH(RG$1,PortfolioRef[Reference '#]),0),AssetMonthlyReturns[[#This Row],[SPY]:[PE]])</f>
        <v>-3.3931542639951691E-2</v>
      </c>
      <c r="RH85" s="27">
        <f>IF(ISNUMBER(RH84),RH84*(1+PortfolioFrontier[[#This Row],[P119 Return]]),1+PortfolioFrontier[[#This Row],[P119 Return]])</f>
        <v>1.4600821078337911</v>
      </c>
      <c r="RI85" s="27">
        <f>MAX(RI84,PortfolioFrontier[[#This Row],[P119 Growth]])</f>
        <v>1.6359359857167841</v>
      </c>
      <c r="RJ85" s="27">
        <f>PortfolioFrontier[[#This Row],[P119 Growth]]/PortfolioFrontier[[#This Row],[P119 HWM]]-1</f>
        <v>-0.10749435150174458</v>
      </c>
      <c r="RK85" s="28">
        <f>SUMPRODUCT(INDEX(PortfolioRef[[SPY]:[PE]],MATCH(RK$1,PortfolioRef[Reference '#]),0),AssetMonthlyReturns[[#This Row],[SPY]:[PE]])</f>
        <v>-3.1201162167507138E-2</v>
      </c>
      <c r="RL85" s="27">
        <f>IF(ISNUMBER(RL84),RL84*(1+PortfolioFrontier[[#This Row],[P120 Return]]),1+PortfolioFrontier[[#This Row],[P120 Return]])</f>
        <v>1.4526190009853628</v>
      </c>
      <c r="RM85" s="27">
        <f>MAX(RM84,PortfolioFrontier[[#This Row],[P120 Growth]])</f>
        <v>1.6046034567476111</v>
      </c>
      <c r="RN85" s="27">
        <f>PortfolioFrontier[[#This Row],[P120 Growth]]/PortfolioFrontier[[#This Row],[P120 HWM]]-1</f>
        <v>-9.4717766637688383E-2</v>
      </c>
      <c r="RO85" s="28">
        <f>SUMPRODUCT(INDEX(PortfolioRef[[SPY]:[PE]],MATCH(RO$1,PortfolioRef[Reference '#]),0),AssetMonthlyReturns[[#This Row],[SPY]:[PE]])</f>
        <v>-3.6910262408629289E-2</v>
      </c>
      <c r="RP85" s="27">
        <f>IF(ISNUMBER(RP84),RP84*(1+PortfolioFrontier[[#This Row],[P121 Return]]),1+PortfolioFrontier[[#This Row],[P121 Return]])</f>
        <v>1.4644850562659162</v>
      </c>
      <c r="RQ85" s="27">
        <f>MAX(RQ84,PortfolioFrontier[[#This Row],[P121 Growth]])</f>
        <v>1.6859132740659151</v>
      </c>
      <c r="RR85" s="27">
        <f>PortfolioFrontier[[#This Row],[P121 Growth]]/PortfolioFrontier[[#This Row],[P121 HWM]]-1</f>
        <v>-0.13134021850719568</v>
      </c>
      <c r="RS85" s="28">
        <f>SUMPRODUCT(INDEX(PortfolioRef[[SPY]:[PE]],MATCH(RS$1,PortfolioRef[Reference '#]),0),AssetMonthlyReturns[[#This Row],[SPY]:[PE]])</f>
        <v>-3.4179881936184736E-2</v>
      </c>
      <c r="RT85" s="27">
        <f>IF(ISNUMBER(RT84),RT84*(1+PortfolioFrontier[[#This Row],[P122 Return]]),1+PortfolioFrontier[[#This Row],[P122 Return]])</f>
        <v>1.4586866085754551</v>
      </c>
      <c r="RU85" s="27">
        <f>MAX(RU84,PortfolioFrontier[[#This Row],[P122 Growth]])</f>
        <v>1.6548910536150563</v>
      </c>
      <c r="RV85" s="27">
        <f>PortfolioFrontier[[#This Row],[P122 Growth]]/PortfolioFrontier[[#This Row],[P122 HWM]]-1</f>
        <v>-0.11856033943201205</v>
      </c>
      <c r="RW85" s="28">
        <f>SUMPRODUCT(INDEX(PortfolioRef[[SPY]:[PE]],MATCH(RW$1,PortfolioRef[Reference '#]),0),AssetMonthlyReturns[[#This Row],[SPY]:[PE]])</f>
        <v>-3.1449501463740183E-2</v>
      </c>
      <c r="RX85" s="27">
        <f>IF(ISNUMBER(RX84),RX84*(1+PortfolioFrontier[[#This Row],[P123 Return]]),1+PortfolioFrontier[[#This Row],[P123 Return]])</f>
        <v>1.4519492015257947</v>
      </c>
      <c r="RY85" s="27">
        <f>MAX(RY84,PortfolioFrontier[[#This Row],[P123 Growth]])</f>
        <v>1.6237298558231279</v>
      </c>
      <c r="RZ85" s="27">
        <f>PortfolioFrontier[[#This Row],[P123 Growth]]/PortfolioFrontier[[#This Row],[P123 HWM]]-1</f>
        <v>-0.10579386323487372</v>
      </c>
      <c r="SA85" s="28">
        <f>SUMPRODUCT(INDEX(PortfolioRef[[SPY]:[PE]],MATCH(SA$1,PortfolioRef[Reference '#]),0),AssetMonthlyReturns[[#This Row],[SPY]:[PE]])</f>
        <v>-3.7893930188901206E-2</v>
      </c>
      <c r="SB85" s="27">
        <f>IF(ISNUMBER(SB84),SB84*(1+PortfolioFrontier[[#This Row],[P124 Return]]),1+PortfolioFrontier[[#This Row],[P124 Return]])</f>
        <v>1.489883117544526</v>
      </c>
      <c r="SC85" s="27">
        <f>MAX(SC84,PortfolioFrontier[[#This Row],[P124 Growth]])</f>
        <v>1.6823821965094672</v>
      </c>
      <c r="SD85" s="27">
        <f>PortfolioFrontier[[#This Row],[P124 Growth]]/PortfolioFrontier[[#This Row],[P124 HWM]]-1</f>
        <v>-0.11442053973486521</v>
      </c>
      <c r="SE85" s="28">
        <f>SUMPRODUCT(INDEX(PortfolioRef[[SPY]:[PE]],MATCH(SE$1,PortfolioRef[Reference '#]),0),AssetMonthlyReturns[[#This Row],[SPY]:[PE]])</f>
        <v>-3.516354971645666E-2</v>
      </c>
      <c r="SF85" s="27">
        <f>IF(ISNUMBER(SF84),SF84*(1+PortfolioFrontier[[#This Row],[P125 Return]]),1+PortfolioFrontier[[#This Row],[P125 Return]])</f>
        <v>1.4832871874790341</v>
      </c>
      <c r="SG85" s="27">
        <f>MAX(SG84,PortfolioFrontier[[#This Row],[P125 Growth]])</f>
        <v>1.6509411354388694</v>
      </c>
      <c r="SH85" s="27">
        <f>PortfolioFrontier[[#This Row],[P125 Growth]]/PortfolioFrontier[[#This Row],[P125 HWM]]-1</f>
        <v>-0.10155053039808593</v>
      </c>
      <c r="SI85" s="28">
        <f>SUMPRODUCT(INDEX(PortfolioRef[[SPY]:[PE]],MATCH(SI$1,PortfolioRef[Reference '#]),0),AssetMonthlyReturns[[#This Row],[SPY]:[PE]])</f>
        <v>-3.24331692440121E-2</v>
      </c>
      <c r="SJ85" s="27">
        <f>IF(ISNUMBER(SJ84),SJ84*(1+PortfolioFrontier[[#This Row],[P126 Return]]),1+PortfolioFrontier[[#This Row],[P126 Return]])</f>
        <v>1.4757476605033699</v>
      </c>
      <c r="SK85" s="27">
        <f>MAX(SK84,PortfolioFrontier[[#This Row],[P126 Growth]])</f>
        <v>1.6193836797956254</v>
      </c>
      <c r="SL85" s="27">
        <f>PortfolioFrontier[[#This Row],[P126 Growth]]/PortfolioFrontier[[#This Row],[P126 HWM]]-1</f>
        <v>-8.8697954094722697E-2</v>
      </c>
      <c r="SM85" s="28">
        <f>SUMPRODUCT(INDEX(PortfolioRef[[SPY]:[PE]],MATCH(SM$1,PortfolioRef[Reference '#]),0),AssetMonthlyReturns[[#This Row],[SPY]:[PE]])</f>
        <v>-3.8142269485134259E-2</v>
      </c>
      <c r="SN85" s="27">
        <f>IF(ISNUMBER(SN84),SN84*(1+PortfolioFrontier[[#This Row],[P127 Return]]),1+PortfolioFrontier[[#This Row],[P127 Return]])</f>
        <v>1.488039246894719</v>
      </c>
      <c r="SO85" s="27">
        <f>MAX(SO84,PortfolioFrontier[[#This Row],[P127 Growth]])</f>
        <v>1.7016086575400751</v>
      </c>
      <c r="SP85" s="27">
        <f>PortfolioFrontier[[#This Row],[P127 Growth]]/PortfolioFrontier[[#This Row],[P127 HWM]]-1</f>
        <v>-0.12551029856306795</v>
      </c>
      <c r="SQ85" s="28">
        <f>SUMPRODUCT(INDEX(PortfolioRef[[SPY]:[PE]],MATCH(SQ$1,PortfolioRef[Reference '#]),0),AssetMonthlyReturns[[#This Row],[SPY]:[PE]])</f>
        <v>-3.5411889012689705E-2</v>
      </c>
      <c r="SR85" s="27">
        <f>IF(ISNUMBER(SR84),SR84*(1+PortfolioFrontier[[#This Row],[P128 Return]]),1+PortfolioFrontier[[#This Row],[P128 Return]])</f>
        <v>1.4821890621022509</v>
      </c>
      <c r="SS85" s="27">
        <f>MAX(SS84,PortfolioFrontier[[#This Row],[P128 Growth]])</f>
        <v>1.6703618996398835</v>
      </c>
      <c r="ST85" s="27">
        <f>PortfolioFrontier[[#This Row],[P128 Growth]]/PortfolioFrontier[[#This Row],[P128 HWM]]-1</f>
        <v>-0.11265393300589599</v>
      </c>
      <c r="SU85" s="28">
        <f>SUMPRODUCT(INDEX(PortfolioRef[[SPY]:[PE]],MATCH(SU$1,PortfolioRef[Reference '#]),0),AssetMonthlyReturns[[#This Row],[SPY]:[PE]])</f>
        <v>-3.2681508540245152E-2</v>
      </c>
      <c r="SV85" s="27">
        <f>IF(ISNUMBER(SV84),SV84*(1+PortfolioFrontier[[#This Row],[P129 Return]]),1+PortfolioFrontier[[#This Row],[P129 Return]])</f>
        <v>1.4753851132229481</v>
      </c>
      <c r="SW85" s="27">
        <f>MAX(SW84,PortfolioFrontier[[#This Row],[P129 Growth]])</f>
        <v>1.6389727481356613</v>
      </c>
      <c r="SX85" s="27">
        <f>PortfolioFrontier[[#This Row],[P129 Growth]]/PortfolioFrontier[[#This Row],[P129 HWM]]-1</f>
        <v>-9.9811076846027413E-2</v>
      </c>
      <c r="SY85" s="28">
        <f>SUMPRODUCT(INDEX(PortfolioRef[[SPY]:[PE]],MATCH(SY$1,PortfolioRef[Reference '#]),0),AssetMonthlyReturns[[#This Row],[SPY]:[PE]])</f>
        <v>-3.8390608781367297E-2</v>
      </c>
      <c r="SZ85" s="27">
        <f>IF(ISNUMBER(SZ84),SZ84*(1+PortfolioFrontier[[#This Row],[P130 Return]]),1+PortfolioFrontier[[#This Row],[P130 Return]])</f>
        <v>1.4851686790156557</v>
      </c>
      <c r="TA85" s="27">
        <f>MAX(TA84,PortfolioFrontier[[#This Row],[P130 Growth]])</f>
        <v>1.720142179322633</v>
      </c>
      <c r="TB85" s="27">
        <f>PortfolioFrontier[[#This Row],[P130 Growth]]/PortfolioFrontier[[#This Row],[P130 HWM]]-1</f>
        <v>-0.13660120839517254</v>
      </c>
      <c r="TC85" s="28">
        <f>SUMPRODUCT(INDEX(PortfolioRef[[SPY]:[PE]],MATCH(TC$1,PortfolioRef[Reference '#]),0),AssetMonthlyReturns[[#This Row],[SPY]:[PE]])</f>
        <v>-3.5660228308922751E-2</v>
      </c>
      <c r="TD85" s="27">
        <f>IF(ISNUMBER(TD84),TD84*(1+PortfolioFrontier[[#This Row],[P131 Return]]),1+PortfolioFrontier[[#This Row],[P131 Return]])</f>
        <v>1.4800703863421443</v>
      </c>
      <c r="TE85" s="27">
        <f>MAX(TE84,PortfolioFrontier[[#This Row],[P131 Growth]])</f>
        <v>1.6891185966988822</v>
      </c>
      <c r="TF85" s="27">
        <f>PortfolioFrontier[[#This Row],[P131 Growth]]/PortfolioFrontier[[#This Row],[P131 HWM]]-1</f>
        <v>-0.12376171262650826</v>
      </c>
      <c r="TG85" s="28">
        <f>SUMPRODUCT(INDEX(PortfolioRef[[SPY]:[PE]],MATCH(TG$1,PortfolioRef[Reference '#]),0),AssetMonthlyReturns[[#This Row],[SPY]:[PE]])</f>
        <v>-3.2929847836478197E-2</v>
      </c>
      <c r="TH85" s="27">
        <f>IF(ISNUMBER(TH84),TH84*(1+PortfolioFrontier[[#This Row],[P132 Return]]),1+PortfolioFrontier[[#This Row],[P132 Return]])</f>
        <v>1.47400933873463</v>
      </c>
      <c r="TI85" s="27">
        <f>MAX(TI84,PortfolioFrontier[[#This Row],[P132 Growth]])</f>
        <v>1.6579261593145806</v>
      </c>
      <c r="TJ85" s="27">
        <f>PortfolioFrontier[[#This Row],[P132 Growth]]/PortfolioFrontier[[#This Row],[P132 HWM]]-1</f>
        <v>-0.11093185275270967</v>
      </c>
      <c r="TK85" s="28">
        <f>SUMPRODUCT(INDEX(PortfolioRef[[SPY]:[PE]],MATCH(TK$1,PortfolioRef[Reference '#]),0),AssetMonthlyReturns[[#This Row],[SPY]:[PE]])</f>
        <v>-3.9374276561639221E-2</v>
      </c>
      <c r="TL85" s="27">
        <f>IF(ISNUMBER(TL84),TL84*(1+PortfolioFrontier[[#This Row],[P133 Return]]),1+PortfolioFrontier[[#This Row],[P133 Return]])</f>
        <v>1.5116109338123895</v>
      </c>
      <c r="TM85" s="27">
        <f>MAX(TM84,PortfolioFrontier[[#This Row],[P133 Growth]])</f>
        <v>1.7171102853087914</v>
      </c>
      <c r="TN85" s="27">
        <f>PortfolioFrontier[[#This Row],[P133 Growth]]/PortfolioFrontier[[#This Row],[P133 HWM]]-1</f>
        <v>-0.11967743321707869</v>
      </c>
      <c r="TO85" s="28">
        <f>SUMPRODUCT(INDEX(PortfolioRef[[SPY]:[PE]],MATCH(TO$1,PortfolioRef[Reference '#]),0),AssetMonthlyReturns[[#This Row],[SPY]:[PE]])</f>
        <v>-3.6643896089194675E-2</v>
      </c>
      <c r="TP85" s="27">
        <f>IF(ISNUMBER(TP84),TP84*(1+PortfolioFrontier[[#This Row],[P134 Return]]),1+PortfolioFrontier[[#This Row],[P134 Return]])</f>
        <v>1.5057099634191629</v>
      </c>
      <c r="TQ85" s="27">
        <f>MAX(TQ84,PortfolioFrontier[[#This Row],[P134 Growth]])</f>
        <v>1.6856432974461595</v>
      </c>
      <c r="TR85" s="27">
        <f>PortfolioFrontier[[#This Row],[P134 Growth]]/PortfolioFrontier[[#This Row],[P134 HWM]]-1</f>
        <v>-0.106744608601123</v>
      </c>
      <c r="TS85" s="28">
        <f>SUMPRODUCT(INDEX(PortfolioRef[[SPY]:[PE]],MATCH(TS$1,PortfolioRef[Reference '#]),0),AssetMonthlyReturns[[#This Row],[SPY]:[PE]])</f>
        <v>-3.3913515616750115E-2</v>
      </c>
      <c r="TT85" s="27">
        <f>IF(ISNUMBER(TT84),TT84*(1+PortfolioFrontier[[#This Row],[P135 Return]]),1+PortfolioFrontier[[#This Row],[P135 Return]])</f>
        <v>1.4988404155071211</v>
      </c>
      <c r="TU85" s="27">
        <f>MAX(TU84,PortfolioFrontier[[#This Row],[P135 Growth]])</f>
        <v>1.6540304901705998</v>
      </c>
      <c r="TV85" s="27">
        <f>PortfolioFrontier[[#This Row],[P135 Growth]]/PortfolioFrontier[[#This Row],[P135 HWM]]-1</f>
        <v>-9.3825401397208852E-2</v>
      </c>
      <c r="TW85" s="28">
        <f>SUMPRODUCT(INDEX(PortfolioRef[[SPY]:[PE]],MATCH(TW$1,PortfolioRef[Reference '#]),0),AssetMonthlyReturns[[#This Row],[SPY]:[PE]])</f>
        <v>-3.9622615857872259E-2</v>
      </c>
      <c r="TX85" s="27">
        <f>IF(ISNUMBER(TX84),TX84*(1+PortfolioFrontier[[#This Row],[P136 Return]]),1+PortfolioFrontier[[#This Row],[P136 Return]])</f>
        <v>1.5090203131299578</v>
      </c>
      <c r="TY85" s="27">
        <f>MAX(TY84,PortfolioFrontier[[#This Row],[P136 Growth]])</f>
        <v>1.7361155602147582</v>
      </c>
      <c r="TZ85" s="27">
        <f>PortfolioFrontier[[#This Row],[P136 Growth]]/PortfolioFrontier[[#This Row],[P136 HWM]]-1</f>
        <v>-0.13080652710509011</v>
      </c>
      <c r="UA85" s="28">
        <f>SUMPRODUCT(INDEX(PortfolioRef[[SPY]:[PE]],MATCH(UA$1,PortfolioRef[Reference '#]),0),AssetMonthlyReturns[[#This Row],[SPY]:[PE]])</f>
        <v>-3.6892235385427713E-2</v>
      </c>
      <c r="UB85" s="27">
        <f>IF(ISNUMBER(UB84),UB84*(1+PortfolioFrontier[[#This Row],[P137 Return]]),1+PortfolioFrontier[[#This Row],[P137 Return]])</f>
        <v>1.5038817867071321</v>
      </c>
      <c r="UC85" s="27">
        <f>MAX(UC84,PortfolioFrontier[[#This Row],[P137 Growth]])</f>
        <v>1.7048691873265751</v>
      </c>
      <c r="UD85" s="27">
        <f>PortfolioFrontier[[#This Row],[P137 Growth]]/PortfolioFrontier[[#This Row],[P137 HWM]]-1</f>
        <v>-0.11789021827217938</v>
      </c>
      <c r="UE85" s="28">
        <f>SUMPRODUCT(INDEX(PortfolioRef[[SPY]:[PE]],MATCH(UE$1,PortfolioRef[Reference '#]),0),AssetMonthlyReturns[[#This Row],[SPY]:[PE]])</f>
        <v>-3.416185491298316E-2</v>
      </c>
      <c r="UF85" s="27">
        <f>IF(ISNUMBER(UF84),UF84*(1+PortfolioFrontier[[#This Row],[P138 Return]]),1+PortfolioFrontier[[#This Row],[P138 Return]])</f>
        <v>1.4977653919851592</v>
      </c>
      <c r="UG85" s="27">
        <f>MAX(UG84,PortfolioFrontier[[#This Row],[P138 Growth]])</f>
        <v>1.6734502822541619</v>
      </c>
      <c r="UH85" s="27">
        <f>PortfolioFrontier[[#This Row],[P138 Growth]]/PortfolioFrontier[[#This Row],[P138 HWM]]-1</f>
        <v>-0.10498363299586799</v>
      </c>
      <c r="UI85" s="28">
        <f>SUMPRODUCT(INDEX(PortfolioRef[[SPY]:[PE]],MATCH(UI$1,PortfolioRef[Reference '#]),0),AssetMonthlyReturns[[#This Row],[SPY]:[PE]])</f>
        <v>-3.9870955154105311E-2</v>
      </c>
      <c r="UJ85" s="27">
        <f>IF(ISNUMBER(UJ84),UJ84*(1+PortfolioFrontier[[#This Row],[P139 Return]]),1+PortfolioFrontier[[#This Row],[P139 Return]])</f>
        <v>1.5053874014858597</v>
      </c>
      <c r="UK85" s="27">
        <f>MAX(UK84,PortfolioFrontier[[#This Row],[P139 Growth]])</f>
        <v>1.7543965710992384</v>
      </c>
      <c r="UL85" s="27">
        <f>PortfolioFrontier[[#This Row],[P139 Growth]]/PortfolioFrontier[[#This Row],[P139 HWM]]-1</f>
        <v>-0.14193436861162978</v>
      </c>
      <c r="UM85" s="28">
        <f>SUMPRODUCT(INDEX(PortfolioRef[[SPY]:[PE]],MATCH(UM$1,PortfolioRef[Reference '#]),0),AssetMonthlyReturns[[#This Row],[SPY]:[PE]])</f>
        <v>-3.7140574681660765E-2</v>
      </c>
      <c r="UN85" s="27">
        <f>IF(ISNUMBER(UN84),UN84*(1+PortfolioFrontier[[#This Row],[P140 Return]]),1+PortfolioFrontier[[#This Row],[P140 Return]])</f>
        <v>1.5010164716040051</v>
      </c>
      <c r="UO85" s="27">
        <f>MAX(UO84,PortfolioFrontier[[#This Row],[P140 Growth]])</f>
        <v>1.7234002022793458</v>
      </c>
      <c r="UP85" s="27">
        <f>PortfolioFrontier[[#This Row],[P140 Growth]]/PortfolioFrontier[[#This Row],[P140 HWM]]-1</f>
        <v>-0.12903777682120432</v>
      </c>
      <c r="UQ85" s="28">
        <f>SUMPRODUCT(INDEX(PortfolioRef[[SPY]:[PE]],MATCH(UQ$1,PortfolioRef[Reference '#]),0),AssetMonthlyReturns[[#This Row],[SPY]:[PE]])</f>
        <v>-3.4410194209216212E-2</v>
      </c>
      <c r="UR85" s="27">
        <f>IF(ISNUMBER(UR84),UR84*(1+PortfolioFrontier[[#This Row],[P141 Return]]),1+PortfolioFrontier[[#This Row],[P141 Return]])</f>
        <v>1.4956595971601672</v>
      </c>
      <c r="US85" s="27">
        <f>MAX(US84,PortfolioFrontier[[#This Row],[P141 Growth]])</f>
        <v>1.6922041432386774</v>
      </c>
      <c r="UT85" s="27">
        <f>PortfolioFrontier[[#This Row],[P141 Growth]]/PortfolioFrontier[[#This Row],[P141 HWM]]-1</f>
        <v>-0.11614706586307455</v>
      </c>
    </row>
    <row r="86" spans="2:566" x14ac:dyDescent="0.2">
      <c r="B86" s="41">
        <f>AssetMonthlyReturns[[#This Row],[Date]]</f>
        <v>44986</v>
      </c>
      <c r="C86" s="28">
        <f>SUMPRODUCT(INDEX(PortfolioRef[[SPY]:[PE]],MATCH(C$1,PortfolioRef[Reference '#]),0),AssetMonthlyReturns[[#This Row],[SPY]:[PE]])</f>
        <v>2.9417908355237946E-2</v>
      </c>
      <c r="D86" s="29">
        <f>IF(ISNUMBER(D85),D85*(1+PortfolioFrontier[[#This Row],[P1 Return]]),1+PortfolioFrontier[[#This Row],[P1 Return]])</f>
        <v>1.7732575634638925</v>
      </c>
      <c r="E86" s="29">
        <f>MAX(E85,PortfolioFrontier[[#This Row],[P1 Growth]])</f>
        <v>1.9531239567566241</v>
      </c>
      <c r="F86" s="29">
        <f>PortfolioFrontier[[#This Row],[P1 Growth]]/PortfolioFrontier[[#This Row],[P1 HWM]]-1</f>
        <v>-9.2091642555764519E-2</v>
      </c>
      <c r="G86" s="28">
        <f>SUMPRODUCT(INDEX(PortfolioRef[[SPY]:[PE]],MATCH(G$1,PortfolioRef[Reference '#]),0),AssetMonthlyReturns[[#This Row],[SPY]:[PE]])</f>
        <v>2.9083347238023593E-2</v>
      </c>
      <c r="H86" s="27">
        <f>IF(ISNUMBER(H85),H85*(1+PortfolioFrontier[[#This Row],[P2 Return]]),1+PortfolioFrontier[[#This Row],[P2 Return]])</f>
        <v>1.709745334217998</v>
      </c>
      <c r="I86" s="27">
        <f>MAX(I85,PortfolioFrontier[[#This Row],[P2 Growth]])</f>
        <v>1.880902671218339</v>
      </c>
      <c r="J86" s="27">
        <f>PortfolioFrontier[[#This Row],[P2 Growth]]/PortfolioFrontier[[#This Row],[P2 HWM]]-1</f>
        <v>-9.099744480105143E-2</v>
      </c>
      <c r="K86" s="28">
        <f>SUMPRODUCT(INDEX(PortfolioRef[[SPY]:[PE]],MATCH(K$1,PortfolioRef[Reference '#]),0),AssetMonthlyReturns[[#This Row],[SPY]:[PE]])</f>
        <v>3.1718751405115174E-2</v>
      </c>
      <c r="L86" s="27">
        <f>IF(ISNUMBER(L85),L85*(1+PortfolioFrontier[[#This Row],[P3 Return]]),1+PortfolioFrontier[[#This Row],[P3 Return]])</f>
        <v>1.7418276994398092</v>
      </c>
      <c r="M86" s="27">
        <f>MAX(M85,PortfolioFrontier[[#This Row],[P3 Growth]])</f>
        <v>1.8984394560781046</v>
      </c>
      <c r="N86" s="27">
        <f>PortfolioFrontier[[#This Row],[P3 Growth]]/PortfolioFrontier[[#This Row],[P3 HWM]]-1</f>
        <v>-8.249499668629523E-2</v>
      </c>
      <c r="O86" s="28">
        <f>SUMPRODUCT(INDEX(PortfolioRef[[SPY]:[PE]],MATCH(O$1,PortfolioRef[Reference '#]),0),AssetMonthlyReturns[[#This Row],[SPY]:[PE]])</f>
        <v>2.6197469504391547E-2</v>
      </c>
      <c r="P86" s="27">
        <f>IF(ISNUMBER(P85),P85*(1+PortfolioFrontier[[#This Row],[P4 Return]]),1+PortfolioFrontier[[#This Row],[P4 Return]])</f>
        <v>1.7293467998351157</v>
      </c>
      <c r="Q86" s="27">
        <f>MAX(Q85,PortfolioFrontier[[#This Row],[P4 Growth]])</f>
        <v>1.9193367929729268</v>
      </c>
      <c r="R86" s="27">
        <f>PortfolioFrontier[[#This Row],[P4 Growth]]/PortfolioFrontier[[#This Row],[P4 HWM]]-1</f>
        <v>-9.8987313656155651E-2</v>
      </c>
      <c r="S86" s="28">
        <f>SUMPRODUCT(INDEX(PortfolioRef[[SPY]:[PE]],MATCH(S$1,PortfolioRef[Reference '#]),0),AssetMonthlyReturns[[#This Row],[SPY]:[PE]])</f>
        <v>2.8976089399356583E-2</v>
      </c>
      <c r="T86" s="27">
        <f>IF(ISNUMBER(T85),T85*(1+PortfolioFrontier[[#This Row],[P5 Return]]),1+PortfolioFrontier[[#This Row],[P5 Return]])</f>
        <v>1.727463979673675</v>
      </c>
      <c r="U86" s="27">
        <f>MAX(U85,PortfolioFrontier[[#This Row],[P5 Growth]])</f>
        <v>1.8841834525169079</v>
      </c>
      <c r="V86" s="27">
        <f>PortfolioFrontier[[#This Row],[P5 Growth]]/PortfolioFrontier[[#This Row],[P5 HWM]]-1</f>
        <v>-8.3176334360587689E-2</v>
      </c>
      <c r="W86" s="28">
        <f>SUMPRODUCT(INDEX(PortfolioRef[[SPY]:[PE]],MATCH(W$1,PortfolioRef[Reference '#]),0),AssetMonthlyReturns[[#This Row],[SPY]:[PE]])</f>
        <v>2.8748786120809246E-2</v>
      </c>
      <c r="X86" s="27">
        <f>IF(ISNUMBER(X85),X85*(1+PortfolioFrontier[[#This Row],[P6 Return]]),1+PortfolioFrontier[[#This Row],[P6 Return]])</f>
        <v>1.6477919738608351</v>
      </c>
      <c r="Y86" s="27">
        <f>MAX(Y85,PortfolioFrontier[[#This Row],[P6 Growth]])</f>
        <v>1.8107203423144032</v>
      </c>
      <c r="Z86" s="27">
        <f>PortfolioFrontier[[#This Row],[P6 Growth]]/PortfolioFrontier[[#This Row],[P6 HWM]]-1</f>
        <v>-8.997986306671657E-2</v>
      </c>
      <c r="AA86" s="28">
        <f>SUMPRODUCT(INDEX(PortfolioRef[[SPY]:[PE]],MATCH(AA$1,PortfolioRef[Reference '#]),0),AssetMonthlyReturns[[#This Row],[SPY]:[PE]])</f>
        <v>3.1384190287900827E-2</v>
      </c>
      <c r="AB86" s="27">
        <f>IF(ISNUMBER(AB85),AB85*(1+PortfolioFrontier[[#This Row],[P7 Return]]),1+PortfolioFrontier[[#This Row],[P7 Return]])</f>
        <v>1.6787185684026695</v>
      </c>
      <c r="AC86" s="27">
        <f>MAX(AC85,PortfolioFrontier[[#This Row],[P7 Growth]])</f>
        <v>1.8276317298765399</v>
      </c>
      <c r="AD86" s="27">
        <f>PortfolioFrontier[[#This Row],[P7 Growth]]/PortfolioFrontier[[#This Row],[P7 HWM]]-1</f>
        <v>-8.1478756928743956E-2</v>
      </c>
      <c r="AE86" s="28">
        <f>SUMPRODUCT(INDEX(PortfolioRef[[SPY]:[PE]],MATCH(AE$1,PortfolioRef[Reference '#]),0),AssetMonthlyReturns[[#This Row],[SPY]:[PE]])</f>
        <v>2.58629083871772E-2</v>
      </c>
      <c r="AF86" s="27">
        <f>IF(ISNUMBER(AF85),AF85*(1+PortfolioFrontier[[#This Row],[P8 Return]]),1+PortfolioFrontier[[#This Row],[P8 Return]])</f>
        <v>1.6672863740928363</v>
      </c>
      <c r="AG86" s="27">
        <f>MAX(AG85,PortfolioFrontier[[#This Row],[P8 Growth]])</f>
        <v>1.8482324314062795</v>
      </c>
      <c r="AH86" s="27">
        <f>PortfolioFrontier[[#This Row],[P8 Growth]]/PortfolioFrontier[[#This Row],[P8 HWM]]-1</f>
        <v>-9.7902219568653082E-2</v>
      </c>
      <c r="AI86" s="28">
        <f>SUMPRODUCT(INDEX(PortfolioRef[[SPY]:[PE]],MATCH(AI$1,PortfolioRef[Reference '#]),0),AssetMonthlyReturns[[#This Row],[SPY]:[PE]])</f>
        <v>2.8641528282142236E-2</v>
      </c>
      <c r="AJ86" s="27">
        <f>IF(ISNUMBER(AJ85),AJ85*(1+PortfolioFrontier[[#This Row],[P9 Return]]),1+PortfolioFrontier[[#This Row],[P9 Return]])</f>
        <v>1.6648886913338439</v>
      </c>
      <c r="AK86" s="27">
        <f>MAX(AK85,PortfolioFrontier[[#This Row],[P9 Growth]])</f>
        <v>1.8139467261629987</v>
      </c>
      <c r="AL86" s="27">
        <f>PortfolioFrontier[[#This Row],[P9 Growth]]/PortfolioFrontier[[#This Row],[P9 HWM]]-1</f>
        <v>-8.2173325533354546E-2</v>
      </c>
      <c r="AM86" s="28">
        <f>SUMPRODUCT(INDEX(PortfolioRef[[SPY]:[PE]],MATCH(AM$1,PortfolioRef[Reference '#]),0),AssetMonthlyReturns[[#This Row],[SPY]:[PE]])</f>
        <v>3.4019594454992412E-2</v>
      </c>
      <c r="AN86" s="27">
        <f>IF(ISNUMBER(AN85),AN85*(1+PortfolioFrontier[[#This Row],[P10 Return]]),1+PortfolioFrontier[[#This Row],[P10 Return]])</f>
        <v>1.7098066396152405</v>
      </c>
      <c r="AO86" s="27">
        <f>MAX(AO85,PortfolioFrontier[[#This Row],[P10 Growth]])</f>
        <v>1.8443368551596837</v>
      </c>
      <c r="AP86" s="27">
        <f>PortfolioFrontier[[#This Row],[P10 Growth]]/PortfolioFrontier[[#This Row],[P10 HWM]]-1</f>
        <v>-7.2942323506730244E-2</v>
      </c>
      <c r="AQ86" s="28">
        <f>SUMPRODUCT(INDEX(PortfolioRef[[SPY]:[PE]],MATCH(AQ$1,PortfolioRef[Reference '#]),0),AssetMonthlyReturns[[#This Row],[SPY]:[PE]])</f>
        <v>2.8498312554268785E-2</v>
      </c>
      <c r="AR86" s="27">
        <f>IF(ISNUMBER(AR85),AR85*(1+PortfolioFrontier[[#This Row],[P11 Return]]),1+PortfolioFrontier[[#This Row],[P11 Return]])</f>
        <v>1.6985507714053687</v>
      </c>
      <c r="AS86" s="27">
        <f>MAX(AS85,PortfolioFrontier[[#This Row],[P11 Growth]])</f>
        <v>1.865449984246593</v>
      </c>
      <c r="AT86" s="27">
        <f>PortfolioFrontier[[#This Row],[P11 Growth]]/PortfolioFrontier[[#This Row],[P11 HWM]]-1</f>
        <v>-8.9468607708949488E-2</v>
      </c>
      <c r="AU86" s="28">
        <f>SUMPRODUCT(INDEX(PortfolioRef[[SPY]:[PE]],MATCH(AU$1,PortfolioRef[Reference '#]),0),AssetMonthlyReturns[[#This Row],[SPY]:[PE]])</f>
        <v>3.1276932449233824E-2</v>
      </c>
      <c r="AV86" s="27">
        <f>IF(ISNUMBER(AV85),AV85*(1+PortfolioFrontier[[#This Row],[P12 Return]]),1+PortfolioFrontier[[#This Row],[P12 Return]])</f>
        <v>1.6961439845313246</v>
      </c>
      <c r="AW86" s="27">
        <f>MAX(AW85,PortfolioFrontier[[#This Row],[P12 Growth]])</f>
        <v>1.8309154354259589</v>
      </c>
      <c r="AX86" s="27">
        <f>PortfolioFrontier[[#This Row],[P12 Growth]]/PortfolioFrontier[[#This Row],[P12 HWM]]-1</f>
        <v>-7.3608779677626135E-2</v>
      </c>
      <c r="AY86" s="28">
        <f>SUMPRODUCT(INDEX(PortfolioRef[[SPY]:[PE]],MATCH(AY$1,PortfolioRef[Reference '#]),0),AssetMonthlyReturns[[#This Row],[SPY]:[PE]])</f>
        <v>2.2977030653545151E-2</v>
      </c>
      <c r="AZ86" s="27">
        <f>IF(ISNUMBER(AZ85),AZ85*(1+PortfolioFrontier[[#This Row],[P13 Return]]),1+PortfolioFrontier[[#This Row],[P13 Return]])</f>
        <v>1.6861558734130262</v>
      </c>
      <c r="BA86" s="27">
        <f>MAX(BA85,PortfolioFrontier[[#This Row],[P13 Growth]])</f>
        <v>1.8858075751364967</v>
      </c>
      <c r="BB86" s="27">
        <f>PortfolioFrontier[[#This Row],[P13 Growth]]/PortfolioFrontier[[#This Row],[P13 HWM]]-1</f>
        <v>-0.10587066483122987</v>
      </c>
      <c r="BC86" s="28">
        <f>SUMPRODUCT(INDEX(PortfolioRef[[SPY]:[PE]],MATCH(BC$1,PortfolioRef[Reference '#]),0),AssetMonthlyReturns[[#This Row],[SPY]:[PE]])</f>
        <v>2.575565054851019E-2</v>
      </c>
      <c r="BD86" s="27">
        <f>IF(ISNUMBER(BD85),BD85*(1+PortfolioFrontier[[#This Row],[P14 Return]]),1+PortfolioFrontier[[#This Row],[P14 Return]])</f>
        <v>1.6846314220436032</v>
      </c>
      <c r="BE86" s="27">
        <f>MAX(BE85,PortfolioFrontier[[#This Row],[P14 Growth]])</f>
        <v>1.8515113734383843</v>
      </c>
      <c r="BF86" s="27">
        <f>PortfolioFrontier[[#This Row],[P14 Growth]]/PortfolioFrontier[[#This Row],[P14 HWM]]-1</f>
        <v>-9.0131745226535442E-2</v>
      </c>
      <c r="BG86" s="28">
        <f>SUMPRODUCT(INDEX(PortfolioRef[[SPY]:[PE]],MATCH(BG$1,PortfolioRef[Reference '#]),0),AssetMonthlyReturns[[#This Row],[SPY]:[PE]])</f>
        <v>2.8534270443475229E-2</v>
      </c>
      <c r="BH86" s="27">
        <f>IF(ISNUMBER(BH85),BH85*(1+PortfolioFrontier[[#This Row],[P15 Return]]),1+PortfolioFrontier[[#This Row],[P15 Return]])</f>
        <v>1.6819806064936933</v>
      </c>
      <c r="BI86" s="27">
        <f>MAX(BI85,PortfolioFrontier[[#This Row],[P15 Growth]])</f>
        <v>1.8170439473092146</v>
      </c>
      <c r="BJ86" s="27">
        <f>PortfolioFrontier[[#This Row],[P15 Growth]]/PortfolioFrontier[[#This Row],[P15 HWM]]-1</f>
        <v>-7.4331356165342588E-2</v>
      </c>
      <c r="BK86" s="28">
        <f>SUMPRODUCT(INDEX(PortfolioRef[[SPY]:[PE]],MATCH(BK$1,PortfolioRef[Reference '#]),0),AssetMonthlyReturns[[#This Row],[SPY]:[PE]])</f>
        <v>2.8414225003594893E-2</v>
      </c>
      <c r="BL86" s="27">
        <f>IF(ISNUMBER(BL85),BL85*(1+PortfolioFrontier[[#This Row],[P16 Return]]),1+PortfolioFrontier[[#This Row],[P16 Return]])</f>
        <v>1.5873941529928222</v>
      </c>
      <c r="BM86" s="27">
        <f>MAX(BM85,PortfolioFrontier[[#This Row],[P16 Growth]])</f>
        <v>1.7425494832470445</v>
      </c>
      <c r="BN86" s="27">
        <f>PortfolioFrontier[[#This Row],[P16 Growth]]/PortfolioFrontier[[#This Row],[P16 HWM]]-1</f>
        <v>-8.9039267892185081E-2</v>
      </c>
      <c r="BO86" s="28">
        <f>SUMPRODUCT(INDEX(PortfolioRef[[SPY]:[PE]],MATCH(BO$1,PortfolioRef[Reference '#]),0),AssetMonthlyReturns[[#This Row],[SPY]:[PE]])</f>
        <v>3.1049629170686478E-2</v>
      </c>
      <c r="BP86" s="27">
        <f>IF(ISNUMBER(BP85),BP85*(1+PortfolioFrontier[[#This Row],[P17 Return]]),1+PortfolioFrontier[[#This Row],[P17 Return]])</f>
        <v>1.617194159572314</v>
      </c>
      <c r="BQ86" s="27">
        <f>MAX(BQ85,PortfolioFrontier[[#This Row],[P17 Growth]])</f>
        <v>1.7588525148836969</v>
      </c>
      <c r="BR86" s="27">
        <f>PortfolioFrontier[[#This Row],[P17 Growth]]/PortfolioFrontier[[#This Row],[P17 HWM]]-1</f>
        <v>-8.0540212503690145E-2</v>
      </c>
      <c r="BS86" s="28">
        <f>SUMPRODUCT(INDEX(PortfolioRef[[SPY]:[PE]],MATCH(BS$1,PortfolioRef[Reference '#]),0),AssetMonthlyReturns[[#This Row],[SPY]:[PE]])</f>
        <v>2.5528347269962847E-2</v>
      </c>
      <c r="BT86" s="27">
        <f>IF(ISNUMBER(BT85),BT85*(1+PortfolioFrontier[[#This Row],[P18 Return]]),1+PortfolioFrontier[[#This Row],[P18 Return]])</f>
        <v>1.6067540658131596</v>
      </c>
      <c r="BU86" s="27">
        <f>MAX(BU85,PortfolioFrontier[[#This Row],[P18 Growth]])</f>
        <v>1.7791407441475846</v>
      </c>
      <c r="BV86" s="27">
        <f>PortfolioFrontier[[#This Row],[P18 Growth]]/PortfolioFrontier[[#This Row],[P18 HWM]]-1</f>
        <v>-9.6893221574225863E-2</v>
      </c>
      <c r="BW86" s="28">
        <f>SUMPRODUCT(INDEX(PortfolioRef[[SPY]:[PE]],MATCH(BW$1,PortfolioRef[Reference '#]),0),AssetMonthlyReturns[[#This Row],[SPY]:[PE]])</f>
        <v>2.8306967164927883E-2</v>
      </c>
      <c r="BX86" s="27">
        <f>IF(ISNUMBER(BX85),BX85*(1+PortfolioFrontier[[#This Row],[P19 Return]]),1+PortfolioFrontier[[#This Row],[P19 Return]])</f>
        <v>1.6038835714649611</v>
      </c>
      <c r="BY86" s="27">
        <f>MAX(BY85,PortfolioFrontier[[#This Row],[P19 Growth]])</f>
        <v>1.7457196180719312</v>
      </c>
      <c r="BZ86" s="27">
        <f>PortfolioFrontier[[#This Row],[P19 Growth]]/PortfolioFrontier[[#This Row],[P19 HWM]]-1</f>
        <v>-8.1247896362430572E-2</v>
      </c>
      <c r="CA86" s="28">
        <f>SUMPRODUCT(INDEX(PortfolioRef[[SPY]:[PE]],MATCH(CA$1,PortfolioRef[Reference '#]),0),AssetMonthlyReturns[[#This Row],[SPY]:[PE]])</f>
        <v>3.3685033337778066E-2</v>
      </c>
      <c r="CB86" s="27">
        <f>IF(ISNUMBER(CB85),CB85*(1+PortfolioFrontier[[#This Row],[P20 Return]]),1+PortfolioFrontier[[#This Row],[P20 Return]])</f>
        <v>1.6471491820887092</v>
      </c>
      <c r="CC86" s="27">
        <f>MAX(CC85,PortfolioFrontier[[#This Row],[P20 Growth]])</f>
        <v>1.7749567522517573</v>
      </c>
      <c r="CD86" s="27">
        <f>PortfolioFrontier[[#This Row],[P20 Growth]]/PortfolioFrontier[[#This Row],[P20 HWM]]-1</f>
        <v>-7.2006019302108593E-2</v>
      </c>
      <c r="CE86" s="28">
        <f>SUMPRODUCT(INDEX(PortfolioRef[[SPY]:[PE]],MATCH(CE$1,PortfolioRef[Reference '#]),0),AssetMonthlyReturns[[#This Row],[SPY]:[PE]])</f>
        <v>2.8163751437054432E-2</v>
      </c>
      <c r="CF86" s="27">
        <f>IF(ISNUMBER(CF85),CF85*(1+PortfolioFrontier[[#This Row],[P21 Return]]),1+PortfolioFrontier[[#This Row],[P21 Return]])</f>
        <v>1.6368901499352273</v>
      </c>
      <c r="CG86" s="27">
        <f>MAX(CG85,PortfolioFrontier[[#This Row],[P21 Growth]])</f>
        <v>1.795743356031652</v>
      </c>
      <c r="CH86" s="27">
        <f>PortfolioFrontier[[#This Row],[P21 Growth]]/PortfolioFrontier[[#This Row],[P21 HWM]]-1</f>
        <v>-8.8460973870714277E-2</v>
      </c>
      <c r="CI86" s="28">
        <f>SUMPRODUCT(INDEX(PortfolioRef[[SPY]:[PE]],MATCH(CI$1,PortfolioRef[Reference '#]),0),AssetMonthlyReturns[[#This Row],[SPY]:[PE]])</f>
        <v>3.0942371332019467E-2</v>
      </c>
      <c r="CJ86" s="27">
        <f>IF(ISNUMBER(CJ85),CJ85*(1+PortfolioFrontier[[#This Row],[P22 Return]]),1+PortfolioFrontier[[#This Row],[P22 Return]])</f>
        <v>1.634000731445169</v>
      </c>
      <c r="CK86" s="27">
        <f>MAX(CK85,PortfolioFrontier[[#This Row],[P22 Growth]])</f>
        <v>1.7620784578443487</v>
      </c>
      <c r="CL86" s="27">
        <f>PortfolioFrontier[[#This Row],[P22 Growth]]/PortfolioFrontier[[#This Row],[P22 HWM]]-1</f>
        <v>-7.2685597981751893E-2</v>
      </c>
      <c r="CM86" s="28">
        <f>SUMPRODUCT(INDEX(PortfolioRef[[SPY]:[PE]],MATCH(CM$1,PortfolioRef[Reference '#]),0),AssetMonthlyReturns[[#This Row],[SPY]:[PE]])</f>
        <v>2.2642469536330798E-2</v>
      </c>
      <c r="CN86" s="27">
        <f>IF(ISNUMBER(CN85),CN85*(1+PortfolioFrontier[[#This Row],[P23 Return]]),1+PortfolioFrontier[[#This Row],[P23 Return]])</f>
        <v>1.6255274800293673</v>
      </c>
      <c r="CO86" s="27">
        <f>MAX(CO85,PortfolioFrontier[[#This Row],[P23 Growth]])</f>
        <v>1.8158151760868648</v>
      </c>
      <c r="CP86" s="27">
        <f>PortfolioFrontier[[#This Row],[P23 Growth]]/PortfolioFrontier[[#This Row],[P23 HWM]]-1</f>
        <v>-0.10479463910394948</v>
      </c>
      <c r="CQ86" s="28">
        <f>SUMPRODUCT(INDEX(PortfolioRef[[SPY]:[PE]],MATCH(CQ$1,PortfolioRef[Reference '#]),0),AssetMonthlyReturns[[#This Row],[SPY]:[PE]])</f>
        <v>2.5421089431295837E-2</v>
      </c>
      <c r="CR86" s="27">
        <f>IF(ISNUMBER(CR85),CR85*(1+PortfolioFrontier[[#This Row],[P24 Return]]),1+PortfolioFrontier[[#This Row],[P24 Return]])</f>
        <v>1.6234889613326051</v>
      </c>
      <c r="CS86" s="27">
        <f>MAX(CS85,PortfolioFrontier[[#This Row],[P24 Growth]])</f>
        <v>1.7823638134718676</v>
      </c>
      <c r="CT86" s="27">
        <f>PortfolioFrontier[[#This Row],[P24 Growth]]/PortfolioFrontier[[#This Row],[P24 HWM]]-1</f>
        <v>-8.913716208689737E-2</v>
      </c>
      <c r="CU86" s="28">
        <f>SUMPRODUCT(INDEX(PortfolioRef[[SPY]:[PE]],MATCH(CU$1,PortfolioRef[Reference '#]),0),AssetMonthlyReturns[[#This Row],[SPY]:[PE]])</f>
        <v>2.8199709326260876E-2</v>
      </c>
      <c r="CV86" s="27">
        <f>IF(ISNUMBER(CV85),CV85*(1+PortfolioFrontier[[#This Row],[P25 Return]]),1+PortfolioFrontier[[#This Row],[P25 Return]])</f>
        <v>1.6203688566735566</v>
      </c>
      <c r="CW86" s="27">
        <f>MAX(CW85,PortfolioFrontier[[#This Row],[P25 Growth]])</f>
        <v>1.7487656732120247</v>
      </c>
      <c r="CX86" s="27">
        <f>PortfolioFrontier[[#This Row],[P25 Growth]]/PortfolioFrontier[[#This Row],[P25 HWM]]-1</f>
        <v>-7.3421395733733075E-2</v>
      </c>
      <c r="CY86" s="28">
        <f>SUMPRODUCT(INDEX(PortfolioRef[[SPY]:[PE]],MATCH(CY$1,PortfolioRef[Reference '#]),0),AssetMonthlyReturns[[#This Row],[SPY]:[PE]])</f>
        <v>3.0799155604146016E-2</v>
      </c>
      <c r="CZ86" s="27">
        <f>IF(ISNUMBER(CZ85),CZ85*(1+PortfolioFrontier[[#This Row],[P26 Return]]),1+PortfolioFrontier[[#This Row],[P26 Return]])</f>
        <v>1.6671826555034326</v>
      </c>
      <c r="DA86" s="27">
        <f>MAX(DA85,PortfolioFrontier[[#This Row],[P26 Growth]])</f>
        <v>1.8121428498945955</v>
      </c>
      <c r="DB86" s="27">
        <f>PortfolioFrontier[[#This Row],[P26 Growth]]/PortfolioFrontier[[#This Row],[P26 HWM]]-1</f>
        <v>-7.9993800929984427E-2</v>
      </c>
      <c r="DC86" s="28">
        <f>SUMPRODUCT(INDEX(PortfolioRef[[SPY]:[PE]],MATCH(DC$1,PortfolioRef[Reference '#]),0),AssetMonthlyReturns[[#This Row],[SPY]:[PE]])</f>
        <v>3.3577775499111055E-2</v>
      </c>
      <c r="DD86" s="27">
        <f>IF(ISNUMBER(DD85),DD85*(1+PortfolioFrontier[[#This Row],[P27 Return]]),1+PortfolioFrontier[[#This Row],[P27 Return]])</f>
        <v>1.6642750499950145</v>
      </c>
      <c r="DE86" s="27">
        <f>MAX(DE85,PortfolioFrontier[[#This Row],[P27 Growth]])</f>
        <v>1.7782387807323972</v>
      </c>
      <c r="DF86" s="27">
        <f>PortfolioFrontier[[#This Row],[P27 Growth]]/PortfolioFrontier[[#This Row],[P27 HWM]]-1</f>
        <v>-6.4087979619050217E-2</v>
      </c>
      <c r="DG86" s="28">
        <f>SUMPRODUCT(INDEX(PortfolioRef[[SPY]:[PE]],MATCH(DG$1,PortfolioRef[Reference '#]),0),AssetMonthlyReturns[[#This Row],[SPY]:[PE]])</f>
        <v>2.5277873703422382E-2</v>
      </c>
      <c r="DH86" s="27">
        <f>IF(ISNUMBER(DH85),DH85*(1+PortfolioFrontier[[#This Row],[P28 Return]]),1+PortfolioFrontier[[#This Row],[P28 Return]])</f>
        <v>1.6559885347777432</v>
      </c>
      <c r="DI86" s="27">
        <f>MAX(DI85,PortfolioFrontier[[#This Row],[P28 Growth]])</f>
        <v>1.8327167417336543</v>
      </c>
      <c r="DJ86" s="27">
        <f>PortfolioFrontier[[#This Row],[P28 Growth]]/PortfolioFrontier[[#This Row],[P28 HWM]]-1</f>
        <v>-9.642963526853332E-2</v>
      </c>
      <c r="DK86" s="28">
        <f>SUMPRODUCT(INDEX(PortfolioRef[[SPY]:[PE]],MATCH(DK$1,PortfolioRef[Reference '#]),0),AssetMonthlyReturns[[#This Row],[SPY]:[PE]])</f>
        <v>2.8056493598387421E-2</v>
      </c>
      <c r="DL86" s="27">
        <f>IF(ISNUMBER(DL85),DL85*(1+PortfolioFrontier[[#This Row],[P29 Return]]),1+PortfolioFrontier[[#This Row],[P29 Return]])</f>
        <v>1.6539465519524985</v>
      </c>
      <c r="DM86" s="27">
        <f>MAX(DM85,PortfolioFrontier[[#This Row],[P29 Growth]])</f>
        <v>1.7990232294645383</v>
      </c>
      <c r="DN86" s="27">
        <f>PortfolioFrontier[[#This Row],[P29 Growth]]/PortfolioFrontier[[#This Row],[P29 HWM]]-1</f>
        <v>-8.0641914532265657E-2</v>
      </c>
      <c r="DO86" s="28">
        <f>SUMPRODUCT(INDEX(PortfolioRef[[SPY]:[PE]],MATCH(DO$1,PortfolioRef[Reference '#]),0),AssetMonthlyReturns[[#This Row],[SPY]:[PE]])</f>
        <v>3.083511349335246E-2</v>
      </c>
      <c r="DP86" s="27">
        <f>IF(ISNUMBER(DP85),DP85*(1+PortfolioFrontier[[#This Row],[P30 Return]]),1+PortfolioFrontier[[#This Row],[P30 Return]])</f>
        <v>1.6508034103985236</v>
      </c>
      <c r="DQ86" s="27">
        <f>MAX(DQ85,PortfolioFrontier[[#This Row],[P30 Growth]])</f>
        <v>1.7651792866223672</v>
      </c>
      <c r="DR86" s="27">
        <f>PortfolioFrontier[[#This Row],[P30 Growth]]/PortfolioFrontier[[#This Row],[P30 HWM]]-1</f>
        <v>-6.4795614298590265E-2</v>
      </c>
      <c r="DS86" s="28">
        <f>SUMPRODUCT(INDEX(PortfolioRef[[SPY]:[PE]],MATCH(DS$1,PortfolioRef[Reference '#]),0),AssetMonthlyReturns[[#This Row],[SPY]:[PE]])</f>
        <v>1.9756591802698752E-2</v>
      </c>
      <c r="DT86" s="27">
        <f>IF(ISNUMBER(DT85),DT85*(1+PortfolioFrontier[[#This Row],[P31 Return]]),1+PortfolioFrontier[[#This Row],[P31 Return]])</f>
        <v>1.6436848172101743</v>
      </c>
      <c r="DU86" s="27">
        <f>MAX(DU85,PortfolioFrontier[[#This Row],[P31 Growth]])</f>
        <v>1.8525428026208837</v>
      </c>
      <c r="DV86" s="27">
        <f>PortfolioFrontier[[#This Row],[P31 Growth]]/PortfolioFrontier[[#This Row],[P31 HWM]]-1</f>
        <v>-0.11274124685012821</v>
      </c>
      <c r="DW86" s="28">
        <f>SUMPRODUCT(INDEX(PortfolioRef[[SPY]:[PE]],MATCH(DW$1,PortfolioRef[Reference '#]),0),AssetMonthlyReturns[[#This Row],[SPY]:[PE]])</f>
        <v>2.2535211697663787E-2</v>
      </c>
      <c r="DX86" s="27">
        <f>IF(ISNUMBER(DX85),DX85*(1+PortfolioFrontier[[#This Row],[P32 Return]]),1+PortfolioFrontier[[#This Row],[P32 Return]])</f>
        <v>1.6425030481263707</v>
      </c>
      <c r="DY86" s="27">
        <f>MAX(DY85,PortfolioFrontier[[#This Row],[P32 Growth]])</f>
        <v>1.8190908915066115</v>
      </c>
      <c r="DZ86" s="27">
        <f>PortfolioFrontier[[#This Row],[P32 Growth]]/PortfolioFrontier[[#This Row],[P32 HWM]]-1</f>
        <v>-9.7074777409273283E-2</v>
      </c>
      <c r="EA86" s="28">
        <f>SUMPRODUCT(INDEX(PortfolioRef[[SPY]:[PE]],MATCH(EA$1,PortfolioRef[Reference '#]),0),AssetMonthlyReturns[[#This Row],[SPY]:[PE]])</f>
        <v>2.531383159262883E-2</v>
      </c>
      <c r="EB86" s="27">
        <f>IF(ISNUMBER(EB85),EB85*(1+PortfolioFrontier[[#This Row],[P33 Return]]),1+PortfolioFrontier[[#This Row],[P33 Return]])</f>
        <v>1.6402204972466297</v>
      </c>
      <c r="EC86" s="27">
        <f>MAX(EC85,PortfolioFrontier[[#This Row],[P33 Growth]])</f>
        <v>1.7854600976944932</v>
      </c>
      <c r="ED86" s="27">
        <f>PortfolioFrontier[[#This Row],[P33 Growth]]/PortfolioFrontier[[#This Row],[P33 HWM]]-1</f>
        <v>-8.1345755436039613E-2</v>
      </c>
      <c r="EE86" s="28">
        <f>SUMPRODUCT(INDEX(PortfolioRef[[SPY]:[PE]],MATCH(EE$1,PortfolioRef[Reference '#]),0),AssetMonthlyReturns[[#This Row],[SPY]:[PE]])</f>
        <v>2.8079663886380547E-2</v>
      </c>
      <c r="EF86" s="27">
        <f>IF(ISNUMBER(EF85),EF85*(1+PortfolioFrontier[[#This Row],[P34 Return]]),1+PortfolioFrontier[[#This Row],[P34 Return]])</f>
        <v>1.5285465667757887</v>
      </c>
      <c r="EG86" s="27">
        <f>MAX(EG85,PortfolioFrontier[[#This Row],[P34 Growth]])</f>
        <v>1.6763614413137211</v>
      </c>
      <c r="EH86" s="27">
        <f>PortfolioFrontier[[#This Row],[P34 Growth]]/PortfolioFrontier[[#This Row],[P34 HWM]]-1</f>
        <v>-8.8176016755726394E-2</v>
      </c>
      <c r="EI86" s="28">
        <f>SUMPRODUCT(INDEX(PortfolioRef[[SPY]:[PE]],MATCH(EI$1,PortfolioRef[Reference '#]),0),AssetMonthlyReturns[[#This Row],[SPY]:[PE]])</f>
        <v>3.0715068053472131E-2</v>
      </c>
      <c r="EJ86" s="27">
        <f>IF(ISNUMBER(EJ85),EJ85*(1+PortfolioFrontier[[#This Row],[P35 Return]]),1+PortfolioFrontier[[#This Row],[P35 Return]])</f>
        <v>1.5572490323774579</v>
      </c>
      <c r="EK86" s="27">
        <f>MAX(EK85,PortfolioFrontier[[#This Row],[P35 Growth]])</f>
        <v>1.6920729334369538</v>
      </c>
      <c r="EL86" s="27">
        <f>PortfolioFrontier[[#This Row],[P35 Growth]]/PortfolioFrontier[[#This Row],[P35 HWM]]-1</f>
        <v>-7.9679722070632231E-2</v>
      </c>
      <c r="EM86" s="28">
        <f>SUMPRODUCT(INDEX(PortfolioRef[[SPY]:[PE]],MATCH(EM$1,PortfolioRef[Reference '#]),0),AssetMonthlyReturns[[#This Row],[SPY]:[PE]])</f>
        <v>2.5193786152748501E-2</v>
      </c>
      <c r="EN86" s="27">
        <f>IF(ISNUMBER(EN85),EN85*(1+PortfolioFrontier[[#This Row],[P36 Return]]),1+PortfolioFrontier[[#This Row],[P36 Return]])</f>
        <v>1.5477463973514718</v>
      </c>
      <c r="EO86" s="27">
        <f>MAX(EO85,PortfolioFrontier[[#This Row],[P36 Growth]])</f>
        <v>1.7120343963250326</v>
      </c>
      <c r="EP86" s="27">
        <f>PortfolioFrontier[[#This Row],[P36 Growth]]/PortfolioFrontier[[#This Row],[P36 HWM]]-1</f>
        <v>-9.5960688246809367E-2</v>
      </c>
      <c r="EQ86" s="28">
        <f>SUMPRODUCT(INDEX(PortfolioRef[[SPY]:[PE]],MATCH(EQ$1,PortfolioRef[Reference '#]),0),AssetMonthlyReturns[[#This Row],[SPY]:[PE]])</f>
        <v>2.7972406047713536E-2</v>
      </c>
      <c r="ER86" s="27">
        <f>IF(ISNUMBER(ER85),ER85*(1+PortfolioFrontier[[#This Row],[P37 Return]]),1+PortfolioFrontier[[#This Row],[P37 Return]])</f>
        <v>1.5444433218296658</v>
      </c>
      <c r="ES86" s="27">
        <f>MAX(ES85,PortfolioFrontier[[#This Row],[P37 Growth]])</f>
        <v>1.6794736802569215</v>
      </c>
      <c r="ET86" s="27">
        <f>PortfolioFrontier[[#This Row],[P37 Growth]]/PortfolioFrontier[[#This Row],[P37 HWM]]-1</f>
        <v>-8.0400401634516228E-2</v>
      </c>
      <c r="EU86" s="28">
        <f>SUMPRODUCT(INDEX(PortfolioRef[[SPY]:[PE]],MATCH(EU$1,PortfolioRef[Reference '#]),0),AssetMonthlyReturns[[#This Row],[SPY]:[PE]])</f>
        <v>3.3350472220563712E-2</v>
      </c>
      <c r="EV86" s="27">
        <f>IF(ISNUMBER(EV85),EV85*(1+PortfolioFrontier[[#This Row],[P38 Return]]),1+PortfolioFrontier[[#This Row],[P38 Return]])</f>
        <v>1.5861002509570394</v>
      </c>
      <c r="EW86" s="27">
        <f>MAX(EW85,PortfolioFrontier[[#This Row],[P38 Growth]])</f>
        <v>1.7075928941250238</v>
      </c>
      <c r="EX86" s="27">
        <f>PortfolioFrontier[[#This Row],[P38 Growth]]/PortfolioFrontier[[#This Row],[P38 HWM]]-1</f>
        <v>-7.1148482513589739E-2</v>
      </c>
      <c r="EY86" s="28">
        <f>SUMPRODUCT(INDEX(PortfolioRef[[SPY]:[PE]],MATCH(EY$1,PortfolioRef[Reference '#]),0),AssetMonthlyReturns[[#This Row],[SPY]:[PE]])</f>
        <v>2.7829190319840085E-2</v>
      </c>
      <c r="EZ86" s="27">
        <f>IF(ISNUMBER(EZ85),EZ85*(1+PortfolioFrontier[[#This Row],[P39 Return]]),1+PortfolioFrontier[[#This Row],[P39 Return]])</f>
        <v>1.5767827377350074</v>
      </c>
      <c r="FA86" s="27">
        <f>MAX(FA85,PortfolioFrontier[[#This Row],[P39 Growth]])</f>
        <v>1.7280388577532122</v>
      </c>
      <c r="FB86" s="27">
        <f>PortfolioFrontier[[#This Row],[P39 Growth]]/PortfolioFrontier[[#This Row],[P39 HWM]]-1</f>
        <v>-8.7530508552838504E-2</v>
      </c>
      <c r="FC86" s="28">
        <f>SUMPRODUCT(INDEX(PortfolioRef[[SPY]:[PE]],MATCH(FC$1,PortfolioRef[Reference '#]),0),AssetMonthlyReturns[[#This Row],[SPY]:[PE]])</f>
        <v>3.0607810214805121E-2</v>
      </c>
      <c r="FD86" s="27">
        <f>IF(ISNUMBER(FD85),FD85*(1+PortfolioFrontier[[#This Row],[P40 Return]]),1+PortfolioFrontier[[#This Row],[P40 Return]])</f>
        <v>1.5734516733997619</v>
      </c>
      <c r="FE86" s="27">
        <f>MAX(FE85,PortfolioFrontier[[#This Row],[P40 Growth]])</f>
        <v>1.6952394830468527</v>
      </c>
      <c r="FF86" s="27">
        <f>PortfolioFrontier[[#This Row],[P40 Growth]]/PortfolioFrontier[[#This Row],[P40 HWM]]-1</f>
        <v>-7.1841064855451386E-2</v>
      </c>
      <c r="FG86" s="28">
        <f>SUMPRODUCT(INDEX(PortfolioRef[[SPY]:[PE]],MATCH(FG$1,PortfolioRef[Reference '#]),0),AssetMonthlyReturns[[#This Row],[SPY]:[PE]])</f>
        <v>2.2307908419116451E-2</v>
      </c>
      <c r="FH86" s="27">
        <f>IF(ISNUMBER(FH85),FH85*(1+PortfolioFrontier[[#This Row],[P41 Return]]),1+PortfolioFrontier[[#This Row],[P41 Return]])</f>
        <v>1.5663966935780278</v>
      </c>
      <c r="FI86" s="27">
        <f>MAX(FI85,PortfolioFrontier[[#This Row],[P41 Growth]])</f>
        <v>1.7478091274239449</v>
      </c>
      <c r="FJ86" s="27">
        <f>PortfolioFrontier[[#This Row],[P41 Growth]]/PortfolioFrontier[[#This Row],[P41 HWM]]-1</f>
        <v>-0.103794190681048</v>
      </c>
      <c r="FK86" s="28">
        <f>SUMPRODUCT(INDEX(PortfolioRef[[SPY]:[PE]],MATCH(FK$1,PortfolioRef[Reference '#]),0),AssetMonthlyReturns[[#This Row],[SPY]:[PE]])</f>
        <v>2.508652831408149E-2</v>
      </c>
      <c r="FL86" s="27">
        <f>IF(ISNUMBER(FL85),FL85*(1+PortfolioFrontier[[#This Row],[P42 Return]]),1+PortfolioFrontier[[#This Row],[P42 Return]])</f>
        <v>1.5638855507675191</v>
      </c>
      <c r="FM86" s="27">
        <f>MAX(FM85,PortfolioFrontier[[#This Row],[P42 Growth]])</f>
        <v>1.7151998522045959</v>
      </c>
      <c r="FN86" s="27">
        <f>PortfolioFrontier[[#This Row],[P42 Growth]]/PortfolioFrontier[[#This Row],[P42 HWM]]-1</f>
        <v>-8.8219632973141948E-2</v>
      </c>
      <c r="FO86" s="28">
        <f>SUMPRODUCT(INDEX(PortfolioRef[[SPY]:[PE]],MATCH(FO$1,PortfolioRef[Reference '#]),0),AssetMonthlyReturns[[#This Row],[SPY]:[PE]])</f>
        <v>2.7865148209046529E-2</v>
      </c>
      <c r="FP86" s="27">
        <f>IF(ISNUMBER(FP85),FP85*(1+PortfolioFrontier[[#This Row],[P43 Return]]),1+PortfolioFrontier[[#This Row],[P43 Return]])</f>
        <v>1.560336565417539</v>
      </c>
      <c r="FQ86" s="27">
        <f>MAX(FQ85,PortfolioFrontier[[#This Row],[P43 Growth]])</f>
        <v>1.6824667632825669</v>
      </c>
      <c r="FR86" s="27">
        <f>PortfolioFrontier[[#This Row],[P43 Growth]]/PortfolioFrontier[[#This Row],[P43 HWM]]-1</f>
        <v>-7.25899616743374E-2</v>
      </c>
      <c r="FS86" s="28">
        <f>SUMPRODUCT(INDEX(PortfolioRef[[SPY]:[PE]],MATCH(FS$1,PortfolioRef[Reference '#]),0),AssetMonthlyReturns[[#This Row],[SPY]:[PE]])</f>
        <v>3.046459448693167E-2</v>
      </c>
      <c r="FT86" s="27">
        <f>IF(ISNUMBER(FT85),FT85*(1+PortfolioFrontier[[#This Row],[P44 Return]]),1+PortfolioFrontier[[#This Row],[P44 Return]])</f>
        <v>1.6059692289583587</v>
      </c>
      <c r="FU86" s="27">
        <f>MAX(FU85,PortfolioFrontier[[#This Row],[P44 Growth]])</f>
        <v>1.7438475694471607</v>
      </c>
      <c r="FV86" s="27">
        <f>PortfolioFrontier[[#This Row],[P44 Growth]]/PortfolioFrontier[[#This Row],[P44 HWM]]-1</f>
        <v>-7.9065592030221121E-2</v>
      </c>
      <c r="FW86" s="28">
        <f>SUMPRODUCT(INDEX(PortfolioRef[[SPY]:[PE]],MATCH(FW$1,PortfolioRef[Reference '#]),0),AssetMonthlyReturns[[#This Row],[SPY]:[PE]])</f>
        <v>3.3243214381896709E-2</v>
      </c>
      <c r="FX86" s="27">
        <f>IF(ISNUMBER(FX85),FX85*(1+PortfolioFrontier[[#This Row],[P45 Return]]),1+PortfolioFrontier[[#This Row],[P45 Return]])</f>
        <v>1.6026108410176607</v>
      </c>
      <c r="FY86" s="27">
        <f>MAX(FY85,PortfolioFrontier[[#This Row],[P45 Growth]])</f>
        <v>1.7108140158896465</v>
      </c>
      <c r="FZ86" s="27">
        <f>PortfolioFrontier[[#This Row],[P45 Growth]]/PortfolioFrontier[[#This Row],[P45 HWM]]-1</f>
        <v>-6.3246603001272828E-2</v>
      </c>
      <c r="GA86" s="28">
        <f>SUMPRODUCT(INDEX(PortfolioRef[[SPY]:[PE]],MATCH(GA$1,PortfolioRef[Reference '#]),0),AssetMonthlyReturns[[#This Row],[SPY]:[PE]])</f>
        <v>2.4943312586208036E-2</v>
      </c>
      <c r="GB86" s="27">
        <f>IF(ISNUMBER(GB85),GB85*(1+PortfolioFrontier[[#This Row],[P46 Return]]),1+PortfolioFrontier[[#This Row],[P46 Return]])</f>
        <v>1.5957564691850601</v>
      </c>
      <c r="GC86" s="27">
        <f>MAX(GC85,PortfolioFrontier[[#This Row],[P46 Growth]])</f>
        <v>1.7641061270089846</v>
      </c>
      <c r="GD86" s="27">
        <f>PortfolioFrontier[[#This Row],[P46 Growth]]/PortfolioFrontier[[#This Row],[P46 HWM]]-1</f>
        <v>-9.5430572597896224E-2</v>
      </c>
      <c r="GE86" s="28">
        <f>SUMPRODUCT(INDEX(PortfolioRef[[SPY]:[PE]],MATCH(GE$1,PortfolioRef[Reference '#]),0),AssetMonthlyReturns[[#This Row],[SPY]:[PE]])</f>
        <v>2.7721932481173075E-2</v>
      </c>
      <c r="GF86" s="27">
        <f>IF(ISNUMBER(GF85),GF85*(1+PortfolioFrontier[[#This Row],[P47 Return]]),1+PortfolioFrontier[[#This Row],[P47 Return]])</f>
        <v>1.5932320824360364</v>
      </c>
      <c r="GG86" s="27">
        <f>MAX(GG85,PortfolioFrontier[[#This Row],[P47 Growth]])</f>
        <v>1.7312596087544752</v>
      </c>
      <c r="GH86" s="27">
        <f>PortfolioFrontier[[#This Row],[P47 Growth]]/PortfolioFrontier[[#This Row],[P47 HWM]]-1</f>
        <v>-7.9726648516764143E-2</v>
      </c>
      <c r="GI86" s="28">
        <f>SUMPRODUCT(INDEX(PortfolioRef[[SPY]:[PE]],MATCH(GI$1,PortfolioRef[Reference '#]),0),AssetMonthlyReturns[[#This Row],[SPY]:[PE]])</f>
        <v>3.0500552376138114E-2</v>
      </c>
      <c r="GJ86" s="27">
        <f>IF(ISNUMBER(GJ85),GJ85*(1+PortfolioFrontier[[#This Row],[P48 Return]]),1+PortfolioFrontier[[#This Row],[P48 Return]])</f>
        <v>1.5896510443657057</v>
      </c>
      <c r="GK86" s="27">
        <f>MAX(GK85,PortfolioFrontier[[#This Row],[P48 Growth]])</f>
        <v>1.6982858835097865</v>
      </c>
      <c r="GL86" s="27">
        <f>PortfolioFrontier[[#This Row],[P48 Growth]]/PortfolioFrontier[[#This Row],[P48 HWM]]-1</f>
        <v>-6.3967345073592141E-2</v>
      </c>
      <c r="GM86" s="28">
        <f>SUMPRODUCT(INDEX(PortfolioRef[[SPY]:[PE]],MATCH(GM$1,PortfolioRef[Reference '#]),0),AssetMonthlyReturns[[#This Row],[SPY]:[PE]])</f>
        <v>1.9422030685484405E-2</v>
      </c>
      <c r="GN86" s="27">
        <f>IF(ISNUMBER(GN85),GN85*(1+PortfolioFrontier[[#This Row],[P49 Return]]),1+PortfolioFrontier[[#This Row],[P49 Return]])</f>
        <v>1.5844685303734016</v>
      </c>
      <c r="GO86" s="27">
        <f>MAX(GO85,PortfolioFrontier[[#This Row],[P49 Growth]])</f>
        <v>1.7836571071341945</v>
      </c>
      <c r="GP86" s="27">
        <f>PortfolioFrontier[[#This Row],[P49 Growth]]/PortfolioFrontier[[#This Row],[P49 HWM]]-1</f>
        <v>-0.11167425396063346</v>
      </c>
      <c r="GQ86" s="28">
        <f>SUMPRODUCT(INDEX(PortfolioRef[[SPY]:[PE]],MATCH(GQ$1,PortfolioRef[Reference '#]),0),AssetMonthlyReturns[[#This Row],[SPY]:[PE]])</f>
        <v>2.2200650580449441E-2</v>
      </c>
      <c r="GR86" s="27">
        <f>IF(ISNUMBER(GR85),GR85*(1+PortfolioFrontier[[#This Row],[P50 Return]]),1+PortfolioFrontier[[#This Row],[P50 Return]])</f>
        <v>1.5827737971169948</v>
      </c>
      <c r="GS86" s="27">
        <f>MAX(GS85,PortfolioFrontier[[#This Row],[P50 Growth]])</f>
        <v>1.7510275614895194</v>
      </c>
      <c r="GT86" s="27">
        <f>PortfolioFrontier[[#This Row],[P50 Growth]]/PortfolioFrontier[[#This Row],[P50 HWM]]-1</f>
        <v>-9.6088587109045109E-2</v>
      </c>
      <c r="GU86" s="28">
        <f>SUMPRODUCT(INDEX(PortfolioRef[[SPY]:[PE]],MATCH(GU$1,PortfolioRef[Reference '#]),0),AssetMonthlyReturns[[#This Row],[SPY]:[PE]])</f>
        <v>2.4979270475414483E-2</v>
      </c>
      <c r="GV86" s="27">
        <f>IF(ISNUMBER(GV85),GV85*(1+PortfolioFrontier[[#This Row],[P51 Return]]),1+PortfolioFrontier[[#This Row],[P51 Return]])</f>
        <v>1.5800219487598637</v>
      </c>
      <c r="GW86" s="27">
        <f>MAX(GW85,PortfolioFrontier[[#This Row],[P51 Growth]])</f>
        <v>1.7182435242855478</v>
      </c>
      <c r="GX86" s="27">
        <f>PortfolioFrontier[[#This Row],[P51 Growth]]/PortfolioFrontier[[#This Row],[P51 HWM]]-1</f>
        <v>-8.0443530600912472E-2</v>
      </c>
      <c r="GY86" s="28">
        <f>SUMPRODUCT(INDEX(PortfolioRef[[SPY]:[PE]],MATCH(GY$1,PortfolioRef[Reference '#]),0),AssetMonthlyReturns[[#This Row],[SPY]:[PE]])</f>
        <v>2.7578716753299613E-2</v>
      </c>
      <c r="GZ86" s="27">
        <f>IF(ISNUMBER(GZ85),GZ85*(1+PortfolioFrontier[[#This Row],[P52 Return]]),1+PortfolioFrontier[[#This Row],[P52 Return]])</f>
        <v>1.6252677390814865</v>
      </c>
      <c r="HA86" s="27">
        <f>MAX(HA85,PortfolioFrontier[[#This Row],[P52 Growth]])</f>
        <v>1.7802031417261526</v>
      </c>
      <c r="HB86" s="27">
        <f>PortfolioFrontier[[#This Row],[P52 Growth]]/PortfolioFrontier[[#This Row],[P52 HWM]]-1</f>
        <v>-8.703242849826387E-2</v>
      </c>
      <c r="HC86" s="28">
        <f>SUMPRODUCT(INDEX(PortfolioRef[[SPY]:[PE]],MATCH(HC$1,PortfolioRef[Reference '#]),0),AssetMonthlyReturns[[#This Row],[SPY]:[PE]])</f>
        <v>3.0357336648264652E-2</v>
      </c>
      <c r="HD86" s="27">
        <f>IF(ISNUMBER(HD85),HD85*(1+PortfolioFrontier[[#This Row],[P53 Return]]),1+PortfolioFrontier[[#This Row],[P53 Return]])</f>
        <v>1.6227308509836698</v>
      </c>
      <c r="HE86" s="27">
        <f>MAX(HE85,PortfolioFrontier[[#This Row],[P53 Growth]])</f>
        <v>1.7471238825308339</v>
      </c>
      <c r="HF86" s="27">
        <f>PortfolioFrontier[[#This Row],[P53 Growth]]/PortfolioFrontier[[#This Row],[P53 HWM]]-1</f>
        <v>-7.1198747147209751E-2</v>
      </c>
      <c r="HG86" s="28">
        <f>SUMPRODUCT(INDEX(PortfolioRef[[SPY]:[PE]],MATCH(HG$1,PortfolioRef[Reference '#]),0),AssetMonthlyReturns[[#This Row],[SPY]:[PE]])</f>
        <v>3.3135956543229692E-2</v>
      </c>
      <c r="HH86" s="27">
        <f>IF(ISNUMBER(HH85),HH85*(1+PortfolioFrontier[[#This Row],[P54 Return]]),1+PortfolioFrontier[[#This Row],[P54 Return]])</f>
        <v>1.6191184154884373</v>
      </c>
      <c r="HI86" s="27">
        <f>MAX(HI85,PortfolioFrontier[[#This Row],[P54 Growth]])</f>
        <v>1.7139140104060526</v>
      </c>
      <c r="HJ86" s="27">
        <f>PortfolioFrontier[[#This Row],[P54 Growth]]/PortfolioFrontier[[#This Row],[P54 HWM]]-1</f>
        <v>-5.5309422959414878E-2</v>
      </c>
      <c r="HK86" s="28">
        <f>SUMPRODUCT(INDEX(PortfolioRef[[SPY]:[PE]],MATCH(HK$1,PortfolioRef[Reference '#]),0),AssetMonthlyReturns[[#This Row],[SPY]:[PE]])</f>
        <v>2.2057434852575986E-2</v>
      </c>
      <c r="HL86" s="27">
        <f>IF(ISNUMBER(HL85),HL85*(1+PortfolioFrontier[[#This Row],[P55 Return]]),1+PortfolioFrontier[[#This Row],[P55 Return]])</f>
        <v>1.6141408067605949</v>
      </c>
      <c r="HM86" s="27">
        <f>MAX(HM85,PortfolioFrontier[[#This Row],[P55 Growth]])</f>
        <v>1.8002459621778737</v>
      </c>
      <c r="HN86" s="27">
        <f>PortfolioFrontier[[#This Row],[P55 Growth]]/PortfolioFrontier[[#This Row],[P55 HWM]]-1</f>
        <v>-0.10337762690612307</v>
      </c>
      <c r="HO86" s="28">
        <f>SUMPRODUCT(INDEX(PortfolioRef[[SPY]:[PE]],MATCH(HO$1,PortfolioRef[Reference '#]),0),AssetMonthlyReturns[[#This Row],[SPY]:[PE]])</f>
        <v>2.4836054747541022E-2</v>
      </c>
      <c r="HP86" s="27">
        <f>IF(ISNUMBER(HP85),HP85*(1+PortfolioFrontier[[#This Row],[P56 Return]]),1+PortfolioFrontier[[#This Row],[P56 Return]])</f>
        <v>1.6124479796205198</v>
      </c>
      <c r="HQ86" s="27">
        <f>MAX(HQ85,PortfolioFrontier[[#This Row],[P56 Growth]])</f>
        <v>1.767380839986993</v>
      </c>
      <c r="HR86" s="27">
        <f>PortfolioFrontier[[#This Row],[P56 Growth]]/PortfolioFrontier[[#This Row],[P56 HWM]]-1</f>
        <v>-8.7662408045349971E-2</v>
      </c>
      <c r="HS86" s="28">
        <f>SUMPRODUCT(INDEX(PortfolioRef[[SPY]:[PE]],MATCH(HS$1,PortfolioRef[Reference '#]),0),AssetMonthlyReturns[[#This Row],[SPY]:[PE]])</f>
        <v>2.7614674642506064E-2</v>
      </c>
      <c r="HT86" s="27">
        <f>IF(ISNUMBER(HT85),HT85*(1+PortfolioFrontier[[#This Row],[P57 Return]]),1+PortfolioFrontier[[#This Row],[P57 Return]])</f>
        <v>1.6096789301011687</v>
      </c>
      <c r="HU86" s="27">
        <f>MAX(HU85,PortfolioFrontier[[#This Row],[P57 Growth]])</f>
        <v>1.7343575628436463</v>
      </c>
      <c r="HV86" s="27">
        <f>PortfolioFrontier[[#This Row],[P57 Growth]]/PortfolioFrontier[[#This Row],[P57 HWM]]-1</f>
        <v>-7.1887501985493096E-2</v>
      </c>
      <c r="HW86" s="28">
        <f>SUMPRODUCT(INDEX(PortfolioRef[[SPY]:[PE]],MATCH(HW$1,PortfolioRef[Reference '#]),0),AssetMonthlyReturns[[#This Row],[SPY]:[PE]])</f>
        <v>1.6536152951852356E-2</v>
      </c>
      <c r="HX86" s="27">
        <f>IF(ISNUMBER(HX85),HX85*(1+PortfolioFrontier[[#This Row],[P58 Return]]),1+PortfolioFrontier[[#This Row],[P58 Return]])</f>
        <v>1.6019332264345358</v>
      </c>
      <c r="HY86" s="27">
        <f>MAX(HY85,PortfolioFrontier[[#This Row],[P58 Growth]])</f>
        <v>1.8195487359549802</v>
      </c>
      <c r="HZ86" s="27">
        <f>PortfolioFrontier[[#This Row],[P58 Growth]]/PortfolioFrontier[[#This Row],[P58 HWM]]-1</f>
        <v>-0.1195986154260551</v>
      </c>
      <c r="IA86" s="28">
        <f>SUMPRODUCT(INDEX(PortfolioRef[[SPY]:[PE]],MATCH(IA$1,PortfolioRef[Reference '#]),0),AssetMonthlyReturns[[#This Row],[SPY]:[PE]])</f>
        <v>1.9314772846817395E-2</v>
      </c>
      <c r="IB86" s="27">
        <f>IF(ISNUMBER(IB85),IB85*(1+PortfolioFrontier[[#This Row],[P59 Return]]),1+PortfolioFrontier[[#This Row],[P59 Return]])</f>
        <v>1.6010788068671575</v>
      </c>
      <c r="IC86" s="27">
        <f>MAX(IC85,PortfolioFrontier[[#This Row],[P59 Growth]])</f>
        <v>1.7869282396294996</v>
      </c>
      <c r="ID86" s="27">
        <f>PortfolioFrontier[[#This Row],[P59 Growth]]/PortfolioFrontier[[#This Row],[P59 HWM]]-1</f>
        <v>-0.10400497828657962</v>
      </c>
      <c r="IE86" s="28">
        <f>SUMPRODUCT(INDEX(PortfolioRef[[SPY]:[PE]],MATCH(IE$1,PortfolioRef[Reference '#]),0),AssetMonthlyReturns[[#This Row],[SPY]:[PE]])</f>
        <v>2.2093392741782434E-2</v>
      </c>
      <c r="IF86" s="27">
        <f>IF(ISNUMBER(IF85),IF85*(1+PortfolioFrontier[[#This Row],[P60 Return]]),1+PortfolioFrontier[[#This Row],[P60 Return]])</f>
        <v>1.5991489211462135</v>
      </c>
      <c r="IG86" s="27">
        <f>MAX(IG85,PortfolioFrontier[[#This Row],[P60 Growth]])</f>
        <v>1.7541215677111524</v>
      </c>
      <c r="IH86" s="27">
        <f>PortfolioFrontier[[#This Row],[P60 Growth]]/PortfolioFrontier[[#This Row],[P60 HWM]]-1</f>
        <v>-8.8347723109723386E-2</v>
      </c>
      <c r="II86" s="28">
        <f>SUMPRODUCT(INDEX(PortfolioRef[[SPY]:[PE]],MATCH(II$1,PortfolioRef[Reference '#]),0),AssetMonthlyReturns[[#This Row],[SPY]:[PE]])</f>
        <v>2.7745102769166193E-2</v>
      </c>
      <c r="IJ86" s="27">
        <f>IF(ISNUMBER(IJ85),IJ85*(1+PortfolioFrontier[[#This Row],[P61 Return]]),1+PortfolioFrontier[[#This Row],[P61 Return]])</f>
        <v>1.4712420294166186</v>
      </c>
      <c r="IK86" s="27">
        <f>MAX(IK85,PortfolioFrontier[[#This Row],[P61 Growth]])</f>
        <v>1.6121264956964798</v>
      </c>
      <c r="IL86" s="27">
        <f>PortfolioFrontier[[#This Row],[P61 Growth]]/PortfolioFrontier[[#This Row],[P61 HWM]]-1</f>
        <v>-8.7390453947595148E-2</v>
      </c>
      <c r="IM86" s="28">
        <f>SUMPRODUCT(INDEX(PortfolioRef[[SPY]:[PE]],MATCH(IM$1,PortfolioRef[Reference '#]),0),AssetMonthlyReturns[[#This Row],[SPY]:[PE]])</f>
        <v>3.0380506936257778E-2</v>
      </c>
      <c r="IN86" s="27">
        <f>IF(ISNUMBER(IN85),IN85*(1+PortfolioFrontier[[#This Row],[P62 Return]]),1+PortfolioFrontier[[#This Row],[P62 Return]])</f>
        <v>1.4988758329722858</v>
      </c>
      <c r="IO86" s="27">
        <f>MAX(IO85,PortfolioFrontier[[#This Row],[P62 Growth]])</f>
        <v>1.6272630311124299</v>
      </c>
      <c r="IP86" s="27">
        <f>PortfolioFrontier[[#This Row],[P62 Growth]]/PortfolioFrontier[[#This Row],[P62 HWM]]-1</f>
        <v>-7.8897630982482259E-2</v>
      </c>
      <c r="IQ86" s="28">
        <f>SUMPRODUCT(INDEX(PortfolioRef[[SPY]:[PE]],MATCH(IQ$1,PortfolioRef[Reference '#]),0),AssetMonthlyReturns[[#This Row],[SPY]:[PE]])</f>
        <v>2.4859225035534147E-2</v>
      </c>
      <c r="IR86" s="27">
        <f>IF(ISNUMBER(IR85),IR85*(1+PortfolioFrontier[[#This Row],[P63 Return]]),1+PortfolioFrontier[[#This Row],[P63 Return]])</f>
        <v>1.4902579606826907</v>
      </c>
      <c r="IS86" s="27">
        <f>MAX(IS85,PortfolioFrontier[[#This Row],[P63 Growth]])</f>
        <v>1.646884909102555</v>
      </c>
      <c r="IT86" s="27">
        <f>PortfolioFrontier[[#This Row],[P63 Growth]]/PortfolioFrontier[[#This Row],[P63 HWM]]-1</f>
        <v>-9.5104975189320151E-2</v>
      </c>
      <c r="IU86" s="28">
        <f>SUMPRODUCT(INDEX(PortfolioRef[[SPY]:[PE]],MATCH(IU$1,PortfolioRef[Reference '#]),0),AssetMonthlyReturns[[#This Row],[SPY]:[PE]])</f>
        <v>2.7637844930499183E-2</v>
      </c>
      <c r="IV86" s="27">
        <f>IF(ISNUMBER(IV85),IV85*(1+PortfolioFrontier[[#This Row],[P64 Return]]),1+PortfolioFrontier[[#This Row],[P64 Return]])</f>
        <v>1.486560742814669</v>
      </c>
      <c r="IW86" s="27">
        <f>MAX(IW85,PortfolioFrontier[[#This Row],[P64 Growth]])</f>
        <v>1.6151793879801097</v>
      </c>
      <c r="IX86" s="27">
        <f>PortfolioFrontier[[#This Row],[P64 Growth]]/PortfolioFrontier[[#This Row],[P64 HWM]]-1</f>
        <v>-7.9631182841112813E-2</v>
      </c>
      <c r="IY86" s="28">
        <f>SUMPRODUCT(INDEX(PortfolioRef[[SPY]:[PE]],MATCH(IY$1,PortfolioRef[Reference '#]),0),AssetMonthlyReturns[[#This Row],[SPY]:[PE]])</f>
        <v>3.3015911103349352E-2</v>
      </c>
      <c r="IZ86" s="27">
        <f>IF(ISNUMBER(IZ85),IZ85*(1+PortfolioFrontier[[#This Row],[P65 Return]]),1+PortfolioFrontier[[#This Row],[P65 Return]])</f>
        <v>1.5266523212825254</v>
      </c>
      <c r="JA86" s="27">
        <f>MAX(JA85,PortfolioFrontier[[#This Row],[P65 Growth]])</f>
        <v>1.6422150953060746</v>
      </c>
      <c r="JB86" s="27">
        <f>PortfolioFrontier[[#This Row],[P65 Growth]]/PortfolioFrontier[[#This Row],[P65 HWM]]-1</f>
        <v>-7.0370059533529483E-2</v>
      </c>
      <c r="JC86" s="28">
        <f>SUMPRODUCT(INDEX(PortfolioRef[[SPY]:[PE]],MATCH(JC$1,PortfolioRef[Reference '#]),0),AssetMonthlyReturns[[#This Row],[SPY]:[PE]])</f>
        <v>2.7494629202625732E-2</v>
      </c>
      <c r="JD86" s="27">
        <f>IF(ISNUMBER(JD85),JD85*(1+PortfolioFrontier[[#This Row],[P66 Return]]),1+PortfolioFrontier[[#This Row],[P66 Return]])</f>
        <v>1.5182229905567268</v>
      </c>
      <c r="JE86" s="27">
        <f>MAX(JE85,PortfolioFrontier[[#This Row],[P66 Growth]])</f>
        <v>1.6623077877531292</v>
      </c>
      <c r="JF86" s="27">
        <f>PortfolioFrontier[[#This Row],[P66 Growth]]/PortfolioFrontier[[#This Row],[P66 HWM]]-1</f>
        <v>-8.6677568533295335E-2</v>
      </c>
      <c r="JG86" s="28">
        <f>SUMPRODUCT(INDEX(PortfolioRef[[SPY]:[PE]],MATCH(JG$1,PortfolioRef[Reference '#]),0),AssetMonthlyReturns[[#This Row],[SPY]:[PE]])</f>
        <v>3.0273249097590767E-2</v>
      </c>
      <c r="JH86" s="27">
        <f>IF(ISNUMBER(JH85),JH85*(1+PortfolioFrontier[[#This Row],[P67 Return]]),1+PortfolioFrontier[[#This Row],[P67 Return]])</f>
        <v>1.5144894421685295</v>
      </c>
      <c r="JI86" s="27">
        <f>MAX(JI85,PortfolioFrontier[[#This Row],[P67 Growth]])</f>
        <v>1.6303687537292939</v>
      </c>
      <c r="JJ86" s="27">
        <f>PortfolioFrontier[[#This Row],[P67 Growth]]/PortfolioFrontier[[#This Row],[P67 HWM]]-1</f>
        <v>-7.1075522820038595E-2</v>
      </c>
      <c r="JK86" s="28">
        <f>SUMPRODUCT(INDEX(PortfolioRef[[SPY]:[PE]],MATCH(JK$1,PortfolioRef[Reference '#]),0),AssetMonthlyReturns[[#This Row],[SPY]:[PE]])</f>
        <v>2.1973347301902098E-2</v>
      </c>
      <c r="JL86" s="27">
        <f>IF(ISNUMBER(JL85),JL85*(1+PortfolioFrontier[[#This Row],[P68 Return]]),1+PortfolioFrontier[[#This Row],[P68 Return]])</f>
        <v>1.508759898970468</v>
      </c>
      <c r="JM86" s="27">
        <f>MAX(JM85,PortfolioFrontier[[#This Row],[P68 Growth]])</f>
        <v>1.6817622542850994</v>
      </c>
      <c r="JN86" s="27">
        <f>PortfolioFrontier[[#This Row],[P68 Growth]]/PortfolioFrontier[[#This Row],[P68 HWM]]-1</f>
        <v>-0.10286968617224257</v>
      </c>
      <c r="JO86" s="28">
        <f>SUMPRODUCT(INDEX(PortfolioRef[[SPY]:[PE]],MATCH(JO$1,PortfolioRef[Reference '#]),0),AssetMonthlyReturns[[#This Row],[SPY]:[PE]])</f>
        <v>2.4751967196867137E-2</v>
      </c>
      <c r="JP86" s="27">
        <f>IF(ISNUMBER(JP85),JP85*(1+PortfolioFrontier[[#This Row],[P69 Return]]),1+PortfolioFrontier[[#This Row],[P69 Return]])</f>
        <v>1.5058157858408923</v>
      </c>
      <c r="JQ86" s="27">
        <f>MAX(JQ85,PortfolioFrontier[[#This Row],[P69 Growth]])</f>
        <v>1.6499912107010917</v>
      </c>
      <c r="JR86" s="27">
        <f>PortfolioFrontier[[#This Row],[P69 Growth]]/PortfolioFrontier[[#This Row],[P69 HWM]]-1</f>
        <v>-8.7379510827174878E-2</v>
      </c>
      <c r="JS86" s="28">
        <f>SUMPRODUCT(INDEX(PortfolioRef[[SPY]:[PE]],MATCH(JS$1,PortfolioRef[Reference '#]),0),AssetMonthlyReturns[[#This Row],[SPY]:[PE]])</f>
        <v>2.7530587091832176E-2</v>
      </c>
      <c r="JT86" s="27">
        <f>IF(ISNUMBER(JT85),JT85*(1+PortfolioFrontier[[#This Row],[P70 Return]]),1+PortfolioFrontier[[#This Row],[P70 Return]])</f>
        <v>1.5018765215490975</v>
      </c>
      <c r="JU86" s="27">
        <f>MAX(JU85,PortfolioFrontier[[#This Row],[P70 Growth]])</f>
        <v>1.6181178918603722</v>
      </c>
      <c r="JV86" s="27">
        <f>PortfolioFrontier[[#This Row],[P70 Growth]]/PortfolioFrontier[[#This Row],[P70 HWM]]-1</f>
        <v>-7.1837392625101359E-2</v>
      </c>
      <c r="JW86" s="28">
        <f>SUMPRODUCT(INDEX(PortfolioRef[[SPY]:[PE]],MATCH(JW$1,PortfolioRef[Reference '#]),0),AssetMonthlyReturns[[#This Row],[SPY]:[PE]])</f>
        <v>3.0130033369717309E-2</v>
      </c>
      <c r="JX86" s="27">
        <f>IF(ISNUMBER(JX85),JX85*(1+PortfolioFrontier[[#This Row],[P71 Return]]),1+PortfolioFrontier[[#This Row],[P71 Return]])</f>
        <v>1.5463320931553404</v>
      </c>
      <c r="JY86" s="27">
        <f>MAX(JY85,PortfolioFrontier[[#This Row],[P71 Growth]])</f>
        <v>1.6775420819631024</v>
      </c>
      <c r="JZ86" s="27">
        <f>PortfolioFrontier[[#This Row],[P71 Growth]]/PortfolioFrontier[[#This Row],[P71 HWM]]-1</f>
        <v>-7.8215616894818374E-2</v>
      </c>
      <c r="KA86" s="28">
        <f>SUMPRODUCT(INDEX(PortfolioRef[[SPY]:[PE]],MATCH(KA$1,PortfolioRef[Reference '#]),0),AssetMonthlyReturns[[#This Row],[SPY]:[PE]])</f>
        <v>3.2908653264682348E-2</v>
      </c>
      <c r="KB86" s="27">
        <f>IF(ISNUMBER(KB85),KB85*(1+PortfolioFrontier[[#This Row],[P72 Return]]),1+PortfolioFrontier[[#This Row],[P72 Return]])</f>
        <v>1.5425628119551029</v>
      </c>
      <c r="KC86" s="27">
        <f>MAX(KC85,PortfolioFrontier[[#This Row],[P72 Growth]])</f>
        <v>1.6453738946019467</v>
      </c>
      <c r="KD86" s="27">
        <f>PortfolioFrontier[[#This Row],[P72 Growth]]/PortfolioFrontier[[#This Row],[P72 HWM]]-1</f>
        <v>-6.2484936089080345E-2</v>
      </c>
      <c r="KE86" s="28">
        <f>SUMPRODUCT(INDEX(PortfolioRef[[SPY]:[PE]],MATCH(KE$1,PortfolioRef[Reference '#]),0),AssetMonthlyReturns[[#This Row],[SPY]:[PE]])</f>
        <v>2.4608751468993682E-2</v>
      </c>
      <c r="KF86" s="27">
        <f>IF(ISNUMBER(KF85),KF85*(1+PortfolioFrontier[[#This Row],[P73 Return]]),1+PortfolioFrontier[[#This Row],[P73 Return]])</f>
        <v>1.5370463581474316</v>
      </c>
      <c r="KG86" s="27">
        <f>MAX(KG85,PortfolioFrontier[[#This Row],[P73 Growth]])</f>
        <v>1.6974712283523181</v>
      </c>
      <c r="KH86" s="27">
        <f>PortfolioFrontier[[#This Row],[P73 Growth]]/PortfolioFrontier[[#This Row],[P73 HWM]]-1</f>
        <v>-9.4508152789491429E-2</v>
      </c>
      <c r="KI86" s="28">
        <f>SUMPRODUCT(INDEX(PortfolioRef[[SPY]:[PE]],MATCH(KI$1,PortfolioRef[Reference '#]),0),AssetMonthlyReturns[[#This Row],[SPY]:[PE]])</f>
        <v>2.7387371363958721E-2</v>
      </c>
      <c r="KJ86" s="27">
        <f>IF(ISNUMBER(KJ85),KJ85*(1+PortfolioFrontier[[#This Row],[P74 Return]]),1+PortfolioFrontier[[#This Row],[P74 Return]])</f>
        <v>1.5340799650423491</v>
      </c>
      <c r="KK86" s="27">
        <f>MAX(KK85,PortfolioFrontier[[#This Row],[P74 Growth]])</f>
        <v>1.6654678920548054</v>
      </c>
      <c r="KL86" s="27">
        <f>PortfolioFrontier[[#This Row],[P74 Growth]]/PortfolioFrontier[[#This Row],[P74 HWM]]-1</f>
        <v>-7.8889498644344136E-2</v>
      </c>
      <c r="KM86" s="28">
        <f>SUMPRODUCT(INDEX(PortfolioRef[[SPY]:[PE]],MATCH(KM$1,PortfolioRef[Reference '#]),0),AssetMonthlyReturns[[#This Row],[SPY]:[PE]])</f>
        <v>3.0165991258923761E-2</v>
      </c>
      <c r="KN86" s="27">
        <f>IF(ISNUMBER(KN85),KN85*(1+PortfolioFrontier[[#This Row],[P75 Return]]),1+PortfolioFrontier[[#This Row],[P75 Return]])</f>
        <v>1.5301003585916273</v>
      </c>
      <c r="KO86" s="27">
        <f>MAX(KO85,PortfolioFrontier[[#This Row],[P75 Growth]])</f>
        <v>1.6333591346427441</v>
      </c>
      <c r="KP86" s="27">
        <f>PortfolioFrontier[[#This Row],[P75 Growth]]/PortfolioFrontier[[#This Row],[P75 HWM]]-1</f>
        <v>-6.3218660159329865E-2</v>
      </c>
      <c r="KQ86" s="28">
        <f>SUMPRODUCT(INDEX(PortfolioRef[[SPY]:[PE]],MATCH(KQ$1,PortfolioRef[Reference '#]),0),AssetMonthlyReturns[[#This Row],[SPY]:[PE]])</f>
        <v>1.9087469568270052E-2</v>
      </c>
      <c r="KR86" s="27">
        <f>IF(ISNUMBER(KR85),KR85*(1+PortfolioFrontier[[#This Row],[P76 Return]]),1+PortfolioFrontier[[#This Row],[P76 Return]])</f>
        <v>1.5267195908788487</v>
      </c>
      <c r="KS86" s="27">
        <f>MAX(KS85,PortfolioFrontier[[#This Row],[P76 Growth]])</f>
        <v>1.7167314071133803</v>
      </c>
      <c r="KT86" s="27">
        <f>PortfolioFrontier[[#This Row],[P76 Growth]]/PortfolioFrontier[[#This Row],[P76 HWM]]-1</f>
        <v>-0.11068232074464657</v>
      </c>
      <c r="KU86" s="28">
        <f>SUMPRODUCT(INDEX(PortfolioRef[[SPY]:[PE]],MATCH(KU$1,PortfolioRef[Reference '#]),0),AssetMonthlyReturns[[#This Row],[SPY]:[PE]])</f>
        <v>2.1866089463235087E-2</v>
      </c>
      <c r="KV86" s="27">
        <f>IF(ISNUMBER(KV85),KV85*(1+PortfolioFrontier[[#This Row],[P77 Return]]),1+PortfolioFrontier[[#This Row],[P77 Return]])</f>
        <v>1.5245527292390824</v>
      </c>
      <c r="KW86" s="27">
        <f>MAX(KW85,PortfolioFrontier[[#This Row],[P77 Growth]])</f>
        <v>1.6849217747429484</v>
      </c>
      <c r="KX86" s="27">
        <f>PortfolioFrontier[[#This Row],[P77 Growth]]/PortfolioFrontier[[#This Row],[P77 HWM]]-1</f>
        <v>-9.5178926350056758E-2</v>
      </c>
      <c r="KY86" s="28">
        <f>SUMPRODUCT(INDEX(PortfolioRef[[SPY]:[PE]],MATCH(KY$1,PortfolioRef[Reference '#]),0),AssetMonthlyReturns[[#This Row],[SPY]:[PE]])</f>
        <v>2.464470935820013E-2</v>
      </c>
      <c r="KZ86" s="27">
        <f>IF(ISNUMBER(KZ85),KZ85*(1+PortfolioFrontier[[#This Row],[P78 Return]]),1+PortfolioFrontier[[#This Row],[P78 Return]])</f>
        <v>1.5213714148999167</v>
      </c>
      <c r="LA86" s="27">
        <f>MAX(LA85,PortfolioFrontier[[#This Row],[P78 Growth]])</f>
        <v>1.6529805725839544</v>
      </c>
      <c r="LB86" s="27">
        <f>PortfolioFrontier[[#This Row],[P78 Growth]]/PortfolioFrontier[[#This Row],[P78 HWM]]-1</f>
        <v>-7.9619300956638051E-2</v>
      </c>
      <c r="LC86" s="28">
        <f>SUMPRODUCT(INDEX(PortfolioRef[[SPY]:[PE]],MATCH(LC$1,PortfolioRef[Reference '#]),0),AssetMonthlyReturns[[#This Row],[SPY]:[PE]])</f>
        <v>2.7244155636085267E-2</v>
      </c>
      <c r="LD86" s="27">
        <f>IF(ISNUMBER(LD85),LD85*(1+PortfolioFrontier[[#This Row],[P79 Return]]),1+PortfolioFrontier[[#This Row],[P79 Return]])</f>
        <v>1.5654782267884557</v>
      </c>
      <c r="LE86" s="27">
        <f>MAX(LE85,PortfolioFrontier[[#This Row],[P79 Growth]])</f>
        <v>1.7129874860839263</v>
      </c>
      <c r="LF86" s="27">
        <f>PortfolioFrontier[[#This Row],[P79 Growth]]/PortfolioFrontier[[#This Row],[P79 HWM]]-1</f>
        <v>-8.6112280733989799E-2</v>
      </c>
      <c r="LG86" s="28">
        <f>SUMPRODUCT(INDEX(PortfolioRef[[SPY]:[PE]],MATCH(LG$1,PortfolioRef[Reference '#]),0),AssetMonthlyReturns[[#This Row],[SPY]:[PE]])</f>
        <v>3.0022775531050306E-2</v>
      </c>
      <c r="LH86" s="27">
        <f>IF(ISNUMBER(LH85),LH85*(1+PortfolioFrontier[[#This Row],[P80 Return]]),1+PortfolioFrontier[[#This Row],[P80 Return]])</f>
        <v>1.5624902254038131</v>
      </c>
      <c r="LI86" s="27">
        <f>MAX(LI85,PortfolioFrontier[[#This Row],[P80 Growth]])</f>
        <v>1.6807562405101484</v>
      </c>
      <c r="LJ86" s="27">
        <f>PortfolioFrontier[[#This Row],[P80 Growth]]/PortfolioFrontier[[#This Row],[P80 HWM]]-1</f>
        <v>-7.036476334631292E-2</v>
      </c>
      <c r="LK86" s="28">
        <f>SUMPRODUCT(INDEX(PortfolioRef[[SPY]:[PE]],MATCH(LK$1,PortfolioRef[Reference '#]),0),AssetMonthlyReturns[[#This Row],[SPY]:[PE]])</f>
        <v>3.2801395426015345E-2</v>
      </c>
      <c r="LL86" s="27">
        <f>IF(ISNUMBER(LL85),LL85*(1+PortfolioFrontier[[#This Row],[P81 Return]]),1+PortfolioFrontier[[#This Row],[P81 Return]])</f>
        <v>1.5584708644277325</v>
      </c>
      <c r="LM86" s="27">
        <f>MAX(LM85,PortfolioFrontier[[#This Row],[P81 Growth]])</f>
        <v>1.648416413491208</v>
      </c>
      <c r="LN86" s="27">
        <f>PortfolioFrontier[[#This Row],[P81 Growth]]/PortfolioFrontier[[#This Row],[P81 HWM]]-1</f>
        <v>-5.4564822533511692E-2</v>
      </c>
      <c r="LO86" s="28">
        <f>SUMPRODUCT(INDEX(PortfolioRef[[SPY]:[PE]],MATCH(LO$1,PortfolioRef[Reference '#]),0),AssetMonthlyReturns[[#This Row],[SPY]:[PE]])</f>
        <v>2.1722873735361636E-2</v>
      </c>
      <c r="LP86" s="27">
        <f>IF(ISNUMBER(LP85),LP85*(1+PortfolioFrontier[[#This Row],[P82 Return]]),1+PortfolioFrontier[[#This Row],[P82 Return]])</f>
        <v>1.5553171980518452</v>
      </c>
      <c r="LQ86" s="27">
        <f>MAX(LQ85,PortfolioFrontier[[#This Row],[P82 Growth]])</f>
        <v>1.7327259878391794</v>
      </c>
      <c r="LR86" s="27">
        <f>PortfolioFrontier[[#This Row],[P82 Growth]]/PortfolioFrontier[[#This Row],[P82 HWM]]-1</f>
        <v>-0.10238710046045674</v>
      </c>
      <c r="LS86" s="28">
        <f>SUMPRODUCT(INDEX(PortfolioRef[[SPY]:[PE]],MATCH(LS$1,PortfolioRef[Reference '#]),0),AssetMonthlyReturns[[#This Row],[SPY]:[PE]])</f>
        <v>2.4501493630326672E-2</v>
      </c>
      <c r="LT86" s="27">
        <f>IF(ISNUMBER(LT85),LT85*(1+PortfolioFrontier[[#This Row],[P83 Return]]),1+PortfolioFrontier[[#This Row],[P83 Return]])</f>
        <v>1.5531425078907062</v>
      </c>
      <c r="LU86" s="27">
        <f>MAX(LU85,PortfolioFrontier[[#This Row],[P83 Growth]])</f>
        <v>1.7006855237848306</v>
      </c>
      <c r="LV86" s="27">
        <f>PortfolioFrontier[[#This Row],[P83 Growth]]/PortfolioFrontier[[#This Row],[P83 HWM]]-1</f>
        <v>-8.6755025447486256E-2</v>
      </c>
      <c r="LW86" s="28">
        <f>SUMPRODUCT(INDEX(PortfolioRef[[SPY]:[PE]],MATCH(LW$1,PortfolioRef[Reference '#]),0),AssetMonthlyReturns[[#This Row],[SPY]:[PE]])</f>
        <v>2.7280113525291715E-2</v>
      </c>
      <c r="LX86" s="27">
        <f>IF(ISNUMBER(LX85),LX85*(1+PortfolioFrontier[[#This Row],[P84 Return]]),1+PortfolioFrontier[[#This Row],[P84 Return]])</f>
        <v>1.5499350019621023</v>
      </c>
      <c r="LY86" s="27">
        <f>MAX(LY85,PortfolioFrontier[[#This Row],[P84 Growth]])</f>
        <v>1.6685100840279028</v>
      </c>
      <c r="LZ86" s="27">
        <f>PortfolioFrontier[[#This Row],[P84 Growth]]/PortfolioFrontier[[#This Row],[P84 HWM]]-1</f>
        <v>-7.1066446167080799E-2</v>
      </c>
      <c r="MA86" s="28">
        <f>SUMPRODUCT(INDEX(PortfolioRef[[SPY]:[PE]],MATCH(MA$1,PortfolioRef[Reference '#]),0),AssetMonthlyReturns[[#This Row],[SPY]:[PE]])</f>
        <v>1.6201591834638006E-2</v>
      </c>
      <c r="MB86" s="27">
        <f>IF(ISNUMBER(MB85),MB85*(1+PortfolioFrontier[[#This Row],[P85 Return]]),1+PortfolioFrontier[[#This Row],[P85 Return]])</f>
        <v>1.5441089818770219</v>
      </c>
      <c r="MC86" s="27">
        <f>MAX(MC85,PortfolioFrontier[[#This Row],[P85 Growth]])</f>
        <v>1.7517641950154219</v>
      </c>
      <c r="MD86" s="27">
        <f>PortfolioFrontier[[#This Row],[P85 Growth]]/PortfolioFrontier[[#This Row],[P85 HWM]]-1</f>
        <v>-0.11854061963891882</v>
      </c>
      <c r="ME86" s="28">
        <f>SUMPRODUCT(INDEX(PortfolioRef[[SPY]:[PE]],MATCH(ME$1,PortfolioRef[Reference '#]),0),AssetMonthlyReturns[[#This Row],[SPY]:[PE]])</f>
        <v>1.8980211729603045E-2</v>
      </c>
      <c r="MF86" s="27">
        <f>IF(ISNUMBER(MF85),MF85*(1+PortfolioFrontier[[#This Row],[P86 Return]]),1+PortfolioFrontier[[#This Row],[P86 Return]])</f>
        <v>1.5427429995148221</v>
      </c>
      <c r="MG86" s="27">
        <f>MAX(MG85,PortfolioFrontier[[#This Row],[P86 Growth]])</f>
        <v>1.7199439154573082</v>
      </c>
      <c r="MH86" s="27">
        <f>PortfolioFrontier[[#This Row],[P86 Growth]]/PortfolioFrontier[[#This Row],[P86 HWM]]-1</f>
        <v>-0.10302714777497324</v>
      </c>
      <c r="MI86" s="28">
        <f>SUMPRODUCT(INDEX(PortfolioRef[[SPY]:[PE]],MATCH(MI$1,PortfolioRef[Reference '#]),0),AssetMonthlyReturns[[#This Row],[SPY]:[PE]])</f>
        <v>2.1758831624568084E-2</v>
      </c>
      <c r="MJ86" s="27">
        <f>IF(ISNUMBER(MJ85),MJ85*(1+PortfolioFrontier[[#This Row],[P87 Return]]),1+PortfolioFrontier[[#This Row],[P87 Return]])</f>
        <v>1.5403441216100981</v>
      </c>
      <c r="MK86" s="27">
        <f>MAX(MK85,PortfolioFrontier[[#This Row],[P87 Growth]])</f>
        <v>1.6879617873128629</v>
      </c>
      <c r="ML86" s="27">
        <f>PortfolioFrontier[[#This Row],[P87 Growth]]/PortfolioFrontier[[#This Row],[P87 HWM]]-1</f>
        <v>-8.7453203509875399E-2</v>
      </c>
      <c r="MM86" s="28">
        <f>SUMPRODUCT(INDEX(PortfolioRef[[SPY]:[PE]],MATCH(MM$1,PortfolioRef[Reference '#]),0),AssetMonthlyReturns[[#This Row],[SPY]:[PE]])</f>
        <v>2.4358277902453221E-2</v>
      </c>
      <c r="MN86" s="27">
        <f>IF(ISNUMBER(MN85),MN85*(1+PortfolioFrontier[[#This Row],[P88 Return]]),1+PortfolioFrontier[[#This Row],[P88 Return]])</f>
        <v>1.5840614983188741</v>
      </c>
      <c r="MO86" s="27">
        <f>MAX(MO85,PortfolioFrontier[[#This Row],[P88 Growth]])</f>
        <v>1.7485237047822844</v>
      </c>
      <c r="MP86" s="27">
        <f>PortfolioFrontier[[#This Row],[P88 Growth]]/PortfolioFrontier[[#This Row],[P88 HWM]]-1</f>
        <v>-9.405775055471044E-2</v>
      </c>
      <c r="MQ86" s="28">
        <f>SUMPRODUCT(INDEX(PortfolioRef[[SPY]:[PE]],MATCH(MQ$1,PortfolioRef[Reference '#]),0),AssetMonthlyReturns[[#This Row],[SPY]:[PE]])</f>
        <v>2.7136897797418257E-2</v>
      </c>
      <c r="MR86" s="27">
        <f>IF(ISNUMBER(MR85),MR85*(1+PortfolioFrontier[[#This Row],[P89 Return]]),1+PortfolioFrontier[[#This Row],[P89 Return]])</f>
        <v>1.5818797265597517</v>
      </c>
      <c r="MS86" s="27">
        <f>MAX(MS85,PortfolioFrontier[[#This Row],[P89 Growth]])</f>
        <v>1.7162568132506029</v>
      </c>
      <c r="MT86" s="27">
        <f>PortfolioFrontier[[#This Row],[P89 Growth]]/PortfolioFrontier[[#This Row],[P89 HWM]]-1</f>
        <v>-7.8296607858086231E-2</v>
      </c>
      <c r="MU86" s="28">
        <f>SUMPRODUCT(INDEX(PortfolioRef[[SPY]:[PE]],MATCH(MU$1,PortfolioRef[Reference '#]),0),AssetMonthlyReturns[[#This Row],[SPY]:[PE]])</f>
        <v>2.9915517692383299E-2</v>
      </c>
      <c r="MV86" s="27">
        <f>IF(ISNUMBER(MV85),MV85*(1+PortfolioFrontier[[#This Row],[P90 Return]]),1+PortfolioFrontier[[#This Row],[P90 Return]])</f>
        <v>1.5786466915107147</v>
      </c>
      <c r="MW86" s="27">
        <f>MAX(MW85,PortfolioFrontier[[#This Row],[P90 Growth]])</f>
        <v>1.6838515290273213</v>
      </c>
      <c r="MX86" s="27">
        <f>PortfolioFrontier[[#This Row],[P90 Growth]]/PortfolioFrontier[[#This Row],[P90 HWM]]-1</f>
        <v>-6.2478689898139872E-2</v>
      </c>
      <c r="MY86" s="28">
        <f>SUMPRODUCT(INDEX(PortfolioRef[[SPY]:[PE]],MATCH(MY$1,PortfolioRef[Reference '#]),0),AssetMonthlyReturns[[#This Row],[SPY]:[PE]])</f>
        <v>1.883699600172959E-2</v>
      </c>
      <c r="MZ86" s="27">
        <f>IF(ISNUMBER(MZ85),MZ85*(1+PortfolioFrontier[[#This Row],[P91 Return]]),1+PortfolioFrontier[[#This Row],[P91 Return]])</f>
        <v>1.5730069762270154</v>
      </c>
      <c r="NA86" s="27">
        <f>MAX(NA85,PortfolioFrontier[[#This Row],[P91 Growth]])</f>
        <v>1.7680436458517257</v>
      </c>
      <c r="NB86" s="27">
        <f>PortfolioFrontier[[#This Row],[P91 Growth]]/PortfolioFrontier[[#This Row],[P91 HWM]]-1</f>
        <v>-0.11031213515702243</v>
      </c>
      <c r="NC86" s="28">
        <f>SUMPRODUCT(INDEX(PortfolioRef[[SPY]:[PE]],MATCH(NC$1,PortfolioRef[Reference '#]),0),AssetMonthlyReturns[[#This Row],[SPY]:[PE]])</f>
        <v>2.1615615896694626E-2</v>
      </c>
      <c r="ND86" s="27">
        <f>IF(ISNUMBER(ND85),ND85*(1+PortfolioFrontier[[#This Row],[P92 Return]]),1+PortfolioFrontier[[#This Row],[P92 Return]])</f>
        <v>1.5716480073236017</v>
      </c>
      <c r="NE86" s="27">
        <f>MAX(NE85,PortfolioFrontier[[#This Row],[P92 Growth]])</f>
        <v>1.73599424265744</v>
      </c>
      <c r="NF86" s="27">
        <f>PortfolioFrontier[[#This Row],[P92 Growth]]/PortfolioFrontier[[#This Row],[P92 HWM]]-1</f>
        <v>-9.4669804366550814E-2</v>
      </c>
      <c r="NG86" s="28">
        <f>SUMPRODUCT(INDEX(PortfolioRef[[SPY]:[PE]],MATCH(NG$1,PortfolioRef[Reference '#]),0),AssetMonthlyReturns[[#This Row],[SPY]:[PE]])</f>
        <v>2.4394235791659665E-2</v>
      </c>
      <c r="NH86" s="27">
        <f>IF(ISNUMBER(NH85),NH85*(1+PortfolioFrontier[[#This Row],[P93 Return]]),1+PortfolioFrontier[[#This Row],[P93 Return]])</f>
        <v>1.5692374951513626</v>
      </c>
      <c r="NI86" s="27">
        <f>MAX(NI85,PortfolioFrontier[[#This Row],[P93 Growth]])</f>
        <v>1.7037793193389816</v>
      </c>
      <c r="NJ86" s="27">
        <f>PortfolioFrontier[[#This Row],[P93 Growth]]/PortfolioFrontier[[#This Row],[P93 HWM]]-1</f>
        <v>-7.8966696367589129E-2</v>
      </c>
      <c r="NK86" s="28">
        <f>SUMPRODUCT(INDEX(PortfolioRef[[SPY]:[PE]],MATCH(NK$1,PortfolioRef[Reference '#]),0),AssetMonthlyReturns[[#This Row],[SPY]:[PE]])</f>
        <v>1.331571410100596E-2</v>
      </c>
      <c r="NL86" s="27">
        <f>IF(ISNUMBER(NL85),NL85*(1+PortfolioFrontier[[#This Row],[P94 Return]]),1+PortfolioFrontier[[#This Row],[P94 Return]])</f>
        <v>1.5609002699191057</v>
      </c>
      <c r="NM86" s="27">
        <f>MAX(NM85,PortfolioFrontier[[#This Row],[P94 Growth]])</f>
        <v>1.7868313973018393</v>
      </c>
      <c r="NN86" s="27">
        <f>PortfolioFrontier[[#This Row],[P94 Growth]]/PortfolioFrontier[[#This Row],[P94 HWM]]-1</f>
        <v>-0.12644233122604365</v>
      </c>
      <c r="NO86" s="28">
        <f>SUMPRODUCT(INDEX(PortfolioRef[[SPY]:[PE]],MATCH(NO$1,PortfolioRef[Reference '#]),0),AssetMonthlyReturns[[#This Row],[SPY]:[PE]])</f>
        <v>1.6094333995970999E-2</v>
      </c>
      <c r="NP86" s="27">
        <f>IF(ISNUMBER(NP85),NP85*(1+PortfolioFrontier[[#This Row],[P95 Return]]),1+PortfolioFrontier[[#This Row],[P95 Return]])</f>
        <v>1.5603582214069027</v>
      </c>
      <c r="NQ86" s="27">
        <f>MAX(NQ85,PortfolioFrontier[[#This Row],[P95 Growth]])</f>
        <v>1.7550294195356591</v>
      </c>
      <c r="NR86" s="27">
        <f>PortfolioFrontier[[#This Row],[P95 Growth]]/PortfolioFrontier[[#This Row],[P95 HWM]]-1</f>
        <v>-0.11092190020396464</v>
      </c>
      <c r="NS86" s="28">
        <f>SUMPRODUCT(INDEX(PortfolioRef[[SPY]:[PE]],MATCH(NS$1,PortfolioRef[Reference '#]),0),AssetMonthlyReturns[[#This Row],[SPY]:[PE]])</f>
        <v>1.8872953890936038E-2</v>
      </c>
      <c r="NT86" s="27">
        <f>IF(ISNUMBER(NT85),NT85*(1+PortfolioFrontier[[#This Row],[P96 Return]]),1+PortfolioFrontier[[#This Row],[P96 Return]])</f>
        <v>1.5587657474588832</v>
      </c>
      <c r="NU86" s="27">
        <f>MAX(NU85,PortfolioFrontier[[#This Row],[P96 Growth]])</f>
        <v>1.7230343324336159</v>
      </c>
      <c r="NV86" s="27">
        <f>PortfolioFrontier[[#This Row],[P96 Growth]]/PortfolioFrontier[[#This Row],[P96 HWM]]-1</f>
        <v>-9.5336803151635174E-2</v>
      </c>
      <c r="NW86" s="28">
        <f>SUMPRODUCT(INDEX(PortfolioRef[[SPY]:[PE]],MATCH(NW$1,PortfolioRef[Reference '#]),0),AssetMonthlyReturns[[#This Row],[SPY]:[PE]])</f>
        <v>2.7410541651951847E-2</v>
      </c>
      <c r="NX86" s="27">
        <f>IF(ISNUMBER(NX85),NX85*(1+PortfolioFrontier[[#This Row],[P97 Return]]),1+PortfolioFrontier[[#This Row],[P97 Return]])</f>
        <v>1.4154715683222474</v>
      </c>
      <c r="NY86" s="27">
        <f>MAX(NY85,PortfolioFrontier[[#This Row],[P97 Growth]])</f>
        <v>1.5498139523617234</v>
      </c>
      <c r="NZ86" s="27">
        <f>PortfolioFrontier[[#This Row],[P97 Growth]]/PortfolioFrontier[[#This Row],[P97 HWM]]-1</f>
        <v>-8.6682910445318284E-2</v>
      </c>
      <c r="OA86" s="28">
        <f>SUMPRODUCT(INDEX(PortfolioRef[[SPY]:[PE]],MATCH(OA$1,PortfolioRef[Reference '#]),0),AssetMonthlyReturns[[#This Row],[SPY]:[PE]])</f>
        <v>3.0045945819043431E-2</v>
      </c>
      <c r="OB86" s="27">
        <f>IF(ISNUMBER(OB85),OB85*(1+PortfolioFrontier[[#This Row],[P98 Return]]),1+PortfolioFrontier[[#This Row],[P98 Return]])</f>
        <v>1.4420653900635756</v>
      </c>
      <c r="OC86" s="27">
        <f>MAX(OC85,PortfolioFrontier[[#This Row],[P98 Growth]])</f>
        <v>1.5643918723292729</v>
      </c>
      <c r="OD86" s="27">
        <f>PortfolioFrontier[[#This Row],[P98 Growth]]/PortfolioFrontier[[#This Row],[P98 HWM]]-1</f>
        <v>-7.8194271160180295E-2</v>
      </c>
      <c r="OE86" s="28">
        <f>SUMPRODUCT(INDEX(PortfolioRef[[SPY]:[PE]],MATCH(OE$1,PortfolioRef[Reference '#]),0),AssetMonthlyReturns[[#This Row],[SPY]:[PE]])</f>
        <v>2.4524663918319801E-2</v>
      </c>
      <c r="OF86" s="27">
        <f>IF(ISNUMBER(OF85),OF85*(1+PortfolioFrontier[[#This Row],[P99 Return]]),1+PortfolioFrontier[[#This Row],[P99 Return]])</f>
        <v>1.4342815103128623</v>
      </c>
      <c r="OG86" s="27">
        <f>MAX(OG85,PortfolioFrontier[[#This Row],[P99 Growth]])</f>
        <v>1.5836627563813395</v>
      </c>
      <c r="OH86" s="27">
        <f>PortfolioFrontier[[#This Row],[P99 Growth]]/PortfolioFrontier[[#This Row],[P99 HWM]]-1</f>
        <v>-9.4326424907416828E-2</v>
      </c>
      <c r="OI86" s="28">
        <f>SUMPRODUCT(INDEX(PortfolioRef[[SPY]:[PE]],MATCH(OI$1,PortfolioRef[Reference '#]),0),AssetMonthlyReturns[[#This Row],[SPY]:[PE]])</f>
        <v>2.7303283813284836E-2</v>
      </c>
      <c r="OJ86" s="27">
        <f>IF(ISNUMBER(OJ85),OJ85*(1+PortfolioFrontier[[#This Row],[P100 Return]]),1+PortfolioFrontier[[#This Row],[P100 Return]])</f>
        <v>1.430226828491445</v>
      </c>
      <c r="OK86" s="27">
        <f>MAX(OK85,PortfolioFrontier[[#This Row],[P100 Growth]])</f>
        <v>1.5528062347399851</v>
      </c>
      <c r="OL86" s="27">
        <f>PortfolioFrontier[[#This Row],[P100 Growth]]/PortfolioFrontier[[#This Row],[P100 HWM]]-1</f>
        <v>-7.8940568054240101E-2</v>
      </c>
      <c r="OM86" s="28">
        <f>SUMPRODUCT(INDEX(PortfolioRef[[SPY]:[PE]],MATCH(OM$1,PortfolioRef[Reference '#]),0),AssetMonthlyReturns[[#This Row],[SPY]:[PE]])</f>
        <v>3.2681349986135005E-2</v>
      </c>
      <c r="ON86" s="27">
        <f>IF(ISNUMBER(ON85),ON85*(1+PortfolioFrontier[[#This Row],[P101 Return]]),1+PortfolioFrontier[[#This Row],[P101 Return]])</f>
        <v>1.4687960199228347</v>
      </c>
      <c r="OO86" s="27">
        <f>MAX(OO85,PortfolioFrontier[[#This Row],[P101 Growth]])</f>
        <v>1.5787921813488919</v>
      </c>
      <c r="OP86" s="27">
        <f>PortfolioFrontier[[#This Row],[P101 Growth]]/PortfolioFrontier[[#This Row],[P101 HWM]]-1</f>
        <v>-6.9671083202400008E-2</v>
      </c>
      <c r="OQ86" s="28">
        <f>SUMPRODUCT(INDEX(PortfolioRef[[SPY]:[PE]],MATCH(OQ$1,PortfolioRef[Reference '#]),0),AssetMonthlyReturns[[#This Row],[SPY]:[PE]])</f>
        <v>2.7160068085411385E-2</v>
      </c>
      <c r="OR86" s="27">
        <f>IF(ISNUMBER(OR85),OR85*(1+PortfolioFrontier[[#This Row],[P102 Return]]),1+PortfolioFrontier[[#This Row],[P102 Return]])</f>
        <v>1.4612034951374127</v>
      </c>
      <c r="OS86" s="27">
        <f>MAX(OS85,PortfolioFrontier[[#This Row],[P102 Growth]])</f>
        <v>1.5985203886251573</v>
      </c>
      <c r="OT86" s="27">
        <f>PortfolioFrontier[[#This Row],[P102 Growth]]/PortfolioFrontier[[#This Row],[P102 HWM]]-1</f>
        <v>-8.5902497374992559E-2</v>
      </c>
      <c r="OU86" s="28">
        <f>SUMPRODUCT(INDEX(PortfolioRef[[SPY]:[PE]],MATCH(OU$1,PortfolioRef[Reference '#]),0),AssetMonthlyReturns[[#This Row],[SPY]:[PE]])</f>
        <v>2.9938687980376421E-2</v>
      </c>
      <c r="OV86" s="27">
        <f>IF(ISNUMBER(OV85),OV85*(1+PortfolioFrontier[[#This Row],[P103 Return]]),1+PortfolioFrontier[[#This Row],[P103 Return]])</f>
        <v>1.457104832220784</v>
      </c>
      <c r="OW86" s="27">
        <f>MAX(OW85,PortfolioFrontier[[#This Row],[P103 Growth]])</f>
        <v>1.5674355228105428</v>
      </c>
      <c r="OX86" s="27">
        <f>PortfolioFrontier[[#This Row],[P103 Growth]]/PortfolioFrontier[[#This Row],[P103 HWM]]-1</f>
        <v>-7.0389300857445547E-2</v>
      </c>
      <c r="OY86" s="28">
        <f>SUMPRODUCT(INDEX(PortfolioRef[[SPY]:[PE]],MATCH(OY$1,PortfolioRef[Reference '#]),0),AssetMonthlyReturns[[#This Row],[SPY]:[PE]])</f>
        <v>2.1638786184687751E-2</v>
      </c>
      <c r="OZ86" s="27">
        <f>IF(ISNUMBER(OZ85),OZ85*(1+PortfolioFrontier[[#This Row],[P104 Return]]),1+PortfolioFrontier[[#This Row],[P104 Return]])</f>
        <v>1.452611595097574</v>
      </c>
      <c r="PA86" s="27">
        <f>MAX(PA85,PortfolioFrontier[[#This Row],[P104 Growth]])</f>
        <v>1.6176462594840681</v>
      </c>
      <c r="PB86" s="27">
        <f>PortfolioFrontier[[#This Row],[P104 Growth]]/PortfolioFrontier[[#This Row],[P104 HWM]]-1</f>
        <v>-0.1020214793060692</v>
      </c>
      <c r="PC86" s="28">
        <f>SUMPRODUCT(INDEX(PortfolioRef[[SPY]:[PE]],MATCH(PC$1,PortfolioRef[Reference '#]),0),AssetMonthlyReturns[[#This Row],[SPY]:[PE]])</f>
        <v>2.441740607965279E-2</v>
      </c>
      <c r="PD86" s="27">
        <f>IF(ISNUMBER(PD85),PD85*(1+PortfolioFrontier[[#This Row],[P105 Return]]),1+PortfolioFrontier[[#This Row],[P105 Return]])</f>
        <v>1.4492724045718235</v>
      </c>
      <c r="PE86" s="27">
        <f>MAX(PE85,PortfolioFrontier[[#This Row],[P105 Growth]])</f>
        <v>1.5867085542337835</v>
      </c>
      <c r="PF86" s="27">
        <f>PortfolioFrontier[[#This Row],[P105 Growth]]/PortfolioFrontier[[#This Row],[P105 HWM]]-1</f>
        <v>-8.6617135387114352E-2</v>
      </c>
      <c r="PG86" s="28">
        <f>SUMPRODUCT(INDEX(PortfolioRef[[SPY]:[PE]],MATCH(PG$1,PortfolioRef[Reference '#]),0),AssetMonthlyReturns[[#This Row],[SPY]:[PE]])</f>
        <v>2.719602597461783E-2</v>
      </c>
      <c r="PH86" s="27">
        <f>IF(ISNUMBER(PH85),PH85*(1+PortfolioFrontier[[#This Row],[P106 Return]]),1+PortfolioFrontier[[#This Row],[P106 Return]])</f>
        <v>1.4449796879995771</v>
      </c>
      <c r="PI86" s="27">
        <f>MAX(PI85,PortfolioFrontier[[#This Row],[P106 Growth]])</f>
        <v>1.5556887430167754</v>
      </c>
      <c r="PJ86" s="27">
        <f>PortfolioFrontier[[#This Row],[P106 Growth]]/PortfolioFrontier[[#This Row],[P106 HWM]]-1</f>
        <v>-7.1164013697568085E-2</v>
      </c>
      <c r="PK86" s="28">
        <f>SUMPRODUCT(INDEX(PortfolioRef[[SPY]:[PE]],MATCH(PK$1,PortfolioRef[Reference '#]),0),AssetMonthlyReturns[[#This Row],[SPY]:[PE]])</f>
        <v>2.9795472252502963E-2</v>
      </c>
      <c r="PL86" s="27">
        <f>IF(ISNUMBER(PL85),PL85*(1+PortfolioFrontier[[#This Row],[P107 Return]]),1+PortfolioFrontier[[#This Row],[P107 Return]])</f>
        <v>1.4882636640809817</v>
      </c>
      <c r="PM86" s="27">
        <f>MAX(PM85,PortfolioFrontier[[#This Row],[P107 Growth]])</f>
        <v>1.6131964012798079</v>
      </c>
      <c r="PN86" s="27">
        <f>PortfolioFrontier[[#This Row],[P107 Growth]]/PortfolioFrontier[[#This Row],[P107 HWM]]-1</f>
        <v>-7.7444220120818863E-2</v>
      </c>
      <c r="PO86" s="28">
        <f>SUMPRODUCT(INDEX(PortfolioRef[[SPY]:[PE]],MATCH(PO$1,PortfolioRef[Reference '#]),0),AssetMonthlyReturns[[#This Row],[SPY]:[PE]])</f>
        <v>3.2574092147468002E-2</v>
      </c>
      <c r="PP86" s="27">
        <f>IF(ISNUMBER(PP85),PP85*(1+PortfolioFrontier[[#This Row],[P108 Return]]),1+PortfolioFrontier[[#This Row],[P108 Return]])</f>
        <v>1.4841215545038784</v>
      </c>
      <c r="PQ86" s="27">
        <f>MAX(PQ85,PortfolioFrontier[[#This Row],[P108 Growth]])</f>
        <v>1.5818874318633449</v>
      </c>
      <c r="PR86" s="27">
        <f>PortfolioFrontier[[#This Row],[P108 Growth]]/PortfolioFrontier[[#This Row],[P108 HWM]]-1</f>
        <v>-6.1803308750171704E-2</v>
      </c>
      <c r="PS86" s="28">
        <f>SUMPRODUCT(INDEX(PortfolioRef[[SPY]:[PE]],MATCH(PS$1,PortfolioRef[Reference '#]),0),AssetMonthlyReturns[[#This Row],[SPY]:[PE]])</f>
        <v>2.4274190351779336E-2</v>
      </c>
      <c r="PT86" s="27">
        <f>IF(ISNUMBER(PT85),PT85*(1+PortfolioFrontier[[#This Row],[P109 Return]]),1+PortfolioFrontier[[#This Row],[P109 Return]])</f>
        <v>1.4798525639979503</v>
      </c>
      <c r="PU86" s="27">
        <f>MAX(PU85,PortfolioFrontier[[#This Row],[P109 Growth]])</f>
        <v>1.6327835279326679</v>
      </c>
      <c r="PV86" s="27">
        <f>PortfolioFrontier[[#This Row],[P109 Growth]]/PortfolioFrontier[[#This Row],[P109 HWM]]-1</f>
        <v>-9.3662730740767364E-2</v>
      </c>
      <c r="PW86" s="28">
        <f>SUMPRODUCT(INDEX(PortfolioRef[[SPY]:[PE]],MATCH(PW$1,PortfolioRef[Reference '#]),0),AssetMonthlyReturns[[#This Row],[SPY]:[PE]])</f>
        <v>2.7052810246744375E-2</v>
      </c>
      <c r="PX86" s="27">
        <f>IF(ISNUMBER(PX85),PX85*(1+PortfolioFrontier[[#This Row],[P110 Return]]),1+PortfolioFrontier[[#This Row],[P110 Return]])</f>
        <v>1.4764827694227982</v>
      </c>
      <c r="PY86" s="27">
        <f>MAX(PY85,PortfolioFrontier[[#This Row],[P110 Growth]])</f>
        <v>1.6016185143364081</v>
      </c>
      <c r="PZ86" s="27">
        <f>PortfolioFrontier[[#This Row],[P110 Growth]]/PortfolioFrontier[[#This Row],[P110 HWM]]-1</f>
        <v>-7.8130805677815829E-2</v>
      </c>
      <c r="QA86" s="28">
        <f>SUMPRODUCT(INDEX(PortfolioRef[[SPY]:[PE]],MATCH(QA$1,PortfolioRef[Reference '#]),0),AssetMonthlyReturns[[#This Row],[SPY]:[PE]])</f>
        <v>2.9831430141709414E-2</v>
      </c>
      <c r="QB86" s="27">
        <f>IF(ISNUMBER(QB85),QB85*(1+PortfolioFrontier[[#This Row],[P111 Return]]),1+PortfolioFrontier[[#This Row],[P111 Return]])</f>
        <v>1.4721421155424046</v>
      </c>
      <c r="QC86" s="27">
        <f>MAX(QC85,PortfolioFrontier[[#This Row],[P111 Growth]])</f>
        <v>1.5703684845094485</v>
      </c>
      <c r="QD86" s="27">
        <f>PortfolioFrontier[[#This Row],[P111 Growth]]/PortfolioFrontier[[#This Row],[P111 HWM]]-1</f>
        <v>-6.2549885543409789E-2</v>
      </c>
      <c r="QE86" s="28">
        <f>SUMPRODUCT(INDEX(PortfolioRef[[SPY]:[PE]],MATCH(QE$1,PortfolioRef[Reference '#]),0),AssetMonthlyReturns[[#This Row],[SPY]:[PE]])</f>
        <v>1.8752908451055705E-2</v>
      </c>
      <c r="QF86" s="27">
        <f>IF(ISNUMBER(QF85),QF85*(1+PortfolioFrontier[[#This Row],[P112 Return]]),1+PortfolioFrontier[[#This Row],[P112 Return]])</f>
        <v>1.4704342566685318</v>
      </c>
      <c r="QG86" s="27">
        <f>MAX(QG85,PortfolioFrontier[[#This Row],[P112 Growth]])</f>
        <v>1.6517386955477045</v>
      </c>
      <c r="QH86" s="27">
        <f>PortfolioFrontier[[#This Row],[P112 Growth]]/PortfolioFrontier[[#This Row],[P112 HWM]]-1</f>
        <v>-0.10976581184898226</v>
      </c>
      <c r="QI86" s="28">
        <f>SUMPRODUCT(INDEX(PortfolioRef[[SPY]:[PE]],MATCH(QI$1,PortfolioRef[Reference '#]),0),AssetMonthlyReturns[[#This Row],[SPY]:[PE]])</f>
        <v>2.1531528346020741E-2</v>
      </c>
      <c r="QJ86" s="27">
        <f>IF(ISNUMBER(QJ85),QJ85*(1+PortfolioFrontier[[#This Row],[P113 Return]]),1+PortfolioFrontier[[#This Row],[P113 Return]])</f>
        <v>1.4678343439447596</v>
      </c>
      <c r="QK86" s="27">
        <f>MAX(QK85,PortfolioFrontier[[#This Row],[P113 Growth]])</f>
        <v>1.6207454292109018</v>
      </c>
      <c r="QL86" s="27">
        <f>PortfolioFrontier[[#This Row],[P113 Growth]]/PortfolioFrontier[[#This Row],[P113 HWM]]-1</f>
        <v>-9.434614623012727E-2</v>
      </c>
      <c r="QM86" s="28">
        <f>SUMPRODUCT(INDEX(PortfolioRef[[SPY]:[PE]],MATCH(QM$1,PortfolioRef[Reference '#]),0),AssetMonthlyReturns[[#This Row],[SPY]:[PE]])</f>
        <v>2.4310148240985784E-2</v>
      </c>
      <c r="QN86" s="27">
        <f>IF(ISNUMBER(QN85),QN85*(1+PortfolioFrontier[[#This Row],[P114 Return]]),1+PortfolioFrontier[[#This Row],[P114 Return]])</f>
        <v>1.4642616193955451</v>
      </c>
      <c r="QO86" s="27">
        <f>MAX(QO85,PortfolioFrontier[[#This Row],[P114 Growth]])</f>
        <v>1.5896421022161857</v>
      </c>
      <c r="QP86" s="27">
        <f>PortfolioFrontier[[#This Row],[P114 Growth]]/PortfolioFrontier[[#This Row],[P114 HWM]]-1</f>
        <v>-7.8873403419450483E-2</v>
      </c>
      <c r="QQ86" s="28">
        <f>SUMPRODUCT(INDEX(PortfolioRef[[SPY]:[PE]],MATCH(QQ$1,PortfolioRef[Reference '#]),0),AssetMonthlyReturns[[#This Row],[SPY]:[PE]])</f>
        <v>2.6909594518870917E-2</v>
      </c>
      <c r="QR86" s="27">
        <f>IF(ISNUMBER(QR85),QR85*(1+PortfolioFrontier[[#This Row],[P115 Return]]),1+PortfolioFrontier[[#This Row],[P115 Return]])</f>
        <v>1.5072330448442528</v>
      </c>
      <c r="QS86" s="27">
        <f>MAX(QS85,PortfolioFrontier[[#This Row],[P115 Growth]])</f>
        <v>1.6477351477866757</v>
      </c>
      <c r="QT86" s="27">
        <f>PortfolioFrontier[[#This Row],[P115 Growth]]/PortfolioFrontier[[#This Row],[P115 HWM]]-1</f>
        <v>-8.5269834251671339E-2</v>
      </c>
      <c r="QU86" s="28">
        <f>SUMPRODUCT(INDEX(PortfolioRef[[SPY]:[PE]],MATCH(QU$1,PortfolioRef[Reference '#]),0),AssetMonthlyReturns[[#This Row],[SPY]:[PE]])</f>
        <v>2.9688214413835956E-2</v>
      </c>
      <c r="QV86" s="27">
        <f>IF(ISNUMBER(QV85),QV85*(1+PortfolioFrontier[[#This Row],[P116 Return]]),1+PortfolioFrontier[[#This Row],[P116 Return]])</f>
        <v>1.5038332513484014</v>
      </c>
      <c r="QW86" s="27">
        <f>MAX(QW85,PortfolioFrontier[[#This Row],[P116 Growth]])</f>
        <v>1.6163470917094751</v>
      </c>
      <c r="QX86" s="27">
        <f>PortfolioFrontier[[#This Row],[P116 Growth]]/PortfolioFrontier[[#This Row],[P116 HWM]]-1</f>
        <v>-6.960995007704518E-2</v>
      </c>
      <c r="QY86" s="28">
        <f>SUMPRODUCT(INDEX(PortfolioRef[[SPY]:[PE]],MATCH(QY$1,PortfolioRef[Reference '#]),0),AssetMonthlyReturns[[#This Row],[SPY]:[PE]])</f>
        <v>3.2466834308800999E-2</v>
      </c>
      <c r="QZ86" s="27">
        <f>IF(ISNUMBER(QZ85),QZ85*(1+PortfolioFrontier[[#This Row],[P117 Return]]),1+PortfolioFrontier[[#This Row],[P117 Return]])</f>
        <v>1.4994451843880747</v>
      </c>
      <c r="RA86" s="27">
        <f>MAX(RA85,PortfolioFrontier[[#This Row],[P117 Growth]])</f>
        <v>1.5848710929942145</v>
      </c>
      <c r="RB86" s="27">
        <f>PortfolioFrontier[[#This Row],[P117 Growth]]/PortfolioFrontier[[#This Row],[P117 HWM]]-1</f>
        <v>-5.3900856027823019E-2</v>
      </c>
      <c r="RC86" s="28">
        <f>SUMPRODUCT(INDEX(PortfolioRef[[SPY]:[PE]],MATCH(RC$1,PortfolioRef[Reference '#]),0),AssetMonthlyReturns[[#This Row],[SPY]:[PE]])</f>
        <v>2.138831261814729E-2</v>
      </c>
      <c r="RD86" s="27">
        <f>IF(ISNUMBER(RD85),RD85*(1+PortfolioFrontier[[#This Row],[P118 Return]]),1+PortfolioFrontier[[#This Row],[P118 Return]])</f>
        <v>1.4979845572572756</v>
      </c>
      <c r="RE86" s="27">
        <f>MAX(RE85,PortfolioFrontier[[#This Row],[P118 Growth]])</f>
        <v>1.667155293527623</v>
      </c>
      <c r="RF86" s="27">
        <f>PortfolioFrontier[[#This Row],[P118 Growth]]/PortfolioFrontier[[#This Row],[P118 HWM]]-1</f>
        <v>-0.1014726923923146</v>
      </c>
      <c r="RG86" s="28">
        <f>SUMPRODUCT(INDEX(PortfolioRef[[SPY]:[PE]],MATCH(RG$1,PortfolioRef[Reference '#]),0),AssetMonthlyReturns[[#This Row],[SPY]:[PE]])</f>
        <v>2.4166932513112326E-2</v>
      </c>
      <c r="RH86" s="27">
        <f>IF(ISNUMBER(RH85),RH85*(1+PortfolioFrontier[[#This Row],[P119 Return]]),1+PortfolioFrontier[[#This Row],[P119 Return]])</f>
        <v>1.4953678135974133</v>
      </c>
      <c r="RI86" s="27">
        <f>MAX(RI85,PortfolioFrontier[[#This Row],[P119 Growth]])</f>
        <v>1.6359359857167841</v>
      </c>
      <c r="RJ86" s="27">
        <f>PortfolioFrontier[[#This Row],[P119 Growth]]/PortfolioFrontier[[#This Row],[P119 HWM]]-1</f>
        <v>-8.5925227726915576E-2</v>
      </c>
      <c r="RK86" s="28">
        <f>SUMPRODUCT(INDEX(PortfolioRef[[SPY]:[PE]],MATCH(RK$1,PortfolioRef[Reference '#]),0),AssetMonthlyReturns[[#This Row],[SPY]:[PE]])</f>
        <v>2.6945552408077368E-2</v>
      </c>
      <c r="RL86" s="27">
        <f>IF(ISNUMBER(RL85),RL85*(1+PortfolioFrontier[[#This Row],[P120 Return]]),1+PortfolioFrontier[[#This Row],[P120 Return]])</f>
        <v>1.4917606224053828</v>
      </c>
      <c r="RM86" s="27">
        <f>MAX(RM85,PortfolioFrontier[[#This Row],[P120 Growth]])</f>
        <v>1.6046034567476111</v>
      </c>
      <c r="RN86" s="27">
        <f>PortfolioFrontier[[#This Row],[P120 Growth]]/PortfolioFrontier[[#This Row],[P120 HWM]]-1</f>
        <v>-7.0324436774522936E-2</v>
      </c>
      <c r="RO86" s="28">
        <f>SUMPRODUCT(INDEX(PortfolioRef[[SPY]:[PE]],MATCH(RO$1,PortfolioRef[Reference '#]),0),AssetMonthlyReturns[[#This Row],[SPY]:[PE]])</f>
        <v>1.5867030717423656E-2</v>
      </c>
      <c r="RP86" s="27">
        <f>IF(ISNUMBER(RP85),RP85*(1+PortfolioFrontier[[#This Row],[P121 Return]]),1+PortfolioFrontier[[#This Row],[P121 Return]])</f>
        <v>1.4877220856388953</v>
      </c>
      <c r="RQ86" s="27">
        <f>MAX(RQ85,PortfolioFrontier[[#This Row],[P121 Growth]])</f>
        <v>1.6859132740659151</v>
      </c>
      <c r="RR86" s="27">
        <f>PortfolioFrontier[[#This Row],[P121 Growth]]/PortfolioFrontier[[#This Row],[P121 HWM]]-1</f>
        <v>-0.11755716707125885</v>
      </c>
      <c r="RS86" s="28">
        <f>SUMPRODUCT(INDEX(PortfolioRef[[SPY]:[PE]],MATCH(RS$1,PortfolioRef[Reference '#]),0),AssetMonthlyReturns[[#This Row],[SPY]:[PE]])</f>
        <v>1.8645650612388695E-2</v>
      </c>
      <c r="RT86" s="27">
        <f>IF(ISNUMBER(RT85),RT85*(1+PortfolioFrontier[[#This Row],[P122 Return]]),1+PortfolioFrontier[[#This Row],[P122 Return]])</f>
        <v>1.485884769431923</v>
      </c>
      <c r="RU86" s="27">
        <f>MAX(RU85,PortfolioFrontier[[#This Row],[P122 Growth]])</f>
        <v>1.6548910536150563</v>
      </c>
      <c r="RV86" s="27">
        <f>PortfolioFrontier[[#This Row],[P122 Growth]]/PortfolioFrontier[[#This Row],[P122 HWM]]-1</f>
        <v>-0.10212532348515901</v>
      </c>
      <c r="RW86" s="28">
        <f>SUMPRODUCT(INDEX(PortfolioRef[[SPY]:[PE]],MATCH(RW$1,PortfolioRef[Reference '#]),0),AssetMonthlyReturns[[#This Row],[SPY]:[PE]])</f>
        <v>2.1424270507353734E-2</v>
      </c>
      <c r="RX86" s="27">
        <f>IF(ISNUMBER(RX85),RX85*(1+PortfolioFrontier[[#This Row],[P123 Return]]),1+PortfolioFrontier[[#This Row],[P123 Return]])</f>
        <v>1.4830561539822196</v>
      </c>
      <c r="RY86" s="27">
        <f>MAX(RY85,PortfolioFrontier[[#This Row],[P123 Growth]])</f>
        <v>1.6237298558231279</v>
      </c>
      <c r="RZ86" s="27">
        <f>PortfolioFrontier[[#This Row],[P123 Growth]]/PortfolioFrontier[[#This Row],[P123 HWM]]-1</f>
        <v>-8.6636149071481872E-2</v>
      </c>
      <c r="SA86" s="28">
        <f>SUMPRODUCT(INDEX(PortfolioRef[[SPY]:[PE]],MATCH(SA$1,PortfolioRef[Reference '#]),0),AssetMonthlyReturns[[#This Row],[SPY]:[PE]])</f>
        <v>2.4023716785238871E-2</v>
      </c>
      <c r="SB86" s="27">
        <f>IF(ISNUMBER(SB85),SB85*(1+PortfolioFrontier[[#This Row],[P124 Return]]),1+PortfolioFrontier[[#This Row],[P124 Return]])</f>
        <v>1.5256756476035245</v>
      </c>
      <c r="SC86" s="27">
        <f>MAX(SC85,PortfolioFrontier[[#This Row],[P124 Growth]])</f>
        <v>1.6823821965094672</v>
      </c>
      <c r="SD86" s="27">
        <f>PortfolioFrontier[[#This Row],[P124 Growth]]/PortfolioFrontier[[#This Row],[P124 HWM]]-1</f>
        <v>-9.3145629590630774E-2</v>
      </c>
      <c r="SE86" s="28">
        <f>SUMPRODUCT(INDEX(PortfolioRef[[SPY]:[PE]],MATCH(SE$1,PortfolioRef[Reference '#]),0),AssetMonthlyReturns[[#This Row],[SPY]:[PE]])</f>
        <v>2.6802336680203907E-2</v>
      </c>
      <c r="SF86" s="27">
        <f>IF(ISNUMBER(SF85),SF85*(1+PortfolioFrontier[[#This Row],[P125 Return]]),1+PortfolioFrontier[[#This Row],[P125 Return]])</f>
        <v>1.52304275007128</v>
      </c>
      <c r="SG86" s="27">
        <f>MAX(SG85,PortfolioFrontier[[#This Row],[P125 Growth]])</f>
        <v>1.6509411354388694</v>
      </c>
      <c r="SH86" s="27">
        <f>PortfolioFrontier[[#This Row],[P125 Growth]]/PortfolioFrontier[[#This Row],[P125 HWM]]-1</f>
        <v>-7.7469985223664661E-2</v>
      </c>
      <c r="SI86" s="28">
        <f>SUMPRODUCT(INDEX(PortfolioRef[[SPY]:[PE]],MATCH(SI$1,PortfolioRef[Reference '#]),0),AssetMonthlyReturns[[#This Row],[SPY]:[PE]])</f>
        <v>2.9580956575168949E-2</v>
      </c>
      <c r="SJ86" s="27">
        <f>IF(ISNUMBER(SJ85),SJ85*(1+PortfolioFrontier[[#This Row],[P126 Return]]),1+PortfolioFrontier[[#This Row],[P126 Return]])</f>
        <v>1.5194016879646273</v>
      </c>
      <c r="SK86" s="27">
        <f>MAX(SK85,PortfolioFrontier[[#This Row],[P126 Growth]])</f>
        <v>1.6193836797956254</v>
      </c>
      <c r="SL86" s="27">
        <f>PortfolioFrontier[[#This Row],[P126 Growth]]/PortfolioFrontier[[#This Row],[P126 HWM]]-1</f>
        <v>-6.1740767847936029E-2</v>
      </c>
      <c r="SM86" s="28">
        <f>SUMPRODUCT(INDEX(PortfolioRef[[SPY]:[PE]],MATCH(SM$1,PortfolioRef[Reference '#]),0),AssetMonthlyReturns[[#This Row],[SPY]:[PE]])</f>
        <v>1.8502434884515244E-2</v>
      </c>
      <c r="SN86" s="27">
        <f>IF(ISNUMBER(SN85),SN85*(1+PortfolioFrontier[[#This Row],[P127 Return]]),1+PortfolioFrontier[[#This Row],[P127 Return]])</f>
        <v>1.5155715961659917</v>
      </c>
      <c r="SO86" s="27">
        <f>MAX(SO85,PortfolioFrontier[[#This Row],[P127 Growth]])</f>
        <v>1.7016086575400751</v>
      </c>
      <c r="SP86" s="27">
        <f>PortfolioFrontier[[#This Row],[P127 Growth]]/PortfolioFrontier[[#This Row],[P127 HWM]]-1</f>
        <v>-0.10933010980505187</v>
      </c>
      <c r="SQ86" s="28">
        <f>SUMPRODUCT(INDEX(PortfolioRef[[SPY]:[PE]],MATCH(SQ$1,PortfolioRef[Reference '#]),0),AssetMonthlyReturns[[#This Row],[SPY]:[PE]])</f>
        <v>2.128105477948028E-2</v>
      </c>
      <c r="SR86" s="27">
        <f>IF(ISNUMBER(SR85),SR85*(1+PortfolioFrontier[[#This Row],[P128 Return]]),1+PortfolioFrontier[[#This Row],[P128 Return]])</f>
        <v>1.5137316087263952</v>
      </c>
      <c r="SS86" s="27">
        <f>MAX(SS85,PortfolioFrontier[[#This Row],[P128 Growth]])</f>
        <v>1.6703618996398835</v>
      </c>
      <c r="ST86" s="27">
        <f>PortfolioFrontier[[#This Row],[P128 Growth]]/PortfolioFrontier[[#This Row],[P128 HWM]]-1</f>
        <v>-9.3770272745838157E-2</v>
      </c>
      <c r="SU86" s="28">
        <f>SUMPRODUCT(INDEX(PortfolioRef[[SPY]:[PE]],MATCH(SU$1,PortfolioRef[Reference '#]),0),AssetMonthlyReturns[[#This Row],[SPY]:[PE]])</f>
        <v>2.4059674674445319E-2</v>
      </c>
      <c r="SV86" s="27">
        <f>IF(ISNUMBER(SV85),SV85*(1+PortfolioFrontier[[#This Row],[P129 Return]]),1+PortfolioFrontier[[#This Row],[P129 Return]])</f>
        <v>1.5108823990666118</v>
      </c>
      <c r="SW86" s="27">
        <f>MAX(SW85,PortfolioFrontier[[#This Row],[P129 Growth]])</f>
        <v>1.6389727481356613</v>
      </c>
      <c r="SX86" s="27">
        <f>PortfolioFrontier[[#This Row],[P129 Growth]]/PortfolioFrontier[[#This Row],[P129 HWM]]-1</f>
        <v>-7.8152824209403615E-2</v>
      </c>
      <c r="SY86" s="28">
        <f>SUMPRODUCT(INDEX(PortfolioRef[[SPY]:[PE]],MATCH(SY$1,PortfolioRef[Reference '#]),0),AssetMonthlyReturns[[#This Row],[SPY]:[PE]])</f>
        <v>1.298115298379161E-2</v>
      </c>
      <c r="SZ86" s="27">
        <f>IF(ISNUMBER(SZ85),SZ85*(1+PortfolioFrontier[[#This Row],[P130 Return]]),1+PortfolioFrontier[[#This Row],[P130 Return]])</f>
        <v>1.5044478808446935</v>
      </c>
      <c r="TA86" s="27">
        <f>MAX(TA85,PortfolioFrontier[[#This Row],[P130 Growth]])</f>
        <v>1.720142179322633</v>
      </c>
      <c r="TB86" s="27">
        <f>PortfolioFrontier[[#This Row],[P130 Growth]]/PortfolioFrontier[[#This Row],[P130 HWM]]-1</f>
        <v>-0.12539329659532961</v>
      </c>
      <c r="TC86" s="28">
        <f>SUMPRODUCT(INDEX(PortfolioRef[[SPY]:[PE]],MATCH(TC$1,PortfolioRef[Reference '#]),0),AssetMonthlyReturns[[#This Row],[SPY]:[PE]])</f>
        <v>1.5759772878756649E-2</v>
      </c>
      <c r="TD86" s="27">
        <f>IF(ISNUMBER(TD85),TD85*(1+PortfolioFrontier[[#This Row],[P131 Return]]),1+PortfolioFrontier[[#This Row],[P131 Return]])</f>
        <v>1.50339595947547</v>
      </c>
      <c r="TE86" s="27">
        <f>MAX(TE85,PortfolioFrontier[[#This Row],[P131 Growth]])</f>
        <v>1.6891185966988822</v>
      </c>
      <c r="TF86" s="27">
        <f>PortfolioFrontier[[#This Row],[P131 Growth]]/PortfolioFrontier[[#This Row],[P131 HWM]]-1</f>
        <v>-0.10995239622983133</v>
      </c>
      <c r="TG86" s="28">
        <f>SUMPRODUCT(INDEX(PortfolioRef[[SPY]:[PE]],MATCH(TG$1,PortfolioRef[Reference '#]),0),AssetMonthlyReturns[[#This Row],[SPY]:[PE]])</f>
        <v>1.8538392773721688E-2</v>
      </c>
      <c r="TH86" s="27">
        <f>IF(ISNUMBER(TH85),TH85*(1+PortfolioFrontier[[#This Row],[P132 Return]]),1+PortfolioFrontier[[#This Row],[P132 Return]])</f>
        <v>1.5013351028082265</v>
      </c>
      <c r="TI86" s="27">
        <f>MAX(TI85,PortfolioFrontier[[#This Row],[P132 Growth]])</f>
        <v>1.6579261593145806</v>
      </c>
      <c r="TJ86" s="27">
        <f>PortfolioFrontier[[#This Row],[P132 Growth]]/PortfolioFrontier[[#This Row],[P132 HWM]]-1</f>
        <v>-9.4449958236434428E-2</v>
      </c>
      <c r="TK86" s="28">
        <f>SUMPRODUCT(INDEX(PortfolioRef[[SPY]:[PE]],MATCH(TK$1,PortfolioRef[Reference '#]),0),AssetMonthlyReturns[[#This Row],[SPY]:[PE]])</f>
        <v>2.1137839051606822E-2</v>
      </c>
      <c r="TL86" s="27">
        <f>IF(ISNUMBER(TL85),TL85*(1+PortfolioFrontier[[#This Row],[P133 Return]]),1+PortfolioFrontier[[#This Row],[P133 Return]])</f>
        <v>1.5435631224399649</v>
      </c>
      <c r="TM86" s="27">
        <f>MAX(TM85,PortfolioFrontier[[#This Row],[P133 Growth]])</f>
        <v>1.7171102853087914</v>
      </c>
      <c r="TN86" s="27">
        <f>PortfolioFrontier[[#This Row],[P133 Growth]]/PortfolioFrontier[[#This Row],[P133 HWM]]-1</f>
        <v>-0.10106931648692397</v>
      </c>
      <c r="TO86" s="28">
        <f>SUMPRODUCT(INDEX(PortfolioRef[[SPY]:[PE]],MATCH(TO$1,PortfolioRef[Reference '#]),0),AssetMonthlyReturns[[#This Row],[SPY]:[PE]])</f>
        <v>2.3916458946571861E-2</v>
      </c>
      <c r="TP86" s="27">
        <f>IF(ISNUMBER(TP85),TP85*(1+PortfolioFrontier[[#This Row],[P134 Return]]),1+PortfolioFrontier[[#This Row],[P134 Return]])</f>
        <v>1.5417212139447216</v>
      </c>
      <c r="TQ86" s="27">
        <f>MAX(TQ85,PortfolioFrontier[[#This Row],[P134 Growth]])</f>
        <v>1.6856432974461595</v>
      </c>
      <c r="TR86" s="27">
        <f>PortfolioFrontier[[#This Row],[P134 Growth]]/PortfolioFrontier[[#This Row],[P134 HWM]]-1</f>
        <v>-8.5381102703927736E-2</v>
      </c>
      <c r="TS86" s="28">
        <f>SUMPRODUCT(INDEX(PortfolioRef[[SPY]:[PE]],MATCH(TS$1,PortfolioRef[Reference '#]),0),AssetMonthlyReturns[[#This Row],[SPY]:[PE]])</f>
        <v>2.66950788415369E-2</v>
      </c>
      <c r="TT86" s="27">
        <f>IF(ISNUMBER(TT85),TT85*(1+PortfolioFrontier[[#This Row],[P135 Return]]),1+PortfolioFrontier[[#This Row],[P135 Return]])</f>
        <v>1.5388520785699658</v>
      </c>
      <c r="TU86" s="27">
        <f>MAX(TU85,PortfolioFrontier[[#This Row],[P135 Growth]])</f>
        <v>1.6540304901705998</v>
      </c>
      <c r="TV86" s="27">
        <f>PortfolioFrontier[[#This Row],[P135 Growth]]/PortfolioFrontier[[#This Row],[P135 HWM]]-1</f>
        <v>-6.9634999043309276E-2</v>
      </c>
      <c r="TW86" s="28">
        <f>SUMPRODUCT(INDEX(PortfolioRef[[SPY]:[PE]],MATCH(TW$1,PortfolioRef[Reference '#]),0),AssetMonthlyReturns[[#This Row],[SPY]:[PE]])</f>
        <v>1.5616557150883194E-2</v>
      </c>
      <c r="TX86" s="27">
        <f>IF(ISNUMBER(TX85),TX85*(1+PortfolioFrontier[[#This Row],[P136 Return]]),1+PortfolioFrontier[[#This Row],[P136 Return]])</f>
        <v>1.5325860150917956</v>
      </c>
      <c r="TY86" s="27">
        <f>MAX(TY85,PortfolioFrontier[[#This Row],[P136 Growth]])</f>
        <v>1.7361155602147582</v>
      </c>
      <c r="TZ86" s="27">
        <f>PortfolioFrontier[[#This Row],[P136 Growth]]/PortfolioFrontier[[#This Row],[P136 HWM]]-1</f>
        <v>-0.11723271756045195</v>
      </c>
      <c r="UA86" s="28">
        <f>SUMPRODUCT(INDEX(PortfolioRef[[SPY]:[PE]],MATCH(UA$1,PortfolioRef[Reference '#]),0),AssetMonthlyReturns[[#This Row],[SPY]:[PE]])</f>
        <v>1.8395177045848234E-2</v>
      </c>
      <c r="UB86" s="27">
        <f>IF(ISNUMBER(UB85),UB85*(1+PortfolioFrontier[[#This Row],[P137 Return]]),1+PortfolioFrontier[[#This Row],[P137 Return]])</f>
        <v>1.5315459584296363</v>
      </c>
      <c r="UC86" s="27">
        <f>MAX(UC85,PortfolioFrontier[[#This Row],[P137 Growth]])</f>
        <v>1.7048691873265751</v>
      </c>
      <c r="UD86" s="27">
        <f>PortfolioFrontier[[#This Row],[P137 Growth]]/PortfolioFrontier[[#This Row],[P137 HWM]]-1</f>
        <v>-0.10166365266342159</v>
      </c>
      <c r="UE86" s="28">
        <f>SUMPRODUCT(INDEX(PortfolioRef[[SPY]:[PE]],MATCH(UE$1,PortfolioRef[Reference '#]),0),AssetMonthlyReturns[[#This Row],[SPY]:[PE]])</f>
        <v>2.1173796940813273E-2</v>
      </c>
      <c r="UF86" s="27">
        <f>IF(ISNUMBER(UF85),UF85*(1+PortfolioFrontier[[#This Row],[P138 Return]]),1+PortfolioFrontier[[#This Row],[P138 Return]])</f>
        <v>1.5294787722600305</v>
      </c>
      <c r="UG86" s="27">
        <f>MAX(UG85,PortfolioFrontier[[#This Row],[P138 Growth]])</f>
        <v>1.6734502822541619</v>
      </c>
      <c r="UH86" s="27">
        <f>PortfolioFrontier[[#This Row],[P138 Growth]]/PortfolioFrontier[[#This Row],[P138 HWM]]-1</f>
        <v>-8.6032738182218238E-2</v>
      </c>
      <c r="UI86" s="28">
        <f>SUMPRODUCT(INDEX(PortfolioRef[[SPY]:[PE]],MATCH(UI$1,PortfolioRef[Reference '#]),0),AssetMonthlyReturns[[#This Row],[SPY]:[PE]])</f>
        <v>1.0095275250159561E-2</v>
      </c>
      <c r="UJ86" s="27">
        <f>IF(ISNUMBER(UJ85),UJ85*(1+PortfolioFrontier[[#This Row],[P139 Return]]),1+PortfolioFrontier[[#This Row],[P139 Return]])</f>
        <v>1.5205847016619818</v>
      </c>
      <c r="UK86" s="27">
        <f>MAX(UK85,PortfolioFrontier[[#This Row],[P139 Growth]])</f>
        <v>1.7543965710992384</v>
      </c>
      <c r="UL86" s="27">
        <f>PortfolioFrontier[[#This Row],[P139 Growth]]/PortfolioFrontier[[#This Row],[P139 HWM]]-1</f>
        <v>-0.13327195988006235</v>
      </c>
      <c r="UM86" s="28">
        <f>SUMPRODUCT(INDEX(PortfolioRef[[SPY]:[PE]],MATCH(UM$1,PortfolioRef[Reference '#]),0),AssetMonthlyReturns[[#This Row],[SPY]:[PE]])</f>
        <v>1.2873895145124603E-2</v>
      </c>
      <c r="UN86" s="27">
        <f>IF(ISNUMBER(UN85),UN85*(1+PortfolioFrontier[[#This Row],[P140 Return]]),1+PortfolioFrontier[[#This Row],[P140 Return]])</f>
        <v>1.5203404002705398</v>
      </c>
      <c r="UO86" s="27">
        <f>MAX(UO85,PortfolioFrontier[[#This Row],[P140 Growth]])</f>
        <v>1.7234002022793458</v>
      </c>
      <c r="UP86" s="27">
        <f>PortfolioFrontier[[#This Row],[P140 Growth]]/PortfolioFrontier[[#This Row],[P140 HWM]]-1</f>
        <v>-0.11782510048463601</v>
      </c>
      <c r="UQ86" s="28">
        <f>SUMPRODUCT(INDEX(PortfolioRef[[SPY]:[PE]],MATCH(UQ$1,PortfolioRef[Reference '#]),0),AssetMonthlyReturns[[#This Row],[SPY]:[PE]])</f>
        <v>1.5652515040089642E-2</v>
      </c>
      <c r="UR86" s="27">
        <f>IF(ISNUMBER(UR85),UR85*(1+PortfolioFrontier[[#This Row],[P141 Return]]),1+PortfolioFrontier[[#This Row],[P141 Return]])</f>
        <v>1.5190704314995711</v>
      </c>
      <c r="US86" s="27">
        <f>MAX(US85,PortfolioFrontier[[#This Row],[P141 Growth]])</f>
        <v>1.6922041432386774</v>
      </c>
      <c r="UT86" s="27">
        <f>PortfolioFrontier[[#This Row],[P141 Growth]]/PortfolioFrontier[[#This Row],[P141 HWM]]-1</f>
        <v>-0.10231254451826888</v>
      </c>
    </row>
    <row r="87" spans="2:566" x14ac:dyDescent="0.2">
      <c r="B87" s="41">
        <f>AssetMonthlyReturns[[#This Row],[Date]]</f>
        <v>45017</v>
      </c>
      <c r="C87" s="28">
        <f>SUMPRODUCT(INDEX(PortfolioRef[[SPY]:[PE]],MATCH(C$1,PortfolioRef[Reference '#]),0),AssetMonthlyReturns[[#This Row],[SPY]:[PE]])</f>
        <v>1.5201792806970283E-2</v>
      </c>
      <c r="D87" s="29">
        <f>IF(ISNUMBER(D86),D86*(1+PortfolioFrontier[[#This Row],[P1 Return]]),1+PortfolioFrontier[[#This Row],[P1 Return]])</f>
        <v>1.8002142575370637</v>
      </c>
      <c r="E87" s="29">
        <f>MAX(E86,PortfolioFrontier[[#This Row],[P1 Growth]])</f>
        <v>1.9531239567566241</v>
      </c>
      <c r="F87" s="29">
        <f>PortfolioFrontier[[#This Row],[P1 Growth]]/PortfolioFrontier[[#This Row],[P1 HWM]]-1</f>
        <v>-7.8289807818180512E-2</v>
      </c>
      <c r="G87" s="28">
        <f>SUMPRODUCT(INDEX(PortfolioRef[[SPY]:[PE]],MATCH(G$1,PortfolioRef[Reference '#]),0),AssetMonthlyReturns[[#This Row],[SPY]:[PE]])</f>
        <v>1.4490667732822503E-2</v>
      </c>
      <c r="H87" s="27">
        <f>IF(ISNUMBER(H86),H86*(1+PortfolioFrontier[[#This Row],[P2 Return]]),1+PortfolioFrontier[[#This Row],[P2 Return]])</f>
        <v>1.7345206857638946</v>
      </c>
      <c r="I87" s="27">
        <f>MAX(I86,PortfolioFrontier[[#This Row],[P2 Growth]])</f>
        <v>1.880902671218339</v>
      </c>
      <c r="J87" s="27">
        <f>PortfolioFrontier[[#This Row],[P2 Growth]]/PortfolioFrontier[[#This Row],[P2 HWM]]-1</f>
        <v>-7.782539080537676E-2</v>
      </c>
      <c r="K87" s="28">
        <f>SUMPRODUCT(INDEX(PortfolioRef[[SPY]:[PE]],MATCH(K$1,PortfolioRef[Reference '#]),0),AssetMonthlyReturns[[#This Row],[SPY]:[PE]])</f>
        <v>1.4640344301299457E-2</v>
      </c>
      <c r="L87" s="27">
        <f>IF(ISNUMBER(L86),L86*(1+PortfolioFrontier[[#This Row],[P3 Return]]),1+PortfolioFrontier[[#This Row],[P3 Return]])</f>
        <v>1.7673286566731483</v>
      </c>
      <c r="M87" s="27">
        <f>MAX(M86,PortfolioFrontier[[#This Row],[P3 Growth]])</f>
        <v>1.8984394560781046</v>
      </c>
      <c r="N87" s="27">
        <f>PortfolioFrontier[[#This Row],[P3 Growth]]/PortfolioFrontier[[#This Row],[P3 HWM]]-1</f>
        <v>-6.9062407539617787E-2</v>
      </c>
      <c r="O87" s="28">
        <f>SUMPRODUCT(INDEX(PortfolioRef[[SPY]:[PE]],MATCH(O$1,PortfolioRef[Reference '#]),0),AssetMonthlyReturns[[#This Row],[SPY]:[PE]])</f>
        <v>1.4868452313727642E-2</v>
      </c>
      <c r="P87" s="27">
        <f>IF(ISNUMBER(P86),P86*(1+PortfolioFrontier[[#This Row],[P4 Return]]),1+PortfolioFrontier[[#This Row],[P4 Return]])</f>
        <v>1.7550595102623618</v>
      </c>
      <c r="Q87" s="27">
        <f>MAX(Q86,PortfolioFrontier[[#This Row],[P4 Growth]])</f>
        <v>1.9193367929729268</v>
      </c>
      <c r="R87" s="27">
        <f>PortfolioFrontier[[#This Row],[P4 Growth]]/PortfolioFrontier[[#This Row],[P4 HWM]]-1</f>
        <v>-8.5590649495188464E-2</v>
      </c>
      <c r="S87" s="28">
        <f>SUMPRODUCT(INDEX(PortfolioRef[[SPY]:[PE]],MATCH(S$1,PortfolioRef[Reference '#]),0),AssetMonthlyReturns[[#This Row],[SPY]:[PE]])</f>
        <v>1.483791924862261E-2</v>
      </c>
      <c r="T87" s="27">
        <f>IF(ISNUMBER(T86),T86*(1+PortfolioFrontier[[#This Row],[P5 Return]]),1+PortfolioFrontier[[#This Row],[P5 Return]])</f>
        <v>1.7530959507089772</v>
      </c>
      <c r="U87" s="27">
        <f>MAX(U86,PortfolioFrontier[[#This Row],[P5 Growth]])</f>
        <v>1.8841834525169079</v>
      </c>
      <c r="V87" s="27">
        <f>PortfolioFrontier[[#This Row],[P5 Growth]]/PortfolioFrontier[[#This Row],[P5 HWM]]-1</f>
        <v>-6.9572578844603994E-2</v>
      </c>
      <c r="W87" s="28">
        <f>SUMPRODUCT(INDEX(PortfolioRef[[SPY]:[PE]],MATCH(W$1,PortfolioRef[Reference '#]),0),AssetMonthlyReturns[[#This Row],[SPY]:[PE]])</f>
        <v>1.3779542658674725E-2</v>
      </c>
      <c r="X87" s="27">
        <f>IF(ISNUMBER(X86),X86*(1+PortfolioFrontier[[#This Row],[P6 Return]]),1+PortfolioFrontier[[#This Row],[P6 Return]])</f>
        <v>1.6704977936572722</v>
      </c>
      <c r="Y87" s="27">
        <f>MAX(Y86,PortfolioFrontier[[#This Row],[P6 Growth]])</f>
        <v>1.8107203423144032</v>
      </c>
      <c r="Z87" s="27">
        <f>PortfolioFrontier[[#This Row],[P6 Growth]]/PortfolioFrontier[[#This Row],[P6 HWM]]-1</f>
        <v>-7.7440201769591321E-2</v>
      </c>
      <c r="AA87" s="28">
        <f>SUMPRODUCT(INDEX(PortfolioRef[[SPY]:[PE]],MATCH(AA$1,PortfolioRef[Reference '#]),0),AssetMonthlyReturns[[#This Row],[SPY]:[PE]])</f>
        <v>1.3929219227151679E-2</v>
      </c>
      <c r="AB87" s="27">
        <f>IF(ISNUMBER(AB86),AB86*(1+PortfolioFrontier[[#This Row],[P7 Return]]),1+PortfolioFrontier[[#This Row],[P7 Return]])</f>
        <v>1.7021018073626404</v>
      </c>
      <c r="AC87" s="27">
        <f>MAX(AC86,PortfolioFrontier[[#This Row],[P7 Growth]])</f>
        <v>1.8276317298765399</v>
      </c>
      <c r="AD87" s="27">
        <f>PortfolioFrontier[[#This Row],[P7 Growth]]/PortfolioFrontier[[#This Row],[P7 HWM]]-1</f>
        <v>-6.868447316920856E-2</v>
      </c>
      <c r="AE87" s="28">
        <f>SUMPRODUCT(INDEX(PortfolioRef[[SPY]:[PE]],MATCH(AE$1,PortfolioRef[Reference '#]),0),AssetMonthlyReturns[[#This Row],[SPY]:[PE]])</f>
        <v>1.4157327239579864E-2</v>
      </c>
      <c r="AF87" s="27">
        <f>IF(ISNUMBER(AF86),AF86*(1+PortfolioFrontier[[#This Row],[P8 Return]]),1+PortfolioFrontier[[#This Row],[P8 Return]])</f>
        <v>1.6908906928929612</v>
      </c>
      <c r="AG87" s="27">
        <f>MAX(AG86,PortfolioFrontier[[#This Row],[P8 Growth]])</f>
        <v>1.8482324314062795</v>
      </c>
      <c r="AH87" s="27">
        <f>PortfolioFrontier[[#This Row],[P8 Growth]]/PortfolioFrontier[[#This Row],[P8 HWM]]-1</f>
        <v>-8.5130926088987868E-2</v>
      </c>
      <c r="AI87" s="28">
        <f>SUMPRODUCT(INDEX(PortfolioRef[[SPY]:[PE]],MATCH(AI$1,PortfolioRef[Reference '#]),0),AssetMonthlyReturns[[#This Row],[SPY]:[PE]])</f>
        <v>1.4126794174474832E-2</v>
      </c>
      <c r="AJ87" s="27">
        <f>IF(ISNUMBER(AJ86),AJ86*(1+PortfolioFrontier[[#This Row],[P9 Return]]),1+PortfolioFrontier[[#This Row],[P9 Return]])</f>
        <v>1.6884082311997279</v>
      </c>
      <c r="AK87" s="27">
        <f>MAX(AK86,PortfolioFrontier[[#This Row],[P9 Growth]])</f>
        <v>1.8139467261629987</v>
      </c>
      <c r="AL87" s="27">
        <f>PortfolioFrontier[[#This Row],[P9 Growth]]/PortfolioFrontier[[#This Row],[P9 HWM]]-1</f>
        <v>-6.9207377015321425E-2</v>
      </c>
      <c r="AM87" s="28">
        <f>SUMPRODUCT(INDEX(PortfolioRef[[SPY]:[PE]],MATCH(AM$1,PortfolioRef[Reference '#]),0),AssetMonthlyReturns[[#This Row],[SPY]:[PE]])</f>
        <v>1.4078895795628632E-2</v>
      </c>
      <c r="AN87" s="27">
        <f>IF(ISNUMBER(AN86),AN86*(1+PortfolioFrontier[[#This Row],[P10 Return]]),1+PortfolioFrontier[[#This Row],[P10 Return]])</f>
        <v>1.7338788291250573</v>
      </c>
      <c r="AO87" s="27">
        <f>MAX(AO86,PortfolioFrontier[[#This Row],[P10 Growth]])</f>
        <v>1.8443368551596837</v>
      </c>
      <c r="AP87" s="27">
        <f>PortfolioFrontier[[#This Row],[P10 Growth]]/PortfolioFrontier[[#This Row],[P10 HWM]]-1</f>
        <v>-5.9890375082844005E-2</v>
      </c>
      <c r="AQ87" s="28">
        <f>SUMPRODUCT(INDEX(PortfolioRef[[SPY]:[PE]],MATCH(AQ$1,PortfolioRef[Reference '#]),0),AssetMonthlyReturns[[#This Row],[SPY]:[PE]])</f>
        <v>1.4307003808056818E-2</v>
      </c>
      <c r="AR87" s="27">
        <f>IF(ISNUMBER(AR86),AR86*(1+PortfolioFrontier[[#This Row],[P11 Return]]),1+PortfolioFrontier[[#This Row],[P11 Return]])</f>
        <v>1.7228519437600431</v>
      </c>
      <c r="AS87" s="27">
        <f>MAX(AS86,PortfolioFrontier[[#This Row],[P11 Growth]])</f>
        <v>1.865449984246593</v>
      </c>
      <c r="AT87" s="27">
        <f>PortfolioFrontier[[#This Row],[P11 Growth]]/PortfolioFrontier[[#This Row],[P11 HWM]]-1</f>
        <v>-7.6441631612086058E-2</v>
      </c>
      <c r="AU87" s="28">
        <f>SUMPRODUCT(INDEX(PortfolioRef[[SPY]:[PE]],MATCH(AU$1,PortfolioRef[Reference '#]),0),AssetMonthlyReturns[[#This Row],[SPY]:[PE]])</f>
        <v>1.4276470742951786E-2</v>
      </c>
      <c r="AV87" s="27">
        <f>IF(ISNUMBER(AV86),AV86*(1+PortfolioFrontier[[#This Row],[P12 Return]]),1+PortfolioFrontier[[#This Row],[P12 Return]])</f>
        <v>1.7203589345023196</v>
      </c>
      <c r="AW87" s="27">
        <f>MAX(AW86,PortfolioFrontier[[#This Row],[P12 Growth]])</f>
        <v>1.8309154354259589</v>
      </c>
      <c r="AX87" s="27">
        <f>PortfolioFrontier[[#This Row],[P12 Growth]]/PortfolioFrontier[[#This Row],[P12 HWM]]-1</f>
        <v>-6.0383182524166412E-2</v>
      </c>
      <c r="AY87" s="28">
        <f>SUMPRODUCT(INDEX(PortfolioRef[[SPY]:[PE]],MATCH(AY$1,PortfolioRef[Reference '#]),0),AssetMonthlyReturns[[#This Row],[SPY]:[PE]])</f>
        <v>1.4535111820485001E-2</v>
      </c>
      <c r="AZ87" s="27">
        <f>IF(ISNUMBER(AZ86),AZ86*(1+PortfolioFrontier[[#This Row],[P13 Return]]),1+PortfolioFrontier[[#This Row],[P13 Return]])</f>
        <v>1.7106643375798523</v>
      </c>
      <c r="BA87" s="27">
        <f>MAX(BA86,PortfolioFrontier[[#This Row],[P13 Growth]])</f>
        <v>1.8858075751364967</v>
      </c>
      <c r="BB87" s="27">
        <f>PortfolioFrontier[[#This Row],[P13 Growth]]/PortfolioFrontier[[#This Row],[P13 HWM]]-1</f>
        <v>-9.2874394962575879E-2</v>
      </c>
      <c r="BC87" s="28">
        <f>SUMPRODUCT(INDEX(PortfolioRef[[SPY]:[PE]],MATCH(BC$1,PortfolioRef[Reference '#]),0),AssetMonthlyReturns[[#This Row],[SPY]:[PE]])</f>
        <v>1.4504578755379971E-2</v>
      </c>
      <c r="BD87" s="27">
        <f>IF(ISNUMBER(BD86),BD86*(1+PortfolioFrontier[[#This Row],[P14 Return]]),1+PortfolioFrontier[[#This Row],[P14 Return]])</f>
        <v>1.7090662911784222</v>
      </c>
      <c r="BE87" s="27">
        <f>MAX(BE86,PortfolioFrontier[[#This Row],[P14 Growth]])</f>
        <v>1.8515113734383843</v>
      </c>
      <c r="BF87" s="27">
        <f>PortfolioFrontier[[#This Row],[P14 Growth]]/PortfolioFrontier[[#This Row],[P14 HWM]]-1</f>
        <v>-7.6934489468153622E-2</v>
      </c>
      <c r="BG87" s="28">
        <f>SUMPRODUCT(INDEX(PortfolioRef[[SPY]:[PE]],MATCH(BG$1,PortfolioRef[Reference '#]),0),AssetMonthlyReturns[[#This Row],[SPY]:[PE]])</f>
        <v>1.4474045690274939E-2</v>
      </c>
      <c r="BH87" s="27">
        <f>IF(ISNUMBER(BH86),BH86*(1+PortfolioFrontier[[#This Row],[P15 Return]]),1+PortfolioFrontier[[#This Row],[P15 Return]])</f>
        <v>1.7063256706422394</v>
      </c>
      <c r="BI87" s="27">
        <f>MAX(BI86,PortfolioFrontier[[#This Row],[P15 Growth]])</f>
        <v>1.8170439473092146</v>
      </c>
      <c r="BJ87" s="27">
        <f>PortfolioFrontier[[#This Row],[P15 Growth]]/PortfolioFrontier[[#This Row],[P15 HWM]]-1</f>
        <v>-6.0933185920424959E-2</v>
      </c>
      <c r="BK87" s="28">
        <f>SUMPRODUCT(INDEX(PortfolioRef[[SPY]:[PE]],MATCH(BK$1,PortfolioRef[Reference '#]),0),AssetMonthlyReturns[[#This Row],[SPY]:[PE]])</f>
        <v>1.3068417584526947E-2</v>
      </c>
      <c r="BL87" s="27">
        <f>IF(ISNUMBER(BL86),BL86*(1+PortfolioFrontier[[#This Row],[P16 Return]]),1+PortfolioFrontier[[#This Row],[P16 Return]])</f>
        <v>1.6081388826553689</v>
      </c>
      <c r="BM87" s="27">
        <f>MAX(BM86,PortfolioFrontier[[#This Row],[P16 Growth]])</f>
        <v>1.7425494832470445</v>
      </c>
      <c r="BN87" s="27">
        <f>PortfolioFrontier[[#This Row],[P16 Growth]]/PortfolioFrontier[[#This Row],[P16 HWM]]-1</f>
        <v>-7.713445264189378E-2</v>
      </c>
      <c r="BO87" s="28">
        <f>SUMPRODUCT(INDEX(PortfolioRef[[SPY]:[PE]],MATCH(BO$1,PortfolioRef[Reference '#]),0),AssetMonthlyReturns[[#This Row],[SPY]:[PE]])</f>
        <v>1.3218094153003901E-2</v>
      </c>
      <c r="BP87" s="27">
        <f>IF(ISNUMBER(BP86),BP86*(1+PortfolioFrontier[[#This Row],[P17 Return]]),1+PortfolioFrontier[[#This Row],[P17 Return]])</f>
        <v>1.6385703842372288</v>
      </c>
      <c r="BQ87" s="27">
        <f>MAX(BQ86,PortfolioFrontier[[#This Row],[P17 Growth]])</f>
        <v>1.7588525148836969</v>
      </c>
      <c r="BR87" s="27">
        <f>PortfolioFrontier[[#This Row],[P17 Growth]]/PortfolioFrontier[[#This Row],[P17 HWM]]-1</f>
        <v>-6.8386706462663094E-2</v>
      </c>
      <c r="BS87" s="28">
        <f>SUMPRODUCT(INDEX(PortfolioRef[[SPY]:[PE]],MATCH(BS$1,PortfolioRef[Reference '#]),0),AssetMonthlyReturns[[#This Row],[SPY]:[PE]])</f>
        <v>1.3446202165432086E-2</v>
      </c>
      <c r="BT87" s="27">
        <f>IF(ISNUMBER(BT86),BT86*(1+PortfolioFrontier[[#This Row],[P18 Return]]),1+PortfolioFrontier[[#This Row],[P18 Return]])</f>
        <v>1.6283588058122132</v>
      </c>
      <c r="BU87" s="27">
        <f>MAX(BU86,PortfolioFrontier[[#This Row],[P18 Growth]])</f>
        <v>1.7791407441475846</v>
      </c>
      <c r="BV87" s="27">
        <f>PortfolioFrontier[[#This Row],[P18 Growth]]/PortfolioFrontier[[#This Row],[P18 HWM]]-1</f>
        <v>-8.4749865254540868E-2</v>
      </c>
      <c r="BW87" s="28">
        <f>SUMPRODUCT(INDEX(PortfolioRef[[SPY]:[PE]],MATCH(BW$1,PortfolioRef[Reference '#]),0),AssetMonthlyReturns[[#This Row],[SPY]:[PE]])</f>
        <v>1.3415669100327054E-2</v>
      </c>
      <c r="BX87" s="27">
        <f>IF(ISNUMBER(BX86),BX86*(1+PortfolioFrontier[[#This Row],[P19 Return]]),1+PortfolioFrontier[[#This Row],[P19 Return]])</f>
        <v>1.6254007427351858</v>
      </c>
      <c r="BY87" s="27">
        <f>MAX(BY86,PortfolioFrontier[[#This Row],[P19 Growth]])</f>
        <v>1.7457196180719312</v>
      </c>
      <c r="BZ87" s="27">
        <f>PortfolioFrontier[[#This Row],[P19 Growth]]/PortfolioFrontier[[#This Row],[P19 HWM]]-1</f>
        <v>-6.8922222154799595E-2</v>
      </c>
      <c r="CA87" s="28">
        <f>SUMPRODUCT(INDEX(PortfolioRef[[SPY]:[PE]],MATCH(CA$1,PortfolioRef[Reference '#]),0),AssetMonthlyReturns[[#This Row],[SPY]:[PE]])</f>
        <v>1.3367770721480854E-2</v>
      </c>
      <c r="CB87" s="27">
        <f>IF(ISNUMBER(CB86),CB86*(1+PortfolioFrontier[[#This Row],[P20 Return]]),1+PortfolioFrontier[[#This Row],[P20 Return]])</f>
        <v>1.6691678946989457</v>
      </c>
      <c r="CC87" s="27">
        <f>MAX(CC86,PortfolioFrontier[[#This Row],[P20 Growth]])</f>
        <v>1.7749567522517573</v>
      </c>
      <c r="CD87" s="27">
        <f>PortfolioFrontier[[#This Row],[P20 Growth]]/PortfolioFrontier[[#This Row],[P20 HWM]]-1</f>
        <v>-5.9600808537224936E-2</v>
      </c>
      <c r="CE87" s="28">
        <f>SUMPRODUCT(INDEX(PortfolioRef[[SPY]:[PE]],MATCH(CE$1,PortfolioRef[Reference '#]),0),AssetMonthlyReturns[[#This Row],[SPY]:[PE]])</f>
        <v>1.359587873390904E-2</v>
      </c>
      <c r="CF87" s="27">
        <f>IF(ISNUMBER(CF86),CF86*(1+PortfolioFrontier[[#This Row],[P21 Return]]),1+PortfolioFrontier[[#This Row],[P21 Return]])</f>
        <v>1.6591451099144767</v>
      </c>
      <c r="CG87" s="27">
        <f>MAX(CG86,PortfolioFrontier[[#This Row],[P21 Growth]])</f>
        <v>1.795743356031652</v>
      </c>
      <c r="CH87" s="27">
        <f>PortfolioFrontier[[#This Row],[P21 Growth]]/PortfolioFrontier[[#This Row],[P21 HWM]]-1</f>
        <v>-7.6067799810235037E-2</v>
      </c>
      <c r="CI87" s="28">
        <f>SUMPRODUCT(INDEX(PortfolioRef[[SPY]:[PE]],MATCH(CI$1,PortfolioRef[Reference '#]),0),AssetMonthlyReturns[[#This Row],[SPY]:[PE]])</f>
        <v>1.3565345668804008E-2</v>
      </c>
      <c r="CJ87" s="27">
        <f>IF(ISNUMBER(CJ86),CJ86*(1+PortfolioFrontier[[#This Row],[P22 Return]]),1+PortfolioFrontier[[#This Row],[P22 Return]])</f>
        <v>1.6561665161903014</v>
      </c>
      <c r="CK87" s="27">
        <f>MAX(CK86,PortfolioFrontier[[#This Row],[P22 Growth]])</f>
        <v>1.7620784578443487</v>
      </c>
      <c r="CL87" s="27">
        <f>PortfolioFrontier[[#This Row],[P22 Growth]]/PortfolioFrontier[[#This Row],[P22 HWM]]-1</f>
        <v>-6.0106257574713995E-2</v>
      </c>
      <c r="CM87" s="28">
        <f>SUMPRODUCT(INDEX(PortfolioRef[[SPY]:[PE]],MATCH(CM$1,PortfolioRef[Reference '#]),0),AssetMonthlyReturns[[#This Row],[SPY]:[PE]])</f>
        <v>1.3823986746337223E-2</v>
      </c>
      <c r="CN87" s="27">
        <f>IF(ISNUMBER(CN86),CN86*(1+PortfolioFrontier[[#This Row],[P23 Return]]),1+PortfolioFrontier[[#This Row],[P23 Return]])</f>
        <v>1.6479987503691003</v>
      </c>
      <c r="CO87" s="27">
        <f>MAX(CO86,PortfolioFrontier[[#This Row],[P23 Growth]])</f>
        <v>1.8158151760868648</v>
      </c>
      <c r="CP87" s="27">
        <f>PortfolioFrontier[[#This Row],[P23 Growth]]/PortfolioFrontier[[#This Row],[P23 HWM]]-1</f>
        <v>-9.2419332059672454E-2</v>
      </c>
      <c r="CQ87" s="28">
        <f>SUMPRODUCT(INDEX(PortfolioRef[[SPY]:[PE]],MATCH(CQ$1,PortfolioRef[Reference '#]),0),AssetMonthlyReturns[[#This Row],[SPY]:[PE]])</f>
        <v>1.3793453681232193E-2</v>
      </c>
      <c r="CR87" s="27">
        <f>IF(ISNUMBER(CR86),CR86*(1+PortfolioFrontier[[#This Row],[P24 Return]]),1+PortfolioFrontier[[#This Row],[P24 Return]])</f>
        <v>1.6458824811227384</v>
      </c>
      <c r="CS87" s="27">
        <f>MAX(CS86,PortfolioFrontier[[#This Row],[P24 Growth]])</f>
        <v>1.7823638134718676</v>
      </c>
      <c r="CT87" s="27">
        <f>PortfolioFrontier[[#This Row],[P24 Growth]]/PortfolioFrontier[[#This Row],[P24 HWM]]-1</f>
        <v>-7.657321772218717E-2</v>
      </c>
      <c r="CU87" s="28">
        <f>SUMPRODUCT(INDEX(PortfolioRef[[SPY]:[PE]],MATCH(CU$1,PortfolioRef[Reference '#]),0),AssetMonthlyReturns[[#This Row],[SPY]:[PE]])</f>
        <v>1.3762920616127161E-2</v>
      </c>
      <c r="CV87" s="27">
        <f>IF(ISNUMBER(CV86),CV86*(1+PortfolioFrontier[[#This Row],[P25 Return]]),1+PortfolioFrontier[[#This Row],[P25 Return]])</f>
        <v>1.6426698646167994</v>
      </c>
      <c r="CW87" s="27">
        <f>MAX(CW86,PortfolioFrontier[[#This Row],[P25 Growth]])</f>
        <v>1.7487656732120247</v>
      </c>
      <c r="CX87" s="27">
        <f>PortfolioFrontier[[#This Row],[P25 Growth]]/PortfolioFrontier[[#This Row],[P25 HWM]]-1</f>
        <v>-6.0668967958614539E-2</v>
      </c>
      <c r="CY87" s="28">
        <f>SUMPRODUCT(INDEX(PortfolioRef[[SPY]:[PE]],MATCH(CY$1,PortfolioRef[Reference '#]),0),AssetMonthlyReturns[[#This Row],[SPY]:[PE]])</f>
        <v>1.3745555302385993E-2</v>
      </c>
      <c r="CZ87" s="27">
        <f>IF(ISNUMBER(CZ86),CZ86*(1+PortfolioFrontier[[#This Row],[P26 Return]]),1+PortfolioFrontier[[#This Row],[P26 Return]])</f>
        <v>1.6900990068938337</v>
      </c>
      <c r="DA87" s="27">
        <f>MAX(DA86,PortfolioFrontier[[#This Row],[P26 Growth]])</f>
        <v>1.8121428498945955</v>
      </c>
      <c r="DB87" s="27">
        <f>PortfolioFrontier[[#This Row],[P26 Growth]]/PortfolioFrontier[[#This Row],[P26 HWM]]-1</f>
        <v>-6.7347804842129544E-2</v>
      </c>
      <c r="DC87" s="28">
        <f>SUMPRODUCT(INDEX(PortfolioRef[[SPY]:[PE]],MATCH(DC$1,PortfolioRef[Reference '#]),0),AssetMonthlyReturns[[#This Row],[SPY]:[PE]])</f>
        <v>1.3715022237280961E-2</v>
      </c>
      <c r="DD87" s="27">
        <f>IF(ISNUMBER(DD86),DD86*(1+PortfolioFrontier[[#This Row],[P27 Return]]),1+PortfolioFrontier[[#This Row],[P27 Return]])</f>
        <v>1.6871006193146483</v>
      </c>
      <c r="DE87" s="27">
        <f>MAX(DE86,PortfolioFrontier[[#This Row],[P27 Growth]])</f>
        <v>1.7782387807323972</v>
      </c>
      <c r="DF87" s="27">
        <f>PortfolioFrontier[[#This Row],[P27 Growth]]/PortfolioFrontier[[#This Row],[P27 HWM]]-1</f>
        <v>-5.1251925447386881E-2</v>
      </c>
      <c r="DG87" s="28">
        <f>SUMPRODUCT(INDEX(PortfolioRef[[SPY]:[PE]],MATCH(DG$1,PortfolioRef[Reference '#]),0),AssetMonthlyReturns[[#This Row],[SPY]:[PE]])</f>
        <v>1.3973663314814177E-2</v>
      </c>
      <c r="DH87" s="27">
        <f>IF(ISNUMBER(DH86),DH86*(1+PortfolioFrontier[[#This Row],[P28 Return]]),1+PortfolioFrontier[[#This Row],[P28 Return]])</f>
        <v>1.6791287610159198</v>
      </c>
      <c r="DI87" s="27">
        <f>MAX(DI86,PortfolioFrontier[[#This Row],[P28 Growth]])</f>
        <v>1.8327167417336543</v>
      </c>
      <c r="DJ87" s="27">
        <f>PortfolioFrontier[[#This Row],[P28 Growth]]/PortfolioFrontier[[#This Row],[P28 HWM]]-1</f>
        <v>-8.3803447210532012E-2</v>
      </c>
      <c r="DK87" s="28">
        <f>SUMPRODUCT(INDEX(PortfolioRef[[SPY]:[PE]],MATCH(DK$1,PortfolioRef[Reference '#]),0),AssetMonthlyReturns[[#This Row],[SPY]:[PE]])</f>
        <v>1.3943130249709147E-2</v>
      </c>
      <c r="DL87" s="27">
        <f>IF(ISNUMBER(DL86),DL86*(1+PortfolioFrontier[[#This Row],[P29 Return]]),1+PortfolioFrontier[[#This Row],[P29 Return]])</f>
        <v>1.6770077441524294</v>
      </c>
      <c r="DM87" s="27">
        <f>MAX(DM86,PortfolioFrontier[[#This Row],[P29 Growth]])</f>
        <v>1.7990232294645383</v>
      </c>
      <c r="DN87" s="27">
        <f>PortfolioFrontier[[#This Row],[P29 Growth]]/PortfolioFrontier[[#This Row],[P29 HWM]]-1</f>
        <v>-6.7823185000465913E-2</v>
      </c>
      <c r="DO87" s="28">
        <f>SUMPRODUCT(INDEX(PortfolioRef[[SPY]:[PE]],MATCH(DO$1,PortfolioRef[Reference '#]),0),AssetMonthlyReturns[[#This Row],[SPY]:[PE]])</f>
        <v>1.3912597184604115E-2</v>
      </c>
      <c r="DP87" s="27">
        <f>IF(ISNUMBER(DP86),DP86*(1+PortfolioFrontier[[#This Row],[P30 Return]]),1+PortfolioFrontier[[#This Row],[P30 Return]])</f>
        <v>1.6737703732783691</v>
      </c>
      <c r="DQ87" s="27">
        <f>MAX(DQ86,PortfolioFrontier[[#This Row],[P30 Growth]])</f>
        <v>1.7651792866223672</v>
      </c>
      <c r="DR87" s="27">
        <f>PortfolioFrontier[[#This Row],[P30 Growth]]/PortfolioFrontier[[#This Row],[P30 HWM]]-1</f>
        <v>-5.178449239505134E-2</v>
      </c>
      <c r="DS87" s="28">
        <f>SUMPRODUCT(INDEX(PortfolioRef[[SPY]:[PE]],MATCH(DS$1,PortfolioRef[Reference '#]),0),AssetMonthlyReturns[[#This Row],[SPY]:[PE]])</f>
        <v>1.4201771327242362E-2</v>
      </c>
      <c r="DT87" s="27">
        <f>IF(ISNUMBER(DT86),DT86*(1+PortfolioFrontier[[#This Row],[P31 Return]]),1+PortfolioFrontier[[#This Row],[P31 Return]])</f>
        <v>1.6670280531182535</v>
      </c>
      <c r="DU87" s="27">
        <f>MAX(DU86,PortfolioFrontier[[#This Row],[P31 Growth]])</f>
        <v>1.8525428026208837</v>
      </c>
      <c r="DV87" s="27">
        <f>PortfolioFrontier[[#This Row],[P31 Growth]]/PortfolioFrontier[[#This Row],[P31 HWM]]-1</f>
        <v>-0.10014060092979948</v>
      </c>
      <c r="DW87" s="28">
        <f>SUMPRODUCT(INDEX(PortfolioRef[[SPY]:[PE]],MATCH(DW$1,PortfolioRef[Reference '#]),0),AssetMonthlyReturns[[#This Row],[SPY]:[PE]])</f>
        <v>1.417123826213733E-2</v>
      </c>
      <c r="DX87" s="27">
        <f>IF(ISNUMBER(DX86),DX86*(1+PortfolioFrontier[[#This Row],[P32 Return]]),1+PortfolioFrontier[[#This Row],[P32 Return]])</f>
        <v>1.6657793501676563</v>
      </c>
      <c r="DY87" s="27">
        <f>MAX(DY86,PortfolioFrontier[[#This Row],[P32 Growth]])</f>
        <v>1.8190908915066115</v>
      </c>
      <c r="DZ87" s="27">
        <f>PortfolioFrontier[[#This Row],[P32 Growth]]/PortfolioFrontier[[#This Row],[P32 HWM]]-1</f>
        <v>-8.4279208947046658E-2</v>
      </c>
      <c r="EA87" s="28">
        <f>SUMPRODUCT(INDEX(PortfolioRef[[SPY]:[PE]],MATCH(EA$1,PortfolioRef[Reference '#]),0),AssetMonthlyReturns[[#This Row],[SPY]:[PE]])</f>
        <v>1.41407051970323E-2</v>
      </c>
      <c r="EB87" s="27">
        <f>IF(ISNUMBER(EB86),EB86*(1+PortfolioFrontier[[#This Row],[P33 Return]]),1+PortfolioFrontier[[#This Row],[P33 Return]])</f>
        <v>1.6634143717563241</v>
      </c>
      <c r="EC87" s="27">
        <f>MAX(EC86,PortfolioFrontier[[#This Row],[P33 Growth]])</f>
        <v>1.7854600976944932</v>
      </c>
      <c r="ED87" s="27">
        <f>PortfolioFrontier[[#This Row],[P33 Growth]]/PortfolioFrontier[[#This Row],[P33 HWM]]-1</f>
        <v>-6.8355336585658066E-2</v>
      </c>
      <c r="EE87" s="28">
        <f>SUMPRODUCT(INDEX(PortfolioRef[[SPY]:[PE]],MATCH(EE$1,PortfolioRef[Reference '#]),0),AssetMonthlyReturns[[#This Row],[SPY]:[PE]])</f>
        <v>1.2357292510379168E-2</v>
      </c>
      <c r="EF87" s="27">
        <f>IF(ISNUMBER(EF86),EF86*(1+PortfolioFrontier[[#This Row],[P34 Return]]),1+PortfolioFrontier[[#This Row],[P34 Return]])</f>
        <v>1.5474352638171731</v>
      </c>
      <c r="EG87" s="27">
        <f>MAX(EG86,PortfolioFrontier[[#This Row],[P34 Growth]])</f>
        <v>1.6763614413137211</v>
      </c>
      <c r="EH87" s="27">
        <f>PortfolioFrontier[[#This Row],[P34 Growth]]/PortfolioFrontier[[#This Row],[P34 HWM]]-1</f>
        <v>-7.6908341076797782E-2</v>
      </c>
      <c r="EI87" s="28">
        <f>SUMPRODUCT(INDEX(PortfolioRef[[SPY]:[PE]],MATCH(EI$1,PortfolioRef[Reference '#]),0),AssetMonthlyReturns[[#This Row],[SPY]:[PE]])</f>
        <v>1.2506969078856123E-2</v>
      </c>
      <c r="EJ87" s="27">
        <f>IF(ISNUMBER(EJ86),EJ86*(1+PortfolioFrontier[[#This Row],[P35 Return]]),1+PortfolioFrontier[[#This Row],[P35 Return]])</f>
        <v>1.5767254978734815</v>
      </c>
      <c r="EK87" s="27">
        <f>MAX(EK86,PortfolioFrontier[[#This Row],[P35 Growth]])</f>
        <v>1.6920729334369538</v>
      </c>
      <c r="EL87" s="27">
        <f>PortfolioFrontier[[#This Row],[P35 Growth]]/PortfolioFrontier[[#This Row],[P35 HWM]]-1</f>
        <v>-6.8169304811925291E-2</v>
      </c>
      <c r="EM87" s="28">
        <f>SUMPRODUCT(INDEX(PortfolioRef[[SPY]:[PE]],MATCH(EM$1,PortfolioRef[Reference '#]),0),AssetMonthlyReturns[[#This Row],[SPY]:[PE]])</f>
        <v>1.2735077091284307E-2</v>
      </c>
      <c r="EN87" s="27">
        <f>IF(ISNUMBER(EN86),EN86*(1+PortfolioFrontier[[#This Row],[P36 Return]]),1+PortfolioFrontier[[#This Row],[P36 Return]])</f>
        <v>1.5674570670395005</v>
      </c>
      <c r="EO87" s="27">
        <f>MAX(EO86,PortfolioFrontier[[#This Row],[P36 Growth]])</f>
        <v>1.7120343963250326</v>
      </c>
      <c r="EP87" s="27">
        <f>PortfolioFrontier[[#This Row],[P36 Growth]]/PortfolioFrontier[[#This Row],[P36 HWM]]-1</f>
        <v>-8.4447677918080721E-2</v>
      </c>
      <c r="EQ87" s="28">
        <f>SUMPRODUCT(INDEX(PortfolioRef[[SPY]:[PE]],MATCH(EQ$1,PortfolioRef[Reference '#]),0),AssetMonthlyReturns[[#This Row],[SPY]:[PE]])</f>
        <v>1.2704544026179276E-2</v>
      </c>
      <c r="ER87" s="27">
        <f>IF(ISNUMBER(ER86),ER86*(1+PortfolioFrontier[[#This Row],[P37 Return]]),1+PortfolioFrontier[[#This Row],[P37 Return]])</f>
        <v>1.5640647700077894</v>
      </c>
      <c r="ES87" s="27">
        <f>MAX(ES86,PortfolioFrontier[[#This Row],[P37 Growth]])</f>
        <v>1.6794736802569215</v>
      </c>
      <c r="ET87" s="27">
        <f>PortfolioFrontier[[#This Row],[P37 Growth]]/PortfolioFrontier[[#This Row],[P37 HWM]]-1</f>
        <v>-6.8717308050625148E-2</v>
      </c>
      <c r="EU87" s="28">
        <f>SUMPRODUCT(INDEX(PortfolioRef[[SPY]:[PE]],MATCH(EU$1,PortfolioRef[Reference '#]),0),AssetMonthlyReturns[[#This Row],[SPY]:[PE]])</f>
        <v>1.2656645647333075E-2</v>
      </c>
      <c r="EV87" s="27">
        <f>IF(ISNUMBER(EV86),EV86*(1+PortfolioFrontier[[#This Row],[P38 Return]]),1+PortfolioFrontier[[#This Row],[P38 Return]])</f>
        <v>1.6061749597945489</v>
      </c>
      <c r="EW87" s="27">
        <f>MAX(EW86,PortfolioFrontier[[#This Row],[P38 Growth]])</f>
        <v>1.7075928941250238</v>
      </c>
      <c r="EX87" s="27">
        <f>PortfolioFrontier[[#This Row],[P38 Growth]]/PortfolioFrontier[[#This Row],[P38 HWM]]-1</f>
        <v>-5.9392337997776545E-2</v>
      </c>
      <c r="EY87" s="28">
        <f>SUMPRODUCT(INDEX(PortfolioRef[[SPY]:[PE]],MATCH(EY$1,PortfolioRef[Reference '#]),0),AssetMonthlyReturns[[#This Row],[SPY]:[PE]])</f>
        <v>1.2884753659761262E-2</v>
      </c>
      <c r="EZ87" s="27">
        <f>IF(ISNUMBER(EZ86),EZ86*(1+PortfolioFrontier[[#This Row],[P39 Return]]),1+PortfolioFrontier[[#This Row],[P39 Return]])</f>
        <v>1.5970991948856867</v>
      </c>
      <c r="FA87" s="27">
        <f>MAX(FA86,PortfolioFrontier[[#This Row],[P39 Growth]])</f>
        <v>1.7280388577532122</v>
      </c>
      <c r="FB87" s="27">
        <f>PortfolioFrontier[[#This Row],[P39 Growth]]/PortfolioFrontier[[#This Row],[P39 HWM]]-1</f>
        <v>-7.5773563933494326E-2</v>
      </c>
      <c r="FC87" s="28">
        <f>SUMPRODUCT(INDEX(PortfolioRef[[SPY]:[PE]],MATCH(FC$1,PortfolioRef[Reference '#]),0),AssetMonthlyReturns[[#This Row],[SPY]:[PE]])</f>
        <v>1.285422059465623E-2</v>
      </c>
      <c r="FD87" s="27">
        <f>IF(ISNUMBER(FD86),FD86*(1+PortfolioFrontier[[#This Row],[P40 Return]]),1+PortfolioFrontier[[#This Row],[P40 Return]])</f>
        <v>1.5936771683046733</v>
      </c>
      <c r="FE87" s="27">
        <f>MAX(FE86,PortfolioFrontier[[#This Row],[P40 Growth]])</f>
        <v>1.6952394830468527</v>
      </c>
      <c r="FF87" s="27">
        <f>PortfolioFrontier[[#This Row],[P40 Growth]]/PortfolioFrontier[[#This Row],[P40 HWM]]-1</f>
        <v>-5.9910305156202215E-2</v>
      </c>
      <c r="FG87" s="28">
        <f>SUMPRODUCT(INDEX(PortfolioRef[[SPY]:[PE]],MATCH(FG$1,PortfolioRef[Reference '#]),0),AssetMonthlyReturns[[#This Row],[SPY]:[PE]])</f>
        <v>1.3112861672189445E-2</v>
      </c>
      <c r="FH87" s="27">
        <f>IF(ISNUMBER(FH86),FH86*(1+PortfolioFrontier[[#This Row],[P41 Return]]),1+PortfolioFrontier[[#This Row],[P41 Return]])</f>
        <v>1.5869366367446913</v>
      </c>
      <c r="FI87" s="27">
        <f>MAX(FI86,PortfolioFrontier[[#This Row],[P41 Growth]])</f>
        <v>1.7478091274239449</v>
      </c>
      <c r="FJ87" s="27">
        <f>PortfolioFrontier[[#This Row],[P41 Growth]]/PortfolioFrontier[[#This Row],[P41 HWM]]-1</f>
        <v>-9.2042367873636066E-2</v>
      </c>
      <c r="FK87" s="28">
        <f>SUMPRODUCT(INDEX(PortfolioRef[[SPY]:[PE]],MATCH(FK$1,PortfolioRef[Reference '#]),0),AssetMonthlyReturns[[#This Row],[SPY]:[PE]])</f>
        <v>1.3082328607084415E-2</v>
      </c>
      <c r="FL87" s="27">
        <f>IF(ISNUMBER(FL86),FL86*(1+PortfolioFrontier[[#This Row],[P42 Return]]),1+PortfolioFrontier[[#This Row],[P42 Return]])</f>
        <v>1.5843448154465312</v>
      </c>
      <c r="FM87" s="27">
        <f>MAX(FM86,PortfolioFrontier[[#This Row],[P42 Growth]])</f>
        <v>1.7151998522045959</v>
      </c>
      <c r="FN87" s="27">
        <f>PortfolioFrontier[[#This Row],[P42 Growth]]/PortfolioFrontier[[#This Row],[P42 HWM]]-1</f>
        <v>-7.6291422594208513E-2</v>
      </c>
      <c r="FO87" s="28">
        <f>SUMPRODUCT(INDEX(PortfolioRef[[SPY]:[PE]],MATCH(FO$1,PortfolioRef[Reference '#]),0),AssetMonthlyReturns[[#This Row],[SPY]:[PE]])</f>
        <v>1.3051795541979383E-2</v>
      </c>
      <c r="FP87" s="27">
        <f>IF(ISNUMBER(FP86),FP86*(1+PortfolioFrontier[[#This Row],[P43 Return]]),1+PortfolioFrontier[[#This Row],[P43 Return]])</f>
        <v>1.5807017592460428</v>
      </c>
      <c r="FQ87" s="27">
        <f>MAX(FQ86,PortfolioFrontier[[#This Row],[P43 Growth]])</f>
        <v>1.6824667632825669</v>
      </c>
      <c r="FR87" s="27">
        <f>PortfolioFrontier[[#This Row],[P43 Growth]]/PortfolioFrontier[[#This Row],[P43 HWM]]-1</f>
        <v>-6.0485595470531672E-2</v>
      </c>
      <c r="FS87" s="28">
        <f>SUMPRODUCT(INDEX(PortfolioRef[[SPY]:[PE]],MATCH(FS$1,PortfolioRef[Reference '#]),0),AssetMonthlyReturns[[#This Row],[SPY]:[PE]])</f>
        <v>1.3034430228238214E-2</v>
      </c>
      <c r="FT87" s="27">
        <f>IF(ISNUMBER(FT86),FT86*(1+PortfolioFrontier[[#This Row],[P44 Return]]),1+PortfolioFrontier[[#This Row],[P44 Return]])</f>
        <v>1.6269021228219138</v>
      </c>
      <c r="FU87" s="27">
        <f>MAX(FU86,PortfolioFrontier[[#This Row],[P44 Growth]])</f>
        <v>1.7438475694471607</v>
      </c>
      <c r="FV87" s="27">
        <f>PortfolioFrontier[[#This Row],[P44 Growth]]/PortfolioFrontier[[#This Row],[P44 HWM]]-1</f>
        <v>-6.706173674475524E-2</v>
      </c>
      <c r="FW87" s="28">
        <f>SUMPRODUCT(INDEX(PortfolioRef[[SPY]:[PE]],MATCH(FW$1,PortfolioRef[Reference '#]),0),AssetMonthlyReturns[[#This Row],[SPY]:[PE]])</f>
        <v>1.3003897163133183E-2</v>
      </c>
      <c r="FX87" s="27">
        <f>IF(ISNUMBER(FX86),FX86*(1+PortfolioFrontier[[#This Row],[P45 Return]]),1+PortfolioFrontier[[#This Row],[P45 Return]])</f>
        <v>1.6234510275867768</v>
      </c>
      <c r="FY87" s="27">
        <f>MAX(FY86,PortfolioFrontier[[#This Row],[P45 Growth]])</f>
        <v>1.7108140158896465</v>
      </c>
      <c r="FZ87" s="27">
        <f>PortfolioFrontier[[#This Row],[P45 Growth]]/PortfolioFrontier[[#This Row],[P45 HWM]]-1</f>
        <v>-5.1065158159485757E-2</v>
      </c>
      <c r="GA87" s="28">
        <f>SUMPRODUCT(INDEX(PortfolioRef[[SPY]:[PE]],MATCH(GA$1,PortfolioRef[Reference '#]),0),AssetMonthlyReturns[[#This Row],[SPY]:[PE]])</f>
        <v>1.3262538240666399E-2</v>
      </c>
      <c r="GB87" s="27">
        <f>IF(ISNUMBER(GB86),GB86*(1+PortfolioFrontier[[#This Row],[P46 Return]]),1+PortfolioFrontier[[#This Row],[P46 Return]])</f>
        <v>1.6169202503804176</v>
      </c>
      <c r="GC87" s="27">
        <f>MAX(GC86,PortfolioFrontier[[#This Row],[P46 Growth]])</f>
        <v>1.7641061270089846</v>
      </c>
      <c r="GD87" s="27">
        <f>PortfolioFrontier[[#This Row],[P46 Growth]]/PortfolioFrontier[[#This Row],[P46 HWM]]-1</f>
        <v>-8.3433685975638161E-2</v>
      </c>
      <c r="GE87" s="28">
        <f>SUMPRODUCT(INDEX(PortfolioRef[[SPY]:[PE]],MATCH(GE$1,PortfolioRef[Reference '#]),0),AssetMonthlyReturns[[#This Row],[SPY]:[PE]])</f>
        <v>1.3232005175561369E-2</v>
      </c>
      <c r="GF87" s="27">
        <f>IF(ISNUMBER(GF86),GF86*(1+PortfolioFrontier[[#This Row],[P47 Return]]),1+PortfolioFrontier[[#This Row],[P47 Return]])</f>
        <v>1.6143137375967005</v>
      </c>
      <c r="GG87" s="27">
        <f>MAX(GG86,PortfolioFrontier[[#This Row],[P47 Growth]])</f>
        <v>1.7312596087544752</v>
      </c>
      <c r="GH87" s="27">
        <f>PortfolioFrontier[[#This Row],[P47 Growth]]/PortfolioFrontier[[#This Row],[P47 HWM]]-1</f>
        <v>-6.7549586767006842E-2</v>
      </c>
      <c r="GI87" s="28">
        <f>SUMPRODUCT(INDEX(PortfolioRef[[SPY]:[PE]],MATCH(GI$1,PortfolioRef[Reference '#]),0),AssetMonthlyReturns[[#This Row],[SPY]:[PE]])</f>
        <v>1.3201472110456337E-2</v>
      </c>
      <c r="GJ87" s="27">
        <f>IF(ISNUMBER(GJ86),GJ86*(1+PortfolioFrontier[[#This Row],[P48 Return]]),1+PortfolioFrontier[[#This Row],[P48 Return]])</f>
        <v>1.6106367782932574</v>
      </c>
      <c r="GK87" s="27">
        <f>MAX(GK86,PortfolioFrontier[[#This Row],[P48 Growth]])</f>
        <v>1.6982858835097865</v>
      </c>
      <c r="GL87" s="27">
        <f>PortfolioFrontier[[#This Row],[P48 Growth]]/PortfolioFrontier[[#This Row],[P48 HWM]]-1</f>
        <v>-5.1610336085104791E-2</v>
      </c>
      <c r="GM87" s="28">
        <f>SUMPRODUCT(INDEX(PortfolioRef[[SPY]:[PE]],MATCH(GM$1,PortfolioRef[Reference '#]),0),AssetMonthlyReturns[[#This Row],[SPY]:[PE]])</f>
        <v>1.3490646253094584E-2</v>
      </c>
      <c r="GN87" s="27">
        <f>IF(ISNUMBER(GN86),GN86*(1+PortfolioFrontier[[#This Row],[P49 Return]]),1+PortfolioFrontier[[#This Row],[P49 Return]])</f>
        <v>1.6058440348158298</v>
      </c>
      <c r="GO87" s="27">
        <f>MAX(GO86,PortfolioFrontier[[#This Row],[P49 Growth]])</f>
        <v>1.7836571071341945</v>
      </c>
      <c r="GP87" s="27">
        <f>PortfolioFrontier[[#This Row],[P49 Growth]]/PortfolioFrontier[[#This Row],[P49 HWM]]-1</f>
        <v>-9.9690165563300015E-2</v>
      </c>
      <c r="GQ87" s="28">
        <f>SUMPRODUCT(INDEX(PortfolioRef[[SPY]:[PE]],MATCH(GQ$1,PortfolioRef[Reference '#]),0),AssetMonthlyReturns[[#This Row],[SPY]:[PE]])</f>
        <v>1.3460113187989552E-2</v>
      </c>
      <c r="GR87" s="27">
        <f>IF(ISNUMBER(GR86),GR86*(1+PortfolioFrontier[[#This Row],[P50 Return]]),1+PortfolioFrontier[[#This Row],[P50 Return]])</f>
        <v>1.6040781115771734</v>
      </c>
      <c r="GS87" s="27">
        <f>MAX(GS86,PortfolioFrontier[[#This Row],[P50 Growth]])</f>
        <v>1.7510275614895194</v>
      </c>
      <c r="GT87" s="27">
        <f>PortfolioFrontier[[#This Row],[P50 Growth]]/PortfolioFrontier[[#This Row],[P50 HWM]]-1</f>
        <v>-8.3921837179617431E-2</v>
      </c>
      <c r="GU87" s="28">
        <f>SUMPRODUCT(INDEX(PortfolioRef[[SPY]:[PE]],MATCH(GU$1,PortfolioRef[Reference '#]),0),AssetMonthlyReturns[[#This Row],[SPY]:[PE]])</f>
        <v>1.3429580122884522E-2</v>
      </c>
      <c r="GV87" s="27">
        <f>IF(ISNUMBER(GV86),GV86*(1+PortfolioFrontier[[#This Row],[P51 Return]]),1+PortfolioFrontier[[#This Row],[P51 Return]])</f>
        <v>1.6012409801166505</v>
      </c>
      <c r="GW87" s="27">
        <f>MAX(GW86,PortfolioFrontier[[#This Row],[P51 Growth]])</f>
        <v>1.7182435242855478</v>
      </c>
      <c r="GX87" s="27">
        <f>PortfolioFrontier[[#This Row],[P51 Growth]]/PortfolioFrontier[[#This Row],[P51 HWM]]-1</f>
        <v>-6.809427331760054E-2</v>
      </c>
      <c r="GY87" s="28">
        <f>SUMPRODUCT(INDEX(PortfolioRef[[SPY]:[PE]],MATCH(GY$1,PortfolioRef[Reference '#]),0),AssetMonthlyReturns[[#This Row],[SPY]:[PE]])</f>
        <v>1.341221480914335E-2</v>
      </c>
      <c r="GZ87" s="27">
        <f>IF(ISNUMBER(GZ86),GZ86*(1+PortfolioFrontier[[#This Row],[P52 Return]]),1+PortfolioFrontier[[#This Row],[P52 Return]])</f>
        <v>1.6470661791204182</v>
      </c>
      <c r="HA87" s="27">
        <f>MAX(HA86,PortfolioFrontier[[#This Row],[P52 Growth]])</f>
        <v>1.7802031417261526</v>
      </c>
      <c r="HB87" s="27">
        <f>PortfolioFrontier[[#This Row],[P52 Growth]]/PortfolioFrontier[[#This Row],[P52 HWM]]-1</f>
        <v>-7.4787511315500654E-2</v>
      </c>
      <c r="HC87" s="28">
        <f>SUMPRODUCT(INDEX(PortfolioRef[[SPY]:[PE]],MATCH(HC$1,PortfolioRef[Reference '#]),0),AssetMonthlyReturns[[#This Row],[SPY]:[PE]])</f>
        <v>1.338168174403832E-2</v>
      </c>
      <c r="HD87" s="27">
        <f>IF(ISNUMBER(HD86),HD86*(1+PortfolioFrontier[[#This Row],[P53 Return]]),1+PortfolioFrontier[[#This Row],[P53 Return]])</f>
        <v>1.6444457187877659</v>
      </c>
      <c r="HE87" s="27">
        <f>MAX(HE86,PortfolioFrontier[[#This Row],[P53 Growth]])</f>
        <v>1.7471238825308339</v>
      </c>
      <c r="HF87" s="27">
        <f>PortfolioFrontier[[#This Row],[P53 Growth]]/PortfolioFrontier[[#This Row],[P53 HWM]]-1</f>
        <v>-5.8769824378069546E-2</v>
      </c>
      <c r="HG87" s="28">
        <f>SUMPRODUCT(INDEX(PortfolioRef[[SPY]:[PE]],MATCH(HG$1,PortfolioRef[Reference '#]),0),AssetMonthlyReturns[[#This Row],[SPY]:[PE]])</f>
        <v>1.3351148678933288E-2</v>
      </c>
      <c r="HH87" s="27">
        <f>IF(ISNUMBER(HH86),HH86*(1+PortfolioFrontier[[#This Row],[P54 Return]]),1+PortfolioFrontier[[#This Row],[P54 Return]])</f>
        <v>1.6407355061824223</v>
      </c>
      <c r="HI87" s="27">
        <f>MAX(HI86,PortfolioFrontier[[#This Row],[P54 Growth]])</f>
        <v>1.7139140104060526</v>
      </c>
      <c r="HJ87" s="27">
        <f>PortfolioFrontier[[#This Row],[P54 Growth]]/PortfolioFrontier[[#This Row],[P54 HWM]]-1</f>
        <v>-4.2696718609758766E-2</v>
      </c>
      <c r="HK87" s="28">
        <f>SUMPRODUCT(INDEX(PortfolioRef[[SPY]:[PE]],MATCH(HK$1,PortfolioRef[Reference '#]),0),AssetMonthlyReturns[[#This Row],[SPY]:[PE]])</f>
        <v>1.3640322821571536E-2</v>
      </c>
      <c r="HL87" s="27">
        <f>IF(ISNUMBER(HL86),HL86*(1+PortfolioFrontier[[#This Row],[P55 Return]]),1+PortfolioFrontier[[#This Row],[P55 Return]])</f>
        <v>1.6361582084442814</v>
      </c>
      <c r="HM87" s="27">
        <f>MAX(HM86,PortfolioFrontier[[#This Row],[P55 Growth]])</f>
        <v>1.8002459621778737</v>
      </c>
      <c r="HN87" s="27">
        <f>PortfolioFrontier[[#This Row],[P55 Growth]]/PortfolioFrontier[[#This Row],[P55 HWM]]-1</f>
        <v>-9.114740828807899E-2</v>
      </c>
      <c r="HO87" s="28">
        <f>SUMPRODUCT(INDEX(PortfolioRef[[SPY]:[PE]],MATCH(HO$1,PortfolioRef[Reference '#]),0),AssetMonthlyReturns[[#This Row],[SPY]:[PE]])</f>
        <v>1.3609789756466506E-2</v>
      </c>
      <c r="HP87" s="27">
        <f>IF(ISNUMBER(HP86),HP86*(1+PortfolioFrontier[[#This Row],[P56 Return]]),1+PortfolioFrontier[[#This Row],[P56 Return]])</f>
        <v>1.6343930576163941</v>
      </c>
      <c r="HQ87" s="27">
        <f>MAX(HQ86,PortfolioFrontier[[#This Row],[P56 Growth]])</f>
        <v>1.767380839986993</v>
      </c>
      <c r="HR87" s="27">
        <f>PortfolioFrontier[[#This Row],[P56 Growth]]/PortfolioFrontier[[#This Row],[P56 HWM]]-1</f>
        <v>-7.5245685231926429E-2</v>
      </c>
      <c r="HS87" s="28">
        <f>SUMPRODUCT(INDEX(PortfolioRef[[SPY]:[PE]],MATCH(HS$1,PortfolioRef[Reference '#]),0),AssetMonthlyReturns[[#This Row],[SPY]:[PE]])</f>
        <v>1.3579256691361473E-2</v>
      </c>
      <c r="HT87" s="27">
        <f>IF(ISNUMBER(HT86),HT86*(1+PortfolioFrontier[[#This Row],[P57 Return]]),1+PortfolioFrontier[[#This Row],[P57 Return]])</f>
        <v>1.6315371734836885</v>
      </c>
      <c r="HU87" s="27">
        <f>MAX(HU86,PortfolioFrontier[[#This Row],[P57 Growth]])</f>
        <v>1.7343575628436463</v>
      </c>
      <c r="HV87" s="27">
        <f>PortfolioFrontier[[#This Row],[P57 Growth]]/PortfolioFrontier[[#This Row],[P57 HWM]]-1</f>
        <v>-5.9284424136493374E-2</v>
      </c>
      <c r="HW87" s="28">
        <f>SUMPRODUCT(INDEX(PortfolioRef[[SPY]:[PE]],MATCH(HW$1,PortfolioRef[Reference '#]),0),AssetMonthlyReturns[[#This Row],[SPY]:[PE]])</f>
        <v>1.3868430833999723E-2</v>
      </c>
      <c r="HX87" s="27">
        <f>IF(ISNUMBER(HX86),HX86*(1+PortfolioFrontier[[#This Row],[P58 Return]]),1+PortfolioFrontier[[#This Row],[P58 Return]])</f>
        <v>1.6241495265860293</v>
      </c>
      <c r="HY87" s="27">
        <f>MAX(HY86,PortfolioFrontier[[#This Row],[P58 Growth]])</f>
        <v>1.8195487359549802</v>
      </c>
      <c r="HZ87" s="27">
        <f>PortfolioFrontier[[#This Row],[P58 Growth]]/PortfolioFrontier[[#This Row],[P58 HWM]]-1</f>
        <v>-0.10738882971793373</v>
      </c>
      <c r="IA87" s="28">
        <f>SUMPRODUCT(INDEX(PortfolioRef[[SPY]:[PE]],MATCH(IA$1,PortfolioRef[Reference '#]),0),AssetMonthlyReturns[[#This Row],[SPY]:[PE]])</f>
        <v>1.3837897768894691E-2</v>
      </c>
      <c r="IB87" s="27">
        <f>IF(ISNUMBER(IB86),IB86*(1+PortfolioFrontier[[#This Row],[P59 Return]]),1+PortfolioFrontier[[#This Row],[P59 Return]])</f>
        <v>1.6232343717165292</v>
      </c>
      <c r="IC87" s="27">
        <f>MAX(IC86,PortfolioFrontier[[#This Row],[P59 Growth]])</f>
        <v>1.7869282396294996</v>
      </c>
      <c r="ID87" s="27">
        <f>PortfolioFrontier[[#This Row],[P59 Growth]]/PortfolioFrontier[[#This Row],[P59 HWM]]-1</f>
        <v>-9.1606290774670751E-2</v>
      </c>
      <c r="IE87" s="28">
        <f>SUMPRODUCT(INDEX(PortfolioRef[[SPY]:[PE]],MATCH(IE$1,PortfolioRef[Reference '#]),0),AssetMonthlyReturns[[#This Row],[SPY]:[PE]])</f>
        <v>1.3807364703789658E-2</v>
      </c>
      <c r="IF87" s="27">
        <f>IF(ISNUMBER(IF86),IF86*(1+PortfolioFrontier[[#This Row],[P60 Return]]),1+PortfolioFrontier[[#This Row],[P60 Return]])</f>
        <v>1.6212289535161513</v>
      </c>
      <c r="IG87" s="27">
        <f>MAX(IG86,PortfolioFrontier[[#This Row],[P60 Growth]])</f>
        <v>1.7541215677111524</v>
      </c>
      <c r="IH87" s="27">
        <f>PortfolioFrontier[[#This Row],[P60 Growth]]/PortfolioFrontier[[#This Row],[P60 HWM]]-1</f>
        <v>-7.5760207639658961E-2</v>
      </c>
      <c r="II87" s="28">
        <f>SUMPRODUCT(INDEX(PortfolioRef[[SPY]:[PE]],MATCH(II$1,PortfolioRef[Reference '#]),0),AssetMonthlyReturns[[#This Row],[SPY]:[PE]])</f>
        <v>1.164616743623139E-2</v>
      </c>
      <c r="IJ87" s="27">
        <f>IF(ISNUMBER(IJ86),IJ86*(1+PortfolioFrontier[[#This Row],[P61 Return]]),1+PortfolioFrontier[[#This Row],[P61 Return]])</f>
        <v>1.4883763604304254</v>
      </c>
      <c r="IK87" s="27">
        <f>MAX(IK86,PortfolioFrontier[[#This Row],[P61 Growth]])</f>
        <v>1.6121264956964798</v>
      </c>
      <c r="IL87" s="27">
        <f>PortfolioFrontier[[#This Row],[P61 Growth]]/PortfolioFrontier[[#This Row],[P61 HWM]]-1</f>
        <v>-7.6762050370365764E-2</v>
      </c>
      <c r="IM87" s="28">
        <f>SUMPRODUCT(INDEX(PortfolioRef[[SPY]:[PE]],MATCH(IM$1,PortfolioRef[Reference '#]),0),AssetMonthlyReturns[[#This Row],[SPY]:[PE]])</f>
        <v>1.1795844004708345E-2</v>
      </c>
      <c r="IN87" s="27">
        <f>IF(ISNUMBER(IN86),IN86*(1+PortfolioFrontier[[#This Row],[P62 Return]]),1+PortfolioFrontier[[#This Row],[P62 Return]])</f>
        <v>1.5165563384804541</v>
      </c>
      <c r="IO87" s="27">
        <f>MAX(IO86,PortfolioFrontier[[#This Row],[P62 Growth]])</f>
        <v>1.6272630311124299</v>
      </c>
      <c r="IP87" s="27">
        <f>PortfolioFrontier[[#This Row],[P62 Growth]]/PortfolioFrontier[[#This Row],[P62 HWM]]-1</f>
        <v>-6.8032451125184412E-2</v>
      </c>
      <c r="IQ87" s="28">
        <f>SUMPRODUCT(INDEX(PortfolioRef[[SPY]:[PE]],MATCH(IQ$1,PortfolioRef[Reference '#]),0),AssetMonthlyReturns[[#This Row],[SPY]:[PE]])</f>
        <v>1.2023952017136529E-2</v>
      </c>
      <c r="IR87" s="27">
        <f>IF(ISNUMBER(IR86),IR86*(1+PortfolioFrontier[[#This Row],[P63 Return]]),1+PortfolioFrontier[[#This Row],[P63 Return]])</f>
        <v>1.5081767508950952</v>
      </c>
      <c r="IS87" s="27">
        <f>MAX(IS86,PortfolioFrontier[[#This Row],[P63 Growth]])</f>
        <v>1.646884909102555</v>
      </c>
      <c r="IT87" s="27">
        <f>PortfolioFrontier[[#This Row],[P63 Growth]]/PortfolioFrontier[[#This Row],[P63 HWM]]-1</f>
        <v>-8.4224560830450934E-2</v>
      </c>
      <c r="IU87" s="28">
        <f>SUMPRODUCT(INDEX(PortfolioRef[[SPY]:[PE]],MATCH(IU$1,PortfolioRef[Reference '#]),0),AssetMonthlyReturns[[#This Row],[SPY]:[PE]])</f>
        <v>1.1993418952031498E-2</v>
      </c>
      <c r="IV87" s="27">
        <f>IF(ISNUMBER(IV86),IV86*(1+PortfolioFrontier[[#This Row],[P64 Return]]),1+PortfolioFrontier[[#This Row],[P64 Return]])</f>
        <v>1.5043896886008883</v>
      </c>
      <c r="IW87" s="27">
        <f>MAX(IW86,PortfolioFrontier[[#This Row],[P64 Growth]])</f>
        <v>1.6151793879801097</v>
      </c>
      <c r="IX87" s="27">
        <f>PortfolioFrontier[[#This Row],[P64 Growth]]/PortfolioFrontier[[#This Row],[P64 HWM]]-1</f>
        <v>-6.8592814026540716E-2</v>
      </c>
      <c r="IY87" s="28">
        <f>SUMPRODUCT(INDEX(PortfolioRef[[SPY]:[PE]],MATCH(IY$1,PortfolioRef[Reference '#]),0),AssetMonthlyReturns[[#This Row],[SPY]:[PE]])</f>
        <v>1.1945520573185297E-2</v>
      </c>
      <c r="IZ87" s="27">
        <f>IF(ISNUMBER(IZ86),IZ86*(1+PortfolioFrontier[[#This Row],[P65 Return]]),1+PortfolioFrontier[[#This Row],[P65 Return]])</f>
        <v>1.544888977994507</v>
      </c>
      <c r="JA87" s="27">
        <f>MAX(JA86,PortfolioFrontier[[#This Row],[P65 Growth]])</f>
        <v>1.6422150953060746</v>
      </c>
      <c r="JB87" s="27">
        <f>PortfolioFrontier[[#This Row],[P65 Growth]]/PortfolioFrontier[[#This Row],[P65 HWM]]-1</f>
        <v>-5.9265145954238152E-2</v>
      </c>
      <c r="JC87" s="28">
        <f>SUMPRODUCT(INDEX(PortfolioRef[[SPY]:[PE]],MATCH(JC$1,PortfolioRef[Reference '#]),0),AssetMonthlyReturns[[#This Row],[SPY]:[PE]])</f>
        <v>1.2173628585613484E-2</v>
      </c>
      <c r="JD87" s="27">
        <f>IF(ISNUMBER(JD86),JD86*(1+PortfolioFrontier[[#This Row],[P66 Return]]),1+PortfolioFrontier[[#This Row],[P66 Return]])</f>
        <v>1.5367052733539039</v>
      </c>
      <c r="JE87" s="27">
        <f>MAX(JE86,PortfolioFrontier[[#This Row],[P66 Growth]])</f>
        <v>1.6623077877531292</v>
      </c>
      <c r="JF87" s="27">
        <f>PortfolioFrontier[[#This Row],[P66 Growth]]/PortfolioFrontier[[#This Row],[P66 HWM]]-1</f>
        <v>-7.5559120473710051E-2</v>
      </c>
      <c r="JG87" s="28">
        <f>SUMPRODUCT(INDEX(PortfolioRef[[SPY]:[PE]],MATCH(JG$1,PortfolioRef[Reference '#]),0),AssetMonthlyReturns[[#This Row],[SPY]:[PE]])</f>
        <v>1.2143095520508452E-2</v>
      </c>
      <c r="JH87" s="27">
        <f>IF(ISNUMBER(JH86),JH86*(1+PortfolioFrontier[[#This Row],[P67 Return]]),1+PortfolioFrontier[[#This Row],[P67 Return]])</f>
        <v>1.5328800321295835</v>
      </c>
      <c r="JI87" s="27">
        <f>MAX(JI86,PortfolioFrontier[[#This Row],[P67 Growth]])</f>
        <v>1.6303687537292939</v>
      </c>
      <c r="JJ87" s="27">
        <f>PortfolioFrontier[[#This Row],[P67 Growth]]/PortfolioFrontier[[#This Row],[P67 HWM]]-1</f>
        <v>-5.9795504162304058E-2</v>
      </c>
      <c r="JK87" s="28">
        <f>SUMPRODUCT(INDEX(PortfolioRef[[SPY]:[PE]],MATCH(JK$1,PortfolioRef[Reference '#]),0),AssetMonthlyReturns[[#This Row],[SPY]:[PE]])</f>
        <v>1.2401736598041667E-2</v>
      </c>
      <c r="JL87" s="27">
        <f>IF(ISNUMBER(JL86),JL86*(1+PortfolioFrontier[[#This Row],[P68 Return]]),1+PortfolioFrontier[[#This Row],[P68 Return]])</f>
        <v>1.5274711418271876</v>
      </c>
      <c r="JM87" s="27">
        <f>MAX(JM86,PortfolioFrontier[[#This Row],[P68 Growth]])</f>
        <v>1.6817622542850994</v>
      </c>
      <c r="JN87" s="27">
        <f>PortfolioFrontier[[#This Row],[P68 Growth]]/PortfolioFrontier[[#This Row],[P68 HWM]]-1</f>
        <v>-9.1743712326032401E-2</v>
      </c>
      <c r="JO87" s="28">
        <f>SUMPRODUCT(INDEX(PortfolioRef[[SPY]:[PE]],MATCH(JO$1,PortfolioRef[Reference '#]),0),AssetMonthlyReturns[[#This Row],[SPY]:[PE]])</f>
        <v>1.2371203532936637E-2</v>
      </c>
      <c r="JP87" s="27">
        <f>IF(ISNUMBER(JP86),JP86*(1+PortfolioFrontier[[#This Row],[P69 Return]]),1+PortfolioFrontier[[#This Row],[P69 Return]])</f>
        <v>1.524444539410639</v>
      </c>
      <c r="JQ87" s="27">
        <f>MAX(JQ86,PortfolioFrontier[[#This Row],[P69 Growth]])</f>
        <v>1.6499912107010917</v>
      </c>
      <c r="JR87" s="27">
        <f>PortfolioFrontier[[#This Row],[P69 Growth]]/PortfolioFrontier[[#This Row],[P69 HWM]]-1</f>
        <v>-7.6089297007289614E-2</v>
      </c>
      <c r="JS87" s="28">
        <f>SUMPRODUCT(INDEX(PortfolioRef[[SPY]:[PE]],MATCH(JS$1,PortfolioRef[Reference '#]),0),AssetMonthlyReturns[[#This Row],[SPY]:[PE]])</f>
        <v>1.2340670467831605E-2</v>
      </c>
      <c r="JT87" s="27">
        <f>IF(ISNUMBER(JT86),JT86*(1+PortfolioFrontier[[#This Row],[P70 Return]]),1+PortfolioFrontier[[#This Row],[P70 Return]])</f>
        <v>1.5204106847849079</v>
      </c>
      <c r="JU87" s="27">
        <f>MAX(JU86,PortfolioFrontier[[#This Row],[P70 Growth]])</f>
        <v>1.6181178918603722</v>
      </c>
      <c r="JV87" s="27">
        <f>PortfolioFrontier[[#This Row],[P70 Growth]]/PortfolioFrontier[[#This Row],[P70 HWM]]-1</f>
        <v>-6.0383243746924387E-2</v>
      </c>
      <c r="JW87" s="28">
        <f>SUMPRODUCT(INDEX(PortfolioRef[[SPY]:[PE]],MATCH(JW$1,PortfolioRef[Reference '#]),0),AssetMonthlyReturns[[#This Row],[SPY]:[PE]])</f>
        <v>1.2323305154090436E-2</v>
      </c>
      <c r="JX87" s="27">
        <f>IF(ISNUMBER(JX86),JX86*(1+PortfolioFrontier[[#This Row],[P71 Return]]),1+PortfolioFrontier[[#This Row],[P71 Return]])</f>
        <v>1.5653880154088571</v>
      </c>
      <c r="JY87" s="27">
        <f>MAX(JY86,PortfolioFrontier[[#This Row],[P71 Growth]])</f>
        <v>1.6775420819631024</v>
      </c>
      <c r="JZ87" s="27">
        <f>PortfolioFrontier[[#This Row],[P71 Growth]]/PortfolioFrontier[[#This Row],[P71 HWM]]-1</f>
        <v>-6.6856186655538163E-2</v>
      </c>
      <c r="KA87" s="28">
        <f>SUMPRODUCT(INDEX(PortfolioRef[[SPY]:[PE]],MATCH(KA$1,PortfolioRef[Reference '#]),0),AssetMonthlyReturns[[#This Row],[SPY]:[PE]])</f>
        <v>1.2292772088985405E-2</v>
      </c>
      <c r="KB87" s="27">
        <f>IF(ISNUMBER(KB86),KB86*(1+PortfolioFrontier[[#This Row],[P72 Return]]),1+PortfolioFrontier[[#This Row],[P72 Return]])</f>
        <v>1.5615251850354115</v>
      </c>
      <c r="KC87" s="27">
        <f>MAX(KC86,PortfolioFrontier[[#This Row],[P72 Growth]])</f>
        <v>1.6453738946019467</v>
      </c>
      <c r="KD87" s="27">
        <f>PortfolioFrontier[[#This Row],[P72 Growth]]/PortfolioFrontier[[#This Row],[P72 HWM]]-1</f>
        <v>-5.0960277078432759E-2</v>
      </c>
      <c r="KE87" s="28">
        <f>SUMPRODUCT(INDEX(PortfolioRef[[SPY]:[PE]],MATCH(KE$1,PortfolioRef[Reference '#]),0),AssetMonthlyReturns[[#This Row],[SPY]:[PE]])</f>
        <v>1.2551413166518621E-2</v>
      </c>
      <c r="KF87" s="27">
        <f>IF(ISNUMBER(KF86),KF86*(1+PortfolioFrontier[[#This Row],[P73 Return]]),1+PortfolioFrontier[[#This Row],[P73 Return]])</f>
        <v>1.5563384620446326</v>
      </c>
      <c r="KG87" s="27">
        <f>MAX(KG86,PortfolioFrontier[[#This Row],[P73 Growth]])</f>
        <v>1.6974712283523181</v>
      </c>
      <c r="KH87" s="27">
        <f>PortfolioFrontier[[#This Row],[P73 Growth]]/PortfolioFrontier[[#This Row],[P73 HWM]]-1</f>
        <v>-8.3142950496238321E-2</v>
      </c>
      <c r="KI87" s="28">
        <f>SUMPRODUCT(INDEX(PortfolioRef[[SPY]:[PE]],MATCH(KI$1,PortfolioRef[Reference '#]),0),AssetMonthlyReturns[[#This Row],[SPY]:[PE]])</f>
        <v>1.2520880101413591E-2</v>
      </c>
      <c r="KJ87" s="27">
        <f>IF(ISNUMBER(KJ86),KJ86*(1+PortfolioFrontier[[#This Row],[P74 Return]]),1+PortfolioFrontier[[#This Row],[P74 Return]])</f>
        <v>1.5532879963506252</v>
      </c>
      <c r="KK87" s="27">
        <f>MAX(KK86,PortfolioFrontier[[#This Row],[P74 Growth]])</f>
        <v>1.6654678920548054</v>
      </c>
      <c r="KL87" s="27">
        <f>PortfolioFrontier[[#This Row],[P74 Growth]]/PortfolioFrontier[[#This Row],[P74 HWM]]-1</f>
        <v>-6.7356384496716992E-2</v>
      </c>
      <c r="KM87" s="28">
        <f>SUMPRODUCT(INDEX(PortfolioRef[[SPY]:[PE]],MATCH(KM$1,PortfolioRef[Reference '#]),0),AssetMonthlyReturns[[#This Row],[SPY]:[PE]])</f>
        <v>1.2490347036308559E-2</v>
      </c>
      <c r="KN87" s="27">
        <f>IF(ISNUMBER(KN86),KN86*(1+PortfolioFrontier[[#This Row],[P75 Return]]),1+PortfolioFrontier[[#This Row],[P75 Return]])</f>
        <v>1.5492118430708168</v>
      </c>
      <c r="KO87" s="27">
        <f>MAX(KO86,PortfolioFrontier[[#This Row],[P75 Growth]])</f>
        <v>1.6333591346427441</v>
      </c>
      <c r="KP87" s="27">
        <f>PortfolioFrontier[[#This Row],[P75 Growth]]/PortfolioFrontier[[#This Row],[P75 HWM]]-1</f>
        <v>-5.151793612758182E-2</v>
      </c>
      <c r="KQ87" s="28">
        <f>SUMPRODUCT(INDEX(PortfolioRef[[SPY]:[PE]],MATCH(KQ$1,PortfolioRef[Reference '#]),0),AssetMonthlyReturns[[#This Row],[SPY]:[PE]])</f>
        <v>1.2779521178946806E-2</v>
      </c>
      <c r="KR87" s="27">
        <f>IF(ISNUMBER(KR86),KR86*(1+PortfolioFrontier[[#This Row],[P76 Return]]),1+PortfolioFrontier[[#This Row],[P76 Return]])</f>
        <v>1.5462303362247978</v>
      </c>
      <c r="KS87" s="27">
        <f>MAX(KS86,PortfolioFrontier[[#This Row],[P76 Growth]])</f>
        <v>1.7167314071133803</v>
      </c>
      <c r="KT87" s="27">
        <f>PortfolioFrontier[[#This Row],[P76 Growth]]/PortfolioFrontier[[#This Row],[P76 HWM]]-1</f>
        <v>-9.9317266627791057E-2</v>
      </c>
      <c r="KU87" s="28">
        <f>SUMPRODUCT(INDEX(PortfolioRef[[SPY]:[PE]],MATCH(KU$1,PortfolioRef[Reference '#]),0),AssetMonthlyReturns[[#This Row],[SPY]:[PE]])</f>
        <v>1.2748988113841774E-2</v>
      </c>
      <c r="KV87" s="27">
        <f>IF(ISNUMBER(KV86),KV86*(1+PortfolioFrontier[[#This Row],[P77 Return]]),1+PortfolioFrontier[[#This Row],[P77 Return]])</f>
        <v>1.5439892338630765</v>
      </c>
      <c r="KW87" s="27">
        <f>MAX(KW86,PortfolioFrontier[[#This Row],[P77 Growth]])</f>
        <v>1.6849217747429484</v>
      </c>
      <c r="KX87" s="27">
        <f>PortfolioFrontier[[#This Row],[P77 Growth]]/PortfolioFrontier[[#This Row],[P77 HWM]]-1</f>
        <v>-8.3643373236940044E-2</v>
      </c>
      <c r="KY87" s="28">
        <f>SUMPRODUCT(INDEX(PortfolioRef[[SPY]:[PE]],MATCH(KY$1,PortfolioRef[Reference '#]),0),AssetMonthlyReturns[[#This Row],[SPY]:[PE]])</f>
        <v>1.2718455048736744E-2</v>
      </c>
      <c r="KZ87" s="27">
        <f>IF(ISNUMBER(KZ86),KZ86*(1+PortfolioFrontier[[#This Row],[P78 Return]]),1+PortfolioFrontier[[#This Row],[P78 Return]])</f>
        <v>1.5407209088527543</v>
      </c>
      <c r="LA87" s="27">
        <f>MAX(LA86,PortfolioFrontier[[#This Row],[P78 Growth]])</f>
        <v>1.6529805725839544</v>
      </c>
      <c r="LB87" s="27">
        <f>PortfolioFrontier[[#This Row],[P78 Growth]]/PortfolioFrontier[[#This Row],[P78 HWM]]-1</f>
        <v>-6.7913480408130167E-2</v>
      </c>
      <c r="LC87" s="28">
        <f>SUMPRODUCT(INDEX(PortfolioRef[[SPY]:[PE]],MATCH(LC$1,PortfolioRef[Reference '#]),0),AssetMonthlyReturns[[#This Row],[SPY]:[PE]])</f>
        <v>1.2701089734995575E-2</v>
      </c>
      <c r="LD87" s="27">
        <f>IF(ISNUMBER(LD86),LD86*(1+PortfolioFrontier[[#This Row],[P79 Return]]),1+PortfolioFrontier[[#This Row],[P79 Return]])</f>
        <v>1.5853615062250774</v>
      </c>
      <c r="LE87" s="27">
        <f>MAX(LE86,PortfolioFrontier[[#This Row],[P79 Growth]])</f>
        <v>1.7129874860839263</v>
      </c>
      <c r="LF87" s="27">
        <f>PortfolioFrontier[[#This Row],[P79 Growth]]/PortfolioFrontier[[#This Row],[P79 HWM]]-1</f>
        <v>-7.4504910803881885E-2</v>
      </c>
      <c r="LG87" s="28">
        <f>SUMPRODUCT(INDEX(PortfolioRef[[SPY]:[PE]],MATCH(LG$1,PortfolioRef[Reference '#]),0),AssetMonthlyReturns[[#This Row],[SPY]:[PE]])</f>
        <v>1.2670556669890544E-2</v>
      </c>
      <c r="LH87" s="27">
        <f>IF(ISNUMBER(LH86),LH86*(1+PortfolioFrontier[[#This Row],[P80 Return]]),1+PortfolioFrontier[[#This Row],[P80 Return]])</f>
        <v>1.5822878463509422</v>
      </c>
      <c r="LI87" s="27">
        <f>MAX(LI86,PortfolioFrontier[[#This Row],[P80 Growth]])</f>
        <v>1.6807562405101484</v>
      </c>
      <c r="LJ87" s="27">
        <f>PortfolioFrontier[[#This Row],[P80 Growth]]/PortfolioFrontier[[#This Row],[P80 HWM]]-1</f>
        <v>-5.8585767397965283E-2</v>
      </c>
      <c r="LK87" s="28">
        <f>SUMPRODUCT(INDEX(PortfolioRef[[SPY]:[PE]],MATCH(LK$1,PortfolioRef[Reference '#]),0),AssetMonthlyReturns[[#This Row],[SPY]:[PE]])</f>
        <v>1.264002360478551E-2</v>
      </c>
      <c r="LL87" s="27">
        <f>IF(ISNUMBER(LL86),LL86*(1+PortfolioFrontier[[#This Row],[P81 Return]]),1+PortfolioFrontier[[#This Row],[P81 Return]])</f>
        <v>1.5781699729414695</v>
      </c>
      <c r="LM87" s="27">
        <f>MAX(LM86,PortfolioFrontier[[#This Row],[P81 Growth]])</f>
        <v>1.648416413491208</v>
      </c>
      <c r="LN87" s="27">
        <f>PortfolioFrontier[[#This Row],[P81 Growth]]/PortfolioFrontier[[#This Row],[P81 HWM]]-1</f>
        <v>-4.2614499573540687E-2</v>
      </c>
      <c r="LO87" s="28">
        <f>SUMPRODUCT(INDEX(PortfolioRef[[SPY]:[PE]],MATCH(LO$1,PortfolioRef[Reference '#]),0),AssetMonthlyReturns[[#This Row],[SPY]:[PE]])</f>
        <v>1.292919774742376E-2</v>
      </c>
      <c r="LP87" s="27">
        <f>IF(ISNUMBER(LP86),LP86*(1+PortfolioFrontier[[#This Row],[P82 Return]]),1+PortfolioFrontier[[#This Row],[P82 Return]])</f>
        <v>1.5754262016654266</v>
      </c>
      <c r="LQ87" s="27">
        <f>MAX(LQ86,PortfolioFrontier[[#This Row],[P82 Growth]])</f>
        <v>1.7327259878391794</v>
      </c>
      <c r="LR87" s="27">
        <f>PortfolioFrontier[[#This Row],[P82 Growth]]/PortfolioFrontier[[#This Row],[P82 HWM]]-1</f>
        <v>-9.0781685781671562E-2</v>
      </c>
      <c r="LS87" s="28">
        <f>SUMPRODUCT(INDEX(PortfolioRef[[SPY]:[PE]],MATCH(LS$1,PortfolioRef[Reference '#]),0),AssetMonthlyReturns[[#This Row],[SPY]:[PE]])</f>
        <v>1.2898664682318728E-2</v>
      </c>
      <c r="LT87" s="27">
        <f>IF(ISNUMBER(LT86),LT86*(1+PortfolioFrontier[[#This Row],[P83 Return]]),1+PortfolioFrontier[[#This Row],[P83 Return]])</f>
        <v>1.5731759723038441</v>
      </c>
      <c r="LU87" s="27">
        <f>MAX(LU86,PortfolioFrontier[[#This Row],[P83 Growth]])</f>
        <v>1.7006855237848306</v>
      </c>
      <c r="LV87" s="27">
        <f>PortfolioFrontier[[#This Row],[P83 Growth]]/PortfolioFrontier[[#This Row],[P83 HWM]]-1</f>
        <v>-7.4975384747920537E-2</v>
      </c>
      <c r="LW87" s="28">
        <f>SUMPRODUCT(INDEX(PortfolioRef[[SPY]:[PE]],MATCH(LW$1,PortfolioRef[Reference '#]),0),AssetMonthlyReturns[[#This Row],[SPY]:[PE]])</f>
        <v>1.2868131617213698E-2</v>
      </c>
      <c r="LX87" s="27">
        <f>IF(ISNUMBER(LX86),LX86*(1+PortfolioFrontier[[#This Row],[P84 Return]]),1+PortfolioFrontier[[#This Row],[P84 Return]])</f>
        <v>1.5698797695654769</v>
      </c>
      <c r="LY87" s="27">
        <f>MAX(LY86,PortfolioFrontier[[#This Row],[P84 Growth]])</f>
        <v>1.6685100840279028</v>
      </c>
      <c r="LZ87" s="27">
        <f>PortfolioFrontier[[#This Row],[P84 Growth]]/PortfolioFrontier[[#This Row],[P84 HWM]]-1</f>
        <v>-5.9112806932712814E-2</v>
      </c>
      <c r="MA87" s="28">
        <f>SUMPRODUCT(INDEX(PortfolioRef[[SPY]:[PE]],MATCH(MA$1,PortfolioRef[Reference '#]),0),AssetMonthlyReturns[[#This Row],[SPY]:[PE]])</f>
        <v>1.3157305759851945E-2</v>
      </c>
      <c r="MB87" s="27">
        <f>IF(ISNUMBER(MB86),MB86*(1+PortfolioFrontier[[#This Row],[P85 Return]]),1+PortfolioFrontier[[#This Row],[P85 Return]])</f>
        <v>1.5644252958781117</v>
      </c>
      <c r="MC87" s="27">
        <f>MAX(MC86,PortfolioFrontier[[#This Row],[P85 Growth]])</f>
        <v>1.7517641950154219</v>
      </c>
      <c r="MD87" s="27">
        <f>PortfolioFrontier[[#This Row],[P85 Growth]]/PortfolioFrontier[[#This Row],[P85 HWM]]-1</f>
        <v>-0.10694298905661836</v>
      </c>
      <c r="ME87" s="28">
        <f>SUMPRODUCT(INDEX(PortfolioRef[[SPY]:[PE]],MATCH(ME$1,PortfolioRef[Reference '#]),0),AssetMonthlyReturns[[#This Row],[SPY]:[PE]])</f>
        <v>1.3126772694746913E-2</v>
      </c>
      <c r="MF87" s="27">
        <f>IF(ISNUMBER(MF86),MF86*(1+PortfolioFrontier[[#This Row],[P86 Return]]),1+PortfolioFrontier[[#This Row],[P86 Return]])</f>
        <v>1.5629942361958651</v>
      </c>
      <c r="MG87" s="27">
        <f>MAX(MG86,PortfolioFrontier[[#This Row],[P86 Growth]])</f>
        <v>1.7199439154573082</v>
      </c>
      <c r="MH87" s="27">
        <f>PortfolioFrontier[[#This Row],[P86 Growth]]/PortfolioFrontier[[#This Row],[P86 HWM]]-1</f>
        <v>-9.1252789030456527E-2</v>
      </c>
      <c r="MI87" s="28">
        <f>SUMPRODUCT(INDEX(PortfolioRef[[SPY]:[PE]],MATCH(MI$1,PortfolioRef[Reference '#]),0),AssetMonthlyReturns[[#This Row],[SPY]:[PE]])</f>
        <v>1.3096239629641879E-2</v>
      </c>
      <c r="MJ87" s="27">
        <f>IF(ISNUMBER(MJ86),MJ86*(1+PortfolioFrontier[[#This Row],[P87 Return]]),1+PortfolioFrontier[[#This Row],[P87 Return]])</f>
        <v>1.5605168373388143</v>
      </c>
      <c r="MK87" s="27">
        <f>MAX(MK86,PortfolioFrontier[[#This Row],[P87 Growth]])</f>
        <v>1.6879617873128629</v>
      </c>
      <c r="ML87" s="27">
        <f>PortfolioFrontier[[#This Row],[P87 Growth]]/PortfolioFrontier[[#This Row],[P87 HWM]]-1</f>
        <v>-7.5502271989778658E-2</v>
      </c>
      <c r="MM87" s="28">
        <f>SUMPRODUCT(INDEX(PortfolioRef[[SPY]:[PE]],MATCH(MM$1,PortfolioRef[Reference '#]),0),AssetMonthlyReturns[[#This Row],[SPY]:[PE]])</f>
        <v>1.3078874315900713E-2</v>
      </c>
      <c r="MN87" s="27">
        <f>IF(ISNUMBER(MN86),MN86*(1+PortfolioFrontier[[#This Row],[P88 Return]]),1+PortfolioFrontier[[#This Row],[P88 Return]])</f>
        <v>1.6047792395640441</v>
      </c>
      <c r="MO87" s="27">
        <f>MAX(MO86,PortfolioFrontier[[#This Row],[P88 Growth]])</f>
        <v>1.7485237047822844</v>
      </c>
      <c r="MP87" s="27">
        <f>PortfolioFrontier[[#This Row],[P88 Growth]]/PortfolioFrontier[[#This Row],[P88 HWM]]-1</f>
        <v>-8.220904573675103E-2</v>
      </c>
      <c r="MQ87" s="28">
        <f>SUMPRODUCT(INDEX(PortfolioRef[[SPY]:[PE]],MATCH(MQ$1,PortfolioRef[Reference '#]),0),AssetMonthlyReturns[[#This Row],[SPY]:[PE]])</f>
        <v>1.3048341250795683E-2</v>
      </c>
      <c r="MR87" s="27">
        <f>IF(ISNUMBER(MR86),MR86*(1+PortfolioFrontier[[#This Row],[P89 Return]]),1+PortfolioFrontier[[#This Row],[P89 Return]])</f>
        <v>1.6025206330496189</v>
      </c>
      <c r="MS87" s="27">
        <f>MAX(MS86,PortfolioFrontier[[#This Row],[P89 Growth]])</f>
        <v>1.7162568132506029</v>
      </c>
      <c r="MT87" s="27">
        <f>PortfolioFrontier[[#This Row],[P89 Growth]]/PortfolioFrontier[[#This Row],[P89 HWM]]-1</f>
        <v>-6.6269907465402511E-2</v>
      </c>
      <c r="MU87" s="28">
        <f>SUMPRODUCT(INDEX(PortfolioRef[[SPY]:[PE]],MATCH(MU$1,PortfolioRef[Reference '#]),0),AssetMonthlyReturns[[#This Row],[SPY]:[PE]])</f>
        <v>1.3017808185690649E-2</v>
      </c>
      <c r="MV87" s="27">
        <f>IF(ISNUMBER(MV86),MV86*(1+PortfolioFrontier[[#This Row],[P90 Return]]),1+PortfolioFrontier[[#This Row],[P90 Return]])</f>
        <v>1.5991972113337762</v>
      </c>
      <c r="MW87" s="27">
        <f>MAX(MW86,PortfolioFrontier[[#This Row],[P90 Growth]])</f>
        <v>1.6838515290273213</v>
      </c>
      <c r="MX87" s="27">
        <f>PortfolioFrontier[[#This Row],[P90 Growth]]/PortfolioFrontier[[#This Row],[P90 HWM]]-1</f>
        <v>-5.0274217313236447E-2</v>
      </c>
      <c r="MY87" s="28">
        <f>SUMPRODUCT(INDEX(PortfolioRef[[SPY]:[PE]],MATCH(MY$1,PortfolioRef[Reference '#]),0),AssetMonthlyReturns[[#This Row],[SPY]:[PE]])</f>
        <v>1.3306982328328899E-2</v>
      </c>
      <c r="MZ87" s="27">
        <f>IF(ISNUMBER(MZ86),MZ86*(1+PortfolioFrontier[[#This Row],[P91 Return]]),1+PortfolioFrontier[[#This Row],[P91 Return]])</f>
        <v>1.5939389522620064</v>
      </c>
      <c r="NA87" s="27">
        <f>MAX(NA86,PortfolioFrontier[[#This Row],[P91 Growth]])</f>
        <v>1.7680436458517257</v>
      </c>
      <c r="NB87" s="27">
        <f>PortfolioFrontier[[#This Row],[P91 Growth]]/PortfolioFrontier[[#This Row],[P91 HWM]]-1</f>
        <v>-9.8473074461828181E-2</v>
      </c>
      <c r="NC87" s="28">
        <f>SUMPRODUCT(INDEX(PortfolioRef[[SPY]:[PE]],MATCH(NC$1,PortfolioRef[Reference '#]),0),AssetMonthlyReturns[[#This Row],[SPY]:[PE]])</f>
        <v>1.3276449263223867E-2</v>
      </c>
      <c r="ND87" s="27">
        <f>IF(ISNUMBER(ND86),ND86*(1+PortfolioFrontier[[#This Row],[P92 Return]]),1+PortfolioFrontier[[#This Row],[P92 Return]])</f>
        <v>1.5925139123524803</v>
      </c>
      <c r="NE87" s="27">
        <f>MAX(NE86,PortfolioFrontier[[#This Row],[P92 Growth]])</f>
        <v>1.73599424265744</v>
      </c>
      <c r="NF87" s="27">
        <f>PortfolioFrontier[[#This Row],[P92 Growth]]/PortfolioFrontier[[#This Row],[P92 HWM]]-1</f>
        <v>-8.2650233957758723E-2</v>
      </c>
      <c r="NG87" s="28">
        <f>SUMPRODUCT(INDEX(PortfolioRef[[SPY]:[PE]],MATCH(NG$1,PortfolioRef[Reference '#]),0),AssetMonthlyReturns[[#This Row],[SPY]:[PE]])</f>
        <v>1.3245916198118834E-2</v>
      </c>
      <c r="NH87" s="27">
        <f>IF(ISNUMBER(NH86),NH86*(1+PortfolioFrontier[[#This Row],[P93 Return]]),1+PortfolioFrontier[[#This Row],[P93 Return]])</f>
        <v>1.5900234835070834</v>
      </c>
      <c r="NI87" s="27">
        <f>MAX(NI86,PortfolioFrontier[[#This Row],[P93 Growth]])</f>
        <v>1.7037793193389816</v>
      </c>
      <c r="NJ87" s="27">
        <f>PortfolioFrontier[[#This Row],[P93 Growth]]/PortfolioFrontier[[#This Row],[P93 HWM]]-1</f>
        <v>-6.6766766411997636E-2</v>
      </c>
      <c r="NK87" s="28">
        <f>SUMPRODUCT(INDEX(PortfolioRef[[SPY]:[PE]],MATCH(NK$1,PortfolioRef[Reference '#]),0),AssetMonthlyReturns[[#This Row],[SPY]:[PE]])</f>
        <v>1.3535090340757084E-2</v>
      </c>
      <c r="NL87" s="27">
        <f>IF(ISNUMBER(NL86),NL86*(1+PortfolioFrontier[[#This Row],[P94 Return]]),1+PortfolioFrontier[[#This Row],[P94 Return]])</f>
        <v>1.5820271960853731</v>
      </c>
      <c r="NM87" s="27">
        <f>MAX(NM86,PortfolioFrontier[[#This Row],[P94 Growth]])</f>
        <v>1.7868313973018393</v>
      </c>
      <c r="NN87" s="27">
        <f>PortfolioFrontier[[#This Row],[P94 Growth]]/PortfolioFrontier[[#This Row],[P94 HWM]]-1</f>
        <v>-0.11461864926132692</v>
      </c>
      <c r="NO87" s="28">
        <f>SUMPRODUCT(INDEX(PortfolioRef[[SPY]:[PE]],MATCH(NO$1,PortfolioRef[Reference '#]),0),AssetMonthlyReturns[[#This Row],[SPY]:[PE]])</f>
        <v>1.3504557275652052E-2</v>
      </c>
      <c r="NP87" s="27">
        <f>IF(ISNUMBER(NP86),NP86*(1+PortfolioFrontier[[#This Row],[P95 Return]]),1+PortfolioFrontier[[#This Row],[P95 Return]])</f>
        <v>1.5814301683784269</v>
      </c>
      <c r="NQ87" s="27">
        <f>MAX(NQ86,PortfolioFrontier[[#This Row],[P95 Growth]])</f>
        <v>1.7550294195356591</v>
      </c>
      <c r="NR87" s="27">
        <f>PortfolioFrontier[[#This Row],[P95 Growth]]/PortfolioFrontier[[#This Row],[P95 HWM]]-1</f>
        <v>-9.8915294082741134E-2</v>
      </c>
      <c r="NS87" s="28">
        <f>SUMPRODUCT(INDEX(PortfolioRef[[SPY]:[PE]],MATCH(NS$1,PortfolioRef[Reference '#]),0),AssetMonthlyReturns[[#This Row],[SPY]:[PE]])</f>
        <v>1.3474024210547018E-2</v>
      </c>
      <c r="NT87" s="27">
        <f>IF(ISNUMBER(NT86),NT86*(1+PortfolioFrontier[[#This Row],[P96 Return]]),1+PortfolioFrontier[[#This Row],[P96 Return]])</f>
        <v>1.5797685948787157</v>
      </c>
      <c r="NU87" s="27">
        <f>MAX(NU86,PortfolioFrontier[[#This Row],[P96 Growth]])</f>
        <v>1.7230343324336159</v>
      </c>
      <c r="NV87" s="27">
        <f>PortfolioFrontier[[#This Row],[P96 Growth]]/PortfolioFrontier[[#This Row],[P96 HWM]]-1</f>
        <v>-8.3147349334909415E-2</v>
      </c>
      <c r="NW87" s="28">
        <f>SUMPRODUCT(INDEX(PortfolioRef[[SPY]:[PE]],MATCH(NW$1,PortfolioRef[Reference '#]),0),AssetMonthlyReturns[[#This Row],[SPY]:[PE]])</f>
        <v>1.0935042362083612E-2</v>
      </c>
      <c r="NX87" s="27">
        <f>IF(ISNUMBER(NX86),NX86*(1+PortfolioFrontier[[#This Row],[P97 Return]]),1+PortfolioFrontier[[#This Row],[P97 Return]])</f>
        <v>1.430949809884176</v>
      </c>
      <c r="NY87" s="27">
        <f>MAX(NY86,PortfolioFrontier[[#This Row],[P97 Growth]])</f>
        <v>1.5498139523617234</v>
      </c>
      <c r="NZ87" s="27">
        <f>PortfolioFrontier[[#This Row],[P97 Growth]]/PortfolioFrontier[[#This Row],[P97 HWM]]-1</f>
        <v>-7.6695749381022971E-2</v>
      </c>
      <c r="OA87" s="28">
        <f>SUMPRODUCT(INDEX(PortfolioRef[[SPY]:[PE]],MATCH(OA$1,PortfolioRef[Reference '#]),0),AssetMonthlyReturns[[#This Row],[SPY]:[PE]])</f>
        <v>1.1084718930560566E-2</v>
      </c>
      <c r="OB87" s="27">
        <f>IF(ISNUMBER(OB86),OB86*(1+PortfolioFrontier[[#This Row],[P98 Return]]),1+PortfolioFrontier[[#This Row],[P98 Return]])</f>
        <v>1.4580502795919195</v>
      </c>
      <c r="OC87" s="27">
        <f>MAX(OC86,PortfolioFrontier[[#This Row],[P98 Growth]])</f>
        <v>1.5643918723292729</v>
      </c>
      <c r="OD87" s="27">
        <f>PortfolioFrontier[[#This Row],[P98 Growth]]/PortfolioFrontier[[#This Row],[P98 HWM]]-1</f>
        <v>-6.7976313747410422E-2</v>
      </c>
      <c r="OE87" s="28">
        <f>SUMPRODUCT(INDEX(PortfolioRef[[SPY]:[PE]],MATCH(OE$1,PortfolioRef[Reference '#]),0),AssetMonthlyReturns[[#This Row],[SPY]:[PE]])</f>
        <v>1.1312826942988751E-2</v>
      </c>
      <c r="OF87" s="27">
        <f>IF(ISNUMBER(OF86),OF86*(1+PortfolioFrontier[[#This Row],[P99 Return]]),1+PortfolioFrontier[[#This Row],[P99 Return]])</f>
        <v>1.4505072888265602</v>
      </c>
      <c r="OG87" s="27">
        <f>MAX(OG86,PortfolioFrontier[[#This Row],[P99 Growth]])</f>
        <v>1.5836627563813395</v>
      </c>
      <c r="OH87" s="27">
        <f>PortfolioFrontier[[#This Row],[P99 Growth]]/PortfolioFrontier[[#This Row],[P99 HWM]]-1</f>
        <v>-8.4080696485556494E-2</v>
      </c>
      <c r="OI87" s="28">
        <f>SUMPRODUCT(INDEX(PortfolioRef[[SPY]:[PE]],MATCH(OI$1,PortfolioRef[Reference '#]),0),AssetMonthlyReturns[[#This Row],[SPY]:[PE]])</f>
        <v>1.1282293877883719E-2</v>
      </c>
      <c r="OJ87" s="27">
        <f>IF(ISNUMBER(OJ86),OJ86*(1+PortfolioFrontier[[#This Row],[P100 Return]]),1+PortfolioFrontier[[#This Row],[P100 Return]])</f>
        <v>1.4463630678825192</v>
      </c>
      <c r="OK87" s="27">
        <f>MAX(OK86,PortfolioFrontier[[#This Row],[P100 Growth]])</f>
        <v>1.5528062347399851</v>
      </c>
      <c r="OL87" s="27">
        <f>PortfolioFrontier[[#This Row],[P100 Growth]]/PortfolioFrontier[[#This Row],[P100 HWM]]-1</f>
        <v>-6.8548904864031313E-2</v>
      </c>
      <c r="OM87" s="28">
        <f>SUMPRODUCT(INDEX(PortfolioRef[[SPY]:[PE]],MATCH(OM$1,PortfolioRef[Reference '#]),0),AssetMonthlyReturns[[#This Row],[SPY]:[PE]])</f>
        <v>1.1234395499037519E-2</v>
      </c>
      <c r="ON87" s="27">
        <f>IF(ISNUMBER(ON86),ON86*(1+PortfolioFrontier[[#This Row],[P101 Return]]),1+PortfolioFrontier[[#This Row],[P101 Return]])</f>
        <v>1.48529705531806</v>
      </c>
      <c r="OO87" s="27">
        <f>MAX(OO86,PortfolioFrontier[[#This Row],[P101 Growth]])</f>
        <v>1.5787921813488919</v>
      </c>
      <c r="OP87" s="27">
        <f>PortfolioFrontier[[#This Row],[P101 Growth]]/PortfolioFrontier[[#This Row],[P101 HWM]]-1</f>
        <v>-5.9219400206904527E-2</v>
      </c>
      <c r="OQ87" s="28">
        <f>SUMPRODUCT(INDEX(PortfolioRef[[SPY]:[PE]],MATCH(OQ$1,PortfolioRef[Reference '#]),0),AssetMonthlyReturns[[#This Row],[SPY]:[PE]])</f>
        <v>1.1462503511465705E-2</v>
      </c>
      <c r="OR87" s="27">
        <f>IF(ISNUMBER(OR86),OR86*(1+PortfolioFrontier[[#This Row],[P102 Return]]),1+PortfolioFrontier[[#This Row],[P102 Return]])</f>
        <v>1.4779525453313913</v>
      </c>
      <c r="OS87" s="27">
        <f>MAX(OS86,PortfolioFrontier[[#This Row],[P102 Growth]])</f>
        <v>1.5985203886251573</v>
      </c>
      <c r="OT87" s="27">
        <f>PortfolioFrontier[[#This Row],[P102 Growth]]/PortfolioFrontier[[#This Row],[P102 HWM]]-1</f>
        <v>-7.5424651541331378E-2</v>
      </c>
      <c r="OU87" s="28">
        <f>SUMPRODUCT(INDEX(PortfolioRef[[SPY]:[PE]],MATCH(OU$1,PortfolioRef[Reference '#]),0),AssetMonthlyReturns[[#This Row],[SPY]:[PE]])</f>
        <v>1.1431970446360674E-2</v>
      </c>
      <c r="OV87" s="27">
        <f>IF(ISNUMBER(OV86),OV86*(1+PortfolioFrontier[[#This Row],[P103 Return]]),1+PortfolioFrontier[[#This Row],[P103 Return]])</f>
        <v>1.4737624115999812</v>
      </c>
      <c r="OW87" s="27">
        <f>MAX(OW86,PortfolioFrontier[[#This Row],[P103 Growth]])</f>
        <v>1.5674355228105428</v>
      </c>
      <c r="OX87" s="27">
        <f>PortfolioFrontier[[#This Row],[P103 Growth]]/PortfolioFrontier[[#This Row],[P103 HWM]]-1</f>
        <v>-5.9762018818227292E-2</v>
      </c>
      <c r="OY87" s="28">
        <f>SUMPRODUCT(INDEX(PortfolioRef[[SPY]:[PE]],MATCH(OY$1,PortfolioRef[Reference '#]),0),AssetMonthlyReturns[[#This Row],[SPY]:[PE]])</f>
        <v>1.169061152389389E-2</v>
      </c>
      <c r="OZ87" s="27">
        <f>IF(ISNUMBER(OZ86),OZ86*(1+PortfolioFrontier[[#This Row],[P104 Return]]),1+PortfolioFrontier[[#This Row],[P104 Return]])</f>
        <v>1.4695935129509636</v>
      </c>
      <c r="PA87" s="27">
        <f>MAX(PA86,PortfolioFrontier[[#This Row],[P104 Growth]])</f>
        <v>1.6176462594840681</v>
      </c>
      <c r="PB87" s="27">
        <f>PortfolioFrontier[[#This Row],[P104 Growth]]/PortfolioFrontier[[#This Row],[P104 HWM]]-1</f>
        <v>-9.152356126383554E-2</v>
      </c>
      <c r="PC87" s="28">
        <f>SUMPRODUCT(INDEX(PortfolioRef[[SPY]:[PE]],MATCH(PC$1,PortfolioRef[Reference '#]),0),AssetMonthlyReturns[[#This Row],[SPY]:[PE]])</f>
        <v>1.1660078458788858E-2</v>
      </c>
      <c r="PD87" s="27">
        <f>IF(ISNUMBER(PD86),PD86*(1+PortfolioFrontier[[#This Row],[P105 Return]]),1+PortfolioFrontier[[#This Row],[P105 Return]])</f>
        <v>1.4661710345172885</v>
      </c>
      <c r="PE87" s="27">
        <f>MAX(PE86,PortfolioFrontier[[#This Row],[P105 Growth]])</f>
        <v>1.5867085542337835</v>
      </c>
      <c r="PF87" s="27">
        <f>PortfolioFrontier[[#This Row],[P105 Growth]]/PortfolioFrontier[[#This Row],[P105 HWM]]-1</f>
        <v>-7.5967019522814816E-2</v>
      </c>
      <c r="PG87" s="28">
        <f>SUMPRODUCT(INDEX(PortfolioRef[[SPY]:[PE]],MATCH(PG$1,PortfolioRef[Reference '#]),0),AssetMonthlyReturns[[#This Row],[SPY]:[PE]])</f>
        <v>1.1629545393683827E-2</v>
      </c>
      <c r="PH87" s="27">
        <f>IF(ISNUMBER(PH86),PH86*(1+PortfolioFrontier[[#This Row],[P106 Return]]),1+PortfolioFrontier[[#This Row],[P106 Return]])</f>
        <v>1.4617841448741193</v>
      </c>
      <c r="PI87" s="27">
        <f>MAX(PI86,PortfolioFrontier[[#This Row],[P106 Growth]])</f>
        <v>1.5556887430167754</v>
      </c>
      <c r="PJ87" s="27">
        <f>PortfolioFrontier[[#This Row],[P106 Growth]]/PortfolioFrontier[[#This Row],[P106 HWM]]-1</f>
        <v>-6.0362073431576846E-2</v>
      </c>
      <c r="PK87" s="28">
        <f>SUMPRODUCT(INDEX(PortfolioRef[[SPY]:[PE]],MATCH(PK$1,PortfolioRef[Reference '#]),0),AssetMonthlyReturns[[#This Row],[SPY]:[PE]])</f>
        <v>1.1612180079942658E-2</v>
      </c>
      <c r="PL87" s="27">
        <f>IF(ISNUMBER(PL86),PL86*(1+PortfolioFrontier[[#This Row],[P107 Return]]),1+PortfolioFrontier[[#This Row],[P107 Return]])</f>
        <v>1.5055456497547253</v>
      </c>
      <c r="PM87" s="27">
        <f>MAX(PM86,PortfolioFrontier[[#This Row],[P107 Growth]])</f>
        <v>1.6131964012798079</v>
      </c>
      <c r="PN87" s="27">
        <f>PortfolioFrontier[[#This Row],[P107 Growth]]/PortfolioFrontier[[#This Row],[P107 HWM]]-1</f>
        <v>-6.6731336271069863E-2</v>
      </c>
      <c r="PO87" s="28">
        <f>SUMPRODUCT(INDEX(PortfolioRef[[SPY]:[PE]],MATCH(PO$1,PortfolioRef[Reference '#]),0),AssetMonthlyReturns[[#This Row],[SPY]:[PE]])</f>
        <v>1.1581647014837626E-2</v>
      </c>
      <c r="PP87" s="27">
        <f>IF(ISNUMBER(PP86),PP86*(1+PortfolioFrontier[[#This Row],[P108 Return]]),1+PortfolioFrontier[[#This Row],[P108 Return]])</f>
        <v>1.5013101264752542</v>
      </c>
      <c r="PQ87" s="27">
        <f>MAX(PQ86,PortfolioFrontier[[#This Row],[P108 Growth]])</f>
        <v>1.5818874318633449</v>
      </c>
      <c r="PR87" s="27">
        <f>PortfolioFrontier[[#This Row],[P108 Growth]]/PortfolioFrontier[[#This Row],[P108 HWM]]-1</f>
        <v>-5.0937445841627738E-2</v>
      </c>
      <c r="PS87" s="28">
        <f>SUMPRODUCT(INDEX(PortfolioRef[[SPY]:[PE]],MATCH(PS$1,PortfolioRef[Reference '#]),0),AssetMonthlyReturns[[#This Row],[SPY]:[PE]])</f>
        <v>1.1840288092370843E-2</v>
      </c>
      <c r="PT87" s="27">
        <f>IF(ISNUMBER(PT86),PT86*(1+PortfolioFrontier[[#This Row],[P109 Return]]),1+PortfolioFrontier[[#This Row],[P109 Return]])</f>
        <v>1.4973744446899198</v>
      </c>
      <c r="PU87" s="27">
        <f>MAX(PU86,PortfolioFrontier[[#This Row],[P109 Growth]])</f>
        <v>1.6327835279326679</v>
      </c>
      <c r="PV87" s="27">
        <f>PortfolioFrontier[[#This Row],[P109 Growth]]/PortfolioFrontier[[#This Row],[P109 HWM]]-1</f>
        <v>-8.2931436363885225E-2</v>
      </c>
      <c r="PW87" s="28">
        <f>SUMPRODUCT(INDEX(PortfolioRef[[SPY]:[PE]],MATCH(PW$1,PortfolioRef[Reference '#]),0),AssetMonthlyReturns[[#This Row],[SPY]:[PE]])</f>
        <v>1.1809755027265813E-2</v>
      </c>
      <c r="PX87" s="27">
        <f>IF(ISNUMBER(PX86),PX86*(1+PortfolioFrontier[[#This Row],[P110 Return]]),1+PortfolioFrontier[[#This Row],[P110 Return]])</f>
        <v>1.4939196692316603</v>
      </c>
      <c r="PY87" s="27">
        <f>MAX(PY86,PortfolioFrontier[[#This Row],[P110 Growth]])</f>
        <v>1.6016185143364081</v>
      </c>
      <c r="PZ87" s="27">
        <f>PortfolioFrontier[[#This Row],[P110 Growth]]/PortfolioFrontier[[#This Row],[P110 HWM]]-1</f>
        <v>-6.724375632568802E-2</v>
      </c>
      <c r="QA87" s="28">
        <f>SUMPRODUCT(INDEX(PortfolioRef[[SPY]:[PE]],MATCH(QA$1,PortfolioRef[Reference '#]),0),AssetMonthlyReturns[[#This Row],[SPY]:[PE]])</f>
        <v>1.1779221962160781E-2</v>
      </c>
      <c r="QB87" s="27">
        <f>IF(ISNUMBER(QB86),QB86*(1+PortfolioFrontier[[#This Row],[P111 Return]]),1+PortfolioFrontier[[#This Row],[P111 Return]])</f>
        <v>1.4894828042812236</v>
      </c>
      <c r="QC87" s="27">
        <f>MAX(QC86,PortfolioFrontier[[#This Row],[P111 Growth]])</f>
        <v>1.5703684845094485</v>
      </c>
      <c r="QD87" s="27">
        <f>PortfolioFrontier[[#This Row],[P111 Growth]]/PortfolioFrontier[[#This Row],[P111 HWM]]-1</f>
        <v>-5.1507452566772582E-2</v>
      </c>
      <c r="QE87" s="28">
        <f>SUMPRODUCT(INDEX(PortfolioRef[[SPY]:[PE]],MATCH(QE$1,PortfolioRef[Reference '#]),0),AssetMonthlyReturns[[#This Row],[SPY]:[PE]])</f>
        <v>1.2068396104799027E-2</v>
      </c>
      <c r="QF87" s="27">
        <f>IF(ISNUMBER(QF86),QF86*(1+PortfolioFrontier[[#This Row],[P112 Return]]),1+PortfolioFrontier[[#This Row],[P112 Return]])</f>
        <v>1.4881800397240732</v>
      </c>
      <c r="QG87" s="27">
        <f>MAX(QG86,PortfolioFrontier[[#This Row],[P112 Growth]])</f>
        <v>1.6517386955477045</v>
      </c>
      <c r="QH87" s="27">
        <f>PortfolioFrontier[[#This Row],[P112 Growth]]/PortfolioFrontier[[#This Row],[P112 HWM]]-1</f>
        <v>-9.9022113040341697E-2</v>
      </c>
      <c r="QI87" s="28">
        <f>SUMPRODUCT(INDEX(PortfolioRef[[SPY]:[PE]],MATCH(QI$1,PortfolioRef[Reference '#]),0),AssetMonthlyReturns[[#This Row],[SPY]:[PE]])</f>
        <v>1.2037863039693997E-2</v>
      </c>
      <c r="QJ87" s="27">
        <f>IF(ISNUMBER(QJ86),QJ86*(1+PortfolioFrontier[[#This Row],[P113 Return]]),1+PortfolioFrontier[[#This Row],[P113 Return]])</f>
        <v>1.4855039327421258</v>
      </c>
      <c r="QK87" s="27">
        <f>MAX(QK86,PortfolioFrontier[[#This Row],[P113 Growth]])</f>
        <v>1.6207454292109018</v>
      </c>
      <c r="QL87" s="27">
        <f>PortfolioFrontier[[#This Row],[P113 Growth]]/PortfolioFrontier[[#This Row],[P113 HWM]]-1</f>
        <v>-8.3444009177074507E-2</v>
      </c>
      <c r="QM87" s="28">
        <f>SUMPRODUCT(INDEX(PortfolioRef[[SPY]:[PE]],MATCH(QM$1,PortfolioRef[Reference '#]),0),AssetMonthlyReturns[[#This Row],[SPY]:[PE]])</f>
        <v>1.2007329974588966E-2</v>
      </c>
      <c r="QN87" s="27">
        <f>IF(ISNUMBER(QN86),QN86*(1+PortfolioFrontier[[#This Row],[P114 Return]]),1+PortfolioFrontier[[#This Row],[P114 Return]])</f>
        <v>1.4818434918287533</v>
      </c>
      <c r="QO87" s="27">
        <f>MAX(QO86,PortfolioFrontier[[#This Row],[P114 Growth]])</f>
        <v>1.5896421022161857</v>
      </c>
      <c r="QP87" s="27">
        <f>PortfolioFrontier[[#This Row],[P114 Growth]]/PortfolioFrontier[[#This Row],[P114 HWM]]-1</f>
        <v>-6.7813132425937894E-2</v>
      </c>
      <c r="QQ87" s="28">
        <f>SUMPRODUCT(INDEX(PortfolioRef[[SPY]:[PE]],MATCH(QQ$1,PortfolioRef[Reference '#]),0),AssetMonthlyReturns[[#This Row],[SPY]:[PE]])</f>
        <v>1.1989964660847797E-2</v>
      </c>
      <c r="QR87" s="27">
        <f>IF(ISNUMBER(QR86),QR86*(1+PortfolioFrontier[[#This Row],[P115 Return]]),1+PortfolioFrontier[[#This Row],[P115 Return]])</f>
        <v>1.5253047157875976</v>
      </c>
      <c r="QS87" s="27">
        <f>MAX(QS86,PortfolioFrontier[[#This Row],[P115 Growth]])</f>
        <v>1.6477351477866757</v>
      </c>
      <c r="QT87" s="27">
        <f>PortfolioFrontier[[#This Row],[P115 Growth]]/PortfolioFrontier[[#This Row],[P115 HWM]]-1</f>
        <v>-7.4302251890137283E-2</v>
      </c>
      <c r="QU87" s="28">
        <f>SUMPRODUCT(INDEX(PortfolioRef[[SPY]:[PE]],MATCH(QU$1,PortfolioRef[Reference '#]),0),AssetMonthlyReturns[[#This Row],[SPY]:[PE]])</f>
        <v>1.1959431595742765E-2</v>
      </c>
      <c r="QV87" s="27">
        <f>IF(ISNUMBER(QV86),QV86*(1+PortfolioFrontier[[#This Row],[P116 Return]]),1+PortfolioFrontier[[#This Row],[P116 Return]])</f>
        <v>1.5218182422493061</v>
      </c>
      <c r="QW87" s="27">
        <f>MAX(QW86,PortfolioFrontier[[#This Row],[P116 Growth]])</f>
        <v>1.6163470917094751</v>
      </c>
      <c r="QX87" s="27">
        <f>PortfolioFrontier[[#This Row],[P116 Growth]]/PortfolioFrontier[[#This Row],[P116 HWM]]-1</f>
        <v>-5.8483013917631888E-2</v>
      </c>
      <c r="QY87" s="28">
        <f>SUMPRODUCT(INDEX(PortfolioRef[[SPY]:[PE]],MATCH(QY$1,PortfolioRef[Reference '#]),0),AssetMonthlyReturns[[#This Row],[SPY]:[PE]])</f>
        <v>1.1928898530637732E-2</v>
      </c>
      <c r="QZ87" s="27">
        <f>IF(ISNUMBER(QZ86),QZ86*(1+PortfolioFrontier[[#This Row],[P117 Return]]),1+PortfolioFrontier[[#This Row],[P117 Return]])</f>
        <v>1.5173319138448935</v>
      </c>
      <c r="RA87" s="27">
        <f>MAX(RA86,PortfolioFrontier[[#This Row],[P117 Growth]])</f>
        <v>1.5848710929942145</v>
      </c>
      <c r="RB87" s="27">
        <f>PortfolioFrontier[[#This Row],[P117 Growth]]/PortfolioFrontier[[#This Row],[P117 HWM]]-1</f>
        <v>-4.2614935339455706E-2</v>
      </c>
      <c r="RC87" s="28">
        <f>SUMPRODUCT(INDEX(PortfolioRef[[SPY]:[PE]],MATCH(RC$1,PortfolioRef[Reference '#]),0),AssetMonthlyReturns[[#This Row],[SPY]:[PE]])</f>
        <v>1.2218072673275982E-2</v>
      </c>
      <c r="RD87" s="27">
        <f>IF(ISNUMBER(RD86),RD86*(1+PortfolioFrontier[[#This Row],[P118 Return]]),1+PortfolioFrontier[[#This Row],[P118 Return]])</f>
        <v>1.5162870414412901</v>
      </c>
      <c r="RE87" s="27">
        <f>MAX(RE86,PortfolioFrontier[[#This Row],[P118 Growth]])</f>
        <v>1.667155293527623</v>
      </c>
      <c r="RF87" s="27">
        <f>PortfolioFrontier[[#This Row],[P118 Growth]]/PortfolioFrontier[[#This Row],[P118 HWM]]-1</f>
        <v>-9.049442044904088E-2</v>
      </c>
      <c r="RG87" s="28">
        <f>SUMPRODUCT(INDEX(PortfolioRef[[SPY]:[PE]],MATCH(RG$1,PortfolioRef[Reference '#]),0),AssetMonthlyReturns[[#This Row],[SPY]:[PE]])</f>
        <v>1.218753960817095E-2</v>
      </c>
      <c r="RH87" s="27">
        <f>IF(ISNUMBER(RH86),RH86*(1+PortfolioFrontier[[#This Row],[P119 Return]]),1+PortfolioFrontier[[#This Row],[P119 Return]])</f>
        <v>1.5135926680544158</v>
      </c>
      <c r="RI87" s="27">
        <f>MAX(RI86,PortfolioFrontier[[#This Row],[P119 Growth]])</f>
        <v>1.6359359857167841</v>
      </c>
      <c r="RJ87" s="27">
        <f>PortfolioFrontier[[#This Row],[P119 Growth]]/PortfolioFrontier[[#This Row],[P119 HWM]]-1</f>
        <v>-7.4784905235007471E-2</v>
      </c>
      <c r="RK87" s="28">
        <f>SUMPRODUCT(INDEX(PortfolioRef[[SPY]:[PE]],MATCH(RK$1,PortfolioRef[Reference '#]),0),AssetMonthlyReturns[[#This Row],[SPY]:[PE]])</f>
        <v>1.2157006543065917E-2</v>
      </c>
      <c r="RL87" s="27">
        <f>IF(ISNUMBER(RL86),RL86*(1+PortfolioFrontier[[#This Row],[P120 Return]]),1+PortfolioFrontier[[#This Row],[P120 Return]])</f>
        <v>1.509895966052653</v>
      </c>
      <c r="RM87" s="27">
        <f>MAX(RM86,PortfolioFrontier[[#This Row],[P120 Growth]])</f>
        <v>1.6046034567476111</v>
      </c>
      <c r="RN87" s="27">
        <f>PortfolioFrontier[[#This Row],[P120 Growth]]/PortfolioFrontier[[#This Row],[P120 HWM]]-1</f>
        <v>-5.9022364869462329E-2</v>
      </c>
      <c r="RO87" s="28">
        <f>SUMPRODUCT(INDEX(PortfolioRef[[SPY]:[PE]],MATCH(RO$1,PortfolioRef[Reference '#]),0),AssetMonthlyReturns[[#This Row],[SPY]:[PE]])</f>
        <v>1.2446180685704166E-2</v>
      </c>
      <c r="RP87" s="27">
        <f>IF(ISNUMBER(RP86),RP86*(1+PortfolioFrontier[[#This Row],[P121 Return]]),1+PortfolioFrontier[[#This Row],[P121 Return]])</f>
        <v>1.5062385435268695</v>
      </c>
      <c r="RQ87" s="27">
        <f>MAX(RQ86,PortfolioFrontier[[#This Row],[P121 Growth]])</f>
        <v>1.6859132740659151</v>
      </c>
      <c r="RR87" s="27">
        <f>PortfolioFrontier[[#This Row],[P121 Growth]]/PortfolioFrontier[[#This Row],[P121 HWM]]-1</f>
        <v>-0.10657412412782319</v>
      </c>
      <c r="RS87" s="28">
        <f>SUMPRODUCT(INDEX(PortfolioRef[[SPY]:[PE]],MATCH(RS$1,PortfolioRef[Reference '#]),0),AssetMonthlyReturns[[#This Row],[SPY]:[PE]])</f>
        <v>1.2415647620599135E-2</v>
      </c>
      <c r="RT87" s="27">
        <f>IF(ISNUMBER(RT86),RT86*(1+PortfolioFrontier[[#This Row],[P122 Return]]),1+PortfolioFrontier[[#This Row],[P122 Return]])</f>
        <v>1.5043329911340051</v>
      </c>
      <c r="RU87" s="27">
        <f>MAX(RU86,PortfolioFrontier[[#This Row],[P122 Growth]])</f>
        <v>1.6548910536150563</v>
      </c>
      <c r="RV87" s="27">
        <f>PortfolioFrontier[[#This Row],[P122 Growth]]/PortfolioFrontier[[#This Row],[P122 HWM]]-1</f>
        <v>-9.0977627894091251E-2</v>
      </c>
      <c r="RW87" s="28">
        <f>SUMPRODUCT(INDEX(PortfolioRef[[SPY]:[PE]],MATCH(RW$1,PortfolioRef[Reference '#]),0),AssetMonthlyReturns[[#This Row],[SPY]:[PE]])</f>
        <v>1.2385114555494105E-2</v>
      </c>
      <c r="RX87" s="27">
        <f>IF(ISNUMBER(RX86),RX86*(1+PortfolioFrontier[[#This Row],[P123 Return]]),1+PortfolioFrontier[[#This Row],[P123 Return]])</f>
        <v>1.5014239743415199</v>
      </c>
      <c r="RY87" s="27">
        <f>MAX(RY86,PortfolioFrontier[[#This Row],[P123 Growth]])</f>
        <v>1.6237298558231279</v>
      </c>
      <c r="RZ87" s="27">
        <f>PortfolioFrontier[[#This Row],[P123 Growth]]/PortfolioFrontier[[#This Row],[P123 HWM]]-1</f>
        <v>-7.5324033146884961E-2</v>
      </c>
      <c r="SA87" s="28">
        <f>SUMPRODUCT(INDEX(PortfolioRef[[SPY]:[PE]],MATCH(SA$1,PortfolioRef[Reference '#]),0),AssetMonthlyReturns[[#This Row],[SPY]:[PE]])</f>
        <v>1.2367749241752934E-2</v>
      </c>
      <c r="SB87" s="27">
        <f>IF(ISNUMBER(SB86),SB86*(1+PortfolioFrontier[[#This Row],[P124 Return]]),1+PortfolioFrontier[[#This Row],[P124 Return]])</f>
        <v>1.5445448214373338</v>
      </c>
      <c r="SC87" s="27">
        <f>MAX(SC86,PortfolioFrontier[[#This Row],[P124 Growth]])</f>
        <v>1.6823821965094672</v>
      </c>
      <c r="SD87" s="27">
        <f>PortfolioFrontier[[#This Row],[P124 Growth]]/PortfolioFrontier[[#This Row],[P124 HWM]]-1</f>
        <v>-8.1929882138620069E-2</v>
      </c>
      <c r="SE87" s="28">
        <f>SUMPRODUCT(INDEX(PortfolioRef[[SPY]:[PE]],MATCH(SE$1,PortfolioRef[Reference '#]),0),AssetMonthlyReturns[[#This Row],[SPY]:[PE]])</f>
        <v>1.2337216176647904E-2</v>
      </c>
      <c r="SF87" s="27">
        <f>IF(ISNUMBER(SF86),SF86*(1+PortfolioFrontier[[#This Row],[P125 Return]]),1+PortfolioFrontier[[#This Row],[P125 Return]])</f>
        <v>1.5418328577251859</v>
      </c>
      <c r="SG87" s="27">
        <f>MAX(SG86,PortfolioFrontier[[#This Row],[P125 Growth]])</f>
        <v>1.6509411354388694</v>
      </c>
      <c r="SH87" s="27">
        <f>PortfolioFrontier[[#This Row],[P125 Growth]]/PortfolioFrontier[[#This Row],[P125 HWM]]-1</f>
        <v>-6.6088533001922745E-2</v>
      </c>
      <c r="SI87" s="28">
        <f>SUMPRODUCT(INDEX(PortfolioRef[[SPY]:[PE]],MATCH(SI$1,PortfolioRef[Reference '#]),0),AssetMonthlyReturns[[#This Row],[SPY]:[PE]])</f>
        <v>1.2306683111542871E-2</v>
      </c>
      <c r="SJ87" s="27">
        <f>IF(ISNUMBER(SJ86),SJ86*(1+PortfolioFrontier[[#This Row],[P126 Return]]),1+PortfolioFrontier[[#This Row],[P126 Return]])</f>
        <v>1.5381004830575511</v>
      </c>
      <c r="SK87" s="27">
        <f>MAX(SK86,PortfolioFrontier[[#This Row],[P126 Growth]])</f>
        <v>1.6193836797956254</v>
      </c>
      <c r="SL87" s="27">
        <f>PortfolioFrontier[[#This Row],[P126 Growth]]/PortfolioFrontier[[#This Row],[P126 HWM]]-1</f>
        <v>-5.0193908801361209E-2</v>
      </c>
      <c r="SM87" s="28">
        <f>SUMPRODUCT(INDEX(PortfolioRef[[SPY]:[PE]],MATCH(SM$1,PortfolioRef[Reference '#]),0),AssetMonthlyReturns[[#This Row],[SPY]:[PE]])</f>
        <v>1.2595857254181119E-2</v>
      </c>
      <c r="SN87" s="27">
        <f>IF(ISNUMBER(SN86),SN86*(1+PortfolioFrontier[[#This Row],[P127 Return]]),1+PortfolioFrontier[[#This Row],[P127 Return]])</f>
        <v>1.5346615196497899</v>
      </c>
      <c r="SO87" s="27">
        <f>MAX(SO86,PortfolioFrontier[[#This Row],[P127 Growth]])</f>
        <v>1.7016086575400751</v>
      </c>
      <c r="SP87" s="27">
        <f>PortfolioFrontier[[#This Row],[P127 Growth]]/PortfolioFrontier[[#This Row],[P127 HWM]]-1</f>
        <v>-9.8111359007559185E-2</v>
      </c>
      <c r="SQ87" s="28">
        <f>SUMPRODUCT(INDEX(PortfolioRef[[SPY]:[PE]],MATCH(SQ$1,PortfolioRef[Reference '#]),0),AssetMonthlyReturns[[#This Row],[SPY]:[PE]])</f>
        <v>1.2565324189076089E-2</v>
      </c>
      <c r="SR87" s="27">
        <f>IF(ISNUMBER(SR86),SR86*(1+PortfolioFrontier[[#This Row],[P128 Return]]),1+PortfolioFrontier[[#This Row],[P128 Return]])</f>
        <v>1.5327521371252941</v>
      </c>
      <c r="SS87" s="27">
        <f>MAX(SS86,PortfolioFrontier[[#This Row],[P128 Growth]])</f>
        <v>1.6703618996398835</v>
      </c>
      <c r="ST87" s="27">
        <f>PortfolioFrontier[[#This Row],[P128 Growth]]/PortfolioFrontier[[#This Row],[P128 HWM]]-1</f>
        <v>-8.2383202433111591E-2</v>
      </c>
      <c r="SU87" s="28">
        <f>SUMPRODUCT(INDEX(PortfolioRef[[SPY]:[PE]],MATCH(SU$1,PortfolioRef[Reference '#]),0),AssetMonthlyReturns[[#This Row],[SPY]:[PE]])</f>
        <v>1.2534791123971056E-2</v>
      </c>
      <c r="SV87" s="27">
        <f>IF(ISNUMBER(SV86),SV86*(1+PortfolioFrontier[[#This Row],[P129 Return]]),1+PortfolioFrontier[[#This Row],[P129 Return]])</f>
        <v>1.529820994351796</v>
      </c>
      <c r="SW87" s="27">
        <f>MAX(SW86,PortfolioFrontier[[#This Row],[P129 Growth]])</f>
        <v>1.6389727481356613</v>
      </c>
      <c r="SX87" s="27">
        <f>PortfolioFrontier[[#This Row],[P129 Growth]]/PortfolioFrontier[[#This Row],[P129 HWM]]-1</f>
        <v>-6.6597662412645975E-2</v>
      </c>
      <c r="SY87" s="28">
        <f>SUMPRODUCT(INDEX(PortfolioRef[[SPY]:[PE]],MATCH(SY$1,PortfolioRef[Reference '#]),0),AssetMonthlyReturns[[#This Row],[SPY]:[PE]])</f>
        <v>1.2823965266609305E-2</v>
      </c>
      <c r="SZ87" s="27">
        <f>IF(ISNUMBER(SZ86),SZ86*(1+PortfolioFrontier[[#This Row],[P130 Return]]),1+PortfolioFrontier[[#This Row],[P130 Return]])</f>
        <v>1.5237408682140698</v>
      </c>
      <c r="TA87" s="27">
        <f>MAX(TA86,PortfolioFrontier[[#This Row],[P130 Growth]])</f>
        <v>1.720142179322633</v>
      </c>
      <c r="TB87" s="27">
        <f>PortfolioFrontier[[#This Row],[P130 Growth]]/PortfolioFrontier[[#This Row],[P130 HWM]]-1</f>
        <v>-0.11417737060892441</v>
      </c>
      <c r="TC87" s="28">
        <f>SUMPRODUCT(INDEX(PortfolioRef[[SPY]:[PE]],MATCH(TC$1,PortfolioRef[Reference '#]),0),AssetMonthlyReturns[[#This Row],[SPY]:[PE]])</f>
        <v>1.2793432201504274E-2</v>
      </c>
      <c r="TD87" s="27">
        <f>IF(ISNUMBER(TD86),TD86*(1+PortfolioFrontier[[#This Row],[P131 Return]]),1+PortfolioFrontier[[#This Row],[P131 Return]])</f>
        <v>1.5226295537550347</v>
      </c>
      <c r="TE87" s="27">
        <f>MAX(TE86,PortfolioFrontier[[#This Row],[P131 Growth]])</f>
        <v>1.6891185966988822</v>
      </c>
      <c r="TF87" s="27">
        <f>PortfolioFrontier[[#This Row],[P131 Growth]]/PortfolioFrontier[[#This Row],[P131 HWM]]-1</f>
        <v>-9.8565632554886484E-2</v>
      </c>
      <c r="TG87" s="28">
        <f>SUMPRODUCT(INDEX(PortfolioRef[[SPY]:[PE]],MATCH(TG$1,PortfolioRef[Reference '#]),0),AssetMonthlyReturns[[#This Row],[SPY]:[PE]])</f>
        <v>1.276289913639924E-2</v>
      </c>
      <c r="TH87" s="27">
        <f>IF(ISNUMBER(TH86),TH86*(1+PortfolioFrontier[[#This Row],[P132 Return]]),1+PortfolioFrontier[[#This Row],[P132 Return]])</f>
        <v>1.5204964912953034</v>
      </c>
      <c r="TI87" s="27">
        <f>MAX(TI86,PortfolioFrontier[[#This Row],[P132 Growth]])</f>
        <v>1.6579261593145806</v>
      </c>
      <c r="TJ87" s="27">
        <f>PortfolioFrontier[[#This Row],[P132 Growth]]/PortfolioFrontier[[#This Row],[P132 HWM]]-1</f>
        <v>-8.2892514390443872E-2</v>
      </c>
      <c r="TK87" s="28">
        <f>SUMPRODUCT(INDEX(PortfolioRef[[SPY]:[PE]],MATCH(TK$1,PortfolioRef[Reference '#]),0),AssetMonthlyReturns[[#This Row],[SPY]:[PE]])</f>
        <v>1.2745533822658072E-2</v>
      </c>
      <c r="TL87" s="27">
        <f>IF(ISNUMBER(TL86),TL86*(1+PortfolioFrontier[[#This Row],[P133 Return]]),1+PortfolioFrontier[[#This Row],[P133 Return]])</f>
        <v>1.563236658424431</v>
      </c>
      <c r="TM87" s="27">
        <f>MAX(TM86,PortfolioFrontier[[#This Row],[P133 Growth]])</f>
        <v>1.7171102853087914</v>
      </c>
      <c r="TN87" s="27">
        <f>PortfolioFrontier[[#This Row],[P133 Growth]]/PortfolioFrontier[[#This Row],[P133 HWM]]-1</f>
        <v>-8.9611965055983012E-2</v>
      </c>
      <c r="TO87" s="28">
        <f>SUMPRODUCT(INDEX(PortfolioRef[[SPY]:[PE]],MATCH(TO$1,PortfolioRef[Reference '#]),0),AssetMonthlyReturns[[#This Row],[SPY]:[PE]])</f>
        <v>1.2715000757553042E-2</v>
      </c>
      <c r="TP87" s="27">
        <f>IF(ISNUMBER(TP86),TP86*(1+PortfolioFrontier[[#This Row],[P134 Return]]),1+PortfolioFrontier[[#This Row],[P134 Return]])</f>
        <v>1.5613242003479642</v>
      </c>
      <c r="TQ87" s="27">
        <f>MAX(TQ86,PortfolioFrontier[[#This Row],[P134 Growth]])</f>
        <v>1.6856432974461595</v>
      </c>
      <c r="TR87" s="27">
        <f>PortfolioFrontier[[#This Row],[P134 Growth]]/PortfolioFrontier[[#This Row],[P134 HWM]]-1</f>
        <v>-7.3751722731935865E-2</v>
      </c>
      <c r="TS87" s="28">
        <f>SUMPRODUCT(INDEX(PortfolioRef[[SPY]:[PE]],MATCH(TS$1,PortfolioRef[Reference '#]),0),AssetMonthlyReturns[[#This Row],[SPY]:[PE]])</f>
        <v>1.268446769244801E-2</v>
      </c>
      <c r="TT87" s="27">
        <f>IF(ISNUMBER(TT86),TT86*(1+PortfolioFrontier[[#This Row],[P135 Return]]),1+PortfolioFrontier[[#This Row],[P135 Return]])</f>
        <v>1.5583715980440429</v>
      </c>
      <c r="TU87" s="27">
        <f>MAX(TU86,PortfolioFrontier[[#This Row],[P135 Growth]])</f>
        <v>1.6540304901705998</v>
      </c>
      <c r="TV87" s="27">
        <f>PortfolioFrontier[[#This Row],[P135 Growth]]/PortfolioFrontier[[#This Row],[P135 HWM]]-1</f>
        <v>-5.7833814246489812E-2</v>
      </c>
      <c r="TW87" s="28">
        <f>SUMPRODUCT(INDEX(PortfolioRef[[SPY]:[PE]],MATCH(TW$1,PortfolioRef[Reference '#]),0),AssetMonthlyReturns[[#This Row],[SPY]:[PE]])</f>
        <v>1.2973641835086256E-2</v>
      </c>
      <c r="TX87" s="27">
        <f>IF(ISNUMBER(TX86),TX86*(1+PortfolioFrontier[[#This Row],[P136 Return]]),1+PortfolioFrontier[[#This Row],[P136 Return]])</f>
        <v>1.5524692371330588</v>
      </c>
      <c r="TY87" s="27">
        <f>MAX(TY86,PortfolioFrontier[[#This Row],[P136 Growth]])</f>
        <v>1.7361155602147582</v>
      </c>
      <c r="TZ87" s="27">
        <f>PortfolioFrontier[[#This Row],[P136 Growth]]/PortfolioFrontier[[#This Row],[P136 HWM]]-1</f>
        <v>-0.10578001101434875</v>
      </c>
      <c r="UA87" s="28">
        <f>SUMPRODUCT(INDEX(PortfolioRef[[SPY]:[PE]],MATCH(UA$1,PortfolioRef[Reference '#]),0),AssetMonthlyReturns[[#This Row],[SPY]:[PE]])</f>
        <v>1.2943108769981226E-2</v>
      </c>
      <c r="UB87" s="27">
        <f>IF(ISNUMBER(UB86),UB86*(1+PortfolioFrontier[[#This Row],[P137 Return]]),1+PortfolioFrontier[[#This Row],[P137 Return]])</f>
        <v>1.5513689243558162</v>
      </c>
      <c r="UC87" s="27">
        <f>MAX(UC86,PortfolioFrontier[[#This Row],[P137 Growth]])</f>
        <v>1.7048691873265751</v>
      </c>
      <c r="UD87" s="27">
        <f>PortfolioFrontier[[#This Row],[P137 Growth]]/PortfolioFrontier[[#This Row],[P137 HWM]]-1</f>
        <v>-9.0036387607816626E-2</v>
      </c>
      <c r="UE87" s="28">
        <f>SUMPRODUCT(INDEX(PortfolioRef[[SPY]:[PE]],MATCH(UE$1,PortfolioRef[Reference '#]),0),AssetMonthlyReturns[[#This Row],[SPY]:[PE]])</f>
        <v>1.2912575704876195E-2</v>
      </c>
      <c r="UF87" s="27">
        <f>IF(ISNUMBER(UF86),UF86*(1+PortfolioFrontier[[#This Row],[P138 Return]]),1+PortfolioFrontier[[#This Row],[P138 Return]])</f>
        <v>1.5492282826958392</v>
      </c>
      <c r="UG87" s="27">
        <f>MAX(UG86,PortfolioFrontier[[#This Row],[P138 Growth]])</f>
        <v>1.6734502822541619</v>
      </c>
      <c r="UH87" s="27">
        <f>PortfolioFrontier[[#This Row],[P138 Growth]]/PortfolioFrontier[[#This Row],[P138 HWM]]-1</f>
        <v>-7.4231066722217687E-2</v>
      </c>
      <c r="UI87" s="28">
        <f>SUMPRODUCT(INDEX(PortfolioRef[[SPY]:[PE]],MATCH(UI$1,PortfolioRef[Reference '#]),0),AssetMonthlyReturns[[#This Row],[SPY]:[PE]])</f>
        <v>1.3201749847514445E-2</v>
      </c>
      <c r="UJ87" s="27">
        <f>IF(ISNUMBER(UJ86),UJ86*(1+PortfolioFrontier[[#This Row],[P139 Return]]),1+PortfolioFrontier[[#This Row],[P139 Return]])</f>
        <v>1.5406590805152809</v>
      </c>
      <c r="UK87" s="27">
        <f>MAX(UK86,PortfolioFrontier[[#This Row],[P139 Growth]])</f>
        <v>1.7543965710992384</v>
      </c>
      <c r="UL87" s="27">
        <f>PortfolioFrontier[[#This Row],[P139 Growth]]/PortfolioFrontier[[#This Row],[P139 HWM]]-1</f>
        <v>-0.12182963310857231</v>
      </c>
      <c r="UM87" s="28">
        <f>SUMPRODUCT(INDEX(PortfolioRef[[SPY]:[PE]],MATCH(UM$1,PortfolioRef[Reference '#]),0),AssetMonthlyReturns[[#This Row],[SPY]:[PE]])</f>
        <v>1.3171216782409413E-2</v>
      </c>
      <c r="UN87" s="27">
        <f>IF(ISNUMBER(UN86),UN86*(1+PortfolioFrontier[[#This Row],[P140 Return]]),1+PortfolioFrontier[[#This Row],[P140 Return]])</f>
        <v>1.5403651332655581</v>
      </c>
      <c r="UO87" s="27">
        <f>MAX(UO86,PortfolioFrontier[[#This Row],[P140 Growth]])</f>
        <v>1.7234002022793458</v>
      </c>
      <c r="UP87" s="27">
        <f>PortfolioFrontier[[#This Row],[P140 Growth]]/PortfolioFrontier[[#This Row],[P140 HWM]]-1</f>
        <v>-0.10620578364311895</v>
      </c>
      <c r="UQ87" s="28">
        <f>SUMPRODUCT(INDEX(PortfolioRef[[SPY]:[PE]],MATCH(UQ$1,PortfolioRef[Reference '#]),0),AssetMonthlyReturns[[#This Row],[SPY]:[PE]])</f>
        <v>1.3140683717304379E-2</v>
      </c>
      <c r="UR87" s="27">
        <f>IF(ISNUMBER(UR86),UR86*(1+PortfolioFrontier[[#This Row],[P141 Return]]),1+PortfolioFrontier[[#This Row],[P141 Return]])</f>
        <v>1.5390320555842163</v>
      </c>
      <c r="US87" s="27">
        <f>MAX(US86,PortfolioFrontier[[#This Row],[P141 Growth]])</f>
        <v>1.6922041432386774</v>
      </c>
      <c r="UT87" s="27">
        <f>PortfolioFrontier[[#This Row],[P141 Growth]]/PortfolioFrontier[[#This Row],[P141 HWM]]-1</f>
        <v>-9.0516317588791639E-2</v>
      </c>
    </row>
    <row r="88" spans="2:566" x14ac:dyDescent="0.2">
      <c r="B88" s="41">
        <f>AssetMonthlyReturns[[#This Row],[Date]]</f>
        <v>45047</v>
      </c>
      <c r="C88" s="28">
        <f>SUMPRODUCT(INDEX(PortfolioRef[[SPY]:[PE]],MATCH(C$1,PortfolioRef[Reference '#]),0),AssetMonthlyReturns[[#This Row],[SPY]:[PE]])</f>
        <v>-4.9349512981339333E-3</v>
      </c>
      <c r="D88" s="29">
        <f>IF(ISNUMBER(D87),D87*(1+PortfolioFrontier[[#This Row],[P1 Return]]),1+PortfolioFrontier[[#This Row],[P1 Return]])</f>
        <v>1.791330287849912</v>
      </c>
      <c r="E88" s="29">
        <f>MAX(E87,PortfolioFrontier[[#This Row],[P1 Growth]])</f>
        <v>1.9531239567566241</v>
      </c>
      <c r="F88" s="29">
        <f>PortfolioFrontier[[#This Row],[P1 Growth]]/PortfolioFrontier[[#This Row],[P1 HWM]]-1</f>
        <v>-8.2838402727591465E-2</v>
      </c>
      <c r="G88" s="28">
        <f>SUMPRODUCT(INDEX(PortfolioRef[[SPY]:[PE]],MATCH(G$1,PortfolioRef[Reference '#]),0),AssetMonthlyReturns[[#This Row],[SPY]:[PE]])</f>
        <v>-5.7360385018835006E-3</v>
      </c>
      <c r="H88" s="27">
        <f>IF(ISNUMBER(H87),H87*(1+PortfolioFrontier[[#This Row],[P2 Return]]),1+PortfolioFrontier[[#This Row],[P2 Return]])</f>
        <v>1.7245714083280395</v>
      </c>
      <c r="I88" s="27">
        <f>MAX(I87,PortfolioFrontier[[#This Row],[P2 Growth]])</f>
        <v>1.880902671218339</v>
      </c>
      <c r="J88" s="27">
        <f>PortfolioFrontier[[#This Row],[P2 Growth]]/PortfolioFrontier[[#This Row],[P2 HWM]]-1</f>
        <v>-8.3115019869176576E-2</v>
      </c>
      <c r="K88" s="28">
        <f>SUMPRODUCT(INDEX(PortfolioRef[[SPY]:[PE]],MATCH(K$1,PortfolioRef[Reference '#]),0),AssetMonthlyReturns[[#This Row],[SPY]:[PE]])</f>
        <v>-5.8367613159642064E-3</v>
      </c>
      <c r="L88" s="27">
        <f>IF(ISNUMBER(L87),L87*(1+PortfolioFrontier[[#This Row],[P3 Return]]),1+PortfolioFrontier[[#This Row],[P3 Return]])</f>
        <v>1.7570131811372836</v>
      </c>
      <c r="M88" s="27">
        <f>MAX(M87,PortfolioFrontier[[#This Row],[P3 Growth]])</f>
        <v>1.8984394560781046</v>
      </c>
      <c r="N88" s="27">
        <f>PortfolioFrontier[[#This Row],[P3 Growth]]/PortfolioFrontier[[#This Row],[P3 HWM]]-1</f>
        <v>-7.4496068066867371E-2</v>
      </c>
      <c r="O88" s="28">
        <f>SUMPRODUCT(INDEX(PortfolioRef[[SPY]:[PE]],MATCH(O$1,PortfolioRef[Reference '#]),0),AssetMonthlyReturns[[#This Row],[SPY]:[PE]])</f>
        <v>-7.1465653671435479E-3</v>
      </c>
      <c r="P88" s="27">
        <f>IF(ISNUMBER(P87),P87*(1+PortfolioFrontier[[#This Row],[P4 Return]]),1+PortfolioFrontier[[#This Row],[P4 Return]])</f>
        <v>1.742516862749045</v>
      </c>
      <c r="Q88" s="27">
        <f>MAX(Q87,PortfolioFrontier[[#This Row],[P4 Growth]])</f>
        <v>1.9193367929729268</v>
      </c>
      <c r="R88" s="27">
        <f>PortfolioFrontier[[#This Row],[P4 Growth]]/PortfolioFrontier[[#This Row],[P4 HWM]]-1</f>
        <v>-9.2125535690898319E-2</v>
      </c>
      <c r="S88" s="28">
        <f>SUMPRODUCT(INDEX(PortfolioRef[[SPY]:[PE]],MATCH(S$1,PortfolioRef[Reference '#]),0),AssetMonthlyReturns[[#This Row],[SPY]:[PE]])</f>
        <v>-5.3955269992776106E-3</v>
      </c>
      <c r="T88" s="27">
        <f>IF(ISNUMBER(T87),T87*(1+PortfolioFrontier[[#This Row],[P5 Return]]),1+PortfolioFrontier[[#This Row],[P5 Return]])</f>
        <v>1.7436370741746026</v>
      </c>
      <c r="U88" s="27">
        <f>MAX(U87,PortfolioFrontier[[#This Row],[P5 Growth]])</f>
        <v>1.8841834525169079</v>
      </c>
      <c r="V88" s="27">
        <f>PortfolioFrontier[[#This Row],[P5 Growth]]/PortfolioFrontier[[#This Row],[P5 HWM]]-1</f>
        <v>-7.4592725116316205E-2</v>
      </c>
      <c r="W88" s="28">
        <f>SUMPRODUCT(INDEX(PortfolioRef[[SPY]:[PE]],MATCH(W$1,PortfolioRef[Reference '#]),0),AssetMonthlyReturns[[#This Row],[SPY]:[PE]])</f>
        <v>-6.537125705633068E-3</v>
      </c>
      <c r="X88" s="27">
        <f>IF(ISNUMBER(X87),X87*(1+PortfolioFrontier[[#This Row],[P6 Return]]),1+PortfolioFrontier[[#This Row],[P6 Return]])</f>
        <v>1.6595775395891521</v>
      </c>
      <c r="Y88" s="27">
        <f>MAX(Y87,PortfolioFrontier[[#This Row],[P6 Growth]])</f>
        <v>1.8107203423144032</v>
      </c>
      <c r="Z88" s="27">
        <f>PortfolioFrontier[[#This Row],[P6 Growth]]/PortfolioFrontier[[#This Row],[P6 HWM]]-1</f>
        <v>-8.3471091141586906E-2</v>
      </c>
      <c r="AA88" s="28">
        <f>SUMPRODUCT(INDEX(PortfolioRef[[SPY]:[PE]],MATCH(AA$1,PortfolioRef[Reference '#]),0),AssetMonthlyReturns[[#This Row],[SPY]:[PE]])</f>
        <v>-6.6378485197137729E-3</v>
      </c>
      <c r="AB88" s="27">
        <f>IF(ISNUMBER(AB87),AB87*(1+PortfolioFrontier[[#This Row],[P7 Return]]),1+PortfolioFrontier[[#This Row],[P7 Return]])</f>
        <v>1.6908035134002362</v>
      </c>
      <c r="AC88" s="27">
        <f>MAX(AC87,PortfolioFrontier[[#This Row],[P7 Growth]])</f>
        <v>1.8276317298765399</v>
      </c>
      <c r="AD88" s="27">
        <f>PortfolioFrontier[[#This Row],[P7 Growth]]/PortfolioFrontier[[#This Row],[P7 HWM]]-1</f>
        <v>-7.486640456036886E-2</v>
      </c>
      <c r="AE88" s="28">
        <f>SUMPRODUCT(INDEX(PortfolioRef[[SPY]:[PE]],MATCH(AE$1,PortfolioRef[Reference '#]),0),AssetMonthlyReturns[[#This Row],[SPY]:[PE]])</f>
        <v>-7.9476525708931153E-3</v>
      </c>
      <c r="AF88" s="27">
        <f>IF(ISNUMBER(AF87),AF87*(1+PortfolioFrontier[[#This Row],[P8 Return]]),1+PortfolioFrontier[[#This Row],[P8 Return]])</f>
        <v>1.6774520811304912</v>
      </c>
      <c r="AG88" s="27">
        <f>MAX(AG87,PortfolioFrontier[[#This Row],[P8 Growth]])</f>
        <v>1.8482324314062795</v>
      </c>
      <c r="AH88" s="27">
        <f>PortfolioFrontier[[#This Row],[P8 Growth]]/PortfolioFrontier[[#This Row],[P8 HWM]]-1</f>
        <v>-9.2401987636287375E-2</v>
      </c>
      <c r="AI88" s="28">
        <f>SUMPRODUCT(INDEX(PortfolioRef[[SPY]:[PE]],MATCH(AI$1,PortfolioRef[Reference '#]),0),AssetMonthlyReturns[[#This Row],[SPY]:[PE]])</f>
        <v>-6.196614203027178E-3</v>
      </c>
      <c r="AJ88" s="27">
        <f>IF(ISNUMBER(AJ87),AJ87*(1+PortfolioFrontier[[#This Row],[P9 Return]]),1+PortfolioFrontier[[#This Row],[P9 Return]])</f>
        <v>1.6779458167737678</v>
      </c>
      <c r="AK88" s="27">
        <f>MAX(AK87,PortfolioFrontier[[#This Row],[P9 Growth]])</f>
        <v>1.8139467261629987</v>
      </c>
      <c r="AL88" s="27">
        <f>PortfolioFrontier[[#This Row],[P9 Growth]]/PortfolioFrontier[[#This Row],[P9 HWM]]-1</f>
        <v>-7.4975139802981206E-2</v>
      </c>
      <c r="AM88" s="28">
        <f>SUMPRODUCT(INDEX(PortfolioRef[[SPY]:[PE]],MATCH(AM$1,PortfolioRef[Reference '#]),0),AssetMonthlyReturns[[#This Row],[SPY]:[PE]])</f>
        <v>-6.7385713337944795E-3</v>
      </c>
      <c r="AN88" s="27">
        <f>IF(ISNUMBER(AN87),AN87*(1+PortfolioFrontier[[#This Row],[P10 Return]]),1+PortfolioFrontier[[#This Row],[P10 Return]])</f>
        <v>1.722194962950842</v>
      </c>
      <c r="AO88" s="27">
        <f>MAX(AO87,PortfolioFrontier[[#This Row],[P10 Growth]])</f>
        <v>1.8443368551596837</v>
      </c>
      <c r="AP88" s="27">
        <f>PortfolioFrontier[[#This Row],[P10 Growth]]/PortfolioFrontier[[#This Row],[P10 HWM]]-1</f>
        <v>-6.6225370851935139E-2</v>
      </c>
      <c r="AQ88" s="28">
        <f>SUMPRODUCT(INDEX(PortfolioRef[[SPY]:[PE]],MATCH(AQ$1,PortfolioRef[Reference '#]),0),AssetMonthlyReturns[[#This Row],[SPY]:[PE]])</f>
        <v>-8.0483753849738202E-3</v>
      </c>
      <c r="AR88" s="27">
        <f>IF(ISNUMBER(AR87),AR87*(1+PortfolioFrontier[[#This Row],[P11 Return]]),1+PortfolioFrontier[[#This Row],[P11 Return]])</f>
        <v>1.7089857845839305</v>
      </c>
      <c r="AS88" s="27">
        <f>MAX(AS87,PortfolioFrontier[[#This Row],[P11 Growth]])</f>
        <v>1.865449984246593</v>
      </c>
      <c r="AT88" s="27">
        <f>PortfolioFrontier[[#This Row],[P11 Growth]]/PortfolioFrontier[[#This Row],[P11 HWM]]-1</f>
        <v>-8.3874776050805955E-2</v>
      </c>
      <c r="AU88" s="28">
        <f>SUMPRODUCT(INDEX(PortfolioRef[[SPY]:[PE]],MATCH(AU$1,PortfolioRef[Reference '#]),0),AssetMonthlyReturns[[#This Row],[SPY]:[PE]])</f>
        <v>-6.2973370171078838E-3</v>
      </c>
      <c r="AV88" s="27">
        <f>IF(ISNUMBER(AV87),AV87*(1+PortfolioFrontier[[#This Row],[P12 Return]]),1+PortfolioFrontier[[#This Row],[P12 Return]])</f>
        <v>1.7095252545013659</v>
      </c>
      <c r="AW88" s="27">
        <f>MAX(AW87,PortfolioFrontier[[#This Row],[P12 Growth]])</f>
        <v>1.8309154354259589</v>
      </c>
      <c r="AX88" s="27">
        <f>PortfolioFrontier[[#This Row],[P12 Growth]]/PortfolioFrontier[[#This Row],[P12 HWM]]-1</f>
        <v>-6.6300266290754029E-2</v>
      </c>
      <c r="AY88" s="28">
        <f>SUMPRODUCT(INDEX(PortfolioRef[[SPY]:[PE]],MATCH(AY$1,PortfolioRef[Reference '#]),0),AssetMonthlyReturns[[#This Row],[SPY]:[PE]])</f>
        <v>-9.3581794361531634E-3</v>
      </c>
      <c r="AZ88" s="27">
        <f>IF(ISNUMBER(AZ87),AZ87*(1+PortfolioFrontier[[#This Row],[P13 Return]]),1+PortfolioFrontier[[#This Row],[P13 Return]])</f>
        <v>1.6946556337537519</v>
      </c>
      <c r="BA88" s="27">
        <f>MAX(BA87,PortfolioFrontier[[#This Row],[P13 Growth]])</f>
        <v>1.8858075751364967</v>
      </c>
      <c r="BB88" s="27">
        <f>PortfolioFrontier[[#This Row],[P13 Growth]]/PortfolioFrontier[[#This Row],[P13 HWM]]-1</f>
        <v>-0.10136343914564505</v>
      </c>
      <c r="BC88" s="28">
        <f>SUMPRODUCT(INDEX(PortfolioRef[[SPY]:[PE]],MATCH(BC$1,PortfolioRef[Reference '#]),0),AssetMonthlyReturns[[#This Row],[SPY]:[PE]])</f>
        <v>-7.6071410682872261E-3</v>
      </c>
      <c r="BD88" s="27">
        <f>IF(ISNUMBER(BD87),BD87*(1+PortfolioFrontier[[#This Row],[P14 Return]]),1+PortfolioFrontier[[#This Row],[P14 Return]])</f>
        <v>1.6960651828063735</v>
      </c>
      <c r="BE88" s="27">
        <f>MAX(BE87,PortfolioFrontier[[#This Row],[P14 Growth]])</f>
        <v>1.8515113734383843</v>
      </c>
      <c r="BF88" s="27">
        <f>PortfolioFrontier[[#This Row],[P14 Growth]]/PortfolioFrontier[[#This Row],[P14 HWM]]-1</f>
        <v>-8.3956379022040006E-2</v>
      </c>
      <c r="BG88" s="28">
        <f>SUMPRODUCT(INDEX(PortfolioRef[[SPY]:[PE]],MATCH(BG$1,PortfolioRef[Reference '#]),0),AssetMonthlyReturns[[#This Row],[SPY]:[PE]])</f>
        <v>-5.8561027004212897E-3</v>
      </c>
      <c r="BH88" s="27">
        <f>IF(ISNUMBER(BH87),BH87*(1+PortfolioFrontier[[#This Row],[P15 Return]]),1+PortfolioFrontier[[#This Row],[P15 Return]])</f>
        <v>1.6963332522745933</v>
      </c>
      <c r="BI88" s="27">
        <f>MAX(BI87,PortfolioFrontier[[#This Row],[P15 Growth]])</f>
        <v>1.8170439473092146</v>
      </c>
      <c r="BJ88" s="27">
        <f>PortfolioFrontier[[#This Row],[P15 Growth]]/PortfolioFrontier[[#This Row],[P15 HWM]]-1</f>
        <v>-6.6432457626232289E-2</v>
      </c>
      <c r="BK88" s="28">
        <f>SUMPRODUCT(INDEX(PortfolioRef[[SPY]:[PE]],MATCH(BK$1,PortfolioRef[Reference '#]),0),AssetMonthlyReturns[[#This Row],[SPY]:[PE]])</f>
        <v>-7.3382129093826354E-3</v>
      </c>
      <c r="BL88" s="27">
        <f>IF(ISNUMBER(BL87),BL87*(1+PortfolioFrontier[[#This Row],[P16 Return]]),1+PortfolioFrontier[[#This Row],[P16 Return]])</f>
        <v>1.5963380171465871</v>
      </c>
      <c r="BM88" s="27">
        <f>MAX(BM87,PortfolioFrontier[[#This Row],[P16 Growth]])</f>
        <v>1.7425494832470445</v>
      </c>
      <c r="BN88" s="27">
        <f>PortfolioFrontier[[#This Row],[P16 Growth]]/PortfolioFrontier[[#This Row],[P16 HWM]]-1</f>
        <v>-8.3906636515141519E-2</v>
      </c>
      <c r="BO88" s="28">
        <f>SUMPRODUCT(INDEX(PortfolioRef[[SPY]:[PE]],MATCH(BO$1,PortfolioRef[Reference '#]),0),AssetMonthlyReturns[[#This Row],[SPY]:[PE]])</f>
        <v>-7.4389357234633411E-3</v>
      </c>
      <c r="BP88" s="27">
        <f>IF(ISNUMBER(BP87),BP87*(1+PortfolioFrontier[[#This Row],[P17 Return]]),1+PortfolioFrontier[[#This Row],[P17 Return]])</f>
        <v>1.6263811644705175</v>
      </c>
      <c r="BQ88" s="27">
        <f>MAX(BQ87,PortfolioFrontier[[#This Row],[P17 Growth]])</f>
        <v>1.7588525148836969</v>
      </c>
      <c r="BR88" s="27">
        <f>PortfolioFrontier[[#This Row],[P17 Growth]]/PortfolioFrontier[[#This Row],[P17 HWM]]-1</f>
        <v>-7.5316917872411238E-2</v>
      </c>
      <c r="BS88" s="28">
        <f>SUMPRODUCT(INDEX(PortfolioRef[[SPY]:[PE]],MATCH(BS$1,PortfolioRef[Reference '#]),0),AssetMonthlyReturns[[#This Row],[SPY]:[PE]])</f>
        <v>-8.7487397746426818E-3</v>
      </c>
      <c r="BT88" s="27">
        <f>IF(ISNUMBER(BT87),BT87*(1+PortfolioFrontier[[#This Row],[P18 Return]]),1+PortfolioFrontier[[#This Row],[P18 Return]])</f>
        <v>1.6141127183604143</v>
      </c>
      <c r="BU88" s="27">
        <f>MAX(BU87,PortfolioFrontier[[#This Row],[P18 Growth]])</f>
        <v>1.7791407441475846</v>
      </c>
      <c r="BV88" s="27">
        <f>PortfolioFrontier[[#This Row],[P18 Growth]]/PortfolioFrontier[[#This Row],[P18 HWM]]-1</f>
        <v>-9.2757150512135511E-2</v>
      </c>
      <c r="BW88" s="28">
        <f>SUMPRODUCT(INDEX(PortfolioRef[[SPY]:[PE]],MATCH(BW$1,PortfolioRef[Reference '#]),0),AssetMonthlyReturns[[#This Row],[SPY]:[PE]])</f>
        <v>-6.9977014067767462E-3</v>
      </c>
      <c r="BX88" s="27">
        <f>IF(ISNUMBER(BX87),BX87*(1+PortfolioFrontier[[#This Row],[P19 Return]]),1+PortfolioFrontier[[#This Row],[P19 Return]])</f>
        <v>1.6140266736711717</v>
      </c>
      <c r="BY88" s="27">
        <f>MAX(BY87,PortfolioFrontier[[#This Row],[P19 Growth]])</f>
        <v>1.7457196180719312</v>
      </c>
      <c r="BZ88" s="27">
        <f>PortfolioFrontier[[#This Row],[P19 Growth]]/PortfolioFrontier[[#This Row],[P19 HWM]]-1</f>
        <v>-7.5437626430645555E-2</v>
      </c>
      <c r="CA88" s="28">
        <f>SUMPRODUCT(INDEX(PortfolioRef[[SPY]:[PE]],MATCH(CA$1,PortfolioRef[Reference '#]),0),AssetMonthlyReturns[[#This Row],[SPY]:[PE]])</f>
        <v>-7.5396585375440478E-3</v>
      </c>
      <c r="CB88" s="27">
        <f>IF(ISNUMBER(CB87),CB87*(1+PortfolioFrontier[[#This Row],[P20 Return]]),1+PortfolioFrontier[[#This Row],[P20 Return]])</f>
        <v>1.6565829387310844</v>
      </c>
      <c r="CC88" s="27">
        <f>MAX(CC87,PortfolioFrontier[[#This Row],[P20 Growth]])</f>
        <v>1.7749567522517573</v>
      </c>
      <c r="CD88" s="27">
        <f>PortfolioFrontier[[#This Row],[P20 Growth]]/PortfolioFrontier[[#This Row],[P20 HWM]]-1</f>
        <v>-6.6691097329836801E-2</v>
      </c>
      <c r="CE88" s="28">
        <f>SUMPRODUCT(INDEX(PortfolioRef[[SPY]:[PE]],MATCH(CE$1,PortfolioRef[Reference '#]),0),AssetMonthlyReturns[[#This Row],[SPY]:[PE]])</f>
        <v>-8.8494625887233884E-3</v>
      </c>
      <c r="CF88" s="27">
        <f>IF(ISNUMBER(CF87),CF87*(1+PortfolioFrontier[[#This Row],[P21 Return]]),1+PortfolioFrontier[[#This Row],[P21 Return]])</f>
        <v>1.644462567335025</v>
      </c>
      <c r="CG88" s="27">
        <f>MAX(CG87,PortfolioFrontier[[#This Row],[P21 Growth]])</f>
        <v>1.795743356031652</v>
      </c>
      <c r="CH88" s="27">
        <f>PortfolioFrontier[[#This Row],[P21 Growth]]/PortfolioFrontier[[#This Row],[P21 HWM]]-1</f>
        <v>-8.424410325033127E-2</v>
      </c>
      <c r="CI88" s="28">
        <f>SUMPRODUCT(INDEX(PortfolioRef[[SPY]:[PE]],MATCH(CI$1,PortfolioRef[Reference '#]),0),AssetMonthlyReturns[[#This Row],[SPY]:[PE]])</f>
        <v>-7.098424220857452E-3</v>
      </c>
      <c r="CJ88" s="27">
        <f>IF(ISNUMBER(CJ87),CJ87*(1+PortfolioFrontier[[#This Row],[P22 Return]]),1+PortfolioFrontier[[#This Row],[P22 Return]])</f>
        <v>1.6444103436780031</v>
      </c>
      <c r="CK88" s="27">
        <f>MAX(CK87,PortfolioFrontier[[#This Row],[P22 Growth]])</f>
        <v>1.7620784578443487</v>
      </c>
      <c r="CL88" s="27">
        <f>PortfolioFrontier[[#This Row],[P22 Growth]]/PortfolioFrontier[[#This Row],[P22 HWM]]-1</f>
        <v>-6.677802208097805E-2</v>
      </c>
      <c r="CM88" s="28">
        <f>SUMPRODUCT(INDEX(PortfolioRef[[SPY]:[PE]],MATCH(CM$1,PortfolioRef[Reference '#]),0),AssetMonthlyReturns[[#This Row],[SPY]:[PE]])</f>
        <v>-1.015926663990273E-2</v>
      </c>
      <c r="CN88" s="27">
        <f>IF(ISNUMBER(CN87),CN87*(1+PortfolioFrontier[[#This Row],[P23 Return]]),1+PortfolioFrontier[[#This Row],[P23 Return]])</f>
        <v>1.631256291641874</v>
      </c>
      <c r="CO88" s="27">
        <f>MAX(CO87,PortfolioFrontier[[#This Row],[P23 Growth]])</f>
        <v>1.8158151760868648</v>
      </c>
      <c r="CP88" s="27">
        <f>PortfolioFrontier[[#This Row],[P23 Growth]]/PortfolioFrontier[[#This Row],[P23 HWM]]-1</f>
        <v>-0.10163968606249929</v>
      </c>
      <c r="CQ88" s="28">
        <f>SUMPRODUCT(INDEX(PortfolioRef[[SPY]:[PE]],MATCH(CQ$1,PortfolioRef[Reference '#]),0),AssetMonthlyReturns[[#This Row],[SPY]:[PE]])</f>
        <v>-8.4082282720367944E-3</v>
      </c>
      <c r="CR88" s="27">
        <f>IF(ISNUMBER(CR87),CR87*(1+PortfolioFrontier[[#This Row],[P24 Return]]),1+PortfolioFrontier[[#This Row],[P24 Return]])</f>
        <v>1.6320435255125121</v>
      </c>
      <c r="CS88" s="27">
        <f>MAX(CS87,PortfolioFrontier[[#This Row],[P24 Growth]])</f>
        <v>1.7823638134718676</v>
      </c>
      <c r="CT88" s="27">
        <f>PortfolioFrontier[[#This Row],[P24 Growth]]/PortfolioFrontier[[#This Row],[P24 HWM]]-1</f>
        <v>-8.4337600900091458E-2</v>
      </c>
      <c r="CU88" s="28">
        <f>SUMPRODUCT(INDEX(PortfolioRef[[SPY]:[PE]],MATCH(CU$1,PortfolioRef[Reference '#]),0),AssetMonthlyReturns[[#This Row],[SPY]:[PE]])</f>
        <v>-6.6571899041708571E-3</v>
      </c>
      <c r="CV88" s="27">
        <f>IF(ISNUMBER(CV87),CV87*(1+PortfolioFrontier[[#This Row],[P25 Return]]),1+PortfolioFrontier[[#This Row],[P25 Return]])</f>
        <v>1.6317342993781867</v>
      </c>
      <c r="CW88" s="27">
        <f>MAX(CW87,PortfolioFrontier[[#This Row],[P25 Growth]])</f>
        <v>1.7487656732120247</v>
      </c>
      <c r="CX88" s="27">
        <f>PortfolioFrontier[[#This Row],[P25 Growth]]/PortfolioFrontier[[#This Row],[P25 HWM]]-1</f>
        <v>-6.6922273021794876E-2</v>
      </c>
      <c r="CY88" s="28">
        <f>SUMPRODUCT(INDEX(PortfolioRef[[SPY]:[PE]],MATCH(CY$1,PortfolioRef[Reference '#]),0),AssetMonthlyReturns[[#This Row],[SPY]:[PE]])</f>
        <v>-8.950185402804095E-3</v>
      </c>
      <c r="CZ88" s="27">
        <f>IF(ISNUMBER(CZ87),CZ87*(1+PortfolioFrontier[[#This Row],[P26 Return]]),1+PortfolioFrontier[[#This Row],[P26 Return]])</f>
        <v>1.6749723074330387</v>
      </c>
      <c r="DA88" s="27">
        <f>MAX(DA87,PortfolioFrontier[[#This Row],[P26 Growth]])</f>
        <v>1.8121428498945955</v>
      </c>
      <c r="DB88" s="27">
        <f>PortfolioFrontier[[#This Row],[P26 Growth]]/PortfolioFrontier[[#This Row],[P26 HWM]]-1</f>
        <v>-7.5695214905124875E-2</v>
      </c>
      <c r="DC88" s="28">
        <f>SUMPRODUCT(INDEX(PortfolioRef[[SPY]:[PE]],MATCH(DC$1,PortfolioRef[Reference '#]),0),AssetMonthlyReturns[[#This Row],[SPY]:[PE]])</f>
        <v>-7.1991470349381578E-3</v>
      </c>
      <c r="DD88" s="27">
        <f>IF(ISNUMBER(DD87),DD87*(1+PortfolioFrontier[[#This Row],[P27 Return]]),1+PortfolioFrontier[[#This Row],[P27 Return]])</f>
        <v>1.6749549338934668</v>
      </c>
      <c r="DE88" s="27">
        <f>MAX(DE87,PortfolioFrontier[[#This Row],[P27 Growth]])</f>
        <v>1.7782387807323972</v>
      </c>
      <c r="DF88" s="27">
        <f>PortfolioFrontier[[#This Row],[P27 Growth]]/PortfolioFrontier[[#This Row],[P27 HWM]]-1</f>
        <v>-5.808210233520561E-2</v>
      </c>
      <c r="DG88" s="28">
        <f>SUMPRODUCT(INDEX(PortfolioRef[[SPY]:[PE]],MATCH(DG$1,PortfolioRef[Reference '#]),0),AssetMonthlyReturns[[#This Row],[SPY]:[PE]])</f>
        <v>-1.0259989453983437E-2</v>
      </c>
      <c r="DH88" s="27">
        <f>IF(ISNUMBER(DH87),DH87*(1+PortfolioFrontier[[#This Row],[P28 Return]]),1+PortfolioFrontier[[#This Row],[P28 Return]])</f>
        <v>1.6619009176360162</v>
      </c>
      <c r="DI88" s="27">
        <f>MAX(DI87,PortfolioFrontier[[#This Row],[P28 Growth]])</f>
        <v>1.8327167417336543</v>
      </c>
      <c r="DJ88" s="27">
        <f>PortfolioFrontier[[#This Row],[P28 Growth]]/PortfolioFrontier[[#This Row],[P28 HWM]]-1</f>
        <v>-9.3203614179927841E-2</v>
      </c>
      <c r="DK88" s="28">
        <f>SUMPRODUCT(INDEX(PortfolioRef[[SPY]:[PE]],MATCH(DK$1,PortfolioRef[Reference '#]),0),AssetMonthlyReturns[[#This Row],[SPY]:[PE]])</f>
        <v>-8.508951086117501E-3</v>
      </c>
      <c r="DL88" s="27">
        <f>IF(ISNUMBER(DL87),DL87*(1+PortfolioFrontier[[#This Row],[P29 Return]]),1+PortfolioFrontier[[#This Row],[P29 Return]])</f>
        <v>1.6627381672863961</v>
      </c>
      <c r="DM88" s="27">
        <f>MAX(DM87,PortfolioFrontier[[#This Row],[P29 Growth]])</f>
        <v>1.7990232294645383</v>
      </c>
      <c r="DN88" s="27">
        <f>PortfolioFrontier[[#This Row],[P29 Growth]]/PortfolioFrontier[[#This Row],[P29 HWM]]-1</f>
        <v>-7.5755031922909666E-2</v>
      </c>
      <c r="DO88" s="28">
        <f>SUMPRODUCT(INDEX(PortfolioRef[[SPY]:[PE]],MATCH(DO$1,PortfolioRef[Reference '#]),0),AssetMonthlyReturns[[#This Row],[SPY]:[PE]])</f>
        <v>-6.7579127182515629E-3</v>
      </c>
      <c r="DP88" s="27">
        <f>IF(ISNUMBER(DP87),DP87*(1+PortfolioFrontier[[#This Row],[P30 Return]]),1+PortfolioFrontier[[#This Row],[P30 Return]])</f>
        <v>1.6624591791853585</v>
      </c>
      <c r="DQ88" s="27">
        <f>MAX(DQ87,PortfolioFrontier[[#This Row],[P30 Growth]])</f>
        <v>1.7651792866223672</v>
      </c>
      <c r="DR88" s="27">
        <f>PortfolioFrontier[[#This Row],[P30 Growth]]/PortfolioFrontier[[#This Row],[P30 HWM]]-1</f>
        <v>-5.8192450033538234E-2</v>
      </c>
      <c r="DS88" s="28">
        <f>SUMPRODUCT(INDEX(PortfolioRef[[SPY]:[PE]],MATCH(DS$1,PortfolioRef[Reference '#]),0),AssetMonthlyReturns[[#This Row],[SPY]:[PE]])</f>
        <v>-1.1569793505162778E-2</v>
      </c>
      <c r="DT88" s="27">
        <f>IF(ISNUMBER(DT87),DT87*(1+PortfolioFrontier[[#This Row],[P31 Return]]),1+PortfolioFrontier[[#This Row],[P31 Return]])</f>
        <v>1.6477408827763618</v>
      </c>
      <c r="DU88" s="27">
        <f>MAX(DU87,PortfolioFrontier[[#This Row],[P31 Growth]])</f>
        <v>1.8525428026208837</v>
      </c>
      <c r="DV88" s="27">
        <f>PortfolioFrontier[[#This Row],[P31 Growth]]/PortfolioFrontier[[#This Row],[P31 HWM]]-1</f>
        <v>-0.11055178836072155</v>
      </c>
      <c r="DW88" s="28">
        <f>SUMPRODUCT(INDEX(PortfolioRef[[SPY]:[PE]],MATCH(DW$1,PortfolioRef[Reference '#]),0),AssetMonthlyReturns[[#This Row],[SPY]:[PE]])</f>
        <v>-9.8187551372968425E-3</v>
      </c>
      <c r="DX88" s="27">
        <f>IF(ISNUMBER(DX87),DX87*(1+PortfolioFrontier[[#This Row],[P32 Return]]),1+PortfolioFrontier[[#This Row],[P32 Return]])</f>
        <v>1.6494234706155948</v>
      </c>
      <c r="DY88" s="27">
        <f>MAX(DY87,PortfolioFrontier[[#This Row],[P32 Growth]])</f>
        <v>1.8190908915066115</v>
      </c>
      <c r="DZ88" s="27">
        <f>PortfolioFrontier[[#This Row],[P32 Growth]]/PortfolioFrontier[[#This Row],[P32 HWM]]-1</f>
        <v>-9.3270447168527393E-2</v>
      </c>
      <c r="EA88" s="28">
        <f>SUMPRODUCT(INDEX(PortfolioRef[[SPY]:[PE]],MATCH(EA$1,PortfolioRef[Reference '#]),0),AssetMonthlyReturns[[#This Row],[SPY]:[PE]])</f>
        <v>-8.0677167694309052E-3</v>
      </c>
      <c r="EB88" s="27">
        <f>IF(ISNUMBER(EB87),EB87*(1+PortfolioFrontier[[#This Row],[P33 Return]]),1+PortfolioFrontier[[#This Row],[P33 Return]])</f>
        <v>1.6499944157347934</v>
      </c>
      <c r="EC88" s="27">
        <f>MAX(EC87,PortfolioFrontier[[#This Row],[P33 Growth]])</f>
        <v>1.7854600976944932</v>
      </c>
      <c r="ED88" s="27">
        <f>PortfolioFrontier[[#This Row],[P33 Growth]]/PortfolioFrontier[[#This Row],[P33 HWM]]-1</f>
        <v>-7.5871581859836668E-2</v>
      </c>
      <c r="EE88" s="28">
        <f>SUMPRODUCT(INDEX(PortfolioRef[[SPY]:[PE]],MATCH(EE$1,PortfolioRef[Reference '#]),0),AssetMonthlyReturns[[#This Row],[SPY]:[PE]])</f>
        <v>-8.1393001131322036E-3</v>
      </c>
      <c r="EF88" s="27">
        <f>IF(ISNUMBER(EF87),EF87*(1+PortfolioFrontier[[#This Row],[P34 Return]]),1+PortfolioFrontier[[#This Row],[P34 Return]])</f>
        <v>1.5348402237993213</v>
      </c>
      <c r="EG88" s="27">
        <f>MAX(EG87,PortfolioFrontier[[#This Row],[P34 Growth]])</f>
        <v>1.6763614413137211</v>
      </c>
      <c r="EH88" s="27">
        <f>PortfolioFrontier[[#This Row],[P34 Growth]]/PortfolioFrontier[[#This Row],[P34 HWM]]-1</f>
        <v>-8.4421661120702818E-2</v>
      </c>
      <c r="EI88" s="28">
        <f>SUMPRODUCT(INDEX(PortfolioRef[[SPY]:[PE]],MATCH(EI$1,PortfolioRef[Reference '#]),0),AssetMonthlyReturns[[#This Row],[SPY]:[PE]])</f>
        <v>-8.2400229272129085E-3</v>
      </c>
      <c r="EJ88" s="27">
        <f>IF(ISNUMBER(EJ87),EJ87*(1+PortfolioFrontier[[#This Row],[P35 Return]]),1+PortfolioFrontier[[#This Row],[P35 Return]])</f>
        <v>1.5637332436210827</v>
      </c>
      <c r="EK88" s="27">
        <f>MAX(EK87,PortfolioFrontier[[#This Row],[P35 Growth]])</f>
        <v>1.6920729334369538</v>
      </c>
      <c r="EL88" s="27">
        <f>PortfolioFrontier[[#This Row],[P35 Growth]]/PortfolioFrontier[[#This Row],[P35 HWM]]-1</f>
        <v>-7.5847611104555845E-2</v>
      </c>
      <c r="EM88" s="28">
        <f>SUMPRODUCT(INDEX(PortfolioRef[[SPY]:[PE]],MATCH(EM$1,PortfolioRef[Reference '#]),0),AssetMonthlyReturns[[#This Row],[SPY]:[PE]])</f>
        <v>-9.54982697839225E-3</v>
      </c>
      <c r="EN88" s="27">
        <f>IF(ISNUMBER(EN87),EN87*(1+PortfolioFrontier[[#This Row],[P36 Return]]),1+PortfolioFrontier[[#This Row],[P36 Return]])</f>
        <v>1.5524881232532151</v>
      </c>
      <c r="EO88" s="27">
        <f>MAX(EO87,PortfolioFrontier[[#This Row],[P36 Growth]])</f>
        <v>1.7120343963250326</v>
      </c>
      <c r="EP88" s="27">
        <f>PortfolioFrontier[[#This Row],[P36 Growth]]/PortfolioFrontier[[#This Row],[P36 HWM]]-1</f>
        <v>-9.3191044183628335E-2</v>
      </c>
      <c r="EQ88" s="28">
        <f>SUMPRODUCT(INDEX(PortfolioRef[[SPY]:[PE]],MATCH(EQ$1,PortfolioRef[Reference '#]),0),AssetMonthlyReturns[[#This Row],[SPY]:[PE]])</f>
        <v>-7.7987886105263136E-3</v>
      </c>
      <c r="ER88" s="27">
        <f>IF(ISNUMBER(ER87),ER87*(1+PortfolioFrontier[[#This Row],[P37 Return]]),1+PortfolioFrontier[[#This Row],[P37 Return]])</f>
        <v>1.5518669594933272</v>
      </c>
      <c r="ES88" s="27">
        <f>MAX(ES87,PortfolioFrontier[[#This Row],[P37 Growth]])</f>
        <v>1.6794736802569215</v>
      </c>
      <c r="ET88" s="27">
        <f>PortfolioFrontier[[#This Row],[P37 Growth]]/PortfolioFrontier[[#This Row],[P37 HWM]]-1</f>
        <v>-7.5980184901780268E-2</v>
      </c>
      <c r="EU88" s="28">
        <f>SUMPRODUCT(INDEX(PortfolioRef[[SPY]:[PE]],MATCH(EU$1,PortfolioRef[Reference '#]),0),AssetMonthlyReturns[[#This Row],[SPY]:[PE]])</f>
        <v>-8.3407457412936134E-3</v>
      </c>
      <c r="EV88" s="27">
        <f>IF(ISNUMBER(EV87),EV87*(1+PortfolioFrontier[[#This Row],[P38 Return]]),1+PortfolioFrontier[[#This Row],[P38 Return]])</f>
        <v>1.59277826283887</v>
      </c>
      <c r="EW88" s="27">
        <f>MAX(EW87,PortfolioFrontier[[#This Row],[P38 Growth]])</f>
        <v>1.7075928941250238</v>
      </c>
      <c r="EX88" s="27">
        <f>PortfolioFrontier[[#This Row],[P38 Growth]]/PortfolioFrontier[[#This Row],[P38 HWM]]-1</f>
        <v>-6.7237707348849818E-2</v>
      </c>
      <c r="EY88" s="28">
        <f>SUMPRODUCT(INDEX(PortfolioRef[[SPY]:[PE]],MATCH(EY$1,PortfolioRef[Reference '#]),0),AssetMonthlyReturns[[#This Row],[SPY]:[PE]])</f>
        <v>-9.6505497924729566E-3</v>
      </c>
      <c r="EZ88" s="27">
        <f>IF(ISNUMBER(EZ87),EZ87*(1+PortfolioFrontier[[#This Row],[P39 Return]]),1+PortfolioFrontier[[#This Row],[P39 Return]])</f>
        <v>1.581686309581924</v>
      </c>
      <c r="FA88" s="27">
        <f>MAX(FA87,PortfolioFrontier[[#This Row],[P39 Growth]])</f>
        <v>1.7280388577532122</v>
      </c>
      <c r="FB88" s="27">
        <f>PortfolioFrontier[[#This Row],[P39 Growth]]/PortfolioFrontier[[#This Row],[P39 HWM]]-1</f>
        <v>-8.4692857174273883E-2</v>
      </c>
      <c r="FC88" s="28">
        <f>SUMPRODUCT(INDEX(PortfolioRef[[SPY]:[PE]],MATCH(FC$1,PortfolioRef[Reference '#]),0),AssetMonthlyReturns[[#This Row],[SPY]:[PE]])</f>
        <v>-7.8995114246070194E-3</v>
      </c>
      <c r="FD88" s="27">
        <f>IF(ISNUMBER(FD87),FD87*(1+PortfolioFrontier[[#This Row],[P40 Return]]),1+PortfolioFrontier[[#This Row],[P40 Return]])</f>
        <v>1.5810878973065152</v>
      </c>
      <c r="FE88" s="27">
        <f>MAX(FE87,PortfolioFrontier[[#This Row],[P40 Growth]])</f>
        <v>1.6952394830468527</v>
      </c>
      <c r="FF88" s="27">
        <f>PortfolioFrontier[[#This Row],[P40 Growth]]/PortfolioFrontier[[#This Row],[P40 HWM]]-1</f>
        <v>-6.733655444077602E-2</v>
      </c>
      <c r="FG88" s="28">
        <f>SUMPRODUCT(INDEX(PortfolioRef[[SPY]:[PE]],MATCH(FG$1,PortfolioRef[Reference '#]),0),AssetMonthlyReturns[[#This Row],[SPY]:[PE]])</f>
        <v>-1.0960353843652298E-2</v>
      </c>
      <c r="FH88" s="27">
        <f>IF(ISNUMBER(FH87),FH87*(1+PortfolioFrontier[[#This Row],[P41 Return]]),1+PortfolioFrontier[[#This Row],[P41 Return]])</f>
        <v>1.569543249678514</v>
      </c>
      <c r="FI88" s="27">
        <f>MAX(FI87,PortfolioFrontier[[#This Row],[P41 Growth]])</f>
        <v>1.7478091274239449</v>
      </c>
      <c r="FJ88" s="27">
        <f>PortfolioFrontier[[#This Row],[P41 Growth]]/PortfolioFrontier[[#This Row],[P41 HWM]]-1</f>
        <v>-0.10199390479678572</v>
      </c>
      <c r="FK88" s="28">
        <f>SUMPRODUCT(INDEX(PortfolioRef[[SPY]:[PE]],MATCH(FK$1,PortfolioRef[Reference '#]),0),AssetMonthlyReturns[[#This Row],[SPY]:[PE]])</f>
        <v>-9.2093154757863626E-3</v>
      </c>
      <c r="FL88" s="27">
        <f>IF(ISNUMBER(FL87),FL87*(1+PortfolioFrontier[[#This Row],[P42 Return]]),1+PortfolioFrontier[[#This Row],[P42 Return]])</f>
        <v>1.5697540842186575</v>
      </c>
      <c r="FM88" s="27">
        <f>MAX(FM87,PortfolioFrontier[[#This Row],[P42 Growth]])</f>
        <v>1.7151998522045959</v>
      </c>
      <c r="FN88" s="27">
        <f>PortfolioFrontier[[#This Row],[P42 Growth]]/PortfolioFrontier[[#This Row],[P42 HWM]]-1</f>
        <v>-8.4798146291228282E-2</v>
      </c>
      <c r="FO88" s="28">
        <f>SUMPRODUCT(INDEX(PortfolioRef[[SPY]:[PE]],MATCH(FO$1,PortfolioRef[Reference '#]),0),AssetMonthlyReturns[[#This Row],[SPY]:[PE]])</f>
        <v>-7.4582771079204253E-3</v>
      </c>
      <c r="FP88" s="27">
        <f>IF(ISNUMBER(FP87),FP87*(1+PortfolioFrontier[[#This Row],[P43 Return]]),1+PortfolioFrontier[[#This Row],[P43 Return]])</f>
        <v>1.5689124475006084</v>
      </c>
      <c r="FQ88" s="27">
        <f>MAX(FQ87,PortfolioFrontier[[#This Row],[P43 Growth]])</f>
        <v>1.6824667632825669</v>
      </c>
      <c r="FR88" s="27">
        <f>PortfolioFrontier[[#This Row],[P43 Growth]]/PortfolioFrontier[[#This Row],[P43 HWM]]-1</f>
        <v>-6.7492754246395337E-2</v>
      </c>
      <c r="FS88" s="28">
        <f>SUMPRODUCT(INDEX(PortfolioRef[[SPY]:[PE]],MATCH(FS$1,PortfolioRef[Reference '#]),0),AssetMonthlyReturns[[#This Row],[SPY]:[PE]])</f>
        <v>-9.7512726065536615E-3</v>
      </c>
      <c r="FT88" s="27">
        <f>IF(ISNUMBER(FT87),FT87*(1+PortfolioFrontier[[#This Row],[P44 Return]]),1+PortfolioFrontier[[#This Row],[P44 Return]])</f>
        <v>1.6110377567180965</v>
      </c>
      <c r="FU88" s="27">
        <f>MAX(FU87,PortfolioFrontier[[#This Row],[P44 Growth]])</f>
        <v>1.7438475694471607</v>
      </c>
      <c r="FV88" s="27">
        <f>PortfolioFrontier[[#This Row],[P44 Growth]]/PortfolioFrontier[[#This Row],[P44 HWM]]-1</f>
        <v>-7.615907207484196E-2</v>
      </c>
      <c r="FW88" s="28">
        <f>SUMPRODUCT(INDEX(PortfolioRef[[SPY]:[PE]],MATCH(FW$1,PortfolioRef[Reference '#]),0),AssetMonthlyReturns[[#This Row],[SPY]:[PE]])</f>
        <v>-8.000234238687726E-3</v>
      </c>
      <c r="FX88" s="27">
        <f>IF(ISNUMBER(FX87),FX87*(1+PortfolioFrontier[[#This Row],[P45 Return]]),1+PortfolioFrontier[[#This Row],[P45 Return]])</f>
        <v>1.6104630390910444</v>
      </c>
      <c r="FY88" s="27">
        <f>MAX(FY87,PortfolioFrontier[[#This Row],[P45 Growth]])</f>
        <v>1.7108140158896465</v>
      </c>
      <c r="FZ88" s="27">
        <f>PortfolioFrontier[[#This Row],[P45 Growth]]/PortfolioFrontier[[#This Row],[P45 HWM]]-1</f>
        <v>-5.8656859171461906E-2</v>
      </c>
      <c r="GA88" s="28">
        <f>SUMPRODUCT(INDEX(PortfolioRef[[SPY]:[PE]],MATCH(GA$1,PortfolioRef[Reference '#]),0),AssetMonthlyReturns[[#This Row],[SPY]:[PE]])</f>
        <v>-1.1061076657733003E-2</v>
      </c>
      <c r="GB88" s="27">
        <f>IF(ISNUMBER(GB87),GB87*(1+PortfolioFrontier[[#This Row],[P46 Return]]),1+PortfolioFrontier[[#This Row],[P46 Return]])</f>
        <v>1.5990353715415189</v>
      </c>
      <c r="GC88" s="27">
        <f>MAX(GC87,PortfolioFrontier[[#This Row],[P46 Growth]])</f>
        <v>1.7641061270089846</v>
      </c>
      <c r="GD88" s="27">
        <f>PortfolioFrontier[[#This Row],[P46 Growth]]/PortfolioFrontier[[#This Row],[P46 HWM]]-1</f>
        <v>-9.3571896236957497E-2</v>
      </c>
      <c r="GE88" s="28">
        <f>SUMPRODUCT(INDEX(PortfolioRef[[SPY]:[PE]],MATCH(GE$1,PortfolioRef[Reference '#]),0),AssetMonthlyReturns[[#This Row],[SPY]:[PE]])</f>
        <v>-9.3100382898670675E-3</v>
      </c>
      <c r="GF88" s="27">
        <f>IF(ISNUMBER(GF87),GF87*(1+PortfolioFrontier[[#This Row],[P47 Return]]),1+PortfolioFrontier[[#This Row],[P47 Return]])</f>
        <v>1.5992844148878167</v>
      </c>
      <c r="GG88" s="27">
        <f>MAX(GG87,PortfolioFrontier[[#This Row],[P47 Growth]])</f>
        <v>1.7312596087544752</v>
      </c>
      <c r="GH88" s="27">
        <f>PortfolioFrontier[[#This Row],[P47 Growth]]/PortfolioFrontier[[#This Row],[P47 HWM]]-1</f>
        <v>-7.6230735817608419E-2</v>
      </c>
      <c r="GI88" s="28">
        <f>SUMPRODUCT(INDEX(PortfolioRef[[SPY]:[PE]],MATCH(GI$1,PortfolioRef[Reference '#]),0),AssetMonthlyReturns[[#This Row],[SPY]:[PE]])</f>
        <v>-7.5589999220011302E-3</v>
      </c>
      <c r="GJ88" s="27">
        <f>IF(ISNUMBER(GJ87),GJ87*(1+PortfolioFrontier[[#This Row],[P48 Return]]),1+PortfolioFrontier[[#This Row],[P48 Return]])</f>
        <v>1.5984619750117663</v>
      </c>
      <c r="GK88" s="27">
        <f>MAX(GK87,PortfolioFrontier[[#This Row],[P48 Growth]])</f>
        <v>1.6982858835097865</v>
      </c>
      <c r="GL88" s="27">
        <f>PortfolioFrontier[[#This Row],[P48 Growth]]/PortfolioFrontier[[#This Row],[P48 HWM]]-1</f>
        <v>-5.8779213480664172E-2</v>
      </c>
      <c r="GM88" s="28">
        <f>SUMPRODUCT(INDEX(PortfolioRef[[SPY]:[PE]],MATCH(GM$1,PortfolioRef[Reference '#]),0),AssetMonthlyReturns[[#This Row],[SPY]:[PE]])</f>
        <v>-1.2370880708912346E-2</v>
      </c>
      <c r="GN88" s="27">
        <f>IF(ISNUMBER(GN87),GN87*(1+PortfolioFrontier[[#This Row],[P49 Return]]),1+PortfolioFrontier[[#This Row],[P49 Return]])</f>
        <v>1.5859783298240047</v>
      </c>
      <c r="GO88" s="27">
        <f>MAX(GO87,PortfolioFrontier[[#This Row],[P49 Growth]])</f>
        <v>1.7836571071341945</v>
      </c>
      <c r="GP88" s="27">
        <f>PortfolioFrontier[[#This Row],[P49 Growth]]/PortfolioFrontier[[#This Row],[P49 HWM]]-1</f>
        <v>-0.11082779112617713</v>
      </c>
      <c r="GQ88" s="28">
        <f>SUMPRODUCT(INDEX(PortfolioRef[[SPY]:[PE]],MATCH(GQ$1,PortfolioRef[Reference '#]),0),AssetMonthlyReturns[[#This Row],[SPY]:[PE]])</f>
        <v>-1.0619842341046411E-2</v>
      </c>
      <c r="GR88" s="27">
        <f>IF(ISNUMBER(GR87),GR87*(1+PortfolioFrontier[[#This Row],[P50 Return]]),1+PortfolioFrontier[[#This Row],[P50 Return]])</f>
        <v>1.5870430549295003</v>
      </c>
      <c r="GS88" s="27">
        <f>MAX(GS87,PortfolioFrontier[[#This Row],[P50 Growth]])</f>
        <v>1.7510275614895194</v>
      </c>
      <c r="GT88" s="27">
        <f>PortfolioFrontier[[#This Row],[P50 Growth]]/PortfolioFrontier[[#This Row],[P50 HWM]]-1</f>
        <v>-9.3650442840845449E-2</v>
      </c>
      <c r="GU88" s="28">
        <f>SUMPRODUCT(INDEX(PortfolioRef[[SPY]:[PE]],MATCH(GU$1,PortfolioRef[Reference '#]),0),AssetMonthlyReturns[[#This Row],[SPY]:[PE]])</f>
        <v>-8.8688039731804735E-3</v>
      </c>
      <c r="GV88" s="27">
        <f>IF(ISNUMBER(GV87),GV87*(1+PortfolioFrontier[[#This Row],[P51 Return]]),1+PortfolioFrontier[[#This Row],[P51 Return]])</f>
        <v>1.5870398877501726</v>
      </c>
      <c r="GW88" s="27">
        <f>MAX(GW87,PortfolioFrontier[[#This Row],[P51 Growth]])</f>
        <v>1.7182435242855478</v>
      </c>
      <c r="GX88" s="27">
        <f>PortfolioFrontier[[#This Row],[P51 Growth]]/PortfolioFrontier[[#This Row],[P51 HWM]]-1</f>
        <v>-7.6359162529031077E-2</v>
      </c>
      <c r="GY88" s="28">
        <f>SUMPRODUCT(INDEX(PortfolioRef[[SPY]:[PE]],MATCH(GY$1,PortfolioRef[Reference '#]),0),AssetMonthlyReturns[[#This Row],[SPY]:[PE]])</f>
        <v>-1.116179947181371E-2</v>
      </c>
      <c r="GZ88" s="27">
        <f>IF(ISNUMBER(GZ87),GZ87*(1+PortfolioFrontier[[#This Row],[P52 Return]]),1+PortfolioFrontier[[#This Row],[P52 Return]])</f>
        <v>1.6286819567122697</v>
      </c>
      <c r="HA88" s="27">
        <f>MAX(HA87,PortfolioFrontier[[#This Row],[P52 Growth]])</f>
        <v>1.7802031417261526</v>
      </c>
      <c r="HB88" s="27">
        <f>PortfolioFrontier[[#This Row],[P52 Growth]]/PortfolioFrontier[[#This Row],[P52 HWM]]-1</f>
        <v>-8.5114547583014732E-2</v>
      </c>
      <c r="HC88" s="28">
        <f>SUMPRODUCT(INDEX(PortfolioRef[[SPY]:[PE]],MATCH(HC$1,PortfolioRef[Reference '#]),0),AssetMonthlyReturns[[#This Row],[SPY]:[PE]])</f>
        <v>-9.4107611039477741E-3</v>
      </c>
      <c r="HD88" s="27">
        <f>IF(ISNUMBER(HD87),HD87*(1+PortfolioFrontier[[#This Row],[P53 Return]]),1+PortfolioFrontier[[#This Row],[P53 Return]])</f>
        <v>1.6289702329798446</v>
      </c>
      <c r="HE88" s="27">
        <f>MAX(HE87,PortfolioFrontier[[#This Row],[P53 Growth]])</f>
        <v>1.7471238825308339</v>
      </c>
      <c r="HF88" s="27">
        <f>PortfolioFrontier[[#This Row],[P53 Growth]]/PortfolioFrontier[[#This Row],[P53 HWM]]-1</f>
        <v>-6.7627516704674262E-2</v>
      </c>
      <c r="HG88" s="28">
        <f>SUMPRODUCT(INDEX(PortfolioRef[[SPY]:[PE]],MATCH(HG$1,PortfolioRef[Reference '#]),0),AssetMonthlyReturns[[#This Row],[SPY]:[PE]])</f>
        <v>-7.6597227360818369E-3</v>
      </c>
      <c r="HH88" s="27">
        <f>IF(ISNUMBER(HH87),HH87*(1+PortfolioFrontier[[#This Row],[P54 Return]]),1+PortfolioFrontier[[#This Row],[P54 Return]])</f>
        <v>1.6281679271218199</v>
      </c>
      <c r="HI88" s="27">
        <f>MAX(HI87,PortfolioFrontier[[#This Row],[P54 Growth]])</f>
        <v>1.7139140104060526</v>
      </c>
      <c r="HJ88" s="27">
        <f>PortfolioFrontier[[#This Row],[P54 Growth]]/PortfolioFrontier[[#This Row],[P54 HWM]]-1</f>
        <v>-5.0029396319549391E-2</v>
      </c>
      <c r="HK88" s="28">
        <f>SUMPRODUCT(INDEX(PortfolioRef[[SPY]:[PE]],MATCH(HK$1,PortfolioRef[Reference '#]),0),AssetMonthlyReturns[[#This Row],[SPY]:[PE]])</f>
        <v>-1.2471603522993051E-2</v>
      </c>
      <c r="HL88" s="27">
        <f>IF(ISNUMBER(HL87),HL87*(1+PortfolioFrontier[[#This Row],[P55 Return]]),1+PortfolioFrontier[[#This Row],[P55 Return]])</f>
        <v>1.6157526919676737</v>
      </c>
      <c r="HM88" s="27">
        <f>MAX(HM87,PortfolioFrontier[[#This Row],[P55 Growth]])</f>
        <v>1.8002459621778737</v>
      </c>
      <c r="HN88" s="27">
        <f>PortfolioFrontier[[#This Row],[P55 Growth]]/PortfolioFrontier[[#This Row],[P55 HWM]]-1</f>
        <v>-0.10248225747275475</v>
      </c>
      <c r="HO88" s="28">
        <f>SUMPRODUCT(INDEX(PortfolioRef[[SPY]:[PE]],MATCH(HO$1,PortfolioRef[Reference '#]),0),AssetMonthlyReturns[[#This Row],[SPY]:[PE]])</f>
        <v>-1.0720565155127116E-2</v>
      </c>
      <c r="HP88" s="27">
        <f>IF(ISNUMBER(HP87),HP87*(1+PortfolioFrontier[[#This Row],[P56 Return]]),1+PortfolioFrontier[[#This Row],[P56 Return]])</f>
        <v>1.6168714403531301</v>
      </c>
      <c r="HQ88" s="27">
        <f>MAX(HQ87,PortfolioFrontier[[#This Row],[P56 Growth]])</f>
        <v>1.767380839986993</v>
      </c>
      <c r="HR88" s="27">
        <f>PortfolioFrontier[[#This Row],[P56 Growth]]/PortfolioFrontier[[#This Row],[P56 HWM]]-1</f>
        <v>-8.5159574115882486E-2</v>
      </c>
      <c r="HS88" s="28">
        <f>SUMPRODUCT(INDEX(PortfolioRef[[SPY]:[PE]],MATCH(HS$1,PortfolioRef[Reference '#]),0),AssetMonthlyReturns[[#This Row],[SPY]:[PE]])</f>
        <v>-8.9695267872611784E-3</v>
      </c>
      <c r="HT88" s="27">
        <f>IF(ISNUMBER(HT87),HT87*(1+PortfolioFrontier[[#This Row],[P57 Return]]),1+PortfolioFrontier[[#This Row],[P57 Return]])</f>
        <v>1.6169030571017142</v>
      </c>
      <c r="HU88" s="27">
        <f>MAX(HU87,PortfolioFrontier[[#This Row],[P57 Growth]])</f>
        <v>1.7343575628436463</v>
      </c>
      <c r="HV88" s="27">
        <f>PortfolioFrontier[[#This Row],[P57 Growth]]/PortfolioFrontier[[#This Row],[P57 HWM]]-1</f>
        <v>-6.7722197693394937E-2</v>
      </c>
      <c r="HW88" s="28">
        <f>SUMPRODUCT(INDEX(PortfolioRef[[SPY]:[PE]],MATCH(HW$1,PortfolioRef[Reference '#]),0),AssetMonthlyReturns[[#This Row],[SPY]:[PE]])</f>
        <v>-1.3781407574172393E-2</v>
      </c>
      <c r="HX88" s="27">
        <f>IF(ISNUMBER(HX87),HX87*(1+PortfolioFrontier[[#This Row],[P58 Return]]),1+PortfolioFrontier[[#This Row],[P58 Return]])</f>
        <v>1.6017664599987482</v>
      </c>
      <c r="HY88" s="27">
        <f>MAX(HY87,PortfolioFrontier[[#This Row],[P58 Growth]])</f>
        <v>1.8195487359549802</v>
      </c>
      <c r="HZ88" s="27">
        <f>PortfolioFrontier[[#This Row],[P58 Growth]]/PortfolioFrontier[[#This Row],[P58 HWM]]-1</f>
        <v>-0.11969026806084981</v>
      </c>
      <c r="IA88" s="28">
        <f>SUMPRODUCT(INDEX(PortfolioRef[[SPY]:[PE]],MATCH(IA$1,PortfolioRef[Reference '#]),0),AssetMonthlyReturns[[#This Row],[SPY]:[PE]])</f>
        <v>-1.2030369206306457E-2</v>
      </c>
      <c r="IB88" s="27">
        <f>IF(ISNUMBER(IB87),IB87*(1+PortfolioFrontier[[#This Row],[P59 Return]]),1+PortfolioFrontier[[#This Row],[P59 Return]])</f>
        <v>1.6037062629164125</v>
      </c>
      <c r="IC88" s="27">
        <f>MAX(IC87,PortfolioFrontier[[#This Row],[P59 Growth]])</f>
        <v>1.7869282396294996</v>
      </c>
      <c r="ID88" s="27">
        <f>PortfolioFrontier[[#This Row],[P59 Growth]]/PortfolioFrontier[[#This Row],[P59 HWM]]-1</f>
        <v>-0.10253460248133761</v>
      </c>
      <c r="IE88" s="28">
        <f>SUMPRODUCT(INDEX(PortfolioRef[[SPY]:[PE]],MATCH(IE$1,PortfolioRef[Reference '#]),0),AssetMonthlyReturns[[#This Row],[SPY]:[PE]])</f>
        <v>-1.027933083844052E-2</v>
      </c>
      <c r="IF88" s="27">
        <f>IF(ISNUMBER(IF87),IF87*(1+PortfolioFrontier[[#This Row],[P60 Return]]),1+PortfolioFrontier[[#This Row],[P60 Return]])</f>
        <v>1.6045638047380999</v>
      </c>
      <c r="IG88" s="27">
        <f>MAX(IG87,PortfolioFrontier[[#This Row],[P60 Growth]])</f>
        <v>1.7541215677111524</v>
      </c>
      <c r="IH88" s="27">
        <f>PortfolioFrontier[[#This Row],[P60 Growth]]/PortfolioFrontier[[#This Row],[P60 HWM]]-1</f>
        <v>-8.5260774239382608E-2</v>
      </c>
      <c r="II88" s="28">
        <f>SUMPRODUCT(INDEX(PortfolioRef[[SPY]:[PE]],MATCH(II$1,PortfolioRef[Reference '#]),0),AssetMonthlyReturns[[#This Row],[SPY]:[PE]])</f>
        <v>-8.9403873168817684E-3</v>
      </c>
      <c r="IJ88" s="27">
        <f>IF(ISNUMBER(IJ87),IJ87*(1+PortfolioFrontier[[#This Row],[P61 Return]]),1+PortfolioFrontier[[#This Row],[P61 Return]])</f>
        <v>1.4750696992948866</v>
      </c>
      <c r="IK88" s="27">
        <f>MAX(IK87,PortfolioFrontier[[#This Row],[P61 Growth]])</f>
        <v>1.6121264956964798</v>
      </c>
      <c r="IL88" s="27">
        <f>PortfolioFrontier[[#This Row],[P61 Growth]]/PortfolioFrontier[[#This Row],[P61 HWM]]-1</f>
        <v>-8.5016155225698387E-2</v>
      </c>
      <c r="IM88" s="28">
        <f>SUMPRODUCT(INDEX(PortfolioRef[[SPY]:[PE]],MATCH(IM$1,PortfolioRef[Reference '#]),0),AssetMonthlyReturns[[#This Row],[SPY]:[PE]])</f>
        <v>-9.041110130962475E-3</v>
      </c>
      <c r="IN88" s="27">
        <f>IF(ISNUMBER(IN87),IN87*(1+PortfolioFrontier[[#This Row],[P62 Return]]),1+PortfolioFrontier[[#This Row],[P62 Return]])</f>
        <v>1.5028449856044432</v>
      </c>
      <c r="IO88" s="27">
        <f>MAX(IO87,PortfolioFrontier[[#This Row],[P62 Growth]])</f>
        <v>1.6272630311124299</v>
      </c>
      <c r="IP88" s="27">
        <f>PortfolioFrontier[[#This Row],[P62 Growth]]/PortfolioFrontier[[#This Row],[P62 HWM]]-1</f>
        <v>-7.6458472373044706E-2</v>
      </c>
      <c r="IQ88" s="28">
        <f>SUMPRODUCT(INDEX(PortfolioRef[[SPY]:[PE]],MATCH(IQ$1,PortfolioRef[Reference '#]),0),AssetMonthlyReturns[[#This Row],[SPY]:[PE]])</f>
        <v>-1.0350914182141818E-2</v>
      </c>
      <c r="IR88" s="27">
        <f>IF(ISNUMBER(IR87),IR87*(1+PortfolioFrontier[[#This Row],[P63 Return]]),1+PortfolioFrontier[[#This Row],[P63 Return]])</f>
        <v>1.4925657427750785</v>
      </c>
      <c r="IS88" s="27">
        <f>MAX(IS87,PortfolioFrontier[[#This Row],[P63 Growth]])</f>
        <v>1.646884909102555</v>
      </c>
      <c r="IT88" s="27">
        <f>PortfolioFrontier[[#This Row],[P63 Growth]]/PortfolioFrontier[[#This Row],[P63 HWM]]-1</f>
        <v>-9.3703673811408206E-2</v>
      </c>
      <c r="IU88" s="28">
        <f>SUMPRODUCT(INDEX(PortfolioRef[[SPY]:[PE]],MATCH(IU$1,PortfolioRef[Reference '#]),0),AssetMonthlyReturns[[#This Row],[SPY]:[PE]])</f>
        <v>-8.5998758142758827E-3</v>
      </c>
      <c r="IV88" s="27">
        <f>IF(ISNUMBER(IV87),IV87*(1+PortfolioFrontier[[#This Row],[P64 Return]]),1+PortfolioFrontier[[#This Row],[P64 Return]])</f>
        <v>1.4914521241026435</v>
      </c>
      <c r="IW88" s="27">
        <f>MAX(IW87,PortfolioFrontier[[#This Row],[P64 Growth]])</f>
        <v>1.6151793879801097</v>
      </c>
      <c r="IX88" s="27">
        <f>PortfolioFrontier[[#This Row],[P64 Growth]]/PortfolioFrontier[[#This Row],[P64 HWM]]-1</f>
        <v>-7.6602800158436568E-2</v>
      </c>
      <c r="IY88" s="28">
        <f>SUMPRODUCT(INDEX(PortfolioRef[[SPY]:[PE]],MATCH(IY$1,PortfolioRef[Reference '#]),0),AssetMonthlyReturns[[#This Row],[SPY]:[PE]])</f>
        <v>-9.1418329450431816E-3</v>
      </c>
      <c r="IZ88" s="27">
        <f>IF(ISNUMBER(IZ87),IZ87*(1+PortfolioFrontier[[#This Row],[P65 Return]]),1+PortfolioFrontier[[#This Row],[P65 Return]])</f>
        <v>1.5307658610390427</v>
      </c>
      <c r="JA88" s="27">
        <f>MAX(JA87,PortfolioFrontier[[#This Row],[P65 Growth]])</f>
        <v>1.6422150953060746</v>
      </c>
      <c r="JB88" s="27">
        <f>PortfolioFrontier[[#This Row],[P65 Growth]]/PortfolioFrontier[[#This Row],[P65 HWM]]-1</f>
        <v>-6.7865186835504132E-2</v>
      </c>
      <c r="JC88" s="28">
        <f>SUMPRODUCT(INDEX(PortfolioRef[[SPY]:[PE]],MATCH(JC$1,PortfolioRef[Reference '#]),0),AssetMonthlyReturns[[#This Row],[SPY]:[PE]])</f>
        <v>-1.0451636996222523E-2</v>
      </c>
      <c r="JD88" s="27">
        <f>IF(ISNUMBER(JD87),JD87*(1+PortfolioFrontier[[#This Row],[P66 Return]]),1+PortfolioFrontier[[#This Row],[P66 Return]])</f>
        <v>1.5206441876666281</v>
      </c>
      <c r="JE88" s="27">
        <f>MAX(JE87,PortfolioFrontier[[#This Row],[P66 Growth]])</f>
        <v>1.6623077877531292</v>
      </c>
      <c r="JF88" s="27">
        <f>PortfolioFrontier[[#This Row],[P66 Growth]]/PortfolioFrontier[[#This Row],[P66 HWM]]-1</f>
        <v>-8.5221040970987483E-2</v>
      </c>
      <c r="JG88" s="28">
        <f>SUMPRODUCT(INDEX(PortfolioRef[[SPY]:[PE]],MATCH(JG$1,PortfolioRef[Reference '#]),0),AssetMonthlyReturns[[#This Row],[SPY]:[PE]])</f>
        <v>-8.7005986283565876E-3</v>
      </c>
      <c r="JH88" s="27">
        <f>IF(ISNUMBER(JH87),JH87*(1+PortfolioFrontier[[#This Row],[P67 Return]]),1+PortfolioFrontier[[#This Row],[P67 Return]])</f>
        <v>1.5195430582246017</v>
      </c>
      <c r="JI88" s="27">
        <f>MAX(JI87,PortfolioFrontier[[#This Row],[P67 Growth]])</f>
        <v>1.6303687537292939</v>
      </c>
      <c r="JJ88" s="27">
        <f>PortfolioFrontier[[#This Row],[P67 Growth]]/PortfolioFrontier[[#This Row],[P67 HWM]]-1</f>
        <v>-6.7975846109164184E-2</v>
      </c>
      <c r="JK88" s="28">
        <f>SUMPRODUCT(INDEX(PortfolioRef[[SPY]:[PE]],MATCH(JK$1,PortfolioRef[Reference '#]),0),AssetMonthlyReturns[[#This Row],[SPY]:[PE]])</f>
        <v>-1.1761441047401865E-2</v>
      </c>
      <c r="JL88" s="27">
        <f>IF(ISNUMBER(JL87),JL87*(1+PortfolioFrontier[[#This Row],[P68 Return]]),1+PortfolioFrontier[[#This Row],[P68 Return]])</f>
        <v>1.5095058800409795</v>
      </c>
      <c r="JM88" s="27">
        <f>MAX(JM87,PortfolioFrontier[[#This Row],[P68 Growth]])</f>
        <v>1.6817622542850994</v>
      </c>
      <c r="JN88" s="27">
        <f>PortfolioFrontier[[#This Row],[P68 Growth]]/PortfolioFrontier[[#This Row],[P68 HWM]]-1</f>
        <v>-0.10242611510944177</v>
      </c>
      <c r="JO88" s="28">
        <f>SUMPRODUCT(INDEX(PortfolioRef[[SPY]:[PE]],MATCH(JO$1,PortfolioRef[Reference '#]),0),AssetMonthlyReturns[[#This Row],[SPY]:[PE]])</f>
        <v>-1.0010402679535929E-2</v>
      </c>
      <c r="JP88" s="27">
        <f>IF(ISNUMBER(JP87),JP87*(1+PortfolioFrontier[[#This Row],[P69 Return]]),1+PortfolioFrontier[[#This Row],[P69 Return]])</f>
        <v>1.5091842357085188</v>
      </c>
      <c r="JQ88" s="27">
        <f>MAX(JQ87,PortfolioFrontier[[#This Row],[P69 Growth]])</f>
        <v>1.6499912107010917</v>
      </c>
      <c r="JR88" s="27">
        <f>PortfolioFrontier[[#This Row],[P69 Growth]]/PortfolioFrontier[[#This Row],[P69 HWM]]-1</f>
        <v>-8.5338015184179716E-2</v>
      </c>
      <c r="JS88" s="28">
        <f>SUMPRODUCT(INDEX(PortfolioRef[[SPY]:[PE]],MATCH(JS$1,PortfolioRef[Reference '#]),0),AssetMonthlyReturns[[#This Row],[SPY]:[PE]])</f>
        <v>-8.2593643116699918E-3</v>
      </c>
      <c r="JT88" s="27">
        <f>IF(ISNUMBER(JT87),JT87*(1+PortfolioFrontier[[#This Row],[P70 Return]]),1+PortfolioFrontier[[#This Row],[P70 Return]])</f>
        <v>1.5078530590359138</v>
      </c>
      <c r="JU88" s="27">
        <f>MAX(JU87,PortfolioFrontier[[#This Row],[P70 Growth]])</f>
        <v>1.6181178918603722</v>
      </c>
      <c r="JV88" s="27">
        <f>PortfolioFrontier[[#This Row],[P70 Growth]]/PortfolioFrontier[[#This Row],[P70 HWM]]-1</f>
        <v>-6.8143880850168093E-2</v>
      </c>
      <c r="JW88" s="28">
        <f>SUMPRODUCT(INDEX(PortfolioRef[[SPY]:[PE]],MATCH(JW$1,PortfolioRef[Reference '#]),0),AssetMonthlyReturns[[#This Row],[SPY]:[PE]])</f>
        <v>-1.055235981030323E-2</v>
      </c>
      <c r="JX88" s="27">
        <f>IF(ISNUMBER(JX87),JX87*(1+PortfolioFrontier[[#This Row],[P71 Return]]),1+PortfolioFrontier[[#This Row],[P71 Return]])</f>
        <v>1.5488694778275263</v>
      </c>
      <c r="JY88" s="27">
        <f>MAX(JY87,PortfolioFrontier[[#This Row],[P71 Growth]])</f>
        <v>1.6775420819631024</v>
      </c>
      <c r="JZ88" s="27">
        <f>PortfolioFrontier[[#This Row],[P71 Growth]]/PortfolioFrontier[[#This Row],[P71 HWM]]-1</f>
        <v>-7.6703055928707409E-2</v>
      </c>
      <c r="KA88" s="28">
        <f>SUMPRODUCT(INDEX(PortfolioRef[[SPY]:[PE]],MATCH(KA$1,PortfolioRef[Reference '#]),0),AssetMonthlyReturns[[#This Row],[SPY]:[PE]])</f>
        <v>-8.8013214424372942E-3</v>
      </c>
      <c r="KB88" s="27">
        <f>IF(ISNUMBER(KB87),KB87*(1+PortfolioFrontier[[#This Row],[P72 Return]]),1+PortfolioFrontier[[#This Row],[P72 Return]])</f>
        <v>1.5477816999414535</v>
      </c>
      <c r="KC88" s="27">
        <f>MAX(KC87,PortfolioFrontier[[#This Row],[P72 Growth]])</f>
        <v>1.6453738946019467</v>
      </c>
      <c r="KD88" s="27">
        <f>PortfolioFrontier[[#This Row],[P72 Growth]]/PortfolioFrontier[[#This Row],[P72 HWM]]-1</f>
        <v>-5.9313080741507096E-2</v>
      </c>
      <c r="KE88" s="28">
        <f>SUMPRODUCT(INDEX(PortfolioRef[[SPY]:[PE]],MATCH(KE$1,PortfolioRef[Reference '#]),0),AssetMonthlyReturns[[#This Row],[SPY]:[PE]])</f>
        <v>-1.1862163861482571E-2</v>
      </c>
      <c r="KF88" s="27">
        <f>IF(ISNUMBER(KF87),KF87*(1+PortfolioFrontier[[#This Row],[P73 Return]]),1+PortfolioFrontier[[#This Row],[P73 Return]])</f>
        <v>1.5378769201839315</v>
      </c>
      <c r="KG88" s="27">
        <f>MAX(KG87,PortfolioFrontier[[#This Row],[P73 Growth]])</f>
        <v>1.6974712283523181</v>
      </c>
      <c r="KH88" s="27">
        <f>PortfolioFrontier[[#This Row],[P73 Growth]]/PortfolioFrontier[[#This Row],[P73 HWM]]-1</f>
        <v>-9.4018859055007287E-2</v>
      </c>
      <c r="KI88" s="28">
        <f>SUMPRODUCT(INDEX(PortfolioRef[[SPY]:[PE]],MATCH(KI$1,PortfolioRef[Reference '#]),0),AssetMonthlyReturns[[#This Row],[SPY]:[PE]])</f>
        <v>-1.0111125493616636E-2</v>
      </c>
      <c r="KJ88" s="27">
        <f>IF(ISNUMBER(KJ87),KJ87*(1+PortfolioFrontier[[#This Row],[P74 Return]]),1+PortfolioFrontier[[#This Row],[P74 Return]])</f>
        <v>1.5375825064917958</v>
      </c>
      <c r="KK88" s="27">
        <f>MAX(KK87,PortfolioFrontier[[#This Row],[P74 Growth]])</f>
        <v>1.6654678920548054</v>
      </c>
      <c r="KL88" s="27">
        <f>PortfolioFrontier[[#This Row],[P74 Growth]]/PortfolioFrontier[[#This Row],[P74 HWM]]-1</f>
        <v>-7.6786461133890871E-2</v>
      </c>
      <c r="KM88" s="28">
        <f>SUMPRODUCT(INDEX(PortfolioRef[[SPY]:[PE]],MATCH(KM$1,PortfolioRef[Reference '#]),0),AssetMonthlyReturns[[#This Row],[SPY]:[PE]])</f>
        <v>-8.3600871257506985E-3</v>
      </c>
      <c r="KN88" s="27">
        <f>IF(ISNUMBER(KN87),KN87*(1+PortfolioFrontier[[#This Row],[P75 Return]]),1+PortfolioFrontier[[#This Row],[P75 Return]])</f>
        <v>1.5362602970865</v>
      </c>
      <c r="KO88" s="27">
        <f>MAX(KO87,PortfolioFrontier[[#This Row],[P75 Growth]])</f>
        <v>1.6333591346427441</v>
      </c>
      <c r="KP88" s="27">
        <f>PortfolioFrontier[[#This Row],[P75 Growth]]/PortfolioFrontier[[#This Row],[P75 HWM]]-1</f>
        <v>-5.944732881876702E-2</v>
      </c>
      <c r="KQ88" s="28">
        <f>SUMPRODUCT(INDEX(PortfolioRef[[SPY]:[PE]],MATCH(KQ$1,PortfolioRef[Reference '#]),0),AssetMonthlyReturns[[#This Row],[SPY]:[PE]])</f>
        <v>-1.3171967912661913E-2</v>
      </c>
      <c r="KR88" s="27">
        <f>IF(ISNUMBER(KR87),KR87*(1+PortfolioFrontier[[#This Row],[P76 Return]]),1+PortfolioFrontier[[#This Row],[P76 Return]])</f>
        <v>1.5258634398504602</v>
      </c>
      <c r="KS88" s="27">
        <f>MAX(KS87,PortfolioFrontier[[#This Row],[P76 Growth]])</f>
        <v>1.7167314071133803</v>
      </c>
      <c r="KT88" s="27">
        <f>PortfolioFrontier[[#This Row],[P76 Growth]]/PortfolioFrontier[[#This Row],[P76 HWM]]-1</f>
        <v>-0.11118103069125851</v>
      </c>
      <c r="KU88" s="28">
        <f>SUMPRODUCT(INDEX(PortfolioRef[[SPY]:[PE]],MATCH(KU$1,PortfolioRef[Reference '#]),0),AssetMonthlyReturns[[#This Row],[SPY]:[PE]])</f>
        <v>-1.1420929544795977E-2</v>
      </c>
      <c r="KV88" s="27">
        <f>IF(ISNUMBER(KV87),KV87*(1+PortfolioFrontier[[#This Row],[P77 Return]]),1+PortfolioFrontier[[#This Row],[P77 Return]])</f>
        <v>1.5263554416052028</v>
      </c>
      <c r="KW88" s="27">
        <f>MAX(KW87,PortfolioFrontier[[#This Row],[P77 Growth]])</f>
        <v>1.6849217747429484</v>
      </c>
      <c r="KX88" s="27">
        <f>PortfolioFrontier[[#This Row],[P77 Growth]]/PortfolioFrontier[[#This Row],[P77 HWM]]-1</f>
        <v>-9.4109017709107845E-2</v>
      </c>
      <c r="KY88" s="28">
        <f>SUMPRODUCT(INDEX(PortfolioRef[[SPY]:[PE]],MATCH(KY$1,PortfolioRef[Reference '#]),0),AssetMonthlyReturns[[#This Row],[SPY]:[PE]])</f>
        <v>-9.66989117693004E-3</v>
      </c>
      <c r="KZ88" s="27">
        <f>IF(ISNUMBER(KZ87),KZ87*(1+PortfolioFrontier[[#This Row],[P78 Return]]),1+PortfolioFrontier[[#This Row],[P78 Return]])</f>
        <v>1.5258223053301274</v>
      </c>
      <c r="LA88" s="27">
        <f>MAX(LA87,PortfolioFrontier[[#This Row],[P78 Growth]])</f>
        <v>1.6529805725839544</v>
      </c>
      <c r="LB88" s="27">
        <f>PortfolioFrontier[[#This Row],[P78 Growth]]/PortfolioFrontier[[#This Row],[P78 HWM]]-1</f>
        <v>-7.6926655620066953E-2</v>
      </c>
      <c r="LC88" s="28">
        <f>SUMPRODUCT(INDEX(PortfolioRef[[SPY]:[PE]],MATCH(LC$1,PortfolioRef[Reference '#]),0),AssetMonthlyReturns[[#This Row],[SPY]:[PE]])</f>
        <v>-1.1962886675563278E-2</v>
      </c>
      <c r="LD88" s="27">
        <f>IF(ISNUMBER(LD87),LD87*(1+PortfolioFrontier[[#This Row],[P79 Return]]),1+PortfolioFrontier[[#This Row],[P79 Return]])</f>
        <v>1.5663960061863067</v>
      </c>
      <c r="LE88" s="27">
        <f>MAX(LE87,PortfolioFrontier[[#This Row],[P79 Growth]])</f>
        <v>1.7129874860839263</v>
      </c>
      <c r="LF88" s="27">
        <f>PortfolioFrontier[[#This Row],[P79 Growth]]/PortfolioFrontier[[#This Row],[P79 HWM]]-1</f>
        <v>-8.5576503674725246E-2</v>
      </c>
      <c r="LG88" s="28">
        <f>SUMPRODUCT(INDEX(PortfolioRef[[SPY]:[PE]],MATCH(LG$1,PortfolioRef[Reference '#]),0),AssetMonthlyReturns[[#This Row],[SPY]:[PE]])</f>
        <v>-1.0211848307697342E-2</v>
      </c>
      <c r="LH88" s="27">
        <f>IF(ISNUMBER(LH87),LH87*(1+PortfolioFrontier[[#This Row],[P80 Return]]),1+PortfolioFrontier[[#This Row],[P80 Return]])</f>
        <v>1.5661297628848931</v>
      </c>
      <c r="LI88" s="27">
        <f>MAX(LI87,PortfolioFrontier[[#This Row],[P80 Growth]])</f>
        <v>1.6807562405101484</v>
      </c>
      <c r="LJ88" s="27">
        <f>PortfolioFrontier[[#This Row],[P80 Growth]]/PortfolioFrontier[[#This Row],[P80 HWM]]-1</f>
        <v>-6.8199346736004696E-2</v>
      </c>
      <c r="LK88" s="28">
        <f>SUMPRODUCT(INDEX(PortfolioRef[[SPY]:[PE]],MATCH(LK$1,PortfolioRef[Reference '#]),0),AssetMonthlyReturns[[#This Row],[SPY]:[PE]])</f>
        <v>-8.4608099398314034E-3</v>
      </c>
      <c r="LL88" s="27">
        <f>IF(ISNUMBER(LL87),LL87*(1+PortfolioFrontier[[#This Row],[P81 Return]]),1+PortfolioFrontier[[#This Row],[P81 Return]])</f>
        <v>1.5648173767476627</v>
      </c>
      <c r="LM88" s="27">
        <f>MAX(LM87,PortfolioFrontier[[#This Row],[P81 Growth]])</f>
        <v>1.648416413491208</v>
      </c>
      <c r="LN88" s="27">
        <f>PortfolioFrontier[[#This Row],[P81 Growth]]/PortfolioFrontier[[#This Row],[P81 HWM]]-1</f>
        <v>-5.0714756331799449E-2</v>
      </c>
      <c r="LO88" s="28">
        <f>SUMPRODUCT(INDEX(PortfolioRef[[SPY]:[PE]],MATCH(LO$1,PortfolioRef[Reference '#]),0),AssetMonthlyReturns[[#This Row],[SPY]:[PE]])</f>
        <v>-1.3272690726742618E-2</v>
      </c>
      <c r="LP88" s="27">
        <f>IF(ISNUMBER(LP87),LP87*(1+PortfolioFrontier[[#This Row],[P82 Return]]),1+PortfolioFrontier[[#This Row],[P82 Return]])</f>
        <v>1.5545160569279144</v>
      </c>
      <c r="LQ88" s="27">
        <f>MAX(LQ87,PortfolioFrontier[[#This Row],[P82 Growth]])</f>
        <v>1.7327259878391794</v>
      </c>
      <c r="LR88" s="27">
        <f>PortfolioFrontier[[#This Row],[P82 Growth]]/PortfolioFrontier[[#This Row],[P82 HWM]]-1</f>
        <v>-0.10284945926938183</v>
      </c>
      <c r="LS88" s="28">
        <f>SUMPRODUCT(INDEX(PortfolioRef[[SPY]:[PE]],MATCH(LS$1,PortfolioRef[Reference '#]),0),AssetMonthlyReturns[[#This Row],[SPY]:[PE]])</f>
        <v>-1.1521652358876682E-2</v>
      </c>
      <c r="LT88" s="27">
        <f>IF(ISNUMBER(LT87),LT87*(1+PortfolioFrontier[[#This Row],[P83 Return]]),1+PortfolioFrontier[[#This Row],[P83 Return]])</f>
        <v>1.5550503856516213</v>
      </c>
      <c r="LU88" s="27">
        <f>MAX(LU87,PortfolioFrontier[[#This Row],[P83 Growth]])</f>
        <v>1.7006855237848306</v>
      </c>
      <c r="LV88" s="27">
        <f>PortfolioFrontier[[#This Row],[P83 Growth]]/PortfolioFrontier[[#This Row],[P83 HWM]]-1</f>
        <v>-8.5633196788258759E-2</v>
      </c>
      <c r="LW88" s="28">
        <f>SUMPRODUCT(INDEX(PortfolioRef[[SPY]:[PE]],MATCH(LW$1,PortfolioRef[Reference '#]),0),AssetMonthlyReturns[[#This Row],[SPY]:[PE]])</f>
        <v>-9.7706139910107449E-3</v>
      </c>
      <c r="LX88" s="27">
        <f>IF(ISNUMBER(LX87),LX87*(1+PortfolioFrontier[[#This Row],[P84 Return]]),1+PortfolioFrontier[[#This Row],[P84 Return]])</f>
        <v>1.5545410803247557</v>
      </c>
      <c r="LY88" s="27">
        <f>MAX(LY87,PortfolioFrontier[[#This Row],[P84 Growth]])</f>
        <v>1.6685100840279028</v>
      </c>
      <c r="LZ88" s="27">
        <f>PortfolioFrontier[[#This Row],[P84 Growth]]/PortfolioFrontier[[#This Row],[P84 HWM]]-1</f>
        <v>-6.8305852505258891E-2</v>
      </c>
      <c r="MA88" s="28">
        <f>SUMPRODUCT(INDEX(PortfolioRef[[SPY]:[PE]],MATCH(MA$1,PortfolioRef[Reference '#]),0),AssetMonthlyReturns[[#This Row],[SPY]:[PE]])</f>
        <v>-1.4582494777921961E-2</v>
      </c>
      <c r="MB88" s="27">
        <f>IF(ISNUMBER(MB87),MB87*(1+PortfolioFrontier[[#This Row],[P85 Return]]),1+PortfolioFrontier[[#This Row],[P85 Return]])</f>
        <v>1.5416120721705202</v>
      </c>
      <c r="MC88" s="27">
        <f>MAX(MC87,PortfolioFrontier[[#This Row],[P85 Growth]])</f>
        <v>1.7517641950154219</v>
      </c>
      <c r="MD88" s="27">
        <f>PortfolioFrontier[[#This Row],[P85 Growth]]/PortfolioFrontier[[#This Row],[P85 HWM]]-1</f>
        <v>-0.11996598825508675</v>
      </c>
      <c r="ME88" s="28">
        <f>SUMPRODUCT(INDEX(PortfolioRef[[SPY]:[PE]],MATCH(ME$1,PortfolioRef[Reference '#]),0),AssetMonthlyReturns[[#This Row],[SPY]:[PE]])</f>
        <v>-1.2831456410056025E-2</v>
      </c>
      <c r="MF88" s="27">
        <f>IF(ISNUMBER(MF87),MF87*(1+PortfolioFrontier[[#This Row],[P86 Return]]),1+PortfolioFrontier[[#This Row],[P86 Return]])</f>
        <v>1.5429387437849491</v>
      </c>
      <c r="MG88" s="27">
        <f>MAX(MG87,PortfolioFrontier[[#This Row],[P86 Growth]])</f>
        <v>1.7199439154573082</v>
      </c>
      <c r="MH88" s="27">
        <f>PortfolioFrontier[[#This Row],[P86 Growth]]/PortfolioFrontier[[#This Row],[P86 HWM]]-1</f>
        <v>-0.10291333925577217</v>
      </c>
      <c r="MI88" s="28">
        <f>SUMPRODUCT(INDEX(PortfolioRef[[SPY]:[PE]],MATCH(MI$1,PortfolioRef[Reference '#]),0),AssetMonthlyReturns[[#This Row],[SPY]:[PE]])</f>
        <v>-1.1080418042190088E-2</v>
      </c>
      <c r="MJ88" s="27">
        <f>IF(ISNUMBER(MJ87),MJ87*(1+PortfolioFrontier[[#This Row],[P87 Return]]),1+PortfolioFrontier[[#This Row],[P87 Return]])</f>
        <v>1.5432256584192239</v>
      </c>
      <c r="MK88" s="27">
        <f>MAX(MK87,PortfolioFrontier[[#This Row],[P87 Growth]])</f>
        <v>1.6879617873128629</v>
      </c>
      <c r="ML88" s="27">
        <f>PortfolioFrontier[[#This Row],[P87 Growth]]/PortfolioFrontier[[#This Row],[P87 HWM]]-1</f>
        <v>-8.5746093295186787E-2</v>
      </c>
      <c r="MM88" s="28">
        <f>SUMPRODUCT(INDEX(PortfolioRef[[SPY]:[PE]],MATCH(MM$1,PortfolioRef[Reference '#]),0),AssetMonthlyReturns[[#This Row],[SPY]:[PE]])</f>
        <v>-1.3373413540823324E-2</v>
      </c>
      <c r="MN88" s="27">
        <f>IF(ISNUMBER(MN87),MN87*(1+PortfolioFrontier[[#This Row],[P88 Return]]),1+PortfolioFrontier[[#This Row],[P88 Return]])</f>
        <v>1.5833178631516263</v>
      </c>
      <c r="MO88" s="27">
        <f>MAX(MO87,PortfolioFrontier[[#This Row],[P88 Growth]])</f>
        <v>1.7485237047822844</v>
      </c>
      <c r="MP88" s="27">
        <f>PortfolioFrontier[[#This Row],[P88 Growth]]/PortfolioFrontier[[#This Row],[P88 HWM]]-1</f>
        <v>-9.4483043712140335E-2</v>
      </c>
      <c r="MQ88" s="28">
        <f>SUMPRODUCT(INDEX(PortfolioRef[[SPY]:[PE]],MATCH(MQ$1,PortfolioRef[Reference '#]),0),AssetMonthlyReturns[[#This Row],[SPY]:[PE]])</f>
        <v>-1.1622375172957389E-2</v>
      </c>
      <c r="MR88" s="27">
        <f>IF(ISNUMBER(MR87),MR87*(1+PortfolioFrontier[[#This Row],[P89 Return]]),1+PortfolioFrontier[[#This Row],[P89 Return]])</f>
        <v>1.583895537029911</v>
      </c>
      <c r="MS88" s="27">
        <f>MAX(MS87,PortfolioFrontier[[#This Row],[P89 Growth]])</f>
        <v>1.7162568132506029</v>
      </c>
      <c r="MT88" s="27">
        <f>PortfolioFrontier[[#This Row],[P89 Growth]]/PortfolioFrontier[[#This Row],[P89 HWM]]-1</f>
        <v>-7.7122068911119834E-2</v>
      </c>
      <c r="MU88" s="28">
        <f>SUMPRODUCT(INDEX(PortfolioRef[[SPY]:[PE]],MATCH(MU$1,PortfolioRef[Reference '#]),0),AssetMonthlyReturns[[#This Row],[SPY]:[PE]])</f>
        <v>-9.8713368050914515E-3</v>
      </c>
      <c r="MV88" s="27">
        <f>IF(ISNUMBER(MV87),MV87*(1+PortfolioFrontier[[#This Row],[P90 Return]]),1+PortfolioFrontier[[#This Row],[P90 Return]])</f>
        <v>1.5834109970429375</v>
      </c>
      <c r="MW88" s="27">
        <f>MAX(MW87,PortfolioFrontier[[#This Row],[P90 Growth]])</f>
        <v>1.6838515290273213</v>
      </c>
      <c r="MX88" s="27">
        <f>PortfolioFrontier[[#This Row],[P90 Growth]]/PortfolioFrontier[[#This Row],[P90 HWM]]-1</f>
        <v>-5.9649280386616543E-2</v>
      </c>
      <c r="MY88" s="28">
        <f>SUMPRODUCT(INDEX(PortfolioRef[[SPY]:[PE]],MATCH(MY$1,PortfolioRef[Reference '#]),0),AssetMonthlyReturns[[#This Row],[SPY]:[PE]])</f>
        <v>-1.4683217592002668E-2</v>
      </c>
      <c r="MZ88" s="27">
        <f>IF(ISNUMBER(MZ87),MZ87*(1+PortfolioFrontier[[#This Row],[P91 Return]]),1+PortfolioFrontier[[#This Row],[P91 Return]])</f>
        <v>1.5705347997975747</v>
      </c>
      <c r="NA88" s="27">
        <f>MAX(NA87,PortfolioFrontier[[#This Row],[P91 Growth]])</f>
        <v>1.7680436458517257</v>
      </c>
      <c r="NB88" s="27">
        <f>PortfolioFrontier[[#This Row],[P91 Growth]]/PortfolioFrontier[[#This Row],[P91 HWM]]-1</f>
        <v>-0.11171039047455433</v>
      </c>
      <c r="NC88" s="28">
        <f>SUMPRODUCT(INDEX(PortfolioRef[[SPY]:[PE]],MATCH(NC$1,PortfolioRef[Reference '#]),0),AssetMonthlyReturns[[#This Row],[SPY]:[PE]])</f>
        <v>-1.2932179224136732E-2</v>
      </c>
      <c r="ND88" s="27">
        <f>IF(ISNUMBER(ND87),ND87*(1+PortfolioFrontier[[#This Row],[P92 Return]]),1+PortfolioFrontier[[#This Row],[P92 Return]])</f>
        <v>1.5719192370210069</v>
      </c>
      <c r="NE88" s="27">
        <f>MAX(NE87,PortfolioFrontier[[#This Row],[P92 Growth]])</f>
        <v>1.73599424265744</v>
      </c>
      <c r="NF88" s="27">
        <f>PortfolioFrontier[[#This Row],[P92 Growth]]/PortfolioFrontier[[#This Row],[P92 HWM]]-1</f>
        <v>-9.4513565543436928E-2</v>
      </c>
      <c r="NG88" s="28">
        <f>SUMPRODUCT(INDEX(PortfolioRef[[SPY]:[PE]],MATCH(NG$1,PortfolioRef[Reference '#]),0),AssetMonthlyReturns[[#This Row],[SPY]:[PE]])</f>
        <v>-1.1181140856270795E-2</v>
      </c>
      <c r="NH88" s="27">
        <f>IF(ISNUMBER(NH87),NH87*(1+PortfolioFrontier[[#This Row],[P93 Return]]),1+PortfolioFrontier[[#This Row],[P93 Return]])</f>
        <v>1.5722452069732125</v>
      </c>
      <c r="NI88" s="27">
        <f>MAX(NI87,PortfolioFrontier[[#This Row],[P93 Growth]])</f>
        <v>1.7037793193389816</v>
      </c>
      <c r="NJ88" s="27">
        <f>PortfolioFrontier[[#This Row],[P93 Growth]]/PortfolioFrontier[[#This Row],[P93 HWM]]-1</f>
        <v>-7.7201378648498187E-2</v>
      </c>
      <c r="NK88" s="28">
        <f>SUMPRODUCT(INDEX(PortfolioRef[[SPY]:[PE]],MATCH(NK$1,PortfolioRef[Reference '#]),0),AssetMonthlyReturns[[#This Row],[SPY]:[PE]])</f>
        <v>-1.5993021643182007E-2</v>
      </c>
      <c r="NL88" s="27">
        <f>IF(ISNUMBER(NL87),NL87*(1+PortfolioFrontier[[#This Row],[P94 Return]]),1+PortfolioFrontier[[#This Row],[P94 Return]])</f>
        <v>1.5567258008982772</v>
      </c>
      <c r="NM88" s="27">
        <f>MAX(NM87,PortfolioFrontier[[#This Row],[P94 Growth]])</f>
        <v>1.7868313973018393</v>
      </c>
      <c r="NN88" s="27">
        <f>PortfolioFrontier[[#This Row],[P94 Growth]]/PortfolioFrontier[[#This Row],[P94 HWM]]-1</f>
        <v>-0.12877857236616019</v>
      </c>
      <c r="NO88" s="28">
        <f>SUMPRODUCT(INDEX(PortfolioRef[[SPY]:[PE]],MATCH(NO$1,PortfolioRef[Reference '#]),0),AssetMonthlyReturns[[#This Row],[SPY]:[PE]])</f>
        <v>-1.4241983275316073E-2</v>
      </c>
      <c r="NP88" s="27">
        <f>IF(ISNUMBER(NP87),NP87*(1+PortfolioFrontier[[#This Row],[P95 Return]]),1+PortfolioFrontier[[#This Row],[P95 Return]])</f>
        <v>1.558907466369301</v>
      </c>
      <c r="NQ88" s="27">
        <f>MAX(NQ87,PortfolioFrontier[[#This Row],[P95 Growth]])</f>
        <v>1.7550294195356591</v>
      </c>
      <c r="NR88" s="27">
        <f>PortfolioFrontier[[#This Row],[P95 Growth]]/PortfolioFrontier[[#This Row],[P95 HWM]]-1</f>
        <v>-0.11174852739405783</v>
      </c>
      <c r="NS88" s="28">
        <f>SUMPRODUCT(INDEX(PortfolioRef[[SPY]:[PE]],MATCH(NS$1,PortfolioRef[Reference '#]),0),AssetMonthlyReturns[[#This Row],[SPY]:[PE]])</f>
        <v>-1.2490944907450136E-2</v>
      </c>
      <c r="NT88" s="27">
        <f>IF(ISNUMBER(NT87),NT87*(1+PortfolioFrontier[[#This Row],[P96 Return]]),1+PortfolioFrontier[[#This Row],[P96 Return]])</f>
        <v>1.5600357923935657</v>
      </c>
      <c r="NU88" s="27">
        <f>MAX(NU87,PortfolioFrontier[[#This Row],[P96 Growth]])</f>
        <v>1.7230343324336159</v>
      </c>
      <c r="NV88" s="27">
        <f>PortfolioFrontier[[#This Row],[P96 Growth]]/PortfolioFrontier[[#This Row],[P96 HWM]]-1</f>
        <v>-9.4599705282616631E-2</v>
      </c>
      <c r="NW88" s="28">
        <f>SUMPRODUCT(INDEX(PortfolioRef[[SPY]:[PE]],MATCH(NW$1,PortfolioRef[Reference '#]),0),AssetMonthlyReturns[[#This Row],[SPY]:[PE]])</f>
        <v>-9.7414745206313366E-3</v>
      </c>
      <c r="NX88" s="27">
        <f>IF(ISNUMBER(NX87),NX87*(1+PortfolioFrontier[[#This Row],[P97 Return]]),1+PortfolioFrontier[[#This Row],[P97 Return]])</f>
        <v>1.4170102487708871</v>
      </c>
      <c r="NY88" s="27">
        <f>MAX(NY87,PortfolioFrontier[[#This Row],[P97 Growth]])</f>
        <v>1.5498139523617234</v>
      </c>
      <c r="NZ88" s="27">
        <f>PortfolioFrontier[[#This Row],[P97 Growth]]/PortfolioFrontier[[#This Row],[P97 HWM]]-1</f>
        <v>-8.5690094213218271E-2</v>
      </c>
      <c r="OA88" s="28">
        <f>SUMPRODUCT(INDEX(PortfolioRef[[SPY]:[PE]],MATCH(OA$1,PortfolioRef[Reference '#]),0),AssetMonthlyReturns[[#This Row],[SPY]:[PE]])</f>
        <v>-9.8421973347120432E-3</v>
      </c>
      <c r="OB88" s="27">
        <f>IF(ISNUMBER(OB87),OB87*(1+PortfolioFrontier[[#This Row],[P98 Return]]),1+PortfolioFrontier[[#This Row],[P98 Return]])</f>
        <v>1.4436998610162437</v>
      </c>
      <c r="OC88" s="27">
        <f>MAX(OC87,PortfolioFrontier[[#This Row],[P98 Growth]])</f>
        <v>1.5643918723292729</v>
      </c>
      <c r="OD88" s="27">
        <f>PortfolioFrontier[[#This Row],[P98 Growth]]/PortfolioFrontier[[#This Row],[P98 HWM]]-1</f>
        <v>-7.7149474788134165E-2</v>
      </c>
      <c r="OE88" s="28">
        <f>SUMPRODUCT(INDEX(PortfolioRef[[SPY]:[PE]],MATCH(OE$1,PortfolioRef[Reference '#]),0),AssetMonthlyReturns[[#This Row],[SPY]:[PE]])</f>
        <v>-1.1152001385891385E-2</v>
      </c>
      <c r="OF88" s="27">
        <f>IF(ISNUMBER(OF87),OF87*(1+PortfolioFrontier[[#This Row],[P99 Return]]),1+PortfolioFrontier[[#This Row],[P99 Return]])</f>
        <v>1.4343312295313209</v>
      </c>
      <c r="OG88" s="27">
        <f>MAX(OG87,PortfolioFrontier[[#This Row],[P99 Growth]])</f>
        <v>1.5836627563813395</v>
      </c>
      <c r="OH88" s="27">
        <f>PortfolioFrontier[[#This Row],[P99 Growth]]/PortfolioFrontier[[#This Row],[P99 HWM]]-1</f>
        <v>-9.4295029827714316E-2</v>
      </c>
      <c r="OI88" s="28">
        <f>SUMPRODUCT(INDEX(PortfolioRef[[SPY]:[PE]],MATCH(OI$1,PortfolioRef[Reference '#]),0),AssetMonthlyReturns[[#This Row],[SPY]:[PE]])</f>
        <v>-9.4009630180254492E-3</v>
      </c>
      <c r="OJ88" s="27">
        <f>IF(ISNUMBER(OJ87),OJ87*(1+PortfolioFrontier[[#This Row],[P100 Return]]),1+PortfolioFrontier[[#This Row],[P100 Return]])</f>
        <v>1.432765862170718</v>
      </c>
      <c r="OK88" s="27">
        <f>MAX(OK87,PortfolioFrontier[[#This Row],[P100 Growth]])</f>
        <v>1.5528062347399851</v>
      </c>
      <c r="OL88" s="27">
        <f>PortfolioFrontier[[#This Row],[P100 Growth]]/PortfolioFrontier[[#This Row],[P100 HWM]]-1</f>
        <v>-7.730544216250379E-2</v>
      </c>
      <c r="OM88" s="28">
        <f>SUMPRODUCT(INDEX(PortfolioRef[[SPY]:[PE]],MATCH(OM$1,PortfolioRef[Reference '#]),0),AssetMonthlyReturns[[#This Row],[SPY]:[PE]])</f>
        <v>-9.9429201487927499E-3</v>
      </c>
      <c r="ON88" s="27">
        <f>IF(ISNUMBER(ON87),ON87*(1+PortfolioFrontier[[#This Row],[P101 Return]]),1+PortfolioFrontier[[#This Row],[P101 Return]])</f>
        <v>1.4705288652997957</v>
      </c>
      <c r="OO88" s="27">
        <f>MAX(OO87,PortfolioFrontier[[#This Row],[P101 Growth]])</f>
        <v>1.5787921813488919</v>
      </c>
      <c r="OP88" s="27">
        <f>PortfolioFrontier[[#This Row],[P101 Growth]]/PortfolioFrontier[[#This Row],[P101 HWM]]-1</f>
        <v>-6.8573506588180622E-2</v>
      </c>
      <c r="OQ88" s="28">
        <f>SUMPRODUCT(INDEX(PortfolioRef[[SPY]:[PE]],MATCH(OQ$1,PortfolioRef[Reference '#]),0),AssetMonthlyReturns[[#This Row],[SPY]:[PE]])</f>
        <v>-1.1252724199972091E-2</v>
      </c>
      <c r="OR88" s="27">
        <f>IF(ISNUMBER(OR87),OR87*(1+PortfolioFrontier[[#This Row],[P102 Return]]),1+PortfolioFrontier[[#This Row],[P102 Return]])</f>
        <v>1.4613215529581303</v>
      </c>
      <c r="OS88" s="27">
        <f>MAX(OS87,PortfolioFrontier[[#This Row],[P102 Growth]])</f>
        <v>1.5985203886251573</v>
      </c>
      <c r="OT88" s="27">
        <f>PortfolioFrontier[[#This Row],[P102 Growth]]/PortfolioFrontier[[#This Row],[P102 HWM]]-1</f>
        <v>-8.5828642939629884E-2</v>
      </c>
      <c r="OU88" s="28">
        <f>SUMPRODUCT(INDEX(PortfolioRef[[SPY]:[PE]],MATCH(OU$1,PortfolioRef[Reference '#]),0),AssetMonthlyReturns[[#This Row],[SPY]:[PE]])</f>
        <v>-9.5016858321061558E-3</v>
      </c>
      <c r="OV88" s="27">
        <f>IF(ISNUMBER(OV87),OV87*(1+PortfolioFrontier[[#This Row],[P103 Return]]),1+PortfolioFrontier[[#This Row],[P103 Return]])</f>
        <v>1.4597591841737909</v>
      </c>
      <c r="OW88" s="27">
        <f>MAX(OW87,PortfolioFrontier[[#This Row],[P103 Growth]])</f>
        <v>1.5674355228105428</v>
      </c>
      <c r="OX88" s="27">
        <f>PortfolioFrontier[[#This Row],[P103 Growth]]/PortfolioFrontier[[#This Row],[P103 HWM]]-1</f>
        <v>-6.8695864722830291E-2</v>
      </c>
      <c r="OY88" s="28">
        <f>SUMPRODUCT(INDEX(PortfolioRef[[SPY]:[PE]],MATCH(OY$1,PortfolioRef[Reference '#]),0),AssetMonthlyReturns[[#This Row],[SPY]:[PE]])</f>
        <v>-1.2562528251151433E-2</v>
      </c>
      <c r="OZ88" s="27">
        <f>IF(ISNUMBER(OZ87),OZ87*(1+PortfolioFrontier[[#This Row],[P104 Return]]),1+PortfolioFrontier[[#This Row],[P104 Return]])</f>
        <v>1.4511317029268083</v>
      </c>
      <c r="PA88" s="27">
        <f>MAX(PA87,PortfolioFrontier[[#This Row],[P104 Growth]])</f>
        <v>1.6176462594840681</v>
      </c>
      <c r="PB88" s="27">
        <f>PortfolioFrontier[[#This Row],[P104 Growth]]/PortfolioFrontier[[#This Row],[P104 HWM]]-1</f>
        <v>-0.10293632219096405</v>
      </c>
      <c r="PC88" s="28">
        <f>SUMPRODUCT(INDEX(PortfolioRef[[SPY]:[PE]],MATCH(PC$1,PortfolioRef[Reference '#]),0),AssetMonthlyReturns[[#This Row],[SPY]:[PE]])</f>
        <v>-1.0811489883285497E-2</v>
      </c>
      <c r="PD88" s="27">
        <f>IF(ISNUMBER(PD87),PD87*(1+PortfolioFrontier[[#This Row],[P105 Return]]),1+PortfolioFrontier[[#This Row],[P105 Return]])</f>
        <v>1.4503195412104386</v>
      </c>
      <c r="PE88" s="27">
        <f>MAX(PE87,PortfolioFrontier[[#This Row],[P105 Growth]])</f>
        <v>1.5867085542337835</v>
      </c>
      <c r="PF88" s="27">
        <f>PortfolioFrontier[[#This Row],[P105 Growth]]/PortfolioFrontier[[#This Row],[P105 HWM]]-1</f>
        <v>-8.5957192743066013E-2</v>
      </c>
      <c r="PG88" s="28">
        <f>SUMPRODUCT(INDEX(PortfolioRef[[SPY]:[PE]],MATCH(PG$1,PortfolioRef[Reference '#]),0),AssetMonthlyReturns[[#This Row],[SPY]:[PE]])</f>
        <v>-9.0604515154195601E-3</v>
      </c>
      <c r="PH88" s="27">
        <f>IF(ISNUMBER(PH87),PH87*(1+PortfolioFrontier[[#This Row],[P106 Return]]),1+PortfolioFrontier[[#This Row],[P106 Return]])</f>
        <v>1.4485397205034782</v>
      </c>
      <c r="PI88" s="27">
        <f>MAX(PI87,PortfolioFrontier[[#This Row],[P106 Growth]])</f>
        <v>1.5556887430167754</v>
      </c>
      <c r="PJ88" s="27">
        <f>PortfolioFrontier[[#This Row],[P106 Growth]]/PortfolioFrontier[[#This Row],[P106 HWM]]-1</f>
        <v>-6.8875617307299519E-2</v>
      </c>
      <c r="PK88" s="28">
        <f>SUMPRODUCT(INDEX(PortfolioRef[[SPY]:[PE]],MATCH(PK$1,PortfolioRef[Reference '#]),0),AssetMonthlyReturns[[#This Row],[SPY]:[PE]])</f>
        <v>-1.1353447014052796E-2</v>
      </c>
      <c r="PL88" s="27">
        <f>IF(ISNUMBER(PL87),PL87*(1+PortfolioFrontier[[#This Row],[P107 Return]]),1+PortfolioFrontier[[#This Row],[P107 Return]])</f>
        <v>1.4884525169929972</v>
      </c>
      <c r="PM88" s="27">
        <f>MAX(PM87,PortfolioFrontier[[#This Row],[P107 Growth]])</f>
        <v>1.6131964012798079</v>
      </c>
      <c r="PN88" s="27">
        <f>PortfolioFrontier[[#This Row],[P107 Growth]]/PortfolioFrontier[[#This Row],[P107 HWM]]-1</f>
        <v>-7.7327152594592219E-2</v>
      </c>
      <c r="PO88" s="28">
        <f>SUMPRODUCT(INDEX(PortfolioRef[[SPY]:[PE]],MATCH(PO$1,PortfolioRef[Reference '#]),0),AssetMonthlyReturns[[#This Row],[SPY]:[PE]])</f>
        <v>-9.6024086461868607E-3</v>
      </c>
      <c r="PP88" s="27">
        <f>IF(ISNUMBER(PP87),PP87*(1+PortfolioFrontier[[#This Row],[P108 Return]]),1+PortfolioFrontier[[#This Row],[P108 Return]])</f>
        <v>1.4868939331361803</v>
      </c>
      <c r="PQ88" s="27">
        <f>MAX(PQ87,PortfolioFrontier[[#This Row],[P108 Growth]])</f>
        <v>1.5818874318633449</v>
      </c>
      <c r="PR88" s="27">
        <f>PortfolioFrontier[[#This Row],[P108 Growth]]/PortfolioFrontier[[#This Row],[P108 HWM]]-1</f>
        <v>-6.0050732317450284E-2</v>
      </c>
      <c r="PS88" s="28">
        <f>SUMPRODUCT(INDEX(PortfolioRef[[SPY]:[PE]],MATCH(PS$1,PortfolioRef[Reference '#]),0),AssetMonthlyReturns[[#This Row],[SPY]:[PE]])</f>
        <v>-1.266325106523214E-2</v>
      </c>
      <c r="PT88" s="27">
        <f>IF(ISNUMBER(PT87),PT87*(1+PortfolioFrontier[[#This Row],[P109 Return]]),1+PortfolioFrontier[[#This Row],[P109 Return]])</f>
        <v>1.4784128161581487</v>
      </c>
      <c r="PU88" s="27">
        <f>MAX(PU87,PortfolioFrontier[[#This Row],[P109 Growth]])</f>
        <v>1.6327835279326679</v>
      </c>
      <c r="PV88" s="27">
        <f>PortfolioFrontier[[#This Row],[P109 Growth]]/PortfolioFrontier[[#This Row],[P109 HWM]]-1</f>
        <v>-9.4544505829241232E-2</v>
      </c>
      <c r="PW88" s="28">
        <f>SUMPRODUCT(INDEX(PortfolioRef[[SPY]:[PE]],MATCH(PW$1,PortfolioRef[Reference '#]),0),AssetMonthlyReturns[[#This Row],[SPY]:[PE]])</f>
        <v>-1.0912212697366204E-2</v>
      </c>
      <c r="PX88" s="27">
        <f>IF(ISNUMBER(PX87),PX87*(1+PortfolioFrontier[[#This Row],[P110 Return]]),1+PortfolioFrontier[[#This Row],[P110 Return]])</f>
        <v>1.4776177000482256</v>
      </c>
      <c r="PY88" s="27">
        <f>MAX(PY87,PortfolioFrontier[[#This Row],[P110 Growth]])</f>
        <v>1.6016185143364081</v>
      </c>
      <c r="PZ88" s="27">
        <f>PortfolioFrontier[[#This Row],[P110 Growth]]/PortfolioFrontier[[#This Row],[P110 HWM]]-1</f>
        <v>-7.7422190851458295E-2</v>
      </c>
      <c r="QA88" s="28">
        <f>SUMPRODUCT(INDEX(PortfolioRef[[SPY]:[PE]],MATCH(QA$1,PortfolioRef[Reference '#]),0),AssetMonthlyReturns[[#This Row],[SPY]:[PE]])</f>
        <v>-9.1611743295002667E-3</v>
      </c>
      <c r="QB88" s="27">
        <f>IF(ISNUMBER(QB87),QB87*(1+PortfolioFrontier[[#This Row],[P111 Return]]),1+PortfolioFrontier[[#This Row],[P111 Return]])</f>
        <v>1.4758373926504105</v>
      </c>
      <c r="QC88" s="27">
        <f>MAX(QC87,PortfolioFrontier[[#This Row],[P111 Growth]])</f>
        <v>1.5703684845094485</v>
      </c>
      <c r="QD88" s="27">
        <f>PortfolioFrontier[[#This Row],[P111 Growth]]/PortfolioFrontier[[#This Row],[P111 HWM]]-1</f>
        <v>-6.019675814404013E-2</v>
      </c>
      <c r="QE88" s="28">
        <f>SUMPRODUCT(INDEX(PortfolioRef[[SPY]:[PE]],MATCH(QE$1,PortfolioRef[Reference '#]),0),AssetMonthlyReturns[[#This Row],[SPY]:[PE]])</f>
        <v>-1.3973055116411481E-2</v>
      </c>
      <c r="QF88" s="27">
        <f>IF(ISNUMBER(QF87),QF87*(1+PortfolioFrontier[[#This Row],[P112 Return]]),1+PortfolioFrontier[[#This Row],[P112 Return]])</f>
        <v>1.4673856180058653</v>
      </c>
      <c r="QG88" s="27">
        <f>MAX(QG87,PortfolioFrontier[[#This Row],[P112 Growth]])</f>
        <v>1.6517386955477045</v>
      </c>
      <c r="QH88" s="27">
        <f>PortfolioFrontier[[#This Row],[P112 Growth]]/PortfolioFrontier[[#This Row],[P112 HWM]]-1</f>
        <v>-0.11161152671349694</v>
      </c>
      <c r="QI88" s="28">
        <f>SUMPRODUCT(INDEX(PortfolioRef[[SPY]:[PE]],MATCH(QI$1,PortfolioRef[Reference '#]),0),AssetMonthlyReturns[[#This Row],[SPY]:[PE]])</f>
        <v>-1.2222016748545545E-2</v>
      </c>
      <c r="QJ88" s="27">
        <f>IF(ISNUMBER(QJ87),QJ87*(1+PortfolioFrontier[[#This Row],[P113 Return]]),1+PortfolioFrontier[[#This Row],[P113 Return]])</f>
        <v>1.4673480787961213</v>
      </c>
      <c r="QK88" s="27">
        <f>MAX(QK87,PortfolioFrontier[[#This Row],[P113 Growth]])</f>
        <v>1.6207454292109018</v>
      </c>
      <c r="QL88" s="27">
        <f>PortfolioFrontier[[#This Row],[P113 Growth]]/PortfolioFrontier[[#This Row],[P113 HWM]]-1</f>
        <v>-9.4646171847892036E-2</v>
      </c>
      <c r="QM88" s="28">
        <f>SUMPRODUCT(INDEX(PortfolioRef[[SPY]:[PE]],MATCH(QM$1,PortfolioRef[Reference '#]),0),AssetMonthlyReturns[[#This Row],[SPY]:[PE]])</f>
        <v>-1.0470978380679608E-2</v>
      </c>
      <c r="QN88" s="27">
        <f>IF(ISNUMBER(QN87),QN87*(1+PortfolioFrontier[[#This Row],[P114 Return]]),1+PortfolioFrontier[[#This Row],[P114 Return]])</f>
        <v>1.4663271406622638</v>
      </c>
      <c r="QO88" s="27">
        <f>MAX(QO87,PortfolioFrontier[[#This Row],[P114 Growth]])</f>
        <v>1.5896421022161857</v>
      </c>
      <c r="QP88" s="27">
        <f>PortfolioFrontier[[#This Row],[P114 Growth]]/PortfolioFrontier[[#This Row],[P114 HWM]]-1</f>
        <v>-7.7574040963059199E-2</v>
      </c>
      <c r="QQ88" s="28">
        <f>SUMPRODUCT(INDEX(PortfolioRef[[SPY]:[PE]],MATCH(QQ$1,PortfolioRef[Reference '#]),0),AssetMonthlyReturns[[#This Row],[SPY]:[PE]])</f>
        <v>-1.2763973879312844E-2</v>
      </c>
      <c r="QR88" s="27">
        <f>IF(ISNUMBER(QR87),QR87*(1+PortfolioFrontier[[#This Row],[P115 Return]]),1+PortfolioFrontier[[#This Row],[P115 Return]])</f>
        <v>1.5058357662372921</v>
      </c>
      <c r="QS88" s="27">
        <f>MAX(QS87,PortfolioFrontier[[#This Row],[P115 Growth]])</f>
        <v>1.6477351477866757</v>
      </c>
      <c r="QT88" s="27">
        <f>PortfolioFrontier[[#This Row],[P115 Growth]]/PortfolioFrontier[[#This Row],[P115 HWM]]-1</f>
        <v>-8.6117833767150209E-2</v>
      </c>
      <c r="QU88" s="28">
        <f>SUMPRODUCT(INDEX(PortfolioRef[[SPY]:[PE]],MATCH(QU$1,PortfolioRef[Reference '#]),0),AssetMonthlyReturns[[#This Row],[SPY]:[PE]])</f>
        <v>-1.1012935511446909E-2</v>
      </c>
      <c r="QV88" s="27">
        <f>IF(ISNUMBER(QV87),QV87*(1+PortfolioFrontier[[#This Row],[P116 Return]]),1+PortfolioFrontier[[#This Row],[P116 Return]])</f>
        <v>1.5050585560872709</v>
      </c>
      <c r="QW88" s="27">
        <f>MAX(QW87,PortfolioFrontier[[#This Row],[P116 Growth]])</f>
        <v>1.6163470917094751</v>
      </c>
      <c r="QX88" s="27">
        <f>PortfolioFrontier[[#This Row],[P116 Growth]]/PortfolioFrontier[[#This Row],[P116 HWM]]-1</f>
        <v>-6.8851879768288882E-2</v>
      </c>
      <c r="QY88" s="28">
        <f>SUMPRODUCT(INDEX(PortfolioRef[[SPY]:[PE]],MATCH(QY$1,PortfolioRef[Reference '#]),0),AssetMonthlyReturns[[#This Row],[SPY]:[PE]])</f>
        <v>-9.2618971435809716E-3</v>
      </c>
      <c r="QZ88" s="27">
        <f>IF(ISNUMBER(QZ87),QZ87*(1+PortfolioFrontier[[#This Row],[P117 Return]]),1+PortfolioFrontier[[#This Row],[P117 Return]])</f>
        <v>1.5032785417261894</v>
      </c>
      <c r="RA88" s="27">
        <f>MAX(RA87,PortfolioFrontier[[#This Row],[P117 Growth]])</f>
        <v>1.5848710929942145</v>
      </c>
      <c r="RB88" s="27">
        <f>PortfolioFrontier[[#This Row],[P117 Growth]]/PortfolioFrontier[[#This Row],[P117 HWM]]-1</f>
        <v>-5.1482137335142175E-2</v>
      </c>
      <c r="RC88" s="28">
        <f>SUMPRODUCT(INDEX(PortfolioRef[[SPY]:[PE]],MATCH(RC$1,PortfolioRef[Reference '#]),0),AssetMonthlyReturns[[#This Row],[SPY]:[PE]])</f>
        <v>-1.4073777930492186E-2</v>
      </c>
      <c r="RD88" s="27">
        <f>IF(ISNUMBER(RD87),RD87*(1+PortfolioFrontier[[#This Row],[P118 Return]]),1+PortfolioFrontier[[#This Row],[P118 Return]])</f>
        <v>1.4949471543411625</v>
      </c>
      <c r="RE88" s="27">
        <f>MAX(RE87,PortfolioFrontier[[#This Row],[P118 Growth]])</f>
        <v>1.667155293527623</v>
      </c>
      <c r="RF88" s="27">
        <f>PortfolioFrontier[[#This Row],[P118 Growth]]/PortfolioFrontier[[#This Row],[P118 HWM]]-1</f>
        <v>-0.1032946000021846</v>
      </c>
      <c r="RG88" s="28">
        <f>SUMPRODUCT(INDEX(PortfolioRef[[SPY]:[PE]],MATCH(RG$1,PortfolioRef[Reference '#]),0),AssetMonthlyReturns[[#This Row],[SPY]:[PE]])</f>
        <v>-1.232273956262625E-2</v>
      </c>
      <c r="RH88" s="27">
        <f>IF(ISNUMBER(RH87),RH87*(1+PortfolioFrontier[[#This Row],[P119 Return]]),1+PortfolioFrontier[[#This Row],[P119 Return]])</f>
        <v>1.4949410598020807</v>
      </c>
      <c r="RI88" s="27">
        <f>MAX(RI87,PortfolioFrontier[[#This Row],[P119 Growth]])</f>
        <v>1.6359359857167841</v>
      </c>
      <c r="RJ88" s="27">
        <f>PortfolioFrontier[[#This Row],[P119 Growth]]/PortfolioFrontier[[#This Row],[P119 HWM]]-1</f>
        <v>-8.6186089887206996E-2</v>
      </c>
      <c r="RK88" s="28">
        <f>SUMPRODUCT(INDEX(PortfolioRef[[SPY]:[PE]],MATCH(RK$1,PortfolioRef[Reference '#]),0),AssetMonthlyReturns[[#This Row],[SPY]:[PE]])</f>
        <v>-1.0571701194760313E-2</v>
      </c>
      <c r="RL88" s="27">
        <f>IF(ISNUMBER(RL87),RL87*(1+PortfolioFrontier[[#This Row],[P120 Return]]),1+PortfolioFrontier[[#This Row],[P120 Return]])</f>
        <v>1.4939337970643702</v>
      </c>
      <c r="RM88" s="27">
        <f>MAX(RM87,PortfolioFrontier[[#This Row],[P120 Growth]])</f>
        <v>1.6046034567476111</v>
      </c>
      <c r="RN88" s="27">
        <f>PortfolioFrontier[[#This Row],[P120 Growth]]/PortfolioFrontier[[#This Row],[P120 HWM]]-1</f>
        <v>-6.897009925901465E-2</v>
      </c>
      <c r="RO88" s="28">
        <f>SUMPRODUCT(INDEX(PortfolioRef[[SPY]:[PE]],MATCH(RO$1,PortfolioRef[Reference '#]),0),AssetMonthlyReturns[[#This Row],[SPY]:[PE]])</f>
        <v>-1.5383581981671529E-2</v>
      </c>
      <c r="RP88" s="27">
        <f>IF(ISNUMBER(RP87),RP87*(1+PortfolioFrontier[[#This Row],[P121 Return]]),1+PortfolioFrontier[[#This Row],[P121 Return]])</f>
        <v>1.4830671994085702</v>
      </c>
      <c r="RQ88" s="27">
        <f>MAX(RQ87,PortfolioFrontier[[#This Row],[P121 Growth]])</f>
        <v>1.6859132740659151</v>
      </c>
      <c r="RR88" s="27">
        <f>PortfolioFrontier[[#This Row],[P121 Growth]]/PortfolioFrontier[[#This Row],[P121 HWM]]-1</f>
        <v>-0.12031821433384959</v>
      </c>
      <c r="RS88" s="28">
        <f>SUMPRODUCT(INDEX(PortfolioRef[[SPY]:[PE]],MATCH(RS$1,PortfolioRef[Reference '#]),0),AssetMonthlyReturns[[#This Row],[SPY]:[PE]])</f>
        <v>-1.3632543613805594E-2</v>
      </c>
      <c r="RT88" s="27">
        <f>IF(ISNUMBER(RT87),RT87*(1+PortfolioFrontier[[#This Row],[P122 Return]]),1+PortfolioFrontier[[#This Row],[P122 Return]])</f>
        <v>1.4838251060226841</v>
      </c>
      <c r="RU88" s="27">
        <f>MAX(RU87,PortfolioFrontier[[#This Row],[P122 Growth]])</f>
        <v>1.6548910536150563</v>
      </c>
      <c r="RV88" s="27">
        <f>PortfolioFrontier[[#This Row],[P122 Growth]]/PortfolioFrontier[[#This Row],[P122 HWM]]-1</f>
        <v>-0.10336991502775006</v>
      </c>
      <c r="RW88" s="28">
        <f>SUMPRODUCT(INDEX(PortfolioRef[[SPY]:[PE]],MATCH(RW$1,PortfolioRef[Reference '#]),0),AssetMonthlyReturns[[#This Row],[SPY]:[PE]])</f>
        <v>-1.1881505245939656E-2</v>
      </c>
      <c r="RX88" s="27">
        <f>IF(ISNUMBER(RX87),RX87*(1+PortfolioFrontier[[#This Row],[P123 Return]]),1+PortfolioFrontier[[#This Row],[P123 Return]])</f>
        <v>1.4835847975140015</v>
      </c>
      <c r="RY88" s="27">
        <f>MAX(RY87,PortfolioFrontier[[#This Row],[P123 Growth]])</f>
        <v>1.6237298558231279</v>
      </c>
      <c r="RZ88" s="27">
        <f>PortfolioFrontier[[#This Row],[P123 Growth]]/PortfolioFrontier[[#This Row],[P123 HWM]]-1</f>
        <v>-8.6310575497844599E-2</v>
      </c>
      <c r="SA88" s="28">
        <f>SUMPRODUCT(INDEX(PortfolioRef[[SPY]:[PE]],MATCH(SA$1,PortfolioRef[Reference '#]),0),AssetMonthlyReturns[[#This Row],[SPY]:[PE]])</f>
        <v>-1.4174500744572893E-2</v>
      </c>
      <c r="SB88" s="27">
        <f>IF(ISNUMBER(SB87),SB87*(1+PortfolioFrontier[[#This Row],[P124 Return]]),1+PortfolioFrontier[[#This Row],[P124 Return]])</f>
        <v>1.5226516697158441</v>
      </c>
      <c r="SC88" s="27">
        <f>MAX(SC87,PortfolioFrontier[[#This Row],[P124 Growth]])</f>
        <v>1.6823821965094672</v>
      </c>
      <c r="SD88" s="27">
        <f>PortfolioFrontier[[#This Row],[P124 Growth]]/PortfolioFrontier[[#This Row],[P124 HWM]]-1</f>
        <v>-9.4943067707816353E-2</v>
      </c>
      <c r="SE88" s="28">
        <f>SUMPRODUCT(INDEX(PortfolioRef[[SPY]:[PE]],MATCH(SE$1,PortfolioRef[Reference '#]),0),AssetMonthlyReturns[[#This Row],[SPY]:[PE]])</f>
        <v>-1.2423462376706957E-2</v>
      </c>
      <c r="SF88" s="27">
        <f>IF(ISNUMBER(SF87),SF87*(1+PortfolioFrontier[[#This Row],[P125 Return]]),1+PortfolioFrontier[[#This Row],[P125 Return]])</f>
        <v>1.5226779552260663</v>
      </c>
      <c r="SG88" s="27">
        <f>MAX(SG87,PortfolioFrontier[[#This Row],[P125 Growth]])</f>
        <v>1.6509411354388694</v>
      </c>
      <c r="SH88" s="27">
        <f>PortfolioFrontier[[#This Row],[P125 Growth]]/PortfolioFrontier[[#This Row],[P125 HWM]]-1</f>
        <v>-7.7690946975348729E-2</v>
      </c>
      <c r="SI88" s="28">
        <f>SUMPRODUCT(INDEX(PortfolioRef[[SPY]:[PE]],MATCH(SI$1,PortfolioRef[Reference '#]),0),AssetMonthlyReturns[[#This Row],[SPY]:[PE]])</f>
        <v>-1.067242400884102E-2</v>
      </c>
      <c r="SJ88" s="27">
        <f>IF(ISNUMBER(SJ87),SJ87*(1+PortfolioFrontier[[#This Row],[P126 Return]]),1+PortfolioFrontier[[#This Row],[P126 Return]])</f>
        <v>1.5216852225341577</v>
      </c>
      <c r="SK88" s="27">
        <f>MAX(SK87,PortfolioFrontier[[#This Row],[P126 Growth]])</f>
        <v>1.6193836797956254</v>
      </c>
      <c r="SL88" s="27">
        <f>PortfolioFrontier[[#This Row],[P126 Growth]]/PortfolioFrontier[[#This Row],[P126 HWM]]-1</f>
        <v>-6.0330642132812917E-2</v>
      </c>
      <c r="SM88" s="28">
        <f>SUMPRODUCT(INDEX(PortfolioRef[[SPY]:[PE]],MATCH(SM$1,PortfolioRef[Reference '#]),0),AssetMonthlyReturns[[#This Row],[SPY]:[PE]])</f>
        <v>-1.5484304795752234E-2</v>
      </c>
      <c r="SN88" s="27">
        <f>IF(ISNUMBER(SN87),SN87*(1+PortfolioFrontier[[#This Row],[P127 Return]]),1+PortfolioFrontier[[#This Row],[P127 Return]])</f>
        <v>1.5108983529212203</v>
      </c>
      <c r="SO88" s="27">
        <f>MAX(SO87,PortfolioFrontier[[#This Row],[P127 Growth]])</f>
        <v>1.7016086575400751</v>
      </c>
      <c r="SP88" s="27">
        <f>PortfolioFrontier[[#This Row],[P127 Growth]]/PortfolioFrontier[[#This Row],[P127 HWM]]-1</f>
        <v>-0.11207647761651285</v>
      </c>
      <c r="SQ88" s="28">
        <f>SUMPRODUCT(INDEX(PortfolioRef[[SPY]:[PE]],MATCH(SQ$1,PortfolioRef[Reference '#]),0),AssetMonthlyReturns[[#This Row],[SPY]:[PE]])</f>
        <v>-1.3733266427886298E-2</v>
      </c>
      <c r="SR88" s="27">
        <f>IF(ISNUMBER(SR87),SR87*(1+PortfolioFrontier[[#This Row],[P128 Return]]),1+PortfolioFrontier[[#This Row],[P128 Return]])</f>
        <v>1.5117024436582402</v>
      </c>
      <c r="SS88" s="27">
        <f>MAX(SS87,PortfolioFrontier[[#This Row],[P128 Growth]])</f>
        <v>1.6703618996398835</v>
      </c>
      <c r="ST88" s="27">
        <f>PortfolioFrontier[[#This Row],[P128 Growth]]/PortfolioFrontier[[#This Row],[P128 HWM]]-1</f>
        <v>-9.498507839280157E-2</v>
      </c>
      <c r="SU88" s="28">
        <f>SUMPRODUCT(INDEX(PortfolioRef[[SPY]:[PE]],MATCH(SU$1,PortfolioRef[Reference '#]),0),AssetMonthlyReturns[[#This Row],[SPY]:[PE]])</f>
        <v>-1.1982228060020361E-2</v>
      </c>
      <c r="SV88" s="27">
        <f>IF(ISNUMBER(SV87),SV87*(1+PortfolioFrontier[[#This Row],[P129 Return]]),1+PortfolioFrontier[[#This Row],[P129 Return]])</f>
        <v>1.5114903303064657</v>
      </c>
      <c r="SW88" s="27">
        <f>MAX(SW87,PortfolioFrontier[[#This Row],[P129 Growth]])</f>
        <v>1.6389727481356613</v>
      </c>
      <c r="SX88" s="27">
        <f>PortfolioFrontier[[#This Row],[P129 Growth]]/PortfolioFrontier[[#This Row],[P129 HWM]]-1</f>
        <v>-7.7781902093373656E-2</v>
      </c>
      <c r="SY88" s="28">
        <f>SUMPRODUCT(INDEX(PortfolioRef[[SPY]:[PE]],MATCH(SY$1,PortfolioRef[Reference '#]),0),AssetMonthlyReturns[[#This Row],[SPY]:[PE]])</f>
        <v>-1.6794108846931576E-2</v>
      </c>
      <c r="SZ88" s="27">
        <f>IF(ISNUMBER(SZ87),SZ87*(1+PortfolioFrontier[[#This Row],[P130 Return]]),1+PortfolioFrontier[[#This Row],[P130 Return]])</f>
        <v>1.4981509982187649</v>
      </c>
      <c r="TA88" s="27">
        <f>MAX(TA87,PortfolioFrontier[[#This Row],[P130 Growth]])</f>
        <v>1.720142179322633</v>
      </c>
      <c r="TB88" s="27">
        <f>PortfolioFrontier[[#This Row],[P130 Growth]]/PortfolioFrontier[[#This Row],[P130 HWM]]-1</f>
        <v>-0.12905397226599324</v>
      </c>
      <c r="TC88" s="28">
        <f>SUMPRODUCT(INDEX(PortfolioRef[[SPY]:[PE]],MATCH(TC$1,PortfolioRef[Reference '#]),0),AssetMonthlyReturns[[#This Row],[SPY]:[PE]])</f>
        <v>-1.504307047906564E-2</v>
      </c>
      <c r="TD88" s="27">
        <f>IF(ISNUMBER(TD87),TD87*(1+PortfolioFrontier[[#This Row],[P131 Return]]),1+PortfolioFrontier[[#This Row],[P131 Return]])</f>
        <v>1.4997245300643895</v>
      </c>
      <c r="TE88" s="27">
        <f>MAX(TE87,PortfolioFrontier[[#This Row],[P131 Growth]])</f>
        <v>1.6891185966988822</v>
      </c>
      <c r="TF88" s="27">
        <f>PortfolioFrontier[[#This Row],[P131 Growth]]/PortfolioFrontier[[#This Row],[P131 HWM]]-1</f>
        <v>-0.11212597327661522</v>
      </c>
      <c r="TG88" s="28">
        <f>SUMPRODUCT(INDEX(PortfolioRef[[SPY]:[PE]],MATCH(TG$1,PortfolioRef[Reference '#]),0),AssetMonthlyReturns[[#This Row],[SPY]:[PE]])</f>
        <v>-1.3292032111199703E-2</v>
      </c>
      <c r="TH88" s="27">
        <f>IF(ISNUMBER(TH87),TH87*(1+PortfolioFrontier[[#This Row],[P132 Return]]),1+PortfolioFrontier[[#This Row],[P132 Return]])</f>
        <v>1.5002860031080398</v>
      </c>
      <c r="TI88" s="27">
        <f>MAX(TI87,PortfolioFrontier[[#This Row],[P132 Growth]])</f>
        <v>1.6579261593145806</v>
      </c>
      <c r="TJ88" s="27">
        <f>PortfolioFrontier[[#This Row],[P132 Growth]]/PortfolioFrontier[[#This Row],[P132 HWM]]-1</f>
        <v>-9.5082736538587675E-2</v>
      </c>
      <c r="TK88" s="28">
        <f>SUMPRODUCT(INDEX(PortfolioRef[[SPY]:[PE]],MATCH(TK$1,PortfolioRef[Reference '#]),0),AssetMonthlyReturns[[#This Row],[SPY]:[PE]])</f>
        <v>-1.5585027609832941E-2</v>
      </c>
      <c r="TL88" s="27">
        <f>IF(ISNUMBER(TL87),TL87*(1+PortfolioFrontier[[#This Row],[P133 Return]]),1+PortfolioFrontier[[#This Row],[P133 Return]])</f>
        <v>1.5388735719421833</v>
      </c>
      <c r="TM88" s="27">
        <f>MAX(TM87,PortfolioFrontier[[#This Row],[P133 Growth]])</f>
        <v>1.7171102853087914</v>
      </c>
      <c r="TN88" s="27">
        <f>PortfolioFrontier[[#This Row],[P133 Growth]]/PortfolioFrontier[[#This Row],[P133 HWM]]-1</f>
        <v>-0.103800387716247</v>
      </c>
      <c r="TO88" s="28">
        <f>SUMPRODUCT(INDEX(PortfolioRef[[SPY]:[PE]],MATCH(TO$1,PortfolioRef[Reference '#]),0),AssetMonthlyReturns[[#This Row],[SPY]:[PE]])</f>
        <v>-1.3833989241967005E-2</v>
      </c>
      <c r="TP88" s="27">
        <f>IF(ISNUMBER(TP87),TP87*(1+PortfolioFrontier[[#This Row],[P134 Return]]),1+PortfolioFrontier[[#This Row],[P134 Return]])</f>
        <v>1.5397248581571277</v>
      </c>
      <c r="TQ88" s="27">
        <f>MAX(TQ87,PortfolioFrontier[[#This Row],[P134 Growth]])</f>
        <v>1.6856432974461595</v>
      </c>
      <c r="TR88" s="27">
        <f>PortfolioFrontier[[#This Row],[P134 Growth]]/PortfolioFrontier[[#This Row],[P134 HWM]]-1</f>
        <v>-8.6565431435052798E-2</v>
      </c>
      <c r="TS88" s="28">
        <f>SUMPRODUCT(INDEX(PortfolioRef[[SPY]:[PE]],MATCH(TS$1,PortfolioRef[Reference '#]),0),AssetMonthlyReturns[[#This Row],[SPY]:[PE]])</f>
        <v>-1.2082950874101068E-2</v>
      </c>
      <c r="TT88" s="27">
        <f>IF(ISNUMBER(TT87),TT87*(1+PortfolioFrontier[[#This Row],[P135 Return]]),1+PortfolioFrontier[[#This Row],[P135 Return]])</f>
        <v>1.5395418705812824</v>
      </c>
      <c r="TU88" s="27">
        <f>MAX(TU87,PortfolioFrontier[[#This Row],[P135 Growth]])</f>
        <v>1.6540304901705998</v>
      </c>
      <c r="TV88" s="27">
        <f>PortfolioFrontier[[#This Row],[P135 Growth]]/PortfolioFrontier[[#This Row],[P135 HWM]]-1</f>
        <v>-6.9217961984188503E-2</v>
      </c>
      <c r="TW88" s="28">
        <f>SUMPRODUCT(INDEX(PortfolioRef[[SPY]:[PE]],MATCH(TW$1,PortfolioRef[Reference '#]),0),AssetMonthlyReturns[[#This Row],[SPY]:[PE]])</f>
        <v>-1.6894831661012282E-2</v>
      </c>
      <c r="TX88" s="27">
        <f>IF(ISNUMBER(TX87),TX87*(1+PortfolioFrontier[[#This Row],[P136 Return]]),1+PortfolioFrontier[[#This Row],[P136 Return]])</f>
        <v>1.5262405307127958</v>
      </c>
      <c r="TY88" s="27">
        <f>MAX(TY87,PortfolioFrontier[[#This Row],[P136 Growth]])</f>
        <v>1.7361155602147582</v>
      </c>
      <c r="TZ88" s="27">
        <f>PortfolioFrontier[[#This Row],[P136 Growth]]/PortfolioFrontier[[#This Row],[P136 HWM]]-1</f>
        <v>-0.12088770719617348</v>
      </c>
      <c r="UA88" s="28">
        <f>SUMPRODUCT(INDEX(PortfolioRef[[SPY]:[PE]],MATCH(UA$1,PortfolioRef[Reference '#]),0),AssetMonthlyReturns[[#This Row],[SPY]:[PE]])</f>
        <v>-1.5143793293146347E-2</v>
      </c>
      <c r="UB88" s="27">
        <f>IF(ISNUMBER(UB87),UB87*(1+PortfolioFrontier[[#This Row],[P137 Return]]),1+PortfolioFrontier[[#This Row],[P137 Return]])</f>
        <v>1.5278753140439609</v>
      </c>
      <c r="UC88" s="27">
        <f>MAX(UC87,PortfolioFrontier[[#This Row],[P137 Growth]])</f>
        <v>1.7048691873265751</v>
      </c>
      <c r="UD88" s="27">
        <f>PortfolioFrontier[[#This Row],[P137 Growth]]/PortfolioFrontier[[#This Row],[P137 HWM]]-1</f>
        <v>-0.1038166884581686</v>
      </c>
      <c r="UE88" s="28">
        <f>SUMPRODUCT(INDEX(PortfolioRef[[SPY]:[PE]],MATCH(UE$1,PortfolioRef[Reference '#]),0),AssetMonthlyReturns[[#This Row],[SPY]:[PE]])</f>
        <v>-1.3392754925280409E-2</v>
      </c>
      <c r="UF88" s="27">
        <f>IF(ISNUMBER(UF87),UF87*(1+PortfolioFrontier[[#This Row],[P138 Return]]),1+PortfolioFrontier[[#This Row],[P138 Return]])</f>
        <v>1.5284798479823809</v>
      </c>
      <c r="UG88" s="27">
        <f>MAX(UG87,PortfolioFrontier[[#This Row],[P138 Growth]])</f>
        <v>1.6734502822541619</v>
      </c>
      <c r="UH88" s="27">
        <f>PortfolioFrontier[[#This Row],[P138 Growth]]/PortfolioFrontier[[#This Row],[P138 HWM]]-1</f>
        <v>-8.6629663163045212E-2</v>
      </c>
      <c r="UI88" s="28">
        <f>SUMPRODUCT(INDEX(PortfolioRef[[SPY]:[PE]],MATCH(UI$1,PortfolioRef[Reference '#]),0),AssetMonthlyReturns[[#This Row],[SPY]:[PE]])</f>
        <v>-1.8204635712191625E-2</v>
      </c>
      <c r="UJ88" s="27">
        <f>IF(ISNUMBER(UJ87),UJ87*(1+PortfolioFrontier[[#This Row],[P139 Return]]),1+PortfolioFrontier[[#This Row],[P139 Return]])</f>
        <v>1.51261194319782</v>
      </c>
      <c r="UK88" s="27">
        <f>MAX(UK87,PortfolioFrontier[[#This Row],[P139 Growth]])</f>
        <v>1.7543965710992384</v>
      </c>
      <c r="UL88" s="27">
        <f>PortfolioFrontier[[#This Row],[P139 Growth]]/PortfolioFrontier[[#This Row],[P139 HWM]]-1</f>
        <v>-0.13781640473107248</v>
      </c>
      <c r="UM88" s="28">
        <f>SUMPRODUCT(INDEX(PortfolioRef[[SPY]:[PE]],MATCH(UM$1,PortfolioRef[Reference '#]),0),AssetMonthlyReturns[[#This Row],[SPY]:[PE]])</f>
        <v>-1.6453597344325686E-2</v>
      </c>
      <c r="UN88" s="27">
        <f>IF(ISNUMBER(UN87),UN87*(1+PortfolioFrontier[[#This Row],[P140 Return]]),1+PortfolioFrontier[[#This Row],[P140 Return]])</f>
        <v>1.515020585599568</v>
      </c>
      <c r="UO88" s="27">
        <f>MAX(UO87,PortfolioFrontier[[#This Row],[P140 Growth]])</f>
        <v>1.7234002022793458</v>
      </c>
      <c r="UP88" s="27">
        <f>PortfolioFrontier[[#This Row],[P140 Growth]]/PortfolioFrontier[[#This Row],[P140 HWM]]-1</f>
        <v>-0.12091191378774224</v>
      </c>
      <c r="UQ88" s="28">
        <f>SUMPRODUCT(INDEX(PortfolioRef[[SPY]:[PE]],MATCH(UQ$1,PortfolioRef[Reference '#]),0),AssetMonthlyReturns[[#This Row],[SPY]:[PE]])</f>
        <v>-1.4702558976459751E-2</v>
      </c>
      <c r="UR88" s="27">
        <f>IF(ISNUMBER(UR87),UR87*(1+PortfolioFrontier[[#This Row],[P141 Return]]),1+PortfolioFrontier[[#This Row],[P141 Return]])</f>
        <v>1.5164043460203271</v>
      </c>
      <c r="US88" s="27">
        <f>MAX(US87,PortfolioFrontier[[#This Row],[P141 Growth]])</f>
        <v>1.6922041432386774</v>
      </c>
      <c r="UT88" s="27">
        <f>PortfolioFrontier[[#This Row],[P141 Growth]]/PortfolioFrontier[[#This Row],[P141 HWM]]-1</f>
        <v>-0.10388805506757026</v>
      </c>
    </row>
    <row r="89" spans="2:566" x14ac:dyDescent="0.2">
      <c r="B89" s="41">
        <f>AssetMonthlyReturns[[#This Row],[Date]]</f>
        <v>45078</v>
      </c>
      <c r="C89" s="28">
        <f>SUMPRODUCT(INDEX(PortfolioRef[[SPY]:[PE]],MATCH(C$1,PortfolioRef[Reference '#]),0),AssetMonthlyReturns[[#This Row],[SPY]:[PE]])</f>
        <v>3.6756436118116423E-2</v>
      </c>
      <c r="D89" s="29">
        <f>IF(ISNUMBER(D88),D88*(1+PortfolioFrontier[[#This Row],[P1 Return]]),1+PortfolioFrontier[[#This Row],[P1 Return]])</f>
        <v>1.8571732051417145</v>
      </c>
      <c r="E89" s="29">
        <f>MAX(E88,PortfolioFrontier[[#This Row],[P1 Growth]])</f>
        <v>1.9531239567566241</v>
      </c>
      <c r="F89" s="29">
        <f>PortfolioFrontier[[#This Row],[P1 Growth]]/PortfolioFrontier[[#This Row],[P1 HWM]]-1</f>
        <v>-4.9126811067458531E-2</v>
      </c>
      <c r="G89" s="28">
        <f>SUMPRODUCT(INDEX(PortfolioRef[[SPY]:[PE]],MATCH(G$1,PortfolioRef[Reference '#]),0),AssetMonthlyReturns[[#This Row],[SPY]:[PE]])</f>
        <v>3.3523057623584651E-2</v>
      </c>
      <c r="H89" s="27">
        <f>IF(ISNUMBER(H88),H88*(1+PortfolioFrontier[[#This Row],[P2 Return]]),1+PortfolioFrontier[[#This Row],[P2 Return]])</f>
        <v>1.7823843150254071</v>
      </c>
      <c r="I89" s="27">
        <f>MAX(I88,PortfolioFrontier[[#This Row],[P2 Growth]])</f>
        <v>1.880902671218339</v>
      </c>
      <c r="J89" s="27">
        <f>PortfolioFrontier[[#This Row],[P2 Growth]]/PortfolioFrontier[[#This Row],[P2 HWM]]-1</f>
        <v>-5.2378231846051615E-2</v>
      </c>
      <c r="K89" s="28">
        <f>SUMPRODUCT(INDEX(PortfolioRef[[SPY]:[PE]],MATCH(K$1,PortfolioRef[Reference '#]),0),AssetMonthlyReturns[[#This Row],[SPY]:[PE]])</f>
        <v>3.2602793706843602E-2</v>
      </c>
      <c r="L89" s="27">
        <f>IF(ISNUMBER(L88),L88*(1+PortfolioFrontier[[#This Row],[P3 Return]]),1+PortfolioFrontier[[#This Row],[P3 Return]])</f>
        <v>1.8142967194221074</v>
      </c>
      <c r="M89" s="27">
        <f>MAX(M88,PortfolioFrontier[[#This Row],[P3 Growth]])</f>
        <v>1.8984394560781046</v>
      </c>
      <c r="N89" s="27">
        <f>PortfolioFrontier[[#This Row],[P3 Growth]]/PortfolioFrontier[[#This Row],[P3 HWM]]-1</f>
        <v>-4.4322054299178792E-2</v>
      </c>
      <c r="O89" s="28">
        <f>SUMPRODUCT(INDEX(PortfolioRef[[SPY]:[PE]],MATCH(O$1,PortfolioRef[Reference '#]),0),AssetMonthlyReturns[[#This Row],[SPY]:[PE]])</f>
        <v>3.5938482790961915E-2</v>
      </c>
      <c r="P89" s="27">
        <f>IF(ISNUMBER(P88),P88*(1+PortfolioFrontier[[#This Row],[P4 Return]]),1+PortfolioFrontier[[#This Row],[P4 Return]])</f>
        <v>1.8051402750339125</v>
      </c>
      <c r="Q89" s="27">
        <f>MAX(Q88,PortfolioFrontier[[#This Row],[P4 Growth]])</f>
        <v>1.9193367929729268</v>
      </c>
      <c r="R89" s="27">
        <f>PortfolioFrontier[[#This Row],[P4 Growth]]/PortfolioFrontier[[#This Row],[P4 HWM]]-1</f>
        <v>-5.9497904878971997E-2</v>
      </c>
      <c r="S89" s="28">
        <f>SUMPRODUCT(INDEX(PortfolioRef[[SPY]:[PE]],MATCH(S$1,PortfolioRef[Reference '#]),0),AssetMonthlyReturns[[#This Row],[SPY]:[PE]])</f>
        <v>3.4526746434754604E-2</v>
      </c>
      <c r="T89" s="27">
        <f>IF(ISNUMBER(T88),T88*(1+PortfolioFrontier[[#This Row],[P5 Return]]),1+PortfolioFrontier[[#This Row],[P5 Return]])</f>
        <v>1.8038391893088663</v>
      </c>
      <c r="U89" s="27">
        <f>MAX(U88,PortfolioFrontier[[#This Row],[P5 Growth]])</f>
        <v>1.8841834525169079</v>
      </c>
      <c r="V89" s="27">
        <f>PortfolioFrontier[[#This Row],[P5 Growth]]/PortfolioFrontier[[#This Row],[P5 HWM]]-1</f>
        <v>-4.2641422787530026E-2</v>
      </c>
      <c r="W89" s="28">
        <f>SUMPRODUCT(INDEX(PortfolioRef[[SPY]:[PE]],MATCH(W$1,PortfolioRef[Reference '#]),0),AssetMonthlyReturns[[#This Row],[SPY]:[PE]])</f>
        <v>3.0289679129052886E-2</v>
      </c>
      <c r="X89" s="27">
        <f>IF(ISNUMBER(X88),X88*(1+PortfolioFrontier[[#This Row],[P6 Return]]),1+PortfolioFrontier[[#This Row],[P6 Return]])</f>
        <v>1.7098456107530904</v>
      </c>
      <c r="Y89" s="27">
        <f>MAX(Y88,PortfolioFrontier[[#This Row],[P6 Growth]])</f>
        <v>1.8107203423144032</v>
      </c>
      <c r="Z89" s="27">
        <f>PortfolioFrontier[[#This Row],[P6 Growth]]/PortfolioFrontier[[#This Row],[P6 HWM]]-1</f>
        <v>-5.5709724579764752E-2</v>
      </c>
      <c r="AA89" s="28">
        <f>SUMPRODUCT(INDEX(PortfolioRef[[SPY]:[PE]],MATCH(AA$1,PortfolioRef[Reference '#]),0),AssetMonthlyReturns[[#This Row],[SPY]:[PE]])</f>
        <v>2.9369415212311838E-2</v>
      </c>
      <c r="AB89" s="27">
        <f>IF(ISNUMBER(AB88),AB88*(1+PortfolioFrontier[[#This Row],[P7 Return]]),1+PortfolioFrontier[[#This Row],[P7 Return]])</f>
        <v>1.7404614238277234</v>
      </c>
      <c r="AC89" s="27">
        <f>MAX(AC88,PortfolioFrontier[[#This Row],[P7 Growth]])</f>
        <v>1.8276317298765399</v>
      </c>
      <c r="AD89" s="27">
        <f>PortfolioFrontier[[#This Row],[P7 Growth]]/PortfolioFrontier[[#This Row],[P7 HWM]]-1</f>
        <v>-4.7695771869043391E-2</v>
      </c>
      <c r="AE89" s="28">
        <f>SUMPRODUCT(INDEX(PortfolioRef[[SPY]:[PE]],MATCH(AE$1,PortfolioRef[Reference '#]),0),AssetMonthlyReturns[[#This Row],[SPY]:[PE]])</f>
        <v>3.2705104296430143E-2</v>
      </c>
      <c r="AF89" s="27">
        <f>IF(ISNUMBER(AF88),AF88*(1+PortfolioFrontier[[#This Row],[P8 Return]]),1+PortfolioFrontier[[#This Row],[P8 Return]])</f>
        <v>1.7323133263961277</v>
      </c>
      <c r="AG89" s="27">
        <f>MAX(AG88,PortfolioFrontier[[#This Row],[P8 Growth]])</f>
        <v>1.8482324314062795</v>
      </c>
      <c r="AH89" s="27">
        <f>PortfolioFrontier[[#This Row],[P8 Growth]]/PortfolioFrontier[[#This Row],[P8 HWM]]-1</f>
        <v>-6.2718899982699416E-2</v>
      </c>
      <c r="AI89" s="28">
        <f>SUMPRODUCT(INDEX(PortfolioRef[[SPY]:[PE]],MATCH(AI$1,PortfolioRef[Reference '#]),0),AssetMonthlyReturns[[#This Row],[SPY]:[PE]])</f>
        <v>3.129336794022284E-2</v>
      </c>
      <c r="AJ89" s="27">
        <f>IF(ISNUMBER(AJ88),AJ88*(1+PortfolioFrontier[[#This Row],[P9 Return]]),1+PortfolioFrontier[[#This Row],[P9 Return]])</f>
        <v>1.7304543926018268</v>
      </c>
      <c r="AK89" s="27">
        <f>MAX(AK88,PortfolioFrontier[[#This Row],[P9 Growth]])</f>
        <v>1.8139467261629987</v>
      </c>
      <c r="AL89" s="27">
        <f>PortfolioFrontier[[#This Row],[P9 Growth]]/PortfolioFrontier[[#This Row],[P9 HWM]]-1</f>
        <v>-4.6027996498982815E-2</v>
      </c>
      <c r="AM89" s="28">
        <f>SUMPRODUCT(INDEX(PortfolioRef[[SPY]:[PE]],MATCH(AM$1,PortfolioRef[Reference '#]),0),AssetMonthlyReturns[[#This Row],[SPY]:[PE]])</f>
        <v>2.8449151295570789E-2</v>
      </c>
      <c r="AN89" s="27">
        <f>IF(ISNUMBER(AN88),AN88*(1+PortfolioFrontier[[#This Row],[P10 Return]]),1+PortfolioFrontier[[#This Row],[P10 Return]])</f>
        <v>1.7711899480123001</v>
      </c>
      <c r="AO89" s="27">
        <f>MAX(AO88,PortfolioFrontier[[#This Row],[P10 Growth]])</f>
        <v>1.8443368551596837</v>
      </c>
      <c r="AP89" s="27">
        <f>PortfolioFrontier[[#This Row],[P10 Growth]]/PortfolioFrontier[[#This Row],[P10 HWM]]-1</f>
        <v>-3.966027515133641E-2</v>
      </c>
      <c r="AQ89" s="28">
        <f>SUMPRODUCT(INDEX(PortfolioRef[[SPY]:[PE]],MATCH(AQ$1,PortfolioRef[Reference '#]),0),AssetMonthlyReturns[[#This Row],[SPY]:[PE]])</f>
        <v>3.1784840379689094E-2</v>
      </c>
      <c r="AR89" s="27">
        <f>IF(ISNUMBER(AR88),AR88*(1+PortfolioFrontier[[#This Row],[P11 Return]]),1+PortfolioFrontier[[#This Row],[P11 Return]])</f>
        <v>1.7633056249580883</v>
      </c>
      <c r="AS89" s="27">
        <f>MAX(AS88,PortfolioFrontier[[#This Row],[P11 Growth]])</f>
        <v>1.865449984246593</v>
      </c>
      <c r="AT89" s="27">
        <f>PortfolioFrontier[[#This Row],[P11 Growth]]/PortfolioFrontier[[#This Row],[P11 HWM]]-1</f>
        <v>-5.4755882039773995E-2</v>
      </c>
      <c r="AU89" s="28">
        <f>SUMPRODUCT(INDEX(PortfolioRef[[SPY]:[PE]],MATCH(AU$1,PortfolioRef[Reference '#]),0),AssetMonthlyReturns[[#This Row],[SPY]:[PE]])</f>
        <v>3.0373104023481791E-2</v>
      </c>
      <c r="AV89" s="27">
        <f>IF(ISNUMBER(AV88),AV88*(1+PortfolioFrontier[[#This Row],[P12 Return]]),1+PortfolioFrontier[[#This Row],[P12 Return]])</f>
        <v>1.7614488428871051</v>
      </c>
      <c r="AW89" s="27">
        <f>MAX(AW88,PortfolioFrontier[[#This Row],[P12 Growth]])</f>
        <v>1.8309154354259589</v>
      </c>
      <c r="AX89" s="27">
        <f>PortfolioFrontier[[#This Row],[P12 Growth]]/PortfolioFrontier[[#This Row],[P12 HWM]]-1</f>
        <v>-3.7940907152105852E-2</v>
      </c>
      <c r="AY89" s="28">
        <f>SUMPRODUCT(INDEX(PortfolioRef[[SPY]:[PE]],MATCH(AY$1,PortfolioRef[Reference '#]),0),AssetMonthlyReturns[[#This Row],[SPY]:[PE]])</f>
        <v>3.5120529463807407E-2</v>
      </c>
      <c r="AZ89" s="27">
        <f>IF(ISNUMBER(AZ88),AZ88*(1+PortfolioFrontier[[#This Row],[P13 Return]]),1+PortfolioFrontier[[#This Row],[P13 Return]])</f>
        <v>1.754172836870008</v>
      </c>
      <c r="BA89" s="27">
        <f>MAX(BA88,PortfolioFrontier[[#This Row],[P13 Growth]])</f>
        <v>1.8858075751364967</v>
      </c>
      <c r="BB89" s="27">
        <f>PortfolioFrontier[[#This Row],[P13 Growth]]/PortfolioFrontier[[#This Row],[P13 HWM]]-1</f>
        <v>-6.9802847332904983E-2</v>
      </c>
      <c r="BC89" s="28">
        <f>SUMPRODUCT(INDEX(PortfolioRef[[SPY]:[PE]],MATCH(BC$1,PortfolioRef[Reference '#]),0),AssetMonthlyReturns[[#This Row],[SPY]:[PE]])</f>
        <v>3.3708793107600096E-2</v>
      </c>
      <c r="BD89" s="27">
        <f>IF(ISNUMBER(BD88),BD88*(1+PortfolioFrontier[[#This Row],[P14 Return]]),1+PortfolioFrontier[[#This Row],[P14 Return]])</f>
        <v>1.7532374931505976</v>
      </c>
      <c r="BE89" s="27">
        <f>MAX(BE88,PortfolioFrontier[[#This Row],[P14 Growth]])</f>
        <v>1.8515113734383843</v>
      </c>
      <c r="BF89" s="27">
        <f>PortfolioFrontier[[#This Row],[P14 Growth]]/PortfolioFrontier[[#This Row],[P14 HWM]]-1</f>
        <v>-5.3077654124957019E-2</v>
      </c>
      <c r="BG89" s="28">
        <f>SUMPRODUCT(INDEX(PortfolioRef[[SPY]:[PE]],MATCH(BG$1,PortfolioRef[Reference '#]),0),AssetMonthlyReturns[[#This Row],[SPY]:[PE]])</f>
        <v>3.22970567513928E-2</v>
      </c>
      <c r="BH89" s="27">
        <f>IF(ISNUMBER(BH88),BH88*(1+PortfolioFrontier[[#This Row],[P15 Return]]),1+PortfolioFrontier[[#This Row],[P15 Return]])</f>
        <v>1.7511198235925804</v>
      </c>
      <c r="BI89" s="27">
        <f>MAX(BI88,PortfolioFrontier[[#This Row],[P15 Growth]])</f>
        <v>1.8170439473092146</v>
      </c>
      <c r="BJ89" s="27">
        <f>PortfolioFrontier[[#This Row],[P15 Growth]]/PortfolioFrontier[[#This Row],[P15 HWM]]-1</f>
        <v>-3.6280973728928467E-2</v>
      </c>
      <c r="BK89" s="28">
        <f>SUMPRODUCT(INDEX(PortfolioRef[[SPY]:[PE]],MATCH(BK$1,PortfolioRef[Reference '#]),0),AssetMonthlyReturns[[#This Row],[SPY]:[PE]])</f>
        <v>2.7056300634521115E-2</v>
      </c>
      <c r="BL89" s="27">
        <f>IF(ISNUMBER(BL88),BL88*(1+PortfolioFrontier[[#This Row],[P16 Return]]),1+PortfolioFrontier[[#This Row],[P16 Return]])</f>
        <v>1.6395290184528204</v>
      </c>
      <c r="BM89" s="27">
        <f>MAX(BM88,PortfolioFrontier[[#This Row],[P16 Growth]])</f>
        <v>1.7425494832470445</v>
      </c>
      <c r="BN89" s="27">
        <f>PortfolioFrontier[[#This Row],[P16 Growth]]/PortfolioFrontier[[#This Row],[P16 HWM]]-1</f>
        <v>-5.9120539063405531E-2</v>
      </c>
      <c r="BO89" s="28">
        <f>SUMPRODUCT(INDEX(PortfolioRef[[SPY]:[PE]],MATCH(BO$1,PortfolioRef[Reference '#]),0),AssetMonthlyReturns[[#This Row],[SPY]:[PE]])</f>
        <v>2.6136036717780066E-2</v>
      </c>
      <c r="BP89" s="27">
        <f>IF(ISNUMBER(BP88),BP88*(1+PortfolioFrontier[[#This Row],[P17 Return]]),1+PortfolioFrontier[[#This Row],[P17 Return]])</f>
        <v>1.6688883223022248</v>
      </c>
      <c r="BQ89" s="27">
        <f>MAX(BQ88,PortfolioFrontier[[#This Row],[P17 Growth]])</f>
        <v>1.7588525148836969</v>
      </c>
      <c r="BR89" s="27">
        <f>PortfolioFrontier[[#This Row],[P17 Growth]]/PortfolioFrontier[[#This Row],[P17 HWM]]-1</f>
        <v>-5.1149366885614556E-2</v>
      </c>
      <c r="BS89" s="28">
        <f>SUMPRODUCT(INDEX(PortfolioRef[[SPY]:[PE]],MATCH(BS$1,PortfolioRef[Reference '#]),0),AssetMonthlyReturns[[#This Row],[SPY]:[PE]])</f>
        <v>2.9471725801898378E-2</v>
      </c>
      <c r="BT89" s="27">
        <f>IF(ISNUMBER(BT88),BT88*(1+PortfolioFrontier[[#This Row],[P18 Return]]),1+PortfolioFrontier[[#This Row],[P18 Return]])</f>
        <v>1.6616834058092893</v>
      </c>
      <c r="BU89" s="27">
        <f>MAX(BU88,PortfolioFrontier[[#This Row],[P18 Growth]])</f>
        <v>1.7791407441475846</v>
      </c>
      <c r="BV89" s="27">
        <f>PortfolioFrontier[[#This Row],[P18 Growth]]/PortfolioFrontier[[#This Row],[P18 HWM]]-1</f>
        <v>-6.6019138016296219E-2</v>
      </c>
      <c r="BW89" s="28">
        <f>SUMPRODUCT(INDEX(PortfolioRef[[SPY]:[PE]],MATCH(BW$1,PortfolioRef[Reference '#]),0),AssetMonthlyReturns[[#This Row],[SPY]:[PE]])</f>
        <v>2.8059989445691068E-2</v>
      </c>
      <c r="BX89" s="27">
        <f>IF(ISNUMBER(BX88),BX88*(1+PortfolioFrontier[[#This Row],[P19 Return]]),1+PortfolioFrontier[[#This Row],[P19 Return]])</f>
        <v>1.6593162450994485</v>
      </c>
      <c r="BY89" s="27">
        <f>MAX(BY88,PortfolioFrontier[[#This Row],[P19 Growth]])</f>
        <v>1.7457196180719312</v>
      </c>
      <c r="BZ89" s="27">
        <f>PortfolioFrontier[[#This Row],[P19 Growth]]/PortfolioFrontier[[#This Row],[P19 HWM]]-1</f>
        <v>-4.9494415986406359E-2</v>
      </c>
      <c r="CA89" s="28">
        <f>SUMPRODUCT(INDEX(PortfolioRef[[SPY]:[PE]],MATCH(CA$1,PortfolioRef[Reference '#]),0),AssetMonthlyReturns[[#This Row],[SPY]:[PE]])</f>
        <v>2.5215772801039017E-2</v>
      </c>
      <c r="CB89" s="27">
        <f>IF(ISNUMBER(CB88),CB88*(1+PortfolioFrontier[[#This Row],[P20 Return]]),1+PortfolioFrontier[[#This Row],[P20 Return]])</f>
        <v>1.6983549577402048</v>
      </c>
      <c r="CC89" s="27">
        <f>MAX(CC88,PortfolioFrontier[[#This Row],[P20 Growth]])</f>
        <v>1.7749567522517573</v>
      </c>
      <c r="CD89" s="27">
        <f>PortfolioFrontier[[#This Row],[P20 Growth]]/PortfolioFrontier[[#This Row],[P20 HWM]]-1</f>
        <v>-4.3156992086918922E-2</v>
      </c>
      <c r="CE89" s="28">
        <f>SUMPRODUCT(INDEX(PortfolioRef[[SPY]:[PE]],MATCH(CE$1,PortfolioRef[Reference '#]),0),AssetMonthlyReturns[[#This Row],[SPY]:[PE]])</f>
        <v>2.855146188515733E-2</v>
      </c>
      <c r="CF89" s="27">
        <f>IF(ISNUMBER(CF88),CF88*(1+PortfolioFrontier[[#This Row],[P21 Return]]),1+PortfolioFrontier[[#This Row],[P21 Return]])</f>
        <v>1.6914143776478587</v>
      </c>
      <c r="CG89" s="27">
        <f>MAX(CG88,PortfolioFrontier[[#This Row],[P21 Growth]])</f>
        <v>1.795743356031652</v>
      </c>
      <c r="CH89" s="27">
        <f>PortfolioFrontier[[#This Row],[P21 Growth]]/PortfolioFrontier[[#This Row],[P21 HWM]]-1</f>
        <v>-5.8097933668175283E-2</v>
      </c>
      <c r="CI89" s="28">
        <f>SUMPRODUCT(INDEX(PortfolioRef[[SPY]:[PE]],MATCH(CI$1,PortfolioRef[Reference '#]),0),AssetMonthlyReturns[[#This Row],[SPY]:[PE]])</f>
        <v>2.7139725528950019E-2</v>
      </c>
      <c r="CJ89" s="27">
        <f>IF(ISNUMBER(CJ88),CJ88*(1+PortfolioFrontier[[#This Row],[P22 Return]]),1+PortfolioFrontier[[#This Row],[P22 Return]])</f>
        <v>1.6890391890623906</v>
      </c>
      <c r="CK89" s="27">
        <f>MAX(CK88,PortfolioFrontier[[#This Row],[P22 Growth]])</f>
        <v>1.7620784578443487</v>
      </c>
      <c r="CL89" s="27">
        <f>PortfolioFrontier[[#This Row],[P22 Growth]]/PortfolioFrontier[[#This Row],[P22 HWM]]-1</f>
        <v>-4.1450633742671883E-2</v>
      </c>
      <c r="CM89" s="28">
        <f>SUMPRODUCT(INDEX(PortfolioRef[[SPY]:[PE]],MATCH(CM$1,PortfolioRef[Reference '#]),0),AssetMonthlyReturns[[#This Row],[SPY]:[PE]])</f>
        <v>3.1887150969275635E-2</v>
      </c>
      <c r="CN89" s="27">
        <f>IF(ISNUMBER(CN88),CN88*(1+PortfolioFrontier[[#This Row],[P23 Return]]),1+PortfolioFrontier[[#This Row],[P23 Return]])</f>
        <v>1.683272407283039</v>
      </c>
      <c r="CO89" s="27">
        <f>MAX(CO88,PortfolioFrontier[[#This Row],[P23 Growth]])</f>
        <v>1.8158151760868648</v>
      </c>
      <c r="CP89" s="27">
        <f>PortfolioFrontier[[#This Row],[P23 Growth]]/PortfolioFrontier[[#This Row],[P23 HWM]]-1</f>
        <v>-7.2993535107168439E-2</v>
      </c>
      <c r="CQ89" s="28">
        <f>SUMPRODUCT(INDEX(PortfolioRef[[SPY]:[PE]],MATCH(CQ$1,PortfolioRef[Reference '#]),0),AssetMonthlyReturns[[#This Row],[SPY]:[PE]])</f>
        <v>3.0475414613068331E-2</v>
      </c>
      <c r="CR89" s="27">
        <f>IF(ISNUMBER(CR88),CR88*(1+PortfolioFrontier[[#This Row],[P24 Return]]),1+PortfolioFrontier[[#This Row],[P24 Return]])</f>
        <v>1.6817807286190798</v>
      </c>
      <c r="CS89" s="27">
        <f>MAX(CS88,PortfolioFrontier[[#This Row],[P24 Growth]])</f>
        <v>1.7823638134718676</v>
      </c>
      <c r="CT89" s="27">
        <f>PortfolioFrontier[[#This Row],[P24 Growth]]/PortfolioFrontier[[#This Row],[P24 HWM]]-1</f>
        <v>-5.6432409641924863E-2</v>
      </c>
      <c r="CU89" s="28">
        <f>SUMPRODUCT(INDEX(PortfolioRef[[SPY]:[PE]],MATCH(CU$1,PortfolioRef[Reference '#]),0),AssetMonthlyReturns[[#This Row],[SPY]:[PE]])</f>
        <v>2.9063678256861025E-2</v>
      </c>
      <c r="CV89" s="27">
        <f>IF(ISNUMBER(CV88),CV88*(1+PortfolioFrontier[[#This Row],[P25 Return]]),1+PortfolioFrontier[[#This Row],[P25 Return]])</f>
        <v>1.6791585000559988</v>
      </c>
      <c r="CW89" s="27">
        <f>MAX(CW88,PortfolioFrontier[[#This Row],[P25 Growth]])</f>
        <v>1.7487656732120247</v>
      </c>
      <c r="CX89" s="27">
        <f>PortfolioFrontier[[#This Row],[P25 Growth]]/PortfolioFrontier[[#This Row],[P25 HWM]]-1</f>
        <v>-3.9803602176257113E-2</v>
      </c>
      <c r="CY89" s="28">
        <f>SUMPRODUCT(INDEX(PortfolioRef[[SPY]:[PE]],MATCH(CY$1,PortfolioRef[Reference '#]),0),AssetMonthlyReturns[[#This Row],[SPY]:[PE]])</f>
        <v>2.7631197968416281E-2</v>
      </c>
      <c r="CZ89" s="27">
        <f>IF(ISNUMBER(CZ88),CZ88*(1+PortfolioFrontier[[#This Row],[P26 Return]]),1+PortfolioFrontier[[#This Row],[P26 Return]])</f>
        <v>1.7212537988513361</v>
      </c>
      <c r="DA89" s="27">
        <f>MAX(DA88,PortfolioFrontier[[#This Row],[P26 Growth]])</f>
        <v>1.8121428498945955</v>
      </c>
      <c r="DB89" s="27">
        <f>PortfolioFrontier[[#This Row],[P26 Growth]]/PortfolioFrontier[[#This Row],[P26 HWM]]-1</f>
        <v>-5.0155566405013841E-2</v>
      </c>
      <c r="DC89" s="28">
        <f>SUMPRODUCT(INDEX(PortfolioRef[[SPY]:[PE]],MATCH(DC$1,PortfolioRef[Reference '#]),0),AssetMonthlyReturns[[#This Row],[SPY]:[PE]])</f>
        <v>2.621946161220897E-2</v>
      </c>
      <c r="DD89" s="27">
        <f>IF(ISNUMBER(DD88),DD88*(1+PortfolioFrontier[[#This Row],[P27 Return]]),1+PortfolioFrontier[[#This Row],[P27 Return]])</f>
        <v>1.7188713504848665</v>
      </c>
      <c r="DE89" s="27">
        <f>MAX(DE88,PortfolioFrontier[[#This Row],[P27 Growth]])</f>
        <v>1.7782387807323972</v>
      </c>
      <c r="DF89" s="27">
        <f>PortfolioFrontier[[#This Row],[P27 Growth]]/PortfolioFrontier[[#This Row],[P27 HWM]]-1</f>
        <v>-3.3385522175531035E-2</v>
      </c>
      <c r="DG89" s="28">
        <f>SUMPRODUCT(INDEX(PortfolioRef[[SPY]:[PE]],MATCH(DG$1,PortfolioRef[Reference '#]),0),AssetMonthlyReturns[[#This Row],[SPY]:[PE]])</f>
        <v>3.096688705253459E-2</v>
      </c>
      <c r="DH89" s="27">
        <f>IF(ISNUMBER(DH88),DH88*(1+PortfolioFrontier[[#This Row],[P28 Return]]),1+PortfolioFrontier[[#This Row],[P28 Return]])</f>
        <v>1.7133648156449544</v>
      </c>
      <c r="DI89" s="27">
        <f>MAX(DI88,PortfolioFrontier[[#This Row],[P28 Growth]])</f>
        <v>1.8327167417336543</v>
      </c>
      <c r="DJ89" s="27">
        <f>PortfolioFrontier[[#This Row],[P28 Growth]]/PortfolioFrontier[[#This Row],[P28 HWM]]-1</f>
        <v>-6.5122952920591115E-2</v>
      </c>
      <c r="DK89" s="28">
        <f>SUMPRODUCT(INDEX(PortfolioRef[[SPY]:[PE]],MATCH(DK$1,PortfolioRef[Reference '#]),0),AssetMonthlyReturns[[#This Row],[SPY]:[PE]])</f>
        <v>2.9555150696327283E-2</v>
      </c>
      <c r="DL89" s="27">
        <f>IF(ISNUMBER(DL88),DL88*(1+PortfolioFrontier[[#This Row],[P29 Return]]),1+PortfolioFrontier[[#This Row],[P29 Return]])</f>
        <v>1.7118806443890804</v>
      </c>
      <c r="DM89" s="27">
        <f>MAX(DM88,PortfolioFrontier[[#This Row],[P29 Growth]])</f>
        <v>1.7990232294645383</v>
      </c>
      <c r="DN89" s="27">
        <f>PortfolioFrontier[[#This Row],[P29 Growth]]/PortfolioFrontier[[#This Row],[P29 HWM]]-1</f>
        <v>-4.8438832611069182E-2</v>
      </c>
      <c r="DO89" s="28">
        <f>SUMPRODUCT(INDEX(PortfolioRef[[SPY]:[PE]],MATCH(DO$1,PortfolioRef[Reference '#]),0),AssetMonthlyReturns[[#This Row],[SPY]:[PE]])</f>
        <v>2.8143414340119976E-2</v>
      </c>
      <c r="DP89" s="27">
        <f>IF(ISNUMBER(DP88),DP88*(1+PortfolioFrontier[[#This Row],[P30 Return]]),1+PortfolioFrontier[[#This Row],[P30 Return]])</f>
        <v>1.7092464566887078</v>
      </c>
      <c r="DQ89" s="27">
        <f>MAX(DQ88,PortfolioFrontier[[#This Row],[P30 Growth]])</f>
        <v>1.7651792866223672</v>
      </c>
      <c r="DR89" s="27">
        <f>PortfolioFrontier[[#This Row],[P30 Growth]]/PortfolioFrontier[[#This Row],[P30 HWM]]-1</f>
        <v>-3.1686769926178804E-2</v>
      </c>
      <c r="DS89" s="28">
        <f>SUMPRODUCT(INDEX(PortfolioRef[[SPY]:[PE]],MATCH(DS$1,PortfolioRef[Reference '#]),0),AssetMonthlyReturns[[#This Row],[SPY]:[PE]])</f>
        <v>3.4302576136652899E-2</v>
      </c>
      <c r="DT89" s="27">
        <f>IF(ISNUMBER(DT88),DT88*(1+PortfolioFrontier[[#This Row],[P31 Return]]),1+PortfolioFrontier[[#This Row],[P31 Return]])</f>
        <v>1.7042626398612735</v>
      </c>
      <c r="DU89" s="27">
        <f>MAX(DU88,PortfolioFrontier[[#This Row],[P31 Growth]])</f>
        <v>1.8525428026208837</v>
      </c>
      <c r="DV89" s="27">
        <f>PortfolioFrontier[[#This Row],[P31 Growth]]/PortfolioFrontier[[#This Row],[P31 HWM]]-1</f>
        <v>-8.0041423361355557E-2</v>
      </c>
      <c r="DW89" s="28">
        <f>SUMPRODUCT(INDEX(PortfolioRef[[SPY]:[PE]],MATCH(DW$1,PortfolioRef[Reference '#]),0),AssetMonthlyReturns[[#This Row],[SPY]:[PE]])</f>
        <v>3.2890839780445595E-2</v>
      </c>
      <c r="DX89" s="27">
        <f>IF(ISNUMBER(DX88),DX88*(1+PortfolioFrontier[[#This Row],[P32 Return]]),1+PortfolioFrontier[[#This Row],[P32 Return]])</f>
        <v>1.7036743937177186</v>
      </c>
      <c r="DY89" s="27">
        <f>MAX(DY88,PortfolioFrontier[[#This Row],[P32 Growth]])</f>
        <v>1.8190908915066115</v>
      </c>
      <c r="DZ89" s="27">
        <f>PortfolioFrontier[[#This Row],[P32 Growth]]/PortfolioFrontier[[#This Row],[P32 HWM]]-1</f>
        <v>-6.3447350722152462E-2</v>
      </c>
      <c r="EA89" s="28">
        <f>SUMPRODUCT(INDEX(PortfolioRef[[SPY]:[PE]],MATCH(EA$1,PortfolioRef[Reference '#]),0),AssetMonthlyReturns[[#This Row],[SPY]:[PE]])</f>
        <v>3.1479103424238292E-2</v>
      </c>
      <c r="EB89" s="27">
        <f>IF(ISNUMBER(EB88),EB88*(1+PortfolioFrontier[[#This Row],[P33 Return]]),1+PortfolioFrontier[[#This Row],[P33 Return]])</f>
        <v>1.7019347605971247</v>
      </c>
      <c r="EC89" s="27">
        <f>MAX(EC88,PortfolioFrontier[[#This Row],[P33 Growth]])</f>
        <v>1.7854600976944932</v>
      </c>
      <c r="ED89" s="27">
        <f>PortfolioFrontier[[#This Row],[P33 Growth]]/PortfolioFrontier[[#This Row],[P33 HWM]]-1</f>
        <v>-4.6780847807924797E-2</v>
      </c>
      <c r="EE89" s="28">
        <f>SUMPRODUCT(INDEX(PortfolioRef[[SPY]:[PE]],MATCH(EE$1,PortfolioRef[Reference '#]),0),AssetMonthlyReturns[[#This Row],[SPY]:[PE]])</f>
        <v>2.3822922139989343E-2</v>
      </c>
      <c r="EF89" s="27">
        <f>IF(ISNUMBER(EF88),EF88*(1+PortfolioFrontier[[#This Row],[P34 Return]]),1+PortfolioFrontier[[#This Row],[P34 Return]])</f>
        <v>1.5714046029482163</v>
      </c>
      <c r="EG89" s="27">
        <f>MAX(EG88,PortfolioFrontier[[#This Row],[P34 Growth]])</f>
        <v>1.6763614413137211</v>
      </c>
      <c r="EH89" s="27">
        <f>PortfolioFrontier[[#This Row],[P34 Growth]]/PortfolioFrontier[[#This Row],[P34 HWM]]-1</f>
        <v>-6.2609909640520489E-2</v>
      </c>
      <c r="EI89" s="28">
        <f>SUMPRODUCT(INDEX(PortfolioRef[[SPY]:[PE]],MATCH(EI$1,PortfolioRef[Reference '#]),0),AssetMonthlyReturns[[#This Row],[SPY]:[PE]])</f>
        <v>2.2902658223248294E-2</v>
      </c>
      <c r="EJ89" s="27">
        <f>IF(ISNUMBER(EJ88),EJ88*(1+PortfolioFrontier[[#This Row],[P35 Return]]),1+PortfolioFrontier[[#This Row],[P35 Return]])</f>
        <v>1.5995468916520679</v>
      </c>
      <c r="EK89" s="27">
        <f>MAX(EK88,PortfolioFrontier[[#This Row],[P35 Growth]])</f>
        <v>1.6920729334369538</v>
      </c>
      <c r="EL89" s="27">
        <f>PortfolioFrontier[[#This Row],[P35 Growth]]/PortfolioFrontier[[#This Row],[P35 HWM]]-1</f>
        <v>-5.4682064795484986E-2</v>
      </c>
      <c r="EM89" s="28">
        <f>SUMPRODUCT(INDEX(PortfolioRef[[SPY]:[PE]],MATCH(EM$1,PortfolioRef[Reference '#]),0),AssetMonthlyReturns[[#This Row],[SPY]:[PE]])</f>
        <v>2.6238347307366607E-2</v>
      </c>
      <c r="EN89" s="27">
        <f>IF(ISNUMBER(EN88),EN88*(1+PortfolioFrontier[[#This Row],[P36 Return]]),1+PortfolioFrontier[[#This Row],[P36 Return]])</f>
        <v>1.5932228458216948</v>
      </c>
      <c r="EO89" s="27">
        <f>MAX(EO88,PortfolioFrontier[[#This Row],[P36 Growth]])</f>
        <v>1.7120343963250326</v>
      </c>
      <c r="EP89" s="27">
        <f>PortfolioFrontier[[#This Row],[P36 Growth]]/PortfolioFrontier[[#This Row],[P36 HWM]]-1</f>
        <v>-6.9397875859487868E-2</v>
      </c>
      <c r="EQ89" s="28">
        <f>SUMPRODUCT(INDEX(PortfolioRef[[SPY]:[PE]],MATCH(EQ$1,PortfolioRef[Reference '#]),0),AssetMonthlyReturns[[#This Row],[SPY]:[PE]])</f>
        <v>2.4826610951159296E-2</v>
      </c>
      <c r="ER89" s="27">
        <f>IF(ISNUMBER(ER88),ER88*(1+PortfolioFrontier[[#This Row],[P37 Return]]),1+PortfolioFrontier[[#This Row],[P37 Return]])</f>
        <v>1.5903945567446265</v>
      </c>
      <c r="ES89" s="27">
        <f>MAX(ES88,PortfolioFrontier[[#This Row],[P37 Growth]])</f>
        <v>1.6794736802569215</v>
      </c>
      <c r="ET89" s="27">
        <f>PortfolioFrontier[[#This Row],[P37 Growth]]/PortfolioFrontier[[#This Row],[P37 HWM]]-1</f>
        <v>-5.3039904441174568E-2</v>
      </c>
      <c r="EU89" s="28">
        <f>SUMPRODUCT(INDEX(PortfolioRef[[SPY]:[PE]],MATCH(EU$1,PortfolioRef[Reference '#]),0),AssetMonthlyReturns[[#This Row],[SPY]:[PE]])</f>
        <v>2.1982394306507246E-2</v>
      </c>
      <c r="EV89" s="27">
        <f>IF(ISNUMBER(EV88),EV88*(1+PortfolioFrontier[[#This Row],[P38 Return]]),1+PortfolioFrontier[[#This Row],[P38 Return]])</f>
        <v>1.6277913426554276</v>
      </c>
      <c r="EW89" s="27">
        <f>MAX(EW88,PortfolioFrontier[[#This Row],[P38 Growth]])</f>
        <v>1.7075928941250238</v>
      </c>
      <c r="EX89" s="27">
        <f>PortfolioFrontier[[#This Row],[P38 Growth]]/PortfolioFrontier[[#This Row],[P38 HWM]]-1</f>
        <v>-4.6733358837550587E-2</v>
      </c>
      <c r="EY89" s="28">
        <f>SUMPRODUCT(INDEX(PortfolioRef[[SPY]:[PE]],MATCH(EY$1,PortfolioRef[Reference '#]),0),AssetMonthlyReturns[[#This Row],[SPY]:[PE]])</f>
        <v>2.5318083390625558E-2</v>
      </c>
      <c r="EZ89" s="27">
        <f>IF(ISNUMBER(EZ88),EZ88*(1+PortfolioFrontier[[#This Row],[P39 Return]]),1+PortfolioFrontier[[#This Row],[P39 Return]])</f>
        <v>1.6217315754657298</v>
      </c>
      <c r="FA89" s="27">
        <f>MAX(FA88,PortfolioFrontier[[#This Row],[P39 Growth]])</f>
        <v>1.7280388577532122</v>
      </c>
      <c r="FB89" s="27">
        <f>PortfolioFrontier[[#This Row],[P39 Growth]]/PortfolioFrontier[[#This Row],[P39 HWM]]-1</f>
        <v>-6.151903460417707E-2</v>
      </c>
      <c r="FC89" s="28">
        <f>SUMPRODUCT(INDEX(PortfolioRef[[SPY]:[PE]],MATCH(FC$1,PortfolioRef[Reference '#]),0),AssetMonthlyReturns[[#This Row],[SPY]:[PE]])</f>
        <v>2.3906347034418247E-2</v>
      </c>
      <c r="FD89" s="27">
        <f>IF(ISNUMBER(FD88),FD88*(1+PortfolioFrontier[[#This Row],[P40 Return]]),1+PortfolioFrontier[[#This Row],[P40 Return]])</f>
        <v>1.6188859332714436</v>
      </c>
      <c r="FE89" s="27">
        <f>MAX(FE88,PortfolioFrontier[[#This Row],[P40 Growth]])</f>
        <v>1.6952394830468527</v>
      </c>
      <c r="FF89" s="27">
        <f>PortfolioFrontier[[#This Row],[P40 Growth]]/PortfolioFrontier[[#This Row],[P40 HWM]]-1</f>
        <v>-4.5039978444920914E-2</v>
      </c>
      <c r="FG89" s="28">
        <f>SUMPRODUCT(INDEX(PortfolioRef[[SPY]:[PE]],MATCH(FG$1,PortfolioRef[Reference '#]),0),AssetMonthlyReturns[[#This Row],[SPY]:[PE]])</f>
        <v>2.8653772474743867E-2</v>
      </c>
      <c r="FH89" s="27">
        <f>IF(ISNUMBER(FH88),FH88*(1+PortfolioFrontier[[#This Row],[P41 Return]]),1+PortfolioFrontier[[#This Row],[P41 Return]])</f>
        <v>1.6145165848440721</v>
      </c>
      <c r="FI89" s="27">
        <f>MAX(FI88,PortfolioFrontier[[#This Row],[P41 Growth]])</f>
        <v>1.7478091274239449</v>
      </c>
      <c r="FJ89" s="27">
        <f>PortfolioFrontier[[#This Row],[P41 Growth]]/PortfolioFrontier[[#This Row],[P41 HWM]]-1</f>
        <v>-7.6262642463899688E-2</v>
      </c>
      <c r="FK89" s="28">
        <f>SUMPRODUCT(INDEX(PortfolioRef[[SPY]:[PE]],MATCH(FK$1,PortfolioRef[Reference '#]),0),AssetMonthlyReturns[[#This Row],[SPY]:[PE]])</f>
        <v>2.724203611853656E-2</v>
      </c>
      <c r="FL89" s="27">
        <f>IF(ISNUMBER(FL88),FL88*(1+PortfolioFrontier[[#This Row],[P42 Return]]),1+PortfolioFrontier[[#This Row],[P42 Return]])</f>
        <v>1.6125173816781624</v>
      </c>
      <c r="FM89" s="27">
        <f>MAX(FM88,PortfolioFrontier[[#This Row],[P42 Growth]])</f>
        <v>1.7151998522045959</v>
      </c>
      <c r="FN89" s="27">
        <f>PortfolioFrontier[[#This Row],[P42 Growth]]/PortfolioFrontier[[#This Row],[P42 HWM]]-1</f>
        <v>-5.986618433674229E-2</v>
      </c>
      <c r="FO89" s="28">
        <f>SUMPRODUCT(INDEX(PortfolioRef[[SPY]:[PE]],MATCH(FO$1,PortfolioRef[Reference '#]),0),AssetMonthlyReturns[[#This Row],[SPY]:[PE]])</f>
        <v>2.5830299762329253E-2</v>
      </c>
      <c r="FP89" s="27">
        <f>IF(ISNUMBER(FP88),FP88*(1+PortfolioFrontier[[#This Row],[P43 Return]]),1+PortfolioFrontier[[#This Row],[P43 Return]])</f>
        <v>1.6094379263203986</v>
      </c>
      <c r="FQ89" s="27">
        <f>MAX(FQ88,PortfolioFrontier[[#This Row],[P43 Growth]])</f>
        <v>1.6824667632825669</v>
      </c>
      <c r="FR89" s="27">
        <f>PortfolioFrontier[[#This Row],[P43 Growth]]/PortfolioFrontier[[#This Row],[P43 HWM]]-1</f>
        <v>-4.3405812558035772E-2</v>
      </c>
      <c r="FS89" s="28">
        <f>SUMPRODUCT(INDEX(PortfolioRef[[SPY]:[PE]],MATCH(FS$1,PortfolioRef[Reference '#]),0),AssetMonthlyReturns[[#This Row],[SPY]:[PE]])</f>
        <v>2.4397819473884509E-2</v>
      </c>
      <c r="FT89" s="27">
        <f>IF(ISNUMBER(FT88),FT88*(1+PortfolioFrontier[[#This Row],[P44 Return]]),1+PortfolioFrontier[[#This Row],[P44 Return]])</f>
        <v>1.6503435650721165</v>
      </c>
      <c r="FU89" s="27">
        <f>MAX(FU88,PortfolioFrontier[[#This Row],[P44 Growth]])</f>
        <v>1.7438475694471607</v>
      </c>
      <c r="FV89" s="27">
        <f>PortfolioFrontier[[#This Row],[P44 Growth]]/PortfolioFrontier[[#This Row],[P44 HWM]]-1</f>
        <v>-5.3619367892737912E-2</v>
      </c>
      <c r="FW89" s="28">
        <f>SUMPRODUCT(INDEX(PortfolioRef[[SPY]:[PE]],MATCH(FW$1,PortfolioRef[Reference '#]),0),AssetMonthlyReturns[[#This Row],[SPY]:[PE]])</f>
        <v>2.2986083117677199E-2</v>
      </c>
      <c r="FX89" s="27">
        <f>IF(ISNUMBER(FX88),FX88*(1+PortfolioFrontier[[#This Row],[P45 Return]]),1+PortfolioFrontier[[#This Row],[P45 Return]])</f>
        <v>1.647481276365538</v>
      </c>
      <c r="FY89" s="27">
        <f>MAX(FY88,PortfolioFrontier[[#This Row],[P45 Growth]])</f>
        <v>1.7108140158896465</v>
      </c>
      <c r="FZ89" s="27">
        <f>PortfolioFrontier[[#This Row],[P45 Growth]]/PortfolioFrontier[[#This Row],[P45 HWM]]-1</f>
        <v>-3.7019067494121871E-2</v>
      </c>
      <c r="GA89" s="28">
        <f>SUMPRODUCT(INDEX(PortfolioRef[[SPY]:[PE]],MATCH(GA$1,PortfolioRef[Reference '#]),0),AssetMonthlyReturns[[#This Row],[SPY]:[PE]])</f>
        <v>2.7733508558002818E-2</v>
      </c>
      <c r="GB89" s="27">
        <f>IF(ISNUMBER(GB88),GB88*(1+PortfolioFrontier[[#This Row],[P46 Return]]),1+PortfolioFrontier[[#This Row],[P46 Return]])</f>
        <v>1.6433822327027148</v>
      </c>
      <c r="GC89" s="27">
        <f>MAX(GC88,PortfolioFrontier[[#This Row],[P46 Growth]])</f>
        <v>1.7641061270089846</v>
      </c>
      <c r="GD89" s="27">
        <f>PortfolioFrontier[[#This Row],[P46 Growth]]/PortfolioFrontier[[#This Row],[P46 HWM]]-1</f>
        <v>-6.8433464664030996E-2</v>
      </c>
      <c r="GE89" s="28">
        <f>SUMPRODUCT(INDEX(PortfolioRef[[SPY]:[PE]],MATCH(GE$1,PortfolioRef[Reference '#]),0),AssetMonthlyReturns[[#This Row],[SPY]:[PE]])</f>
        <v>2.6321772201795511E-2</v>
      </c>
      <c r="GF89" s="27">
        <f>IF(ISNUMBER(GF88),GF88*(1+PortfolioFrontier[[#This Row],[P47 Return]]),1+PortfolioFrontier[[#This Row],[P47 Return]])</f>
        <v>1.6413804149423754</v>
      </c>
      <c r="GG89" s="27">
        <f>MAX(GG88,PortfolioFrontier[[#This Row],[P47 Growth]])</f>
        <v>1.7312596087544752</v>
      </c>
      <c r="GH89" s="27">
        <f>PortfolioFrontier[[#This Row],[P47 Growth]]/PortfolioFrontier[[#This Row],[P47 HWM]]-1</f>
        <v>-5.1915491678779402E-2</v>
      </c>
      <c r="GI89" s="28">
        <f>SUMPRODUCT(INDEX(PortfolioRef[[SPY]:[PE]],MATCH(GI$1,PortfolioRef[Reference '#]),0),AssetMonthlyReturns[[#This Row],[SPY]:[PE]])</f>
        <v>2.4910035845588204E-2</v>
      </c>
      <c r="GJ89" s="27">
        <f>IF(ISNUMBER(GJ88),GJ88*(1+PortfolioFrontier[[#This Row],[P48 Return]]),1+PortfolioFrontier[[#This Row],[P48 Return]])</f>
        <v>1.6382797201071193</v>
      </c>
      <c r="GK89" s="27">
        <f>MAX(GK88,PortfolioFrontier[[#This Row],[P48 Growth]])</f>
        <v>1.6982858835097865</v>
      </c>
      <c r="GL89" s="27">
        <f>PortfolioFrontier[[#This Row],[P48 Growth]]/PortfolioFrontier[[#This Row],[P48 HWM]]-1</f>
        <v>-3.5333369949854698E-2</v>
      </c>
      <c r="GM89" s="28">
        <f>SUMPRODUCT(INDEX(PortfolioRef[[SPY]:[PE]],MATCH(GM$1,PortfolioRef[Reference '#]),0),AssetMonthlyReturns[[#This Row],[SPY]:[PE]])</f>
        <v>3.1069197642121127E-2</v>
      </c>
      <c r="GN89" s="27">
        <f>IF(ISNUMBER(GN88),GN88*(1+PortfolioFrontier[[#This Row],[P49 Return]]),1+PortfolioFrontier[[#This Row],[P49 Return]])</f>
        <v>1.6352534040094278</v>
      </c>
      <c r="GO89" s="27">
        <f>MAX(GO88,PortfolioFrontier[[#This Row],[P49 Growth]])</f>
        <v>1.7836571071341945</v>
      </c>
      <c r="GP89" s="27">
        <f>PortfolioFrontier[[#This Row],[P49 Growth]]/PortfolioFrontier[[#This Row],[P49 HWM]]-1</f>
        <v>-8.320192403079496E-2</v>
      </c>
      <c r="GQ89" s="28">
        <f>SUMPRODUCT(INDEX(PortfolioRef[[SPY]:[PE]],MATCH(GQ$1,PortfolioRef[Reference '#]),0),AssetMonthlyReturns[[#This Row],[SPY]:[PE]])</f>
        <v>2.965746128591382E-2</v>
      </c>
      <c r="GR89" s="27">
        <f>IF(ISNUMBER(GR88),GR88*(1+PortfolioFrontier[[#This Row],[P50 Return]]),1+PortfolioFrontier[[#This Row],[P50 Return]])</f>
        <v>1.6341107228901501</v>
      </c>
      <c r="GS89" s="27">
        <f>MAX(GS88,PortfolioFrontier[[#This Row],[P50 Growth]])</f>
        <v>1.7510275614895194</v>
      </c>
      <c r="GT89" s="27">
        <f>PortfolioFrontier[[#This Row],[P50 Growth]]/PortfolioFrontier[[#This Row],[P50 HWM]]-1</f>
        <v>-6.6770415937892791E-2</v>
      </c>
      <c r="GU89" s="28">
        <f>SUMPRODUCT(INDEX(PortfolioRef[[SPY]:[PE]],MATCH(GU$1,PortfolioRef[Reference '#]),0),AssetMonthlyReturns[[#This Row],[SPY]:[PE]])</f>
        <v>2.8245724929706516E-2</v>
      </c>
      <c r="GV89" s="27">
        <f>IF(ISNUMBER(GV88),GV88*(1+PortfolioFrontier[[#This Row],[P51 Return]]),1+PortfolioFrontier[[#This Row],[P51 Return]])</f>
        <v>1.6318669798720362</v>
      </c>
      <c r="GW89" s="27">
        <f>MAX(GW88,PortfolioFrontier[[#This Row],[P51 Growth]])</f>
        <v>1.7182435242855478</v>
      </c>
      <c r="GX89" s="27">
        <f>PortfolioFrontier[[#This Row],[P51 Growth]]/PortfolioFrontier[[#This Row],[P51 HWM]]-1</f>
        <v>-5.0270257499982374E-2</v>
      </c>
      <c r="GY89" s="28">
        <f>SUMPRODUCT(INDEX(PortfolioRef[[SPY]:[PE]],MATCH(GY$1,PortfolioRef[Reference '#]),0),AssetMonthlyReturns[[#This Row],[SPY]:[PE]])</f>
        <v>2.6813244641261769E-2</v>
      </c>
      <c r="GZ89" s="27">
        <f>IF(ISNUMBER(GZ88),GZ88*(1+PortfolioFrontier[[#This Row],[P52 Return]]),1+PortfolioFrontier[[#This Row],[P52 Return]])</f>
        <v>1.6723522044604044</v>
      </c>
      <c r="HA89" s="27">
        <f>MAX(HA88,PortfolioFrontier[[#This Row],[P52 Growth]])</f>
        <v>1.7802031417261526</v>
      </c>
      <c r="HB89" s="27">
        <f>PortfolioFrontier[[#This Row],[P52 Growth]]/PortfolioFrontier[[#This Row],[P52 HWM]]-1</f>
        <v>-6.0583500128626788E-2</v>
      </c>
      <c r="HC89" s="28">
        <f>SUMPRODUCT(INDEX(PortfolioRef[[SPY]:[PE]],MATCH(HC$1,PortfolioRef[Reference '#]),0),AssetMonthlyReturns[[#This Row],[SPY]:[PE]])</f>
        <v>2.5401508285054462E-2</v>
      </c>
      <c r="HD89" s="27">
        <f>IF(ISNUMBER(HD88),HD88*(1+PortfolioFrontier[[#This Row],[P53 Return]]),1+PortfolioFrontier[[#This Row],[P53 Return]])</f>
        <v>1.6703485338489892</v>
      </c>
      <c r="HE89" s="27">
        <f>MAX(HE88,PortfolioFrontier[[#This Row],[P53 Growth]])</f>
        <v>1.7471238825308339</v>
      </c>
      <c r="HF89" s="27">
        <f>PortfolioFrontier[[#This Row],[P53 Growth]]/PortfolioFrontier[[#This Row],[P53 HWM]]-1</f>
        <v>-4.3943849345491226E-2</v>
      </c>
      <c r="HG89" s="28">
        <f>SUMPRODUCT(INDEX(PortfolioRef[[SPY]:[PE]],MATCH(HG$1,PortfolioRef[Reference '#]),0),AssetMonthlyReturns[[#This Row],[SPY]:[PE]])</f>
        <v>2.3989771928847155E-2</v>
      </c>
      <c r="HH89" s="27">
        <f>IF(ISNUMBER(HH88),HH88*(1+PortfolioFrontier[[#This Row],[P54 Return]]),1+PortfolioFrontier[[#This Row],[P54 Return]])</f>
        <v>1.6672273043553361</v>
      </c>
      <c r="HI89" s="27">
        <f>MAX(HI88,PortfolioFrontier[[#This Row],[P54 Growth]])</f>
        <v>1.7139140104060526</v>
      </c>
      <c r="HJ89" s="27">
        <f>PortfolioFrontier[[#This Row],[P54 Growth]]/PortfolioFrontier[[#This Row],[P54 HWM]]-1</f>
        <v>-2.7239818198146248E-2</v>
      </c>
      <c r="HK89" s="28">
        <f>SUMPRODUCT(INDEX(PortfolioRef[[SPY]:[PE]],MATCH(HK$1,PortfolioRef[Reference '#]),0),AssetMonthlyReturns[[#This Row],[SPY]:[PE]])</f>
        <v>3.0148933725380078E-2</v>
      </c>
      <c r="HL89" s="27">
        <f>IF(ISNUMBER(HL88),HL88*(1+PortfolioFrontier[[#This Row],[P55 Return]]),1+PortfolioFrontier[[#This Row],[P55 Return]])</f>
        <v>1.6644659127944117</v>
      </c>
      <c r="HM89" s="27">
        <f>MAX(HM88,PortfolioFrontier[[#This Row],[P55 Growth]])</f>
        <v>1.8002459621778737</v>
      </c>
      <c r="HN89" s="27">
        <f>PortfolioFrontier[[#This Row],[P55 Growth]]/PortfolioFrontier[[#This Row],[P55 HWM]]-1</f>
        <v>-7.5423054535947998E-2</v>
      </c>
      <c r="HO89" s="28">
        <f>SUMPRODUCT(INDEX(PortfolioRef[[SPY]:[PE]],MATCH(HO$1,PortfolioRef[Reference '#]),0),AssetMonthlyReturns[[#This Row],[SPY]:[PE]])</f>
        <v>2.8737197369172771E-2</v>
      </c>
      <c r="HP89" s="27">
        <f>IF(ISNUMBER(HP88),HP88*(1+PortfolioFrontier[[#This Row],[P56 Return]]),1+PortfolioFrontier[[#This Row],[P56 Return]])</f>
        <v>1.6633357940551368</v>
      </c>
      <c r="HQ89" s="27">
        <f>MAX(HQ88,PortfolioFrontier[[#This Row],[P56 Growth]])</f>
        <v>1.767380839986993</v>
      </c>
      <c r="HR89" s="27">
        <f>PortfolioFrontier[[#This Row],[P56 Growth]]/PortfolioFrontier[[#This Row],[P56 HWM]]-1</f>
        <v>-5.8869624235952434E-2</v>
      </c>
      <c r="HS89" s="28">
        <f>SUMPRODUCT(INDEX(PortfolioRef[[SPY]:[PE]],MATCH(HS$1,PortfolioRef[Reference '#]),0),AssetMonthlyReturns[[#This Row],[SPY]:[PE]])</f>
        <v>2.7325461012965468E-2</v>
      </c>
      <c r="HT89" s="27">
        <f>IF(ISNUMBER(HT88),HT88*(1+PortfolioFrontier[[#This Row],[P57 Return]]),1+PortfolioFrontier[[#This Row],[P57 Return]])</f>
        <v>1.6610856785502917</v>
      </c>
      <c r="HU89" s="27">
        <f>MAX(HU88,PortfolioFrontier[[#This Row],[P57 Growth]])</f>
        <v>1.7343575628436463</v>
      </c>
      <c r="HV89" s="27">
        <f>PortfolioFrontier[[#This Row],[P57 Growth]]/PortfolioFrontier[[#This Row],[P57 HWM]]-1</f>
        <v>-4.2247276953212731E-2</v>
      </c>
      <c r="HW89" s="28">
        <f>SUMPRODUCT(INDEX(PortfolioRef[[SPY]:[PE]],MATCH(HW$1,PortfolioRef[Reference '#]),0),AssetMonthlyReturns[[#This Row],[SPY]:[PE]])</f>
        <v>3.3484622809498384E-2</v>
      </c>
      <c r="HX89" s="27">
        <f>IF(ISNUMBER(HX88),HX88*(1+PortfolioFrontier[[#This Row],[P58 Return]]),1+PortfolioFrontier[[#This Row],[P58 Return]])</f>
        <v>1.655401005740712</v>
      </c>
      <c r="HY89" s="27">
        <f>MAX(HY88,PortfolioFrontier[[#This Row],[P58 Growth]])</f>
        <v>1.8195487359549802</v>
      </c>
      <c r="HZ89" s="27">
        <f>PortfolioFrontier[[#This Row],[P58 Growth]]/PortfolioFrontier[[#This Row],[P58 HWM]]-1</f>
        <v>-9.0213428731336642E-2</v>
      </c>
      <c r="IA89" s="28">
        <f>SUMPRODUCT(INDEX(PortfolioRef[[SPY]:[PE]],MATCH(IA$1,PortfolioRef[Reference '#]),0),AssetMonthlyReturns[[#This Row],[SPY]:[PE]])</f>
        <v>3.207288645329108E-2</v>
      </c>
      <c r="IB89" s="27">
        <f>IF(ISNUMBER(IB88),IB88*(1+PortfolioFrontier[[#This Row],[P59 Return]]),1+PortfolioFrontier[[#This Row],[P59 Return]])</f>
        <v>1.6551417517913625</v>
      </c>
      <c r="IC89" s="27">
        <f>MAX(IC88,PortfolioFrontier[[#This Row],[P59 Growth]])</f>
        <v>1.7869282396294996</v>
      </c>
      <c r="ID89" s="27">
        <f>PortfolioFrontier[[#This Row],[P59 Growth]]/PortfolioFrontier[[#This Row],[P59 HWM]]-1</f>
        <v>-7.3750296690963779E-2</v>
      </c>
      <c r="IE89" s="28">
        <f>SUMPRODUCT(INDEX(PortfolioRef[[SPY]:[PE]],MATCH(IE$1,PortfolioRef[Reference '#]),0),AssetMonthlyReturns[[#This Row],[SPY]:[PE]])</f>
        <v>3.0661150097083777E-2</v>
      </c>
      <c r="IF89" s="27">
        <f>IF(ISNUMBER(IF88),IF88*(1+PortfolioFrontier[[#This Row],[P60 Return]]),1+PortfolioFrontier[[#This Row],[P60 Return]])</f>
        <v>1.6537615763955225</v>
      </c>
      <c r="IG89" s="27">
        <f>MAX(IG88,PortfolioFrontier[[#This Row],[P60 Growth]])</f>
        <v>1.7541215677111524</v>
      </c>
      <c r="IH89" s="27">
        <f>PortfolioFrontier[[#This Row],[P60 Growth]]/PortfolioFrontier[[#This Row],[P60 HWM]]-1</f>
        <v>-5.7213817538646183E-2</v>
      </c>
      <c r="II89" s="28">
        <f>SUMPRODUCT(INDEX(PortfolioRef[[SPY]:[PE]],MATCH(II$1,PortfolioRef[Reference '#]),0),AssetMonthlyReturns[[#This Row],[SPY]:[PE]])</f>
        <v>2.0589543645457578E-2</v>
      </c>
      <c r="IJ89" s="27">
        <f>IF(ISNUMBER(IJ88),IJ88*(1+PortfolioFrontier[[#This Row],[P61 Return]]),1+PortfolioFrontier[[#This Row],[P61 Return]])</f>
        <v>1.5054407112486106</v>
      </c>
      <c r="IK89" s="27">
        <f>MAX(IK88,PortfolioFrontier[[#This Row],[P61 Growth]])</f>
        <v>1.6121264956964798</v>
      </c>
      <c r="IL89" s="27">
        <f>PortfolioFrontier[[#This Row],[P61 Growth]]/PortfolioFrontier[[#This Row],[P61 HWM]]-1</f>
        <v>-6.6177055418829456E-2</v>
      </c>
      <c r="IM89" s="28">
        <f>SUMPRODUCT(INDEX(PortfolioRef[[SPY]:[PE]],MATCH(IM$1,PortfolioRef[Reference '#]),0),AssetMonthlyReturns[[#This Row],[SPY]:[PE]])</f>
        <v>1.9669279728716529E-2</v>
      </c>
      <c r="IN89" s="27">
        <f>IF(ISNUMBER(IN88),IN88*(1+PortfolioFrontier[[#This Row],[P62 Return]]),1+PortfolioFrontier[[#This Row],[P62 Return]])</f>
        <v>1.5324048640151962</v>
      </c>
      <c r="IO89" s="27">
        <f>MAX(IO88,PortfolioFrontier[[#This Row],[P62 Growth]])</f>
        <v>1.6272630311124299</v>
      </c>
      <c r="IP89" s="27">
        <f>PortfolioFrontier[[#This Row],[P62 Growth]]/PortfolioFrontier[[#This Row],[P62 HWM]]-1</f>
        <v>-5.8293075725063814E-2</v>
      </c>
      <c r="IQ89" s="28">
        <f>SUMPRODUCT(INDEX(PortfolioRef[[SPY]:[PE]],MATCH(IQ$1,PortfolioRef[Reference '#]),0),AssetMonthlyReturns[[#This Row],[SPY]:[PE]])</f>
        <v>2.3004968812834835E-2</v>
      </c>
      <c r="IR89" s="27">
        <f>IF(ISNUMBER(IR88),IR88*(1+PortfolioFrontier[[#This Row],[P63 Return]]),1+PortfolioFrontier[[#This Row],[P63 Return]])</f>
        <v>1.526902171138725</v>
      </c>
      <c r="IS89" s="27">
        <f>MAX(IS88,PortfolioFrontier[[#This Row],[P63 Growth]])</f>
        <v>1.646884909102555</v>
      </c>
      <c r="IT89" s="27">
        <f>PortfolioFrontier[[#This Row],[P63 Growth]]/PortfolioFrontier[[#This Row],[P63 HWM]]-1</f>
        <v>-7.2854355092252798E-2</v>
      </c>
      <c r="IU89" s="28">
        <f>SUMPRODUCT(INDEX(PortfolioRef[[SPY]:[PE]],MATCH(IU$1,PortfolioRef[Reference '#]),0),AssetMonthlyReturns[[#This Row],[SPY]:[PE]])</f>
        <v>2.1593232456627531E-2</v>
      </c>
      <c r="IV89" s="27">
        <f>IF(ISNUMBER(IV88),IV88*(1+PortfolioFrontier[[#This Row],[P64 Return]]),1+PortfolioFrontier[[#This Row],[P64 Return]])</f>
        <v>1.5236573965163227</v>
      </c>
      <c r="IW89" s="27">
        <f>MAX(IW88,PortfolioFrontier[[#This Row],[P64 Growth]])</f>
        <v>1.6151793879801097</v>
      </c>
      <c r="IX89" s="27">
        <f>PortfolioFrontier[[#This Row],[P64 Growth]]/PortfolioFrontier[[#This Row],[P64 HWM]]-1</f>
        <v>-5.6663669772458736E-2</v>
      </c>
      <c r="IY89" s="28">
        <f>SUMPRODUCT(INDEX(PortfolioRef[[SPY]:[PE]],MATCH(IY$1,PortfolioRef[Reference '#]),0),AssetMonthlyReturns[[#This Row],[SPY]:[PE]])</f>
        <v>1.8749015811975481E-2</v>
      </c>
      <c r="IZ89" s="27">
        <f>IF(ISNUMBER(IZ88),IZ88*(1+PortfolioFrontier[[#This Row],[P65 Return]]),1+PortfolioFrontier[[#This Row],[P65 Return]])</f>
        <v>1.5594662143720959</v>
      </c>
      <c r="JA89" s="27">
        <f>MAX(JA88,PortfolioFrontier[[#This Row],[P65 Growth]])</f>
        <v>1.6422150953060746</v>
      </c>
      <c r="JB89" s="27">
        <f>PortfolioFrontier[[#This Row],[P65 Growth]]/PortfolioFrontier[[#This Row],[P65 HWM]]-1</f>
        <v>-5.0388576484590164E-2</v>
      </c>
      <c r="JC89" s="28">
        <f>SUMPRODUCT(INDEX(PortfolioRef[[SPY]:[PE]],MATCH(JC$1,PortfolioRef[Reference '#]),0),AssetMonthlyReturns[[#This Row],[SPY]:[PE]])</f>
        <v>2.2084704896093786E-2</v>
      </c>
      <c r="JD89" s="27">
        <f>IF(ISNUMBER(JD88),JD88*(1+PortfolioFrontier[[#This Row],[P66 Return]]),1+PortfolioFrontier[[#This Row],[P66 Return]])</f>
        <v>1.5542271658032059</v>
      </c>
      <c r="JE89" s="27">
        <f>MAX(JE88,PortfolioFrontier[[#This Row],[P66 Growth]])</f>
        <v>1.6623077877531292</v>
      </c>
      <c r="JF89" s="27">
        <f>PortfolioFrontier[[#This Row],[P66 Growth]]/PortfolioFrontier[[#This Row],[P66 HWM]]-1</f>
        <v>-6.501841761567595E-2</v>
      </c>
      <c r="JG89" s="28">
        <f>SUMPRODUCT(INDEX(PortfolioRef[[SPY]:[PE]],MATCH(JG$1,PortfolioRef[Reference '#]),0),AssetMonthlyReturns[[#This Row],[SPY]:[PE]])</f>
        <v>2.0672968539886483E-2</v>
      </c>
      <c r="JH89" s="27">
        <f>IF(ISNUMBER(JH88),JH88*(1+PortfolioFrontier[[#This Row],[P67 Return]]),1+PortfolioFrontier[[#This Row],[P67 Return]])</f>
        <v>1.5509565240622818</v>
      </c>
      <c r="JI89" s="27">
        <f>MAX(JI88,PortfolioFrontier[[#This Row],[P67 Growth]])</f>
        <v>1.6303687537292939</v>
      </c>
      <c r="JJ89" s="27">
        <f>PortfolioFrontier[[#This Row],[P67 Growth]]/PortfolioFrontier[[#This Row],[P67 HWM]]-1</f>
        <v>-4.8708140097364572E-2</v>
      </c>
      <c r="JK89" s="28">
        <f>SUMPRODUCT(INDEX(PortfolioRef[[SPY]:[PE]],MATCH(JK$1,PortfolioRef[Reference '#]),0),AssetMonthlyReturns[[#This Row],[SPY]:[PE]])</f>
        <v>2.5420393980212098E-2</v>
      </c>
      <c r="JL89" s="27">
        <f>IF(ISNUMBER(JL88),JL88*(1+PortfolioFrontier[[#This Row],[P68 Return]]),1+PortfolioFrontier[[#This Row],[P68 Return]])</f>
        <v>1.5478781142270679</v>
      </c>
      <c r="JM89" s="27">
        <f>MAX(JM88,PortfolioFrontier[[#This Row],[P68 Growth]])</f>
        <v>1.6817622542850994</v>
      </c>
      <c r="JN89" s="27">
        <f>PortfolioFrontier[[#This Row],[P68 Growth]]/PortfolioFrontier[[#This Row],[P68 HWM]]-1</f>
        <v>-7.9609433329174362E-2</v>
      </c>
      <c r="JO89" s="28">
        <f>SUMPRODUCT(INDEX(PortfolioRef[[SPY]:[PE]],MATCH(JO$1,PortfolioRef[Reference '#]),0),AssetMonthlyReturns[[#This Row],[SPY]:[PE]])</f>
        <v>2.4008657624004788E-2</v>
      </c>
      <c r="JP89" s="27">
        <f>IF(ISNUMBER(JP88),JP88*(1+PortfolioFrontier[[#This Row],[P69 Return]]),1+PortfolioFrontier[[#This Row],[P69 Return]])</f>
        <v>1.54541772331519</v>
      </c>
      <c r="JQ89" s="27">
        <f>MAX(JQ88,PortfolioFrontier[[#This Row],[P69 Growth]])</f>
        <v>1.6499912107010917</v>
      </c>
      <c r="JR89" s="27">
        <f>PortfolioFrontier[[#This Row],[P69 Growth]]/PortfolioFrontier[[#This Row],[P69 HWM]]-1</f>
        <v>-6.3378208749043985E-2</v>
      </c>
      <c r="JS89" s="28">
        <f>SUMPRODUCT(INDEX(PortfolioRef[[SPY]:[PE]],MATCH(JS$1,PortfolioRef[Reference '#]),0),AssetMonthlyReturns[[#This Row],[SPY]:[PE]])</f>
        <v>2.2596921267797488E-2</v>
      </c>
      <c r="JT89" s="27">
        <f>IF(ISNUMBER(JT88),JT88*(1+PortfolioFrontier[[#This Row],[P70 Return]]),1+PortfolioFrontier[[#This Row],[P70 Return]])</f>
        <v>1.5419258958943558</v>
      </c>
      <c r="JU89" s="27">
        <f>MAX(JU88,PortfolioFrontier[[#This Row],[P70 Growth]])</f>
        <v>1.6181178918603722</v>
      </c>
      <c r="JV89" s="27">
        <f>PortfolioFrontier[[#This Row],[P70 Growth]]/PortfolioFrontier[[#This Row],[P70 HWM]]-1</f>
        <v>-4.7086801492824182E-2</v>
      </c>
      <c r="JW89" s="28">
        <f>SUMPRODUCT(INDEX(PortfolioRef[[SPY]:[PE]],MATCH(JW$1,PortfolioRef[Reference '#]),0),AssetMonthlyReturns[[#This Row],[SPY]:[PE]])</f>
        <v>2.1164440979352737E-2</v>
      </c>
      <c r="JX89" s="27">
        <f>IF(ISNUMBER(JX88),JX88*(1+PortfolioFrontier[[#This Row],[P71 Return]]),1+PortfolioFrontier[[#This Row],[P71 Return]])</f>
        <v>1.5816504344757278</v>
      </c>
      <c r="JY89" s="27">
        <f>MAX(JY88,PortfolioFrontier[[#This Row],[P71 Growth]])</f>
        <v>1.6775420819631024</v>
      </c>
      <c r="JZ89" s="27">
        <f>PortfolioFrontier[[#This Row],[P71 Growth]]/PortfolioFrontier[[#This Row],[P71 HWM]]-1</f>
        <v>-5.7161992249493809E-2</v>
      </c>
      <c r="KA89" s="28">
        <f>SUMPRODUCT(INDEX(PortfolioRef[[SPY]:[PE]],MATCH(KA$1,PortfolioRef[Reference '#]),0),AssetMonthlyReturns[[#This Row],[SPY]:[PE]])</f>
        <v>1.9752704623145434E-2</v>
      </c>
      <c r="KB89" s="27">
        <f>IF(ISNUMBER(KB88),KB88*(1+PortfolioFrontier[[#This Row],[P72 Return]]),1+PortfolioFrontier[[#This Row],[P72 Return]])</f>
        <v>1.5783545746815069</v>
      </c>
      <c r="KC89" s="27">
        <f>MAX(KC88,PortfolioFrontier[[#This Row],[P72 Growth]])</f>
        <v>1.6453738946019467</v>
      </c>
      <c r="KD89" s="27">
        <f>PortfolioFrontier[[#This Row],[P72 Growth]]/PortfolioFrontier[[#This Row],[P72 HWM]]-1</f>
        <v>-4.0731969882537467E-2</v>
      </c>
      <c r="KE89" s="28">
        <f>SUMPRODUCT(INDEX(PortfolioRef[[SPY]:[PE]],MATCH(KE$1,PortfolioRef[Reference '#]),0),AssetMonthlyReturns[[#This Row],[SPY]:[PE]])</f>
        <v>2.450013006347105E-2</v>
      </c>
      <c r="KF89" s="27">
        <f>IF(ISNUMBER(KF88),KF88*(1+PortfolioFrontier[[#This Row],[P73 Return]]),1+PortfolioFrontier[[#This Row],[P73 Return]])</f>
        <v>1.5755551047500482</v>
      </c>
      <c r="KG89" s="27">
        <f>MAX(KG88,PortfolioFrontier[[#This Row],[P73 Growth]])</f>
        <v>1.6974712283523181</v>
      </c>
      <c r="KH89" s="27">
        <f>PortfolioFrontier[[#This Row],[P73 Growth]]/PortfolioFrontier[[#This Row],[P73 HWM]]-1</f>
        <v>-7.1822203266802997E-2</v>
      </c>
      <c r="KI89" s="28">
        <f>SUMPRODUCT(INDEX(PortfolioRef[[SPY]:[PE]],MATCH(KI$1,PortfolioRef[Reference '#]),0),AssetMonthlyReturns[[#This Row],[SPY]:[PE]])</f>
        <v>2.3088393707263739E-2</v>
      </c>
      <c r="KJ89" s="27">
        <f>IF(ISNUMBER(KJ88),KJ88*(1+PortfolioFrontier[[#This Row],[P74 Return]]),1+PortfolioFrontier[[#This Row],[P74 Return]])</f>
        <v>1.5730828167590798</v>
      </c>
      <c r="KK89" s="27">
        <f>MAX(KK88,PortfolioFrontier[[#This Row],[P74 Growth]])</f>
        <v>1.6654678920548054</v>
      </c>
      <c r="KL89" s="27">
        <f>PortfolioFrontier[[#This Row],[P74 Growth]]/PortfolioFrontier[[#This Row],[P74 HWM]]-1</f>
        <v>-5.5470943472674006E-2</v>
      </c>
      <c r="KM89" s="28">
        <f>SUMPRODUCT(INDEX(PortfolioRef[[SPY]:[PE]],MATCH(KM$1,PortfolioRef[Reference '#]),0),AssetMonthlyReturns[[#This Row],[SPY]:[PE]])</f>
        <v>2.1676657351056439E-2</v>
      </c>
      <c r="KN89" s="27">
        <f>IF(ISNUMBER(KN88),KN88*(1+PortfolioFrontier[[#This Row],[P75 Return]]),1+PortfolioFrontier[[#This Row],[P75 Return]])</f>
        <v>1.5695612851484764</v>
      </c>
      <c r="KO89" s="27">
        <f>MAX(KO88,PortfolioFrontier[[#This Row],[P75 Growth]])</f>
        <v>1.6333591346427441</v>
      </c>
      <c r="KP89" s="27">
        <f>PortfolioFrontier[[#This Row],[P75 Growth]]/PortfolioFrontier[[#This Row],[P75 HWM]]-1</f>
        <v>-3.9059290844950523E-2</v>
      </c>
      <c r="KQ89" s="28">
        <f>SUMPRODUCT(INDEX(PortfolioRef[[SPY]:[PE]],MATCH(KQ$1,PortfolioRef[Reference '#]),0),AssetMonthlyReturns[[#This Row],[SPY]:[PE]])</f>
        <v>2.7835819147589359E-2</v>
      </c>
      <c r="KR89" s="27">
        <f>IF(ISNUMBER(KR88),KR88*(1+PortfolioFrontier[[#This Row],[P76 Return]]),1+PortfolioFrontier[[#This Row],[P76 Return]])</f>
        <v>1.5683370986060563</v>
      </c>
      <c r="KS89" s="27">
        <f>MAX(KS88,PortfolioFrontier[[#This Row],[P76 Growth]])</f>
        <v>1.7167314071133803</v>
      </c>
      <c r="KT89" s="27">
        <f>PortfolioFrontier[[#This Row],[P76 Growth]]/PortfolioFrontier[[#This Row],[P76 HWM]]-1</f>
        <v>-8.6440026606633524E-2</v>
      </c>
      <c r="KU89" s="28">
        <f>SUMPRODUCT(INDEX(PortfolioRef[[SPY]:[PE]],MATCH(KU$1,PortfolioRef[Reference '#]),0),AssetMonthlyReturns[[#This Row],[SPY]:[PE]])</f>
        <v>2.6424082791382052E-2</v>
      </c>
      <c r="KV89" s="27">
        <f>IF(ISNUMBER(KV88),KV88*(1+PortfolioFrontier[[#This Row],[P77 Return]]),1+PortfolioFrontier[[#This Row],[P77 Return]])</f>
        <v>1.5666879841632551</v>
      </c>
      <c r="KW89" s="27">
        <f>MAX(KW88,PortfolioFrontier[[#This Row],[P77 Growth]])</f>
        <v>1.6849217747429484</v>
      </c>
      <c r="KX89" s="27">
        <f>PortfolioFrontier[[#This Row],[P77 Growth]]/PortfolioFrontier[[#This Row],[P77 HWM]]-1</f>
        <v>-7.0171679393086994E-2</v>
      </c>
      <c r="KY89" s="28">
        <f>SUMPRODUCT(INDEX(PortfolioRef[[SPY]:[PE]],MATCH(KY$1,PortfolioRef[Reference '#]),0),AssetMonthlyReturns[[#This Row],[SPY]:[PE]])</f>
        <v>2.5012346435174745E-2</v>
      </c>
      <c r="KZ89" s="27">
        <f>IF(ISNUMBER(KZ88),KZ88*(1+PortfolioFrontier[[#This Row],[P78 Return]]),1+PortfolioFrontier[[#This Row],[P78 Return]])</f>
        <v>1.5639867014295616</v>
      </c>
      <c r="LA89" s="27">
        <f>MAX(LA88,PortfolioFrontier[[#This Row],[P78 Growth]])</f>
        <v>1.6529805725839544</v>
      </c>
      <c r="LB89" s="27">
        <f>PortfolioFrontier[[#This Row],[P78 Growth]]/PortfolioFrontier[[#This Row],[P78 HWM]]-1</f>
        <v>-5.3838425345360652E-2</v>
      </c>
      <c r="LC89" s="28">
        <f>SUMPRODUCT(INDEX(PortfolioRef[[SPY]:[PE]],MATCH(LC$1,PortfolioRef[Reference '#]),0),AssetMonthlyReturns[[#This Row],[SPY]:[PE]])</f>
        <v>2.3579866146730001E-2</v>
      </c>
      <c r="LD89" s="27">
        <f>IF(ISNUMBER(LD88),LD88*(1+PortfolioFrontier[[#This Row],[P79 Return]]),1+PortfolioFrontier[[#This Row],[P79 Return]])</f>
        <v>1.6033314143449522</v>
      </c>
      <c r="LE89" s="27">
        <f>MAX(LE88,PortfolioFrontier[[#This Row],[P79 Growth]])</f>
        <v>1.7129874860839263</v>
      </c>
      <c r="LF89" s="27">
        <f>PortfolioFrontier[[#This Row],[P79 Growth]]/PortfolioFrontier[[#This Row],[P79 HWM]]-1</f>
        <v>-6.4014520029950561E-2</v>
      </c>
      <c r="LG89" s="28">
        <f>SUMPRODUCT(INDEX(PortfolioRef[[SPY]:[PE]],MATCH(LG$1,PortfolioRef[Reference '#]),0),AssetMonthlyReturns[[#This Row],[SPY]:[PE]])</f>
        <v>2.2168129790522691E-2</v>
      </c>
      <c r="LH89" s="27">
        <f>IF(ISNUMBER(LH88),LH88*(1+PortfolioFrontier[[#This Row],[P80 Return]]),1+PortfolioFrontier[[#This Row],[P80 Return]])</f>
        <v>1.600847930737326</v>
      </c>
      <c r="LI89" s="27">
        <f>MAX(LI88,PortfolioFrontier[[#This Row],[P80 Growth]])</f>
        <v>1.6807562405101484</v>
      </c>
      <c r="LJ89" s="27">
        <f>PortfolioFrontier[[#This Row],[P80 Growth]]/PortfolioFrontier[[#This Row],[P80 HWM]]-1</f>
        <v>-4.7543068915554598E-2</v>
      </c>
      <c r="LK89" s="28">
        <f>SUMPRODUCT(INDEX(PortfolioRef[[SPY]:[PE]],MATCH(LK$1,PortfolioRef[Reference '#]),0),AssetMonthlyReturns[[#This Row],[SPY]:[PE]])</f>
        <v>2.0756393434315391E-2</v>
      </c>
      <c r="LL89" s="27">
        <f>IF(ISNUMBER(LL88),LL88*(1+PortfolioFrontier[[#This Row],[P81 Return]]),1+PortfolioFrontier[[#This Row],[P81 Return]])</f>
        <v>1.5972973418722904</v>
      </c>
      <c r="LM89" s="27">
        <f>MAX(LM88,PortfolioFrontier[[#This Row],[P81 Growth]])</f>
        <v>1.648416413491208</v>
      </c>
      <c r="LN89" s="27">
        <f>PortfolioFrontier[[#This Row],[P81 Growth]]/PortfolioFrontier[[#This Row],[P81 HWM]]-1</f>
        <v>-3.1011018332832374E-2</v>
      </c>
      <c r="LO89" s="28">
        <f>SUMPRODUCT(INDEX(PortfolioRef[[SPY]:[PE]],MATCH(LO$1,PortfolioRef[Reference '#]),0),AssetMonthlyReturns[[#This Row],[SPY]:[PE]])</f>
        <v>2.691555523084831E-2</v>
      </c>
      <c r="LP89" s="27">
        <f>IF(ISNUMBER(LP88),LP88*(1+PortfolioFrontier[[#This Row],[P82 Return]]),1+PortfolioFrontier[[#This Row],[P82 Return]])</f>
        <v>1.5963567197153981</v>
      </c>
      <c r="LQ89" s="27">
        <f>MAX(LQ88,PortfolioFrontier[[#This Row],[P82 Growth]])</f>
        <v>1.7327259878391794</v>
      </c>
      <c r="LR89" s="27">
        <f>PortfolioFrontier[[#This Row],[P82 Growth]]/PortfolioFrontier[[#This Row],[P82 HWM]]-1</f>
        <v>-7.8702154339961528E-2</v>
      </c>
      <c r="LS89" s="28">
        <f>SUMPRODUCT(INDEX(PortfolioRef[[SPY]:[PE]],MATCH(LS$1,PortfolioRef[Reference '#]),0),AssetMonthlyReturns[[#This Row],[SPY]:[PE]])</f>
        <v>2.5503818874641003E-2</v>
      </c>
      <c r="LT89" s="27">
        <f>IF(ISNUMBER(LT88),LT88*(1+PortfolioFrontier[[#This Row],[P83 Return]]),1+PortfolioFrontier[[#This Row],[P83 Return]])</f>
        <v>1.594710109028221</v>
      </c>
      <c r="LU89" s="27">
        <f>MAX(LU88,PortfolioFrontier[[#This Row],[P83 Growth]])</f>
        <v>1.7006855237848306</v>
      </c>
      <c r="LV89" s="27">
        <f>PortfolioFrontier[[#This Row],[P83 Growth]]/PortfolioFrontier[[#This Row],[P83 HWM]]-1</f>
        <v>-6.2313351454161947E-2</v>
      </c>
      <c r="LW89" s="28">
        <f>SUMPRODUCT(INDEX(PortfolioRef[[SPY]:[PE]],MATCH(LW$1,PortfolioRef[Reference '#]),0),AssetMonthlyReturns[[#This Row],[SPY]:[PE]])</f>
        <v>2.4092082518433696E-2</v>
      </c>
      <c r="LX89" s="27">
        <f>IF(ISNUMBER(LX88),LX88*(1+PortfolioFrontier[[#This Row],[P84 Return]]),1+PortfolioFrontier[[#This Row],[P84 Return]])</f>
        <v>1.5919932123102347</v>
      </c>
      <c r="LY89" s="27">
        <f>MAX(LY88,PortfolioFrontier[[#This Row],[P84 Growth]])</f>
        <v>1.6685100840279028</v>
      </c>
      <c r="LZ89" s="27">
        <f>PortfolioFrontier[[#This Row],[P84 Growth]]/PortfolioFrontier[[#This Row],[P84 HWM]]-1</f>
        <v>-4.5859400221873958E-2</v>
      </c>
      <c r="MA89" s="28">
        <f>SUMPRODUCT(INDEX(PortfolioRef[[SPY]:[PE]],MATCH(MA$1,PortfolioRef[Reference '#]),0),AssetMonthlyReturns[[#This Row],[SPY]:[PE]])</f>
        <v>3.0251244314966619E-2</v>
      </c>
      <c r="MB89" s="27">
        <f>IF(ISNUMBER(MB88),MB88*(1+PortfolioFrontier[[#This Row],[P85 Return]]),1+PortfolioFrontier[[#This Row],[P85 Return]])</f>
        <v>1.5882477556046528</v>
      </c>
      <c r="MC89" s="27">
        <f>MAX(MC88,PortfolioFrontier[[#This Row],[P85 Growth]])</f>
        <v>1.7517641950154219</v>
      </c>
      <c r="MD89" s="27">
        <f>PortfolioFrontier[[#This Row],[P85 Growth]]/PortfolioFrontier[[#This Row],[P85 HWM]]-1</f>
        <v>-9.3343864360311057E-2</v>
      </c>
      <c r="ME89" s="28">
        <f>SUMPRODUCT(INDEX(PortfolioRef[[SPY]:[PE]],MATCH(ME$1,PortfolioRef[Reference '#]),0),AssetMonthlyReturns[[#This Row],[SPY]:[PE]])</f>
        <v>2.8839507958759312E-2</v>
      </c>
      <c r="MF89" s="27">
        <f>IF(ISNUMBER(MF88),MF88*(1+PortfolioFrontier[[#This Row],[P86 Return]]),1+PortfolioFrontier[[#This Row],[P86 Return]])</f>
        <v>1.5874363379662133</v>
      </c>
      <c r="MG89" s="27">
        <f>MAX(MG88,PortfolioFrontier[[#This Row],[P86 Growth]])</f>
        <v>1.7199439154573082</v>
      </c>
      <c r="MH89" s="27">
        <f>PortfolioFrontier[[#This Row],[P86 Growth]]/PortfolioFrontier[[#This Row],[P86 HWM]]-1</f>
        <v>-7.7041801363542106E-2</v>
      </c>
      <c r="MI89" s="28">
        <f>SUMPRODUCT(INDEX(PortfolioRef[[SPY]:[PE]],MATCH(MI$1,PortfolioRef[Reference '#]),0),AssetMonthlyReturns[[#This Row],[SPY]:[PE]])</f>
        <v>2.7427771602552008E-2</v>
      </c>
      <c r="MJ89" s="27">
        <f>IF(ISNUMBER(MJ88),MJ88*(1+PortfolioFrontier[[#This Row],[P87 Return]]),1+PortfolioFrontier[[#This Row],[P87 Return]])</f>
        <v>1.5855528993095442</v>
      </c>
      <c r="MK89" s="27">
        <f>MAX(MK88,PortfolioFrontier[[#This Row],[P87 Growth]])</f>
        <v>1.6879617873128629</v>
      </c>
      <c r="ML89" s="27">
        <f>PortfolioFrontier[[#This Row],[P87 Growth]]/PortfolioFrontier[[#This Row],[P87 HWM]]-1</f>
        <v>-6.0670145955346366E-2</v>
      </c>
      <c r="MM89" s="28">
        <f>SUMPRODUCT(INDEX(PortfolioRef[[SPY]:[PE]],MATCH(MM$1,PortfolioRef[Reference '#]),0),AssetMonthlyReturns[[#This Row],[SPY]:[PE]])</f>
        <v>2.5995291314107261E-2</v>
      </c>
      <c r="MN89" s="27">
        <f>IF(ISNUMBER(MN88),MN88*(1+PortfolioFrontier[[#This Row],[P88 Return]]),1+PortfolioFrontier[[#This Row],[P88 Return]])</f>
        <v>1.6244766722470827</v>
      </c>
      <c r="MO89" s="27">
        <f>MAX(MO88,PortfolioFrontier[[#This Row],[P88 Growth]])</f>
        <v>1.7485237047822844</v>
      </c>
      <c r="MP89" s="27">
        <f>PortfolioFrontier[[#This Row],[P88 Growth]]/PortfolioFrontier[[#This Row],[P88 HWM]]-1</f>
        <v>-7.0943866643573661E-2</v>
      </c>
      <c r="MQ89" s="28">
        <f>SUMPRODUCT(INDEX(PortfolioRef[[SPY]:[PE]],MATCH(MQ$1,PortfolioRef[Reference '#]),0),AssetMonthlyReturns[[#This Row],[SPY]:[PE]])</f>
        <v>2.4583554957899954E-2</v>
      </c>
      <c r="MR89" s="27">
        <f>IF(ISNUMBER(MR88),MR88*(1+PortfolioFrontier[[#This Row],[P89 Return]]),1+PortfolioFrontier[[#This Row],[P89 Return]])</f>
        <v>1.6228333200120582</v>
      </c>
      <c r="MS89" s="27">
        <f>MAX(MS88,PortfolioFrontier[[#This Row],[P89 Growth]])</f>
        <v>1.7162568132506029</v>
      </c>
      <c r="MT89" s="27">
        <f>PortfolioFrontier[[#This Row],[P89 Growth]]/PortfolioFrontier[[#This Row],[P89 HWM]]-1</f>
        <v>-5.4434448572763361E-2</v>
      </c>
      <c r="MU89" s="28">
        <f>SUMPRODUCT(INDEX(PortfolioRef[[SPY]:[PE]],MATCH(MU$1,PortfolioRef[Reference '#]),0),AssetMonthlyReturns[[#This Row],[SPY]:[PE]])</f>
        <v>2.3171818601692647E-2</v>
      </c>
      <c r="MV89" s="27">
        <f>IF(ISNUMBER(MV88),MV88*(1+PortfolioFrontier[[#This Row],[P90 Return]]),1+PortfolioFrontier[[#This Row],[P90 Return]])</f>
        <v>1.620101509438342</v>
      </c>
      <c r="MW89" s="27">
        <f>MAX(MW88,PortfolioFrontier[[#This Row],[P90 Growth]])</f>
        <v>1.6838515290273213</v>
      </c>
      <c r="MX89" s="27">
        <f>PortfolioFrontier[[#This Row],[P90 Growth]]/PortfolioFrontier[[#This Row],[P90 HWM]]-1</f>
        <v>-3.7859644089764055E-2</v>
      </c>
      <c r="MY89" s="28">
        <f>SUMPRODUCT(INDEX(PortfolioRef[[SPY]:[PE]],MATCH(MY$1,PortfolioRef[Reference '#]),0),AssetMonthlyReturns[[#This Row],[SPY]:[PE]])</f>
        <v>2.933098039822557E-2</v>
      </c>
      <c r="MZ89" s="27">
        <f>IF(ISNUMBER(MZ88),MZ88*(1+PortfolioFrontier[[#This Row],[P91 Return]]),1+PortfolioFrontier[[#This Row],[P91 Return]])</f>
        <v>1.6166001252251685</v>
      </c>
      <c r="NA89" s="27">
        <f>MAX(NA88,PortfolioFrontier[[#This Row],[P91 Growth]])</f>
        <v>1.7680436458517257</v>
      </c>
      <c r="NB89" s="27">
        <f>PortfolioFrontier[[#This Row],[P91 Growth]]/PortfolioFrontier[[#This Row],[P91 HWM]]-1</f>
        <v>-8.5655985349616048E-2</v>
      </c>
      <c r="NC89" s="28">
        <f>SUMPRODUCT(INDEX(PortfolioRef[[SPY]:[PE]],MATCH(NC$1,PortfolioRef[Reference '#]),0),AssetMonthlyReturns[[#This Row],[SPY]:[PE]])</f>
        <v>2.7919244042018263E-2</v>
      </c>
      <c r="ND89" s="27">
        <f>IF(ISNUMBER(ND88),ND88*(1+PortfolioFrontier[[#This Row],[P92 Return]]),1+PortfolioFrontier[[#This Row],[P92 Return]])</f>
        <v>1.6158060338137394</v>
      </c>
      <c r="NE89" s="27">
        <f>MAX(NE88,PortfolioFrontier[[#This Row],[P92 Growth]])</f>
        <v>1.73599424265744</v>
      </c>
      <c r="NF89" s="27">
        <f>PortfolioFrontier[[#This Row],[P92 Growth]]/PortfolioFrontier[[#This Row],[P92 HWM]]-1</f>
        <v>-6.9233068803107201E-2</v>
      </c>
      <c r="NG89" s="28">
        <f>SUMPRODUCT(INDEX(PortfolioRef[[SPY]:[PE]],MATCH(NG$1,PortfolioRef[Reference '#]),0),AssetMonthlyReturns[[#This Row],[SPY]:[PE]])</f>
        <v>2.650750768581096E-2</v>
      </c>
      <c r="NH89" s="27">
        <f>IF(ISNUMBER(NH88),NH88*(1+PortfolioFrontier[[#This Row],[P93 Return]]),1+PortfolioFrontier[[#This Row],[P93 Return]])</f>
        <v>1.6139215088810344</v>
      </c>
      <c r="NI89" s="27">
        <f>MAX(NI88,PortfolioFrontier[[#This Row],[P93 Growth]])</f>
        <v>1.7037793193389816</v>
      </c>
      <c r="NJ89" s="27">
        <f>PortfolioFrontier[[#This Row],[P93 Growth]]/PortfolioFrontier[[#This Row],[P93 HWM]]-1</f>
        <v>-5.274028710056744E-2</v>
      </c>
      <c r="NK89" s="28">
        <f>SUMPRODUCT(INDEX(PortfolioRef[[SPY]:[PE]],MATCH(NK$1,PortfolioRef[Reference '#]),0),AssetMonthlyReturns[[#This Row],[SPY]:[PE]])</f>
        <v>3.2666669482343876E-2</v>
      </c>
      <c r="NL89" s="27">
        <f>IF(ISNUMBER(NL88),NL88*(1+PortfolioFrontier[[#This Row],[P94 Return]]),1+PortfolioFrontier[[#This Row],[P94 Return]])</f>
        <v>1.6075788481108582</v>
      </c>
      <c r="NM89" s="27">
        <f>MAX(NM88,PortfolioFrontier[[#This Row],[P94 Growth]])</f>
        <v>1.7868313973018393</v>
      </c>
      <c r="NN89" s="27">
        <f>PortfolioFrontier[[#This Row],[P94 Growth]]/PortfolioFrontier[[#This Row],[P94 HWM]]-1</f>
        <v>-0.10031866994370986</v>
      </c>
      <c r="NO89" s="28">
        <f>SUMPRODUCT(INDEX(PortfolioRef[[SPY]:[PE]],MATCH(NO$1,PortfolioRef[Reference '#]),0),AssetMonthlyReturns[[#This Row],[SPY]:[PE]])</f>
        <v>3.1254933126136572E-2</v>
      </c>
      <c r="NP89" s="27">
        <f>IF(ISNUMBER(NP88),NP88*(1+PortfolioFrontier[[#This Row],[P95 Return]]),1+PortfolioFrontier[[#This Row],[P95 Return]])</f>
        <v>1.6076310149805084</v>
      </c>
      <c r="NQ89" s="27">
        <f>MAX(NQ88,PortfolioFrontier[[#This Row],[P95 Growth]])</f>
        <v>1.7550294195356591</v>
      </c>
      <c r="NR89" s="27">
        <f>PortfolioFrontier[[#This Row],[P95 Growth]]/PortfolioFrontier[[#This Row],[P95 HWM]]-1</f>
        <v>-8.3986287018566808E-2</v>
      </c>
      <c r="NS89" s="28">
        <f>SUMPRODUCT(INDEX(PortfolioRef[[SPY]:[PE]],MATCH(NS$1,PortfolioRef[Reference '#]),0),AssetMonthlyReturns[[#This Row],[SPY]:[PE]])</f>
        <v>2.9843196769929269E-2</v>
      </c>
      <c r="NT89" s="27">
        <f>IF(ISNUMBER(NT88),NT88*(1+PortfolioFrontier[[#This Row],[P96 Return]]),1+PortfolioFrontier[[#This Row],[P96 Return]])</f>
        <v>1.6065922475140995</v>
      </c>
      <c r="NU89" s="27">
        <f>MAX(NU88,PortfolioFrontier[[#This Row],[P96 Growth]])</f>
        <v>1.7230343324336159</v>
      </c>
      <c r="NV89" s="27">
        <f>PortfolioFrontier[[#This Row],[P96 Growth]]/PortfolioFrontier[[#This Row],[P96 HWM]]-1</f>
        <v>-6.7579666131813765E-2</v>
      </c>
      <c r="NW89" s="28">
        <f>SUMPRODUCT(INDEX(PortfolioRef[[SPY]:[PE]],MATCH(NW$1,PortfolioRef[Reference '#]),0),AssetMonthlyReturns[[#This Row],[SPY]:[PE]])</f>
        <v>1.7356165150925806E-2</v>
      </c>
      <c r="NX89" s="27">
        <f>IF(ISNUMBER(NX88),NX88*(1+PortfolioFrontier[[#This Row],[P97 Return]]),1+PortfolioFrontier[[#This Row],[P97 Return]])</f>
        <v>1.441604112669109</v>
      </c>
      <c r="NY89" s="27">
        <f>MAX(NY88,PortfolioFrontier[[#This Row],[P97 Growth]])</f>
        <v>1.5498139523617234</v>
      </c>
      <c r="NZ89" s="27">
        <f>PortfolioFrontier[[#This Row],[P97 Growth]]/PortfolioFrontier[[#This Row],[P97 HWM]]-1</f>
        <v>-6.9821180489255563E-2</v>
      </c>
      <c r="OA89" s="28">
        <f>SUMPRODUCT(INDEX(PortfolioRef[[SPY]:[PE]],MATCH(OA$1,PortfolioRef[Reference '#]),0),AssetMonthlyReturns[[#This Row],[SPY]:[PE]])</f>
        <v>1.6435901234184758E-2</v>
      </c>
      <c r="OB89" s="27">
        <f>IF(ISNUMBER(OB88),OB88*(1+PortfolioFrontier[[#This Row],[P98 Return]]),1+PortfolioFrontier[[#This Row],[P98 Return]])</f>
        <v>1.4674283693437131</v>
      </c>
      <c r="OC89" s="27">
        <f>MAX(OC88,PortfolioFrontier[[#This Row],[P98 Growth]])</f>
        <v>1.5643918723292729</v>
      </c>
      <c r="OD89" s="27">
        <f>PortfolioFrontier[[#This Row],[P98 Growth]]/PortfolioFrontier[[#This Row],[P98 HWM]]-1</f>
        <v>-6.1981594701836285E-2</v>
      </c>
      <c r="OE89" s="28">
        <f>SUMPRODUCT(INDEX(PortfolioRef[[SPY]:[PE]],MATCH(OE$1,PortfolioRef[Reference '#]),0),AssetMonthlyReturns[[#This Row],[SPY]:[PE]])</f>
        <v>1.977159031830307E-2</v>
      </c>
      <c r="OF89" s="27">
        <f>IF(ISNUMBER(OF88),OF88*(1+PortfolioFrontier[[#This Row],[P99 Return]]),1+PortfolioFrontier[[#This Row],[P99 Return]])</f>
        <v>1.4626902389823622</v>
      </c>
      <c r="OG89" s="27">
        <f>MAX(OG88,PortfolioFrontier[[#This Row],[P99 Growth]])</f>
        <v>1.5836627563813395</v>
      </c>
      <c r="OH89" s="27">
        <f>PortfolioFrontier[[#This Row],[P99 Growth]]/PortfolioFrontier[[#This Row],[P99 HWM]]-1</f>
        <v>-7.6387802208216837E-2</v>
      </c>
      <c r="OI89" s="28">
        <f>SUMPRODUCT(INDEX(PortfolioRef[[SPY]:[PE]],MATCH(OI$1,PortfolioRef[Reference '#]),0),AssetMonthlyReturns[[#This Row],[SPY]:[PE]])</f>
        <v>1.835985396209576E-2</v>
      </c>
      <c r="OJ89" s="27">
        <f>IF(ISNUMBER(OJ88),OJ88*(1+PortfolioFrontier[[#This Row],[P100 Return]]),1+PortfolioFrontier[[#This Row],[P100 Return]])</f>
        <v>1.4590712341620486</v>
      </c>
      <c r="OK89" s="27">
        <f>MAX(OK88,PortfolioFrontier[[#This Row],[P100 Growth]])</f>
        <v>1.5528062347399851</v>
      </c>
      <c r="OL89" s="27">
        <f>PortfolioFrontier[[#This Row],[P100 Growth]]/PortfolioFrontier[[#This Row],[P100 HWM]]-1</f>
        <v>-6.0364904828986821E-2</v>
      </c>
      <c r="OM89" s="28">
        <f>SUMPRODUCT(INDEX(PortfolioRef[[SPY]:[PE]],MATCH(OM$1,PortfolioRef[Reference '#]),0),AssetMonthlyReturns[[#This Row],[SPY]:[PE]])</f>
        <v>1.5515637317443709E-2</v>
      </c>
      <c r="ON89" s="27">
        <f>IF(ISNUMBER(ON88),ON88*(1+PortfolioFrontier[[#This Row],[P101 Return]]),1+PortfolioFrontier[[#This Row],[P101 Return]])</f>
        <v>1.4933450578386191</v>
      </c>
      <c r="OO89" s="27">
        <f>MAX(OO88,PortfolioFrontier[[#This Row],[P101 Growth]])</f>
        <v>1.5787921813488919</v>
      </c>
      <c r="OP89" s="27">
        <f>PortfolioFrontier[[#This Row],[P101 Growth]]/PortfolioFrontier[[#This Row],[P101 HWM]]-1</f>
        <v>-5.4121830928544501E-2</v>
      </c>
      <c r="OQ89" s="28">
        <f>SUMPRODUCT(INDEX(PortfolioRef[[SPY]:[PE]],MATCH(OQ$1,PortfolioRef[Reference '#]),0),AssetMonthlyReturns[[#This Row],[SPY]:[PE]])</f>
        <v>1.8851326401562021E-2</v>
      </c>
      <c r="OR89" s="27">
        <f>IF(ISNUMBER(OR88),OR88*(1+PortfolioFrontier[[#This Row],[P102 Return]]),1+PortfolioFrontier[[#This Row],[P102 Return]])</f>
        <v>1.4888694025305813</v>
      </c>
      <c r="OS89" s="27">
        <f>MAX(OS88,PortfolioFrontier[[#This Row],[P102 Growth]])</f>
        <v>1.5985203886251573</v>
      </c>
      <c r="OT89" s="27">
        <f>PortfolioFrontier[[#This Row],[P102 Growth]]/PortfolioFrontier[[#This Row],[P102 HWM]]-1</f>
        <v>-6.8595300300726025E-2</v>
      </c>
      <c r="OU89" s="28">
        <f>SUMPRODUCT(INDEX(PortfolioRef[[SPY]:[PE]],MATCH(OU$1,PortfolioRef[Reference '#]),0),AssetMonthlyReturns[[#This Row],[SPY]:[PE]])</f>
        <v>1.7439590045354714E-2</v>
      </c>
      <c r="OV89" s="27">
        <f>IF(ISNUMBER(OV88),OV88*(1+PortfolioFrontier[[#This Row],[P103 Return]]),1+PortfolioFrontier[[#This Row],[P103 Return]])</f>
        <v>1.4852167859107235</v>
      </c>
      <c r="OW89" s="27">
        <f>MAX(OW88,PortfolioFrontier[[#This Row],[P103 Growth]])</f>
        <v>1.5674355228105428</v>
      </c>
      <c r="OX89" s="27">
        <f>PortfolioFrontier[[#This Row],[P103 Growth]]/PortfolioFrontier[[#This Row],[P103 HWM]]-1</f>
        <v>-5.2454302396052754E-2</v>
      </c>
      <c r="OY89" s="28">
        <f>SUMPRODUCT(INDEX(PortfolioRef[[SPY]:[PE]],MATCH(OY$1,PortfolioRef[Reference '#]),0),AssetMonthlyReturns[[#This Row],[SPY]:[PE]])</f>
        <v>2.218701548568033E-2</v>
      </c>
      <c r="OZ89" s="27">
        <f>IF(ISNUMBER(OZ88),OZ88*(1+PortfolioFrontier[[#This Row],[P104 Return]]),1+PortfolioFrontier[[#This Row],[P104 Return]])</f>
        <v>1.4833279844914069</v>
      </c>
      <c r="PA89" s="27">
        <f>MAX(PA88,PortfolioFrontier[[#This Row],[P104 Growth]])</f>
        <v>1.6176462594840681</v>
      </c>
      <c r="PB89" s="27">
        <f>PortfolioFrontier[[#This Row],[P104 Growth]]/PortfolioFrontier[[#This Row],[P104 HWM]]-1</f>
        <v>-8.3033156479773718E-2</v>
      </c>
      <c r="PC89" s="28">
        <f>SUMPRODUCT(INDEX(PortfolioRef[[SPY]:[PE]],MATCH(PC$1,PortfolioRef[Reference '#]),0),AssetMonthlyReturns[[#This Row],[SPY]:[PE]])</f>
        <v>2.0775279129473023E-2</v>
      </c>
      <c r="PD89" s="27">
        <f>IF(ISNUMBER(PD88),PD88*(1+PortfolioFrontier[[#This Row],[P105 Return]]),1+PortfolioFrontier[[#This Row],[P105 Return]])</f>
        <v>1.4804503345060147</v>
      </c>
      <c r="PE89" s="27">
        <f>MAX(PE88,PortfolioFrontier[[#This Row],[P105 Growth]])</f>
        <v>1.5867085542337835</v>
      </c>
      <c r="PF89" s="27">
        <f>PortfolioFrontier[[#This Row],[P105 Growth]]/PortfolioFrontier[[#This Row],[P105 HWM]]-1</f>
        <v>-6.696769828601612E-2</v>
      </c>
      <c r="PG89" s="28">
        <f>SUMPRODUCT(INDEX(PortfolioRef[[SPY]:[PE]],MATCH(PG$1,PortfolioRef[Reference '#]),0),AssetMonthlyReturns[[#This Row],[SPY]:[PE]])</f>
        <v>1.9363542773265716E-2</v>
      </c>
      <c r="PH89" s="27">
        <f>IF(ISNUMBER(PH88),PH88*(1+PortfolioFrontier[[#This Row],[P106 Return]]),1+PortfolioFrontier[[#This Row],[P106 Return]])</f>
        <v>1.4765885813402218</v>
      </c>
      <c r="PI89" s="27">
        <f>MAX(PI88,PortfolioFrontier[[#This Row],[P106 Growth]])</f>
        <v>1.5556887430167754</v>
      </c>
      <c r="PJ89" s="27">
        <f>PortfolioFrontier[[#This Row],[P106 Growth]]/PortfolioFrontier[[#This Row],[P106 HWM]]-1</f>
        <v>-5.0845750495798647E-2</v>
      </c>
      <c r="PK89" s="28">
        <f>SUMPRODUCT(INDEX(PortfolioRef[[SPY]:[PE]],MATCH(PK$1,PortfolioRef[Reference '#]),0),AssetMonthlyReturns[[#This Row],[SPY]:[PE]])</f>
        <v>1.7931062484820973E-2</v>
      </c>
      <c r="PL89" s="27">
        <f>IF(ISNUMBER(PL88),PL88*(1+PortfolioFrontier[[#This Row],[P107 Return]]),1+PortfolioFrontier[[#This Row],[P107 Return]])</f>
        <v>1.5151420520808878</v>
      </c>
      <c r="PM89" s="27">
        <f>MAX(PM88,PortfolioFrontier[[#This Row],[P107 Growth]])</f>
        <v>1.6131964012798079</v>
      </c>
      <c r="PN89" s="27">
        <f>PortfolioFrontier[[#This Row],[P107 Growth]]/PortfolioFrontier[[#This Row],[P107 HWM]]-1</f>
        <v>-6.0782648114718119E-2</v>
      </c>
      <c r="PO89" s="28">
        <f>SUMPRODUCT(INDEX(PortfolioRef[[SPY]:[PE]],MATCH(PO$1,PortfolioRef[Reference '#]),0),AssetMonthlyReturns[[#This Row],[SPY]:[PE]])</f>
        <v>1.6519326128613666E-2</v>
      </c>
      <c r="PP89" s="27">
        <f>IF(ISNUMBER(PP88),PP88*(1+PortfolioFrontier[[#This Row],[P108 Return]]),1+PortfolioFrontier[[#This Row],[P108 Return]])</f>
        <v>1.511456418936314</v>
      </c>
      <c r="PQ89" s="27">
        <f>MAX(PQ88,PortfolioFrontier[[#This Row],[P108 Growth]])</f>
        <v>1.5818874318633449</v>
      </c>
      <c r="PR89" s="27">
        <f>PortfolioFrontier[[#This Row],[P108 Growth]]/PortfolioFrontier[[#This Row],[P108 HWM]]-1</f>
        <v>-4.4523403820250662E-2</v>
      </c>
      <c r="PS89" s="28">
        <f>SUMPRODUCT(INDEX(PortfolioRef[[SPY]:[PE]],MATCH(PS$1,PortfolioRef[Reference '#]),0),AssetMonthlyReturns[[#This Row],[SPY]:[PE]])</f>
        <v>2.1266751568939282E-2</v>
      </c>
      <c r="PT89" s="27">
        <f>IF(ISNUMBER(PT88),PT88*(1+PortfolioFrontier[[#This Row],[P109 Return]]),1+PortfolioFrontier[[#This Row],[P109 Return]])</f>
        <v>1.50985385423572</v>
      </c>
      <c r="PU89" s="27">
        <f>MAX(PU88,PortfolioFrontier[[#This Row],[P109 Growth]])</f>
        <v>1.6327835279326679</v>
      </c>
      <c r="PV89" s="27">
        <f>PortfolioFrontier[[#This Row],[P109 Growth]]/PortfolioFrontier[[#This Row],[P109 HWM]]-1</f>
        <v>-7.5288408777980487E-2</v>
      </c>
      <c r="PW89" s="28">
        <f>SUMPRODUCT(INDEX(PortfolioRef[[SPY]:[PE]],MATCH(PW$1,PortfolioRef[Reference '#]),0),AssetMonthlyReturns[[#This Row],[SPY]:[PE]])</f>
        <v>1.9855015212731975E-2</v>
      </c>
      <c r="PX89" s="27">
        <f>IF(ISNUMBER(PX88),PX88*(1+PortfolioFrontier[[#This Row],[P110 Return]]),1+PortfolioFrontier[[#This Row],[P110 Return]])</f>
        <v>1.5069558219612851</v>
      </c>
      <c r="PY89" s="27">
        <f>MAX(PY88,PortfolioFrontier[[#This Row],[P110 Growth]])</f>
        <v>1.6016185143364081</v>
      </c>
      <c r="PZ89" s="27">
        <f>PortfolioFrontier[[#This Row],[P110 Growth]]/PortfolioFrontier[[#This Row],[P110 HWM]]-1</f>
        <v>-5.9104394415885109E-2</v>
      </c>
      <c r="QA89" s="28">
        <f>SUMPRODUCT(INDEX(PortfolioRef[[SPY]:[PE]],MATCH(QA$1,PortfolioRef[Reference '#]),0),AssetMonthlyReturns[[#This Row],[SPY]:[PE]])</f>
        <v>1.8443278856524671E-2</v>
      </c>
      <c r="QB89" s="27">
        <f>IF(ISNUMBER(QB88),QB88*(1+PortfolioFrontier[[#This Row],[P111 Return]]),1+PortfolioFrontier[[#This Row],[P111 Return]])</f>
        <v>1.5030566732299484</v>
      </c>
      <c r="QC89" s="27">
        <f>MAX(QC88,PortfolioFrontier[[#This Row],[P111 Growth]])</f>
        <v>1.5703684845094485</v>
      </c>
      <c r="QD89" s="27">
        <f>PortfolioFrontier[[#This Row],[P111 Growth]]/PortfolioFrontier[[#This Row],[P111 HWM]]-1</f>
        <v>-4.286370488422464E-2</v>
      </c>
      <c r="QE89" s="28">
        <f>SUMPRODUCT(INDEX(PortfolioRef[[SPY]:[PE]],MATCH(QE$1,PortfolioRef[Reference '#]),0),AssetMonthlyReturns[[#This Row],[SPY]:[PE]])</f>
        <v>2.460244065305759E-2</v>
      </c>
      <c r="QF89" s="27">
        <f>IF(ISNUMBER(QF88),QF88*(1+PortfolioFrontier[[#This Row],[P112 Return]]),1+PortfolioFrontier[[#This Row],[P112 Return]])</f>
        <v>1.5034868855880048</v>
      </c>
      <c r="QG89" s="27">
        <f>MAX(QG88,PortfolioFrontier[[#This Row],[P112 Growth]])</f>
        <v>1.6517386955477045</v>
      </c>
      <c r="QH89" s="27">
        <f>PortfolioFrontier[[#This Row],[P112 Growth]]/PortfolioFrontier[[#This Row],[P112 HWM]]-1</f>
        <v>-8.9755002022605335E-2</v>
      </c>
      <c r="QI89" s="28">
        <f>SUMPRODUCT(INDEX(PortfolioRef[[SPY]:[PE]],MATCH(QI$1,PortfolioRef[Reference '#]),0),AssetMonthlyReturns[[#This Row],[SPY]:[PE]])</f>
        <v>2.3190704296850283E-2</v>
      </c>
      <c r="QJ89" s="27">
        <f>IF(ISNUMBER(QJ88),QJ88*(1+PortfolioFrontier[[#This Row],[P113 Return]]),1+PortfolioFrontier[[#This Row],[P113 Return]])</f>
        <v>1.5013769141920335</v>
      </c>
      <c r="QK89" s="27">
        <f>MAX(QK88,PortfolioFrontier[[#This Row],[P113 Growth]])</f>
        <v>1.6207454292109018</v>
      </c>
      <c r="QL89" s="27">
        <f>PortfolioFrontier[[#This Row],[P113 Growth]]/PortfolioFrontier[[#This Row],[P113 HWM]]-1</f>
        <v>-7.3650378935195104E-2</v>
      </c>
      <c r="QM89" s="28">
        <f>SUMPRODUCT(INDEX(PortfolioRef[[SPY]:[PE]],MATCH(QM$1,PortfolioRef[Reference '#]),0),AssetMonthlyReturns[[#This Row],[SPY]:[PE]])</f>
        <v>2.177896794064298E-2</v>
      </c>
      <c r="QN89" s="27">
        <f>IF(ISNUMBER(QN88),QN88*(1+PortfolioFrontier[[#This Row],[P114 Return]]),1+PortfolioFrontier[[#This Row],[P114 Return]])</f>
        <v>1.4982622324492421</v>
      </c>
      <c r="QO89" s="27">
        <f>MAX(QO88,PortfolioFrontier[[#This Row],[P114 Growth]])</f>
        <v>1.5896421022161857</v>
      </c>
      <c r="QP89" s="27">
        <f>PortfolioFrontier[[#This Row],[P114 Growth]]/PortfolioFrontier[[#This Row],[P114 HWM]]-1</f>
        <v>-5.748455557357679E-2</v>
      </c>
      <c r="QQ89" s="28">
        <f>SUMPRODUCT(INDEX(PortfolioRef[[SPY]:[PE]],MATCH(QQ$1,PortfolioRef[Reference '#]),0),AssetMonthlyReturns[[#This Row],[SPY]:[PE]])</f>
        <v>2.0346487652198233E-2</v>
      </c>
      <c r="QR89" s="27">
        <f>IF(ISNUMBER(QR88),QR88*(1+PortfolioFrontier[[#This Row],[P115 Return]]),1+PortfolioFrontier[[#This Row],[P115 Return]])</f>
        <v>1.5364742350612774</v>
      </c>
      <c r="QS89" s="27">
        <f>MAX(QS88,PortfolioFrontier[[#This Row],[P115 Growth]])</f>
        <v>1.6477351477866757</v>
      </c>
      <c r="QT89" s="27">
        <f>PortfolioFrontier[[#This Row],[P115 Growth]]/PortfolioFrontier[[#This Row],[P115 HWM]]-1</f>
        <v>-6.7523541556329447E-2</v>
      </c>
      <c r="QU89" s="28">
        <f>SUMPRODUCT(INDEX(PortfolioRef[[SPY]:[PE]],MATCH(QU$1,PortfolioRef[Reference '#]),0),AssetMonthlyReturns[[#This Row],[SPY]:[PE]])</f>
        <v>1.8934751295990926E-2</v>
      </c>
      <c r="QV89" s="27">
        <f>IF(ISNUMBER(QV88),QV88*(1+PortfolioFrontier[[#This Row],[P116 Return]]),1+PortfolioFrontier[[#This Row],[P116 Return]])</f>
        <v>1.5335564655326868</v>
      </c>
      <c r="QW89" s="27">
        <f>MAX(QW88,PortfolioFrontier[[#This Row],[P116 Growth]])</f>
        <v>1.6163470917094751</v>
      </c>
      <c r="QX89" s="27">
        <f>PortfolioFrontier[[#This Row],[P116 Growth]]/PortfolioFrontier[[#This Row],[P116 HWM]]-1</f>
        <v>-5.1220821691971841E-2</v>
      </c>
      <c r="QY89" s="28">
        <f>SUMPRODUCT(INDEX(PortfolioRef[[SPY]:[PE]],MATCH(QY$1,PortfolioRef[Reference '#]),0),AssetMonthlyReturns[[#This Row],[SPY]:[PE]])</f>
        <v>1.7523014939783622E-2</v>
      </c>
      <c r="QZ89" s="27">
        <f>IF(ISNUMBER(QZ88),QZ88*(1+PortfolioFrontier[[#This Row],[P117 Return]]),1+PortfolioFrontier[[#This Row],[P117 Return]])</f>
        <v>1.5296205140715136</v>
      </c>
      <c r="RA89" s="27">
        <f>MAX(RA88,PortfolioFrontier[[#This Row],[P117 Growth]])</f>
        <v>1.5848710929942145</v>
      </c>
      <c r="RB89" s="27">
        <f>PortfolioFrontier[[#This Row],[P117 Growth]]/PortfolioFrontier[[#This Row],[P117 HWM]]-1</f>
        <v>-3.4861244657014234E-2</v>
      </c>
      <c r="RC89" s="28">
        <f>SUMPRODUCT(INDEX(PortfolioRef[[SPY]:[PE]],MATCH(RC$1,PortfolioRef[Reference '#]),0),AssetMonthlyReturns[[#This Row],[SPY]:[PE]])</f>
        <v>2.3682176736316542E-2</v>
      </c>
      <c r="RD89" s="27">
        <f>IF(ISNUMBER(RD88),RD88*(1+PortfolioFrontier[[#This Row],[P118 Return]]),1+PortfolioFrontier[[#This Row],[P118 Return]])</f>
        <v>1.5303507570617234</v>
      </c>
      <c r="RE89" s="27">
        <f>MAX(RE88,PortfolioFrontier[[#This Row],[P118 Growth]])</f>
        <v>1.667155293527623</v>
      </c>
      <c r="RF89" s="27">
        <f>PortfolioFrontier[[#This Row],[P118 Growth]]/PortfolioFrontier[[#This Row],[P118 HWM]]-1</f>
        <v>-8.2058664239026968E-2</v>
      </c>
      <c r="RG89" s="28">
        <f>SUMPRODUCT(INDEX(PortfolioRef[[SPY]:[PE]],MATCH(RG$1,PortfolioRef[Reference '#]),0),AssetMonthlyReturns[[#This Row],[SPY]:[PE]])</f>
        <v>2.2270440380109235E-2</v>
      </c>
      <c r="RH89" s="27">
        <f>IF(ISNUMBER(RH88),RH88*(1+PortfolioFrontier[[#This Row],[P119 Return]]),1+PortfolioFrontier[[#This Row],[P119 Return]])</f>
        <v>1.5282340555461804</v>
      </c>
      <c r="RI89" s="27">
        <f>MAX(RI88,PortfolioFrontier[[#This Row],[P119 Growth]])</f>
        <v>1.6359359857167841</v>
      </c>
      <c r="RJ89" s="27">
        <f>PortfolioFrontier[[#This Row],[P119 Growth]]/PortfolioFrontier[[#This Row],[P119 HWM]]-1</f>
        <v>-6.5835051683525436E-2</v>
      </c>
      <c r="RK89" s="28">
        <f>SUMPRODUCT(INDEX(PortfolioRef[[SPY]:[PE]],MATCH(RK$1,PortfolioRef[Reference '#]),0),AssetMonthlyReturns[[#This Row],[SPY]:[PE]])</f>
        <v>2.0858704023901931E-2</v>
      </c>
      <c r="RL89" s="27">
        <f>IF(ISNUMBER(RL88),RL88*(1+PortfolioFrontier[[#This Row],[P120 Return]]),1+PortfolioFrontier[[#This Row],[P120 Return]])</f>
        <v>1.5250953199686399</v>
      </c>
      <c r="RM89" s="27">
        <f>MAX(RM88,PortfolioFrontier[[#This Row],[P120 Growth]])</f>
        <v>1.6046034567476111</v>
      </c>
      <c r="RN89" s="27">
        <f>PortfolioFrontier[[#This Row],[P120 Growth]]/PortfolioFrontier[[#This Row],[P120 HWM]]-1</f>
        <v>-4.9550022122055726E-2</v>
      </c>
      <c r="RO89" s="28">
        <f>SUMPRODUCT(INDEX(PortfolioRef[[SPY]:[PE]],MATCH(RO$1,PortfolioRef[Reference '#]),0),AssetMonthlyReturns[[#This Row],[SPY]:[PE]])</f>
        <v>2.7017865820434851E-2</v>
      </c>
      <c r="RP89" s="27">
        <f>IF(ISNUMBER(RP88),RP88*(1+PortfolioFrontier[[#This Row],[P121 Return]]),1+PortfolioFrontier[[#This Row],[P121 Return]])</f>
        <v>1.523136510004879</v>
      </c>
      <c r="RQ89" s="27">
        <f>MAX(RQ88,PortfolioFrontier[[#This Row],[P121 Growth]])</f>
        <v>1.6859132740659151</v>
      </c>
      <c r="RR89" s="27">
        <f>PortfolioFrontier[[#This Row],[P121 Growth]]/PortfolioFrontier[[#This Row],[P121 HWM]]-1</f>
        <v>-9.6551089884041041E-2</v>
      </c>
      <c r="RS89" s="28">
        <f>SUMPRODUCT(INDEX(PortfolioRef[[SPY]:[PE]],MATCH(RS$1,PortfolioRef[Reference '#]),0),AssetMonthlyReturns[[#This Row],[SPY]:[PE]])</f>
        <v>2.5606129464227544E-2</v>
      </c>
      <c r="RT89" s="27">
        <f>IF(ISNUMBER(RT88),RT88*(1+PortfolioFrontier[[#This Row],[P122 Return]]),1+PortfolioFrontier[[#This Row],[P122 Return]])</f>
        <v>1.5218201237897722</v>
      </c>
      <c r="RU89" s="27">
        <f>MAX(RU88,PortfolioFrontier[[#This Row],[P122 Growth]])</f>
        <v>1.6548910536150563</v>
      </c>
      <c r="RV89" s="27">
        <f>PortfolioFrontier[[#This Row],[P122 Growth]]/PortfolioFrontier[[#This Row],[P122 HWM]]-1</f>
        <v>-8.0410688990429247E-2</v>
      </c>
      <c r="RW89" s="28">
        <f>SUMPRODUCT(INDEX(PortfolioRef[[SPY]:[PE]],MATCH(RW$1,PortfolioRef[Reference '#]),0),AssetMonthlyReturns[[#This Row],[SPY]:[PE]])</f>
        <v>2.419439310802024E-2</v>
      </c>
      <c r="RX89" s="27">
        <f>IF(ISNUMBER(RX88),RX88*(1+PortfolioFrontier[[#This Row],[P123 Return]]),1+PortfolioFrontier[[#This Row],[P123 Return]])</f>
        <v>1.5194792313141379</v>
      </c>
      <c r="RY89" s="27">
        <f>MAX(RY88,PortfolioFrontier[[#This Row],[P123 Growth]])</f>
        <v>1.6237298558231279</v>
      </c>
      <c r="RZ89" s="27">
        <f>PortfolioFrontier[[#This Row],[P123 Growth]]/PortfolioFrontier[[#This Row],[P123 HWM]]-1</f>
        <v>-6.4204414382798669E-2</v>
      </c>
      <c r="SA89" s="28">
        <f>SUMPRODUCT(INDEX(PortfolioRef[[SPY]:[PE]],MATCH(SA$1,PortfolioRef[Reference '#]),0),AssetMonthlyReturns[[#This Row],[SPY]:[PE]])</f>
        <v>2.2761912819575493E-2</v>
      </c>
      <c r="SB89" s="27">
        <f>IF(ISNUMBER(SB88),SB88*(1+PortfolioFrontier[[#This Row],[P124 Return]]),1+PortfolioFrontier[[#This Row],[P124 Return]])</f>
        <v>1.5573101342764972</v>
      </c>
      <c r="SC89" s="27">
        <f>MAX(SC88,PortfolioFrontier[[#This Row],[P124 Growth]])</f>
        <v>1.6823821965094672</v>
      </c>
      <c r="SD89" s="27">
        <f>PortfolioFrontier[[#This Row],[P124 Growth]]/PortfolioFrontier[[#This Row],[P124 HWM]]-1</f>
        <v>-7.4342240718229147E-2</v>
      </c>
      <c r="SE89" s="28">
        <f>SUMPRODUCT(INDEX(PortfolioRef[[SPY]:[PE]],MATCH(SE$1,PortfolioRef[Reference '#]),0),AssetMonthlyReturns[[#This Row],[SPY]:[PE]])</f>
        <v>2.1350176463368186E-2</v>
      </c>
      <c r="SF89" s="27">
        <f>IF(ISNUMBER(SF88),SF88*(1+PortfolioFrontier[[#This Row],[P125 Return]]),1+PortfolioFrontier[[#This Row],[P125 Return]])</f>
        <v>1.5551873982670235</v>
      </c>
      <c r="SG89" s="27">
        <f>MAX(SG88,PortfolioFrontier[[#This Row],[P125 Growth]])</f>
        <v>1.6509411354388694</v>
      </c>
      <c r="SH89" s="27">
        <f>PortfolioFrontier[[#This Row],[P125 Growth]]/PortfolioFrontier[[#This Row],[P125 HWM]]-1</f>
        <v>-5.799948593951032E-2</v>
      </c>
      <c r="SI89" s="28">
        <f>SUMPRODUCT(INDEX(PortfolioRef[[SPY]:[PE]],MATCH(SI$1,PortfolioRef[Reference '#]),0),AssetMonthlyReturns[[#This Row],[SPY]:[PE]])</f>
        <v>1.9938440107160883E-2</v>
      </c>
      <c r="SJ89" s="27">
        <f>IF(ISNUMBER(SJ88),SJ88*(1+PortfolioFrontier[[#This Row],[P126 Return]]),1+PortfolioFrontier[[#This Row],[P126 Return]])</f>
        <v>1.5520252522056068</v>
      </c>
      <c r="SK89" s="27">
        <f>MAX(SK88,PortfolioFrontier[[#This Row],[P126 Growth]])</f>
        <v>1.6193836797956254</v>
      </c>
      <c r="SL89" s="27">
        <f>PortfolioFrontier[[#This Row],[P126 Growth]]/PortfolioFrontier[[#This Row],[P126 HWM]]-1</f>
        <v>-4.1595100920443717E-2</v>
      </c>
      <c r="SM89" s="28">
        <f>SUMPRODUCT(INDEX(PortfolioRef[[SPY]:[PE]],MATCH(SM$1,PortfolioRef[Reference '#]),0),AssetMonthlyReturns[[#This Row],[SPY]:[PE]])</f>
        <v>2.6097601903693802E-2</v>
      </c>
      <c r="SN89" s="27">
        <f>IF(ISNUMBER(SN88),SN88*(1+PortfolioFrontier[[#This Row],[P127 Return]]),1+PortfolioFrontier[[#This Row],[P127 Return]])</f>
        <v>1.550329176652705</v>
      </c>
      <c r="SO89" s="27">
        <f>MAX(SO88,PortfolioFrontier[[#This Row],[P127 Growth]])</f>
        <v>1.7016086575400751</v>
      </c>
      <c r="SP89" s="27">
        <f>PortfolioFrontier[[#This Row],[P127 Growth]]/PortfolioFrontier[[#This Row],[P127 HWM]]-1</f>
        <v>-8.8903803008423044E-2</v>
      </c>
      <c r="SQ89" s="28">
        <f>SUMPRODUCT(INDEX(PortfolioRef[[SPY]:[PE]],MATCH(SQ$1,PortfolioRef[Reference '#]),0),AssetMonthlyReturns[[#This Row],[SPY]:[PE]])</f>
        <v>2.4685865547486495E-2</v>
      </c>
      <c r="SR89" s="27">
        <f>IF(ISNUMBER(SR88),SR88*(1+PortfolioFrontier[[#This Row],[P128 Return]]),1+PortfolioFrontier[[#This Row],[P128 Return]])</f>
        <v>1.5490201269301942</v>
      </c>
      <c r="SS89" s="27">
        <f>MAX(SS88,PortfolioFrontier[[#This Row],[P128 Growth]])</f>
        <v>1.6703618996398835</v>
      </c>
      <c r="ST89" s="27">
        <f>PortfolioFrontier[[#This Row],[P128 Growth]]/PortfolioFrontier[[#This Row],[P128 HWM]]-1</f>
        <v>-7.2644001719537332E-2</v>
      </c>
      <c r="SU89" s="28">
        <f>SUMPRODUCT(INDEX(PortfolioRef[[SPY]:[PE]],MATCH(SU$1,PortfolioRef[Reference '#]),0),AssetMonthlyReturns[[#This Row],[SPY]:[PE]])</f>
        <v>2.3274129191279191E-2</v>
      </c>
      <c r="SV89" s="27">
        <f>IF(ISNUMBER(SV88),SV88*(1+PortfolioFrontier[[#This Row],[P129 Return]]),1+PortfolioFrontier[[#This Row],[P129 Return]])</f>
        <v>1.5466689515253877</v>
      </c>
      <c r="SW89" s="27">
        <f>MAX(SW88,PortfolioFrontier[[#This Row],[P129 Growth]])</f>
        <v>1.6389727481356613</v>
      </c>
      <c r="SX89" s="27">
        <f>PortfolioFrontier[[#This Row],[P129 Growth]]/PortfolioFrontier[[#This Row],[P129 HWM]]-1</f>
        <v>-5.6318078940159055E-2</v>
      </c>
      <c r="SY89" s="28">
        <f>SUMPRODUCT(INDEX(PortfolioRef[[SPY]:[PE]],MATCH(SY$1,PortfolioRef[Reference '#]),0),AssetMonthlyReturns[[#This Row],[SPY]:[PE]])</f>
        <v>2.9433290987812111E-2</v>
      </c>
      <c r="SZ89" s="27">
        <f>IF(ISNUMBER(SZ88),SZ88*(1+PortfolioFrontier[[#This Row],[P130 Return]]),1+PortfolioFrontier[[#This Row],[P130 Return]])</f>
        <v>1.5422465124930189</v>
      </c>
      <c r="TA89" s="27">
        <f>MAX(TA88,PortfolioFrontier[[#This Row],[P130 Growth]])</f>
        <v>1.720142179322633</v>
      </c>
      <c r="TB89" s="27">
        <f>PortfolioFrontier[[#This Row],[P130 Growth]]/PortfolioFrontier[[#This Row],[P130 HWM]]-1</f>
        <v>-0.10341916439701915</v>
      </c>
      <c r="TC89" s="28">
        <f>SUMPRODUCT(INDEX(PortfolioRef[[SPY]:[PE]],MATCH(TC$1,PortfolioRef[Reference '#]),0),AssetMonthlyReturns[[#This Row],[SPY]:[PE]])</f>
        <v>2.8021554631604804E-2</v>
      </c>
      <c r="TD89" s="27">
        <f>IF(ISNUMBER(TD88),TD88*(1+PortfolioFrontier[[#This Row],[P131 Return]]),1+PortfolioFrontier[[#This Row],[P131 Return]])</f>
        <v>1.5417491429159464</v>
      </c>
      <c r="TE89" s="27">
        <f>MAX(TE88,PortfolioFrontier[[#This Row],[P131 Growth]])</f>
        <v>1.6891185966988822</v>
      </c>
      <c r="TF89" s="27">
        <f>PortfolioFrontier[[#This Row],[P131 Growth]]/PortfolioFrontier[[#This Row],[P131 HWM]]-1</f>
        <v>-8.7246362730803106E-2</v>
      </c>
      <c r="TG89" s="28">
        <f>SUMPRODUCT(INDEX(PortfolioRef[[SPY]:[PE]],MATCH(TG$1,PortfolioRef[Reference '#]),0),AssetMonthlyReturns[[#This Row],[SPY]:[PE]])</f>
        <v>2.66098182753975E-2</v>
      </c>
      <c r="TH89" s="27">
        <f>IF(ISNUMBER(TH88),TH88*(1+PortfolioFrontier[[#This Row],[P132 Return]]),1+PortfolioFrontier[[#This Row],[P132 Return]])</f>
        <v>1.5402083410118672</v>
      </c>
      <c r="TI89" s="27">
        <f>MAX(TI88,PortfolioFrontier[[#This Row],[P132 Growth]])</f>
        <v>1.6579261593145806</v>
      </c>
      <c r="TJ89" s="27">
        <f>PortfolioFrontier[[#This Row],[P132 Growth]]/PortfolioFrontier[[#This Row],[P132 HWM]]-1</f>
        <v>-7.1003052603609507E-2</v>
      </c>
      <c r="TK89" s="28">
        <f>SUMPRODUCT(INDEX(PortfolioRef[[SPY]:[PE]],MATCH(TK$1,PortfolioRef[Reference '#]),0),AssetMonthlyReturns[[#This Row],[SPY]:[PE]])</f>
        <v>2.5177337986952753E-2</v>
      </c>
      <c r="TL89" s="27">
        <f>IF(ISNUMBER(TL88),TL88*(1+PortfolioFrontier[[#This Row],[P133 Return]]),1+PortfolioFrontier[[#This Row],[P133 Return]])</f>
        <v>1.5776183119821607</v>
      </c>
      <c r="TM89" s="27">
        <f>MAX(TM88,PortfolioFrontier[[#This Row],[P133 Growth]])</f>
        <v>1.7171102853087914</v>
      </c>
      <c r="TN89" s="27">
        <f>PortfolioFrontier[[#This Row],[P133 Growth]]/PortfolioFrontier[[#This Row],[P133 HWM]]-1</f>
        <v>-8.1236467174003013E-2</v>
      </c>
      <c r="TO89" s="28">
        <f>SUMPRODUCT(INDEX(PortfolioRef[[SPY]:[PE]],MATCH(TO$1,PortfolioRef[Reference '#]),0),AssetMonthlyReturns[[#This Row],[SPY]:[PE]])</f>
        <v>2.3765601630745446E-2</v>
      </c>
      <c r="TP89" s="27">
        <f>IF(ISNUMBER(TP88),TP88*(1+PortfolioFrontier[[#This Row],[P134 Return]]),1+PortfolioFrontier[[#This Row],[P134 Return]])</f>
        <v>1.5763173457570461</v>
      </c>
      <c r="TQ89" s="27">
        <f>MAX(TQ88,PortfolioFrontier[[#This Row],[P134 Growth]])</f>
        <v>1.6856432974461595</v>
      </c>
      <c r="TR89" s="27">
        <f>PortfolioFrontier[[#This Row],[P134 Growth]]/PortfolioFrontier[[#This Row],[P134 HWM]]-1</f>
        <v>-6.4857109362786325E-2</v>
      </c>
      <c r="TS89" s="28">
        <f>SUMPRODUCT(INDEX(PortfolioRef[[SPY]:[PE]],MATCH(TS$1,PortfolioRef[Reference '#]),0),AssetMonthlyReturns[[#This Row],[SPY]:[PE]])</f>
        <v>2.2353865274538143E-2</v>
      </c>
      <c r="TT89" s="27">
        <f>IF(ISNUMBER(TT88),TT88*(1+PortfolioFrontier[[#This Row],[P135 Return]]),1+PortfolioFrontier[[#This Row],[P135 Return]])</f>
        <v>1.5739565821407668</v>
      </c>
      <c r="TU89" s="27">
        <f>MAX(TU88,PortfolioFrontier[[#This Row],[P135 Growth]])</f>
        <v>1.6540304901705998</v>
      </c>
      <c r="TV89" s="27">
        <f>PortfolioFrontier[[#This Row],[P135 Growth]]/PortfolioFrontier[[#This Row],[P135 HWM]]-1</f>
        <v>-4.8411385706423116E-2</v>
      </c>
      <c r="TW89" s="28">
        <f>SUMPRODUCT(INDEX(PortfolioRef[[SPY]:[PE]],MATCH(TW$1,PortfolioRef[Reference '#]),0),AssetMonthlyReturns[[#This Row],[SPY]:[PE]])</f>
        <v>2.8513027071071062E-2</v>
      </c>
      <c r="TX89" s="27">
        <f>IF(ISNUMBER(TX88),TX88*(1+PortfolioFrontier[[#This Row],[P136 Return]]),1+PortfolioFrontier[[#This Row],[P136 Return]])</f>
        <v>1.5697582682819753</v>
      </c>
      <c r="TY89" s="27">
        <f>MAX(TY88,PortfolioFrontier[[#This Row],[P136 Growth]])</f>
        <v>1.7361155602147582</v>
      </c>
      <c r="TZ89" s="27">
        <f>PortfolioFrontier[[#This Row],[P136 Growth]]/PortfolioFrontier[[#This Row],[P136 HWM]]-1</f>
        <v>-9.5821554592946834E-2</v>
      </c>
      <c r="UA89" s="28">
        <f>SUMPRODUCT(INDEX(PortfolioRef[[SPY]:[PE]],MATCH(UA$1,PortfolioRef[Reference '#]),0),AssetMonthlyReturns[[#This Row],[SPY]:[PE]])</f>
        <v>2.7101290714863755E-2</v>
      </c>
      <c r="UB89" s="27">
        <f>IF(ISNUMBER(UB88),UB88*(1+PortfolioFrontier[[#This Row],[P137 Return]]),1+PortfolioFrontier[[#This Row],[P137 Return]])</f>
        <v>1.5692827071059301</v>
      </c>
      <c r="UC89" s="27">
        <f>MAX(UC88,PortfolioFrontier[[#This Row],[P137 Growth]])</f>
        <v>1.7048691873265751</v>
      </c>
      <c r="UD89" s="27">
        <f>PortfolioFrontier[[#This Row],[P137 Growth]]/PortfolioFrontier[[#This Row],[P137 HWM]]-1</f>
        <v>-7.9528963998264146E-2</v>
      </c>
      <c r="UE89" s="28">
        <f>SUMPRODUCT(INDEX(PortfolioRef[[SPY]:[PE]],MATCH(UE$1,PortfolioRef[Reference '#]),0),AssetMonthlyReturns[[#This Row],[SPY]:[PE]])</f>
        <v>2.5689554358656452E-2</v>
      </c>
      <c r="UF89" s="27">
        <f>IF(ISNUMBER(UF88),UF88*(1+PortfolioFrontier[[#This Row],[P138 Return]]),1+PortfolioFrontier[[#This Row],[P138 Return]])</f>
        <v>1.5677458141232352</v>
      </c>
      <c r="UG89" s="27">
        <f>MAX(UG88,PortfolioFrontier[[#This Row],[P138 Growth]])</f>
        <v>1.6734502822541619</v>
      </c>
      <c r="UH89" s="27">
        <f>PortfolioFrontier[[#This Row],[P138 Growth]]/PortfolioFrontier[[#This Row],[P138 HWM]]-1</f>
        <v>-6.3165586245287897E-2</v>
      </c>
      <c r="UI89" s="28">
        <f>SUMPRODUCT(INDEX(PortfolioRef[[SPY]:[PE]],MATCH(UI$1,PortfolioRef[Reference '#]),0),AssetMonthlyReturns[[#This Row],[SPY]:[PE]])</f>
        <v>3.1848716155189374E-2</v>
      </c>
      <c r="UJ89" s="27">
        <f>IF(ISNUMBER(UJ88),UJ88*(1+PortfolioFrontier[[#This Row],[P139 Return]]),1+PortfolioFrontier[[#This Row],[P139 Return]])</f>
        <v>1.5607866916296769</v>
      </c>
      <c r="UK89" s="27">
        <f>MAX(UK88,PortfolioFrontier[[#This Row],[P139 Growth]])</f>
        <v>1.7543965710992384</v>
      </c>
      <c r="UL89" s="27">
        <f>PortfolioFrontier[[#This Row],[P139 Growth]]/PortfolioFrontier[[#This Row],[P139 HWM]]-1</f>
        <v>-0.11035696413169171</v>
      </c>
      <c r="UM89" s="28">
        <f>SUMPRODUCT(INDEX(PortfolioRef[[SPY]:[PE]],MATCH(UM$1,PortfolioRef[Reference '#]),0),AssetMonthlyReturns[[#This Row],[SPY]:[PE]])</f>
        <v>3.0436979798982064E-2</v>
      </c>
      <c r="UN89" s="27">
        <f>IF(ISNUMBER(UN88),UN88*(1+PortfolioFrontier[[#This Row],[P140 Return]]),1+PortfolioFrontier[[#This Row],[P140 Return]])</f>
        <v>1.561133236558504</v>
      </c>
      <c r="UO89" s="27">
        <f>MAX(UO88,PortfolioFrontier[[#This Row],[P140 Growth]])</f>
        <v>1.7234002022793458</v>
      </c>
      <c r="UP89" s="27">
        <f>PortfolioFrontier[[#This Row],[P140 Growth]]/PortfolioFrontier[[#This Row],[P140 HWM]]-1</f>
        <v>-9.4155127466173938E-2</v>
      </c>
      <c r="UQ89" s="28">
        <f>SUMPRODUCT(INDEX(PortfolioRef[[SPY]:[PE]],MATCH(UQ$1,PortfolioRef[Reference '#]),0),AssetMonthlyReturns[[#This Row],[SPY]:[PE]])</f>
        <v>2.902524344277476E-2</v>
      </c>
      <c r="UR89" s="27">
        <f>IF(ISNUMBER(UR88),UR88*(1+PortfolioFrontier[[#This Row],[P141 Return]]),1+PortfolioFrontier[[#This Row],[P141 Return]])</f>
        <v>1.5604183513212486</v>
      </c>
      <c r="US89" s="27">
        <f>MAX(US88,PortfolioFrontier[[#This Row],[P141 Growth]])</f>
        <v>1.6922041432386774</v>
      </c>
      <c r="UT89" s="27">
        <f>PortfolioFrontier[[#This Row],[P141 Growth]]/PortfolioFrontier[[#This Row],[P141 HWM]]-1</f>
        <v>-7.7878187713928182E-2</v>
      </c>
    </row>
    <row r="90" spans="2:566" x14ac:dyDescent="0.2">
      <c r="B90" s="41">
        <f>AssetMonthlyReturns[[#This Row],[Date]]</f>
        <v>45108</v>
      </c>
      <c r="C90" s="28">
        <f>SUMPRODUCT(INDEX(PortfolioRef[[SPY]:[PE]],MATCH(C$1,PortfolioRef[Reference '#]),0),AssetMonthlyReturns[[#This Row],[SPY]:[PE]])</f>
        <v>2.6361731964417573E-2</v>
      </c>
      <c r="D90" s="29">
        <f>IF(ISNUMBER(D89),D89*(1+PortfolioFrontier[[#This Row],[P1 Return]]),1+PortfolioFrontier[[#This Row],[P1 Return]])</f>
        <v>1.9061315073871588</v>
      </c>
      <c r="E90" s="29">
        <f>MAX(E89,PortfolioFrontier[[#This Row],[P1 Growth]])</f>
        <v>1.9531239567566241</v>
      </c>
      <c r="F90" s="29">
        <f>PortfolioFrontier[[#This Row],[P1 Growth]]/PortfolioFrontier[[#This Row],[P1 HWM]]-1</f>
        <v>-2.4060146928667758E-2</v>
      </c>
      <c r="G90" s="28">
        <f>SUMPRODUCT(INDEX(PortfolioRef[[SPY]:[PE]],MATCH(G$1,PortfolioRef[Reference '#]),0),AssetMonthlyReturns[[#This Row],[SPY]:[PE]])</f>
        <v>2.4526302703185038E-2</v>
      </c>
      <c r="H90" s="27">
        <f>IF(ISNUMBER(H89),H89*(1+PortfolioFrontier[[#This Row],[P2 Return]]),1+PortfolioFrontier[[#This Row],[P2 Return]])</f>
        <v>1.8260996122691293</v>
      </c>
      <c r="I90" s="27">
        <f>MAX(I89,PortfolioFrontier[[#This Row],[P2 Growth]])</f>
        <v>1.880902671218339</v>
      </c>
      <c r="J90" s="27">
        <f>PortfolioFrontier[[#This Row],[P2 Growth]]/PortfolioFrontier[[#This Row],[P2 HWM]]-1</f>
        <v>-2.9136573512180464E-2</v>
      </c>
      <c r="K90" s="28">
        <f>SUMPRODUCT(INDEX(PortfolioRef[[SPY]:[PE]],MATCH(K$1,PortfolioRef[Reference '#]),0),AssetMonthlyReturns[[#This Row],[SPY]:[PE]])</f>
        <v>2.5677596392492778E-2</v>
      </c>
      <c r="L90" s="27">
        <f>IF(ISNUMBER(L89),L89*(1+PortfolioFrontier[[#This Row],[P3 Return]]),1+PortfolioFrontier[[#This Row],[P3 Return]])</f>
        <v>1.8608834983196518</v>
      </c>
      <c r="M90" s="27">
        <f>MAX(M89,PortfolioFrontier[[#This Row],[P3 Growth]])</f>
        <v>1.8984394560781046</v>
      </c>
      <c r="N90" s="27">
        <f>PortfolioFrontier[[#This Row],[P3 Growth]]/PortfolioFrontier[[#This Row],[P3 HWM]]-1</f>
        <v>-1.9782541728266545E-2</v>
      </c>
      <c r="O90" s="28">
        <f>SUMPRODUCT(INDEX(PortfolioRef[[SPY]:[PE]],MATCH(O$1,PortfolioRef[Reference '#]),0),AssetMonthlyReturns[[#This Row],[SPY]:[PE]])</f>
        <v>2.6126590715368311E-2</v>
      </c>
      <c r="P90" s="27">
        <f>IF(ISNUMBER(P89),P89*(1+PortfolioFrontier[[#This Row],[P4 Return]]),1+PortfolioFrontier[[#This Row],[P4 Return]])</f>
        <v>1.8523024361835509</v>
      </c>
      <c r="Q90" s="27">
        <f>MAX(Q89,PortfolioFrontier[[#This Row],[P4 Growth]])</f>
        <v>1.9193367929729268</v>
      </c>
      <c r="R90" s="27">
        <f>PortfolioFrontier[[#This Row],[P4 Growth]]/PortfolioFrontier[[#This Row],[P4 HWM]]-1</f>
        <v>-3.4925791572798404E-2</v>
      </c>
      <c r="S90" s="28">
        <f>SUMPRODUCT(INDEX(PortfolioRef[[SPY]:[PE]],MATCH(S$1,PortfolioRef[Reference '#]),0),AssetMonthlyReturns[[#This Row],[SPY]:[PE]])</f>
        <v>2.4930341849755858E-2</v>
      </c>
      <c r="T90" s="27">
        <f>IF(ISNUMBER(T89),T89*(1+PortfolioFrontier[[#This Row],[P5 Return]]),1+PortfolioFrontier[[#This Row],[P5 Return]])</f>
        <v>1.8488095169403229</v>
      </c>
      <c r="U90" s="27">
        <f>MAX(U89,PortfolioFrontier[[#This Row],[P5 Growth]])</f>
        <v>1.8841834525169079</v>
      </c>
      <c r="V90" s="27">
        <f>PortfolioFrontier[[#This Row],[P5 Growth]]/PortfolioFrontier[[#This Row],[P5 HWM]]-1</f>
        <v>-1.8774146184827312E-2</v>
      </c>
      <c r="W90" s="28">
        <f>SUMPRODUCT(INDEX(PortfolioRef[[SPY]:[PE]],MATCH(W$1,PortfolioRef[Reference '#]),0),AssetMonthlyReturns[[#This Row],[SPY]:[PE]])</f>
        <v>2.2690873441952496E-2</v>
      </c>
      <c r="X90" s="27">
        <f>IF(ISNUMBER(X89),X89*(1+PortfolioFrontier[[#This Row],[P6 Return]]),1+PortfolioFrontier[[#This Row],[P6 Return]])</f>
        <v>1.7486435011119665</v>
      </c>
      <c r="Y90" s="27">
        <f>MAX(Y89,PortfolioFrontier[[#This Row],[P6 Growth]])</f>
        <v>1.8107203423144032</v>
      </c>
      <c r="Z90" s="27">
        <f>PortfolioFrontier[[#This Row],[P6 Growth]]/PortfolioFrontier[[#This Row],[P6 HWM]]-1</f>
        <v>-3.4282953447737796E-2</v>
      </c>
      <c r="AA90" s="28">
        <f>SUMPRODUCT(INDEX(PortfolioRef[[SPY]:[PE]],MATCH(AA$1,PortfolioRef[Reference '#]),0),AssetMonthlyReturns[[#This Row],[SPY]:[PE]])</f>
        <v>2.3842167131260243E-2</v>
      </c>
      <c r="AB90" s="27">
        <f>IF(ISNUMBER(AB89),AB89*(1+PortfolioFrontier[[#This Row],[P7 Return]]),1+PortfolioFrontier[[#This Row],[P7 Return]])</f>
        <v>1.7819577959801352</v>
      </c>
      <c r="AC90" s="27">
        <f>MAX(AC89,PortfolioFrontier[[#This Row],[P7 Growth]])</f>
        <v>1.8276317298765399</v>
      </c>
      <c r="AD90" s="27">
        <f>PortfolioFrontier[[#This Row],[P7 Growth]]/PortfolioFrontier[[#This Row],[P7 HWM]]-1</f>
        <v>-2.4990775302139334E-2</v>
      </c>
      <c r="AE90" s="28">
        <f>SUMPRODUCT(INDEX(PortfolioRef[[SPY]:[PE]],MATCH(AE$1,PortfolioRef[Reference '#]),0),AssetMonthlyReturns[[#This Row],[SPY]:[PE]])</f>
        <v>2.4291161454135769E-2</v>
      </c>
      <c r="AF90" s="27">
        <f>IF(ISNUMBER(AF89),AF89*(1+PortfolioFrontier[[#This Row],[P8 Return]]),1+PortfolioFrontier[[#This Row],[P8 Return]])</f>
        <v>1.7743932290967668</v>
      </c>
      <c r="AG90" s="27">
        <f>MAX(AG89,PortfolioFrontier[[#This Row],[P8 Growth]])</f>
        <v>1.8482324314062795</v>
      </c>
      <c r="AH90" s="27">
        <f>PortfolioFrontier[[#This Row],[P8 Growth]]/PortfolioFrontier[[#This Row],[P8 HWM]]-1</f>
        <v>-3.9951253454269309E-2</v>
      </c>
      <c r="AI90" s="28">
        <f>SUMPRODUCT(INDEX(PortfolioRef[[SPY]:[PE]],MATCH(AI$1,PortfolioRef[Reference '#]),0),AssetMonthlyReturns[[#This Row],[SPY]:[PE]])</f>
        <v>2.3094912588523323E-2</v>
      </c>
      <c r="AJ90" s="27">
        <f>IF(ISNUMBER(AJ89),AJ89*(1+PortfolioFrontier[[#This Row],[P9 Return]]),1+PortfolioFrontier[[#This Row],[P9 Return]])</f>
        <v>1.7704190855373922</v>
      </c>
      <c r="AK90" s="27">
        <f>MAX(AK89,PortfolioFrontier[[#This Row],[P9 Growth]])</f>
        <v>1.8139467261629987</v>
      </c>
      <c r="AL90" s="27">
        <f>PortfolioFrontier[[#This Row],[P9 Growth]]/PortfolioFrontier[[#This Row],[P9 HWM]]-1</f>
        <v>-2.3996096466228356E-2</v>
      </c>
      <c r="AM90" s="28">
        <f>SUMPRODUCT(INDEX(PortfolioRef[[SPY]:[PE]],MATCH(AM$1,PortfolioRef[Reference '#]),0),AssetMonthlyReturns[[#This Row],[SPY]:[PE]])</f>
        <v>2.4993460820567991E-2</v>
      </c>
      <c r="AN90" s="27">
        <f>IF(ISNUMBER(AN89),AN89*(1+PortfolioFrontier[[#This Row],[P10 Return]]),1+PortfolioFrontier[[#This Row],[P10 Return]])</f>
        <v>1.8154581145837294</v>
      </c>
      <c r="AO90" s="27">
        <f>MAX(AO89,PortfolioFrontier[[#This Row],[P10 Growth]])</f>
        <v>1.8443368551596837</v>
      </c>
      <c r="AP90" s="27">
        <f>PortfolioFrontier[[#This Row],[P10 Growth]]/PortfolioFrontier[[#This Row],[P10 HWM]]-1</f>
        <v>-1.5658061863896289E-2</v>
      </c>
      <c r="AQ90" s="28">
        <f>SUMPRODUCT(INDEX(PortfolioRef[[SPY]:[PE]],MATCH(AQ$1,PortfolioRef[Reference '#]),0),AssetMonthlyReturns[[#This Row],[SPY]:[PE]])</f>
        <v>2.5442455143443517E-2</v>
      </c>
      <c r="AR90" s="27">
        <f>IF(ISNUMBER(AR89),AR89*(1+PortfolioFrontier[[#This Row],[P11 Return]]),1+PortfolioFrontier[[#This Row],[P11 Return]])</f>
        <v>1.8081684492252661</v>
      </c>
      <c r="AS90" s="27">
        <f>MAX(AS89,PortfolioFrontier[[#This Row],[P11 Growth]])</f>
        <v>1.865449984246593</v>
      </c>
      <c r="AT90" s="27">
        <f>PortfolioFrontier[[#This Row],[P11 Growth]]/PortfolioFrontier[[#This Row],[P11 HWM]]-1</f>
        <v>-3.0706550968967128E-2</v>
      </c>
      <c r="AU90" s="28">
        <f>SUMPRODUCT(INDEX(PortfolioRef[[SPY]:[PE]],MATCH(AU$1,PortfolioRef[Reference '#]),0),AssetMonthlyReturns[[#This Row],[SPY]:[PE]])</f>
        <v>2.4246206277831063E-2</v>
      </c>
      <c r="AV90" s="27">
        <f>IF(ISNUMBER(AV89),AV89*(1+PortfolioFrontier[[#This Row],[P12 Return]]),1+PortfolioFrontier[[#This Row],[P12 Return]])</f>
        <v>1.8041572948795928</v>
      </c>
      <c r="AW90" s="27">
        <f>MAX(AW89,PortfolioFrontier[[#This Row],[P12 Growth]])</f>
        <v>1.8309154354259589</v>
      </c>
      <c r="AX90" s="27">
        <f>PortfolioFrontier[[#This Row],[P12 Growth]]/PortfolioFrontier[[#This Row],[P12 HWM]]-1</f>
        <v>-1.4614623935452764E-2</v>
      </c>
      <c r="AY90" s="28">
        <f>SUMPRODUCT(INDEX(PortfolioRef[[SPY]:[PE]],MATCH(AY$1,PortfolioRef[Reference '#]),0),AssetMonthlyReturns[[#This Row],[SPY]:[PE]])</f>
        <v>2.5891449466319046E-2</v>
      </c>
      <c r="AZ90" s="27">
        <f>IF(ISNUMBER(AZ89),AZ89*(1+PortfolioFrontier[[#This Row],[P13 Return]]),1+PortfolioFrontier[[#This Row],[P13 Return]])</f>
        <v>1.7995909142310171</v>
      </c>
      <c r="BA90" s="27">
        <f>MAX(BA89,PortfolioFrontier[[#This Row],[P13 Growth]])</f>
        <v>1.8858075751364967</v>
      </c>
      <c r="BB90" s="27">
        <f>PortfolioFrontier[[#This Row],[P13 Growth]]/PortfolioFrontier[[#This Row],[P13 HWM]]-1</f>
        <v>-4.5718694760911172E-2</v>
      </c>
      <c r="BC90" s="28">
        <f>SUMPRODUCT(INDEX(PortfolioRef[[SPY]:[PE]],MATCH(BC$1,PortfolioRef[Reference '#]),0),AssetMonthlyReturns[[#This Row],[SPY]:[PE]])</f>
        <v>2.4695200600706596E-2</v>
      </c>
      <c r="BD90" s="27">
        <f>IF(ISNUMBER(BD89),BD89*(1+PortfolioFrontier[[#This Row],[P14 Return]]),1+PortfolioFrontier[[#This Row],[P14 Return]])</f>
        <v>1.7965340447446316</v>
      </c>
      <c r="BE90" s="27">
        <f>MAX(BE89,PortfolioFrontier[[#This Row],[P14 Growth]])</f>
        <v>1.8515113734383843</v>
      </c>
      <c r="BF90" s="27">
        <f>PortfolioFrontier[[#This Row],[P14 Growth]]/PortfolioFrontier[[#This Row],[P14 HWM]]-1</f>
        <v>-2.9693216840281145E-2</v>
      </c>
      <c r="BG90" s="28">
        <f>SUMPRODUCT(INDEX(PortfolioRef[[SPY]:[PE]],MATCH(BG$1,PortfolioRef[Reference '#]),0),AssetMonthlyReturns[[#This Row],[SPY]:[PE]])</f>
        <v>2.3498951735094146E-2</v>
      </c>
      <c r="BH90" s="27">
        <f>IF(ISNUMBER(BH89),BH89*(1+PortfolioFrontier[[#This Row],[P15 Return]]),1+PortfolioFrontier[[#This Row],[P15 Return]])</f>
        <v>1.792269303809549</v>
      </c>
      <c r="BI90" s="27">
        <f>MAX(BI89,PortfolioFrontier[[#This Row],[P15 Growth]])</f>
        <v>1.8170439473092146</v>
      </c>
      <c r="BJ90" s="27">
        <f>PortfolioFrontier[[#This Row],[P15 Growth]]/PortfolioFrontier[[#This Row],[P15 HWM]]-1</f>
        <v>-1.3634586844392671E-2</v>
      </c>
      <c r="BK90" s="28">
        <f>SUMPRODUCT(INDEX(PortfolioRef[[SPY]:[PE]],MATCH(BK$1,PortfolioRef[Reference '#]),0),AssetMonthlyReturns[[#This Row],[SPY]:[PE]])</f>
        <v>2.0855444180719954E-2</v>
      </c>
      <c r="BL90" s="27">
        <f>IF(ISNUMBER(BL89),BL89*(1+PortfolioFrontier[[#This Row],[P16 Return]]),1+PortfolioFrontier[[#This Row],[P16 Return]])</f>
        <v>1.6737221243798339</v>
      </c>
      <c r="BM90" s="27">
        <f>MAX(BM89,PortfolioFrontier[[#This Row],[P16 Growth]])</f>
        <v>1.7425494832470445</v>
      </c>
      <c r="BN90" s="27">
        <f>PortfolioFrontier[[#This Row],[P16 Growth]]/PortfolioFrontier[[#This Row],[P16 HWM]]-1</f>
        <v>-3.94980799850565E-2</v>
      </c>
      <c r="BO90" s="28">
        <f>SUMPRODUCT(INDEX(PortfolioRef[[SPY]:[PE]],MATCH(BO$1,PortfolioRef[Reference '#]),0),AssetMonthlyReturns[[#This Row],[SPY]:[PE]])</f>
        <v>2.2006737870027701E-2</v>
      </c>
      <c r="BP90" s="27">
        <f>IF(ISNUMBER(BP89),BP89*(1+PortfolioFrontier[[#This Row],[P17 Return]]),1+PortfolioFrontier[[#This Row],[P17 Return]])</f>
        <v>1.7056151101454802</v>
      </c>
      <c r="BQ90" s="27">
        <f>MAX(BQ89,PortfolioFrontier[[#This Row],[P17 Growth]])</f>
        <v>1.7588525148836969</v>
      </c>
      <c r="BR90" s="27">
        <f>PortfolioFrontier[[#This Row],[P17 Growth]]/PortfolioFrontier[[#This Row],[P17 HWM]]-1</f>
        <v>-3.0268259724856472E-2</v>
      </c>
      <c r="BS90" s="28">
        <f>SUMPRODUCT(INDEX(PortfolioRef[[SPY]:[PE]],MATCH(BS$1,PortfolioRef[Reference '#]),0),AssetMonthlyReturns[[#This Row],[SPY]:[PE]])</f>
        <v>2.2455732192903227E-2</v>
      </c>
      <c r="BT90" s="27">
        <f>IF(ISNUMBER(BT89),BT89*(1+PortfolioFrontier[[#This Row],[P18 Return]]),1+PortfolioFrontier[[#This Row],[P18 Return]])</f>
        <v>1.6989977233595341</v>
      </c>
      <c r="BU90" s="27">
        <f>MAX(BU89,PortfolioFrontier[[#This Row],[P18 Growth]])</f>
        <v>1.7791407441475846</v>
      </c>
      <c r="BV90" s="27">
        <f>PortfolioFrontier[[#This Row],[P18 Growth]]/PortfolioFrontier[[#This Row],[P18 HWM]]-1</f>
        <v>-4.50459139062932E-2</v>
      </c>
      <c r="BW90" s="28">
        <f>SUMPRODUCT(INDEX(PortfolioRef[[SPY]:[PE]],MATCH(BW$1,PortfolioRef[Reference '#]),0),AssetMonthlyReturns[[#This Row],[SPY]:[PE]])</f>
        <v>2.125948332729078E-2</v>
      </c>
      <c r="BX90" s="27">
        <f>IF(ISNUMBER(BX89),BX89*(1+PortfolioFrontier[[#This Row],[P19 Return]]),1+PortfolioFrontier[[#This Row],[P19 Return]])</f>
        <v>1.6945924511468431</v>
      </c>
      <c r="BY90" s="27">
        <f>MAX(BY89,PortfolioFrontier[[#This Row],[P19 Growth]])</f>
        <v>1.7457196180719312</v>
      </c>
      <c r="BZ90" s="27">
        <f>PortfolioFrontier[[#This Row],[P19 Growth]]/PortfolioFrontier[[#This Row],[P19 HWM]]-1</f>
        <v>-2.9287158370572608E-2</v>
      </c>
      <c r="CA90" s="28">
        <f>SUMPRODUCT(INDEX(PortfolioRef[[SPY]:[PE]],MATCH(CA$1,PortfolioRef[Reference '#]),0),AssetMonthlyReturns[[#This Row],[SPY]:[PE]])</f>
        <v>2.3158031559335449E-2</v>
      </c>
      <c r="CB90" s="27">
        <f>IF(ISNUMBER(CB89),CB89*(1+PortfolioFrontier[[#This Row],[P20 Return]]),1+PortfolioFrontier[[#This Row],[P20 Return]])</f>
        <v>1.7376855154505062</v>
      </c>
      <c r="CC90" s="27">
        <f>MAX(CC89,PortfolioFrontier[[#This Row],[P20 Growth]])</f>
        <v>1.7749567522517573</v>
      </c>
      <c r="CD90" s="27">
        <f>PortfolioFrontier[[#This Row],[P20 Growth]]/PortfolioFrontier[[#This Row],[P20 HWM]]-1</f>
        <v>-2.0998391512338399E-2</v>
      </c>
      <c r="CE90" s="28">
        <f>SUMPRODUCT(INDEX(PortfolioRef[[SPY]:[PE]],MATCH(CE$1,PortfolioRef[Reference '#]),0),AssetMonthlyReturns[[#This Row],[SPY]:[PE]])</f>
        <v>2.3607025882210975E-2</v>
      </c>
      <c r="CF90" s="27">
        <f>IF(ISNUMBER(CF89),CF89*(1+PortfolioFrontier[[#This Row],[P21 Return]]),1+PortfolioFrontier[[#This Row],[P21 Return]])</f>
        <v>1.7313436406385354</v>
      </c>
      <c r="CG90" s="27">
        <f>MAX(CG89,PortfolioFrontier[[#This Row],[P21 Growth]])</f>
        <v>1.795743356031652</v>
      </c>
      <c r="CH90" s="27">
        <f>PortfolioFrontier[[#This Row],[P21 Growth]]/PortfolioFrontier[[#This Row],[P21 HWM]]-1</f>
        <v>-3.5862427209771841E-2</v>
      </c>
      <c r="CI90" s="28">
        <f>SUMPRODUCT(INDEX(PortfolioRef[[SPY]:[PE]],MATCH(CI$1,PortfolioRef[Reference '#]),0),AssetMonthlyReturns[[#This Row],[SPY]:[PE]])</f>
        <v>2.2410777016598528E-2</v>
      </c>
      <c r="CJ90" s="27">
        <f>IF(ISNUMBER(CJ89),CJ89*(1+PortfolioFrontier[[#This Row],[P22 Return]]),1+PortfolioFrontier[[#This Row],[P22 Return]])</f>
        <v>1.726891869700764</v>
      </c>
      <c r="CK90" s="27">
        <f>MAX(CK89,PortfolioFrontier[[#This Row],[P22 Growth]])</f>
        <v>1.7620784578443487</v>
      </c>
      <c r="CL90" s="27">
        <f>PortfolioFrontier[[#This Row],[P22 Growth]]/PortfolioFrontier[[#This Row],[P22 HWM]]-1</f>
        <v>-1.9968797636077174E-2</v>
      </c>
      <c r="CM90" s="28">
        <f>SUMPRODUCT(INDEX(PortfolioRef[[SPY]:[PE]],MATCH(CM$1,PortfolioRef[Reference '#]),0),AssetMonthlyReturns[[#This Row],[SPY]:[PE]])</f>
        <v>2.4056020205086504E-2</v>
      </c>
      <c r="CN90" s="27">
        <f>IF(ISNUMBER(CN89),CN89*(1+PortfolioFrontier[[#This Row],[P23 Return]]),1+PortfolioFrontier[[#This Row],[P23 Return]])</f>
        <v>1.7237652423233045</v>
      </c>
      <c r="CO90" s="27">
        <f>MAX(CO89,PortfolioFrontier[[#This Row],[P23 Growth]])</f>
        <v>1.8158151760868648</v>
      </c>
      <c r="CP90" s="27">
        <f>PortfolioFrontier[[#This Row],[P23 Growth]]/PortfolioFrontier[[#This Row],[P23 HWM]]-1</f>
        <v>-5.0693448857460632E-2</v>
      </c>
      <c r="CQ90" s="28">
        <f>SUMPRODUCT(INDEX(PortfolioRef[[SPY]:[PE]],MATCH(CQ$1,PortfolioRef[Reference '#]),0),AssetMonthlyReturns[[#This Row],[SPY]:[PE]])</f>
        <v>2.2859771339474054E-2</v>
      </c>
      <c r="CR90" s="27">
        <f>IF(ISNUMBER(CR89),CR89*(1+PortfolioFrontier[[#This Row],[P24 Return]]),1+PortfolioFrontier[[#This Row],[P24 Return]])</f>
        <v>1.7202258515184461</v>
      </c>
      <c r="CS90" s="27">
        <f>MAX(CS89,PortfolioFrontier[[#This Row],[P24 Growth]])</f>
        <v>1.7823638134718676</v>
      </c>
      <c r="CT90" s="27">
        <f>PortfolioFrontier[[#This Row],[P24 Growth]]/PortfolioFrontier[[#This Row],[P24 HWM]]-1</f>
        <v>-3.4862670283000718E-2</v>
      </c>
      <c r="CU90" s="28">
        <f>SUMPRODUCT(INDEX(PortfolioRef[[SPY]:[PE]],MATCH(CU$1,PortfolioRef[Reference '#]),0),AssetMonthlyReturns[[#This Row],[SPY]:[PE]])</f>
        <v>2.1663522473861604E-2</v>
      </c>
      <c r="CV90" s="27">
        <f>IF(ISNUMBER(CV89),CV89*(1+PortfolioFrontier[[#This Row],[P25 Return]]),1+PortfolioFrontier[[#This Row],[P25 Return]])</f>
        <v>1.7155349879591375</v>
      </c>
      <c r="CW90" s="27">
        <f>MAX(CW89,PortfolioFrontier[[#This Row],[P25 Growth]])</f>
        <v>1.7487656732120247</v>
      </c>
      <c r="CX90" s="27">
        <f>PortfolioFrontier[[#This Row],[P25 Growth]]/PortfolioFrontier[[#This Row],[P25 HWM]]-1</f>
        <v>-1.9002365932681564E-2</v>
      </c>
      <c r="CY90" s="28">
        <f>SUMPRODUCT(INDEX(PortfolioRef[[SPY]:[PE]],MATCH(CY$1,PortfolioRef[Reference '#]),0),AssetMonthlyReturns[[#This Row],[SPY]:[PE]])</f>
        <v>2.4758319571518722E-2</v>
      </c>
      <c r="CZ90" s="27">
        <f>IF(ISNUMBER(CZ89),CZ89*(1+PortfolioFrontier[[#This Row],[P26 Return]]),1+PortfolioFrontier[[#This Row],[P26 Return]])</f>
        <v>1.7638691504669879</v>
      </c>
      <c r="DA90" s="27">
        <f>MAX(DA89,PortfolioFrontier[[#This Row],[P26 Growth]])</f>
        <v>1.8121428498945955</v>
      </c>
      <c r="DB90" s="27">
        <f>PortfolioFrontier[[#This Row],[P26 Growth]]/PortfolioFrontier[[#This Row],[P26 HWM]]-1</f>
        <v>-2.6639014374841063E-2</v>
      </c>
      <c r="DC90" s="28">
        <f>SUMPRODUCT(INDEX(PortfolioRef[[SPY]:[PE]],MATCH(DC$1,PortfolioRef[Reference '#]),0),AssetMonthlyReturns[[#This Row],[SPY]:[PE]])</f>
        <v>2.3562070705906275E-2</v>
      </c>
      <c r="DD90" s="27">
        <f>IF(ISNUMBER(DD89),DD89*(1+PortfolioFrontier[[#This Row],[P27 Return]]),1+PortfolioFrontier[[#This Row],[P27 Return]])</f>
        <v>1.7593715187793477</v>
      </c>
      <c r="DE90" s="27">
        <f>MAX(DE89,PortfolioFrontier[[#This Row],[P27 Growth]])</f>
        <v>1.7782387807323972</v>
      </c>
      <c r="DF90" s="27">
        <f>PortfolioFrontier[[#This Row],[P27 Growth]]/PortfolioFrontier[[#This Row],[P27 HWM]]-1</f>
        <v>-1.0610083503678092E-2</v>
      </c>
      <c r="DG90" s="28">
        <f>SUMPRODUCT(INDEX(PortfolioRef[[SPY]:[PE]],MATCH(DG$1,PortfolioRef[Reference '#]),0),AssetMonthlyReturns[[#This Row],[SPY]:[PE]])</f>
        <v>2.5207313894394252E-2</v>
      </c>
      <c r="DH90" s="27">
        <f>IF(ISNUMBER(DH89),DH89*(1+PortfolioFrontier[[#This Row],[P28 Return]]),1+PortfolioFrontier[[#This Row],[P28 Return]])</f>
        <v>1.7565541403685276</v>
      </c>
      <c r="DI90" s="27">
        <f>MAX(DI89,PortfolioFrontier[[#This Row],[P28 Growth]])</f>
        <v>1.8327167417336543</v>
      </c>
      <c r="DJ90" s="27">
        <f>PortfolioFrontier[[#This Row],[P28 Growth]]/PortfolioFrontier[[#This Row],[P28 HWM]]-1</f>
        <v>-4.155721374219612E-2</v>
      </c>
      <c r="DK90" s="28">
        <f>SUMPRODUCT(INDEX(PortfolioRef[[SPY]:[PE]],MATCH(DK$1,PortfolioRef[Reference '#]),0),AssetMonthlyReturns[[#This Row],[SPY]:[PE]])</f>
        <v>2.4011065028781801E-2</v>
      </c>
      <c r="DL90" s="27">
        <f>IF(ISNUMBER(DL89),DL89*(1+PortfolioFrontier[[#This Row],[P29 Return]]),1+PortfolioFrontier[[#This Row],[P29 Return]])</f>
        <v>1.7529847218630192</v>
      </c>
      <c r="DM90" s="27">
        <f>MAX(DM89,PortfolioFrontier[[#This Row],[P29 Growth]])</f>
        <v>1.7990232294645383</v>
      </c>
      <c r="DN90" s="27">
        <f>PortfolioFrontier[[#This Row],[P29 Growth]]/PortfolioFrontier[[#This Row],[P29 HWM]]-1</f>
        <v>-2.5590835542030232E-2</v>
      </c>
      <c r="DO90" s="28">
        <f>SUMPRODUCT(INDEX(PortfolioRef[[SPY]:[PE]],MATCH(DO$1,PortfolioRef[Reference '#]),0),AssetMonthlyReturns[[#This Row],[SPY]:[PE]])</f>
        <v>2.2814816163169351E-2</v>
      </c>
      <c r="DP90" s="27">
        <f>IF(ISNUMBER(DP89),DP89*(1+PortfolioFrontier[[#This Row],[P30 Return]]),1+PortfolioFrontier[[#This Row],[P30 Return]])</f>
        <v>1.7482426003756093</v>
      </c>
      <c r="DQ90" s="27">
        <f>MAX(DQ89,PortfolioFrontier[[#This Row],[P30 Growth]])</f>
        <v>1.7651792866223672</v>
      </c>
      <c r="DR90" s="27">
        <f>PortfolioFrontier[[#This Row],[P30 Growth]]/PortfolioFrontier[[#This Row],[P30 HWM]]-1</f>
        <v>-9.5948815936798271E-3</v>
      </c>
      <c r="DS90" s="28">
        <f>SUMPRODUCT(INDEX(PortfolioRef[[SPY]:[PE]],MATCH(DS$1,PortfolioRef[Reference '#]),0),AssetMonthlyReturns[[#This Row],[SPY]:[PE]])</f>
        <v>2.5656308217269781E-2</v>
      </c>
      <c r="DT90" s="27">
        <f>IF(ISNUMBER(DT89),DT89*(1+PortfolioFrontier[[#This Row],[P31 Return]]),1+PortfolioFrontier[[#This Row],[P31 Return]])</f>
        <v>1.7479877274327322</v>
      </c>
      <c r="DU90" s="27">
        <f>MAX(DU89,PortfolioFrontier[[#This Row],[P31 Growth]])</f>
        <v>1.8525428026208837</v>
      </c>
      <c r="DV90" s="27">
        <f>PortfolioFrontier[[#This Row],[P31 Growth]]/PortfolioFrontier[[#This Row],[P31 HWM]]-1</f>
        <v>-5.6438682571993581E-2</v>
      </c>
      <c r="DW90" s="28">
        <f>SUMPRODUCT(INDEX(PortfolioRef[[SPY]:[PE]],MATCH(DW$1,PortfolioRef[Reference '#]),0),AssetMonthlyReturns[[#This Row],[SPY]:[PE]])</f>
        <v>2.4460059351657331E-2</v>
      </c>
      <c r="DX90" s="27">
        <f>IF(ISNUMBER(DX89),DX89*(1+PortfolioFrontier[[#This Row],[P32 Return]]),1+PortfolioFrontier[[#This Row],[P32 Return]])</f>
        <v>1.7453463705039527</v>
      </c>
      <c r="DY90" s="27">
        <f>MAX(DY89,PortfolioFrontier[[#This Row],[P32 Growth]])</f>
        <v>1.8190908915066115</v>
      </c>
      <c r="DZ90" s="27">
        <f>PortfolioFrontier[[#This Row],[P32 Growth]]/PortfolioFrontier[[#This Row],[P32 HWM]]-1</f>
        <v>-4.053921733486443E-2</v>
      </c>
      <c r="EA90" s="28">
        <f>SUMPRODUCT(INDEX(PortfolioRef[[SPY]:[PE]],MATCH(EA$1,PortfolioRef[Reference '#]),0),AssetMonthlyReturns[[#This Row],[SPY]:[PE]])</f>
        <v>2.3263810486044884E-2</v>
      </c>
      <c r="EB90" s="27">
        <f>IF(ISNUMBER(EB89),EB89*(1+PortfolioFrontier[[#This Row],[P33 Return]]),1+PortfolioFrontier[[#This Row],[P33 Return]])</f>
        <v>1.7415282483272685</v>
      </c>
      <c r="EC90" s="27">
        <f>MAX(EC89,PortfolioFrontier[[#This Row],[P33 Growth]])</f>
        <v>1.7854600976944932</v>
      </c>
      <c r="ED90" s="27">
        <f>PortfolioFrontier[[#This Row],[P33 Growth]]/PortfolioFrontier[[#This Row],[P33 HWM]]-1</f>
        <v>-2.4605338099659813E-2</v>
      </c>
      <c r="EE90" s="28">
        <f>SUMPRODUCT(INDEX(PortfolioRef[[SPY]:[PE]],MATCH(EE$1,PortfolioRef[Reference '#]),0),AssetMonthlyReturns[[#This Row],[SPY]:[PE]])</f>
        <v>1.9020014919487412E-2</v>
      </c>
      <c r="EF90" s="27">
        <f>IF(ISNUMBER(EF89),EF89*(1+PortfolioFrontier[[#This Row],[P34 Return]]),1+PortfolioFrontier[[#This Row],[P34 Return]])</f>
        <v>1.6012927419408427</v>
      </c>
      <c r="EG90" s="27">
        <f>MAX(EG89,PortfolioFrontier[[#This Row],[P34 Growth]])</f>
        <v>1.6763614413137211</v>
      </c>
      <c r="EH90" s="27">
        <f>PortfolioFrontier[[#This Row],[P34 Growth]]/PortfolioFrontier[[#This Row],[P34 HWM]]-1</f>
        <v>-4.4780736136503463E-2</v>
      </c>
      <c r="EI90" s="28">
        <f>SUMPRODUCT(INDEX(PortfolioRef[[SPY]:[PE]],MATCH(EI$1,PortfolioRef[Reference '#]),0),AssetMonthlyReturns[[#This Row],[SPY]:[PE]])</f>
        <v>2.0171308608795159E-2</v>
      </c>
      <c r="EJ90" s="27">
        <f>IF(ISNUMBER(EJ89),EJ89*(1+PortfolioFrontier[[#This Row],[P35 Return]]),1+PortfolioFrontier[[#This Row],[P35 Return]])</f>
        <v>1.6318118456378208</v>
      </c>
      <c r="EK90" s="27">
        <f>MAX(EK89,PortfolioFrontier[[#This Row],[P35 Growth]])</f>
        <v>1.6920729334369538</v>
      </c>
      <c r="EL90" s="27">
        <f>PortfolioFrontier[[#This Row],[P35 Growth]]/PortfolioFrontier[[#This Row],[P35 HWM]]-1</f>
        <v>-3.5613764991045738E-2</v>
      </c>
      <c r="EM90" s="28">
        <f>SUMPRODUCT(INDEX(PortfolioRef[[SPY]:[PE]],MATCH(EM$1,PortfolioRef[Reference '#]),0),AssetMonthlyReturns[[#This Row],[SPY]:[PE]])</f>
        <v>2.0620302931670689E-2</v>
      </c>
      <c r="EN90" s="27">
        <f>IF(ISNUMBER(EN89),EN89*(1+PortfolioFrontier[[#This Row],[P36 Return]]),1+PortfolioFrontier[[#This Row],[P36 Return]])</f>
        <v>1.6260755835401968</v>
      </c>
      <c r="EO90" s="27">
        <f>MAX(EO89,PortfolioFrontier[[#This Row],[P36 Growth]])</f>
        <v>1.7120343963250326</v>
      </c>
      <c r="EP90" s="27">
        <f>PortfolioFrontier[[#This Row],[P36 Growth]]/PortfolioFrontier[[#This Row],[P36 HWM]]-1</f>
        <v>-5.0208578150854222E-2</v>
      </c>
      <c r="EQ90" s="28">
        <f>SUMPRODUCT(INDEX(PortfolioRef[[SPY]:[PE]],MATCH(EQ$1,PortfolioRef[Reference '#]),0),AssetMonthlyReturns[[#This Row],[SPY]:[PE]])</f>
        <v>1.9424054066058238E-2</v>
      </c>
      <c r="ER90" s="27">
        <f>IF(ISNUMBER(ER89),ER89*(1+PortfolioFrontier[[#This Row],[P37 Return]]),1+PortfolioFrontier[[#This Row],[P37 Return]])</f>
        <v>1.6212864666011988</v>
      </c>
      <c r="ES90" s="27">
        <f>MAX(ES89,PortfolioFrontier[[#This Row],[P37 Growth]])</f>
        <v>1.6794736802569215</v>
      </c>
      <c r="ET90" s="27">
        <f>PortfolioFrontier[[#This Row],[P37 Growth]]/PortfolioFrontier[[#This Row],[P37 HWM]]-1</f>
        <v>-3.4646100346640396E-2</v>
      </c>
      <c r="EU90" s="28">
        <f>SUMPRODUCT(INDEX(PortfolioRef[[SPY]:[PE]],MATCH(EU$1,PortfolioRef[Reference '#]),0),AssetMonthlyReturns[[#This Row],[SPY]:[PE]])</f>
        <v>2.1322602298102906E-2</v>
      </c>
      <c r="EV90" s="27">
        <f>IF(ISNUMBER(EV89),EV89*(1+PortfolioFrontier[[#This Row],[P38 Return]]),1+PortfolioFrontier[[#This Row],[P38 Return]])</f>
        <v>1.6625000900791644</v>
      </c>
      <c r="EW90" s="27">
        <f>MAX(EW89,PortfolioFrontier[[#This Row],[P38 Growth]])</f>
        <v>1.7075928941250238</v>
      </c>
      <c r="EX90" s="27">
        <f>PortfolioFrontier[[#This Row],[P38 Growth]]/PortfolioFrontier[[#This Row],[P38 HWM]]-1</f>
        <v>-2.6407233363995197E-2</v>
      </c>
      <c r="EY90" s="28">
        <f>SUMPRODUCT(INDEX(PortfolioRef[[SPY]:[PE]],MATCH(EY$1,PortfolioRef[Reference '#]),0),AssetMonthlyReturns[[#This Row],[SPY]:[PE]])</f>
        <v>2.1771596620978433E-2</v>
      </c>
      <c r="EZ90" s="27">
        <f>IF(ISNUMBER(EZ89),EZ89*(1+PortfolioFrontier[[#This Row],[P39 Return]]),1+PortfolioFrontier[[#This Row],[P39 Return]])</f>
        <v>1.6570392611542735</v>
      </c>
      <c r="FA90" s="27">
        <f>MAX(FA89,PortfolioFrontier[[#This Row],[P39 Growth]])</f>
        <v>1.7280388577532122</v>
      </c>
      <c r="FB90" s="27">
        <f>PortfolioFrontier[[#This Row],[P39 Growth]]/PortfolioFrontier[[#This Row],[P39 HWM]]-1</f>
        <v>-4.1086805589112818E-2</v>
      </c>
      <c r="FC90" s="28">
        <f>SUMPRODUCT(INDEX(PortfolioRef[[SPY]:[PE]],MATCH(FC$1,PortfolioRef[Reference '#]),0),AssetMonthlyReturns[[#This Row],[SPY]:[PE]])</f>
        <v>2.0575347755365986E-2</v>
      </c>
      <c r="FD90" s="27">
        <f>IF(ISNUMBER(FD89),FD89*(1+PortfolioFrontier[[#This Row],[P40 Return]]),1+PortfolioFrontier[[#This Row],[P40 Return]])</f>
        <v>1.652195074324774</v>
      </c>
      <c r="FE90" s="27">
        <f>MAX(FE89,PortfolioFrontier[[#This Row],[P40 Growth]])</f>
        <v>1.6952394830468527</v>
      </c>
      <c r="FF90" s="27">
        <f>PortfolioFrontier[[#This Row],[P40 Growth]]/PortfolioFrontier[[#This Row],[P40 HWM]]-1</f>
        <v>-2.5391343908953257E-2</v>
      </c>
      <c r="FG90" s="28">
        <f>SUMPRODUCT(INDEX(PortfolioRef[[SPY]:[PE]],MATCH(FG$1,PortfolioRef[Reference '#]),0),AssetMonthlyReturns[[#This Row],[SPY]:[PE]])</f>
        <v>2.2220590943853966E-2</v>
      </c>
      <c r="FH90" s="27">
        <f>IF(ISNUMBER(FH89),FH89*(1+PortfolioFrontier[[#This Row],[P41 Return]]),1+PortfolioFrontier[[#This Row],[P41 Return]])</f>
        <v>1.6503920974479604</v>
      </c>
      <c r="FI90" s="27">
        <f>MAX(FI89,PortfolioFrontier[[#This Row],[P41 Growth]])</f>
        <v>1.7478091274239449</v>
      </c>
      <c r="FJ90" s="27">
        <f>PortfolioFrontier[[#This Row],[P41 Growth]]/PortfolioFrontier[[#This Row],[P41 HWM]]-1</f>
        <v>-5.5736652502533346E-2</v>
      </c>
      <c r="FK90" s="28">
        <f>SUMPRODUCT(INDEX(PortfolioRef[[SPY]:[PE]],MATCH(FK$1,PortfolioRef[Reference '#]),0),AssetMonthlyReturns[[#This Row],[SPY]:[PE]])</f>
        <v>2.1024342078241512E-2</v>
      </c>
      <c r="FL90" s="27">
        <f>IF(ISNUMBER(FL89),FL89*(1+PortfolioFrontier[[#This Row],[P42 Return]]),1+PortfolioFrontier[[#This Row],[P42 Return]])</f>
        <v>1.6464194987176743</v>
      </c>
      <c r="FM90" s="27">
        <f>MAX(FM89,PortfolioFrontier[[#This Row],[P42 Growth]])</f>
        <v>1.7151998522045959</v>
      </c>
      <c r="FN90" s="27">
        <f>PortfolioFrontier[[#This Row],[P42 Growth]]/PortfolioFrontier[[#This Row],[P42 HWM]]-1</f>
        <v>-4.0100489396915573E-2</v>
      </c>
      <c r="FO90" s="28">
        <f>SUMPRODUCT(INDEX(PortfolioRef[[SPY]:[PE]],MATCH(FO$1,PortfolioRef[Reference '#]),0),AssetMonthlyReturns[[#This Row],[SPY]:[PE]])</f>
        <v>1.9828093212629069E-2</v>
      </c>
      <c r="FP90" s="27">
        <f>IF(ISNUMBER(FP89),FP89*(1+PortfolioFrontier[[#This Row],[P43 Return]]),1+PortfolioFrontier[[#This Row],[P43 Return]])</f>
        <v>1.6413500115434201</v>
      </c>
      <c r="FQ90" s="27">
        <f>MAX(FQ89,PortfolioFrontier[[#This Row],[P43 Growth]])</f>
        <v>1.6824667632825669</v>
      </c>
      <c r="FR90" s="27">
        <f>PortfolioFrontier[[#This Row],[P43 Growth]]/PortfolioFrontier[[#This Row],[P43 HWM]]-1</f>
        <v>-2.443837384277725E-2</v>
      </c>
      <c r="FS90" s="28">
        <f>SUMPRODUCT(INDEX(PortfolioRef[[SPY]:[PE]],MATCH(FS$1,PortfolioRef[Reference '#]),0),AssetMonthlyReturns[[#This Row],[SPY]:[PE]])</f>
        <v>2.292289031028618E-2</v>
      </c>
      <c r="FT90" s="27">
        <f>IF(ISNUMBER(FT89),FT89*(1+PortfolioFrontier[[#This Row],[P44 Return]]),1+PortfolioFrontier[[#This Row],[P44 Return]])</f>
        <v>1.6881742095885515</v>
      </c>
      <c r="FU90" s="27">
        <f>MAX(FU89,PortfolioFrontier[[#This Row],[P44 Growth]])</f>
        <v>1.7438475694471607</v>
      </c>
      <c r="FV90" s="27">
        <f>PortfolioFrontier[[#This Row],[P44 Growth]]/PortfolioFrontier[[#This Row],[P44 HWM]]-1</f>
        <v>-3.1925588471163779E-2</v>
      </c>
      <c r="FW90" s="28">
        <f>SUMPRODUCT(INDEX(PortfolioRef[[SPY]:[PE]],MATCH(FW$1,PortfolioRef[Reference '#]),0),AssetMonthlyReturns[[#This Row],[SPY]:[PE]])</f>
        <v>2.1726641444673733E-2</v>
      </c>
      <c r="FX90" s="27">
        <f>IF(ISNUMBER(FX89),FX89*(1+PortfolioFrontier[[#This Row],[P45 Return]]),1+PortfolioFrontier[[#This Row],[P45 Return]])</f>
        <v>1.6832755113439455</v>
      </c>
      <c r="FY90" s="27">
        <f>MAX(FY89,PortfolioFrontier[[#This Row],[P45 Growth]])</f>
        <v>1.7108140158896465</v>
      </c>
      <c r="FZ90" s="27">
        <f>PortfolioFrontier[[#This Row],[P45 Growth]]/PortfolioFrontier[[#This Row],[P45 HWM]]-1</f>
        <v>-1.6096726055509158E-2</v>
      </c>
      <c r="GA90" s="28">
        <f>SUMPRODUCT(INDEX(PortfolioRef[[SPY]:[PE]],MATCH(GA$1,PortfolioRef[Reference '#]),0),AssetMonthlyReturns[[#This Row],[SPY]:[PE]])</f>
        <v>2.3371884633161713E-2</v>
      </c>
      <c r="GB90" s="27">
        <f>IF(ISNUMBER(GB89),GB89*(1+PortfolioFrontier[[#This Row],[P46 Return]]),1+PortfolioFrontier[[#This Row],[P46 Return]])</f>
        <v>1.6817911726536303</v>
      </c>
      <c r="GC90" s="27">
        <f>MAX(GC89,PortfolioFrontier[[#This Row],[P46 Growth]])</f>
        <v>1.7641061270089846</v>
      </c>
      <c r="GD90" s="27">
        <f>PortfolioFrontier[[#This Row],[P46 Growth]]/PortfolioFrontier[[#This Row],[P46 HWM]]-1</f>
        <v>-4.6660999072044573E-2</v>
      </c>
      <c r="GE90" s="28">
        <f>SUMPRODUCT(INDEX(PortfolioRef[[SPY]:[PE]],MATCH(GE$1,PortfolioRef[Reference '#]),0),AssetMonthlyReturns[[#This Row],[SPY]:[PE]])</f>
        <v>2.2175635767549259E-2</v>
      </c>
      <c r="GF90" s="27">
        <f>IF(ISNUMBER(GF89),GF89*(1+PortfolioFrontier[[#This Row],[P47 Return]]),1+PortfolioFrontier[[#This Row],[P47 Return]])</f>
        <v>1.6777790691801264</v>
      </c>
      <c r="GG90" s="27">
        <f>MAX(GG89,PortfolioFrontier[[#This Row],[P47 Growth]])</f>
        <v>1.7312596087544752</v>
      </c>
      <c r="GH90" s="27">
        <f>PortfolioFrontier[[#This Row],[P47 Growth]]/PortfolioFrontier[[#This Row],[P47 HWM]]-1</f>
        <v>-3.0891114945391873E-2</v>
      </c>
      <c r="GI90" s="28">
        <f>SUMPRODUCT(INDEX(PortfolioRef[[SPY]:[PE]],MATCH(GI$1,PortfolioRef[Reference '#]),0),AssetMonthlyReturns[[#This Row],[SPY]:[PE]])</f>
        <v>2.0979386901936816E-2</v>
      </c>
      <c r="GJ90" s="27">
        <f>IF(ISNUMBER(GJ89),GJ89*(1+PortfolioFrontier[[#This Row],[P48 Return]]),1+PortfolioFrontier[[#This Row],[P48 Return]])</f>
        <v>1.6726498242088432</v>
      </c>
      <c r="GK90" s="27">
        <f>MAX(GK89,PortfolioFrontier[[#This Row],[P48 Growth]])</f>
        <v>1.6982858835097865</v>
      </c>
      <c r="GL90" s="27">
        <f>PortfolioFrontier[[#This Row],[P48 Growth]]/PortfolioFrontier[[#This Row],[P48 HWM]]-1</f>
        <v>-1.5095255486645254E-2</v>
      </c>
      <c r="GM90" s="28">
        <f>SUMPRODUCT(INDEX(PortfolioRef[[SPY]:[PE]],MATCH(GM$1,PortfolioRef[Reference '#]),0),AssetMonthlyReturns[[#This Row],[SPY]:[PE]])</f>
        <v>2.3820878956037239E-2</v>
      </c>
      <c r="GN90" s="27">
        <f>IF(ISNUMBER(GN89),GN89*(1+PortfolioFrontier[[#This Row],[P49 Return]]),1+PortfolioFrontier[[#This Row],[P49 Return]])</f>
        <v>1.6742065774087842</v>
      </c>
      <c r="GO90" s="27">
        <f>MAX(GO89,PortfolioFrontier[[#This Row],[P49 Growth]])</f>
        <v>1.7836571071341945</v>
      </c>
      <c r="GP90" s="27">
        <f>PortfolioFrontier[[#This Row],[P49 Growth]]/PortfolioFrontier[[#This Row],[P49 HWM]]-1</f>
        <v>-6.1362988036004706E-2</v>
      </c>
      <c r="GQ90" s="28">
        <f>SUMPRODUCT(INDEX(PortfolioRef[[SPY]:[PE]],MATCH(GQ$1,PortfolioRef[Reference '#]),0),AssetMonthlyReturns[[#This Row],[SPY]:[PE]])</f>
        <v>2.2624630090424792E-2</v>
      </c>
      <c r="GR90" s="27">
        <f>IF(ISNUMBER(GR89),GR89*(1+PortfolioFrontier[[#This Row],[P50 Return]]),1+PortfolioFrontier[[#This Row],[P50 Return]])</f>
        <v>1.6710818735223363</v>
      </c>
      <c r="GS90" s="27">
        <f>MAX(GS89,PortfolioFrontier[[#This Row],[P50 Growth]])</f>
        <v>1.7510275614895194</v>
      </c>
      <c r="GT90" s="27">
        <f>PortfolioFrontier[[#This Row],[P50 Growth]]/PortfolioFrontier[[#This Row],[P50 HWM]]-1</f>
        <v>-4.5656441809046711E-2</v>
      </c>
      <c r="GU90" s="28">
        <f>SUMPRODUCT(INDEX(PortfolioRef[[SPY]:[PE]],MATCH(GU$1,PortfolioRef[Reference '#]),0),AssetMonthlyReturns[[#This Row],[SPY]:[PE]])</f>
        <v>2.1428381224812342E-2</v>
      </c>
      <c r="GV90" s="27">
        <f>IF(ISNUMBER(GV89),GV89*(1+PortfolioFrontier[[#This Row],[P51 Return]]),1+PortfolioFrontier[[#This Row],[P51 Return]])</f>
        <v>1.6668352476249175</v>
      </c>
      <c r="GW90" s="27">
        <f>MAX(GW89,PortfolioFrontier[[#This Row],[P51 Growth]])</f>
        <v>1.7182435242855478</v>
      </c>
      <c r="GX90" s="27">
        <f>PortfolioFrontier[[#This Row],[P51 Growth]]/PortfolioFrontier[[#This Row],[P51 HWM]]-1</f>
        <v>-2.9919086517149029E-2</v>
      </c>
      <c r="GY90" s="28">
        <f>SUMPRODUCT(INDEX(PortfolioRef[[SPY]:[PE]],MATCH(GY$1,PortfolioRef[Reference '#]),0),AssetMonthlyReturns[[#This Row],[SPY]:[PE]])</f>
        <v>2.452317832246946E-2</v>
      </c>
      <c r="GZ90" s="27">
        <f>IF(ISNUMBER(GZ89),GZ89*(1+PortfolioFrontier[[#This Row],[P52 Return]]),1+PortfolioFrontier[[#This Row],[P52 Return]])</f>
        <v>1.7133635957883619</v>
      </c>
      <c r="HA90" s="27">
        <f>MAX(HA89,PortfolioFrontier[[#This Row],[P52 Growth]])</f>
        <v>1.7802031417261526</v>
      </c>
      <c r="HB90" s="27">
        <f>PortfolioFrontier[[#This Row],[P52 Growth]]/PortfolioFrontier[[#This Row],[P52 HWM]]-1</f>
        <v>-3.754602178321087E-2</v>
      </c>
      <c r="HC90" s="28">
        <f>SUMPRODUCT(INDEX(PortfolioRef[[SPY]:[PE]],MATCH(HC$1,PortfolioRef[Reference '#]),0),AssetMonthlyReturns[[#This Row],[SPY]:[PE]])</f>
        <v>2.3326929456857007E-2</v>
      </c>
      <c r="HD90" s="27">
        <f>IF(ISNUMBER(HD89),HD89*(1+PortfolioFrontier[[#This Row],[P53 Return]]),1+PortfolioFrontier[[#This Row],[P53 Return]])</f>
        <v>1.709312636266449</v>
      </c>
      <c r="HE90" s="27">
        <f>MAX(HE89,PortfolioFrontier[[#This Row],[P53 Growth]])</f>
        <v>1.7471238825308339</v>
      </c>
      <c r="HF90" s="27">
        <f>PortfolioFrontier[[#This Row],[P53 Growth]]/PortfolioFrontier[[#This Row],[P53 HWM]]-1</f>
        <v>-2.1641994962379285E-2</v>
      </c>
      <c r="HG90" s="28">
        <f>SUMPRODUCT(INDEX(PortfolioRef[[SPY]:[PE]],MATCH(HG$1,PortfolioRef[Reference '#]),0),AssetMonthlyReturns[[#This Row],[SPY]:[PE]])</f>
        <v>2.2130680591244564E-2</v>
      </c>
      <c r="HH90" s="27">
        <f>IF(ISNUMBER(HH89),HH89*(1+PortfolioFrontier[[#This Row],[P54 Return]]),1+PortfolioFrontier[[#This Row],[P54 Return]])</f>
        <v>1.7041241793010256</v>
      </c>
      <c r="HI90" s="27">
        <f>MAX(HI89,PortfolioFrontier[[#This Row],[P54 Growth]])</f>
        <v>1.7139140104060526</v>
      </c>
      <c r="HJ90" s="27">
        <f>PortfolioFrontier[[#This Row],[P54 Growth]]/PortfolioFrontier[[#This Row],[P54 HWM]]-1</f>
        <v>-5.7119733228084835E-3</v>
      </c>
      <c r="HK90" s="28">
        <f>SUMPRODUCT(INDEX(PortfolioRef[[SPY]:[PE]],MATCH(HK$1,PortfolioRef[Reference '#]),0),AssetMonthlyReturns[[#This Row],[SPY]:[PE]])</f>
        <v>2.4972172645344987E-2</v>
      </c>
      <c r="HL90" s="27">
        <f>IF(ISNUMBER(HL89),HL89*(1+PortfolioFrontier[[#This Row],[P55 Return]]),1+PortfolioFrontier[[#This Row],[P55 Return]])</f>
        <v>1.7060312429310054</v>
      </c>
      <c r="HM90" s="27">
        <f>MAX(HM89,PortfolioFrontier[[#This Row],[P55 Growth]])</f>
        <v>1.8002459621778737</v>
      </c>
      <c r="HN90" s="27">
        <f>PortfolioFrontier[[#This Row],[P55 Growth]]/PortfolioFrontier[[#This Row],[P55 HWM]]-1</f>
        <v>-5.2334359429914046E-2</v>
      </c>
      <c r="HO90" s="28">
        <f>SUMPRODUCT(INDEX(PortfolioRef[[SPY]:[PE]],MATCH(HO$1,PortfolioRef[Reference '#]),0),AssetMonthlyReturns[[#This Row],[SPY]:[PE]])</f>
        <v>2.3775923779732536E-2</v>
      </c>
      <c r="HP90" s="27">
        <f>IF(ISNUMBER(HP89),HP89*(1+PortfolioFrontier[[#This Row],[P56 Return]]),1+PortfolioFrontier[[#This Row],[P56 Return]])</f>
        <v>1.7028831391146926</v>
      </c>
      <c r="HQ90" s="27">
        <f>MAX(HQ89,PortfolioFrontier[[#This Row],[P56 Growth]])</f>
        <v>1.767380839986993</v>
      </c>
      <c r="HR90" s="27">
        <f>PortfolioFrontier[[#This Row],[P56 Growth]]/PortfolioFrontier[[#This Row],[P56 HWM]]-1</f>
        <v>-3.649338015499537E-2</v>
      </c>
      <c r="HS90" s="28">
        <f>SUMPRODUCT(INDEX(PortfolioRef[[SPY]:[PE]],MATCH(HS$1,PortfolioRef[Reference '#]),0),AssetMonthlyReturns[[#This Row],[SPY]:[PE]])</f>
        <v>2.257967491412009E-2</v>
      </c>
      <c r="HT90" s="27">
        <f>IF(ISNUMBER(HT89),HT89*(1+PortfolioFrontier[[#This Row],[P57 Return]]),1+PortfolioFrontier[[#This Row],[P57 Return]])</f>
        <v>1.6985924531764578</v>
      </c>
      <c r="HU90" s="27">
        <f>MAX(HU89,PortfolioFrontier[[#This Row],[P57 Growth]])</f>
        <v>1.7343575628436463</v>
      </c>
      <c r="HV90" s="27">
        <f>PortfolioFrontier[[#This Row],[P57 Growth]]/PortfolioFrontier[[#This Row],[P57 HWM]]-1</f>
        <v>-2.0621531818703076E-2</v>
      </c>
      <c r="HW90" s="28">
        <f>SUMPRODUCT(INDEX(PortfolioRef[[SPY]:[PE]],MATCH(HW$1,PortfolioRef[Reference '#]),0),AssetMonthlyReturns[[#This Row],[SPY]:[PE]])</f>
        <v>2.5421166968220516E-2</v>
      </c>
      <c r="HX90" s="27">
        <f>IF(ISNUMBER(HX89),HX89*(1+PortfolioFrontier[[#This Row],[P58 Return]]),1+PortfolioFrontier[[#This Row],[P58 Return]])</f>
        <v>1.6974832311070067</v>
      </c>
      <c r="HY90" s="27">
        <f>MAX(HY89,PortfolioFrontier[[#This Row],[P58 Growth]])</f>
        <v>1.8195487359549802</v>
      </c>
      <c r="HZ90" s="27">
        <f>PortfolioFrontier[[#This Row],[P58 Growth]]/PortfolioFrontier[[#This Row],[P58 HWM]]-1</f>
        <v>-6.708559239767109E-2</v>
      </c>
      <c r="IA90" s="28">
        <f>SUMPRODUCT(INDEX(PortfolioRef[[SPY]:[PE]],MATCH(IA$1,PortfolioRef[Reference '#]),0),AssetMonthlyReturns[[#This Row],[SPY]:[PE]])</f>
        <v>2.4224918102608066E-2</v>
      </c>
      <c r="IB90" s="27">
        <f>IF(ISNUMBER(IB89),IB89*(1+PortfolioFrontier[[#This Row],[P59 Return]]),1+PortfolioFrontier[[#This Row],[P59 Return]])</f>
        <v>1.6952374251767153</v>
      </c>
      <c r="IC90" s="27">
        <f>MAX(IC89,PortfolioFrontier[[#This Row],[P59 Growth]])</f>
        <v>1.7869282396294996</v>
      </c>
      <c r="ID90" s="27">
        <f>PortfolioFrontier[[#This Row],[P59 Growth]]/PortfolioFrontier[[#This Row],[P59 HWM]]-1</f>
        <v>-5.1311973485737461E-2</v>
      </c>
      <c r="IE90" s="28">
        <f>SUMPRODUCT(INDEX(PortfolioRef[[SPY]:[PE]],MATCH(IE$1,PortfolioRef[Reference '#]),0),AssetMonthlyReturns[[#This Row],[SPY]:[PE]])</f>
        <v>2.3028669236995619E-2</v>
      </c>
      <c r="IF90" s="27">
        <f>IF(ISNUMBER(IF89),IF89*(1+PortfolioFrontier[[#This Row],[P60 Return]]),1+PortfolioFrontier[[#This Row],[P60 Return]])</f>
        <v>1.6918455047351875</v>
      </c>
      <c r="IG90" s="27">
        <f>MAX(IG89,PortfolioFrontier[[#This Row],[P60 Growth]])</f>
        <v>1.7541215677111524</v>
      </c>
      <c r="IH90" s="27">
        <f>PortfolioFrontier[[#This Row],[P60 Growth]]/PortfolioFrontier[[#This Row],[P60 HWM]]-1</f>
        <v>-3.5502706381533855E-2</v>
      </c>
      <c r="II90" s="28">
        <f>SUMPRODUCT(INDEX(PortfolioRef[[SPY]:[PE]],MATCH(II$1,PortfolioRef[Reference '#]),0),AssetMonthlyReturns[[#This Row],[SPY]:[PE]])</f>
        <v>1.718458565825487E-2</v>
      </c>
      <c r="IJ90" s="27">
        <f>IF(ISNUMBER(IJ89),IJ89*(1+PortfolioFrontier[[#This Row],[P61 Return]]),1+PortfolioFrontier[[#This Row],[P61 Return]])</f>
        <v>1.5313110861044865</v>
      </c>
      <c r="IK90" s="27">
        <f>MAX(IK89,PortfolioFrontier[[#This Row],[P61 Growth]])</f>
        <v>1.6121264956964798</v>
      </c>
      <c r="IL90" s="27">
        <f>PortfolioFrontier[[#This Row],[P61 Growth]]/PortfolioFrontier[[#This Row],[P61 HWM]]-1</f>
        <v>-5.0129695038030442E-2</v>
      </c>
      <c r="IM90" s="28">
        <f>SUMPRODUCT(INDEX(PortfolioRef[[SPY]:[PE]],MATCH(IM$1,PortfolioRef[Reference '#]),0),AssetMonthlyReturns[[#This Row],[SPY]:[PE]])</f>
        <v>1.8335879347562617E-2</v>
      </c>
      <c r="IN90" s="27">
        <f>IF(ISNUMBER(IN89),IN89*(1+PortfolioFrontier[[#This Row],[P62 Return]]),1+PortfolioFrontier[[#This Row],[P62 Return]])</f>
        <v>1.5605028547133968</v>
      </c>
      <c r="IO90" s="27">
        <f>MAX(IO89,PortfolioFrontier[[#This Row],[P62 Growth]])</f>
        <v>1.6272630311124299</v>
      </c>
      <c r="IP90" s="27">
        <f>PortfolioFrontier[[#This Row],[P62 Growth]]/PortfolioFrontier[[#This Row],[P62 HWM]]-1</f>
        <v>-4.1026051180794387E-2</v>
      </c>
      <c r="IQ90" s="28">
        <f>SUMPRODUCT(INDEX(PortfolioRef[[SPY]:[PE]],MATCH(IQ$1,PortfolioRef[Reference '#]),0),AssetMonthlyReturns[[#This Row],[SPY]:[PE]])</f>
        <v>1.878487367043815E-2</v>
      </c>
      <c r="IR90" s="27">
        <f>IF(ISNUMBER(IR89),IR89*(1+PortfolioFrontier[[#This Row],[P63 Return]]),1+PortfolioFrontier[[#This Row],[P63 Return]])</f>
        <v>1.5555848355306836</v>
      </c>
      <c r="IS90" s="27">
        <f>MAX(IS89,PortfolioFrontier[[#This Row],[P63 Growth]])</f>
        <v>1.646884909102555</v>
      </c>
      <c r="IT90" s="27">
        <f>PortfolioFrontier[[#This Row],[P63 Growth]]/PortfolioFrontier[[#This Row],[P63 HWM]]-1</f>
        <v>-5.5438041278563888E-2</v>
      </c>
      <c r="IU90" s="28">
        <f>SUMPRODUCT(INDEX(PortfolioRef[[SPY]:[PE]],MATCH(IU$1,PortfolioRef[Reference '#]),0),AssetMonthlyReturns[[#This Row],[SPY]:[PE]])</f>
        <v>1.7588624804825696E-2</v>
      </c>
      <c r="IV90" s="27">
        <f>IF(ISNUMBER(IV89),IV89*(1+PortfolioFrontier[[#This Row],[P64 Return]]),1+PortfolioFrontier[[#This Row],[P64 Return]])</f>
        <v>1.5504564347947456</v>
      </c>
      <c r="IW90" s="27">
        <f>MAX(IW89,PortfolioFrontier[[#This Row],[P64 Growth]])</f>
        <v>1.6151793879801097</v>
      </c>
      <c r="IX90" s="27">
        <f>PortfolioFrontier[[#This Row],[P64 Growth]]/PortfolioFrontier[[#This Row],[P64 HWM]]-1</f>
        <v>-4.0071680995325543E-2</v>
      </c>
      <c r="IY90" s="28">
        <f>SUMPRODUCT(INDEX(PortfolioRef[[SPY]:[PE]],MATCH(IY$1,PortfolioRef[Reference '#]),0),AssetMonthlyReturns[[#This Row],[SPY]:[PE]])</f>
        <v>1.9487173036870364E-2</v>
      </c>
      <c r="IZ90" s="27">
        <f>IF(ISNUMBER(IZ89),IZ89*(1+PortfolioFrontier[[#This Row],[P65 Return]]),1+PortfolioFrontier[[#This Row],[P65 Return]])</f>
        <v>1.5898558023367182</v>
      </c>
      <c r="JA90" s="27">
        <f>MAX(JA89,PortfolioFrontier[[#This Row],[P65 Growth]])</f>
        <v>1.6422150953060746</v>
      </c>
      <c r="JB90" s="27">
        <f>PortfolioFrontier[[#This Row],[P65 Growth]]/PortfolioFrontier[[#This Row],[P65 HWM]]-1</f>
        <v>-3.1883334356756499E-2</v>
      </c>
      <c r="JC90" s="28">
        <f>SUMPRODUCT(INDEX(PortfolioRef[[SPY]:[PE]],MATCH(JC$1,PortfolioRef[Reference '#]),0),AssetMonthlyReturns[[#This Row],[SPY]:[PE]])</f>
        <v>1.9936167359745894E-2</v>
      </c>
      <c r="JD90" s="27">
        <f>IF(ISNUMBER(JD89),JD89*(1+PortfolioFrontier[[#This Row],[P66 Return]]),1+PortfolioFrontier[[#This Row],[P66 Return]])</f>
        <v>1.5852124986957219</v>
      </c>
      <c r="JE90" s="27">
        <f>MAX(JE89,PortfolioFrontier[[#This Row],[P66 Growth]])</f>
        <v>1.6623077877531292</v>
      </c>
      <c r="JF90" s="27">
        <f>PortfolioFrontier[[#This Row],[P66 Growth]]/PortfolioFrontier[[#This Row],[P66 HWM]]-1</f>
        <v>-4.6378468310982135E-2</v>
      </c>
      <c r="JG90" s="28">
        <f>SUMPRODUCT(INDEX(PortfolioRef[[SPY]:[PE]],MATCH(JG$1,PortfolioRef[Reference '#]),0),AssetMonthlyReturns[[#This Row],[SPY]:[PE]])</f>
        <v>1.8739918494133444E-2</v>
      </c>
      <c r="JH90" s="27">
        <f>IF(ISNUMBER(JH89),JH89*(1+PortfolioFrontier[[#This Row],[P67 Return]]),1+PortfolioFrontier[[#This Row],[P67 Return]])</f>
        <v>1.5800213229111535</v>
      </c>
      <c r="JI90" s="27">
        <f>MAX(JI89,PortfolioFrontier[[#This Row],[P67 Growth]])</f>
        <v>1.6303687537292939</v>
      </c>
      <c r="JJ90" s="27">
        <f>PortfolioFrontier[[#This Row],[P67 Growth]]/PortfolioFrontier[[#This Row],[P67 HWM]]-1</f>
        <v>-3.0881008178656577E-2</v>
      </c>
      <c r="JK90" s="28">
        <f>SUMPRODUCT(INDEX(PortfolioRef[[SPY]:[PE]],MATCH(JK$1,PortfolioRef[Reference '#]),0),AssetMonthlyReturns[[#This Row],[SPY]:[PE]])</f>
        <v>2.0385161682621424E-2</v>
      </c>
      <c r="JL90" s="27">
        <f>IF(ISNUMBER(JL89),JL89*(1+PortfolioFrontier[[#This Row],[P68 Return]]),1+PortfolioFrontier[[#This Row],[P68 Return]])</f>
        <v>1.5794318598505779</v>
      </c>
      <c r="JM90" s="27">
        <f>MAX(JM89,PortfolioFrontier[[#This Row],[P68 Growth]])</f>
        <v>1.6817622542850994</v>
      </c>
      <c r="JN90" s="27">
        <f>PortfolioFrontier[[#This Row],[P68 Growth]]/PortfolioFrontier[[#This Row],[P68 HWM]]-1</f>
        <v>-6.0847122816429899E-2</v>
      </c>
      <c r="JO90" s="28">
        <f>SUMPRODUCT(INDEX(PortfolioRef[[SPY]:[PE]],MATCH(JO$1,PortfolioRef[Reference '#]),0),AssetMonthlyReturns[[#This Row],[SPY]:[PE]])</f>
        <v>1.9188912817008973E-2</v>
      </c>
      <c r="JP90" s="27">
        <f>IF(ISNUMBER(JP89),JP89*(1+PortfolioFrontier[[#This Row],[P69 Return]]),1+PortfolioFrontier[[#This Row],[P69 Return]])</f>
        <v>1.5750726092737459</v>
      </c>
      <c r="JQ90" s="27">
        <f>MAX(JQ89,PortfolioFrontier[[#This Row],[P69 Growth]])</f>
        <v>1.6499912107010917</v>
      </c>
      <c r="JR90" s="27">
        <f>PortfolioFrontier[[#This Row],[P69 Growth]]/PortfolioFrontier[[#This Row],[P69 HWM]]-1</f>
        <v>-4.5405454854218541E-2</v>
      </c>
      <c r="JS90" s="28">
        <f>SUMPRODUCT(INDEX(PortfolioRef[[SPY]:[PE]],MATCH(JS$1,PortfolioRef[Reference '#]),0),AssetMonthlyReturns[[#This Row],[SPY]:[PE]])</f>
        <v>1.7992663951396527E-2</v>
      </c>
      <c r="JT90" s="27">
        <f>IF(ISNUMBER(JT89),JT89*(1+PortfolioFrontier[[#This Row],[P70 Return]]),1+PortfolioFrontier[[#This Row],[P70 Return]])</f>
        <v>1.569669250377139</v>
      </c>
      <c r="JU90" s="27">
        <f>MAX(JU89,PortfolioFrontier[[#This Row],[P70 Growth]])</f>
        <v>1.6181178918603722</v>
      </c>
      <c r="JV90" s="27">
        <f>PortfolioFrontier[[#This Row],[P70 Growth]]/PortfolioFrontier[[#This Row],[P70 HWM]]-1</f>
        <v>-2.9941354537234122E-2</v>
      </c>
      <c r="JW90" s="28">
        <f>SUMPRODUCT(INDEX(PortfolioRef[[SPY]:[PE]],MATCH(JW$1,PortfolioRef[Reference '#]),0),AssetMonthlyReturns[[#This Row],[SPY]:[PE]])</f>
        <v>2.1087461049053645E-2</v>
      </c>
      <c r="JX90" s="27">
        <f>IF(ISNUMBER(JX89),JX89*(1+PortfolioFrontier[[#This Row],[P71 Return]]),1+PortfolioFrontier[[#This Row],[P71 Return]])</f>
        <v>1.6150034264059536</v>
      </c>
      <c r="JY90" s="27">
        <f>MAX(JY89,PortfolioFrontier[[#This Row],[P71 Growth]])</f>
        <v>1.6775420819631024</v>
      </c>
      <c r="JZ90" s="27">
        <f>PortfolioFrontier[[#This Row],[P71 Growth]]/PortfolioFrontier[[#This Row],[P71 HWM]]-1</f>
        <v>-3.7279932485487555E-2</v>
      </c>
      <c r="KA90" s="28">
        <f>SUMPRODUCT(INDEX(PortfolioRef[[SPY]:[PE]],MATCH(KA$1,PortfolioRef[Reference '#]),0),AssetMonthlyReturns[[#This Row],[SPY]:[PE]])</f>
        <v>1.9891212183441191E-2</v>
      </c>
      <c r="KB90" s="27">
        <f>IF(ISNUMBER(KB89),KB89*(1+PortfolioFrontier[[#This Row],[P72 Return]]),1+PortfolioFrontier[[#This Row],[P72 Return]])</f>
        <v>1.6097499604272016</v>
      </c>
      <c r="KC90" s="27">
        <f>MAX(KC89,PortfolioFrontier[[#This Row],[P72 Growth]])</f>
        <v>1.6453738946019467</v>
      </c>
      <c r="KD90" s="27">
        <f>PortfolioFrontier[[#This Row],[P72 Growth]]/PortfolioFrontier[[#This Row],[P72 HWM]]-1</f>
        <v>-2.1650965954679413E-2</v>
      </c>
      <c r="KE90" s="28">
        <f>SUMPRODUCT(INDEX(PortfolioRef[[SPY]:[PE]],MATCH(KE$1,PortfolioRef[Reference '#]),0),AssetMonthlyReturns[[#This Row],[SPY]:[PE]])</f>
        <v>2.1536455371929171E-2</v>
      </c>
      <c r="KF90" s="27">
        <f>IF(ISNUMBER(KF89),KF89*(1+PortfolioFrontier[[#This Row],[P73 Return]]),1+PortfolioFrontier[[#This Row],[P73 Return]])</f>
        <v>1.609486976949513</v>
      </c>
      <c r="KG90" s="27">
        <f>MAX(KG89,PortfolioFrontier[[#This Row],[P73 Growth]])</f>
        <v>1.6974712283523181</v>
      </c>
      <c r="KH90" s="27">
        <f>PortfolioFrontier[[#This Row],[P73 Growth]]/PortfolioFrontier[[#This Row],[P73 HWM]]-1</f>
        <v>-5.1832543570242806E-2</v>
      </c>
      <c r="KI90" s="28">
        <f>SUMPRODUCT(INDEX(PortfolioRef[[SPY]:[PE]],MATCH(KI$1,PortfolioRef[Reference '#]),0),AssetMonthlyReturns[[#This Row],[SPY]:[PE]])</f>
        <v>2.0340206506316717E-2</v>
      </c>
      <c r="KJ90" s="27">
        <f>IF(ISNUMBER(KJ89),KJ89*(1+PortfolioFrontier[[#This Row],[P74 Return]]),1+PortfolioFrontier[[#This Row],[P74 Return]])</f>
        <v>1.605079646103498</v>
      </c>
      <c r="KK90" s="27">
        <f>MAX(KK89,PortfolioFrontier[[#This Row],[P74 Growth]])</f>
        <v>1.6654678920548054</v>
      </c>
      <c r="KL90" s="27">
        <f>PortfolioFrontier[[#This Row],[P74 Growth]]/PortfolioFrontier[[#This Row],[P74 HWM]]-1</f>
        <v>-3.6259027411691624E-2</v>
      </c>
      <c r="KM90" s="28">
        <f>SUMPRODUCT(INDEX(PortfolioRef[[SPY]:[PE]],MATCH(KM$1,PortfolioRef[Reference '#]),0),AssetMonthlyReturns[[#This Row],[SPY]:[PE]])</f>
        <v>1.9143957640704274E-2</v>
      </c>
      <c r="KN90" s="27">
        <f>IF(ISNUMBER(KN89),KN89*(1+PortfolioFrontier[[#This Row],[P75 Return]]),1+PortfolioFrontier[[#This Row],[P75 Return]])</f>
        <v>1.599608899905848</v>
      </c>
      <c r="KO90" s="27">
        <f>MAX(KO89,PortfolioFrontier[[#This Row],[P75 Growth]])</f>
        <v>1.6333591346427441</v>
      </c>
      <c r="KP90" s="27">
        <f>PortfolioFrontier[[#This Row],[P75 Growth]]/PortfolioFrontier[[#This Row],[P75 HWM]]-1</f>
        <v>-2.0663082613658124E-2</v>
      </c>
      <c r="KQ90" s="28">
        <f>SUMPRODUCT(INDEX(PortfolioRef[[SPY]:[PE]],MATCH(KQ$1,PortfolioRef[Reference '#]),0),AssetMonthlyReturns[[#This Row],[SPY]:[PE]])</f>
        <v>2.1985449694804701E-2</v>
      </c>
      <c r="KR90" s="27">
        <f>IF(ISNUMBER(KR89),KR89*(1+PortfolioFrontier[[#This Row],[P76 Return]]),1+PortfolioFrontier[[#This Row],[P76 Return]])</f>
        <v>1.6028176949919557</v>
      </c>
      <c r="KS90" s="27">
        <f>MAX(KS89,PortfolioFrontier[[#This Row],[P76 Growth]])</f>
        <v>1.7167314071133803</v>
      </c>
      <c r="KT90" s="27">
        <f>PortfolioFrontier[[#This Row],[P76 Growth]]/PortfolioFrontier[[#This Row],[P76 HWM]]-1</f>
        <v>-6.6354999768406531E-2</v>
      </c>
      <c r="KU90" s="28">
        <f>SUMPRODUCT(INDEX(PortfolioRef[[SPY]:[PE]],MATCH(KU$1,PortfolioRef[Reference '#]),0),AssetMonthlyReturns[[#This Row],[SPY]:[PE]])</f>
        <v>2.078920082919225E-2</v>
      </c>
      <c r="KV90" s="27">
        <f>IF(ISNUMBER(KV89),KV89*(1+PortfolioFrontier[[#This Row],[P77 Return]]),1+PortfolioFrontier[[#This Row],[P77 Return]])</f>
        <v>1.5992581753027075</v>
      </c>
      <c r="KW90" s="27">
        <f>MAX(KW89,PortfolioFrontier[[#This Row],[P77 Growth]])</f>
        <v>1.6849217747429484</v>
      </c>
      <c r="KX90" s="27">
        <f>PortfolioFrontier[[#This Row],[P77 Growth]]/PortfolioFrontier[[#This Row],[P77 HWM]]-1</f>
        <v>-5.0841291699319169E-2</v>
      </c>
      <c r="KY90" s="28">
        <f>SUMPRODUCT(INDEX(PortfolioRef[[SPY]:[PE]],MATCH(KY$1,PortfolioRef[Reference '#]),0),AssetMonthlyReturns[[#This Row],[SPY]:[PE]])</f>
        <v>1.95929519635798E-2</v>
      </c>
      <c r="KZ90" s="27">
        <f>IF(ISNUMBER(KZ89),KZ89*(1+PortfolioFrontier[[#This Row],[P78 Return]]),1+PortfolioFrontier[[#This Row],[P78 Return]])</f>
        <v>1.5946298177423486</v>
      </c>
      <c r="LA90" s="27">
        <f>MAX(LA89,PortfolioFrontier[[#This Row],[P78 Growth]])</f>
        <v>1.6529805725839544</v>
      </c>
      <c r="LB90" s="27">
        <f>PortfolioFrontier[[#This Row],[P78 Growth]]/PortfolioFrontier[[#This Row],[P78 HWM]]-1</f>
        <v>-3.5300327063367276E-2</v>
      </c>
      <c r="LC90" s="28">
        <f>SUMPRODUCT(INDEX(PortfolioRef[[SPY]:[PE]],MATCH(LC$1,PortfolioRef[Reference '#]),0),AssetMonthlyReturns[[#This Row],[SPY]:[PE]])</f>
        <v>2.2687749061236918E-2</v>
      </c>
      <c r="LD90" s="27">
        <f>IF(ISNUMBER(LD89),LD89*(1+PortfolioFrontier[[#This Row],[P79 Return]]),1+PortfolioFrontier[[#This Row],[P79 Return]])</f>
        <v>1.6397073951356085</v>
      </c>
      <c r="LE90" s="27">
        <f>MAX(LE89,PortfolioFrontier[[#This Row],[P79 Growth]])</f>
        <v>1.7129874860839263</v>
      </c>
      <c r="LF90" s="27">
        <f>PortfolioFrontier[[#This Row],[P79 Growth]]/PortfolioFrontier[[#This Row],[P79 HWM]]-1</f>
        <v>-4.2779116335428635E-2</v>
      </c>
      <c r="LG90" s="28">
        <f>SUMPRODUCT(INDEX(PortfolioRef[[SPY]:[PE]],MATCH(LG$1,PortfolioRef[Reference '#]),0),AssetMonthlyReturns[[#This Row],[SPY]:[PE]])</f>
        <v>2.1491500195624465E-2</v>
      </c>
      <c r="LH90" s="27">
        <f>IF(ISNUMBER(LH89),LH89*(1+PortfolioFrontier[[#This Row],[P80 Return]]),1+PortfolioFrontier[[#This Row],[P80 Return]])</f>
        <v>1.6352525543539322</v>
      </c>
      <c r="LI90" s="27">
        <f>MAX(LI89,PortfolioFrontier[[#This Row],[P80 Growth]])</f>
        <v>1.6807562405101484</v>
      </c>
      <c r="LJ90" s="27">
        <f>PortfolioFrontier[[#This Row],[P80 Growth]]/PortfolioFrontier[[#This Row],[P80 HWM]]-1</f>
        <v>-2.7073340594829354E-2</v>
      </c>
      <c r="LK90" s="28">
        <f>SUMPRODUCT(INDEX(PortfolioRef[[SPY]:[PE]],MATCH(LK$1,PortfolioRef[Reference '#]),0),AssetMonthlyReturns[[#This Row],[SPY]:[PE]])</f>
        <v>2.0295251330012021E-2</v>
      </c>
      <c r="LL90" s="27">
        <f>IF(ISNUMBER(LL89),LL89*(1+PortfolioFrontier[[#This Row],[P81 Return]]),1+PortfolioFrontier[[#This Row],[P81 Return]])</f>
        <v>1.6297148928743488</v>
      </c>
      <c r="LM90" s="27">
        <f>MAX(LM89,PortfolioFrontier[[#This Row],[P81 Growth]])</f>
        <v>1.648416413491208</v>
      </c>
      <c r="LN90" s="27">
        <f>PortfolioFrontier[[#This Row],[P81 Growth]]/PortfolioFrontier[[#This Row],[P81 HWM]]-1</f>
        <v>-1.1345143413884706E-2</v>
      </c>
      <c r="LO90" s="28">
        <f>SUMPRODUCT(INDEX(PortfolioRef[[SPY]:[PE]],MATCH(LO$1,PortfolioRef[Reference '#]),0),AssetMonthlyReturns[[#This Row],[SPY]:[PE]])</f>
        <v>2.3136743384112445E-2</v>
      </c>
      <c r="LP90" s="27">
        <f>IF(ISNUMBER(LP89),LP89*(1+PortfolioFrontier[[#This Row],[P82 Return]]),1+PortfolioFrontier[[#This Row],[P82 Return]])</f>
        <v>1.6332912154889569</v>
      </c>
      <c r="LQ90" s="27">
        <f>MAX(LQ89,PortfolioFrontier[[#This Row],[P82 Growth]])</f>
        <v>1.7327259878391794</v>
      </c>
      <c r="LR90" s="27">
        <f>PortfolioFrontier[[#This Row],[P82 Growth]]/PortfolioFrontier[[#This Row],[P82 HWM]]-1</f>
        <v>-5.7386322504589415E-2</v>
      </c>
      <c r="LS90" s="28">
        <f>SUMPRODUCT(INDEX(PortfolioRef[[SPY]:[PE]],MATCH(LS$1,PortfolioRef[Reference '#]),0),AssetMonthlyReturns[[#This Row],[SPY]:[PE]])</f>
        <v>2.1940494518499998E-2</v>
      </c>
      <c r="LT90" s="27">
        <f>IF(ISNUMBER(LT89),LT89*(1+PortfolioFrontier[[#This Row],[P83 Return]]),1+PortfolioFrontier[[#This Row],[P83 Return]])</f>
        <v>1.6296988374339512</v>
      </c>
      <c r="LU90" s="27">
        <f>MAX(LU89,PortfolioFrontier[[#This Row],[P83 Growth]])</f>
        <v>1.7006855237848306</v>
      </c>
      <c r="LV90" s="27">
        <f>PortfolioFrontier[[#This Row],[P83 Growth]]/PortfolioFrontier[[#This Row],[P83 HWM]]-1</f>
        <v>-4.1740042681671419E-2</v>
      </c>
      <c r="LW90" s="28">
        <f>SUMPRODUCT(INDEX(PortfolioRef[[SPY]:[PE]],MATCH(LW$1,PortfolioRef[Reference '#]),0),AssetMonthlyReturns[[#This Row],[SPY]:[PE]])</f>
        <v>2.0744245652887548E-2</v>
      </c>
      <c r="LX90" s="27">
        <f>IF(ISNUMBER(LX89),LX89*(1+PortfolioFrontier[[#This Row],[P84 Return]]),1+PortfolioFrontier[[#This Row],[P84 Return]])</f>
        <v>1.6250179105841276</v>
      </c>
      <c r="LY90" s="27">
        <f>MAX(LY89,PortfolioFrontier[[#This Row],[P84 Growth]])</f>
        <v>1.6685100840279028</v>
      </c>
      <c r="LZ90" s="27">
        <f>PortfolioFrontier[[#This Row],[P84 Growth]]/PortfolioFrontier[[#This Row],[P84 HWM]]-1</f>
        <v>-2.6066473232683074E-2</v>
      </c>
      <c r="MA90" s="28">
        <f>SUMPRODUCT(INDEX(PortfolioRef[[SPY]:[PE]],MATCH(MA$1,PortfolioRef[Reference '#]),0),AssetMonthlyReturns[[#This Row],[SPY]:[PE]])</f>
        <v>2.3585737706987978E-2</v>
      </c>
      <c r="MB90" s="27">
        <f>IF(ISNUMBER(MB89),MB89*(1+PortfolioFrontier[[#This Row],[P85 Return]]),1+PortfolioFrontier[[#This Row],[P85 Return]])</f>
        <v>1.6257077505820563</v>
      </c>
      <c r="MC90" s="27">
        <f>MAX(MC89,PortfolioFrontier[[#This Row],[P85 Growth]])</f>
        <v>1.7517641950154219</v>
      </c>
      <c r="MD90" s="27">
        <f>PortfolioFrontier[[#This Row],[P85 Growth]]/PortfolioFrontier[[#This Row],[P85 HWM]]-1</f>
        <v>-7.1959710554682199E-2</v>
      </c>
      <c r="ME90" s="28">
        <f>SUMPRODUCT(INDEX(PortfolioRef[[SPY]:[PE]],MATCH(ME$1,PortfolioRef[Reference '#]),0),AssetMonthlyReturns[[#This Row],[SPY]:[PE]])</f>
        <v>2.2389488841375524E-2</v>
      </c>
      <c r="MF90" s="27">
        <f>IF(ISNUMBER(MF89),MF89*(1+PortfolioFrontier[[#This Row],[P86 Return]]),1+PortfolioFrontier[[#This Row],[P86 Return]])</f>
        <v>1.622978226141502</v>
      </c>
      <c r="MG90" s="27">
        <f>MAX(MG89,PortfolioFrontier[[#This Row],[P86 Growth]])</f>
        <v>1.7199439154573082</v>
      </c>
      <c r="MH90" s="27">
        <f>PortfolioFrontier[[#This Row],[P86 Growth]]/PortfolioFrontier[[#This Row],[P86 HWM]]-1</f>
        <v>-5.6377239074115071E-2</v>
      </c>
      <c r="MI90" s="28">
        <f>SUMPRODUCT(INDEX(PortfolioRef[[SPY]:[PE]],MATCH(MI$1,PortfolioRef[Reference '#]),0),AssetMonthlyReturns[[#This Row],[SPY]:[PE]])</f>
        <v>2.1193239975763081E-2</v>
      </c>
      <c r="MJ90" s="27">
        <f>IF(ISNUMBER(MJ89),MJ89*(1+PortfolioFrontier[[#This Row],[P87 Return]]),1+PortfolioFrontier[[#This Row],[P87 Return]])</f>
        <v>1.6191559023988782</v>
      </c>
      <c r="MK90" s="27">
        <f>MAX(MK89,PortfolioFrontier[[#This Row],[P87 Growth]])</f>
        <v>1.6879617873128629</v>
      </c>
      <c r="ML90" s="27">
        <f>PortfolioFrontier[[#This Row],[P87 Growth]]/PortfolioFrontier[[#This Row],[P87 HWM]]-1</f>
        <v>-4.0762702942179541E-2</v>
      </c>
      <c r="MM90" s="28">
        <f>SUMPRODUCT(INDEX(PortfolioRef[[SPY]:[PE]],MATCH(MM$1,PortfolioRef[Reference '#]),0),AssetMonthlyReturns[[#This Row],[SPY]:[PE]])</f>
        <v>2.4288037073420195E-2</v>
      </c>
      <c r="MN90" s="27">
        <f>IF(ISNUMBER(MN89),MN89*(1+PortfolioFrontier[[#This Row],[P88 Return]]),1+PortfolioFrontier[[#This Row],[P88 Return]])</f>
        <v>1.6639320218875262</v>
      </c>
      <c r="MO90" s="27">
        <f>MAX(MO89,PortfolioFrontier[[#This Row],[P88 Growth]])</f>
        <v>1.7485237047822844</v>
      </c>
      <c r="MP90" s="27">
        <f>PortfolioFrontier[[#This Row],[P88 Growth]]/PortfolioFrontier[[#This Row],[P88 HWM]]-1</f>
        <v>-4.8378916833324292E-2</v>
      </c>
      <c r="MQ90" s="28">
        <f>SUMPRODUCT(INDEX(PortfolioRef[[SPY]:[PE]],MATCH(MQ$1,PortfolioRef[Reference '#]),0),AssetMonthlyReturns[[#This Row],[SPY]:[PE]])</f>
        <v>2.3091788207807745E-2</v>
      </c>
      <c r="MR90" s="27">
        <f>IF(ISNUMBER(MR89),MR89*(1+PortfolioFrontier[[#This Row],[P89 Return]]),1+PortfolioFrontier[[#This Row],[P89 Return]])</f>
        <v>1.6603074433343499</v>
      </c>
      <c r="MS90" s="27">
        <f>MAX(MS89,PortfolioFrontier[[#This Row],[P89 Growth]])</f>
        <v>1.7162568132506029</v>
      </c>
      <c r="MT90" s="27">
        <f>PortfolioFrontier[[#This Row],[P89 Growth]]/PortfolioFrontier[[#This Row],[P89 HWM]]-1</f>
        <v>-3.2599649122606822E-2</v>
      </c>
      <c r="MU90" s="28">
        <f>SUMPRODUCT(INDEX(PortfolioRef[[SPY]:[PE]],MATCH(MU$1,PortfolioRef[Reference '#]),0),AssetMonthlyReturns[[#This Row],[SPY]:[PE]])</f>
        <v>2.1895539342195295E-2</v>
      </c>
      <c r="MV90" s="27">
        <f>IF(ISNUMBER(MV89),MV89*(1+PortfolioFrontier[[#This Row],[P90 Return]]),1+PortfolioFrontier[[#This Row],[P90 Return]])</f>
        <v>1.6555745057765991</v>
      </c>
      <c r="MW90" s="27">
        <f>MAX(MW89,PortfolioFrontier[[#This Row],[P90 Growth]])</f>
        <v>1.6838515290273213</v>
      </c>
      <c r="MX90" s="27">
        <f>PortfolioFrontier[[#This Row],[P90 Growth]]/PortfolioFrontier[[#This Row],[P90 HWM]]-1</f>
        <v>-1.6793062074217713E-2</v>
      </c>
      <c r="MY90" s="28">
        <f>SUMPRODUCT(INDEX(PortfolioRef[[SPY]:[PE]],MATCH(MY$1,PortfolioRef[Reference '#]),0),AssetMonthlyReturns[[#This Row],[SPY]:[PE]])</f>
        <v>2.4737031396295722E-2</v>
      </c>
      <c r="MZ90" s="27">
        <f>IF(ISNUMBER(MZ89),MZ89*(1+PortfolioFrontier[[#This Row],[P91 Return]]),1+PortfolioFrontier[[#This Row],[P91 Return]])</f>
        <v>1.6565900132781193</v>
      </c>
      <c r="NA90" s="27">
        <f>MAX(NA89,PortfolioFrontier[[#This Row],[P91 Growth]])</f>
        <v>1.7680436458517257</v>
      </c>
      <c r="NB90" s="27">
        <f>PortfolioFrontier[[#This Row],[P91 Growth]]/PortfolioFrontier[[#This Row],[P91 HWM]]-1</f>
        <v>-6.3037828752194325E-2</v>
      </c>
      <c r="NC90" s="28">
        <f>SUMPRODUCT(INDEX(PortfolioRef[[SPY]:[PE]],MATCH(NC$1,PortfolioRef[Reference '#]),0),AssetMonthlyReturns[[#This Row],[SPY]:[PE]])</f>
        <v>2.3540782530683271E-2</v>
      </c>
      <c r="ND90" s="27">
        <f>IF(ISNUMBER(ND89),ND89*(1+PortfolioFrontier[[#This Row],[P92 Return]]),1+PortfolioFrontier[[#This Row],[P92 Return]])</f>
        <v>1.6538433722675145</v>
      </c>
      <c r="NE90" s="27">
        <f>MAX(NE89,PortfolioFrontier[[#This Row],[P92 Growth]])</f>
        <v>1.73599424265744</v>
      </c>
      <c r="NF90" s="27">
        <f>PortfolioFrontier[[#This Row],[P92 Growth]]/PortfolioFrontier[[#This Row],[P92 HWM]]-1</f>
        <v>-4.7322086889049708E-2</v>
      </c>
      <c r="NG90" s="28">
        <f>SUMPRODUCT(INDEX(PortfolioRef[[SPY]:[PE]],MATCH(NG$1,PortfolioRef[Reference '#]),0),AssetMonthlyReturns[[#This Row],[SPY]:[PE]])</f>
        <v>2.2344533665070825E-2</v>
      </c>
      <c r="NH90" s="27">
        <f>IF(ISNUMBER(NH89),NH89*(1+PortfolioFrontier[[#This Row],[P93 Return]]),1+PortfolioFrontier[[#This Row],[P93 Return]])</f>
        <v>1.6499838323690084</v>
      </c>
      <c r="NI90" s="27">
        <f>MAX(NI89,PortfolioFrontier[[#This Row],[P93 Growth]])</f>
        <v>1.7037793193389816</v>
      </c>
      <c r="NJ90" s="27">
        <f>PortfolioFrontier[[#This Row],[P93 Growth]]/PortfolioFrontier[[#This Row],[P93 HWM]]-1</f>
        <v>-3.1574210556120863E-2</v>
      </c>
      <c r="NK90" s="28">
        <f>SUMPRODUCT(INDEX(PortfolioRef[[SPY]:[PE]],MATCH(NK$1,PortfolioRef[Reference '#]),0),AssetMonthlyReturns[[#This Row],[SPY]:[PE]])</f>
        <v>2.5186025719171251E-2</v>
      </c>
      <c r="NL90" s="27">
        <f>IF(ISNUMBER(NL89),NL89*(1+PortfolioFrontier[[#This Row],[P94 Return]]),1+PortfolioFrontier[[#This Row],[P94 Return]])</f>
        <v>1.6480673703249737</v>
      </c>
      <c r="NM90" s="27">
        <f>MAX(NM89,PortfolioFrontier[[#This Row],[P94 Growth]])</f>
        <v>1.7868313973018393</v>
      </c>
      <c r="NN90" s="27">
        <f>PortfolioFrontier[[#This Row],[P94 Growth]]/PortfolioFrontier[[#This Row],[P94 HWM]]-1</f>
        <v>-7.7659272825854053E-2</v>
      </c>
      <c r="NO90" s="28">
        <f>SUMPRODUCT(INDEX(PortfolioRef[[SPY]:[PE]],MATCH(NO$1,PortfolioRef[Reference '#]),0),AssetMonthlyReturns[[#This Row],[SPY]:[PE]])</f>
        <v>2.3989776853558801E-2</v>
      </c>
      <c r="NP90" s="27">
        <f>IF(ISNUMBER(NP89),NP89*(1+PortfolioFrontier[[#This Row],[P95 Return]]),1+PortfolioFrontier[[#This Row],[P95 Return]])</f>
        <v>1.6461977242927512</v>
      </c>
      <c r="NQ90" s="27">
        <f>MAX(NQ89,PortfolioFrontier[[#This Row],[P95 Growth]])</f>
        <v>1.7550294195356591</v>
      </c>
      <c r="NR90" s="27">
        <f>PortfolioFrontier[[#This Row],[P95 Growth]]/PortfolioFrontier[[#This Row],[P95 HWM]]-1</f>
        <v>-6.2011322449342265E-2</v>
      </c>
      <c r="NS90" s="28">
        <f>SUMPRODUCT(INDEX(PortfolioRef[[SPY]:[PE]],MATCH(NS$1,PortfolioRef[Reference '#]),0),AssetMonthlyReturns[[#This Row],[SPY]:[PE]])</f>
        <v>2.2793527987946354E-2</v>
      </c>
      <c r="NT90" s="27">
        <f>IF(ISNUMBER(NT89),NT89*(1+PortfolioFrontier[[#This Row],[P96 Return]]),1+PortfolioFrontier[[#This Row],[P96 Return]])</f>
        <v>1.6432121528730297</v>
      </c>
      <c r="NU90" s="27">
        <f>MAX(NU89,PortfolioFrontier[[#This Row],[P96 Growth]])</f>
        <v>1.7230343324336159</v>
      </c>
      <c r="NV90" s="27">
        <f>PortfolioFrontier[[#This Row],[P96 Growth]]/PortfolioFrontier[[#This Row],[P96 HWM]]-1</f>
        <v>-4.6326517155259039E-2</v>
      </c>
      <c r="NW90" s="28">
        <f>SUMPRODUCT(INDEX(PortfolioRef[[SPY]:[PE]],MATCH(NW$1,PortfolioRef[Reference '#]),0),AssetMonthlyReturns[[#This Row],[SPY]:[PE]])</f>
        <v>1.5349156397022329E-2</v>
      </c>
      <c r="NX90" s="27">
        <f>IF(ISNUMBER(NX89),NX89*(1+PortfolioFrontier[[#This Row],[P97 Return]]),1+PortfolioFrontier[[#This Row],[P97 Return]])</f>
        <v>1.4637315196570577</v>
      </c>
      <c r="NY90" s="27">
        <f>MAX(NY89,PortfolioFrontier[[#This Row],[P97 Growth]])</f>
        <v>1.5498139523617234</v>
      </c>
      <c r="NZ90" s="27">
        <f>PortfolioFrontier[[#This Row],[P97 Growth]]/PortfolioFrontier[[#This Row],[P97 HWM]]-1</f>
        <v>-5.5543720311387546E-2</v>
      </c>
      <c r="OA90" s="28">
        <f>SUMPRODUCT(INDEX(PortfolioRef[[SPY]:[PE]],MATCH(OA$1,PortfolioRef[Reference '#]),0),AssetMonthlyReturns[[#This Row],[SPY]:[PE]])</f>
        <v>1.6500450086330075E-2</v>
      </c>
      <c r="OB90" s="27">
        <f>IF(ISNUMBER(OB89),OB89*(1+PortfolioFrontier[[#This Row],[P98 Return]]),1+PortfolioFrontier[[#This Row],[P98 Return]])</f>
        <v>1.4916415979073339</v>
      </c>
      <c r="OC90" s="27">
        <f>MAX(OC89,PortfolioFrontier[[#This Row],[P98 Growth]])</f>
        <v>1.5643918723292729</v>
      </c>
      <c r="OD90" s="27">
        <f>PortfolioFrontier[[#This Row],[P98 Growth]]/PortfolioFrontier[[#This Row],[P98 HWM]]-1</f>
        <v>-4.6503868825154893E-2</v>
      </c>
      <c r="OE90" s="28">
        <f>SUMPRODUCT(INDEX(PortfolioRef[[SPY]:[PE]],MATCH(OE$1,PortfolioRef[Reference '#]),0),AssetMonthlyReturns[[#This Row],[SPY]:[PE]])</f>
        <v>1.6949444409205608E-2</v>
      </c>
      <c r="OF90" s="27">
        <f>IF(ISNUMBER(OF89),OF89*(1+PortfolioFrontier[[#This Row],[P99 Return]]),1+PortfolioFrontier[[#This Row],[P99 Return]])</f>
        <v>1.4874820258758812</v>
      </c>
      <c r="OG90" s="27">
        <f>MAX(OG89,PortfolioFrontier[[#This Row],[P99 Growth]])</f>
        <v>1.5836627563813395</v>
      </c>
      <c r="OH90" s="27">
        <f>PortfolioFrontier[[#This Row],[P99 Growth]]/PortfolioFrontier[[#This Row],[P99 HWM]]-1</f>
        <v>-6.0733088606080954E-2</v>
      </c>
      <c r="OI90" s="28">
        <f>SUMPRODUCT(INDEX(PortfolioRef[[SPY]:[PE]],MATCH(OI$1,PortfolioRef[Reference '#]),0),AssetMonthlyReturns[[#This Row],[SPY]:[PE]])</f>
        <v>1.5753195543593158E-2</v>
      </c>
      <c r="OJ90" s="27">
        <f>IF(ISNUMBER(OJ89),OJ89*(1+PortfolioFrontier[[#This Row],[P100 Return]]),1+PortfolioFrontier[[#This Row],[P100 Return]])</f>
        <v>1.4820562686258354</v>
      </c>
      <c r="OK90" s="27">
        <f>MAX(OK89,PortfolioFrontier[[#This Row],[P100 Growth]])</f>
        <v>1.5528062347399851</v>
      </c>
      <c r="OL90" s="27">
        <f>PortfolioFrontier[[#This Row],[P100 Growth]]/PortfolioFrontier[[#This Row],[P100 HWM]]-1</f>
        <v>-4.5562649435134883E-2</v>
      </c>
      <c r="OM90" s="28">
        <f>SUMPRODUCT(INDEX(PortfolioRef[[SPY]:[PE]],MATCH(OM$1,PortfolioRef[Reference '#]),0),AssetMonthlyReturns[[#This Row],[SPY]:[PE]])</f>
        <v>1.7651743775637829E-2</v>
      </c>
      <c r="ON90" s="27">
        <f>IF(ISNUMBER(ON89),ON89*(1+PortfolioFrontier[[#This Row],[P101 Return]]),1+PortfolioFrontier[[#This Row],[P101 Return]])</f>
        <v>1.5197052021682016</v>
      </c>
      <c r="OO90" s="27">
        <f>MAX(OO89,PortfolioFrontier[[#This Row],[P101 Growth]])</f>
        <v>1.5787921813488919</v>
      </c>
      <c r="OP90" s="27">
        <f>PortfolioFrontier[[#This Row],[P101 Growth]]/PortfolioFrontier[[#This Row],[P101 HWM]]-1</f>
        <v>-3.7425431845125701E-2</v>
      </c>
      <c r="OQ90" s="28">
        <f>SUMPRODUCT(INDEX(PortfolioRef[[SPY]:[PE]],MATCH(OQ$1,PortfolioRef[Reference '#]),0),AssetMonthlyReturns[[#This Row],[SPY]:[PE]])</f>
        <v>1.8100738098513355E-2</v>
      </c>
      <c r="OR90" s="27">
        <f>IF(ISNUMBER(OR89),OR89*(1+PortfolioFrontier[[#This Row],[P102 Return]]),1+PortfolioFrontier[[#This Row],[P102 Return]])</f>
        <v>1.5158190376486775</v>
      </c>
      <c r="OS90" s="27">
        <f>MAX(OS89,PortfolioFrontier[[#This Row],[P102 Growth]])</f>
        <v>1.5985203886251573</v>
      </c>
      <c r="OT90" s="27">
        <f>PortfolioFrontier[[#This Row],[P102 Growth]]/PortfolioFrontier[[#This Row],[P102 HWM]]-1</f>
        <v>-5.1736187767744912E-2</v>
      </c>
      <c r="OU90" s="28">
        <f>SUMPRODUCT(INDEX(PortfolioRef[[SPY]:[PE]],MATCH(OU$1,PortfolioRef[Reference '#]),0),AssetMonthlyReturns[[#This Row],[SPY]:[PE]])</f>
        <v>1.6904489232900902E-2</v>
      </c>
      <c r="OV90" s="27">
        <f>IF(ISNUMBER(OV89),OV89*(1+PortfolioFrontier[[#This Row],[P103 Return]]),1+PortfolioFrontier[[#This Row],[P103 Return]])</f>
        <v>1.510323617076675</v>
      </c>
      <c r="OW90" s="27">
        <f>MAX(OW89,PortfolioFrontier[[#This Row],[P103 Growth]])</f>
        <v>1.5674355228105428</v>
      </c>
      <c r="OX90" s="27">
        <f>PortfolioFrontier[[#This Row],[P103 Growth]]/PortfolioFrontier[[#This Row],[P103 HWM]]-1</f>
        <v>-3.6436526353225251E-2</v>
      </c>
      <c r="OY90" s="28">
        <f>SUMPRODUCT(INDEX(PortfolioRef[[SPY]:[PE]],MATCH(OY$1,PortfolioRef[Reference '#]),0),AssetMonthlyReturns[[#This Row],[SPY]:[PE]])</f>
        <v>1.8549732421388885E-2</v>
      </c>
      <c r="OZ90" s="27">
        <f>IF(ISNUMBER(OZ89),OZ89*(1+PortfolioFrontier[[#This Row],[P104 Return]]),1+PortfolioFrontier[[#This Row],[P104 Return]])</f>
        <v>1.5108433216968804</v>
      </c>
      <c r="PA90" s="27">
        <f>MAX(PA89,PortfolioFrontier[[#This Row],[P104 Growth]])</f>
        <v>1.6176462594840681</v>
      </c>
      <c r="PB90" s="27">
        <f>PortfolioFrontier[[#This Row],[P104 Growth]]/PortfolioFrontier[[#This Row],[P104 HWM]]-1</f>
        <v>-6.602366689318806E-2</v>
      </c>
      <c r="PC90" s="28">
        <f>SUMPRODUCT(INDEX(PortfolioRef[[SPY]:[PE]],MATCH(PC$1,PortfolioRef[Reference '#]),0),AssetMonthlyReturns[[#This Row],[SPY]:[PE]])</f>
        <v>1.7353483555776435E-2</v>
      </c>
      <c r="PD90" s="27">
        <f>IF(ISNUMBER(PD89),PD89*(1+PortfolioFrontier[[#This Row],[P105 Return]]),1+PortfolioFrontier[[#This Row],[P105 Return]])</f>
        <v>1.5061413050410086</v>
      </c>
      <c r="PE90" s="27">
        <f>MAX(PE89,PortfolioFrontier[[#This Row],[P105 Growth]])</f>
        <v>1.5867085542337835</v>
      </c>
      <c r="PF90" s="27">
        <f>PortfolioFrontier[[#This Row],[P105 Growth]]/PortfolioFrontier[[#This Row],[P105 HWM]]-1</f>
        <v>-5.0776337581214248E-2</v>
      </c>
      <c r="PG90" s="28">
        <f>SUMPRODUCT(INDEX(PortfolioRef[[SPY]:[PE]],MATCH(PG$1,PortfolioRef[Reference '#]),0),AssetMonthlyReturns[[#This Row],[SPY]:[PE]])</f>
        <v>1.6157234690163988E-2</v>
      </c>
      <c r="PH90" s="27">
        <f>IF(ISNUMBER(PH89),PH89*(1+PortfolioFrontier[[#This Row],[P106 Return]]),1+PortfolioFrontier[[#This Row],[P106 Return]])</f>
        <v>1.500446169589752</v>
      </c>
      <c r="PI90" s="27">
        <f>MAX(PI89,PortfolioFrontier[[#This Row],[P106 Growth]])</f>
        <v>1.5556887430167754</v>
      </c>
      <c r="PJ90" s="27">
        <f>PortfolioFrontier[[#This Row],[P106 Growth]]/PortfolioFrontier[[#This Row],[P106 HWM]]-1</f>
        <v>-3.5510042529392827E-2</v>
      </c>
      <c r="PK90" s="28">
        <f>SUMPRODUCT(INDEX(PortfolioRef[[SPY]:[PE]],MATCH(PK$1,PortfolioRef[Reference '#]),0),AssetMonthlyReturns[[#This Row],[SPY]:[PE]])</f>
        <v>1.9252031787821103E-2</v>
      </c>
      <c r="PL90" s="27">
        <f>IF(ISNUMBER(PL89),PL89*(1+PortfolioFrontier[[#This Row],[P107 Return]]),1+PortfolioFrontier[[#This Row],[P107 Return]])</f>
        <v>1.5443116150306135</v>
      </c>
      <c r="PM90" s="27">
        <f>MAX(PM89,PortfolioFrontier[[#This Row],[P107 Growth]])</f>
        <v>1.6131964012798079</v>
      </c>
      <c r="PN90" s="27">
        <f>PortfolioFrontier[[#This Row],[P107 Growth]]/PortfolioFrontier[[#This Row],[P107 HWM]]-1</f>
        <v>-4.2700805800549468E-2</v>
      </c>
      <c r="PO90" s="28">
        <f>SUMPRODUCT(INDEX(PortfolioRef[[SPY]:[PE]],MATCH(PO$1,PortfolioRef[Reference '#]),0),AssetMonthlyReturns[[#This Row],[SPY]:[PE]])</f>
        <v>1.8055782922208649E-2</v>
      </c>
      <c r="PP90" s="27">
        <f>IF(ISNUMBER(PP89),PP89*(1+PortfolioFrontier[[#This Row],[P108 Return]]),1+PortfolioFrontier[[#This Row],[P108 Return]])</f>
        <v>1.5387469479330067</v>
      </c>
      <c r="PQ90" s="27">
        <f>MAX(PQ89,PortfolioFrontier[[#This Row],[P108 Growth]])</f>
        <v>1.5818874318633449</v>
      </c>
      <c r="PR90" s="27">
        <f>PortfolioFrontier[[#This Row],[P108 Growth]]/PortfolioFrontier[[#This Row],[P108 HWM]]-1</f>
        <v>-2.7271525812378461E-2</v>
      </c>
      <c r="PS90" s="28">
        <f>SUMPRODUCT(INDEX(PortfolioRef[[SPY]:[PE]],MATCH(PS$1,PortfolioRef[Reference '#]),0),AssetMonthlyReturns[[#This Row],[SPY]:[PE]])</f>
        <v>1.9701026110696629E-2</v>
      </c>
      <c r="PT90" s="27">
        <f>IF(ISNUMBER(PT89),PT89*(1+PortfolioFrontier[[#This Row],[P109 Return]]),1+PortfolioFrontier[[#This Row],[P109 Return]])</f>
        <v>1.5395995244413541</v>
      </c>
      <c r="PU90" s="27">
        <f>MAX(PU89,PortfolioFrontier[[#This Row],[P109 Growth]])</f>
        <v>1.6327835279326679</v>
      </c>
      <c r="PV90" s="27">
        <f>PortfolioFrontier[[#This Row],[P109 Growth]]/PortfolioFrontier[[#This Row],[P109 HWM]]-1</f>
        <v>-5.707064157445163E-2</v>
      </c>
      <c r="PW90" s="28">
        <f>SUMPRODUCT(INDEX(PortfolioRef[[SPY]:[PE]],MATCH(PW$1,PortfolioRef[Reference '#]),0),AssetMonthlyReturns[[#This Row],[SPY]:[PE]])</f>
        <v>1.8504777245084179E-2</v>
      </c>
      <c r="PX90" s="27">
        <f>IF(ISNUMBER(PX89),PX89*(1+PortfolioFrontier[[#This Row],[P110 Return]]),1+PortfolioFrontier[[#This Row],[P110 Return]])</f>
        <v>1.5348417037648614</v>
      </c>
      <c r="PY90" s="27">
        <f>MAX(PY89,PortfolioFrontier[[#This Row],[P110 Growth]])</f>
        <v>1.6016185143364081</v>
      </c>
      <c r="PZ90" s="27">
        <f>PortfolioFrontier[[#This Row],[P110 Growth]]/PortfolioFrontier[[#This Row],[P110 HWM]]-1</f>
        <v>-4.1693330823672548E-2</v>
      </c>
      <c r="QA90" s="28">
        <f>SUMPRODUCT(INDEX(PortfolioRef[[SPY]:[PE]],MATCH(QA$1,PortfolioRef[Reference '#]),0),AssetMonthlyReturns[[#This Row],[SPY]:[PE]])</f>
        <v>1.7308528379471732E-2</v>
      </c>
      <c r="QB90" s="27">
        <f>IF(ISNUMBER(QB89),QB89*(1+PortfolioFrontier[[#This Row],[P111 Return]]),1+PortfolioFrontier[[#This Row],[P111 Return]])</f>
        <v>1.5290723723145034</v>
      </c>
      <c r="QC90" s="27">
        <f>MAX(QC89,PortfolioFrontier[[#This Row],[P111 Growth]])</f>
        <v>1.5703684845094485</v>
      </c>
      <c r="QD90" s="27">
        <f>PortfolioFrontier[[#This Row],[P111 Growth]]/PortfolioFrontier[[#This Row],[P111 HWM]]-1</f>
        <v>-2.6297084157190787E-2</v>
      </c>
      <c r="QE90" s="28">
        <f>SUMPRODUCT(INDEX(PortfolioRef[[SPY]:[PE]],MATCH(QE$1,PortfolioRef[Reference '#]),0),AssetMonthlyReturns[[#This Row],[SPY]:[PE]])</f>
        <v>2.0150020433572162E-2</v>
      </c>
      <c r="QF90" s="27">
        <f>IF(ISNUMBER(QF89),QF89*(1+PortfolioFrontier[[#This Row],[P112 Return]]),1+PortfolioFrontier[[#This Row],[P112 Return]])</f>
        <v>1.5337821770542108</v>
      </c>
      <c r="QG90" s="27">
        <f>MAX(QG89,PortfolioFrontier[[#This Row],[P112 Growth]])</f>
        <v>1.6517386955477045</v>
      </c>
      <c r="QH90" s="27">
        <f>PortfolioFrontier[[#This Row],[P112 Growth]]/PortfolioFrontier[[#This Row],[P112 HWM]]-1</f>
        <v>-7.1413546713803955E-2</v>
      </c>
      <c r="QI90" s="28">
        <f>SUMPRODUCT(INDEX(PortfolioRef[[SPY]:[PE]],MATCH(QI$1,PortfolioRef[Reference '#]),0),AssetMonthlyReturns[[#This Row],[SPY]:[PE]])</f>
        <v>1.8953771567959708E-2</v>
      </c>
      <c r="QJ90" s="27">
        <f>IF(ISNUMBER(QJ89),QJ89*(1+PortfolioFrontier[[#This Row],[P113 Return]]),1+PortfolioFrontier[[#This Row],[P113 Return]])</f>
        <v>1.5298336692610375</v>
      </c>
      <c r="QK90" s="27">
        <f>MAX(QK89,PortfolioFrontier[[#This Row],[P113 Growth]])</f>
        <v>1.6207454292109018</v>
      </c>
      <c r="QL90" s="27">
        <f>PortfolioFrontier[[#This Row],[P113 Growth]]/PortfolioFrontier[[#This Row],[P113 HWM]]-1</f>
        <v>-5.6092559825466792E-2</v>
      </c>
      <c r="QM90" s="28">
        <f>SUMPRODUCT(INDEX(PortfolioRef[[SPY]:[PE]],MATCH(QM$1,PortfolioRef[Reference '#]),0),AssetMonthlyReturns[[#This Row],[SPY]:[PE]])</f>
        <v>1.7757522702347261E-2</v>
      </c>
      <c r="QN90" s="27">
        <f>IF(ISNUMBER(QN89),QN89*(1+PortfolioFrontier[[#This Row],[P114 Return]]),1+PortfolioFrontier[[#This Row],[P114 Return]])</f>
        <v>1.524867658056029</v>
      </c>
      <c r="QO90" s="27">
        <f>MAX(QO89,PortfolioFrontier[[#This Row],[P114 Growth]])</f>
        <v>1.5896421022161857</v>
      </c>
      <c r="QP90" s="27">
        <f>PortfolioFrontier[[#This Row],[P114 Growth]]/PortfolioFrontier[[#This Row],[P114 HWM]]-1</f>
        <v>-4.0747816171861628E-2</v>
      </c>
      <c r="QQ90" s="28">
        <f>SUMPRODUCT(INDEX(PortfolioRef[[SPY]:[PE]],MATCH(QQ$1,PortfolioRef[Reference '#]),0),AssetMonthlyReturns[[#This Row],[SPY]:[PE]])</f>
        <v>2.085231980000438E-2</v>
      </c>
      <c r="QR90" s="27">
        <f>IF(ISNUMBER(QR89),QR89*(1+PortfolioFrontier[[#This Row],[P115 Return]]),1+PortfolioFrontier[[#This Row],[P115 Return]])</f>
        <v>1.5685132871752423</v>
      </c>
      <c r="QS90" s="27">
        <f>MAX(QS89,PortfolioFrontier[[#This Row],[P115 Growth]])</f>
        <v>1.6477351477866757</v>
      </c>
      <c r="QT90" s="27">
        <f>PortfolioFrontier[[#This Row],[P115 Growth]]/PortfolioFrontier[[#This Row],[P115 HWM]]-1</f>
        <v>-4.8079244238886543E-2</v>
      </c>
      <c r="QU90" s="28">
        <f>SUMPRODUCT(INDEX(PortfolioRef[[SPY]:[PE]],MATCH(QU$1,PortfolioRef[Reference '#]),0),AssetMonthlyReturns[[#This Row],[SPY]:[PE]])</f>
        <v>1.965607093439193E-2</v>
      </c>
      <c r="QV90" s="27">
        <f>IF(ISNUMBER(QV89),QV89*(1+PortfolioFrontier[[#This Row],[P116 Return]]),1+PortfolioFrontier[[#This Row],[P116 Return]])</f>
        <v>1.5637001602010927</v>
      </c>
      <c r="QW90" s="27">
        <f>MAX(QW89,PortfolioFrontier[[#This Row],[P116 Growth]])</f>
        <v>1.6163470917094751</v>
      </c>
      <c r="QX90" s="27">
        <f>PortfolioFrontier[[#This Row],[P116 Growth]]/PortfolioFrontier[[#This Row],[P116 HWM]]-1</f>
        <v>-3.2571550862075194E-2</v>
      </c>
      <c r="QY90" s="28">
        <f>SUMPRODUCT(INDEX(PortfolioRef[[SPY]:[PE]],MATCH(QY$1,PortfolioRef[Reference '#]),0),AssetMonthlyReturns[[#This Row],[SPY]:[PE]])</f>
        <v>1.8459822068779479E-2</v>
      </c>
      <c r="QZ90" s="27">
        <f>IF(ISNUMBER(QZ89),QZ89*(1+PortfolioFrontier[[#This Row],[P117 Return]]),1+PortfolioFrontier[[#This Row],[P117 Return]])</f>
        <v>1.5578570365940287</v>
      </c>
      <c r="RA90" s="27">
        <f>MAX(RA89,PortfolioFrontier[[#This Row],[P117 Growth]])</f>
        <v>1.5848710929942145</v>
      </c>
      <c r="RB90" s="27">
        <f>PortfolioFrontier[[#This Row],[P117 Growth]]/PortfolioFrontier[[#This Row],[P117 HWM]]-1</f>
        <v>-1.7044954961699443E-2</v>
      </c>
      <c r="RC90" s="28">
        <f>SUMPRODUCT(INDEX(PortfolioRef[[SPY]:[PE]],MATCH(RC$1,PortfolioRef[Reference '#]),0),AssetMonthlyReturns[[#This Row],[SPY]:[PE]])</f>
        <v>2.1301314122879906E-2</v>
      </c>
      <c r="RD90" s="27">
        <f>IF(ISNUMBER(RD89),RD89*(1+PortfolioFrontier[[#This Row],[P118 Return]]),1+PortfolioFrontier[[#This Row],[P118 Return]])</f>
        <v>1.5629492392560824</v>
      </c>
      <c r="RE90" s="27">
        <f>MAX(RE89,PortfolioFrontier[[#This Row],[P118 Growth]])</f>
        <v>1.667155293527623</v>
      </c>
      <c r="RF90" s="27">
        <f>PortfolioFrontier[[#This Row],[P118 Growth]]/PortfolioFrontier[[#This Row],[P118 HWM]]-1</f>
        <v>-6.2505307499606366E-2</v>
      </c>
      <c r="RG90" s="28">
        <f>SUMPRODUCT(INDEX(PortfolioRef[[SPY]:[PE]],MATCH(RG$1,PortfolioRef[Reference '#]),0),AssetMonthlyReturns[[#This Row],[SPY]:[PE]])</f>
        <v>2.0105065257267456E-2</v>
      </c>
      <c r="RH90" s="27">
        <f>IF(ISNUMBER(RH89),RH89*(1+PortfolioFrontier[[#This Row],[P119 Return]]),1+PortfolioFrontier[[#This Row],[P119 Return]])</f>
        <v>1.5589593009613147</v>
      </c>
      <c r="RI90" s="27">
        <f>MAX(RI89,PortfolioFrontier[[#This Row],[P119 Growth]])</f>
        <v>1.6359359857167841</v>
      </c>
      <c r="RJ90" s="27">
        <f>PortfolioFrontier[[#This Row],[P119 Growth]]/PortfolioFrontier[[#This Row],[P119 HWM]]-1</f>
        <v>-4.7053604436570917E-2</v>
      </c>
      <c r="RK90" s="28">
        <f>SUMPRODUCT(INDEX(PortfolioRef[[SPY]:[PE]],MATCH(RK$1,PortfolioRef[Reference '#]),0),AssetMonthlyReturns[[#This Row],[SPY]:[PE]])</f>
        <v>1.8908816391655005E-2</v>
      </c>
      <c r="RL90" s="27">
        <f>IF(ISNUMBER(RL89),RL89*(1+PortfolioFrontier[[#This Row],[P120 Return]]),1+PortfolioFrontier[[#This Row],[P120 Return]])</f>
        <v>1.5539330673536993</v>
      </c>
      <c r="RM90" s="27">
        <f>MAX(RM89,PortfolioFrontier[[#This Row],[P120 Growth]])</f>
        <v>1.6046034567476111</v>
      </c>
      <c r="RN90" s="27">
        <f>PortfolioFrontier[[#This Row],[P120 Growth]]/PortfolioFrontier[[#This Row],[P120 HWM]]-1</f>
        <v>-3.1578138000909028E-2</v>
      </c>
      <c r="RO90" s="28">
        <f>SUMPRODUCT(INDEX(PortfolioRef[[SPY]:[PE]],MATCH(RO$1,PortfolioRef[Reference '#]),0),AssetMonthlyReturns[[#This Row],[SPY]:[PE]])</f>
        <v>2.1750308445755435E-2</v>
      </c>
      <c r="RP90" s="27">
        <f>IF(ISNUMBER(RP89),RP89*(1+PortfolioFrontier[[#This Row],[P121 Return]]),1+PortfolioFrontier[[#This Row],[P121 Return]])</f>
        <v>1.5562651989024767</v>
      </c>
      <c r="RQ90" s="27">
        <f>MAX(RQ89,PortfolioFrontier[[#This Row],[P121 Growth]])</f>
        <v>1.6859132740659151</v>
      </c>
      <c r="RR90" s="27">
        <f>PortfolioFrontier[[#This Row],[P121 Growth]]/PortfolioFrontier[[#This Row],[P121 HWM]]-1</f>
        <v>-7.6900797424037215E-2</v>
      </c>
      <c r="RS90" s="28">
        <f>SUMPRODUCT(INDEX(PortfolioRef[[SPY]:[PE]],MATCH(RS$1,PortfolioRef[Reference '#]),0),AssetMonthlyReturns[[#This Row],[SPY]:[PE]])</f>
        <v>2.0554059580142985E-2</v>
      </c>
      <c r="RT90" s="27">
        <f>IF(ISNUMBER(RT89),RT89*(1+PortfolioFrontier[[#This Row],[P122 Return]]),1+PortfolioFrontier[[#This Row],[P122 Return]])</f>
        <v>1.5530997052844078</v>
      </c>
      <c r="RU90" s="27">
        <f>MAX(RU89,PortfolioFrontier[[#This Row],[P122 Growth]])</f>
        <v>1.6548910536150563</v>
      </c>
      <c r="RV90" s="27">
        <f>PortfolioFrontier[[#This Row],[P122 Growth]]/PortfolioFrontier[[#This Row],[P122 HWM]]-1</f>
        <v>-6.1509395502675868E-2</v>
      </c>
      <c r="RW90" s="28">
        <f>SUMPRODUCT(INDEX(PortfolioRef[[SPY]:[PE]],MATCH(RW$1,PortfolioRef[Reference '#]),0),AssetMonthlyReturns[[#This Row],[SPY]:[PE]])</f>
        <v>1.9357810714530539E-2</v>
      </c>
      <c r="RX90" s="27">
        <f>IF(ISNUMBER(RX89),RX89*(1+PortfolioFrontier[[#This Row],[P123 Return]]),1+PortfolioFrontier[[#This Row],[P123 Return]])</f>
        <v>1.5488930226585773</v>
      </c>
      <c r="RY90" s="27">
        <f>MAX(RY89,PortfolioFrontier[[#This Row],[P123 Growth]])</f>
        <v>1.6237298558231279</v>
      </c>
      <c r="RZ90" s="27">
        <f>PortfolioFrontier[[#This Row],[P123 Growth]]/PortfolioFrontier[[#This Row],[P123 HWM]]-1</f>
        <v>-4.6089460568927598E-2</v>
      </c>
      <c r="SA90" s="28">
        <f>SUMPRODUCT(INDEX(PortfolioRef[[SPY]:[PE]],MATCH(SA$1,PortfolioRef[Reference '#]),0),AssetMonthlyReturns[[#This Row],[SPY]:[PE]])</f>
        <v>2.2452607812187653E-2</v>
      </c>
      <c r="SB90" s="27">
        <f>IF(ISNUMBER(SB89),SB89*(1+PortfolioFrontier[[#This Row],[P124 Return]]),1+PortfolioFrontier[[#This Row],[P124 Return]])</f>
        <v>1.5922758079633526</v>
      </c>
      <c r="SC90" s="27">
        <f>MAX(SC89,PortfolioFrontier[[#This Row],[P124 Growth]])</f>
        <v>1.6823821965094672</v>
      </c>
      <c r="SD90" s="27">
        <f>PortfolioFrontier[[#This Row],[P124 Growth]]/PortfolioFrontier[[#This Row],[P124 HWM]]-1</f>
        <v>-5.3558810080767238E-2</v>
      </c>
      <c r="SE90" s="28">
        <f>SUMPRODUCT(INDEX(PortfolioRef[[SPY]:[PE]],MATCH(SE$1,PortfolioRef[Reference '#]),0),AssetMonthlyReturns[[#This Row],[SPY]:[PE]])</f>
        <v>2.1256358946575203E-2</v>
      </c>
      <c r="SF90" s="27">
        <f>IF(ISNUMBER(SF89),SF89*(1+PortfolioFrontier[[#This Row],[P125 Return]]),1+PortfolioFrontier[[#This Row],[P125 Return]])</f>
        <v>1.5882450198337779</v>
      </c>
      <c r="SG90" s="27">
        <f>MAX(SG89,PortfolioFrontier[[#This Row],[P125 Growth]])</f>
        <v>1.6509411354388694</v>
      </c>
      <c r="SH90" s="27">
        <f>PortfolioFrontier[[#This Row],[P125 Growth]]/PortfolioFrontier[[#This Row],[P125 HWM]]-1</f>
        <v>-3.7975984884782155E-2</v>
      </c>
      <c r="SI90" s="28">
        <f>SUMPRODUCT(INDEX(PortfolioRef[[SPY]:[PE]],MATCH(SI$1,PortfolioRef[Reference '#]),0),AssetMonthlyReturns[[#This Row],[SPY]:[PE]])</f>
        <v>2.0060110080962753E-2</v>
      </c>
      <c r="SJ90" s="27">
        <f>IF(ISNUMBER(SJ89),SJ89*(1+PortfolioFrontier[[#This Row],[P126 Return]]),1+PortfolioFrontier[[#This Row],[P126 Return]])</f>
        <v>1.5831590496132852</v>
      </c>
      <c r="SK90" s="27">
        <f>MAX(SK89,PortfolioFrontier[[#This Row],[P126 Growth]])</f>
        <v>1.6193836797956254</v>
      </c>
      <c r="SL90" s="27">
        <f>PortfolioFrontier[[#This Row],[P126 Growth]]/PortfolioFrontier[[#This Row],[P126 HWM]]-1</f>
        <v>-2.2369393142773863E-2</v>
      </c>
      <c r="SM90" s="28">
        <f>SUMPRODUCT(INDEX(PortfolioRef[[SPY]:[PE]],MATCH(SM$1,PortfolioRef[Reference '#]),0),AssetMonthlyReturns[[#This Row],[SPY]:[PE]])</f>
        <v>2.2901602135063183E-2</v>
      </c>
      <c r="SN90" s="27">
        <f>IF(ISNUMBER(SN89),SN89*(1+PortfolioFrontier[[#This Row],[P127 Return]]),1+PortfolioFrontier[[#This Row],[P127 Return]])</f>
        <v>1.5858341986347853</v>
      </c>
      <c r="SO90" s="27">
        <f>MAX(SO89,PortfolioFrontier[[#This Row],[P127 Growth]])</f>
        <v>1.7016086575400751</v>
      </c>
      <c r="SP90" s="27">
        <f>PortfolioFrontier[[#This Row],[P127 Growth]]/PortfolioFrontier[[#This Row],[P127 HWM]]-1</f>
        <v>-6.8038240398152872E-2</v>
      </c>
      <c r="SQ90" s="28">
        <f>SUMPRODUCT(INDEX(PortfolioRef[[SPY]:[PE]],MATCH(SQ$1,PortfolioRef[Reference '#]),0),AssetMonthlyReturns[[#This Row],[SPY]:[PE]])</f>
        <v>2.1705353269450729E-2</v>
      </c>
      <c r="SR90" s="27">
        <f>IF(ISNUMBER(SR89),SR89*(1+PortfolioFrontier[[#This Row],[P128 Return]]),1+PortfolioFrontier[[#This Row],[P128 Return]])</f>
        <v>1.5826421560067034</v>
      </c>
      <c r="SS90" s="27">
        <f>MAX(SS89,PortfolioFrontier[[#This Row],[P128 Growth]])</f>
        <v>1.6703618996398835</v>
      </c>
      <c r="ST90" s="27">
        <f>PortfolioFrontier[[#This Row],[P128 Growth]]/PortfolioFrontier[[#This Row],[P128 HWM]]-1</f>
        <v>-5.2515412170315745E-2</v>
      </c>
      <c r="SU90" s="28">
        <f>SUMPRODUCT(INDEX(PortfolioRef[[SPY]:[PE]],MATCH(SU$1,PortfolioRef[Reference '#]),0),AssetMonthlyReturns[[#This Row],[SPY]:[PE]])</f>
        <v>2.0509104403838286E-2</v>
      </c>
      <c r="SV90" s="27">
        <f>IF(ISNUMBER(SV89),SV89*(1+PortfolioFrontier[[#This Row],[P129 Return]]),1+PortfolioFrontier[[#This Row],[P129 Return]])</f>
        <v>1.5783897465303971</v>
      </c>
      <c r="SW90" s="27">
        <f>MAX(SW89,PortfolioFrontier[[#This Row],[P129 Growth]])</f>
        <v>1.6389727481356613</v>
      </c>
      <c r="SX90" s="27">
        <f>PortfolioFrontier[[#This Row],[P129 Growth]]/PortfolioFrontier[[#This Row],[P129 HWM]]-1</f>
        <v>-3.6964007897128059E-2</v>
      </c>
      <c r="SY90" s="28">
        <f>SUMPRODUCT(INDEX(PortfolioRef[[SPY]:[PE]],MATCH(SY$1,PortfolioRef[Reference '#]),0),AssetMonthlyReturns[[#This Row],[SPY]:[PE]])</f>
        <v>2.3350596457938709E-2</v>
      </c>
      <c r="SZ90" s="27">
        <f>IF(ISNUMBER(SZ89),SZ89*(1+PortfolioFrontier[[#This Row],[P130 Return]]),1+PortfolioFrontier[[#This Row],[P130 Return]])</f>
        <v>1.5782588884449069</v>
      </c>
      <c r="TA90" s="27">
        <f>MAX(TA89,PortfolioFrontier[[#This Row],[P130 Growth]])</f>
        <v>1.720142179322633</v>
      </c>
      <c r="TB90" s="27">
        <f>PortfolioFrontier[[#This Row],[P130 Growth]]/PortfolioFrontier[[#This Row],[P130 HWM]]-1</f>
        <v>-8.2483467112932307E-2</v>
      </c>
      <c r="TC90" s="28">
        <f>SUMPRODUCT(INDEX(PortfolioRef[[SPY]:[PE]],MATCH(TC$1,PortfolioRef[Reference '#]),0),AssetMonthlyReturns[[#This Row],[SPY]:[PE]])</f>
        <v>2.2154347592326262E-2</v>
      </c>
      <c r="TD90" s="27">
        <f>IF(ISNUMBER(TD89),TD89*(1+PortfolioFrontier[[#This Row],[P131 Return]]),1+PortfolioFrontier[[#This Row],[P131 Return]])</f>
        <v>1.5759055893282774</v>
      </c>
      <c r="TE90" s="27">
        <f>MAX(TE89,PortfolioFrontier[[#This Row],[P131 Growth]])</f>
        <v>1.6891185966988822</v>
      </c>
      <c r="TF90" s="27">
        <f>PortfolioFrontier[[#This Row],[P131 Growth]]/PortfolioFrontier[[#This Row],[P131 HWM]]-1</f>
        <v>-6.702490138458117E-2</v>
      </c>
      <c r="TG90" s="28">
        <f>SUMPRODUCT(INDEX(PortfolioRef[[SPY]:[PE]],MATCH(TG$1,PortfolioRef[Reference '#]),0),AssetMonthlyReturns[[#This Row],[SPY]:[PE]])</f>
        <v>2.0958098726713812E-2</v>
      </c>
      <c r="TH90" s="27">
        <f>IF(ISNUMBER(TH89),TH89*(1+PortfolioFrontier[[#This Row],[P132 Return]]),1+PortfolioFrontier[[#This Row],[P132 Return]])</f>
        <v>1.5724881794825019</v>
      </c>
      <c r="TI90" s="27">
        <f>MAX(TI89,PortfolioFrontier[[#This Row],[P132 Growth]])</f>
        <v>1.6579261593145806</v>
      </c>
      <c r="TJ90" s="27">
        <f>PortfolioFrontier[[#This Row],[P132 Growth]]/PortfolioFrontier[[#This Row],[P132 HWM]]-1</f>
        <v>-5.1533042863260325E-2</v>
      </c>
      <c r="TK90" s="28">
        <f>SUMPRODUCT(INDEX(PortfolioRef[[SPY]:[PE]],MATCH(TK$1,PortfolioRef[Reference '#]),0),AssetMonthlyReturns[[#This Row],[SPY]:[PE]])</f>
        <v>2.405289582437093E-2</v>
      </c>
      <c r="TL90" s="27">
        <f>IF(ISNUMBER(TL89),TL89*(1+PortfolioFrontier[[#This Row],[P133 Return]]),1+PortfolioFrontier[[#This Row],[P133 Return]])</f>
        <v>1.6155646008908875</v>
      </c>
      <c r="TM90" s="27">
        <f>MAX(TM89,PortfolioFrontier[[#This Row],[P133 Growth]])</f>
        <v>1.7171102853087914</v>
      </c>
      <c r="TN90" s="27">
        <f>PortfolioFrontier[[#This Row],[P133 Growth]]/PortfolioFrontier[[#This Row],[P133 HWM]]-1</f>
        <v>-5.9137543631708422E-2</v>
      </c>
      <c r="TO90" s="28">
        <f>SUMPRODUCT(INDEX(PortfolioRef[[SPY]:[PE]],MATCH(TO$1,PortfolioRef[Reference '#]),0),AssetMonthlyReturns[[#This Row],[SPY]:[PE]])</f>
        <v>2.285664695875848E-2</v>
      </c>
      <c r="TP90" s="27">
        <f>IF(ISNUMBER(TP89),TP89*(1+PortfolioFrontier[[#This Row],[P134 Return]]),1+PortfolioFrontier[[#This Row],[P134 Return]])</f>
        <v>1.6123466748239823</v>
      </c>
      <c r="TQ90" s="27">
        <f>MAX(TQ89,PortfolioFrontier[[#This Row],[P134 Growth]])</f>
        <v>1.6856432974461595</v>
      </c>
      <c r="TR90" s="27">
        <f>PortfolioFrontier[[#This Row],[P134 Growth]]/PortfolioFrontier[[#This Row],[P134 HWM]]-1</f>
        <v>-4.3482878455498586E-2</v>
      </c>
      <c r="TS90" s="28">
        <f>SUMPRODUCT(INDEX(PortfolioRef[[SPY]:[PE]],MATCH(TS$1,PortfolioRef[Reference '#]),0),AssetMonthlyReturns[[#This Row],[SPY]:[PE]])</f>
        <v>2.1660398093146033E-2</v>
      </c>
      <c r="TT90" s="27">
        <f>IF(ISNUMBER(TT89),TT89*(1+PortfolioFrontier[[#This Row],[P135 Return]]),1+PortfolioFrontier[[#This Row],[P135 Return]])</f>
        <v>1.6080491082912634</v>
      </c>
      <c r="TU90" s="27">
        <f>MAX(TU89,PortfolioFrontier[[#This Row],[P135 Growth]])</f>
        <v>1.6540304901705998</v>
      </c>
      <c r="TV90" s="27">
        <f>PortfolioFrontier[[#This Row],[P135 Growth]]/PortfolioFrontier[[#This Row],[P135 HWM]]-1</f>
        <v>-2.7799597499919004E-2</v>
      </c>
      <c r="TW90" s="28">
        <f>SUMPRODUCT(INDEX(PortfolioRef[[SPY]:[PE]],MATCH(TW$1,PortfolioRef[Reference '#]),0),AssetMonthlyReturns[[#This Row],[SPY]:[PE]])</f>
        <v>2.4501890147246456E-2</v>
      </c>
      <c r="TX90" s="27">
        <f>IF(ISNUMBER(TX89),TX89*(1+PortfolioFrontier[[#This Row],[P136 Return]]),1+PortfolioFrontier[[#This Row],[P136 Return]])</f>
        <v>1.6082203129291521</v>
      </c>
      <c r="TY90" s="27">
        <f>MAX(TY89,PortfolioFrontier[[#This Row],[P136 Growth]])</f>
        <v>1.7361155602147582</v>
      </c>
      <c r="TZ90" s="27">
        <f>PortfolioFrontier[[#This Row],[P136 Growth]]/PortfolioFrontier[[#This Row],[P136 HWM]]-1</f>
        <v>-7.3667473650075088E-2</v>
      </c>
      <c r="UA90" s="28">
        <f>SUMPRODUCT(INDEX(PortfolioRef[[SPY]:[PE]],MATCH(UA$1,PortfolioRef[Reference '#]),0),AssetMonthlyReturns[[#This Row],[SPY]:[PE]])</f>
        <v>2.3305641281634006E-2</v>
      </c>
      <c r="UB90" s="27">
        <f>IF(ISNUMBER(UB89),UB89*(1+PortfolioFrontier[[#This Row],[P137 Return]]),1+PortfolioFrontier[[#This Row],[P137 Return]])</f>
        <v>1.6058558469472124</v>
      </c>
      <c r="UC90" s="27">
        <f>MAX(UC89,PortfolioFrontier[[#This Row],[P137 Growth]])</f>
        <v>1.7048691873265751</v>
      </c>
      <c r="UD90" s="27">
        <f>PortfolioFrontier[[#This Row],[P137 Growth]]/PortfolioFrontier[[#This Row],[P137 HWM]]-1</f>
        <v>-5.8076796223073712E-2</v>
      </c>
      <c r="UE90" s="28">
        <f>SUMPRODUCT(INDEX(PortfolioRef[[SPY]:[PE]],MATCH(UE$1,PortfolioRef[Reference '#]),0),AssetMonthlyReturns[[#This Row],[SPY]:[PE]])</f>
        <v>2.2109392416021559E-2</v>
      </c>
      <c r="UF90" s="27">
        <f>IF(ISNUMBER(UF89),UF89*(1+PortfolioFrontier[[#This Row],[P138 Return]]),1+PortfolioFrontier[[#This Row],[P138 Return]])</f>
        <v>1.6024077215362611</v>
      </c>
      <c r="UG90" s="27">
        <f>MAX(UG89,PortfolioFrontier[[#This Row],[P138 Growth]])</f>
        <v>1.6734502822541619</v>
      </c>
      <c r="UH90" s="27">
        <f>PortfolioFrontier[[#This Row],[P138 Growth]]/PortfolioFrontier[[#This Row],[P138 HWM]]-1</f>
        <v>-4.2452746562751442E-2</v>
      </c>
      <c r="UI90" s="28">
        <f>SUMPRODUCT(INDEX(PortfolioRef[[SPY]:[PE]],MATCH(UI$1,PortfolioRef[Reference '#]),0),AssetMonthlyReturns[[#This Row],[SPY]:[PE]])</f>
        <v>2.495088447012199E-2</v>
      </c>
      <c r="UJ90" s="27">
        <f>IF(ISNUMBER(UJ89),UJ89*(1+PortfolioFrontier[[#This Row],[P139 Return]]),1+PortfolioFrontier[[#This Row],[P139 Return]])</f>
        <v>1.599729700055033</v>
      </c>
      <c r="UK90" s="27">
        <f>MAX(UK89,PortfolioFrontier[[#This Row],[P139 Growth]])</f>
        <v>1.7543965710992384</v>
      </c>
      <c r="UL90" s="27">
        <f>PortfolioFrontier[[#This Row],[P139 Growth]]/PortfolioFrontier[[#This Row],[P139 HWM]]-1</f>
        <v>-8.8159583524092811E-2</v>
      </c>
      <c r="UM90" s="28">
        <f>SUMPRODUCT(INDEX(PortfolioRef[[SPY]:[PE]],MATCH(UM$1,PortfolioRef[Reference '#]),0),AssetMonthlyReturns[[#This Row],[SPY]:[PE]])</f>
        <v>2.3754635604509536E-2</v>
      </c>
      <c r="UN90" s="27">
        <f>IF(ISNUMBER(UN89),UN89*(1+PortfolioFrontier[[#This Row],[P140 Return]]),1+PortfolioFrontier[[#This Row],[P140 Return]])</f>
        <v>1.5982173877230399</v>
      </c>
      <c r="UO90" s="27">
        <f>MAX(UO89,PortfolioFrontier[[#This Row],[P140 Growth]])</f>
        <v>1.7234002022793458</v>
      </c>
      <c r="UP90" s="27">
        <f>PortfolioFrontier[[#This Row],[P140 Growth]]/PortfolioFrontier[[#This Row],[P140 HWM]]-1</f>
        <v>-7.2637112604919452E-2</v>
      </c>
      <c r="UQ90" s="28">
        <f>SUMPRODUCT(INDEX(PortfolioRef[[SPY]:[PE]],MATCH(UQ$1,PortfolioRef[Reference '#]),0),AssetMonthlyReturns[[#This Row],[SPY]:[PE]])</f>
        <v>2.2558386738897089E-2</v>
      </c>
      <c r="UR90" s="27">
        <f>IF(ISNUMBER(UR89),UR89*(1+PortfolioFrontier[[#This Row],[P141 Return]]),1+PortfolioFrontier[[#This Row],[P141 Return]])</f>
        <v>1.5956188719648254</v>
      </c>
      <c r="US90" s="27">
        <f>MAX(US89,PortfolioFrontier[[#This Row],[P141 Growth]])</f>
        <v>1.6922041432386774</v>
      </c>
      <c r="UT90" s="27">
        <f>PortfolioFrontier[[#This Row],[P141 Growth]]/PortfolioFrontier[[#This Row],[P141 HWM]]-1</f>
        <v>-5.7076607252006362E-2</v>
      </c>
    </row>
    <row r="91" spans="2:566" x14ac:dyDescent="0.2">
      <c r="B91" s="41">
        <f>AssetMonthlyReturns[[#This Row],[Date]]</f>
        <v>45139</v>
      </c>
      <c r="C91" s="28">
        <f>SUMPRODUCT(INDEX(PortfolioRef[[SPY]:[PE]],MATCH(C$1,PortfolioRef[Reference '#]),0),AssetMonthlyReturns[[#This Row],[SPY]:[PE]])</f>
        <v>-1.20204029545524E-2</v>
      </c>
      <c r="D91" s="29">
        <f>IF(ISNUMBER(D90),D90*(1+PortfolioFrontier[[#This Row],[P1 Return]]),1+PortfolioFrontier[[#This Row],[P1 Return]])</f>
        <v>1.8832190385839966</v>
      </c>
      <c r="E91" s="29">
        <f>MAX(E90,PortfolioFrontier[[#This Row],[P1 Growth]])</f>
        <v>1.9531239567566241</v>
      </c>
      <c r="F91" s="29">
        <f>PortfolioFrontier[[#This Row],[P1 Growth]]/PortfolioFrontier[[#This Row],[P1 HWM]]-1</f>
        <v>-3.5791337221991903E-2</v>
      </c>
      <c r="G91" s="28">
        <f>SUMPRODUCT(INDEX(PortfolioRef[[SPY]:[PE]],MATCH(G$1,PortfolioRef[Reference '#]),0),AssetMonthlyReturns[[#This Row],[SPY]:[PE]])</f>
        <v>-1.15289282377103E-2</v>
      </c>
      <c r="H91" s="27">
        <f>IF(ISNUMBER(H90),H90*(1+PortfolioFrontier[[#This Row],[P2 Return]]),1+PortfolioFrontier[[#This Row],[P2 Return]])</f>
        <v>1.8050466408843677</v>
      </c>
      <c r="I91" s="27">
        <f>MAX(I90,PortfolioFrontier[[#This Row],[P2 Growth]])</f>
        <v>1.880902671218339</v>
      </c>
      <c r="J91" s="27">
        <f>PortfolioFrontier[[#This Row],[P2 Growth]]/PortfolioFrontier[[#This Row],[P2 HWM]]-1</f>
        <v>-4.0329588284776174E-2</v>
      </c>
      <c r="K91" s="28">
        <f>SUMPRODUCT(INDEX(PortfolioRef[[SPY]:[PE]],MATCH(K$1,PortfolioRef[Reference '#]),0),AssetMonthlyReturns[[#This Row],[SPY]:[PE]])</f>
        <v>-1.1846680883483328E-2</v>
      </c>
      <c r="L91" s="27">
        <f>IF(ISNUMBER(L90),L90*(1+PortfolioFrontier[[#This Row],[P3 Return]]),1+PortfolioFrontier[[#This Row],[P3 Return]])</f>
        <v>1.8388382053537189</v>
      </c>
      <c r="M91" s="27">
        <f>MAX(M90,PortfolioFrontier[[#This Row],[P3 Growth]])</f>
        <v>1.8984394560781046</v>
      </c>
      <c r="N91" s="27">
        <f>PortfolioFrontier[[#This Row],[P3 Growth]]/PortfolioFrontier[[#This Row],[P3 HWM]]-1</f>
        <v>-3.1394865152830853E-2</v>
      </c>
      <c r="O91" s="28">
        <f>SUMPRODUCT(INDEX(PortfolioRef[[SPY]:[PE]],MATCH(O$1,PortfolioRef[Reference '#]),0),AssetMonthlyReturns[[#This Row],[SPY]:[PE]])</f>
        <v>-1.2896749218297685E-2</v>
      </c>
      <c r="P91" s="27">
        <f>IF(ISNUMBER(P90),P90*(1+PortfolioFrontier[[#This Row],[P4 Return]]),1+PortfolioFrontier[[#This Row],[P4 Return]])</f>
        <v>1.8284137561876499</v>
      </c>
      <c r="Q91" s="27">
        <f>MAX(Q90,PortfolioFrontier[[#This Row],[P4 Growth]])</f>
        <v>1.9193367929729268</v>
      </c>
      <c r="R91" s="27">
        <f>PortfolioFrontier[[#This Row],[P4 Growth]]/PortfolioFrontier[[#This Row],[P4 HWM]]-1</f>
        <v>-4.7372111615931245E-2</v>
      </c>
      <c r="S91" s="28">
        <f>SUMPRODUCT(INDEX(PortfolioRef[[SPY]:[PE]],MATCH(S$1,PortfolioRef[Reference '#]),0),AssetMonthlyReturns[[#This Row],[SPY]:[PE]])</f>
        <v>-9.93915415909522E-3</v>
      </c>
      <c r="T91" s="27">
        <f>IF(ISNUMBER(T90),T90*(1+PortfolioFrontier[[#This Row],[P5 Return]]),1+PortfolioFrontier[[#This Row],[P5 Return]])</f>
        <v>1.8304339141406507</v>
      </c>
      <c r="U91" s="27">
        <f>MAX(U90,PortfolioFrontier[[#This Row],[P5 Growth]])</f>
        <v>1.8841834525169079</v>
      </c>
      <c r="V91" s="27">
        <f>PortfolioFrontier[[#This Row],[P5 Growth]]/PortfolioFrontier[[#This Row],[P5 HWM]]-1</f>
        <v>-2.8526701210786043E-2</v>
      </c>
      <c r="W91" s="28">
        <f>SUMPRODUCT(INDEX(PortfolioRef[[SPY]:[PE]],MATCH(W$1,PortfolioRef[Reference '#]),0),AssetMonthlyReturns[[#This Row],[SPY]:[PE]])</f>
        <v>-1.10374535208682E-2</v>
      </c>
      <c r="X91" s="27">
        <f>IF(ISNUMBER(X90),X90*(1+PortfolioFrontier[[#This Row],[P6 Return]]),1+PortfolioFrontier[[#This Row],[P6 Return]])</f>
        <v>1.7293429297438749</v>
      </c>
      <c r="Y91" s="27">
        <f>MAX(Y90,PortfolioFrontier[[#This Row],[P6 Growth]])</f>
        <v>1.8107203423144032</v>
      </c>
      <c r="Z91" s="27">
        <f>PortfolioFrontier[[#This Row],[P6 Growth]]/PortfolioFrontier[[#This Row],[P6 HWM]]-1</f>
        <v>-4.4942010463368542E-2</v>
      </c>
      <c r="AA91" s="28">
        <f>SUMPRODUCT(INDEX(PortfolioRef[[SPY]:[PE]],MATCH(AA$1,PortfolioRef[Reference '#]),0),AssetMonthlyReturns[[#This Row],[SPY]:[PE]])</f>
        <v>-1.135520616664123E-2</v>
      </c>
      <c r="AB91" s="27">
        <f>IF(ISNUMBER(AB90),AB90*(1+PortfolioFrontier[[#This Row],[P7 Return]]),1+PortfolioFrontier[[#This Row],[P7 Return]])</f>
        <v>1.7617232978265271</v>
      </c>
      <c r="AC91" s="27">
        <f>MAX(AC90,PortfolioFrontier[[#This Row],[P7 Growth]])</f>
        <v>1.8276317298765399</v>
      </c>
      <c r="AD91" s="27">
        <f>PortfolioFrontier[[#This Row],[P7 Growth]]/PortfolioFrontier[[#This Row],[P7 HWM]]-1</f>
        <v>-3.6062206062960511E-2</v>
      </c>
      <c r="AE91" s="28">
        <f>SUMPRODUCT(INDEX(PortfolioRef[[SPY]:[PE]],MATCH(AE$1,PortfolioRef[Reference '#]),0),AssetMonthlyReturns[[#This Row],[SPY]:[PE]])</f>
        <v>-1.2405274501455586E-2</v>
      </c>
      <c r="AF91" s="27">
        <f>IF(ISNUMBER(AF90),AF90*(1+PortfolioFrontier[[#This Row],[P8 Return]]),1+PortfolioFrontier[[#This Row],[P8 Return]])</f>
        <v>1.7523813940162973</v>
      </c>
      <c r="AG91" s="27">
        <f>MAX(AG90,PortfolioFrontier[[#This Row],[P8 Growth]])</f>
        <v>1.8482324314062795</v>
      </c>
      <c r="AH91" s="27">
        <f>PortfolioFrontier[[#This Row],[P8 Growth]]/PortfolioFrontier[[#This Row],[P8 HWM]]-1</f>
        <v>-5.1860921689947381E-2</v>
      </c>
      <c r="AI91" s="28">
        <f>SUMPRODUCT(INDEX(PortfolioRef[[SPY]:[PE]],MATCH(AI$1,PortfolioRef[Reference '#]),0),AssetMonthlyReturns[[#This Row],[SPY]:[PE]])</f>
        <v>-9.4476794422531218E-3</v>
      </c>
      <c r="AJ91" s="27">
        <f>IF(ISNUMBER(AJ90),AJ90*(1+PortfolioFrontier[[#This Row],[P9 Return]]),1+PortfolioFrontier[[#This Row],[P9 Return]])</f>
        <v>1.7536927335387882</v>
      </c>
      <c r="AK91" s="27">
        <f>MAX(AK90,PortfolioFrontier[[#This Row],[P9 Growth]])</f>
        <v>1.8139467261629987</v>
      </c>
      <c r="AL91" s="27">
        <f>PortfolioFrontier[[#This Row],[P9 Growth]]/PortfolioFrontier[[#This Row],[P9 HWM]]-1</f>
        <v>-3.3217068481203094E-2</v>
      </c>
      <c r="AM91" s="28">
        <f>SUMPRODUCT(INDEX(PortfolioRef[[SPY]:[PE]],MATCH(AM$1,PortfolioRef[Reference '#]),0),AssetMonthlyReturns[[#This Row],[SPY]:[PE]])</f>
        <v>-1.1672958812414256E-2</v>
      </c>
      <c r="AN91" s="27">
        <f>IF(ISNUMBER(AN90),AN90*(1+PortfolioFrontier[[#This Row],[P10 Return]]),1+PortfolioFrontier[[#This Row],[P10 Return]])</f>
        <v>1.7942663467865303</v>
      </c>
      <c r="AO91" s="27">
        <f>MAX(AO90,PortfolioFrontier[[#This Row],[P10 Growth]])</f>
        <v>1.8443368551596837</v>
      </c>
      <c r="AP91" s="27">
        <f>PortfolioFrontier[[#This Row],[P10 Growth]]/PortfolioFrontier[[#This Row],[P10 HWM]]-1</f>
        <v>-2.7148244765091034E-2</v>
      </c>
      <c r="AQ91" s="28">
        <f>SUMPRODUCT(INDEX(PortfolioRef[[SPY]:[PE]],MATCH(AQ$1,PortfolioRef[Reference '#]),0),AssetMonthlyReturns[[#This Row],[SPY]:[PE]])</f>
        <v>-1.2723027147228616E-2</v>
      </c>
      <c r="AR91" s="27">
        <f>IF(ISNUMBER(AR90),AR90*(1+PortfolioFrontier[[#This Row],[P11 Return]]),1+PortfolioFrontier[[#This Row],[P11 Return]])</f>
        <v>1.7851630729590107</v>
      </c>
      <c r="AS91" s="27">
        <f>MAX(AS90,PortfolioFrontier[[#This Row],[P11 Growth]])</f>
        <v>1.865449984246593</v>
      </c>
      <c r="AT91" s="27">
        <f>PortfolioFrontier[[#This Row],[P11 Growth]]/PortfolioFrontier[[#This Row],[P11 HWM]]-1</f>
        <v>-4.3038897834619894E-2</v>
      </c>
      <c r="AU91" s="28">
        <f>SUMPRODUCT(INDEX(PortfolioRef[[SPY]:[PE]],MATCH(AU$1,PortfolioRef[Reference '#]),0),AssetMonthlyReturns[[#This Row],[SPY]:[PE]])</f>
        <v>-9.7654320880261498E-3</v>
      </c>
      <c r="AV91" s="27">
        <f>IF(ISNUMBER(AV90),AV90*(1+PortfolioFrontier[[#This Row],[P12 Return]]),1+PortfolioFrontier[[#This Row],[P12 Return]])</f>
        <v>1.7865389193403292</v>
      </c>
      <c r="AW91" s="27">
        <f>MAX(AW90,PortfolioFrontier[[#This Row],[P12 Growth]])</f>
        <v>1.8309154354259589</v>
      </c>
      <c r="AX91" s="27">
        <f>PortfolioFrontier[[#This Row],[P12 Growth]]/PortfolioFrontier[[#This Row],[P12 HWM]]-1</f>
        <v>-2.4237337905945178E-2</v>
      </c>
      <c r="AY91" s="28">
        <f>SUMPRODUCT(INDEX(PortfolioRef[[SPY]:[PE]],MATCH(AY$1,PortfolioRef[Reference '#]),0),AssetMonthlyReturns[[#This Row],[SPY]:[PE]])</f>
        <v>-1.3773095482042974E-2</v>
      </c>
      <c r="AZ91" s="27">
        <f>IF(ISNUMBER(AZ90),AZ90*(1+PortfolioFrontier[[#This Row],[P13 Return]]),1+PortfolioFrontier[[#This Row],[P13 Return]])</f>
        <v>1.7748049767406964</v>
      </c>
      <c r="BA91" s="27">
        <f>MAX(BA90,PortfolioFrontier[[#This Row],[P13 Growth]])</f>
        <v>1.8858075751364967</v>
      </c>
      <c r="BB91" s="27">
        <f>PortfolioFrontier[[#This Row],[P13 Growth]]/PortfolioFrontier[[#This Row],[P13 HWM]]-1</f>
        <v>-5.8862102294697682E-2</v>
      </c>
      <c r="BC91" s="28">
        <f>SUMPRODUCT(INDEX(PortfolioRef[[SPY]:[PE]],MATCH(BC$1,PortfolioRef[Reference '#]),0),AssetMonthlyReturns[[#This Row],[SPY]:[PE]])</f>
        <v>-1.0815500422840508E-2</v>
      </c>
      <c r="BD91" s="27">
        <f>IF(ISNUMBER(BD90),BD90*(1+PortfolioFrontier[[#This Row],[P14 Return]]),1+PortfolioFrontier[[#This Row],[P14 Return]])</f>
        <v>1.7771036300240486</v>
      </c>
      <c r="BE91" s="27">
        <f>MAX(BE90,PortfolioFrontier[[#This Row],[P14 Growth]])</f>
        <v>1.8515113734383843</v>
      </c>
      <c r="BF91" s="27">
        <f>PortfolioFrontier[[#This Row],[P14 Growth]]/PortfolioFrontier[[#This Row],[P14 HWM]]-1</f>
        <v>-4.018757026383013E-2</v>
      </c>
      <c r="BG91" s="28">
        <f>SUMPRODUCT(INDEX(PortfolioRef[[SPY]:[PE]],MATCH(BG$1,PortfolioRef[Reference '#]),0),AssetMonthlyReturns[[#This Row],[SPY]:[PE]])</f>
        <v>-7.8579053636380382E-3</v>
      </c>
      <c r="BH91" s="27">
        <f>IF(ISNUMBER(BH90),BH90*(1+PortfolioFrontier[[#This Row],[P15 Return]]),1+PortfolioFrontier[[#This Row],[P15 Return]])</f>
        <v>1.77818582123406</v>
      </c>
      <c r="BI91" s="27">
        <f>MAX(BI90,PortfolioFrontier[[#This Row],[P15 Growth]])</f>
        <v>1.8170439473092146</v>
      </c>
      <c r="BJ91" s="27">
        <f>PortfolioFrontier[[#This Row],[P15 Growth]]/PortfolioFrontier[[#This Row],[P15 HWM]]-1</f>
        <v>-2.1385352914935263E-2</v>
      </c>
      <c r="BK91" s="28">
        <f>SUMPRODUCT(INDEX(PortfolioRef[[SPY]:[PE]],MATCH(BK$1,PortfolioRef[Reference '#]),0),AssetMonthlyReturns[[#This Row],[SPY]:[PE]])</f>
        <v>-1.05459788040261E-2</v>
      </c>
      <c r="BL91" s="27">
        <f>IF(ISNUMBER(BL90),BL90*(1+PortfolioFrontier[[#This Row],[P16 Return]]),1+PortfolioFrontier[[#This Row],[P16 Return]])</f>
        <v>1.6560710863322947</v>
      </c>
      <c r="BM91" s="27">
        <f>MAX(BM90,PortfolioFrontier[[#This Row],[P16 Growth]])</f>
        <v>1.7425494832470445</v>
      </c>
      <c r="BN91" s="27">
        <f>PortfolioFrontier[[#This Row],[P16 Growth]]/PortfolioFrontier[[#This Row],[P16 HWM]]-1</f>
        <v>-4.9627512874760416E-2</v>
      </c>
      <c r="BO91" s="28">
        <f>SUMPRODUCT(INDEX(PortfolioRef[[SPY]:[PE]],MATCH(BO$1,PortfolioRef[Reference '#]),0),AssetMonthlyReturns[[#This Row],[SPY]:[PE]])</f>
        <v>-1.086373144979913E-2</v>
      </c>
      <c r="BP91" s="27">
        <f>IF(ISNUMBER(BP90),BP90*(1+PortfolioFrontier[[#This Row],[P17 Return]]),1+PortfolioFrontier[[#This Row],[P17 Return]])</f>
        <v>1.6870857656321401</v>
      </c>
      <c r="BQ91" s="27">
        <f>MAX(BQ90,PortfolioFrontier[[#This Row],[P17 Growth]])</f>
        <v>1.7588525148836969</v>
      </c>
      <c r="BR91" s="27">
        <f>PortfolioFrontier[[#This Row],[P17 Growth]]/PortfolioFrontier[[#This Row],[P17 HWM]]-1</f>
        <v>-4.0803164929552049E-2</v>
      </c>
      <c r="BS91" s="28">
        <f>SUMPRODUCT(INDEX(PortfolioRef[[SPY]:[PE]],MATCH(BS$1,PortfolioRef[Reference '#]),0),AssetMonthlyReturns[[#This Row],[SPY]:[PE]])</f>
        <v>-1.1913799784613488E-2</v>
      </c>
      <c r="BT91" s="27">
        <f>IF(ISNUMBER(BT90),BT90*(1+PortfolioFrontier[[#This Row],[P18 Return]]),1+PortfolioFrontier[[#This Row],[P18 Return]])</f>
        <v>1.6787562046489146</v>
      </c>
      <c r="BU91" s="27">
        <f>MAX(BU90,PortfolioFrontier[[#This Row],[P18 Growth]])</f>
        <v>1.7791407441475846</v>
      </c>
      <c r="BV91" s="27">
        <f>PortfolioFrontier[[#This Row],[P18 Growth]]/PortfolioFrontier[[#This Row],[P18 HWM]]-1</f>
        <v>-5.642304569151213E-2</v>
      </c>
      <c r="BW91" s="28">
        <f>SUMPRODUCT(INDEX(PortfolioRef[[SPY]:[PE]],MATCH(BW$1,PortfolioRef[Reference '#]),0),AssetMonthlyReturns[[#This Row],[SPY]:[PE]])</f>
        <v>-8.9562047254110218E-3</v>
      </c>
      <c r="BX91" s="27">
        <f>IF(ISNUMBER(BX90),BX90*(1+PortfolioFrontier[[#This Row],[P19 Return]]),1+PortfolioFrontier[[#This Row],[P19 Return]])</f>
        <v>1.6794153342282359</v>
      </c>
      <c r="BY91" s="27">
        <f>MAX(BY90,PortfolioFrontier[[#This Row],[P19 Growth]])</f>
        <v>1.7457196180719312</v>
      </c>
      <c r="BZ91" s="27">
        <f>PortfolioFrontier[[#This Row],[P19 Growth]]/PortfolioFrontier[[#This Row],[P19 HWM]]-1</f>
        <v>-3.7981061309791286E-2</v>
      </c>
      <c r="CA91" s="28">
        <f>SUMPRODUCT(INDEX(PortfolioRef[[SPY]:[PE]],MATCH(CA$1,PortfolioRef[Reference '#]),0),AssetMonthlyReturns[[#This Row],[SPY]:[PE]])</f>
        <v>-1.1181484095572158E-2</v>
      </c>
      <c r="CB91" s="27">
        <f>IF(ISNUMBER(CB90),CB90*(1+PortfolioFrontier[[#This Row],[P20 Return]]),1+PortfolioFrontier[[#This Row],[P20 Return]])</f>
        <v>1.7182556124963901</v>
      </c>
      <c r="CC91" s="27">
        <f>MAX(CC90,PortfolioFrontier[[#This Row],[P20 Growth]])</f>
        <v>1.7749567522517573</v>
      </c>
      <c r="CD91" s="27">
        <f>PortfolioFrontier[[#This Row],[P20 Growth]]/PortfolioFrontier[[#This Row],[P20 HWM]]-1</f>
        <v>-3.1945082427182858E-2</v>
      </c>
      <c r="CE91" s="28">
        <f>SUMPRODUCT(INDEX(PortfolioRef[[SPY]:[PE]],MATCH(CE$1,PortfolioRef[Reference '#]),0),AssetMonthlyReturns[[#This Row],[SPY]:[PE]])</f>
        <v>-1.2231552430386514E-2</v>
      </c>
      <c r="CF91" s="27">
        <f>IF(ISNUMBER(CF90),CF90*(1+PortfolioFrontier[[#This Row],[P21 Return]]),1+PortfolioFrontier[[#This Row],[P21 Return]])</f>
        <v>1.7101666201230488</v>
      </c>
      <c r="CG91" s="27">
        <f>MAX(CG90,PortfolioFrontier[[#This Row],[P21 Growth]])</f>
        <v>1.795743356031652</v>
      </c>
      <c r="CH91" s="27">
        <f>PortfolioFrontier[[#This Row],[P21 Growth]]/PortfolioFrontier[[#This Row],[P21 HWM]]-1</f>
        <v>-4.7655326481461202E-2</v>
      </c>
      <c r="CI91" s="28">
        <f>SUMPRODUCT(INDEX(PortfolioRef[[SPY]:[PE]],MATCH(CI$1,PortfolioRef[Reference '#]),0),AssetMonthlyReturns[[#This Row],[SPY]:[PE]])</f>
        <v>-9.2739573711840498E-3</v>
      </c>
      <c r="CJ91" s="27">
        <f>IF(ISNUMBER(CJ90),CJ90*(1+PortfolioFrontier[[#This Row],[P22 Return]]),1+PortfolioFrontier[[#This Row],[P22 Return]])</f>
        <v>1.7108767481165148</v>
      </c>
      <c r="CK91" s="27">
        <f>MAX(CK90,PortfolioFrontier[[#This Row],[P22 Growth]])</f>
        <v>1.7620784578443487</v>
      </c>
      <c r="CL91" s="27">
        <f>PortfolioFrontier[[#This Row],[P22 Growth]]/PortfolioFrontier[[#This Row],[P22 HWM]]-1</f>
        <v>-2.905756522923042E-2</v>
      </c>
      <c r="CM91" s="28">
        <f>SUMPRODUCT(INDEX(PortfolioRef[[SPY]:[PE]],MATCH(CM$1,PortfolioRef[Reference '#]),0),AssetMonthlyReturns[[#This Row],[SPY]:[PE]])</f>
        <v>-1.3281620765200876E-2</v>
      </c>
      <c r="CN91" s="27">
        <f>IF(ISNUMBER(CN90),CN90*(1+PortfolioFrontier[[#This Row],[P23 Return]]),1+PortfolioFrontier[[#This Row],[P23 Return]])</f>
        <v>1.7008708460865318</v>
      </c>
      <c r="CO91" s="27">
        <f>MAX(CO90,PortfolioFrontier[[#This Row],[P23 Growth]])</f>
        <v>1.8158151760868648</v>
      </c>
      <c r="CP91" s="27">
        <f>PortfolioFrontier[[#This Row],[P23 Growth]]/PortfolioFrontier[[#This Row],[P23 HWM]]-1</f>
        <v>-6.3301778459656566E-2</v>
      </c>
      <c r="CQ91" s="28">
        <f>SUMPRODUCT(INDEX(PortfolioRef[[SPY]:[PE]],MATCH(CQ$1,PortfolioRef[Reference '#]),0),AssetMonthlyReturns[[#This Row],[SPY]:[PE]])</f>
        <v>-1.032402570599841E-2</v>
      </c>
      <c r="CR91" s="27">
        <f>IF(ISNUMBER(CR90),CR90*(1+PortfolioFrontier[[#This Row],[P24 Return]]),1+PortfolioFrontier[[#This Row],[P24 Return]])</f>
        <v>1.7024661956072467</v>
      </c>
      <c r="CS91" s="27">
        <f>MAX(CS90,PortfolioFrontier[[#This Row],[P24 Growth]])</f>
        <v>1.7823638134718676</v>
      </c>
      <c r="CT91" s="27">
        <f>PortfolioFrontier[[#This Row],[P24 Growth]]/PortfolioFrontier[[#This Row],[P24 HWM]]-1</f>
        <v>-4.4826772884817623E-2</v>
      </c>
      <c r="CU91" s="28">
        <f>SUMPRODUCT(INDEX(PortfolioRef[[SPY]:[PE]],MATCH(CU$1,PortfolioRef[Reference '#]),0),AssetMonthlyReturns[[#This Row],[SPY]:[PE]])</f>
        <v>-7.3664306467959408E-3</v>
      </c>
      <c r="CV91" s="27">
        <f>IF(ISNUMBER(CV90),CV90*(1+PortfolioFrontier[[#This Row],[P25 Return]]),1+PortfolioFrontier[[#This Row],[P25 Return]])</f>
        <v>1.7028976184481845</v>
      </c>
      <c r="CW91" s="27">
        <f>MAX(CW90,PortfolioFrontier[[#This Row],[P25 Growth]])</f>
        <v>1.7487656732120247</v>
      </c>
      <c r="CX91" s="27">
        <f>PortfolioFrontier[[#This Row],[P25 Growth]]/PortfolioFrontier[[#This Row],[P25 HWM]]-1</f>
        <v>-2.622881696870949E-2</v>
      </c>
      <c r="CY91" s="28">
        <f>SUMPRODUCT(INDEX(PortfolioRef[[SPY]:[PE]],MATCH(CY$1,PortfolioRef[Reference '#]),0),AssetMonthlyReturns[[#This Row],[SPY]:[PE]])</f>
        <v>-1.2549305076159544E-2</v>
      </c>
      <c r="CZ91" s="27">
        <f>IF(ISNUMBER(CZ90),CZ90*(1+PortfolioFrontier[[#This Row],[P26 Return]]),1+PortfolioFrontier[[#This Row],[P26 Return]])</f>
        <v>1.7417338183833513</v>
      </c>
      <c r="DA91" s="27">
        <f>MAX(DA90,PortfolioFrontier[[#This Row],[P26 Growth]])</f>
        <v>1.8121428498945955</v>
      </c>
      <c r="DB91" s="27">
        <f>PortfolioFrontier[[#This Row],[P26 Growth]]/PortfolioFrontier[[#This Row],[P26 HWM]]-1</f>
        <v>-3.8854018332682538E-2</v>
      </c>
      <c r="DC91" s="28">
        <f>SUMPRODUCT(INDEX(PortfolioRef[[SPY]:[PE]],MATCH(DC$1,PortfolioRef[Reference '#]),0),AssetMonthlyReturns[[#This Row],[SPY]:[PE]])</f>
        <v>-9.5917100169570797E-3</v>
      </c>
      <c r="DD91" s="27">
        <f>IF(ISNUMBER(DD90),DD90*(1+PortfolioFrontier[[#This Row],[P27 Return]]),1+PortfolioFrontier[[#This Row],[P27 Return]])</f>
        <v>1.7424961373591228</v>
      </c>
      <c r="DE91" s="27">
        <f>MAX(DE90,PortfolioFrontier[[#This Row],[P27 Growth]])</f>
        <v>1.7782387807323972</v>
      </c>
      <c r="DF91" s="27">
        <f>PortfolioFrontier[[#This Row],[P27 Growth]]/PortfolioFrontier[[#This Row],[P27 HWM]]-1</f>
        <v>-2.0100024676412254E-2</v>
      </c>
      <c r="DG91" s="28">
        <f>SUMPRODUCT(INDEX(PortfolioRef[[SPY]:[PE]],MATCH(DG$1,PortfolioRef[Reference '#]),0),AssetMonthlyReturns[[#This Row],[SPY]:[PE]])</f>
        <v>-1.3599373410973902E-2</v>
      </c>
      <c r="DH91" s="27">
        <f>IF(ISNUMBER(DH90),DH90*(1+PortfolioFrontier[[#This Row],[P28 Return]]),1+PortfolioFrontier[[#This Row],[P28 Return]])</f>
        <v>1.7326661046970637</v>
      </c>
      <c r="DI91" s="27">
        <f>MAX(DI90,PortfolioFrontier[[#This Row],[P28 Growth]])</f>
        <v>1.8327167417336543</v>
      </c>
      <c r="DJ91" s="27">
        <f>PortfolioFrontier[[#This Row],[P28 Growth]]/PortfolioFrontier[[#This Row],[P28 HWM]]-1</f>
        <v>-5.4591435085570184E-2</v>
      </c>
      <c r="DK91" s="28">
        <f>SUMPRODUCT(INDEX(PortfolioRef[[SPY]:[PE]],MATCH(DK$1,PortfolioRef[Reference '#]),0),AssetMonthlyReturns[[#This Row],[SPY]:[PE]])</f>
        <v>-1.0641778351771436E-2</v>
      </c>
      <c r="DL91" s="27">
        <f>IF(ISNUMBER(DL90),DL90*(1+PortfolioFrontier[[#This Row],[P29 Return]]),1+PortfolioFrontier[[#This Row],[P29 Return]])</f>
        <v>1.7343298469989115</v>
      </c>
      <c r="DM91" s="27">
        <f>MAX(DM90,PortfolioFrontier[[#This Row],[P29 Growth]])</f>
        <v>1.7990232294645383</v>
      </c>
      <c r="DN91" s="27">
        <f>PortfolioFrontier[[#This Row],[P29 Growth]]/PortfolioFrontier[[#This Row],[P29 HWM]]-1</f>
        <v>-3.5960281894126589E-2</v>
      </c>
      <c r="DO91" s="28">
        <f>SUMPRODUCT(INDEX(PortfolioRef[[SPY]:[PE]],MATCH(DO$1,PortfolioRef[Reference '#]),0),AssetMonthlyReturns[[#This Row],[SPY]:[PE]])</f>
        <v>-7.6841832925689689E-3</v>
      </c>
      <c r="DP91" s="27">
        <f>IF(ISNUMBER(DP90),DP90*(1+PortfolioFrontier[[#This Row],[P30 Return]]),1+PortfolioFrontier[[#This Row],[P30 Return]])</f>
        <v>1.7348087837944457</v>
      </c>
      <c r="DQ91" s="27">
        <f>MAX(DQ90,PortfolioFrontier[[#This Row],[P30 Growth]])</f>
        <v>1.7651792866223672</v>
      </c>
      <c r="DR91" s="27">
        <f>PortfolioFrontier[[#This Row],[P30 Growth]]/PortfolioFrontier[[#This Row],[P30 HWM]]-1</f>
        <v>-1.7205336057412479E-2</v>
      </c>
      <c r="DS91" s="28">
        <f>SUMPRODUCT(INDEX(PortfolioRef[[SPY]:[PE]],MATCH(DS$1,PortfolioRef[Reference '#]),0),AssetMonthlyReturns[[#This Row],[SPY]:[PE]])</f>
        <v>-1.464944174578826E-2</v>
      </c>
      <c r="DT91" s="27">
        <f>IF(ISNUMBER(DT90),DT90*(1+PortfolioFrontier[[#This Row],[P31 Return]]),1+PortfolioFrontier[[#This Row],[P31 Return]])</f>
        <v>1.7223806830473536</v>
      </c>
      <c r="DU91" s="27">
        <f>MAX(DU90,PortfolioFrontier[[#This Row],[P31 Growth]])</f>
        <v>1.8525428026208837</v>
      </c>
      <c r="DV91" s="27">
        <f>PortfolioFrontier[[#This Row],[P31 Growth]]/PortfolioFrontier[[#This Row],[P31 HWM]]-1</f>
        <v>-7.0261329125234417E-2</v>
      </c>
      <c r="DW91" s="28">
        <f>SUMPRODUCT(INDEX(PortfolioRef[[SPY]:[PE]],MATCH(DW$1,PortfolioRef[Reference '#]),0),AssetMonthlyReturns[[#This Row],[SPY]:[PE]])</f>
        <v>-1.1691846686585794E-2</v>
      </c>
      <c r="DX91" s="27">
        <f>IF(ISNUMBER(DX90),DX90*(1+PortfolioFrontier[[#This Row],[P32 Return]]),1+PortfolioFrontier[[#This Row],[P32 Return]])</f>
        <v>1.7249400483250314</v>
      </c>
      <c r="DY91" s="27">
        <f>MAX(DY90,PortfolioFrontier[[#This Row],[P32 Growth]])</f>
        <v>1.8190908915066115</v>
      </c>
      <c r="DZ91" s="27">
        <f>PortfolioFrontier[[#This Row],[P32 Growth]]/PortfolioFrontier[[#This Row],[P32 HWM]]-1</f>
        <v>-5.1757085707576866E-2</v>
      </c>
      <c r="EA91" s="28">
        <f>SUMPRODUCT(INDEX(PortfolioRef[[SPY]:[PE]],MATCH(EA$1,PortfolioRef[Reference '#]),0),AssetMonthlyReturns[[#This Row],[SPY]:[PE]])</f>
        <v>-8.7342516273833243E-3</v>
      </c>
      <c r="EB91" s="27">
        <f>IF(ISNUMBER(EB90),EB90*(1+PortfolioFrontier[[#This Row],[P33 Return]]),1+PortfolioFrontier[[#This Row],[P33 Return]])</f>
        <v>1.7263173023901821</v>
      </c>
      <c r="EC91" s="27">
        <f>MAX(EC90,PortfolioFrontier[[#This Row],[P33 Growth]])</f>
        <v>1.7854600976944932</v>
      </c>
      <c r="ED91" s="27">
        <f>PortfolioFrontier[[#This Row],[P33 Growth]]/PortfolioFrontier[[#This Row],[P33 HWM]]-1</f>
        <v>-3.3124680512703897E-2</v>
      </c>
      <c r="EE91" s="28">
        <f>SUMPRODUCT(INDEX(PortfolioRef[[SPY]:[PE]],MATCH(EE$1,PortfolioRef[Reference '#]),0),AssetMonthlyReturns[[#This Row],[SPY]:[PE]])</f>
        <v>-1.0054504087184E-2</v>
      </c>
      <c r="EF91" s="27">
        <f>IF(ISNUMBER(EF90),EF90*(1+PortfolioFrontier[[#This Row],[P34 Return]]),1+PortfolioFrontier[[#This Row],[P34 Return]])</f>
        <v>1.5851925375222204</v>
      </c>
      <c r="EG91" s="27">
        <f>MAX(EG90,PortfolioFrontier[[#This Row],[P34 Growth]])</f>
        <v>1.6763614413137211</v>
      </c>
      <c r="EH91" s="27">
        <f>PortfolioFrontier[[#This Row],[P34 Growth]]/PortfolioFrontier[[#This Row],[P34 HWM]]-1</f>
        <v>-5.4384992129175913E-2</v>
      </c>
      <c r="EI91" s="28">
        <f>SUMPRODUCT(INDEX(PortfolioRef[[SPY]:[PE]],MATCH(EI$1,PortfolioRef[Reference '#]),0),AssetMonthlyReturns[[#This Row],[SPY]:[PE]])</f>
        <v>-1.0372256732957028E-2</v>
      </c>
      <c r="EJ91" s="27">
        <f>IF(ISNUMBER(EJ90),EJ90*(1+PortfolioFrontier[[#This Row],[P35 Return]]),1+PortfolioFrontier[[#This Row],[P35 Return]])</f>
        <v>1.6148862742349848</v>
      </c>
      <c r="EK91" s="27">
        <f>MAX(EK90,PortfolioFrontier[[#This Row],[P35 Growth]])</f>
        <v>1.6920729334369538</v>
      </c>
      <c r="EL91" s="27">
        <f>PortfolioFrontier[[#This Row],[P35 Growth]]/PortfolioFrontier[[#This Row],[P35 HWM]]-1</f>
        <v>-4.5616626610288424E-2</v>
      </c>
      <c r="EM91" s="28">
        <f>SUMPRODUCT(INDEX(PortfolioRef[[SPY]:[PE]],MATCH(EM$1,PortfolioRef[Reference '#]),0),AssetMonthlyReturns[[#This Row],[SPY]:[PE]])</f>
        <v>-1.1422325067771386E-2</v>
      </c>
      <c r="EN91" s="27">
        <f>IF(ISNUMBER(EN90),EN90*(1+PortfolioFrontier[[#This Row],[P36 Return]]),1+PortfolioFrontier[[#This Row],[P36 Return]])</f>
        <v>1.6075020196402345</v>
      </c>
      <c r="EO91" s="27">
        <f>MAX(EO90,PortfolioFrontier[[#This Row],[P36 Growth]])</f>
        <v>1.7120343963250326</v>
      </c>
      <c r="EP91" s="27">
        <f>PortfolioFrontier[[#This Row],[P36 Growth]]/PortfolioFrontier[[#This Row],[P36 HWM]]-1</f>
        <v>-6.1057404517795955E-2</v>
      </c>
      <c r="EQ91" s="28">
        <f>SUMPRODUCT(INDEX(PortfolioRef[[SPY]:[PE]],MATCH(EQ$1,PortfolioRef[Reference '#]),0),AssetMonthlyReturns[[#This Row],[SPY]:[PE]])</f>
        <v>-8.4647300085689218E-3</v>
      </c>
      <c r="ER91" s="27">
        <f>IF(ISNUMBER(ER90),ER90*(1+PortfolioFrontier[[#This Row],[P37 Return]]),1+PortfolioFrontier[[#This Row],[P37 Return]])</f>
        <v>1.607562714394873</v>
      </c>
      <c r="ES91" s="27">
        <f>MAX(ES90,PortfolioFrontier[[#This Row],[P37 Growth]])</f>
        <v>1.6794736802569215</v>
      </c>
      <c r="ET91" s="27">
        <f>PortfolioFrontier[[#This Row],[P37 Growth]]/PortfolioFrontier[[#This Row],[P37 HWM]]-1</f>
        <v>-4.2817560469925131E-2</v>
      </c>
      <c r="EU91" s="28">
        <f>SUMPRODUCT(INDEX(PortfolioRef[[SPY]:[PE]],MATCH(EU$1,PortfolioRef[Reference '#]),0),AssetMonthlyReturns[[#This Row],[SPY]:[PE]])</f>
        <v>-1.0690009378730056E-2</v>
      </c>
      <c r="EV91" s="27">
        <f>IF(ISNUMBER(EV90),EV90*(1+PortfolioFrontier[[#This Row],[P38 Return]]),1+PortfolioFrontier[[#This Row],[P38 Return]])</f>
        <v>1.6447279485240784</v>
      </c>
      <c r="EW91" s="27">
        <f>MAX(EW90,PortfolioFrontier[[#This Row],[P38 Growth]])</f>
        <v>1.7075928941250238</v>
      </c>
      <c r="EX91" s="27">
        <f>PortfolioFrontier[[#This Row],[P38 Growth]]/PortfolioFrontier[[#This Row],[P38 HWM]]-1</f>
        <v>-3.6814949170397848E-2</v>
      </c>
      <c r="EY91" s="28">
        <f>SUMPRODUCT(INDEX(PortfolioRef[[SPY]:[PE]],MATCH(EY$1,PortfolioRef[Reference '#]),0),AssetMonthlyReturns[[#This Row],[SPY]:[PE]])</f>
        <v>-1.1740077713544416E-2</v>
      </c>
      <c r="EZ91" s="27">
        <f>IF(ISNUMBER(EZ90),EZ90*(1+PortfolioFrontier[[#This Row],[P39 Return]]),1+PortfolioFrontier[[#This Row],[P39 Return]])</f>
        <v>1.6375854914539281</v>
      </c>
      <c r="FA91" s="27">
        <f>MAX(FA90,PortfolioFrontier[[#This Row],[P39 Growth]])</f>
        <v>1.7280388577532122</v>
      </c>
      <c r="FB91" s="27">
        <f>PortfolioFrontier[[#This Row],[P39 Growth]]/PortfolioFrontier[[#This Row],[P39 HWM]]-1</f>
        <v>-5.234452101203968E-2</v>
      </c>
      <c r="FC91" s="28">
        <f>SUMPRODUCT(INDEX(PortfolioRef[[SPY]:[PE]],MATCH(FC$1,PortfolioRef[Reference '#]),0),AssetMonthlyReturns[[#This Row],[SPY]:[PE]])</f>
        <v>-8.7824826543419499E-3</v>
      </c>
      <c r="FD91" s="27">
        <f>IF(ISNUMBER(FD90),FD90*(1+PortfolioFrontier[[#This Row],[P40 Return]]),1+PortfolioFrontier[[#This Row],[P40 Return]])</f>
        <v>1.6376846997429275</v>
      </c>
      <c r="FE91" s="27">
        <f>MAX(FE90,PortfolioFrontier[[#This Row],[P40 Growth]])</f>
        <v>1.6952394830468527</v>
      </c>
      <c r="FF91" s="27">
        <f>PortfolioFrontier[[#This Row],[P40 Growth]]/PortfolioFrontier[[#This Row],[P40 HWM]]-1</f>
        <v>-3.3950827525844329E-2</v>
      </c>
      <c r="FG91" s="28">
        <f>SUMPRODUCT(INDEX(PortfolioRef[[SPY]:[PE]],MATCH(FG$1,PortfolioRef[Reference '#]),0),AssetMonthlyReturns[[#This Row],[SPY]:[PE]])</f>
        <v>-1.2790146048358774E-2</v>
      </c>
      <c r="FH91" s="27">
        <f>IF(ISNUMBER(FH90),FH90*(1+PortfolioFrontier[[#This Row],[P41 Return]]),1+PortfolioFrontier[[#This Row],[P41 Return]])</f>
        <v>1.6292833414845438</v>
      </c>
      <c r="FI91" s="27">
        <f>MAX(FI90,PortfolioFrontier[[#This Row],[P41 Growth]])</f>
        <v>1.7478091274239449</v>
      </c>
      <c r="FJ91" s="27">
        <f>PortfolioFrontier[[#This Row],[P41 Growth]]/PortfolioFrontier[[#This Row],[P41 HWM]]-1</f>
        <v>-6.7813918625138192E-2</v>
      </c>
      <c r="FK91" s="28">
        <f>SUMPRODUCT(INDEX(PortfolioRef[[SPY]:[PE]],MATCH(FK$1,PortfolioRef[Reference '#]),0),AssetMonthlyReturns[[#This Row],[SPY]:[PE]])</f>
        <v>-9.8325509891563079E-3</v>
      </c>
      <c r="FL91" s="27">
        <f>IF(ISNUMBER(FL90),FL90*(1+PortfolioFrontier[[#This Row],[P42 Return]]),1+PortfolioFrontier[[#This Row],[P42 Return]])</f>
        <v>1.6302309950469915</v>
      </c>
      <c r="FM91" s="27">
        <f>MAX(FM90,PortfolioFrontier[[#This Row],[P42 Growth]])</f>
        <v>1.7151998522045959</v>
      </c>
      <c r="FN91" s="27">
        <f>PortfolioFrontier[[#This Row],[P42 Growth]]/PortfolioFrontier[[#This Row],[P42 HWM]]-1</f>
        <v>-4.9538750279386701E-2</v>
      </c>
      <c r="FO91" s="28">
        <f>SUMPRODUCT(INDEX(PortfolioRef[[SPY]:[PE]],MATCH(FO$1,PortfolioRef[Reference '#]),0),AssetMonthlyReturns[[#This Row],[SPY]:[PE]])</f>
        <v>-6.8749559299538391E-3</v>
      </c>
      <c r="FP91" s="27">
        <f>IF(ISNUMBER(FP90),FP90*(1+PortfolioFrontier[[#This Row],[P43 Return]]),1+PortfolioFrontier[[#This Row],[P43 Return]])</f>
        <v>1.6300658025484298</v>
      </c>
      <c r="FQ91" s="27">
        <f>MAX(FQ90,PortfolioFrontier[[#This Row],[P43 Growth]])</f>
        <v>1.6824667632825669</v>
      </c>
      <c r="FR91" s="27">
        <f>PortfolioFrontier[[#This Row],[P43 Growth]]/PortfolioFrontier[[#This Row],[P43 HWM]]-1</f>
        <v>-3.1145317029562358E-2</v>
      </c>
      <c r="FS91" s="28">
        <f>SUMPRODUCT(INDEX(PortfolioRef[[SPY]:[PE]],MATCH(FS$1,PortfolioRef[Reference '#]),0),AssetMonthlyReturns[[#This Row],[SPY]:[PE]])</f>
        <v>-1.2057830359317442E-2</v>
      </c>
      <c r="FT91" s="27">
        <f>IF(ISNUMBER(FT90),FT90*(1+PortfolioFrontier[[#This Row],[P44 Return]]),1+PortfolioFrontier[[#This Row],[P44 Return]])</f>
        <v>1.6678184913523579</v>
      </c>
      <c r="FU91" s="27">
        <f>MAX(FU90,PortfolioFrontier[[#This Row],[P44 Growth]])</f>
        <v>1.7438475694471607</v>
      </c>
      <c r="FV91" s="27">
        <f>PortfolioFrontier[[#This Row],[P44 Growth]]/PortfolioFrontier[[#This Row],[P44 HWM]]-1</f>
        <v>-4.3598465500574557E-2</v>
      </c>
      <c r="FW91" s="28">
        <f>SUMPRODUCT(INDEX(PortfolioRef[[SPY]:[PE]],MATCH(FW$1,PortfolioRef[Reference '#]),0),AssetMonthlyReturns[[#This Row],[SPY]:[PE]])</f>
        <v>-9.1002353001149779E-3</v>
      </c>
      <c r="FX91" s="27">
        <f>IF(ISNUMBER(FX90),FX90*(1+PortfolioFrontier[[#This Row],[P45 Return]]),1+PortfolioFrontier[[#This Row],[P45 Return]])</f>
        <v>1.6679573081157943</v>
      </c>
      <c r="FY91" s="27">
        <f>MAX(FY90,PortfolioFrontier[[#This Row],[P45 Growth]])</f>
        <v>1.7108140158896465</v>
      </c>
      <c r="FZ91" s="27">
        <f>PortfolioFrontier[[#This Row],[P45 Growth]]/PortfolioFrontier[[#This Row],[P45 HWM]]-1</f>
        <v>-2.5050477360957446E-2</v>
      </c>
      <c r="GA91" s="28">
        <f>SUMPRODUCT(INDEX(PortfolioRef[[SPY]:[PE]],MATCH(GA$1,PortfolioRef[Reference '#]),0),AssetMonthlyReturns[[#This Row],[SPY]:[PE]])</f>
        <v>-1.31078986941318E-2</v>
      </c>
      <c r="GB91" s="27">
        <f>IF(ISNUMBER(GB90),GB90*(1+PortfolioFrontier[[#This Row],[P46 Return]]),1+PortfolioFrontier[[#This Row],[P46 Return]])</f>
        <v>1.6597464243378015</v>
      </c>
      <c r="GC91" s="27">
        <f>MAX(GC90,PortfolioFrontier[[#This Row],[P46 Growth]])</f>
        <v>1.7641061270089846</v>
      </c>
      <c r="GD91" s="27">
        <f>PortfolioFrontier[[#This Row],[P46 Growth]]/PortfolioFrontier[[#This Row],[P46 HWM]]-1</f>
        <v>-5.9157270117372929E-2</v>
      </c>
      <c r="GE91" s="28">
        <f>SUMPRODUCT(INDEX(PortfolioRef[[SPY]:[PE]],MATCH(GE$1,PortfolioRef[Reference '#]),0),AssetMonthlyReturns[[#This Row],[SPY]:[PE]])</f>
        <v>-1.0150303634929334E-2</v>
      </c>
      <c r="GF91" s="27">
        <f>IF(ISNUMBER(GF90),GF90*(1+PortfolioFrontier[[#This Row],[P47 Return]]),1+PortfolioFrontier[[#This Row],[P47 Return]])</f>
        <v>1.6607491021956191</v>
      </c>
      <c r="GG91" s="27">
        <f>MAX(GG90,PortfolioFrontier[[#This Row],[P47 Growth]])</f>
        <v>1.7312596087544752</v>
      </c>
      <c r="GH91" s="27">
        <f>PortfolioFrontier[[#This Row],[P47 Growth]]/PortfolioFrontier[[#This Row],[P47 HWM]]-1</f>
        <v>-4.0727864384003998E-2</v>
      </c>
      <c r="GI91" s="28">
        <f>SUMPRODUCT(INDEX(PortfolioRef[[SPY]:[PE]],MATCH(GI$1,PortfolioRef[Reference '#]),0),AssetMonthlyReturns[[#This Row],[SPY]:[PE]])</f>
        <v>-7.1927085757268671E-3</v>
      </c>
      <c r="GJ91" s="27">
        <f>IF(ISNUMBER(GJ90),GJ90*(1+PortfolioFrontier[[#This Row],[P48 Return]]),1+PortfolioFrontier[[#This Row],[P48 Return]])</f>
        <v>1.6606189414740682</v>
      </c>
      <c r="GK91" s="27">
        <f>MAX(GK90,PortfolioFrontier[[#This Row],[P48 Growth]])</f>
        <v>1.6982858835097865</v>
      </c>
      <c r="GL91" s="27">
        <f>PortfolioFrontier[[#This Row],[P48 Growth]]/PortfolioFrontier[[#This Row],[P48 HWM]]-1</f>
        <v>-2.2179388288780522E-2</v>
      </c>
      <c r="GM91" s="28">
        <f>SUMPRODUCT(INDEX(PortfolioRef[[SPY]:[PE]],MATCH(GM$1,PortfolioRef[Reference '#]),0),AssetMonthlyReturns[[#This Row],[SPY]:[PE]])</f>
        <v>-1.4157967028946162E-2</v>
      </c>
      <c r="GN91" s="27">
        <f>IF(ISNUMBER(GN90),GN90*(1+PortfolioFrontier[[#This Row],[P49 Return]]),1+PortfolioFrontier[[#This Row],[P49 Return]])</f>
        <v>1.6505032158861859</v>
      </c>
      <c r="GO91" s="27">
        <f>MAX(GO90,PortfolioFrontier[[#This Row],[P49 Growth]])</f>
        <v>1.7836571071341945</v>
      </c>
      <c r="GP91" s="27">
        <f>PortfolioFrontier[[#This Row],[P49 Growth]]/PortfolioFrontier[[#This Row],[P49 HWM]]-1</f>
        <v>-7.4652179903539451E-2</v>
      </c>
      <c r="GQ91" s="28">
        <f>SUMPRODUCT(INDEX(PortfolioRef[[SPY]:[PE]],MATCH(GQ$1,PortfolioRef[Reference '#]),0),AssetMonthlyReturns[[#This Row],[SPY]:[PE]])</f>
        <v>-1.1200371969743696E-2</v>
      </c>
      <c r="GR91" s="27">
        <f>IF(ISNUMBER(GR90),GR90*(1+PortfolioFrontier[[#This Row],[P50 Return]]),1+PortfolioFrontier[[#This Row],[P50 Return]])</f>
        <v>1.6523651349469899</v>
      </c>
      <c r="GS91" s="27">
        <f>MAX(GS90,PortfolioFrontier[[#This Row],[P50 Growth]])</f>
        <v>1.7510275614895194</v>
      </c>
      <c r="GT91" s="27">
        <f>PortfolioFrontier[[#This Row],[P50 Growth]]/PortfolioFrontier[[#This Row],[P50 HWM]]-1</f>
        <v>-5.6345444647714071E-2</v>
      </c>
      <c r="GU91" s="28">
        <f>SUMPRODUCT(INDEX(PortfolioRef[[SPY]:[PE]],MATCH(GU$1,PortfolioRef[Reference '#]),0),AssetMonthlyReturns[[#This Row],[SPY]:[PE]])</f>
        <v>-8.242776910541226E-3</v>
      </c>
      <c r="GV91" s="27">
        <f>IF(ISNUMBER(GV90),GV90*(1+PortfolioFrontier[[#This Row],[P51 Return]]),1+PortfolioFrontier[[#This Row],[P51 Return]])</f>
        <v>1.6530958965321185</v>
      </c>
      <c r="GW91" s="27">
        <f>MAX(GW90,PortfolioFrontier[[#This Row],[P51 Growth]])</f>
        <v>1.7182435242855478</v>
      </c>
      <c r="GX91" s="27">
        <f>PortfolioFrontier[[#This Row],[P51 Growth]]/PortfolioFrontier[[#This Row],[P51 HWM]]-1</f>
        <v>-3.7915247072162206E-2</v>
      </c>
      <c r="GY91" s="28">
        <f>SUMPRODUCT(INDEX(PortfolioRef[[SPY]:[PE]],MATCH(GY$1,PortfolioRef[Reference '#]),0),AssetMonthlyReturns[[#This Row],[SPY]:[PE]])</f>
        <v>-1.342565133990483E-2</v>
      </c>
      <c r="GZ91" s="27">
        <f>IF(ISNUMBER(GZ90),GZ90*(1+PortfolioFrontier[[#This Row],[P52 Return]]),1+PortfolioFrontier[[#This Row],[P52 Return]])</f>
        <v>1.6903605735328218</v>
      </c>
      <c r="HA91" s="27">
        <f>MAX(HA90,PortfolioFrontier[[#This Row],[P52 Growth]])</f>
        <v>1.7802031417261526</v>
      </c>
      <c r="HB91" s="27">
        <f>PortfolioFrontier[[#This Row],[P52 Growth]]/PortfolioFrontier[[#This Row],[P52 HWM]]-1</f>
        <v>-5.0467593325453919E-2</v>
      </c>
      <c r="HC91" s="28">
        <f>SUMPRODUCT(INDEX(PortfolioRef[[SPY]:[PE]],MATCH(HC$1,PortfolioRef[Reference '#]),0),AssetMonthlyReturns[[#This Row],[SPY]:[PE]])</f>
        <v>-1.0468056280702364E-2</v>
      </c>
      <c r="HD91" s="27">
        <f>IF(ISNUMBER(HD90),HD90*(1+PortfolioFrontier[[#This Row],[P53 Return]]),1+PortfolioFrontier[[#This Row],[P53 Return]])</f>
        <v>1.6914194553886961</v>
      </c>
      <c r="HE91" s="27">
        <f>MAX(HE90,PortfolioFrontier[[#This Row],[P53 Growth]])</f>
        <v>1.7471238825308339</v>
      </c>
      <c r="HF91" s="27">
        <f>PortfolioFrontier[[#This Row],[P53 Growth]]/PortfolioFrontier[[#This Row],[P53 HWM]]-1</f>
        <v>-3.1883501621788879E-2</v>
      </c>
      <c r="HG91" s="28">
        <f>SUMPRODUCT(INDEX(PortfolioRef[[SPY]:[PE]],MATCH(HG$1,PortfolioRef[Reference '#]),0),AssetMonthlyReturns[[#This Row],[SPY]:[PE]])</f>
        <v>-7.5104612214998969E-3</v>
      </c>
      <c r="HH91" s="27">
        <f>IF(ISNUMBER(HH90),HH90*(1+PortfolioFrontier[[#This Row],[P54 Return]]),1+PortfolioFrontier[[#This Row],[P54 Return]])</f>
        <v>1.6913254207357649</v>
      </c>
      <c r="HI91" s="27">
        <f>MAX(HI90,PortfolioFrontier[[#This Row],[P54 Growth]])</f>
        <v>1.7139140104060526</v>
      </c>
      <c r="HJ91" s="27">
        <f>PortfolioFrontier[[#This Row],[P54 Growth]]/PortfolioFrontier[[#This Row],[P54 HWM]]-1</f>
        <v>-1.3179534990169217E-2</v>
      </c>
      <c r="HK91" s="28">
        <f>SUMPRODUCT(INDEX(PortfolioRef[[SPY]:[PE]],MATCH(HK$1,PortfolioRef[Reference '#]),0),AssetMonthlyReturns[[#This Row],[SPY]:[PE]])</f>
        <v>-1.4475719674719188E-2</v>
      </c>
      <c r="HL91" s="27">
        <f>IF(ISNUMBER(HL90),HL90*(1+PortfolioFrontier[[#This Row],[P55 Return]]),1+PortfolioFrontier[[#This Row],[P55 Return]])</f>
        <v>1.6813352129020234</v>
      </c>
      <c r="HM91" s="27">
        <f>MAX(HM90,PortfolioFrontier[[#This Row],[P55 Growth]])</f>
        <v>1.8002459621778737</v>
      </c>
      <c r="HN91" s="27">
        <f>PortfolioFrontier[[#This Row],[P55 Growth]]/PortfolioFrontier[[#This Row],[P55 HWM]]-1</f>
        <v>-6.6052501588169776E-2</v>
      </c>
      <c r="HO91" s="28">
        <f>SUMPRODUCT(INDEX(PortfolioRef[[SPY]:[PE]],MATCH(HO$1,PortfolioRef[Reference '#]),0),AssetMonthlyReturns[[#This Row],[SPY]:[PE]])</f>
        <v>-1.1518124615516722E-2</v>
      </c>
      <c r="HP91" s="27">
        <f>IF(ISNUMBER(HP90),HP90*(1+PortfolioFrontier[[#This Row],[P56 Return]]),1+PortfolioFrontier[[#This Row],[P56 Return]])</f>
        <v>1.6832691189127074</v>
      </c>
      <c r="HQ91" s="27">
        <f>MAX(HQ90,PortfolioFrontier[[#This Row],[P56 Growth]])</f>
        <v>1.767380839986993</v>
      </c>
      <c r="HR91" s="27">
        <f>PortfolioFrontier[[#This Row],[P56 Growth]]/PortfolioFrontier[[#This Row],[P56 HWM]]-1</f>
        <v>-4.7591169470245442E-2</v>
      </c>
      <c r="HS91" s="28">
        <f>SUMPRODUCT(INDEX(PortfolioRef[[SPY]:[PE]],MATCH(HS$1,PortfolioRef[Reference '#]),0),AssetMonthlyReturns[[#This Row],[SPY]:[PE]])</f>
        <v>-8.5605295563142524E-3</v>
      </c>
      <c r="HT91" s="27">
        <f>IF(ISNUMBER(HT90),HT90*(1+PortfolioFrontier[[#This Row],[P57 Return]]),1+PortfolioFrontier[[#This Row],[P57 Return]])</f>
        <v>1.6840516022769083</v>
      </c>
      <c r="HU91" s="27">
        <f>MAX(HU90,PortfolioFrontier[[#This Row],[P57 Growth]])</f>
        <v>1.7343575628436463</v>
      </c>
      <c r="HV91" s="27">
        <f>PortfolioFrontier[[#This Row],[P57 Growth]]/PortfolioFrontier[[#This Row],[P57 HWM]]-1</f>
        <v>-2.9005530142386826E-2</v>
      </c>
      <c r="HW91" s="28">
        <f>SUMPRODUCT(INDEX(PortfolioRef[[SPY]:[PE]],MATCH(HW$1,PortfolioRef[Reference '#]),0),AssetMonthlyReturns[[#This Row],[SPY]:[PE]])</f>
        <v>-1.5525788009533543E-2</v>
      </c>
      <c r="HX91" s="27">
        <f>IF(ISNUMBER(HX90),HX90*(1+PortfolioFrontier[[#This Row],[P58 Return]]),1+PortfolioFrontier[[#This Row],[P58 Return]])</f>
        <v>1.6711284663111012</v>
      </c>
      <c r="HY91" s="27">
        <f>MAX(HY90,PortfolioFrontier[[#This Row],[P58 Growth]])</f>
        <v>1.8195487359549802</v>
      </c>
      <c r="HZ91" s="27">
        <f>PortfolioFrontier[[#This Row],[P58 Growth]]/PortfolioFrontier[[#This Row],[P58 HWM]]-1</f>
        <v>-8.1569823721144519E-2</v>
      </c>
      <c r="IA91" s="28">
        <f>SUMPRODUCT(INDEX(PortfolioRef[[SPY]:[PE]],MATCH(IA$1,PortfolioRef[Reference '#]),0),AssetMonthlyReturns[[#This Row],[SPY]:[PE]])</f>
        <v>-1.256819295033108E-2</v>
      </c>
      <c r="IB91" s="27">
        <f>IF(ISNUMBER(IB90),IB90*(1+PortfolioFrontier[[#This Row],[P59 Return]]),1+PortfolioFrontier[[#This Row],[P59 Return]])</f>
        <v>1.6739313541204719</v>
      </c>
      <c r="IC91" s="27">
        <f>MAX(IC90,PortfolioFrontier[[#This Row],[P59 Growth]])</f>
        <v>1.7869282396294996</v>
      </c>
      <c r="ID91" s="27">
        <f>PortfolioFrontier[[#This Row],[P59 Growth]]/PortfolioFrontier[[#This Row],[P59 HWM]]-1</f>
        <v>-6.3235267652637539E-2</v>
      </c>
      <c r="IE91" s="28">
        <f>SUMPRODUCT(INDEX(PortfolioRef[[SPY]:[PE]],MATCH(IE$1,PortfolioRef[Reference '#]),0),AssetMonthlyReturns[[#This Row],[SPY]:[PE]])</f>
        <v>-9.6105978911286104E-3</v>
      </c>
      <c r="IF91" s="27">
        <f>IF(ISNUMBER(IF90),IF90*(1+PortfolioFrontier[[#This Row],[P60 Return]]),1+PortfolioFrontier[[#This Row],[P60 Return]])</f>
        <v>1.675585857895264</v>
      </c>
      <c r="IG91" s="27">
        <f>MAX(IG90,PortfolioFrontier[[#This Row],[P60 Growth]])</f>
        <v>1.7541215677111524</v>
      </c>
      <c r="IH91" s="27">
        <f>PortfolioFrontier[[#This Row],[P60 Growth]]/PortfolioFrontier[[#This Row],[P60 HWM]]-1</f>
        <v>-4.4772102037582751E-2</v>
      </c>
      <c r="II91" s="28">
        <f>SUMPRODUCT(INDEX(PortfolioRef[[SPY]:[PE]],MATCH(II$1,PortfolioRef[Reference '#]),0),AssetMonthlyReturns[[#This Row],[SPY]:[PE]])</f>
        <v>-9.5630293703419002E-3</v>
      </c>
      <c r="IJ91" s="27">
        <f>IF(ISNUMBER(IJ90),IJ90*(1+PortfolioFrontier[[#This Row],[P61 Return]]),1+PortfolioFrontier[[#This Row],[P61 Return]])</f>
        <v>1.5166671132129392</v>
      </c>
      <c r="IK91" s="27">
        <f>MAX(IK90,PortfolioFrontier[[#This Row],[P61 Growth]])</f>
        <v>1.6121264956964798</v>
      </c>
      <c r="IL91" s="27">
        <f>PortfolioFrontier[[#This Row],[P61 Growth]]/PortfolioFrontier[[#This Row],[P61 HWM]]-1</f>
        <v>-5.9213332662397367E-2</v>
      </c>
      <c r="IM91" s="28">
        <f>SUMPRODUCT(INDEX(PortfolioRef[[SPY]:[PE]],MATCH(IM$1,PortfolioRef[Reference '#]),0),AssetMonthlyReturns[[#This Row],[SPY]:[PE]])</f>
        <v>-9.88078201611493E-3</v>
      </c>
      <c r="IN91" s="27">
        <f>IF(ISNUMBER(IN90),IN90*(1+PortfolioFrontier[[#This Row],[P62 Return]]),1+PortfolioFrontier[[#This Row],[P62 Return]])</f>
        <v>1.5450838661704485</v>
      </c>
      <c r="IO91" s="27">
        <f>MAX(IO90,PortfolioFrontier[[#This Row],[P62 Growth]])</f>
        <v>1.6272630311124299</v>
      </c>
      <c r="IP91" s="27">
        <f>PortfolioFrontier[[#This Row],[P62 Growth]]/PortfolioFrontier[[#This Row],[P62 HWM]]-1</f>
        <v>-5.0501463728209961E-2</v>
      </c>
      <c r="IQ91" s="28">
        <f>SUMPRODUCT(INDEX(PortfolioRef[[SPY]:[PE]],MATCH(IQ$1,PortfolioRef[Reference '#]),0),AssetMonthlyReturns[[#This Row],[SPY]:[PE]])</f>
        <v>-1.0930850350929288E-2</v>
      </c>
      <c r="IR91" s="27">
        <f>IF(ISNUMBER(IR90),IR90*(1+PortfolioFrontier[[#This Row],[P63 Return]]),1+PortfolioFrontier[[#This Row],[P63 Return]])</f>
        <v>1.5385809704853226</v>
      </c>
      <c r="IS91" s="27">
        <f>MAX(IS90,PortfolioFrontier[[#This Row],[P63 Growth]])</f>
        <v>1.646884909102555</v>
      </c>
      <c r="IT91" s="27">
        <f>PortfolioFrontier[[#This Row],[P63 Growth]]/PortfolioFrontier[[#This Row],[P63 HWM]]-1</f>
        <v>-6.5762906696528622E-2</v>
      </c>
      <c r="IU91" s="28">
        <f>SUMPRODUCT(INDEX(PortfolioRef[[SPY]:[PE]],MATCH(IU$1,PortfolioRef[Reference '#]),0),AssetMonthlyReturns[[#This Row],[SPY]:[PE]])</f>
        <v>-7.9732552917268218E-3</v>
      </c>
      <c r="IV91" s="27">
        <f>IF(ISNUMBER(IV90),IV90*(1+PortfolioFrontier[[#This Row],[P64 Return]]),1+PortfolioFrontier[[#This Row],[P64 Return]])</f>
        <v>1.5380942498214265</v>
      </c>
      <c r="IW91" s="27">
        <f>MAX(IW90,PortfolioFrontier[[#This Row],[P64 Growth]])</f>
        <v>1.6151793879801097</v>
      </c>
      <c r="IX91" s="27">
        <f>PortfolioFrontier[[#This Row],[P64 Growth]]/PortfolioFrontier[[#This Row],[P64 HWM]]-1</f>
        <v>-4.7725434544508061E-2</v>
      </c>
      <c r="IY91" s="28">
        <f>SUMPRODUCT(INDEX(PortfolioRef[[SPY]:[PE]],MATCH(IY$1,PortfolioRef[Reference '#]),0),AssetMonthlyReturns[[#This Row],[SPY]:[PE]])</f>
        <v>-1.0198534661887958E-2</v>
      </c>
      <c r="IZ91" s="27">
        <f>IF(ISNUMBER(IZ90),IZ90*(1+PortfolioFrontier[[#This Row],[P65 Return]]),1+PortfolioFrontier[[#This Row],[P65 Return]])</f>
        <v>1.5736416028291835</v>
      </c>
      <c r="JA91" s="27">
        <f>MAX(JA90,PortfolioFrontier[[#This Row],[P65 Growth]])</f>
        <v>1.6422150953060746</v>
      </c>
      <c r="JB91" s="27">
        <f>PortfolioFrontier[[#This Row],[P65 Growth]]/PortfolioFrontier[[#This Row],[P65 HWM]]-1</f>
        <v>-4.1756705728070553E-2</v>
      </c>
      <c r="JC91" s="28">
        <f>SUMPRODUCT(INDEX(PortfolioRef[[SPY]:[PE]],MATCH(JC$1,PortfolioRef[Reference '#]),0),AssetMonthlyReturns[[#This Row],[SPY]:[PE]])</f>
        <v>-1.1248602996702314E-2</v>
      </c>
      <c r="JD91" s="27">
        <f>IF(ISNUMBER(JD90),JD90*(1+PortfolioFrontier[[#This Row],[P66 Return]]),1+PortfolioFrontier[[#This Row],[P66 Return]])</f>
        <v>1.5673810726324833</v>
      </c>
      <c r="JE91" s="27">
        <f>MAX(JE90,PortfolioFrontier[[#This Row],[P66 Growth]])</f>
        <v>1.6623077877531292</v>
      </c>
      <c r="JF91" s="27">
        <f>PortfolioFrontier[[#This Row],[P66 Growth]]/PortfolioFrontier[[#This Row],[P66 HWM]]-1</f>
        <v>-5.710537833005902E-2</v>
      </c>
      <c r="JG91" s="28">
        <f>SUMPRODUCT(INDEX(PortfolioRef[[SPY]:[PE]],MATCH(JG$1,PortfolioRef[Reference '#]),0),AssetMonthlyReturns[[#This Row],[SPY]:[PE]])</f>
        <v>-8.2910079374998499E-3</v>
      </c>
      <c r="JH91" s="27">
        <f>IF(ISNUMBER(JH90),JH90*(1+PortfolioFrontier[[#This Row],[P67 Return]]),1+PortfolioFrontier[[#This Row],[P67 Return]])</f>
        <v>1.5669213535814781</v>
      </c>
      <c r="JI91" s="27">
        <f>MAX(JI90,PortfolioFrontier[[#This Row],[P67 Growth]])</f>
        <v>1.6303687537292939</v>
      </c>
      <c r="JJ91" s="27">
        <f>PortfolioFrontier[[#This Row],[P67 Growth]]/PortfolioFrontier[[#This Row],[P67 HWM]]-1</f>
        <v>-3.8915981432229185E-2</v>
      </c>
      <c r="JK91" s="28">
        <f>SUMPRODUCT(INDEX(PortfolioRef[[SPY]:[PE]],MATCH(JK$1,PortfolioRef[Reference '#]),0),AssetMonthlyReturns[[#This Row],[SPY]:[PE]])</f>
        <v>-1.2298671331516676E-2</v>
      </c>
      <c r="JL91" s="27">
        <f>IF(ISNUMBER(JL90),JL90*(1+PortfolioFrontier[[#This Row],[P68 Return]]),1+PortfolioFrontier[[#This Row],[P68 Return]])</f>
        <v>1.5600069465157496</v>
      </c>
      <c r="JM91" s="27">
        <f>MAX(JM90,PortfolioFrontier[[#This Row],[P68 Growth]])</f>
        <v>1.6817622542850994</v>
      </c>
      <c r="JN91" s="27">
        <f>PortfolioFrontier[[#This Row],[P68 Growth]]/PortfolioFrontier[[#This Row],[P68 HWM]]-1</f>
        <v>-7.2397455382958942E-2</v>
      </c>
      <c r="JO91" s="28">
        <f>SUMPRODUCT(INDEX(PortfolioRef[[SPY]:[PE]],MATCH(JO$1,PortfolioRef[Reference '#]),0),AssetMonthlyReturns[[#This Row],[SPY]:[PE]])</f>
        <v>-9.3410762723142096E-3</v>
      </c>
      <c r="JP91" s="27">
        <f>IF(ISNUMBER(JP90),JP90*(1+PortfolioFrontier[[#This Row],[P69 Return]]),1+PortfolioFrontier[[#This Row],[P69 Return]])</f>
        <v>1.560359735896087</v>
      </c>
      <c r="JQ91" s="27">
        <f>MAX(JQ90,PortfolioFrontier[[#This Row],[P69 Growth]])</f>
        <v>1.6499912107010917</v>
      </c>
      <c r="JR91" s="27">
        <f>PortfolioFrontier[[#This Row],[P69 Growth]]/PortfolioFrontier[[#This Row],[P69 HWM]]-1</f>
        <v>-5.432239530956029E-2</v>
      </c>
      <c r="JS91" s="28">
        <f>SUMPRODUCT(INDEX(PortfolioRef[[SPY]:[PE]],MATCH(JS$1,PortfolioRef[Reference '#]),0),AssetMonthlyReturns[[#This Row],[SPY]:[PE]])</f>
        <v>-6.3834812131117408E-3</v>
      </c>
      <c r="JT91" s="27">
        <f>IF(ISNUMBER(JT90),JT90*(1+PortfolioFrontier[[#This Row],[P70 Return]]),1+PortfolioFrontier[[#This Row],[P70 Return]])</f>
        <v>1.5596492962065573</v>
      </c>
      <c r="JU91" s="27">
        <f>MAX(JU90,PortfolioFrontier[[#This Row],[P70 Growth]])</f>
        <v>1.6181178918603722</v>
      </c>
      <c r="JV91" s="27">
        <f>PortfolioFrontier[[#This Row],[P70 Growth]]/PortfolioFrontier[[#This Row],[P70 HWM]]-1</f>
        <v>-3.6133705676162253E-2</v>
      </c>
      <c r="JW91" s="28">
        <f>SUMPRODUCT(INDEX(PortfolioRef[[SPY]:[PE]],MATCH(JW$1,PortfolioRef[Reference '#]),0),AssetMonthlyReturns[[#This Row],[SPY]:[PE]])</f>
        <v>-1.1566355642475344E-2</v>
      </c>
      <c r="JX91" s="27">
        <f>IF(ISNUMBER(JX90),JX90*(1+PortfolioFrontier[[#This Row],[P71 Return]]),1+PortfolioFrontier[[#This Row],[P71 Return]])</f>
        <v>1.5963237224123261</v>
      </c>
      <c r="JY91" s="27">
        <f>MAX(JY90,PortfolioFrontier[[#This Row],[P71 Growth]])</f>
        <v>1.6775420819631024</v>
      </c>
      <c r="JZ91" s="27">
        <f>PortfolioFrontier[[#This Row],[P71 Growth]]/PortfolioFrontier[[#This Row],[P71 HWM]]-1</f>
        <v>-4.8415095170508349E-2</v>
      </c>
      <c r="KA91" s="28">
        <f>SUMPRODUCT(INDEX(PortfolioRef[[SPY]:[PE]],MATCH(KA$1,PortfolioRef[Reference '#]),0),AssetMonthlyReturns[[#This Row],[SPY]:[PE]])</f>
        <v>-8.6087605832728797E-3</v>
      </c>
      <c r="KB91" s="27">
        <f>IF(ISNUMBER(KB90),KB90*(1+PortfolioFrontier[[#This Row],[P72 Return]]),1+PortfolioFrontier[[#This Row],[P72 Return]])</f>
        <v>1.595892008418951</v>
      </c>
      <c r="KC91" s="27">
        <f>MAX(KC90,PortfolioFrontier[[#This Row],[P72 Growth]])</f>
        <v>1.6453738946019467</v>
      </c>
      <c r="KD91" s="27">
        <f>PortfolioFrontier[[#This Row],[P72 Growth]]/PortfolioFrontier[[#This Row],[P72 HWM]]-1</f>
        <v>-3.0073338555651863E-2</v>
      </c>
      <c r="KE91" s="28">
        <f>SUMPRODUCT(INDEX(PortfolioRef[[SPY]:[PE]],MATCH(KE$1,PortfolioRef[Reference '#]),0),AssetMonthlyReturns[[#This Row],[SPY]:[PE]])</f>
        <v>-1.2616423977289702E-2</v>
      </c>
      <c r="KF91" s="27">
        <f>IF(ISNUMBER(KF90),KF90*(1+PortfolioFrontier[[#This Row],[P73 Return]]),1+PortfolioFrontier[[#This Row],[P73 Return]])</f>
        <v>1.5891810068623917</v>
      </c>
      <c r="KG91" s="27">
        <f>MAX(KG90,PortfolioFrontier[[#This Row],[P73 Growth]])</f>
        <v>1.6974712283523181</v>
      </c>
      <c r="KH91" s="27">
        <f>PortfolioFrontier[[#This Row],[P73 Growth]]/PortfolioFrontier[[#This Row],[P73 HWM]]-1</f>
        <v>-6.3795026202028926E-2</v>
      </c>
      <c r="KI91" s="28">
        <f>SUMPRODUCT(INDEX(PortfolioRef[[SPY]:[PE]],MATCH(KI$1,PortfolioRef[Reference '#]),0),AssetMonthlyReturns[[#This Row],[SPY]:[PE]])</f>
        <v>-9.658828918087236E-3</v>
      </c>
      <c r="KJ91" s="27">
        <f>IF(ISNUMBER(KJ90),KJ90*(1+PortfolioFrontier[[#This Row],[P74 Return]]),1+PortfolioFrontier[[#This Row],[P74 Return]])</f>
        <v>1.5895764564018804</v>
      </c>
      <c r="KK91" s="27">
        <f>MAX(KK90,PortfolioFrontier[[#This Row],[P74 Growth]])</f>
        <v>1.6654678920548054</v>
      </c>
      <c r="KL91" s="27">
        <f>PortfolioFrontier[[#This Row],[P74 Growth]]/PortfolioFrontier[[#This Row],[P74 HWM]]-1</f>
        <v>-4.556763658727303E-2</v>
      </c>
      <c r="KM91" s="28">
        <f>SUMPRODUCT(INDEX(PortfolioRef[[SPY]:[PE]],MATCH(KM$1,PortfolioRef[Reference '#]),0),AssetMonthlyReturns[[#This Row],[SPY]:[PE]])</f>
        <v>-6.7012338588847689E-3</v>
      </c>
      <c r="KN91" s="27">
        <f>IF(ISNUMBER(KN90),KN90*(1+PortfolioFrontier[[#This Row],[P75 Return]]),1+PortfolioFrontier[[#This Row],[P75 Return]])</f>
        <v>1.5888895465848254</v>
      </c>
      <c r="KO91" s="27">
        <f>MAX(KO90,PortfolioFrontier[[#This Row],[P75 Growth]])</f>
        <v>1.6333591346427441</v>
      </c>
      <c r="KP91" s="27">
        <f>PortfolioFrontier[[#This Row],[P75 Growth]]/PortfolioFrontier[[#This Row],[P75 HWM]]-1</f>
        <v>-2.7225848323703339E-2</v>
      </c>
      <c r="KQ91" s="28">
        <f>SUMPRODUCT(INDEX(PortfolioRef[[SPY]:[PE]],MATCH(KQ$1,PortfolioRef[Reference '#]),0),AssetMonthlyReturns[[#This Row],[SPY]:[PE]])</f>
        <v>-1.366649231210406E-2</v>
      </c>
      <c r="KR91" s="27">
        <f>IF(ISNUMBER(KR90),KR90*(1+PortfolioFrontier[[#This Row],[P76 Return]]),1+PortfolioFrontier[[#This Row],[P76 Return]])</f>
        <v>1.5809127992856438</v>
      </c>
      <c r="KS91" s="27">
        <f>MAX(KS90,PortfolioFrontier[[#This Row],[P76 Growth]])</f>
        <v>1.7167314071133803</v>
      </c>
      <c r="KT91" s="27">
        <f>PortfolioFrontier[[#This Row],[P76 Growth]]/PortfolioFrontier[[#This Row],[P76 HWM]]-1</f>
        <v>-7.9114651986306073E-2</v>
      </c>
      <c r="KU91" s="28">
        <f>SUMPRODUCT(INDEX(PortfolioRef[[SPY]:[PE]],MATCH(KU$1,PortfolioRef[Reference '#]),0),AssetMonthlyReturns[[#This Row],[SPY]:[PE]])</f>
        <v>-1.0708897252901594E-2</v>
      </c>
      <c r="KV91" s="27">
        <f>IF(ISNUMBER(KV90),KV90*(1+PortfolioFrontier[[#This Row],[P77 Return]]),1+PortfolioFrontier[[#This Row],[P77 Return]])</f>
        <v>1.582131883822528</v>
      </c>
      <c r="KW91" s="27">
        <f>MAX(KW90,PortfolioFrontier[[#This Row],[P77 Growth]])</f>
        <v>1.6849217747429484</v>
      </c>
      <c r="KX91" s="27">
        <f>PortfolioFrontier[[#This Row],[P77 Growth]]/PortfolioFrontier[[#This Row],[P77 HWM]]-1</f>
        <v>-6.1005734783207921E-2</v>
      </c>
      <c r="KY91" s="28">
        <f>SUMPRODUCT(INDEX(PortfolioRef[[SPY]:[PE]],MATCH(KY$1,PortfolioRef[Reference '#]),0),AssetMonthlyReturns[[#This Row],[SPY]:[PE]])</f>
        <v>-7.7513021936991252E-3</v>
      </c>
      <c r="KZ91" s="27">
        <f>IF(ISNUMBER(KZ90),KZ90*(1+PortfolioFrontier[[#This Row],[P78 Return]]),1+PortfolioFrontier[[#This Row],[P78 Return]])</f>
        <v>1.5822693601379443</v>
      </c>
      <c r="LA91" s="27">
        <f>MAX(LA90,PortfolioFrontier[[#This Row],[P78 Growth]])</f>
        <v>1.6529805725839544</v>
      </c>
      <c r="LB91" s="27">
        <f>PortfolioFrontier[[#This Row],[P78 Growth]]/PortfolioFrontier[[#This Row],[P78 HWM]]-1</f>
        <v>-4.277800575446189E-2</v>
      </c>
      <c r="LC91" s="28">
        <f>SUMPRODUCT(INDEX(PortfolioRef[[SPY]:[PE]],MATCH(LC$1,PortfolioRef[Reference '#]),0),AssetMonthlyReturns[[#This Row],[SPY]:[PE]])</f>
        <v>-1.2934176623062732E-2</v>
      </c>
      <c r="LD91" s="27">
        <f>IF(ISNUMBER(LD90),LD90*(1+PortfolioFrontier[[#This Row],[P79 Return]]),1+PortfolioFrontier[[#This Row],[P79 Return]])</f>
        <v>1.6184991300767824</v>
      </c>
      <c r="LE91" s="27">
        <f>MAX(LE90,PortfolioFrontier[[#This Row],[P79 Growth]])</f>
        <v>1.7129874860839263</v>
      </c>
      <c r="LF91" s="27">
        <f>PortfolioFrontier[[#This Row],[P79 Growth]]/PortfolioFrontier[[#This Row],[P79 HWM]]-1</f>
        <v>-5.5159980312030399E-2</v>
      </c>
      <c r="LG91" s="28">
        <f>SUMPRODUCT(INDEX(PortfolioRef[[SPY]:[PE]],MATCH(LG$1,PortfolioRef[Reference '#]),0),AssetMonthlyReturns[[#This Row],[SPY]:[PE]])</f>
        <v>-9.9765815638602658E-3</v>
      </c>
      <c r="LH91" s="27">
        <f>IF(ISNUMBER(LH90),LH90*(1+PortfolioFrontier[[#This Row],[P80 Return]]),1+PortfolioFrontier[[#This Row],[P80 Return]])</f>
        <v>1.6189383238679094</v>
      </c>
      <c r="LI91" s="27">
        <f>MAX(LI90,PortfolioFrontier[[#This Row],[P80 Growth]])</f>
        <v>1.6807562405101484</v>
      </c>
      <c r="LJ91" s="27">
        <f>PortfolioFrontier[[#This Row],[P80 Growth]]/PortfolioFrontier[[#This Row],[P80 HWM]]-1</f>
        <v>-3.677982276803915E-2</v>
      </c>
      <c r="LK91" s="28">
        <f>SUMPRODUCT(INDEX(PortfolioRef[[SPY]:[PE]],MATCH(LK$1,PortfolioRef[Reference '#]),0),AssetMonthlyReturns[[#This Row],[SPY]:[PE]])</f>
        <v>-7.018986504657797E-3</v>
      </c>
      <c r="LL91" s="27">
        <f>IF(ISNUMBER(LL90),LL90*(1+PortfolioFrontier[[#This Row],[P81 Return]]),1+PortfolioFrontier[[#This Row],[P81 Return]])</f>
        <v>1.6182759460348239</v>
      </c>
      <c r="LM91" s="27">
        <f>MAX(LM90,PortfolioFrontier[[#This Row],[P81 Growth]])</f>
        <v>1.648416413491208</v>
      </c>
      <c r="LN91" s="27">
        <f>PortfolioFrontier[[#This Row],[P81 Growth]]/PortfolioFrontier[[#This Row],[P81 HWM]]-1</f>
        <v>-1.8284498510027003E-2</v>
      </c>
      <c r="LO91" s="28">
        <f>SUMPRODUCT(INDEX(PortfolioRef[[SPY]:[PE]],MATCH(LO$1,PortfolioRef[Reference '#]),0),AssetMonthlyReturns[[#This Row],[SPY]:[PE]])</f>
        <v>-1.3984244957877087E-2</v>
      </c>
      <c r="LP91" s="27">
        <f>IF(ISNUMBER(LP90),LP90*(1+PortfolioFrontier[[#This Row],[P82 Return]]),1+PortfolioFrontier[[#This Row],[P82 Return]])</f>
        <v>1.6104508710440106</v>
      </c>
      <c r="LQ91" s="27">
        <f>MAX(LQ90,PortfolioFrontier[[#This Row],[P82 Growth]])</f>
        <v>1.7327259878391794</v>
      </c>
      <c r="LR91" s="27">
        <f>PortfolioFrontier[[#This Row],[P82 Growth]]/PortfolioFrontier[[#This Row],[P82 HWM]]-1</f>
        <v>-7.0568063071330567E-2</v>
      </c>
      <c r="LS91" s="28">
        <f>SUMPRODUCT(INDEX(PortfolioRef[[SPY]:[PE]],MATCH(LS$1,PortfolioRef[Reference '#]),0),AssetMonthlyReturns[[#This Row],[SPY]:[PE]])</f>
        <v>-1.1026649898674624E-2</v>
      </c>
      <c r="LT91" s="27">
        <f>IF(ISNUMBER(LT90),LT90*(1+PortfolioFrontier[[#This Row],[P83 Return]]),1+PortfolioFrontier[[#This Row],[P83 Return]])</f>
        <v>1.6117287189132898</v>
      </c>
      <c r="LU91" s="27">
        <f>MAX(LU90,PortfolioFrontier[[#This Row],[P83 Growth]])</f>
        <v>1.7006855237848306</v>
      </c>
      <c r="LV91" s="27">
        <f>PortfolioFrontier[[#This Row],[P83 Growth]]/PortfolioFrontier[[#This Row],[P83 HWM]]-1</f>
        <v>-5.230643974293947E-2</v>
      </c>
      <c r="LW91" s="28">
        <f>SUMPRODUCT(INDEX(PortfolioRef[[SPY]:[PE]],MATCH(LW$1,PortfolioRef[Reference '#]),0),AssetMonthlyReturns[[#This Row],[SPY]:[PE]])</f>
        <v>-8.0690548394721541E-3</v>
      </c>
      <c r="LX91" s="27">
        <f>IF(ISNUMBER(LX90),LX90*(1+PortfolioFrontier[[#This Row],[P84 Return]]),1+PortfolioFrontier[[#This Row],[P84 Return]])</f>
        <v>1.6119055519484997</v>
      </c>
      <c r="LY91" s="27">
        <f>MAX(LY90,PortfolioFrontier[[#This Row],[P84 Growth]])</f>
        <v>1.6685100840279028</v>
      </c>
      <c r="LZ91" s="27">
        <f>PortfolioFrontier[[#This Row],[P84 Growth]]/PortfolioFrontier[[#This Row],[P84 HWM]]-1</f>
        <v>-3.3925196270169211E-2</v>
      </c>
      <c r="MA91" s="28">
        <f>SUMPRODUCT(INDEX(PortfolioRef[[SPY]:[PE]],MATCH(MA$1,PortfolioRef[Reference '#]),0),AssetMonthlyReturns[[#This Row],[SPY]:[PE]])</f>
        <v>-1.5034313292691445E-2</v>
      </c>
      <c r="MB91" s="27">
        <f>IF(ISNUMBER(MB90),MB90*(1+PortfolioFrontier[[#This Row],[P85 Return]]),1+PortfolioFrontier[[#This Row],[P85 Return]])</f>
        <v>1.601266350937449</v>
      </c>
      <c r="MC91" s="27">
        <f>MAX(MC90,PortfolioFrontier[[#This Row],[P85 Growth]])</f>
        <v>1.7517641950154219</v>
      </c>
      <c r="MD91" s="27">
        <f>PortfolioFrontier[[#This Row],[P85 Growth]]/PortfolioFrontier[[#This Row],[P85 HWM]]-1</f>
        <v>-8.5912159014443157E-2</v>
      </c>
      <c r="ME91" s="28">
        <f>SUMPRODUCT(INDEX(PortfolioRef[[SPY]:[PE]],MATCH(ME$1,PortfolioRef[Reference '#]),0),AssetMonthlyReturns[[#This Row],[SPY]:[PE]])</f>
        <v>-1.2076718233488982E-2</v>
      </c>
      <c r="MF91" s="27">
        <f>IF(ISNUMBER(MF90),MF90*(1+PortfolioFrontier[[#This Row],[P86 Return]]),1+PortfolioFrontier[[#This Row],[P86 Return]])</f>
        <v>1.6033779754053032</v>
      </c>
      <c r="MG91" s="27">
        <f>MAX(MG90,PortfolioFrontier[[#This Row],[P86 Growth]])</f>
        <v>1.7199439154573082</v>
      </c>
      <c r="MH91" s="27">
        <f>PortfolioFrontier[[#This Row],[P86 Growth]]/PortfolioFrontier[[#This Row],[P86 HWM]]-1</f>
        <v>-6.7773105276523915E-2</v>
      </c>
      <c r="MI91" s="28">
        <f>SUMPRODUCT(INDEX(PortfolioRef[[SPY]:[PE]],MATCH(MI$1,PortfolioRef[Reference '#]),0),AssetMonthlyReturns[[#This Row],[SPY]:[PE]])</f>
        <v>-9.1191231742865121E-3</v>
      </c>
      <c r="MJ91" s="27">
        <f>IF(ISNUMBER(MJ90),MJ90*(1+PortfolioFrontier[[#This Row],[P87 Return]]),1+PortfolioFrontier[[#This Row],[P87 Return]])</f>
        <v>1.6043906202865297</v>
      </c>
      <c r="MK91" s="27">
        <f>MAX(MK90,PortfolioFrontier[[#This Row],[P87 Growth]])</f>
        <v>1.6879617873128629</v>
      </c>
      <c r="ML91" s="27">
        <f>PortfolioFrontier[[#This Row],[P87 Growth]]/PortfolioFrontier[[#This Row],[P87 HWM]]-1</f>
        <v>-4.9510106007419563E-2</v>
      </c>
      <c r="MM91" s="28">
        <f>SUMPRODUCT(INDEX(PortfolioRef[[SPY]:[PE]],MATCH(MM$1,PortfolioRef[Reference '#]),0),AssetMonthlyReturns[[#This Row],[SPY]:[PE]])</f>
        <v>-1.4301997603650116E-2</v>
      </c>
      <c r="MN91" s="27">
        <f>IF(ISNUMBER(MN90),MN90*(1+PortfolioFrontier[[#This Row],[P88 Return]]),1+PortfolioFrontier[[#This Row],[P88 Return]])</f>
        <v>1.6401344700978542</v>
      </c>
      <c r="MO91" s="27">
        <f>MAX(MO90,PortfolioFrontier[[#This Row],[P88 Growth]])</f>
        <v>1.7485237047822844</v>
      </c>
      <c r="MP91" s="27">
        <f>PortfolioFrontier[[#This Row],[P88 Growth]]/PortfolioFrontier[[#This Row],[P88 HWM]]-1</f>
        <v>-6.1988999284356971E-2</v>
      </c>
      <c r="MQ91" s="28">
        <f>SUMPRODUCT(INDEX(PortfolioRef[[SPY]:[PE]],MATCH(MQ$1,PortfolioRef[Reference '#]),0),AssetMonthlyReturns[[#This Row],[SPY]:[PE]])</f>
        <v>-1.134440254444765E-2</v>
      </c>
      <c r="MR91" s="27">
        <f>IF(ISNUMBER(MR90),MR90*(1+PortfolioFrontier[[#This Row],[P89 Return]]),1+PortfolioFrontier[[#This Row],[P89 Return]])</f>
        <v>1.6414722473496222</v>
      </c>
      <c r="MS91" s="27">
        <f>MAX(MS90,PortfolioFrontier[[#This Row],[P89 Growth]])</f>
        <v>1.7162568132506029</v>
      </c>
      <c r="MT91" s="27">
        <f>PortfolioFrontier[[#This Row],[P89 Growth]]/PortfolioFrontier[[#This Row],[P89 HWM]]-1</f>
        <v>-4.357422812459999E-2</v>
      </c>
      <c r="MU91" s="28">
        <f>SUMPRODUCT(INDEX(PortfolioRef[[SPY]:[PE]],MATCH(MU$1,PortfolioRef[Reference '#]),0),AssetMonthlyReturns[[#This Row],[SPY]:[PE]])</f>
        <v>-8.3868074852451804E-3</v>
      </c>
      <c r="MV91" s="27">
        <f>IF(ISNUMBER(MV90),MV90*(1+PortfolioFrontier[[#This Row],[P90 Return]]),1+PortfolioFrontier[[#This Row],[P90 Return]])</f>
        <v>1.6416895211191709</v>
      </c>
      <c r="MW91" s="27">
        <f>MAX(MW90,PortfolioFrontier[[#This Row],[P90 Growth]])</f>
        <v>1.6838515290273213</v>
      </c>
      <c r="MX91" s="27">
        <f>PortfolioFrontier[[#This Row],[P90 Growth]]/PortfolioFrontier[[#This Row],[P90 HWM]]-1</f>
        <v>-2.5039029380758637E-2</v>
      </c>
      <c r="MY91" s="28">
        <f>SUMPRODUCT(INDEX(PortfolioRef[[SPY]:[PE]],MATCH(MY$1,PortfolioRef[Reference '#]),0),AssetMonthlyReturns[[#This Row],[SPY]:[PE]])</f>
        <v>-1.5352065938464474E-2</v>
      </c>
      <c r="MZ91" s="27">
        <f>IF(ISNUMBER(MZ90),MZ90*(1+PortfolioFrontier[[#This Row],[P91 Return]]),1+PortfolioFrontier[[#This Row],[P91 Return]])</f>
        <v>1.6311579341612719</v>
      </c>
      <c r="NA91" s="27">
        <f>MAX(NA90,PortfolioFrontier[[#This Row],[P91 Growth]])</f>
        <v>1.7680436458517257</v>
      </c>
      <c r="NB91" s="27">
        <f>PortfolioFrontier[[#This Row],[P91 Growth]]/PortfolioFrontier[[#This Row],[P91 HWM]]-1</f>
        <v>-7.7422133787037439E-2</v>
      </c>
      <c r="NC91" s="28">
        <f>SUMPRODUCT(INDEX(PortfolioRef[[SPY]:[PE]],MATCH(NC$1,PortfolioRef[Reference '#]),0),AssetMonthlyReturns[[#This Row],[SPY]:[PE]])</f>
        <v>-1.2394470879262012E-2</v>
      </c>
      <c r="ND91" s="27">
        <f>IF(ISNUMBER(ND90),ND90*(1+PortfolioFrontier[[#This Row],[P92 Return]]),1+PortfolioFrontier[[#This Row],[P92 Return]])</f>
        <v>1.6333448587510844</v>
      </c>
      <c r="NE91" s="27">
        <f>MAX(NE90,PortfolioFrontier[[#This Row],[P92 Growth]])</f>
        <v>1.73599424265744</v>
      </c>
      <c r="NF91" s="27">
        <f>PortfolioFrontier[[#This Row],[P92 Growth]]/PortfolioFrontier[[#This Row],[P92 HWM]]-1</f>
        <v>-5.9130025540419462E-2</v>
      </c>
      <c r="NG91" s="28">
        <f>SUMPRODUCT(INDEX(PortfolioRef[[SPY]:[PE]],MATCH(NG$1,PortfolioRef[Reference '#]),0),AssetMonthlyReturns[[#This Row],[SPY]:[PE]])</f>
        <v>-9.4368758200595419E-3</v>
      </c>
      <c r="NH91" s="27">
        <f>IF(ISNUMBER(NH90),NH90*(1+PortfolioFrontier[[#This Row],[P93 Return]]),1+PortfolioFrontier[[#This Row],[P93 Return]])</f>
        <v>1.6344131398378361</v>
      </c>
      <c r="NI91" s="27">
        <f>MAX(NI90,PortfolioFrontier[[#This Row],[P93 Growth]])</f>
        <v>1.7037793193389816</v>
      </c>
      <c r="NJ91" s="27">
        <f>PortfolioFrontier[[#This Row],[P93 Growth]]/PortfolioFrontier[[#This Row],[P93 HWM]]-1</f>
        <v>-4.0713124472045892E-2</v>
      </c>
      <c r="NK91" s="28">
        <f>SUMPRODUCT(INDEX(PortfolioRef[[SPY]:[PE]],MATCH(NK$1,PortfolioRef[Reference '#]),0),AssetMonthlyReturns[[#This Row],[SPY]:[PE]])</f>
        <v>-1.6402134273278832E-2</v>
      </c>
      <c r="NL91" s="27">
        <f>IF(ISNUMBER(NL90),NL90*(1+PortfolioFrontier[[#This Row],[P94 Return]]),1+PortfolioFrontier[[#This Row],[P94 Return]])</f>
        <v>1.6210355480254939</v>
      </c>
      <c r="NM91" s="27">
        <f>MAX(NM90,PortfolioFrontier[[#This Row],[P94 Growth]])</f>
        <v>1.7868313973018393</v>
      </c>
      <c r="NN91" s="27">
        <f>PortfolioFrontier[[#This Row],[P94 Growth]]/PortfolioFrontier[[#This Row],[P94 HWM]]-1</f>
        <v>-9.2787629278678119E-2</v>
      </c>
      <c r="NO91" s="28">
        <f>SUMPRODUCT(INDEX(PortfolioRef[[SPY]:[PE]],MATCH(NO$1,PortfolioRef[Reference '#]),0),AssetMonthlyReturns[[#This Row],[SPY]:[PE]])</f>
        <v>-1.3444539214076366E-2</v>
      </c>
      <c r="NP91" s="27">
        <f>IF(ISNUMBER(NP90),NP90*(1+PortfolioFrontier[[#This Row],[P95 Return]]),1+PortfolioFrontier[[#This Row],[P95 Return]])</f>
        <v>1.6240653544343739</v>
      </c>
      <c r="NQ91" s="27">
        <f>MAX(NQ90,PortfolioFrontier[[#This Row],[P95 Growth]])</f>
        <v>1.7550294195356591</v>
      </c>
      <c r="NR91" s="27">
        <f>PortfolioFrontier[[#This Row],[P95 Growth]]/PortfolioFrontier[[#This Row],[P95 HWM]]-1</f>
        <v>-7.4622148007031819E-2</v>
      </c>
      <c r="NS91" s="28">
        <f>SUMPRODUCT(INDEX(PortfolioRef[[SPY]:[PE]],MATCH(NS$1,PortfolioRef[Reference '#]),0),AssetMonthlyReturns[[#This Row],[SPY]:[PE]])</f>
        <v>-1.04869441548739E-2</v>
      </c>
      <c r="NT91" s="27">
        <f>IF(ISNUMBER(NT90),NT90*(1+PortfolioFrontier[[#This Row],[P96 Return]]),1+PortfolioFrontier[[#This Row],[P96 Return]])</f>
        <v>1.6259798787912401</v>
      </c>
      <c r="NU91" s="27">
        <f>MAX(NU90,PortfolioFrontier[[#This Row],[P96 Growth]])</f>
        <v>1.7230343324336159</v>
      </c>
      <c r="NV91" s="27">
        <f>PortfolioFrontier[[#This Row],[P96 Growth]]/PortfolioFrontier[[#This Row],[P96 HWM]]-1</f>
        <v>-5.6327637711836021E-2</v>
      </c>
      <c r="NW91" s="28">
        <f>SUMPRODUCT(INDEX(PortfolioRef[[SPY]:[PE]],MATCH(NW$1,PortfolioRef[Reference '#]),0),AssetMonthlyReturns[[#This Row],[SPY]:[PE]])</f>
        <v>-9.0715546534998019E-3</v>
      </c>
      <c r="NX91" s="27">
        <f>IF(ISNUMBER(NX90),NX90*(1+PortfolioFrontier[[#This Row],[P97 Return]]),1+PortfolioFrontier[[#This Row],[P97 Return]])</f>
        <v>1.4504531991784384</v>
      </c>
      <c r="NY91" s="27">
        <f>MAX(NY90,PortfolioFrontier[[#This Row],[P97 Growth]])</f>
        <v>1.5498139523617234</v>
      </c>
      <c r="NZ91" s="27">
        <f>PortfolioFrontier[[#This Row],[P97 Growth]]/PortfolioFrontier[[#This Row],[P97 HWM]]-1</f>
        <v>-6.4111407070423843E-2</v>
      </c>
      <c r="OA91" s="28">
        <f>SUMPRODUCT(INDEX(PortfolioRef[[SPY]:[PE]],MATCH(OA$1,PortfolioRef[Reference '#]),0),AssetMonthlyReturns[[#This Row],[SPY]:[PE]])</f>
        <v>-9.38930729927283E-3</v>
      </c>
      <c r="OB91" s="27">
        <f>IF(ISNUMBER(OB90),OB90*(1+PortfolioFrontier[[#This Row],[P98 Return]]),1+PortfolioFrontier[[#This Row],[P98 Return]])</f>
        <v>1.4776361165642036</v>
      </c>
      <c r="OC91" s="27">
        <f>MAX(OC90,PortfolioFrontier[[#This Row],[P98 Growth]])</f>
        <v>1.5643918723292729</v>
      </c>
      <c r="OD91" s="27">
        <f>PortfolioFrontier[[#This Row],[P98 Growth]]/PortfolioFrontier[[#This Row],[P98 HWM]]-1</f>
        <v>-5.5456537009423323E-2</v>
      </c>
      <c r="OE91" s="28">
        <f>SUMPRODUCT(INDEX(PortfolioRef[[SPY]:[PE]],MATCH(OE$1,PortfolioRef[Reference '#]),0),AssetMonthlyReturns[[#This Row],[SPY]:[PE]])</f>
        <v>-1.0439375634087186E-2</v>
      </c>
      <c r="OF91" s="27">
        <f>IF(ISNUMBER(OF90),OF90*(1+PortfolioFrontier[[#This Row],[P99 Return]]),1+PortfolioFrontier[[#This Row],[P99 Return]])</f>
        <v>1.47195364225881</v>
      </c>
      <c r="OG91" s="27">
        <f>MAX(OG90,PortfolioFrontier[[#This Row],[P99 Growth]])</f>
        <v>1.5836627563813395</v>
      </c>
      <c r="OH91" s="27">
        <f>PortfolioFrontier[[#This Row],[P99 Growth]]/PortfolioFrontier[[#This Row],[P99 HWM]]-1</f>
        <v>-7.0538448714790869E-2</v>
      </c>
      <c r="OI91" s="28">
        <f>SUMPRODUCT(INDEX(PortfolioRef[[SPY]:[PE]],MATCH(OI$1,PortfolioRef[Reference '#]),0),AssetMonthlyReturns[[#This Row],[SPY]:[PE]])</f>
        <v>-7.4817805748847218E-3</v>
      </c>
      <c r="OJ91" s="27">
        <f>IF(ISNUMBER(OJ90),OJ90*(1+PortfolioFrontier[[#This Row],[P100 Return]]),1+PortfolioFrontier[[#This Row],[P100 Return]])</f>
        <v>1.4709678488243445</v>
      </c>
      <c r="OK91" s="27">
        <f>MAX(OK90,PortfolioFrontier[[#This Row],[P100 Growth]])</f>
        <v>1.5528062347399851</v>
      </c>
      <c r="OL91" s="27">
        <f>PortfolioFrontier[[#This Row],[P100 Growth]]/PortfolioFrontier[[#This Row],[P100 HWM]]-1</f>
        <v>-5.2703540264535498E-2</v>
      </c>
      <c r="OM91" s="28">
        <f>SUMPRODUCT(INDEX(PortfolioRef[[SPY]:[PE]],MATCH(OM$1,PortfolioRef[Reference '#]),0),AssetMonthlyReturns[[#This Row],[SPY]:[PE]])</f>
        <v>-9.7070599450458598E-3</v>
      </c>
      <c r="ON91" s="27">
        <f>IF(ISNUMBER(ON90),ON90*(1+PortfolioFrontier[[#This Row],[P101 Return]]),1+PortfolioFrontier[[#This Row],[P101 Return]])</f>
        <v>1.5049533326719569</v>
      </c>
      <c r="OO91" s="27">
        <f>MAX(OO90,PortfolioFrontier[[#This Row],[P101 Growth]])</f>
        <v>1.5787921813488919</v>
      </c>
      <c r="OP91" s="27">
        <f>PortfolioFrontier[[#This Row],[P101 Growth]]/PortfolioFrontier[[#This Row],[P101 HWM]]-1</f>
        <v>-4.6769200879781647E-2</v>
      </c>
      <c r="OQ91" s="28">
        <f>SUMPRODUCT(INDEX(PortfolioRef[[SPY]:[PE]],MATCH(OQ$1,PortfolioRef[Reference '#]),0),AssetMonthlyReturns[[#This Row],[SPY]:[PE]])</f>
        <v>-1.0757128279860216E-2</v>
      </c>
      <c r="OR91" s="27">
        <f>IF(ISNUMBER(OR90),OR90*(1+PortfolioFrontier[[#This Row],[P102 Return]]),1+PortfolioFrontier[[#This Row],[P102 Return]])</f>
        <v>1.4995131778116364</v>
      </c>
      <c r="OS91" s="27">
        <f>MAX(OS90,PortfolioFrontier[[#This Row],[P102 Growth]])</f>
        <v>1.5985203886251573</v>
      </c>
      <c r="OT91" s="27">
        <f>PortfolioFrontier[[#This Row],[P102 Growth]]/PortfolioFrontier[[#This Row],[P102 HWM]]-1</f>
        <v>-6.1936783239076698E-2</v>
      </c>
      <c r="OU91" s="28">
        <f>SUMPRODUCT(INDEX(PortfolioRef[[SPY]:[PE]],MATCH(OU$1,PortfolioRef[Reference '#]),0),AssetMonthlyReturns[[#This Row],[SPY]:[PE]])</f>
        <v>-7.7995332206577516E-3</v>
      </c>
      <c r="OV91" s="27">
        <f>IF(ISNUMBER(OV90),OV90*(1+PortfolioFrontier[[#This Row],[P103 Return]]),1+PortfolioFrontier[[#This Row],[P103 Return]])</f>
        <v>1.4985437978513414</v>
      </c>
      <c r="OW91" s="27">
        <f>MAX(OW90,PortfolioFrontier[[#This Row],[P103 Growth]])</f>
        <v>1.5674355228105428</v>
      </c>
      <c r="OX91" s="27">
        <f>PortfolioFrontier[[#This Row],[P103 Growth]]/PortfolioFrontier[[#This Row],[P103 HWM]]-1</f>
        <v>-4.3951871676145782E-2</v>
      </c>
      <c r="OY91" s="28">
        <f>SUMPRODUCT(INDEX(PortfolioRef[[SPY]:[PE]],MATCH(OY$1,PortfolioRef[Reference '#]),0),AssetMonthlyReturns[[#This Row],[SPY]:[PE]])</f>
        <v>-1.1807196614674574E-2</v>
      </c>
      <c r="OZ91" s="27">
        <f>IF(ISNUMBER(OZ90),OZ90*(1+PortfolioFrontier[[#This Row],[P104 Return]]),1+PortfolioFrontier[[#This Row],[P104 Return]])</f>
        <v>1.4930044975436374</v>
      </c>
      <c r="PA91" s="27">
        <f>MAX(PA90,PortfolioFrontier[[#This Row],[P104 Growth]])</f>
        <v>1.6176462594840681</v>
      </c>
      <c r="PB91" s="27">
        <f>PortfolioFrontier[[#This Row],[P104 Growth]]/PortfolioFrontier[[#This Row],[P104 HWM]]-1</f>
        <v>-7.7051309091632936E-2</v>
      </c>
      <c r="PC91" s="28">
        <f>SUMPRODUCT(INDEX(PortfolioRef[[SPY]:[PE]],MATCH(PC$1,PortfolioRef[Reference '#]),0),AssetMonthlyReturns[[#This Row],[SPY]:[PE]])</f>
        <v>-8.8496015554721079E-3</v>
      </c>
      <c r="PD91" s="27">
        <f>IF(ISNUMBER(PD90),PD90*(1+PortfolioFrontier[[#This Row],[P105 Return]]),1+PortfolioFrontier[[#This Row],[P105 Return]])</f>
        <v>1.4928125546051569</v>
      </c>
      <c r="PE91" s="27">
        <f>MAX(PE90,PortfolioFrontier[[#This Row],[P105 Growth]])</f>
        <v>1.5867085542337835</v>
      </c>
      <c r="PF91" s="27">
        <f>PortfolioFrontier[[#This Row],[P105 Growth]]/PortfolioFrontier[[#This Row],[P105 HWM]]-1</f>
        <v>-5.9176588780646466E-2</v>
      </c>
      <c r="PG91" s="28">
        <f>SUMPRODUCT(INDEX(PortfolioRef[[SPY]:[PE]],MATCH(PG$1,PortfolioRef[Reference '#]),0),AssetMonthlyReturns[[#This Row],[SPY]:[PE]])</f>
        <v>-5.8920064962696408E-3</v>
      </c>
      <c r="PH91" s="27">
        <f>IF(ISNUMBER(PH90),PH90*(1+PortfolioFrontier[[#This Row],[P106 Return]]),1+PortfolioFrontier[[#This Row],[P106 Return]])</f>
        <v>1.4916055310112262</v>
      </c>
      <c r="PI91" s="27">
        <f>MAX(PI90,PortfolioFrontier[[#This Row],[P106 Growth]])</f>
        <v>1.5556887430167754</v>
      </c>
      <c r="PJ91" s="27">
        <f>PortfolioFrontier[[#This Row],[P106 Growth]]/PortfolioFrontier[[#This Row],[P106 HWM]]-1</f>
        <v>-4.119282362439658E-2</v>
      </c>
      <c r="PK91" s="28">
        <f>SUMPRODUCT(INDEX(PortfolioRef[[SPY]:[PE]],MATCH(PK$1,PortfolioRef[Reference '#]),0),AssetMonthlyReturns[[#This Row],[SPY]:[PE]])</f>
        <v>-1.1074880925633246E-2</v>
      </c>
      <c r="PL91" s="27">
        <f>IF(ISNUMBER(PL90),PL90*(1+PortfolioFrontier[[#This Row],[P107 Return]]),1+PortfolioFrontier[[#This Row],[P107 Return]])</f>
        <v>1.5272085477820772</v>
      </c>
      <c r="PM91" s="27">
        <f>MAX(PM90,PortfolioFrontier[[#This Row],[P107 Growth]])</f>
        <v>1.6131964012798079</v>
      </c>
      <c r="PN91" s="27">
        <f>PortfolioFrontier[[#This Row],[P107 Growth]]/PortfolioFrontier[[#This Row],[P107 HWM]]-1</f>
        <v>-5.3302780386513038E-2</v>
      </c>
      <c r="PO91" s="28">
        <f>SUMPRODUCT(INDEX(PortfolioRef[[SPY]:[PE]],MATCH(PO$1,PortfolioRef[Reference '#]),0),AssetMonthlyReturns[[#This Row],[SPY]:[PE]])</f>
        <v>-8.1172858664307797E-3</v>
      </c>
      <c r="PP91" s="27">
        <f>IF(ISNUMBER(PP90),PP90*(1+PortfolioFrontier[[#This Row],[P108 Return]]),1+PortfolioFrontier[[#This Row],[P108 Return]])</f>
        <v>1.5262564990805365</v>
      </c>
      <c r="PQ91" s="27">
        <f>MAX(PQ90,PortfolioFrontier[[#This Row],[P108 Growth]])</f>
        <v>1.5818874318633449</v>
      </c>
      <c r="PR91" s="27">
        <f>PortfolioFrontier[[#This Row],[P108 Growth]]/PortfolioFrontier[[#This Row],[P108 HWM]]-1</f>
        <v>-3.5167440907776459E-2</v>
      </c>
      <c r="PS91" s="28">
        <f>SUMPRODUCT(INDEX(PortfolioRef[[SPY]:[PE]],MATCH(PS$1,PortfolioRef[Reference '#]),0),AssetMonthlyReturns[[#This Row],[SPY]:[PE]])</f>
        <v>-1.2124949260447604E-2</v>
      </c>
      <c r="PT91" s="27">
        <f>IF(ISNUMBER(PT90),PT90*(1+PortfolioFrontier[[#This Row],[P109 Return]]),1+PortfolioFrontier[[#This Row],[P109 Return]])</f>
        <v>1.5209319583260934</v>
      </c>
      <c r="PU91" s="27">
        <f>MAX(PU90,PortfolioFrontier[[#This Row],[P109 Growth]])</f>
        <v>1.6327835279326679</v>
      </c>
      <c r="PV91" s="27">
        <f>PortfolioFrontier[[#This Row],[P109 Growth]]/PortfolioFrontier[[#This Row],[P109 HWM]]-1</f>
        <v>-6.850361220154777E-2</v>
      </c>
      <c r="PW91" s="28">
        <f>SUMPRODUCT(INDEX(PortfolioRef[[SPY]:[PE]],MATCH(PW$1,PortfolioRef[Reference '#]),0),AssetMonthlyReturns[[#This Row],[SPY]:[PE]])</f>
        <v>-9.1673542012451377E-3</v>
      </c>
      <c r="PX91" s="27">
        <f>IF(ISNUMBER(PX90),PX90*(1+PortfolioFrontier[[#This Row],[P110 Return]]),1+PortfolioFrontier[[#This Row],[P110 Return]])</f>
        <v>1.5207712662236064</v>
      </c>
      <c r="PY91" s="27">
        <f>MAX(PY90,PortfolioFrontier[[#This Row],[P110 Growth]])</f>
        <v>1.6016185143364081</v>
      </c>
      <c r="PZ91" s="27">
        <f>PortfolioFrontier[[#This Row],[P110 Growth]]/PortfolioFrontier[[#This Row],[P110 HWM]]-1</f>
        <v>-5.0478467493427326E-2</v>
      </c>
      <c r="QA91" s="28">
        <f>SUMPRODUCT(INDEX(PortfolioRef[[SPY]:[PE]],MATCH(QA$1,PortfolioRef[Reference '#]),0),AssetMonthlyReturns[[#This Row],[SPY]:[PE]])</f>
        <v>-6.2097591420426689E-3</v>
      </c>
      <c r="QB91" s="27">
        <f>IF(ISNUMBER(QB90),QB90*(1+PortfolioFrontier[[#This Row],[P111 Return]]),1+PortfolioFrontier[[#This Row],[P111 Return]])</f>
        <v>1.5195772011716786</v>
      </c>
      <c r="QC91" s="27">
        <f>MAX(QC90,PortfolioFrontier[[#This Row],[P111 Growth]])</f>
        <v>1.5703684845094485</v>
      </c>
      <c r="QD91" s="27">
        <f>PortfolioFrontier[[#This Row],[P111 Growth]]/PortfolioFrontier[[#This Row],[P111 HWM]]-1</f>
        <v>-3.2343544740479291E-2</v>
      </c>
      <c r="QE91" s="28">
        <f>SUMPRODUCT(INDEX(PortfolioRef[[SPY]:[PE]],MATCH(QE$1,PortfolioRef[Reference '#]),0),AssetMonthlyReturns[[#This Row],[SPY]:[PE]])</f>
        <v>-1.3175017595261962E-2</v>
      </c>
      <c r="QF91" s="27">
        <f>IF(ISNUMBER(QF90),QF90*(1+PortfolioFrontier[[#This Row],[P112 Return]]),1+PortfolioFrontier[[#This Row],[P112 Return]])</f>
        <v>1.5135745698842225</v>
      </c>
      <c r="QG91" s="27">
        <f>MAX(QG90,PortfolioFrontier[[#This Row],[P112 Growth]])</f>
        <v>1.6517386955477045</v>
      </c>
      <c r="QH91" s="27">
        <f>PortfolioFrontier[[#This Row],[P112 Growth]]/PortfolioFrontier[[#This Row],[P112 HWM]]-1</f>
        <v>-8.3647689574571471E-2</v>
      </c>
      <c r="QI91" s="28">
        <f>SUMPRODUCT(INDEX(PortfolioRef[[SPY]:[PE]],MATCH(QI$1,PortfolioRef[Reference '#]),0),AssetMonthlyReturns[[#This Row],[SPY]:[PE]])</f>
        <v>-1.0217422536059496E-2</v>
      </c>
      <c r="QJ91" s="27">
        <f>IF(ISNUMBER(QJ90),QJ90*(1+PortfolioFrontier[[#This Row],[P113 Return]]),1+PortfolioFrontier[[#This Row],[P113 Return]])</f>
        <v>1.5142027122523072</v>
      </c>
      <c r="QK91" s="27">
        <f>MAX(QK90,PortfolioFrontier[[#This Row],[P113 Growth]])</f>
        <v>1.6207454292109018</v>
      </c>
      <c r="QL91" s="27">
        <f>PortfolioFrontier[[#This Row],[P113 Growth]]/PortfolioFrontier[[#This Row],[P113 HWM]]-1</f>
        <v>-6.5736860976660316E-2</v>
      </c>
      <c r="QM91" s="28">
        <f>SUMPRODUCT(INDEX(PortfolioRef[[SPY]:[PE]],MATCH(QM$1,PortfolioRef[Reference '#]),0),AssetMonthlyReturns[[#This Row],[SPY]:[PE]])</f>
        <v>-7.2598274768570269E-3</v>
      </c>
      <c r="QN91" s="27">
        <f>IF(ISNUMBER(QN90),QN90*(1+PortfolioFrontier[[#This Row],[P114 Return]]),1+PortfolioFrontier[[#This Row],[P114 Return]])</f>
        <v>1.5137973819335031</v>
      </c>
      <c r="QO91" s="27">
        <f>MAX(QO90,PortfolioFrontier[[#This Row],[P114 Growth]])</f>
        <v>1.5896421022161857</v>
      </c>
      <c r="QP91" s="27">
        <f>PortfolioFrontier[[#This Row],[P114 Growth]]/PortfolioFrontier[[#This Row],[P114 HWM]]-1</f>
        <v>-4.7711821533252263E-2</v>
      </c>
      <c r="QQ91" s="28">
        <f>SUMPRODUCT(INDEX(PortfolioRef[[SPY]:[PE]],MATCH(QQ$1,PortfolioRef[Reference '#]),0),AssetMonthlyReturns[[#This Row],[SPY]:[PE]])</f>
        <v>-1.244270190622063E-2</v>
      </c>
      <c r="QR91" s="27">
        <f>IF(ISNUMBER(QR90),QR90*(1+PortfolioFrontier[[#This Row],[P115 Return]]),1+PortfolioFrontier[[#This Row],[P115 Return]])</f>
        <v>1.5489967439069745</v>
      </c>
      <c r="QS91" s="27">
        <f>MAX(QS90,PortfolioFrontier[[#This Row],[P115 Growth]])</f>
        <v>1.6477351477866757</v>
      </c>
      <c r="QT91" s="27">
        <f>PortfolioFrontier[[#This Row],[P115 Growth]]/PortfolioFrontier[[#This Row],[P115 HWM]]-1</f>
        <v>-5.99237104411664E-2</v>
      </c>
      <c r="QU91" s="28">
        <f>SUMPRODUCT(INDEX(PortfolioRef[[SPY]:[PE]],MATCH(QU$1,PortfolioRef[Reference '#]),0),AssetMonthlyReturns[[#This Row],[SPY]:[PE]])</f>
        <v>-9.485106847018164E-3</v>
      </c>
      <c r="QV91" s="27">
        <f>IF(ISNUMBER(QV90),QV90*(1+PortfolioFrontier[[#This Row],[P116 Return]]),1+PortfolioFrontier[[#This Row],[P116 Return]])</f>
        <v>1.5488682971048859</v>
      </c>
      <c r="QW91" s="27">
        <f>MAX(QW90,PortfolioFrontier[[#This Row],[P116 Growth]])</f>
        <v>1.6163470917094751</v>
      </c>
      <c r="QX91" s="27">
        <f>PortfolioFrontier[[#This Row],[P116 Growth]]/PortfolioFrontier[[#This Row],[P116 HWM]]-1</f>
        <v>-4.1747713068993386E-2</v>
      </c>
      <c r="QY91" s="28">
        <f>SUMPRODUCT(INDEX(PortfolioRef[[SPY]:[PE]],MATCH(QY$1,PortfolioRef[Reference '#]),0),AssetMonthlyReturns[[#This Row],[SPY]:[PE]])</f>
        <v>-6.527511787815697E-3</v>
      </c>
      <c r="QZ91" s="27">
        <f>IF(ISNUMBER(QZ90),QZ90*(1+PortfolioFrontier[[#This Row],[P117 Return]]),1+PortfolioFrontier[[#This Row],[P117 Return]])</f>
        <v>1.5476881064239296</v>
      </c>
      <c r="RA91" s="27">
        <f>MAX(RA90,PortfolioFrontier[[#This Row],[P117 Growth]])</f>
        <v>1.5848710929942145</v>
      </c>
      <c r="RB91" s="27">
        <f>PortfolioFrontier[[#This Row],[P117 Growth]]/PortfolioFrontier[[#This Row],[P117 HWM]]-1</f>
        <v>-2.3461205605079805E-2</v>
      </c>
      <c r="RC91" s="28">
        <f>SUMPRODUCT(INDEX(PortfolioRef[[SPY]:[PE]],MATCH(RC$1,PortfolioRef[Reference '#]),0),AssetMonthlyReturns[[#This Row],[SPY]:[PE]])</f>
        <v>-1.3492770241034988E-2</v>
      </c>
      <c r="RD91" s="27">
        <f>IF(ISNUMBER(RD90),RD90*(1+PortfolioFrontier[[#This Row],[P118 Return]]),1+PortfolioFrontier[[#This Row],[P118 Return]])</f>
        <v>1.5418607242723996</v>
      </c>
      <c r="RE91" s="27">
        <f>MAX(RE90,PortfolioFrontier[[#This Row],[P118 Growth]])</f>
        <v>1.667155293527623</v>
      </c>
      <c r="RF91" s="27">
        <f>PortfolioFrontier[[#This Row],[P118 Growth]]/PortfolioFrontier[[#This Row],[P118 HWM]]-1</f>
        <v>-7.5154707987703961E-2</v>
      </c>
      <c r="RG91" s="28">
        <f>SUMPRODUCT(INDEX(PortfolioRef[[SPY]:[PE]],MATCH(RG$1,PortfolioRef[Reference '#]),0),AssetMonthlyReturns[[#This Row],[SPY]:[PE]])</f>
        <v>-1.0535175181832526E-2</v>
      </c>
      <c r="RH91" s="27">
        <f>IF(ISNUMBER(RH90),RH90*(1+PortfolioFrontier[[#This Row],[P119 Return]]),1+PortfolioFrontier[[#This Row],[P119 Return]])</f>
        <v>1.5425353916243401</v>
      </c>
      <c r="RI91" s="27">
        <f>MAX(RI90,PortfolioFrontier[[#This Row],[P119 Growth]])</f>
        <v>1.6359359857167841</v>
      </c>
      <c r="RJ91" s="27">
        <f>PortfolioFrontier[[#This Row],[P119 Growth]]/PortfolioFrontier[[#This Row],[P119 HWM]]-1</f>
        <v>-5.709306165272765E-2</v>
      </c>
      <c r="RK91" s="28">
        <f>SUMPRODUCT(INDEX(PortfolioRef[[SPY]:[PE]],MATCH(RK$1,PortfolioRef[Reference '#]),0),AssetMonthlyReturns[[#This Row],[SPY]:[PE]])</f>
        <v>-7.5775801226300567E-3</v>
      </c>
      <c r="RL91" s="27">
        <f>IF(ISNUMBER(RL90),RL90*(1+PortfolioFrontier[[#This Row],[P120 Return]]),1+PortfolioFrontier[[#This Row],[P120 Return]])</f>
        <v>1.5421580150306222</v>
      </c>
      <c r="RM91" s="27">
        <f>MAX(RM90,PortfolioFrontier[[#This Row],[P120 Growth]])</f>
        <v>1.6046034567476111</v>
      </c>
      <c r="RN91" s="27">
        <f>PortfolioFrontier[[#This Row],[P120 Growth]]/PortfolioFrontier[[#This Row],[P120 HWM]]-1</f>
        <v>-3.8916432252713795E-2</v>
      </c>
      <c r="RO91" s="28">
        <f>SUMPRODUCT(INDEX(PortfolioRef[[SPY]:[PE]],MATCH(RO$1,PortfolioRef[Reference '#]),0),AssetMonthlyReturns[[#This Row],[SPY]:[PE]])</f>
        <v>-1.4542838575849346E-2</v>
      </c>
      <c r="RP91" s="27">
        <f>IF(ISNUMBER(RP90),RP90*(1+PortfolioFrontier[[#This Row],[P121 Return]]),1+PortfolioFrontier[[#This Row],[P121 Return]])</f>
        <v>1.533632685333626</v>
      </c>
      <c r="RQ91" s="27">
        <f>MAX(RQ90,PortfolioFrontier[[#This Row],[P121 Growth]])</f>
        <v>1.6859132740659151</v>
      </c>
      <c r="RR91" s="27">
        <f>PortfolioFrontier[[#This Row],[P121 Growth]]/PortfolioFrontier[[#This Row],[P121 HWM]]-1</f>
        <v>-9.0325280116594686E-2</v>
      </c>
      <c r="RS91" s="28">
        <f>SUMPRODUCT(INDEX(PortfolioRef[[SPY]:[PE]],MATCH(RS$1,PortfolioRef[Reference '#]),0),AssetMonthlyReturns[[#This Row],[SPY]:[PE]])</f>
        <v>-1.1585243516646882E-2</v>
      </c>
      <c r="RT91" s="27">
        <f>IF(ISNUMBER(RT90),RT90*(1+PortfolioFrontier[[#This Row],[P122 Return]]),1+PortfolioFrontier[[#This Row],[P122 Return]])</f>
        <v>1.5351066669930553</v>
      </c>
      <c r="RU91" s="27">
        <f>MAX(RU90,PortfolioFrontier[[#This Row],[P122 Growth]])</f>
        <v>1.6548910536150563</v>
      </c>
      <c r="RV91" s="27">
        <f>PortfolioFrontier[[#This Row],[P122 Growth]]/PortfolioFrontier[[#This Row],[P122 HWM]]-1</f>
        <v>-7.2382037693862533E-2</v>
      </c>
      <c r="RW91" s="28">
        <f>SUMPRODUCT(INDEX(PortfolioRef[[SPY]:[PE]],MATCH(RW$1,PortfolioRef[Reference '#]),0),AssetMonthlyReturns[[#This Row],[SPY]:[PE]])</f>
        <v>-8.6276484574444139E-3</v>
      </c>
      <c r="RX91" s="27">
        <f>IF(ISNUMBER(RX90),RX90*(1+PortfolioFrontier[[#This Row],[P123 Return]]),1+PortfolioFrontier[[#This Row],[P123 Return]])</f>
        <v>1.5355297181608905</v>
      </c>
      <c r="RY91" s="27">
        <f>MAX(RY90,PortfolioFrontier[[#This Row],[P123 Growth]])</f>
        <v>1.6237298558231279</v>
      </c>
      <c r="RZ91" s="27">
        <f>PortfolioFrontier[[#This Row],[P123 Growth]]/PortfolioFrontier[[#This Row],[P123 HWM]]-1</f>
        <v>-5.4319465362990149E-2</v>
      </c>
      <c r="SA91" s="28">
        <f>SUMPRODUCT(INDEX(PortfolioRef[[SPY]:[PE]],MATCH(SA$1,PortfolioRef[Reference '#]),0),AssetMonthlyReturns[[#This Row],[SPY]:[PE]])</f>
        <v>-1.3810522886808018E-2</v>
      </c>
      <c r="SB91" s="27">
        <f>IF(ISNUMBER(SB90),SB90*(1+PortfolioFrontier[[#This Row],[P124 Return]]),1+PortfolioFrontier[[#This Row],[P124 Return]])</f>
        <v>1.5702856464753638</v>
      </c>
      <c r="SC91" s="27">
        <f>MAX(SC90,PortfolioFrontier[[#This Row],[P124 Growth]])</f>
        <v>1.6823821965094672</v>
      </c>
      <c r="SD91" s="27">
        <f>PortfolioFrontier[[#This Row],[P124 Growth]]/PortfolioFrontier[[#This Row],[P124 HWM]]-1</f>
        <v>-6.6629657795164721E-2</v>
      </c>
      <c r="SE91" s="28">
        <f>SUMPRODUCT(INDEX(PortfolioRef[[SPY]:[PE]],MATCH(SE$1,PortfolioRef[Reference '#]),0),AssetMonthlyReturns[[#This Row],[SPY]:[PE]])</f>
        <v>-1.0852927827605552E-2</v>
      </c>
      <c r="SF91" s="27">
        <f>IF(ISNUMBER(SF90),SF90*(1+PortfolioFrontier[[#This Row],[P125 Return]]),1+PortfolioFrontier[[#This Row],[P125 Return]])</f>
        <v>1.5710079112609681</v>
      </c>
      <c r="SG91" s="27">
        <f>MAX(SG90,PortfolioFrontier[[#This Row],[P125 Growth]])</f>
        <v>1.6509411354388694</v>
      </c>
      <c r="SH91" s="27">
        <f>PortfolioFrontier[[#This Row],[P125 Growth]]/PortfolioFrontier[[#This Row],[P125 HWM]]-1</f>
        <v>-4.8416762089250831E-2</v>
      </c>
      <c r="SI91" s="28">
        <f>SUMPRODUCT(INDEX(PortfolioRef[[SPY]:[PE]],MATCH(SI$1,PortfolioRef[Reference '#]),0),AssetMonthlyReturns[[#This Row],[SPY]:[PE]])</f>
        <v>-7.8953327684030822E-3</v>
      </c>
      <c r="SJ91" s="27">
        <f>IF(ISNUMBER(SJ90),SJ90*(1+PortfolioFrontier[[#This Row],[P126 Return]]),1+PortfolioFrontier[[#This Row],[P126 Return]])</f>
        <v>1.5706594820912796</v>
      </c>
      <c r="SK91" s="27">
        <f>MAX(SK90,PortfolioFrontier[[#This Row],[P126 Growth]])</f>
        <v>1.6193836797956254</v>
      </c>
      <c r="SL91" s="27">
        <f>PortfolioFrontier[[#This Row],[P126 Growth]]/PortfolioFrontier[[#This Row],[P126 HWM]]-1</f>
        <v>-3.0088112108487497E-2</v>
      </c>
      <c r="SM91" s="28">
        <f>SUMPRODUCT(INDEX(PortfolioRef[[SPY]:[PE]],MATCH(SM$1,PortfolioRef[Reference '#]),0),AssetMonthlyReturns[[#This Row],[SPY]:[PE]])</f>
        <v>-1.4860591221622376E-2</v>
      </c>
      <c r="SN91" s="27">
        <f>IF(ISNUMBER(SN90),SN90*(1+PortfolioFrontier[[#This Row],[P127 Return]]),1+PortfolioFrontier[[#This Row],[P127 Return]])</f>
        <v>1.5622677648636045</v>
      </c>
      <c r="SO91" s="27">
        <f>MAX(SO90,PortfolioFrontier[[#This Row],[P127 Growth]])</f>
        <v>1.7016086575400751</v>
      </c>
      <c r="SP91" s="27">
        <f>PortfolioFrontier[[#This Row],[P127 Growth]]/PortfolioFrontier[[#This Row],[P127 HWM]]-1</f>
        <v>-8.1887743141779823E-2</v>
      </c>
      <c r="SQ91" s="28">
        <f>SUMPRODUCT(INDEX(PortfolioRef[[SPY]:[PE]],MATCH(SQ$1,PortfolioRef[Reference '#]),0),AssetMonthlyReturns[[#This Row],[SPY]:[PE]])</f>
        <v>-1.190299616241991E-2</v>
      </c>
      <c r="SR91" s="27">
        <f>IF(ISNUMBER(SR90),SR90*(1+PortfolioFrontier[[#This Row],[P128 Return]]),1+PortfolioFrontier[[#This Row],[P128 Return]])</f>
        <v>1.5638039724972717</v>
      </c>
      <c r="SS91" s="27">
        <f>MAX(SS90,PortfolioFrontier[[#This Row],[P128 Growth]])</f>
        <v>1.6703618996398835</v>
      </c>
      <c r="ST91" s="27">
        <f>PortfolioFrontier[[#This Row],[P128 Growth]]/PortfolioFrontier[[#This Row],[P128 HWM]]-1</f>
        <v>-6.3793317583204501E-2</v>
      </c>
      <c r="SU91" s="28">
        <f>SUMPRODUCT(INDEX(PortfolioRef[[SPY]:[PE]],MATCH(SU$1,PortfolioRef[Reference '#]),0),AssetMonthlyReturns[[#This Row],[SPY]:[PE]])</f>
        <v>-8.9454011032174402E-3</v>
      </c>
      <c r="SV91" s="27">
        <f>IF(ISNUMBER(SV90),SV90*(1+PortfolioFrontier[[#This Row],[P129 Return]]),1+PortfolioFrontier[[#This Row],[P129 Return]])</f>
        <v>1.5642704171504771</v>
      </c>
      <c r="SW91" s="27">
        <f>MAX(SW90,PortfolioFrontier[[#This Row],[P129 Growth]])</f>
        <v>1.6389727481356613</v>
      </c>
      <c r="SX91" s="27">
        <f>PortfolioFrontier[[#This Row],[P129 Growth]]/PortfolioFrontier[[#This Row],[P129 HWM]]-1</f>
        <v>-4.5578751123323102E-2</v>
      </c>
      <c r="SY91" s="28">
        <f>SUMPRODUCT(INDEX(PortfolioRef[[SPY]:[PE]],MATCH(SY$1,PortfolioRef[Reference '#]),0),AssetMonthlyReturns[[#This Row],[SPY]:[PE]])</f>
        <v>-1.5910659556436734E-2</v>
      </c>
      <c r="SZ91" s="27">
        <f>IF(ISNUMBER(SZ90),SZ90*(1+PortfolioFrontier[[#This Row],[P130 Return]]),1+PortfolioFrontier[[#This Row],[P130 Return]])</f>
        <v>1.5531477485789398</v>
      </c>
      <c r="TA91" s="27">
        <f>MAX(TA90,PortfolioFrontier[[#This Row],[P130 Growth]])</f>
        <v>1.720142179322633</v>
      </c>
      <c r="TB91" s="27">
        <f>PortfolioFrontier[[#This Row],[P130 Growth]]/PortfolioFrontier[[#This Row],[P130 HWM]]-1</f>
        <v>-9.7081760305100628E-2</v>
      </c>
      <c r="TC91" s="28">
        <f>SUMPRODUCT(INDEX(PortfolioRef[[SPY]:[PE]],MATCH(TC$1,PortfolioRef[Reference '#]),0),AssetMonthlyReturns[[#This Row],[SPY]:[PE]])</f>
        <v>-1.2953064497234268E-2</v>
      </c>
      <c r="TD91" s="27">
        <f>IF(ISNUMBER(TD90),TD90*(1+PortfolioFrontier[[#This Row],[P131 Return]]),1+PortfolioFrontier[[#This Row],[P131 Return]])</f>
        <v>1.5554927825881564</v>
      </c>
      <c r="TE91" s="27">
        <f>MAX(TE90,PortfolioFrontier[[#This Row],[P131 Growth]])</f>
        <v>1.6891185966988822</v>
      </c>
      <c r="TF91" s="27">
        <f>PortfolioFrontier[[#This Row],[P131 Growth]]/PortfolioFrontier[[#This Row],[P131 HWM]]-1</f>
        <v>-7.9109788011260118E-2</v>
      </c>
      <c r="TG91" s="28">
        <f>SUMPRODUCT(INDEX(PortfolioRef[[SPY]:[PE]],MATCH(TG$1,PortfolioRef[Reference '#]),0),AssetMonthlyReturns[[#This Row],[SPY]:[PE]])</f>
        <v>-9.9954694380318017E-3</v>
      </c>
      <c r="TH91" s="27">
        <f>IF(ISNUMBER(TH90),TH90*(1+PortfolioFrontier[[#This Row],[P132 Return]]),1+PortfolioFrontier[[#This Row],[P132 Return]])</f>
        <v>1.5567704219428182</v>
      </c>
      <c r="TI91" s="27">
        <f>MAX(TI90,PortfolioFrontier[[#This Row],[P132 Growth]])</f>
        <v>1.6579261593145806</v>
      </c>
      <c r="TJ91" s="27">
        <f>PortfolioFrontier[[#This Row],[P132 Growth]]/PortfolioFrontier[[#This Row],[P132 HWM]]-1</f>
        <v>-6.1013415346303557E-2</v>
      </c>
      <c r="TK91" s="28">
        <f>SUMPRODUCT(INDEX(PortfolioRef[[SPY]:[PE]],MATCH(TK$1,PortfolioRef[Reference '#]),0),AssetMonthlyReturns[[#This Row],[SPY]:[PE]])</f>
        <v>-1.5178343867395402E-2</v>
      </c>
      <c r="TL91" s="27">
        <f>IF(ISNUMBER(TL90),TL90*(1+PortfolioFrontier[[#This Row],[P133 Return]]),1+PortfolioFrontier[[#This Row],[P133 Return]])</f>
        <v>1.5910430058385743</v>
      </c>
      <c r="TM91" s="27">
        <f>MAX(TM90,PortfolioFrontier[[#This Row],[P133 Growth]])</f>
        <v>1.7171102853087914</v>
      </c>
      <c r="TN91" s="27">
        <f>PortfolioFrontier[[#This Row],[P133 Growth]]/PortfolioFrontier[[#This Row],[P133 HWM]]-1</f>
        <v>-7.3418277526388631E-2</v>
      </c>
      <c r="TO91" s="28">
        <f>SUMPRODUCT(INDEX(PortfolioRef[[SPY]:[PE]],MATCH(TO$1,PortfolioRef[Reference '#]),0),AssetMonthlyReturns[[#This Row],[SPY]:[PE]])</f>
        <v>-1.222074880819294E-2</v>
      </c>
      <c r="TP91" s="27">
        <f>IF(ISNUMBER(TP90),TP90*(1+PortfolioFrontier[[#This Row],[P134 Return]]),1+PortfolioFrontier[[#This Row],[P134 Return]])</f>
        <v>1.5926425911192332</v>
      </c>
      <c r="TQ91" s="27">
        <f>MAX(TQ90,PortfolioFrontier[[#This Row],[P134 Growth]])</f>
        <v>1.6856432974461595</v>
      </c>
      <c r="TR91" s="27">
        <f>PortfolioFrontier[[#This Row],[P134 Growth]]/PortfolioFrontier[[#This Row],[P134 HWM]]-1</f>
        <v>-5.5172233928629688E-2</v>
      </c>
      <c r="TS91" s="28">
        <f>SUMPRODUCT(INDEX(PortfolioRef[[SPY]:[PE]],MATCH(TS$1,PortfolioRef[Reference '#]),0),AssetMonthlyReturns[[#This Row],[SPY]:[PE]])</f>
        <v>-9.26315374899047E-3</v>
      </c>
      <c r="TT91" s="27">
        <f>IF(ISNUMBER(TT90),TT90*(1+PortfolioFrontier[[#This Row],[P135 Return]]),1+PortfolioFrontier[[#This Row],[P135 Return]])</f>
        <v>1.5931535021652343</v>
      </c>
      <c r="TU91" s="27">
        <f>MAX(TU90,PortfolioFrontier[[#This Row],[P135 Growth]])</f>
        <v>1.6540304901705998</v>
      </c>
      <c r="TV91" s="27">
        <f>PortfolioFrontier[[#This Row],[P135 Growth]]/PortfolioFrontier[[#This Row],[P135 HWM]]-1</f>
        <v>-3.6805239303107751E-2</v>
      </c>
      <c r="TW91" s="28">
        <f>SUMPRODUCT(INDEX(PortfolioRef[[SPY]:[PE]],MATCH(TW$1,PortfolioRef[Reference '#]),0),AssetMonthlyReturns[[#This Row],[SPY]:[PE]])</f>
        <v>-1.6228412202209764E-2</v>
      </c>
      <c r="TX91" s="27">
        <f>IF(ISNUMBER(TX90),TX90*(1+PortfolioFrontier[[#This Row],[P136 Return]]),1+PortfolioFrontier[[#This Row],[P136 Return]])</f>
        <v>1.5821214507789712</v>
      </c>
      <c r="TY91" s="27">
        <f>MAX(TY90,PortfolioFrontier[[#This Row],[P136 Growth]])</f>
        <v>1.7361155602147582</v>
      </c>
      <c r="TZ91" s="27">
        <f>PortfolioFrontier[[#This Row],[P136 Growth]]/PortfolioFrontier[[#This Row],[P136 HWM]]-1</f>
        <v>-8.8700379723996026E-2</v>
      </c>
      <c r="UA91" s="28">
        <f>SUMPRODUCT(INDEX(PortfolioRef[[SPY]:[PE]],MATCH(UA$1,PortfolioRef[Reference '#]),0),AssetMonthlyReturns[[#This Row],[SPY]:[PE]])</f>
        <v>-1.3270817143007294E-2</v>
      </c>
      <c r="UB91" s="27">
        <f>IF(ISNUMBER(UB90),UB90*(1+PortfolioFrontier[[#This Row],[P137 Return]]),1+PortfolioFrontier[[#This Row],[P137 Return]])</f>
        <v>1.5845448276443468</v>
      </c>
      <c r="UC91" s="27">
        <f>MAX(UC90,PortfolioFrontier[[#This Row],[P137 Growth]])</f>
        <v>1.7048691873265751</v>
      </c>
      <c r="UD91" s="27">
        <f>PortfolioFrontier[[#This Row],[P137 Growth]]/PortfolioFrontier[[#This Row],[P137 HWM]]-1</f>
        <v>-7.0576886823152885E-2</v>
      </c>
      <c r="UE91" s="28">
        <f>SUMPRODUCT(INDEX(PortfolioRef[[SPY]:[PE]],MATCH(UE$1,PortfolioRef[Reference '#]),0),AssetMonthlyReturns[[#This Row],[SPY]:[PE]])</f>
        <v>-1.0313222083804828E-2</v>
      </c>
      <c r="UF91" s="27">
        <f>IF(ISNUMBER(UF90),UF90*(1+PortfolioFrontier[[#This Row],[P138 Return]]),1+PortfolioFrontier[[#This Row],[P138 Return]])</f>
        <v>1.5858817348352541</v>
      </c>
      <c r="UG91" s="27">
        <f>MAX(UG90,PortfolioFrontier[[#This Row],[P138 Growth]])</f>
        <v>1.6734502822541619</v>
      </c>
      <c r="UH91" s="27">
        <f>PortfolioFrontier[[#This Row],[P138 Growth]]/PortfolioFrontier[[#This Row],[P138 HWM]]-1</f>
        <v>-5.2328144043187086E-2</v>
      </c>
      <c r="UI91" s="28">
        <f>SUMPRODUCT(INDEX(PortfolioRef[[SPY]:[PE]],MATCH(UI$1,PortfolioRef[Reference '#]),0),AssetMonthlyReturns[[#This Row],[SPY]:[PE]])</f>
        <v>-1.7278480537024122E-2</v>
      </c>
      <c r="UJ91" s="27">
        <f>IF(ISNUMBER(UJ90),UJ90*(1+PortfolioFrontier[[#This Row],[P139 Return]]),1+PortfolioFrontier[[#This Row],[P139 Return]])</f>
        <v>1.5720888015681327</v>
      </c>
      <c r="UK91" s="27">
        <f>MAX(UK90,PortfolioFrontier[[#This Row],[P139 Growth]])</f>
        <v>1.7543965710992384</v>
      </c>
      <c r="UL91" s="27">
        <f>PortfolioFrontier[[#This Row],[P139 Growth]]/PortfolioFrontier[[#This Row],[P139 HWM]]-1</f>
        <v>-0.1039148004130438</v>
      </c>
      <c r="UM91" s="28">
        <f>SUMPRODUCT(INDEX(PortfolioRef[[SPY]:[PE]],MATCH(UM$1,PortfolioRef[Reference '#]),0),AssetMonthlyReturns[[#This Row],[SPY]:[PE]])</f>
        <v>-1.4320885477821652E-2</v>
      </c>
      <c r="UN91" s="27">
        <f>IF(ISNUMBER(UN90),UN90*(1+PortfolioFrontier[[#This Row],[P140 Return]]),1+PortfolioFrontier[[#This Row],[P140 Return]])</f>
        <v>1.5753294995447951</v>
      </c>
      <c r="UO91" s="27">
        <f>MAX(UO90,PortfolioFrontier[[#This Row],[P140 Growth]])</f>
        <v>1.7234002022793458</v>
      </c>
      <c r="UP91" s="27">
        <f>PortfolioFrontier[[#This Row],[P140 Growth]]/PortfolioFrontier[[#This Row],[P140 HWM]]-1</f>
        <v>-8.5917770311686348E-2</v>
      </c>
      <c r="UQ91" s="28">
        <f>SUMPRODUCT(INDEX(PortfolioRef[[SPY]:[PE]],MATCH(UQ$1,PortfolioRef[Reference '#]),0),AssetMonthlyReturns[[#This Row],[SPY]:[PE]])</f>
        <v>-1.1363290418619186E-2</v>
      </c>
      <c r="UR91" s="27">
        <f>IF(ISNUMBER(UR90),UR90*(1+PortfolioFrontier[[#This Row],[P141 Return]]),1+PortfolioFrontier[[#This Row],[P141 Return]])</f>
        <v>1.5774873913252596</v>
      </c>
      <c r="US91" s="27">
        <f>MAX(US90,PortfolioFrontier[[#This Row],[P141 Growth]])</f>
        <v>1.6922041432386774</v>
      </c>
      <c r="UT91" s="27">
        <f>PortfolioFrontier[[#This Row],[P141 Growth]]/PortfolioFrontier[[#This Row],[P141 HWM]]-1</f>
        <v>-6.7791319606311573E-2</v>
      </c>
    </row>
    <row r="92" spans="2:566" x14ac:dyDescent="0.2">
      <c r="B92" s="41">
        <f>AssetMonthlyReturns[[#This Row],[Date]]</f>
        <v>45170</v>
      </c>
      <c r="C92" s="28">
        <f>SUMPRODUCT(INDEX(PortfolioRef[[SPY]:[PE]],MATCH(C$1,PortfolioRef[Reference '#]),0),AssetMonthlyReturns[[#This Row],[SPY]:[PE]])</f>
        <v>-4.5532851846073724E-2</v>
      </c>
      <c r="D92" s="29">
        <f>IF(ISNUMBER(D91),D91*(1+PortfolioFrontier[[#This Row],[P1 Return]]),1+PortfolioFrontier[[#This Row],[P1 Return]])</f>
        <v>1.7974707051064462</v>
      </c>
      <c r="E92" s="29">
        <f>MAX(E91,PortfolioFrontier[[#This Row],[P1 Growth]])</f>
        <v>1.9531239567566241</v>
      </c>
      <c r="F92" s="29">
        <f>PortfolioFrontier[[#This Row],[P1 Growth]]/PortfolioFrontier[[#This Row],[P1 HWM]]-1</f>
        <v>-7.9694507412963689E-2</v>
      </c>
      <c r="G92" s="28">
        <f>SUMPRODUCT(INDEX(PortfolioRef[[SPY]:[PE]],MATCH(G$1,PortfolioRef[Reference '#]),0),AssetMonthlyReturns[[#This Row],[SPY]:[PE]])</f>
        <v>-4.4287190137935639E-2</v>
      </c>
      <c r="H92" s="27">
        <f>IF(ISNUMBER(H91),H91*(1+PortfolioFrontier[[#This Row],[P2 Return]]),1+PortfolioFrontier[[#This Row],[P2 Return]])</f>
        <v>1.7251061970916799</v>
      </c>
      <c r="I92" s="27">
        <f>MAX(I91,PortfolioFrontier[[#This Row],[P2 Growth]])</f>
        <v>1.880902671218339</v>
      </c>
      <c r="J92" s="27">
        <f>PortfolioFrontier[[#This Row],[P2 Growth]]/PortfolioFrontier[[#This Row],[P2 HWM]]-1</f>
        <v>-8.2830694278159145E-2</v>
      </c>
      <c r="K92" s="28">
        <f>SUMPRODUCT(INDEX(PortfolioRef[[SPY]:[PE]],MATCH(K$1,PortfolioRef[Reference '#]),0),AssetMonthlyReturns[[#This Row],[SPY]:[PE]])</f>
        <v>-4.5374015060775458E-2</v>
      </c>
      <c r="L92" s="27">
        <f>IF(ISNUMBER(L91),L91*(1+PortfolioFrontier[[#This Row],[P3 Return]]),1+PortfolioFrontier[[#This Row],[P3 Return]])</f>
        <v>1.75540273292967</v>
      </c>
      <c r="M92" s="27">
        <f>MAX(M91,PortfolioFrontier[[#This Row],[P3 Growth]])</f>
        <v>1.8984394560781046</v>
      </c>
      <c r="N92" s="27">
        <f>PortfolioFrontier[[#This Row],[P3 Growth]]/PortfolioFrontier[[#This Row],[P3 HWM]]-1</f>
        <v>-7.5344369129330735E-2</v>
      </c>
      <c r="O92" s="28">
        <f>SUMPRODUCT(INDEX(PortfolioRef[[SPY]:[PE]],MATCH(O$1,PortfolioRef[Reference '#]),0),AssetMonthlyReturns[[#This Row],[SPY]:[PE]])</f>
        <v>-4.7072385262655822E-2</v>
      </c>
      <c r="P92" s="27">
        <f>IF(ISNUMBER(P91),P91*(1+PortfolioFrontier[[#This Row],[P4 Return]]),1+PortfolioFrontier[[#This Row],[P4 Return]])</f>
        <v>1.7423459594368453</v>
      </c>
      <c r="Q92" s="27">
        <f>MAX(Q91,PortfolioFrontier[[#This Row],[P4 Growth]])</f>
        <v>1.9193367929729268</v>
      </c>
      <c r="R92" s="27">
        <f>PortfolioFrontier[[#This Row],[P4 Growth]]/PortfolioFrontier[[#This Row],[P4 HWM]]-1</f>
        <v>-9.2214578589896345E-2</v>
      </c>
      <c r="S92" s="28">
        <f>SUMPRODUCT(INDEX(PortfolioRef[[SPY]:[PE]],MATCH(S$1,PortfolioRef[Reference '#]),0),AssetMonthlyReturns[[#This Row],[SPY]:[PE]])</f>
        <v>-4.3395775074651449E-2</v>
      </c>
      <c r="T92" s="27">
        <f>IF(ISNUMBER(T91),T91*(1+PortfolioFrontier[[#This Row],[P5 Return]]),1+PortfolioFrontier[[#This Row],[P5 Return]])</f>
        <v>1.7510008157135892</v>
      </c>
      <c r="U92" s="27">
        <f>MAX(U91,PortfolioFrontier[[#This Row],[P5 Growth]])</f>
        <v>1.8841834525169079</v>
      </c>
      <c r="V92" s="27">
        <f>PortfolioFrontier[[#This Row],[P5 Growth]]/PortfolioFrontier[[#This Row],[P5 HWM]]-1</f>
        <v>-7.0684537976072437E-2</v>
      </c>
      <c r="W92" s="28">
        <f>SUMPRODUCT(INDEX(PortfolioRef[[SPY]:[PE]],MATCH(W$1,PortfolioRef[Reference '#]),0),AssetMonthlyReturns[[#This Row],[SPY]:[PE]])</f>
        <v>-4.3041528429797568E-2</v>
      </c>
      <c r="X92" s="27">
        <f>IF(ISNUMBER(X91),X91*(1+PortfolioFrontier[[#This Row],[P6 Return]]),1+PortfolioFrontier[[#This Row],[P6 Return]])</f>
        <v>1.6549093668684345</v>
      </c>
      <c r="Y92" s="27">
        <f>MAX(Y91,PortfolioFrontier[[#This Row],[P6 Growth]])</f>
        <v>1.8107203423144032</v>
      </c>
      <c r="Z92" s="27">
        <f>PortfolioFrontier[[#This Row],[P6 Growth]]/PortfolioFrontier[[#This Row],[P6 HWM]]-1</f>
        <v>-8.6049166072114769E-2</v>
      </c>
      <c r="AA92" s="28">
        <f>SUMPRODUCT(INDEX(PortfolioRef[[SPY]:[PE]],MATCH(AA$1,PortfolioRef[Reference '#]),0),AssetMonthlyReturns[[#This Row],[SPY]:[PE]])</f>
        <v>-4.4128353352637373E-2</v>
      </c>
      <c r="AB92" s="27">
        <f>IF(ISNUMBER(AB91),AB91*(1+PortfolioFrontier[[#This Row],[P7 Return]]),1+PortfolioFrontier[[#This Row],[P7 Return]])</f>
        <v>1.6839813496304648</v>
      </c>
      <c r="AC92" s="27">
        <f>MAX(AC91,PortfolioFrontier[[#This Row],[P7 Growth]])</f>
        <v>1.8276317298765399</v>
      </c>
      <c r="AD92" s="27">
        <f>PortfolioFrontier[[#This Row],[P7 Growth]]/PortfolioFrontier[[#This Row],[P7 HWM]]-1</f>
        <v>-7.8599193643775767E-2</v>
      </c>
      <c r="AE92" s="28">
        <f>SUMPRODUCT(INDEX(PortfolioRef[[SPY]:[PE]],MATCH(AE$1,PortfolioRef[Reference '#]),0),AssetMonthlyReturns[[#This Row],[SPY]:[PE]])</f>
        <v>-4.5826723554517751E-2</v>
      </c>
      <c r="AF92" s="27">
        <f>IF(ISNUMBER(AF91),AF91*(1+PortfolioFrontier[[#This Row],[P8 Return]]),1+PortfolioFrontier[[#This Row],[P8 Return]])</f>
        <v>1.6720754963106319</v>
      </c>
      <c r="AG92" s="27">
        <f>MAX(AG91,PortfolioFrontier[[#This Row],[P8 Growth]])</f>
        <v>1.8482324314062795</v>
      </c>
      <c r="AH92" s="27">
        <f>PortfolioFrontier[[#This Row],[P8 Growth]]/PortfolioFrontier[[#This Row],[P8 HWM]]-1</f>
        <v>-9.5311029122897462E-2</v>
      </c>
      <c r="AI92" s="28">
        <f>SUMPRODUCT(INDEX(PortfolioRef[[SPY]:[PE]],MATCH(AI$1,PortfolioRef[Reference '#]),0),AssetMonthlyReturns[[#This Row],[SPY]:[PE]])</f>
        <v>-4.2150113366513364E-2</v>
      </c>
      <c r="AJ92" s="27">
        <f>IF(ISNUMBER(AJ91),AJ91*(1+PortfolioFrontier[[#This Row],[P9 Return]]),1+PortfolioFrontier[[#This Row],[P9 Return]])</f>
        <v>1.6797743860100975</v>
      </c>
      <c r="AK92" s="27">
        <f>MAX(AK91,PortfolioFrontier[[#This Row],[P9 Growth]])</f>
        <v>1.8139467261629987</v>
      </c>
      <c r="AL92" s="27">
        <f>PortfolioFrontier[[#This Row],[P9 Growth]]/PortfolioFrontier[[#This Row],[P9 HWM]]-1</f>
        <v>-7.3967078645530537E-2</v>
      </c>
      <c r="AM92" s="28">
        <f>SUMPRODUCT(INDEX(PortfolioRef[[SPY]:[PE]],MATCH(AM$1,PortfolioRef[Reference '#]),0),AssetMonthlyReturns[[#This Row],[SPY]:[PE]])</f>
        <v>-4.5215178275477191E-2</v>
      </c>
      <c r="AN92" s="27">
        <f>IF(ISNUMBER(AN91),AN91*(1+PortfolioFrontier[[#This Row],[P10 Return]]),1+PortfolioFrontier[[#This Row],[P10 Return]])</f>
        <v>1.7131382740428882</v>
      </c>
      <c r="AO92" s="27">
        <f>MAX(AO91,PortfolioFrontier[[#This Row],[P10 Growth]])</f>
        <v>1.8443368551596837</v>
      </c>
      <c r="AP92" s="27">
        <f>PortfolioFrontier[[#This Row],[P10 Growth]]/PortfolioFrontier[[#This Row],[P10 HWM]]-1</f>
        <v>-7.1135910313648298E-2</v>
      </c>
      <c r="AQ92" s="28">
        <f>SUMPRODUCT(INDEX(PortfolioRef[[SPY]:[PE]],MATCH(AQ$1,PortfolioRef[Reference '#]),0),AssetMonthlyReturns[[#This Row],[SPY]:[PE]])</f>
        <v>-4.6913548477357556E-2</v>
      </c>
      <c r="AR92" s="27">
        <f>IF(ISNUMBER(AR91),AR91*(1+PortfolioFrontier[[#This Row],[P11 Return]]),1+PortfolioFrontier[[#This Row],[P11 Return]])</f>
        <v>1.7014147385957596</v>
      </c>
      <c r="AS92" s="27">
        <f>MAX(AS91,PortfolioFrontier[[#This Row],[P11 Growth]])</f>
        <v>1.865449984246593</v>
      </c>
      <c r="AT92" s="27">
        <f>PortfolioFrontier[[#This Row],[P11 Growth]]/PortfolioFrontier[[#This Row],[P11 HWM]]-1</f>
        <v>-8.7933338892000834E-2</v>
      </c>
      <c r="AU92" s="28">
        <f>SUMPRODUCT(INDEX(PortfolioRef[[SPY]:[PE]],MATCH(AU$1,PortfolioRef[Reference '#]),0),AssetMonthlyReturns[[#This Row],[SPY]:[PE]])</f>
        <v>-4.3236938289353169E-2</v>
      </c>
      <c r="AV92" s="27">
        <f>IF(ISNUMBER(AV91),AV91*(1+PortfolioFrontier[[#This Row],[P12 Return]]),1+PortfolioFrontier[[#This Row],[P12 Return]])</f>
        <v>1.7092944463332838</v>
      </c>
      <c r="AW92" s="27">
        <f>MAX(AW91,PortfolioFrontier[[#This Row],[P12 Growth]])</f>
        <v>1.8309154354259589</v>
      </c>
      <c r="AX92" s="27">
        <f>PortfolioFrontier[[#This Row],[P12 Growth]]/PortfolioFrontier[[#This Row],[P12 HWM]]-1</f>
        <v>-6.6426327911960792E-2</v>
      </c>
      <c r="AY92" s="28">
        <f>SUMPRODUCT(INDEX(PortfolioRef[[SPY]:[PE]],MATCH(AY$1,PortfolioRef[Reference '#]),0),AssetMonthlyReturns[[#This Row],[SPY]:[PE]])</f>
        <v>-4.8611918679237927E-2</v>
      </c>
      <c r="AZ92" s="27">
        <f>IF(ISNUMBER(AZ91),AZ91*(1+PortfolioFrontier[[#This Row],[P13 Return]]),1+PortfolioFrontier[[#This Row],[P13 Return]])</f>
        <v>1.6885283015398709</v>
      </c>
      <c r="BA92" s="27">
        <f>MAX(BA91,PortfolioFrontier[[#This Row],[P13 Growth]])</f>
        <v>1.8858075751364967</v>
      </c>
      <c r="BB92" s="27">
        <f>PortfolioFrontier[[#This Row],[P13 Growth]]/PortfolioFrontier[[#This Row],[P13 HWM]]-1</f>
        <v>-0.10461262124389681</v>
      </c>
      <c r="BC92" s="28">
        <f>SUMPRODUCT(INDEX(PortfolioRef[[SPY]:[PE]],MATCH(BC$1,PortfolioRef[Reference '#]),0),AssetMonthlyReturns[[#This Row],[SPY]:[PE]])</f>
        <v>-4.4935308491233547E-2</v>
      </c>
      <c r="BD92" s="27">
        <f>IF(ISNUMBER(BD91),BD91*(1+PortfolioFrontier[[#This Row],[P14 Return]]),1+PortfolioFrontier[[#This Row],[P14 Return]])</f>
        <v>1.6972489301880271</v>
      </c>
      <c r="BE92" s="27">
        <f>MAX(BE91,PortfolioFrontier[[#This Row],[P14 Growth]])</f>
        <v>1.8515113734383843</v>
      </c>
      <c r="BF92" s="27">
        <f>PortfolioFrontier[[#This Row],[P14 Growth]]/PortfolioFrontier[[#This Row],[P14 HWM]]-1</f>
        <v>-8.3317037887745249E-2</v>
      </c>
      <c r="BG92" s="28">
        <f>SUMPRODUCT(INDEX(PortfolioRef[[SPY]:[PE]],MATCH(BG$1,PortfolioRef[Reference '#]),0),AssetMonthlyReturns[[#This Row],[SPY]:[PE]])</f>
        <v>-4.1258698303229167E-2</v>
      </c>
      <c r="BH92" s="27">
        <f>IF(ISNUMBER(BH91),BH91*(1+PortfolioFrontier[[#This Row],[P15 Return]]),1+PortfolioFrontier[[#This Row],[P15 Return]])</f>
        <v>1.7048201889086843</v>
      </c>
      <c r="BI92" s="27">
        <f>MAX(BI91,PortfolioFrontier[[#This Row],[P15 Growth]])</f>
        <v>1.8170439473092146</v>
      </c>
      <c r="BJ92" s="27">
        <f>PortfolioFrontier[[#This Row],[P15 Growth]]/PortfolioFrontier[[#This Row],[P15 HWM]]-1</f>
        <v>-6.1761719394138992E-2</v>
      </c>
      <c r="BK92" s="28">
        <f>SUMPRODUCT(INDEX(PortfolioRef[[SPY]:[PE]],MATCH(BK$1,PortfolioRef[Reference '#]),0),AssetMonthlyReturns[[#This Row],[SPY]:[PE]])</f>
        <v>-4.1795866721659483E-2</v>
      </c>
      <c r="BL92" s="27">
        <f>IF(ISNUMBER(BL91),BL91*(1+PortfolioFrontier[[#This Row],[P16 Return]]),1+PortfolioFrontier[[#This Row],[P16 Return]])</f>
        <v>1.5868541599263564</v>
      </c>
      <c r="BM92" s="27">
        <f>MAX(BM91,PortfolioFrontier[[#This Row],[P16 Growth]])</f>
        <v>1.7425494832470445</v>
      </c>
      <c r="BN92" s="27">
        <f>PortfolioFrontier[[#This Row],[P16 Growth]]/PortfolioFrontier[[#This Row],[P16 HWM]]-1</f>
        <v>-8.9349154682578869E-2</v>
      </c>
      <c r="BO92" s="28">
        <f>SUMPRODUCT(INDEX(PortfolioRef[[SPY]:[PE]],MATCH(BO$1,PortfolioRef[Reference '#]),0),AssetMonthlyReturns[[#This Row],[SPY]:[PE]])</f>
        <v>-4.2882691644499302E-2</v>
      </c>
      <c r="BP92" s="27">
        <f>IF(ISNUMBER(BP91),BP91*(1+PortfolioFrontier[[#This Row],[P17 Return]]),1+PortfolioFrontier[[#This Row],[P17 Return]])</f>
        <v>1.614738986966713</v>
      </c>
      <c r="BQ92" s="27">
        <f>MAX(BQ91,PortfolioFrontier[[#This Row],[P17 Growth]])</f>
        <v>1.7588525148836969</v>
      </c>
      <c r="BR92" s="27">
        <f>PortfolioFrontier[[#This Row],[P17 Growth]]/PortfolioFrontier[[#This Row],[P17 HWM]]-1</f>
        <v>-8.1936107034257688E-2</v>
      </c>
      <c r="BS92" s="28">
        <f>SUMPRODUCT(INDEX(PortfolioRef[[SPY]:[PE]],MATCH(BS$1,PortfolioRef[Reference '#]),0),AssetMonthlyReturns[[#This Row],[SPY]:[PE]])</f>
        <v>-4.4581061846379666E-2</v>
      </c>
      <c r="BT92" s="27">
        <f>IF(ISNUMBER(BT91),BT91*(1+PortfolioFrontier[[#This Row],[P18 Return]]),1+PortfolioFrontier[[#This Row],[P18 Return]])</f>
        <v>1.6039154704644678</v>
      </c>
      <c r="BU92" s="27">
        <f>MAX(BU91,PortfolioFrontier[[#This Row],[P18 Growth]])</f>
        <v>1.7791407441475846</v>
      </c>
      <c r="BV92" s="27">
        <f>PortfolioFrontier[[#This Row],[P18 Growth]]/PortfolioFrontier[[#This Row],[P18 HWM]]-1</f>
        <v>-9.8488708248357315E-2</v>
      </c>
      <c r="BW92" s="28">
        <f>SUMPRODUCT(INDEX(PortfolioRef[[SPY]:[PE]],MATCH(BW$1,PortfolioRef[Reference '#]),0),AssetMonthlyReturns[[#This Row],[SPY]:[PE]])</f>
        <v>-4.0904451658375279E-2</v>
      </c>
      <c r="BX92" s="27">
        <f>IF(ISNUMBER(BX91),BX91*(1+PortfolioFrontier[[#This Row],[P19 Return]]),1+PortfolioFrontier[[#This Row],[P19 Return]])</f>
        <v>1.6107197708749628</v>
      </c>
      <c r="BY92" s="27">
        <f>MAX(BY91,PortfolioFrontier[[#This Row],[P19 Growth]])</f>
        <v>1.7457196180719312</v>
      </c>
      <c r="BZ92" s="27">
        <f>PortfolioFrontier[[#This Row],[P19 Growth]]/PortfolioFrontier[[#This Row],[P19 HWM]]-1</f>
        <v>-7.7331918481886364E-2</v>
      </c>
      <c r="CA92" s="28">
        <f>SUMPRODUCT(INDEX(PortfolioRef[[SPY]:[PE]],MATCH(CA$1,PortfolioRef[Reference '#]),0),AssetMonthlyReturns[[#This Row],[SPY]:[PE]])</f>
        <v>-4.3969516567339106E-2</v>
      </c>
      <c r="CB92" s="27">
        <f>IF(ISNUMBER(CB91),CB91*(1+PortfolioFrontier[[#This Row],[P20 Return]]),1+PortfolioFrontier[[#This Row],[P20 Return]])</f>
        <v>1.6427047438758069</v>
      </c>
      <c r="CC92" s="27">
        <f>MAX(CC91,PortfolioFrontier[[#This Row],[P20 Growth]])</f>
        <v>1.7749567522517573</v>
      </c>
      <c r="CD92" s="27">
        <f>PortfolioFrontier[[#This Row],[P20 Growth]]/PortfolioFrontier[[#This Row],[P20 HWM]]-1</f>
        <v>-7.4509989163494827E-2</v>
      </c>
      <c r="CE92" s="28">
        <f>SUMPRODUCT(INDEX(PortfolioRef[[SPY]:[PE]],MATCH(CE$1,PortfolioRef[Reference '#]),0),AssetMonthlyReturns[[#This Row],[SPY]:[PE]])</f>
        <v>-4.5667886769219471E-2</v>
      </c>
      <c r="CF92" s="27">
        <f>IF(ISNUMBER(CF91),CF91*(1+PortfolioFrontier[[#This Row],[P21 Return]]),1+PortfolioFrontier[[#This Row],[P21 Return]])</f>
        <v>1.6320669245587704</v>
      </c>
      <c r="CG92" s="27">
        <f>MAX(CG91,PortfolioFrontier[[#This Row],[P21 Growth]])</f>
        <v>1.795743356031652</v>
      </c>
      <c r="CH92" s="27">
        <f>PortfolioFrontier[[#This Row],[P21 Growth]]/PortfolioFrontier[[#This Row],[P21 HWM]]-1</f>
        <v>-9.1146895196975275E-2</v>
      </c>
      <c r="CI92" s="28">
        <f>SUMPRODUCT(INDEX(PortfolioRef[[SPY]:[PE]],MATCH(CI$1,PortfolioRef[Reference '#]),0),AssetMonthlyReturns[[#This Row],[SPY]:[PE]])</f>
        <v>-4.1991276581215098E-2</v>
      </c>
      <c r="CJ92" s="27">
        <f>IF(ISNUMBER(CJ91),CJ91*(1+PortfolioFrontier[[#This Row],[P22 Return]]),1+PortfolioFrontier[[#This Row],[P22 Return]])</f>
        <v>1.6390348493899842</v>
      </c>
      <c r="CK92" s="27">
        <f>MAX(CK91,PortfolioFrontier[[#This Row],[P22 Growth]])</f>
        <v>1.7620784578443487</v>
      </c>
      <c r="CL92" s="27">
        <f>PortfolioFrontier[[#This Row],[P22 Growth]]/PortfolioFrontier[[#This Row],[P22 HWM]]-1</f>
        <v>-6.9828677552128293E-2</v>
      </c>
      <c r="CM92" s="28">
        <f>SUMPRODUCT(INDEX(PortfolioRef[[SPY]:[PE]],MATCH(CM$1,PortfolioRef[Reference '#]),0),AssetMonthlyReturns[[#This Row],[SPY]:[PE]])</f>
        <v>-4.7366256971099849E-2</v>
      </c>
      <c r="CN92" s="27">
        <f>IF(ISNUMBER(CN91),CN91*(1+PortfolioFrontier[[#This Row],[P23 Return]]),1+PortfolioFrontier[[#This Row],[P23 Return]])</f>
        <v>1.6203069605161451</v>
      </c>
      <c r="CO92" s="27">
        <f>MAX(CO91,PortfolioFrontier[[#This Row],[P23 Growth]])</f>
        <v>1.8158151760868648</v>
      </c>
      <c r="CP92" s="27">
        <f>PortfolioFrontier[[#This Row],[P23 Growth]]/PortfolioFrontier[[#This Row],[P23 HWM]]-1</f>
        <v>-0.10766966712550874</v>
      </c>
      <c r="CQ92" s="28">
        <f>SUMPRODUCT(INDEX(PortfolioRef[[SPY]:[PE]],MATCH(CQ$1,PortfolioRef[Reference '#]),0),AssetMonthlyReturns[[#This Row],[SPY]:[PE]])</f>
        <v>-4.3689646783095462E-2</v>
      </c>
      <c r="CR92" s="27">
        <f>IF(ISNUMBER(CR91),CR91*(1+PortfolioFrontier[[#This Row],[P24 Return]]),1+PortfolioFrontier[[#This Row],[P24 Return]])</f>
        <v>1.6280860488610056</v>
      </c>
      <c r="CS92" s="27">
        <f>MAX(CS91,PortfolioFrontier[[#This Row],[P24 Growth]])</f>
        <v>1.7823638134718676</v>
      </c>
      <c r="CT92" s="27">
        <f>PortfolioFrontier[[#This Row],[P24 Growth]]/PortfolioFrontier[[#This Row],[P24 HWM]]-1</f>
        <v>-8.6557953794149434E-2</v>
      </c>
      <c r="CU92" s="28">
        <f>SUMPRODUCT(INDEX(PortfolioRef[[SPY]:[PE]],MATCH(CU$1,PortfolioRef[Reference '#]),0),AssetMonthlyReturns[[#This Row],[SPY]:[PE]])</f>
        <v>-4.0013036595091089E-2</v>
      </c>
      <c r="CV92" s="27">
        <f>IF(ISNUMBER(CV91),CV91*(1+PortfolioFrontier[[#This Row],[P25 Return]]),1+PortfolioFrontier[[#This Row],[P25 Return]])</f>
        <v>1.634759513723524</v>
      </c>
      <c r="CW92" s="27">
        <f>MAX(CW91,PortfolioFrontier[[#This Row],[P25 Growth]])</f>
        <v>1.7487656732120247</v>
      </c>
      <c r="CX92" s="27">
        <f>PortfolioFrontier[[#This Row],[P25 Growth]]/PortfolioFrontier[[#This Row],[P25 HWM]]-1</f>
        <v>-6.5192358950585505E-2</v>
      </c>
      <c r="CY92" s="28">
        <f>SUMPRODUCT(INDEX(PortfolioRef[[SPY]:[PE]],MATCH(CY$1,PortfolioRef[Reference '#]),0),AssetMonthlyReturns[[#This Row],[SPY]:[PE]])</f>
        <v>-4.6754711692059289E-2</v>
      </c>
      <c r="CZ92" s="27">
        <f>IF(ISNUMBER(CZ91),CZ91*(1+PortfolioFrontier[[#This Row],[P26 Return]]),1+PortfolioFrontier[[#This Row],[P26 Return]])</f>
        <v>1.6602995558605282</v>
      </c>
      <c r="DA92" s="27">
        <f>MAX(DA91,PortfolioFrontier[[#This Row],[P26 Growth]])</f>
        <v>1.8121428498945955</v>
      </c>
      <c r="DB92" s="27">
        <f>PortfolioFrontier[[#This Row],[P26 Growth]]/PortfolioFrontier[[#This Row],[P26 HWM]]-1</f>
        <v>-8.3792121599519209E-2</v>
      </c>
      <c r="DC92" s="28">
        <f>SUMPRODUCT(INDEX(PortfolioRef[[SPY]:[PE]],MATCH(DC$1,PortfolioRef[Reference '#]),0),AssetMonthlyReturns[[#This Row],[SPY]:[PE]])</f>
        <v>-4.3078101504054903E-2</v>
      </c>
      <c r="DD92" s="27">
        <f>IF(ISNUMBER(DD91),DD91*(1+PortfolioFrontier[[#This Row],[P27 Return]]),1+PortfolioFrontier[[#This Row],[P27 Return]])</f>
        <v>1.667432711883543</v>
      </c>
      <c r="DE92" s="27">
        <f>MAX(DE91,PortfolioFrontier[[#This Row],[P27 Growth]])</f>
        <v>1.7782387807323972</v>
      </c>
      <c r="DF92" s="27">
        <f>PortfolioFrontier[[#This Row],[P27 Growth]]/PortfolioFrontier[[#This Row],[P27 HWM]]-1</f>
        <v>-6.2312255277222617E-2</v>
      </c>
      <c r="DG92" s="28">
        <f>SUMPRODUCT(INDEX(PortfolioRef[[SPY]:[PE]],MATCH(DG$1,PortfolioRef[Reference '#]),0),AssetMonthlyReturns[[#This Row],[SPY]:[PE]])</f>
        <v>-4.8453081893939653E-2</v>
      </c>
      <c r="DH92" s="27">
        <f>IF(ISNUMBER(DH91),DH91*(1+PortfolioFrontier[[#This Row],[P28 Return]]),1+PortfolioFrontier[[#This Row],[P28 Return]])</f>
        <v>1.6487130920313233</v>
      </c>
      <c r="DI92" s="27">
        <f>MAX(DI91,PortfolioFrontier[[#This Row],[P28 Growth]])</f>
        <v>1.8327167417336543</v>
      </c>
      <c r="DJ92" s="27">
        <f>PortfolioFrontier[[#This Row],[P28 Growth]]/PortfolioFrontier[[#This Row],[P28 HWM]]-1</f>
        <v>-0.10039939370460116</v>
      </c>
      <c r="DK92" s="28">
        <f>SUMPRODUCT(INDEX(PortfolioRef[[SPY]:[PE]],MATCH(DK$1,PortfolioRef[Reference '#]),0),AssetMonthlyReturns[[#This Row],[SPY]:[PE]])</f>
        <v>-4.4776471705935267E-2</v>
      </c>
      <c r="DL92" s="27">
        <f>IF(ISNUMBER(DL91),DL91*(1+PortfolioFrontier[[#This Row],[P29 Return]]),1+PortfolioFrontier[[#This Row],[P29 Return]])</f>
        <v>1.6566726756760057</v>
      </c>
      <c r="DM92" s="27">
        <f>MAX(DM91,PortfolioFrontier[[#This Row],[P29 Growth]])</f>
        <v>1.7990232294645383</v>
      </c>
      <c r="DN92" s="27">
        <f>PortfolioFrontier[[#This Row],[P29 Growth]]/PortfolioFrontier[[#This Row],[P29 HWM]]-1</f>
        <v>-7.9126579055292079E-2</v>
      </c>
      <c r="DO92" s="28">
        <f>SUMPRODUCT(INDEX(PortfolioRef[[SPY]:[PE]],MATCH(DO$1,PortfolioRef[Reference '#]),0),AssetMonthlyReturns[[#This Row],[SPY]:[PE]])</f>
        <v>-4.1099861517930901E-2</v>
      </c>
      <c r="DP92" s="27">
        <f>IF(ISNUMBER(DP91),DP91*(1+PortfolioFrontier[[#This Row],[P30 Return]]),1+PortfolioFrontier[[#This Row],[P30 Return]])</f>
        <v>1.6635083830204038</v>
      </c>
      <c r="DQ92" s="27">
        <f>MAX(DQ91,PortfolioFrontier[[#This Row],[P30 Growth]])</f>
        <v>1.7651792866223672</v>
      </c>
      <c r="DR92" s="27">
        <f>PortfolioFrontier[[#This Row],[P30 Growth]]/PortfolioFrontier[[#This Row],[P30 HWM]]-1</f>
        <v>-5.759806064601436E-2</v>
      </c>
      <c r="DS92" s="28">
        <f>SUMPRODUCT(INDEX(PortfolioRef[[SPY]:[PE]],MATCH(DS$1,PortfolioRef[Reference '#]),0),AssetMonthlyReturns[[#This Row],[SPY]:[PE]])</f>
        <v>-5.0151452095820018E-2</v>
      </c>
      <c r="DT92" s="27">
        <f>IF(ISNUMBER(DT91),DT91*(1+PortfolioFrontier[[#This Row],[P31 Return]]),1+PortfolioFrontier[[#This Row],[P31 Return]])</f>
        <v>1.6360007907307383</v>
      </c>
      <c r="DU92" s="27">
        <f>MAX(DU91,PortfolioFrontier[[#This Row],[P31 Growth]])</f>
        <v>1.8525428026208837</v>
      </c>
      <c r="DV92" s="27">
        <f>PortfolioFrontier[[#This Row],[P31 Growth]]/PortfolioFrontier[[#This Row],[P31 HWM]]-1</f>
        <v>-0.11688907353924172</v>
      </c>
      <c r="DW92" s="28">
        <f>SUMPRODUCT(INDEX(PortfolioRef[[SPY]:[PE]],MATCH(DW$1,PortfolioRef[Reference '#]),0),AssetMonthlyReturns[[#This Row],[SPY]:[PE]])</f>
        <v>-4.6474841907815645E-2</v>
      </c>
      <c r="DX92" s="27">
        <f>IF(ISNUMBER(DX91),DX91*(1+PortfolioFrontier[[#This Row],[P32 Return]]),1+PortfolioFrontier[[#This Row],[P32 Return]])</f>
        <v>1.6447737322786657</v>
      </c>
      <c r="DY92" s="27">
        <f>MAX(DY91,PortfolioFrontier[[#This Row],[P32 Growth]])</f>
        <v>1.8190908915066115</v>
      </c>
      <c r="DZ92" s="27">
        <f>PortfolioFrontier[[#This Row],[P32 Growth]]/PortfolioFrontier[[#This Row],[P32 HWM]]-1</f>
        <v>-9.5826525239523619E-2</v>
      </c>
      <c r="EA92" s="28">
        <f>SUMPRODUCT(INDEX(PortfolioRef[[SPY]:[PE]],MATCH(EA$1,PortfolioRef[Reference '#]),0),AssetMonthlyReturns[[#This Row],[SPY]:[PE]])</f>
        <v>-4.2798231719811265E-2</v>
      </c>
      <c r="EB92" s="27">
        <f>IF(ISNUMBER(EB91),EB91*(1+PortfolioFrontier[[#This Row],[P33 Return]]),1+PortfolioFrontier[[#This Row],[P33 Return]])</f>
        <v>1.6524339744605676</v>
      </c>
      <c r="EC92" s="27">
        <f>MAX(EC91,PortfolioFrontier[[#This Row],[P33 Growth]])</f>
        <v>1.7854600976944932</v>
      </c>
      <c r="ED92" s="27">
        <f>PortfolioFrontier[[#This Row],[P33 Growth]]/PortfolioFrontier[[#This Row],[P33 HWM]]-1</f>
        <v>-7.4505234480287674E-2</v>
      </c>
      <c r="EE92" s="28">
        <f>SUMPRODUCT(INDEX(PortfolioRef[[SPY]:[PE]],MATCH(EE$1,PortfolioRef[Reference '#]),0),AssetMonthlyReturns[[#This Row],[SPY]:[PE]])</f>
        <v>-4.0550205013521398E-2</v>
      </c>
      <c r="EF92" s="27">
        <f>IF(ISNUMBER(EF91),EF91*(1+PortfolioFrontier[[#This Row],[P34 Return]]),1+PortfolioFrontier[[#This Row],[P34 Return]])</f>
        <v>1.5209126551397902</v>
      </c>
      <c r="EG92" s="27">
        <f>MAX(EG91,PortfolioFrontier[[#This Row],[P34 Growth]])</f>
        <v>1.6763614413137211</v>
      </c>
      <c r="EH92" s="27">
        <f>PortfolioFrontier[[#This Row],[P34 Growth]]/PortfolioFrontier[[#This Row],[P34 HWM]]-1</f>
        <v>-9.2729874562200387E-2</v>
      </c>
      <c r="EI92" s="28">
        <f>SUMPRODUCT(INDEX(PortfolioRef[[SPY]:[PE]],MATCH(EI$1,PortfolioRef[Reference '#]),0),AssetMonthlyReturns[[#This Row],[SPY]:[PE]])</f>
        <v>-4.1637029936361217E-2</v>
      </c>
      <c r="EJ92" s="27">
        <f>IF(ISNUMBER(EJ91),EJ91*(1+PortfolioFrontier[[#This Row],[P35 Return]]),1+PortfolioFrontier[[#This Row],[P35 Return]])</f>
        <v>1.5476472060908439</v>
      </c>
      <c r="EK92" s="27">
        <f>MAX(EK91,PortfolioFrontier[[#This Row],[P35 Growth]])</f>
        <v>1.6920729334369538</v>
      </c>
      <c r="EL92" s="27">
        <f>PortfolioFrontier[[#This Row],[P35 Growth]]/PortfolioFrontier[[#This Row],[P35 HWM]]-1</f>
        <v>-8.5354315698881189E-2</v>
      </c>
      <c r="EM92" s="28">
        <f>SUMPRODUCT(INDEX(PortfolioRef[[SPY]:[PE]],MATCH(EM$1,PortfolioRef[Reference '#]),0),AssetMonthlyReturns[[#This Row],[SPY]:[PE]])</f>
        <v>-4.3335400138241581E-2</v>
      </c>
      <c r="EN92" s="27">
        <f>IF(ISNUMBER(EN91),EN91*(1+PortfolioFrontier[[#This Row],[P36 Return]]),1+PortfolioFrontier[[#This Row],[P36 Return]])</f>
        <v>1.5378402763960934</v>
      </c>
      <c r="EO92" s="27">
        <f>MAX(EO91,PortfolioFrontier[[#This Row],[P36 Growth]])</f>
        <v>1.7120343963250326</v>
      </c>
      <c r="EP92" s="27">
        <f>PortfolioFrontier[[#This Row],[P36 Growth]]/PortfolioFrontier[[#This Row],[P36 HWM]]-1</f>
        <v>-0.10174685759985636</v>
      </c>
      <c r="EQ92" s="28">
        <f>SUMPRODUCT(INDEX(PortfolioRef[[SPY]:[PE]],MATCH(EQ$1,PortfolioRef[Reference '#]),0),AssetMonthlyReturns[[#This Row],[SPY]:[PE]])</f>
        <v>-3.9658789950237201E-2</v>
      </c>
      <c r="ER92" s="27">
        <f>IF(ISNUMBER(ER91),ER91*(1+PortfolioFrontier[[#This Row],[P37 Return]]),1+PortfolioFrontier[[#This Row],[P37 Return]])</f>
        <v>1.5438087223728536</v>
      </c>
      <c r="ES92" s="27">
        <f>MAX(ES91,PortfolioFrontier[[#This Row],[P37 Growth]])</f>
        <v>1.6794736802569215</v>
      </c>
      <c r="ET92" s="27">
        <f>PortfolioFrontier[[#This Row],[P37 Growth]]/PortfolioFrontier[[#This Row],[P37 HWM]]-1</f>
        <v>-8.0778257783303942E-2</v>
      </c>
      <c r="EU92" s="28">
        <f>SUMPRODUCT(INDEX(PortfolioRef[[SPY]:[PE]],MATCH(EU$1,PortfolioRef[Reference '#]),0),AssetMonthlyReturns[[#This Row],[SPY]:[PE]])</f>
        <v>-4.2723854859201035E-2</v>
      </c>
      <c r="EV92" s="27">
        <f>IF(ISNUMBER(EV91),EV91*(1+PortfolioFrontier[[#This Row],[P38 Return]]),1+PortfolioFrontier[[#This Row],[P38 Return]])</f>
        <v>1.5744588303684641</v>
      </c>
      <c r="EW92" s="27">
        <f>MAX(EW91,PortfolioFrontier[[#This Row],[P38 Growth]])</f>
        <v>1.7075928941250238</v>
      </c>
      <c r="EX92" s="27">
        <f>PortfolioFrontier[[#This Row],[P38 Growth]]/PortfolioFrontier[[#This Row],[P38 HWM]]-1</f>
        <v>-7.7965927484594078E-2</v>
      </c>
      <c r="EY92" s="28">
        <f>SUMPRODUCT(INDEX(PortfolioRef[[SPY]:[PE]],MATCH(EY$1,PortfolioRef[Reference '#]),0),AssetMonthlyReturns[[#This Row],[SPY]:[PE]])</f>
        <v>-4.44222250610814E-2</v>
      </c>
      <c r="EZ92" s="27">
        <f>IF(ISNUMBER(EZ91),EZ91*(1+PortfolioFrontier[[#This Row],[P39 Return]]),1+PortfolioFrontier[[#This Row],[P39 Return]])</f>
        <v>1.5648403001958</v>
      </c>
      <c r="FA92" s="27">
        <f>MAX(FA91,PortfolioFrontier[[#This Row],[P39 Growth]])</f>
        <v>1.7280388577532122</v>
      </c>
      <c r="FB92" s="27">
        <f>PortfolioFrontier[[#This Row],[P39 Growth]]/PortfolioFrontier[[#This Row],[P39 HWM]]-1</f>
        <v>-9.4441485980009787E-2</v>
      </c>
      <c r="FC92" s="28">
        <f>SUMPRODUCT(INDEX(PortfolioRef[[SPY]:[PE]],MATCH(FC$1,PortfolioRef[Reference '#]),0),AssetMonthlyReturns[[#This Row],[SPY]:[PE]])</f>
        <v>-4.0745614873077013E-2</v>
      </c>
      <c r="FD92" s="27">
        <f>IF(ISNUMBER(FD91),FD91*(1+PortfolioFrontier[[#This Row],[P40 Return]]),1+PortfolioFrontier[[#This Row],[P40 Return]])</f>
        <v>1.5709562296836714</v>
      </c>
      <c r="FE92" s="27">
        <f>MAX(FE91,PortfolioFrontier[[#This Row],[P40 Growth]])</f>
        <v>1.6952394830468527</v>
      </c>
      <c r="FF92" s="27">
        <f>PortfolioFrontier[[#This Row],[P40 Growth]]/PortfolioFrontier[[#This Row],[P40 HWM]]-1</f>
        <v>-7.3313095055930977E-2</v>
      </c>
      <c r="FG92" s="28">
        <f>SUMPRODUCT(INDEX(PortfolioRef[[SPY]:[PE]],MATCH(FG$1,PortfolioRef[Reference '#]),0),AssetMonthlyReturns[[#This Row],[SPY]:[PE]])</f>
        <v>-4.6120595262961764E-2</v>
      </c>
      <c r="FH92" s="27">
        <f>IF(ISNUMBER(FH91),FH91*(1+PortfolioFrontier[[#This Row],[P41 Return]]),1+PortfolioFrontier[[#This Row],[P41 Return]])</f>
        <v>1.5541398239232493</v>
      </c>
      <c r="FI92" s="27">
        <f>MAX(FI91,PortfolioFrontier[[#This Row],[P41 Growth]])</f>
        <v>1.7478091274239449</v>
      </c>
      <c r="FJ92" s="27">
        <f>PortfolioFrontier[[#This Row],[P41 Growth]]/PortfolioFrontier[[#This Row],[P41 HWM]]-1</f>
        <v>-0.11080689559399437</v>
      </c>
      <c r="FK92" s="28">
        <f>SUMPRODUCT(INDEX(PortfolioRef[[SPY]:[PE]],MATCH(FK$1,PortfolioRef[Reference '#]),0),AssetMonthlyReturns[[#This Row],[SPY]:[PE]])</f>
        <v>-4.2443985074957377E-2</v>
      </c>
      <c r="FL92" s="27">
        <f>IF(ISNUMBER(FL91),FL91*(1+PortfolioFrontier[[#This Row],[P42 Return]]),1+PortfolioFrontier[[#This Row],[P42 Return]])</f>
        <v>1.5610374950244841</v>
      </c>
      <c r="FM92" s="27">
        <f>MAX(FM91,PortfolioFrontier[[#This Row],[P42 Growth]])</f>
        <v>1.7151998522045959</v>
      </c>
      <c r="FN92" s="27">
        <f>PortfolioFrontier[[#This Row],[P42 Growth]]/PortfolioFrontier[[#This Row],[P42 HWM]]-1</f>
        <v>-8.9880113376853754E-2</v>
      </c>
      <c r="FO92" s="28">
        <f>SUMPRODUCT(INDEX(PortfolioRef[[SPY]:[PE]],MATCH(FO$1,PortfolioRef[Reference '#]),0),AssetMonthlyReturns[[#This Row],[SPY]:[PE]])</f>
        <v>-3.8767374886953011E-2</v>
      </c>
      <c r="FP92" s="27">
        <f>IF(ISNUMBER(FP91),FP91*(1+PortfolioFrontier[[#This Row],[P43 Return]]),1+PortfolioFrontier[[#This Row],[P43 Return]])</f>
        <v>1.566872430490633</v>
      </c>
      <c r="FQ92" s="27">
        <f>MAX(FQ91,PortfolioFrontier[[#This Row],[P43 Growth]])</f>
        <v>1.6824667632825669</v>
      </c>
      <c r="FR92" s="27">
        <f>PortfolioFrontier[[#This Row],[P43 Growth]]/PortfolioFrontier[[#This Row],[P43 HWM]]-1</f>
        <v>-6.8705269735257257E-2</v>
      </c>
      <c r="FS92" s="28">
        <f>SUMPRODUCT(INDEX(PortfolioRef[[SPY]:[PE]],MATCH(FS$1,PortfolioRef[Reference '#]),0),AssetMonthlyReturns[[#This Row],[SPY]:[PE]])</f>
        <v>-4.5509049983921204E-2</v>
      </c>
      <c r="FT92" s="27">
        <f>IF(ISNUMBER(FT91),FT91*(1+PortfolioFrontier[[#This Row],[P44 Return]]),1+PortfolioFrontier[[#This Row],[P44 Return]])</f>
        <v>1.5919176562652952</v>
      </c>
      <c r="FU92" s="27">
        <f>MAX(FU91,PortfolioFrontier[[#This Row],[P44 Growth]])</f>
        <v>1.7438475694471607</v>
      </c>
      <c r="FV92" s="27">
        <f>PortfolioFrontier[[#This Row],[P44 Growth]]/PortfolioFrontier[[#This Row],[P44 HWM]]-1</f>
        <v>-8.7123390738807927E-2</v>
      </c>
      <c r="FW92" s="28">
        <f>SUMPRODUCT(INDEX(PortfolioRef[[SPY]:[PE]],MATCH(FW$1,PortfolioRef[Reference '#]),0),AssetMonthlyReturns[[#This Row],[SPY]:[PE]])</f>
        <v>-4.1832439795916831E-2</v>
      </c>
      <c r="FX92" s="27">
        <f>IF(ISNUMBER(FX91),FX91*(1+PortfolioFrontier[[#This Row],[P45 Return]]),1+PortfolioFrontier[[#This Row],[P45 Return]])</f>
        <v>1.5981825844418809</v>
      </c>
      <c r="FY92" s="27">
        <f>MAX(FY91,PortfolioFrontier[[#This Row],[P45 Growth]])</f>
        <v>1.7108140158896465</v>
      </c>
      <c r="FZ92" s="27">
        <f>PortfolioFrontier[[#This Row],[P45 Growth]]/PortfolioFrontier[[#This Row],[P45 HWM]]-1</f>
        <v>-6.5834994570812988E-2</v>
      </c>
      <c r="GA92" s="28">
        <f>SUMPRODUCT(INDEX(PortfolioRef[[SPY]:[PE]],MATCH(GA$1,PortfolioRef[Reference '#]),0),AssetMonthlyReturns[[#This Row],[SPY]:[PE]])</f>
        <v>-4.7207420185801582E-2</v>
      </c>
      <c r="GB92" s="27">
        <f>IF(ISNUMBER(GB91),GB91*(1+PortfolioFrontier[[#This Row],[P46 Return]]),1+PortfolioFrontier[[#This Row],[P46 Return]])</f>
        <v>1.5813940774822051</v>
      </c>
      <c r="GC92" s="27">
        <f>MAX(GC91,PortfolioFrontier[[#This Row],[P46 Growth]])</f>
        <v>1.7641061270089846</v>
      </c>
      <c r="GD92" s="27">
        <f>PortfolioFrontier[[#This Row],[P46 Growth]]/PortfolioFrontier[[#This Row],[P46 HWM]]-1</f>
        <v>-0.10357202819569877</v>
      </c>
      <c r="GE92" s="28">
        <f>SUMPRODUCT(INDEX(PortfolioRef[[SPY]:[PE]],MATCH(GE$1,PortfolioRef[Reference '#]),0),AssetMonthlyReturns[[#This Row],[SPY]:[PE]])</f>
        <v>-4.3530809997797196E-2</v>
      </c>
      <c r="GF92" s="27">
        <f>IF(ISNUMBER(GF91),GF91*(1+PortfolioFrontier[[#This Row],[P47 Return]]),1+PortfolioFrontier[[#This Row],[P47 Return]])</f>
        <v>1.5884553485739292</v>
      </c>
      <c r="GG92" s="27">
        <f>MAX(GG91,PortfolioFrontier[[#This Row],[P47 Growth]])</f>
        <v>1.7312596087544752</v>
      </c>
      <c r="GH92" s="27">
        <f>PortfolioFrontier[[#This Row],[P47 Growth]]/PortfolioFrontier[[#This Row],[P47 HWM]]-1</f>
        <v>-8.2485757455685094E-2</v>
      </c>
      <c r="GI92" s="28">
        <f>SUMPRODUCT(INDEX(PortfolioRef[[SPY]:[PE]],MATCH(GI$1,PortfolioRef[Reference '#]),0),AssetMonthlyReturns[[#This Row],[SPY]:[PE]])</f>
        <v>-3.9854199809792823E-2</v>
      </c>
      <c r="GJ92" s="27">
        <f>IF(ISNUMBER(GJ91),GJ91*(1+PortfolioFrontier[[#This Row],[P48 Return]]),1+PortfolioFrontier[[#This Row],[P48 Return]])</f>
        <v>1.594436302372634</v>
      </c>
      <c r="GK92" s="27">
        <f>MAX(GK91,PortfolioFrontier[[#This Row],[P48 Growth]])</f>
        <v>1.6982858835097865</v>
      </c>
      <c r="GL92" s="27">
        <f>PortfolioFrontier[[#This Row],[P48 Growth]]/PortfolioFrontier[[#This Row],[P48 HWM]]-1</f>
        <v>-6.1149646326053353E-2</v>
      </c>
      <c r="GM92" s="28">
        <f>SUMPRODUCT(INDEX(PortfolioRef[[SPY]:[PE]],MATCH(GM$1,PortfolioRef[Reference '#]),0),AssetMonthlyReturns[[#This Row],[SPY]:[PE]])</f>
        <v>-4.8905790387681947E-2</v>
      </c>
      <c r="GN92" s="27">
        <f>IF(ISNUMBER(GN91),GN91*(1+PortfolioFrontier[[#This Row],[P49 Return]]),1+PortfolioFrontier[[#This Row],[P49 Return]])</f>
        <v>1.5697840515758612</v>
      </c>
      <c r="GO92" s="27">
        <f>MAX(GO91,PortfolioFrontier[[#This Row],[P49 Growth]])</f>
        <v>1.7836571071341945</v>
      </c>
      <c r="GP92" s="27">
        <f>PortfolioFrontier[[#This Row],[P49 Growth]]/PortfolioFrontier[[#This Row],[P49 HWM]]-1</f>
        <v>-0.11990704642887529</v>
      </c>
      <c r="GQ92" s="28">
        <f>SUMPRODUCT(INDEX(PortfolioRef[[SPY]:[PE]],MATCH(GQ$1,PortfolioRef[Reference '#]),0),AssetMonthlyReturns[[#This Row],[SPY]:[PE]])</f>
        <v>-4.522918019967756E-2</v>
      </c>
      <c r="GR92" s="27">
        <f>IF(ISNUMBER(GR91),GR91*(1+PortfolioFrontier[[#This Row],[P50 Return]]),1+PortfolioFrontier[[#This Row],[P50 Return]])</f>
        <v>1.5776300145028079</v>
      </c>
      <c r="GS92" s="27">
        <f>MAX(GS91,PortfolioFrontier[[#This Row],[P50 Growth]])</f>
        <v>1.7510275614895194</v>
      </c>
      <c r="GT92" s="27">
        <f>PortfolioFrontier[[#This Row],[P50 Growth]]/PortfolioFrontier[[#This Row],[P50 HWM]]-1</f>
        <v>-9.9026166577989239E-2</v>
      </c>
      <c r="GU92" s="28">
        <f>SUMPRODUCT(INDEX(PortfolioRef[[SPY]:[PE]],MATCH(GU$1,PortfolioRef[Reference '#]),0),AssetMonthlyReturns[[#This Row],[SPY]:[PE]])</f>
        <v>-4.1552570011673187E-2</v>
      </c>
      <c r="GV92" s="27">
        <f>IF(ISNUMBER(GV91),GV91*(1+PortfolioFrontier[[#This Row],[P51 Return]]),1+PortfolioFrontier[[#This Row],[P51 Return]])</f>
        <v>1.584405513555458</v>
      </c>
      <c r="GW92" s="27">
        <f>MAX(GW91,PortfolioFrontier[[#This Row],[P51 Growth]])</f>
        <v>1.7182435242855478</v>
      </c>
      <c r="GX92" s="27">
        <f>PortfolioFrontier[[#This Row],[P51 Growth]]/PortfolioFrontier[[#This Row],[P51 HWM]]-1</f>
        <v>-7.7892341125359477E-2</v>
      </c>
      <c r="GY92" s="28">
        <f>SUMPRODUCT(INDEX(PortfolioRef[[SPY]:[PE]],MATCH(GY$1,PortfolioRef[Reference '#]),0),AssetMonthlyReturns[[#This Row],[SPY]:[PE]])</f>
        <v>-4.8294245108641387E-2</v>
      </c>
      <c r="GZ92" s="27">
        <f>IF(ISNUMBER(GZ91),GZ91*(1+PortfolioFrontier[[#This Row],[P52 Return]]),1+PortfolioFrontier[[#This Row],[P52 Return]])</f>
        <v>1.6087258856726439</v>
      </c>
      <c r="HA92" s="27">
        <f>MAX(HA91,PortfolioFrontier[[#This Row],[P52 Growth]])</f>
        <v>1.7802031417261526</v>
      </c>
      <c r="HB92" s="27">
        <f>PortfolioFrontier[[#This Row],[P52 Growth]]/PortfolioFrontier[[#This Row],[P52 HWM]]-1</f>
        <v>-9.6324544111992649E-2</v>
      </c>
      <c r="HC92" s="28">
        <f>SUMPRODUCT(INDEX(PortfolioRef[[SPY]:[PE]],MATCH(HC$1,PortfolioRef[Reference '#]),0),AssetMonthlyReturns[[#This Row],[SPY]:[PE]])</f>
        <v>-4.4617634920637E-2</v>
      </c>
      <c r="HD92" s="27">
        <f>IF(ISNUMBER(HD91),HD91*(1+PortfolioFrontier[[#This Row],[P53 Return]]),1+PortfolioFrontier[[#This Row],[P53 Return]])</f>
        <v>1.6159523196305006</v>
      </c>
      <c r="HE92" s="27">
        <f>MAX(HE91,PortfolioFrontier[[#This Row],[P53 Growth]])</f>
        <v>1.7471238825308339</v>
      </c>
      <c r="HF92" s="27">
        <f>PortfolioFrontier[[#This Row],[P53 Growth]]/PortfolioFrontier[[#This Row],[P53 HWM]]-1</f>
        <v>-7.5078570107073306E-2</v>
      </c>
      <c r="HG92" s="28">
        <f>SUMPRODUCT(INDEX(PortfolioRef[[SPY]:[PE]],MATCH(HG$1,PortfolioRef[Reference '#]),0),AssetMonthlyReturns[[#This Row],[SPY]:[PE]])</f>
        <v>-4.0941024732632635E-2</v>
      </c>
      <c r="HH92" s="27">
        <f>IF(ISNUMBER(HH91),HH91*(1+PortfolioFrontier[[#This Row],[P54 Return]]),1+PortfolioFrontier[[#This Row],[P54 Return]])</f>
        <v>1.6220808248544916</v>
      </c>
      <c r="HI92" s="27">
        <f>MAX(HI91,PortfolioFrontier[[#This Row],[P54 Growth]])</f>
        <v>1.7139140104060526</v>
      </c>
      <c r="HJ92" s="27">
        <f>PortfolioFrontier[[#This Row],[P54 Growth]]/PortfolioFrontier[[#This Row],[P54 HWM]]-1</f>
        <v>-5.3580976054804719E-2</v>
      </c>
      <c r="HK92" s="28">
        <f>SUMPRODUCT(INDEX(PortfolioRef[[SPY]:[PE]],MATCH(HK$1,PortfolioRef[Reference '#]),0),AssetMonthlyReturns[[#This Row],[SPY]:[PE]])</f>
        <v>-4.9992615310521751E-2</v>
      </c>
      <c r="HL92" s="27">
        <f>IF(ISNUMBER(HL91),HL91*(1+PortfolioFrontier[[#This Row],[P55 Return]]),1+PortfolioFrontier[[#This Row],[P55 Return]])</f>
        <v>1.5972808683953783</v>
      </c>
      <c r="HM92" s="27">
        <f>MAX(HM91,PortfolioFrontier[[#This Row],[P55 Growth]])</f>
        <v>1.8002459621778737</v>
      </c>
      <c r="HN92" s="27">
        <f>PortfolioFrontier[[#This Row],[P55 Growth]]/PortfolioFrontier[[#This Row],[P55 HWM]]-1</f>
        <v>-0.1127429795964966</v>
      </c>
      <c r="HO92" s="28">
        <f>SUMPRODUCT(INDEX(PortfolioRef[[SPY]:[PE]],MATCH(HO$1,PortfolioRef[Reference '#]),0),AssetMonthlyReturns[[#This Row],[SPY]:[PE]])</f>
        <v>-4.6316005122517379E-2</v>
      </c>
      <c r="HP92" s="27">
        <f>IF(ISNUMBER(HP91),HP91*(1+PortfolioFrontier[[#This Row],[P56 Return]]),1+PortfolioFrontier[[#This Row],[P56 Return]])</f>
        <v>1.6053068177785712</v>
      </c>
      <c r="HQ92" s="27">
        <f>MAX(HQ91,PortfolioFrontier[[#This Row],[P56 Growth]])</f>
        <v>1.767380839986993</v>
      </c>
      <c r="HR92" s="27">
        <f>PortfolioFrontier[[#This Row],[P56 Growth]]/PortfolioFrontier[[#This Row],[P56 HWM]]-1</f>
        <v>-9.1702941743792232E-2</v>
      </c>
      <c r="HS92" s="28">
        <f>SUMPRODUCT(INDEX(PortfolioRef[[SPY]:[PE]],MATCH(HS$1,PortfolioRef[Reference '#]),0),AssetMonthlyReturns[[#This Row],[SPY]:[PE]])</f>
        <v>-4.2639394934512999E-2</v>
      </c>
      <c r="HT92" s="27">
        <f>IF(ISNUMBER(HT91),HT91*(1+PortfolioFrontier[[#This Row],[P57 Return]]),1+PortfolioFrontier[[#This Row],[P57 Return]])</f>
        <v>1.6122446609173238</v>
      </c>
      <c r="HU92" s="27">
        <f>MAX(HU91,PortfolioFrontier[[#This Row],[P57 Growth]])</f>
        <v>1.7343575628436463</v>
      </c>
      <c r="HV92" s="27">
        <f>PortfolioFrontier[[#This Row],[P57 Growth]]/PortfolioFrontier[[#This Row],[P57 HWM]]-1</f>
        <v>-7.0408146821873685E-2</v>
      </c>
      <c r="HW92" s="28">
        <f>SUMPRODUCT(INDEX(PortfolioRef[[SPY]:[PE]],MATCH(HW$1,PortfolioRef[Reference '#]),0),AssetMonthlyReturns[[#This Row],[SPY]:[PE]])</f>
        <v>-5.1690985512402116E-2</v>
      </c>
      <c r="HX92" s="27">
        <f>IF(ISNUMBER(HX91),HX91*(1+PortfolioFrontier[[#This Row],[P58 Return]]),1+PortfolioFrontier[[#This Row],[P58 Return]])</f>
        <v>1.5847461889696512</v>
      </c>
      <c r="HY92" s="27">
        <f>MAX(HY91,PortfolioFrontier[[#This Row],[P58 Growth]])</f>
        <v>1.8195487359549802</v>
      </c>
      <c r="HZ92" s="27">
        <f>PortfolioFrontier[[#This Row],[P58 Growth]]/PortfolioFrontier[[#This Row],[P58 HWM]]-1</f>
        <v>-0.12904438465732782</v>
      </c>
      <c r="IA92" s="28">
        <f>SUMPRODUCT(INDEX(PortfolioRef[[SPY]:[PE]],MATCH(IA$1,PortfolioRef[Reference '#]),0),AssetMonthlyReturns[[#This Row],[SPY]:[PE]])</f>
        <v>-4.8014375324397743E-2</v>
      </c>
      <c r="IB92" s="27">
        <f>IF(ISNUMBER(IB91),IB91*(1+PortfolioFrontier[[#This Row],[P59 Return]]),1+PortfolioFrontier[[#This Row],[P59 Return]])</f>
        <v>1.593558585816454</v>
      </c>
      <c r="IC92" s="27">
        <f>MAX(IC91,PortfolioFrontier[[#This Row],[P59 Growth]])</f>
        <v>1.7869282396294996</v>
      </c>
      <c r="ID92" s="27">
        <f>PortfolioFrontier[[#This Row],[P59 Growth]]/PortfolioFrontier[[#This Row],[P59 HWM]]-1</f>
        <v>-0.10821344110222286</v>
      </c>
      <c r="IE92" s="28">
        <f>SUMPRODUCT(INDEX(PortfolioRef[[SPY]:[PE]],MATCH(IE$1,PortfolioRef[Reference '#]),0),AssetMonthlyReturns[[#This Row],[SPY]:[PE]])</f>
        <v>-4.4337765136393363E-2</v>
      </c>
      <c r="IF92" s="27">
        <f>IF(ISNUMBER(IF91),IF91*(1+PortfolioFrontier[[#This Row],[P60 Return]]),1+PortfolioFrontier[[#This Row],[P60 Return]])</f>
        <v>1.6012941256620417</v>
      </c>
      <c r="IG92" s="27">
        <f>MAX(IG91,PortfolioFrontier[[#This Row],[P60 Growth]])</f>
        <v>1.7541215677111524</v>
      </c>
      <c r="IH92" s="27">
        <f>PortfolioFrontier[[#This Row],[P60 Growth]]/PortfolioFrontier[[#This Row],[P60 HWM]]-1</f>
        <v>-8.7124772229171144E-2</v>
      </c>
      <c r="II92" s="28">
        <f>SUMPRODUCT(INDEX(PortfolioRef[[SPY]:[PE]],MATCH(II$1,PortfolioRef[Reference '#]),0),AssetMonthlyReturns[[#This Row],[SPY]:[PE]])</f>
        <v>-3.9304543305383327E-2</v>
      </c>
      <c r="IJ92" s="27">
        <f>IF(ISNUMBER(IJ91),IJ91*(1+PortfolioFrontier[[#This Row],[P61 Return]]),1+PortfolioFrontier[[#This Row],[P61 Return]])</f>
        <v>1.4570552049818104</v>
      </c>
      <c r="IK92" s="27">
        <f>MAX(IK91,PortfolioFrontier[[#This Row],[P61 Growth]])</f>
        <v>1.6121264956964798</v>
      </c>
      <c r="IL92" s="27">
        <f>PortfolioFrontier[[#This Row],[P61 Growth]]/PortfolioFrontier[[#This Row],[P61 HWM]]-1</f>
        <v>-9.6190522969895498E-2</v>
      </c>
      <c r="IM92" s="28">
        <f>SUMPRODUCT(INDEX(PortfolioRef[[SPY]:[PE]],MATCH(IM$1,PortfolioRef[Reference '#]),0),AssetMonthlyReturns[[#This Row],[SPY]:[PE]])</f>
        <v>-4.0391368228223132E-2</v>
      </c>
      <c r="IN92" s="27">
        <f>IF(ISNUMBER(IN91),IN91*(1+PortfolioFrontier[[#This Row],[P62 Return]]),1+PortfolioFrontier[[#This Row],[P62 Return]])</f>
        <v>1.4826758147884713</v>
      </c>
      <c r="IO92" s="27">
        <f>MAX(IO91,PortfolioFrontier[[#This Row],[P62 Growth]])</f>
        <v>1.6272630311124299</v>
      </c>
      <c r="IP92" s="27">
        <f>PortfolioFrontier[[#This Row],[P62 Growth]]/PortfolioFrontier[[#This Row],[P62 HWM]]-1</f>
        <v>-8.8853008738922656E-2</v>
      </c>
      <c r="IQ92" s="28">
        <f>SUMPRODUCT(INDEX(PortfolioRef[[SPY]:[PE]],MATCH(IQ$1,PortfolioRef[Reference '#]),0),AssetMonthlyReturns[[#This Row],[SPY]:[PE]])</f>
        <v>-4.2089738430103503E-2</v>
      </c>
      <c r="IR92" s="27">
        <f>IF(ISNUMBER(IR91),IR91*(1+PortfolioFrontier[[#This Row],[P63 Return]]),1+PortfolioFrontier[[#This Row],[P63 Return]])</f>
        <v>1.4738224998840606</v>
      </c>
      <c r="IS92" s="27">
        <f>MAX(IS91,PortfolioFrontier[[#This Row],[P63 Growth]])</f>
        <v>1.646884909102555</v>
      </c>
      <c r="IT92" s="27">
        <f>PortfolioFrontier[[#This Row],[P63 Growth]]/PortfolioFrontier[[#This Row],[P63 HWM]]-1</f>
        <v>-0.10508470158537198</v>
      </c>
      <c r="IU92" s="28">
        <f>SUMPRODUCT(INDEX(PortfolioRef[[SPY]:[PE]],MATCH(IU$1,PortfolioRef[Reference '#]),0),AssetMonthlyReturns[[#This Row],[SPY]:[PE]])</f>
        <v>-3.8413128242099123E-2</v>
      </c>
      <c r="IV92" s="27">
        <f>IF(ISNUMBER(IV91),IV91*(1+PortfolioFrontier[[#This Row],[P64 Return]]),1+PortfolioFrontier[[#This Row],[P64 Return]])</f>
        <v>1.4790112381546008</v>
      </c>
      <c r="IW92" s="27">
        <f>MAX(IW91,PortfolioFrontier[[#This Row],[P64 Growth]])</f>
        <v>1.6151793879801097</v>
      </c>
      <c r="IX92" s="27">
        <f>PortfolioFrontier[[#This Row],[P64 Growth]]/PortfolioFrontier[[#This Row],[P64 HWM]]-1</f>
        <v>-8.4305279549039103E-2</v>
      </c>
      <c r="IY92" s="28">
        <f>SUMPRODUCT(INDEX(PortfolioRef[[SPY]:[PE]],MATCH(IY$1,PortfolioRef[Reference '#]),0),AssetMonthlyReturns[[#This Row],[SPY]:[PE]])</f>
        <v>-4.147819315106295E-2</v>
      </c>
      <c r="IZ92" s="27">
        <f>IF(ISNUMBER(IZ91),IZ91*(1+PortfolioFrontier[[#This Row],[P65 Return]]),1+PortfolioFrontier[[#This Row],[P65 Return]])</f>
        <v>1.5083697924764863</v>
      </c>
      <c r="JA92" s="27">
        <f>MAX(JA91,PortfolioFrontier[[#This Row],[P65 Growth]])</f>
        <v>1.6422150953060746</v>
      </c>
      <c r="JB92" s="27">
        <f>PortfolioFrontier[[#This Row],[P65 Growth]]/PortfolioFrontier[[#This Row],[P65 HWM]]-1</f>
        <v>-8.1502906173592571E-2</v>
      </c>
      <c r="JC92" s="28">
        <f>SUMPRODUCT(INDEX(PortfolioRef[[SPY]:[PE]],MATCH(JC$1,PortfolioRef[Reference '#]),0),AssetMonthlyReturns[[#This Row],[SPY]:[PE]])</f>
        <v>-4.3176563352943315E-2</v>
      </c>
      <c r="JD92" s="27">
        <f>IF(ISNUMBER(JD91),JD91*(1+PortfolioFrontier[[#This Row],[P66 Return]]),1+PortfolioFrontier[[#This Row],[P66 Return]])</f>
        <v>1.4997069444517626</v>
      </c>
      <c r="JE92" s="27">
        <f>MAX(JE91,PortfolioFrontier[[#This Row],[P66 Growth]])</f>
        <v>1.6623077877531292</v>
      </c>
      <c r="JF92" s="27">
        <f>PortfolioFrontier[[#This Row],[P66 Growth]]/PortfolioFrontier[[#This Row],[P66 HWM]]-1</f>
        <v>-9.7816327697740735E-2</v>
      </c>
      <c r="JG92" s="28">
        <f>SUMPRODUCT(INDEX(PortfolioRef[[SPY]:[PE]],MATCH(JG$1,PortfolioRef[Reference '#]),0),AssetMonthlyReturns[[#This Row],[SPY]:[PE]])</f>
        <v>-3.9499953164938935E-2</v>
      </c>
      <c r="JH92" s="27">
        <f>IF(ISNUMBER(JH91),JH91*(1+PortfolioFrontier[[#This Row],[P67 Return]]),1+PortfolioFrontier[[#This Row],[P67 Return]])</f>
        <v>1.5050280335018671</v>
      </c>
      <c r="JI92" s="27">
        <f>MAX(JI91,PortfolioFrontier[[#This Row],[P67 Growth]])</f>
        <v>1.6303687537292939</v>
      </c>
      <c r="JJ92" s="27">
        <f>PortfolioFrontier[[#This Row],[P67 Growth]]/PortfolioFrontier[[#This Row],[P67 HWM]]-1</f>
        <v>-7.6878755153227396E-2</v>
      </c>
      <c r="JK92" s="28">
        <f>SUMPRODUCT(INDEX(PortfolioRef[[SPY]:[PE]],MATCH(JK$1,PortfolioRef[Reference '#]),0),AssetMonthlyReturns[[#This Row],[SPY]:[PE]])</f>
        <v>-4.4874933554823679E-2</v>
      </c>
      <c r="JL92" s="27">
        <f>IF(ISNUMBER(JL91),JL91*(1+PortfolioFrontier[[#This Row],[P68 Return]]),1+PortfolioFrontier[[#This Row],[P68 Return]])</f>
        <v>1.490001738445792</v>
      </c>
      <c r="JM92" s="27">
        <f>MAX(JM91,PortfolioFrontier[[#This Row],[P68 Growth]])</f>
        <v>1.6817622542850994</v>
      </c>
      <c r="JN92" s="27">
        <f>PortfolioFrontier[[#This Row],[P68 Growth]]/PortfolioFrontier[[#This Row],[P68 HWM]]-1</f>
        <v>-0.11402355793793395</v>
      </c>
      <c r="JO92" s="28">
        <f>SUMPRODUCT(INDEX(PortfolioRef[[SPY]:[PE]],MATCH(JO$1,PortfolioRef[Reference '#]),0),AssetMonthlyReturns[[#This Row],[SPY]:[PE]])</f>
        <v>-4.1198323366819299E-2</v>
      </c>
      <c r="JP92" s="27">
        <f>IF(ISNUMBER(JP91),JP91*(1+PortfolioFrontier[[#This Row],[P69 Return]]),1+PortfolioFrontier[[#This Row],[P69 Return]])</f>
        <v>1.4960755309280753</v>
      </c>
      <c r="JQ92" s="27">
        <f>MAX(JQ91,PortfolioFrontier[[#This Row],[P69 Growth]])</f>
        <v>1.6499912107010917</v>
      </c>
      <c r="JR92" s="27">
        <f>PortfolioFrontier[[#This Row],[P69 Growth]]/PortfolioFrontier[[#This Row],[P69 HWM]]-1</f>
        <v>-9.3282727068356053E-2</v>
      </c>
      <c r="JS92" s="28">
        <f>SUMPRODUCT(INDEX(PortfolioRef[[SPY]:[PE]],MATCH(JS$1,PortfolioRef[Reference '#]),0),AssetMonthlyReturns[[#This Row],[SPY]:[PE]])</f>
        <v>-3.7521713178814926E-2</v>
      </c>
      <c r="JT92" s="27">
        <f>IF(ISNUMBER(JT91),JT91*(1+PortfolioFrontier[[#This Row],[P70 Return]]),1+PortfolioFrontier[[#This Row],[P70 Return]])</f>
        <v>1.5011285826547542</v>
      </c>
      <c r="JU92" s="27">
        <f>MAX(JU91,PortfolioFrontier[[#This Row],[P70 Growth]])</f>
        <v>1.6181178918603722</v>
      </c>
      <c r="JV92" s="27">
        <f>PortfolioFrontier[[#This Row],[P70 Growth]]/PortfolioFrontier[[#This Row],[P70 HWM]]-1</f>
        <v>-7.229962031450865E-2</v>
      </c>
      <c r="JW92" s="28">
        <f>SUMPRODUCT(INDEX(PortfolioRef[[SPY]:[PE]],MATCH(JW$1,PortfolioRef[Reference '#]),0),AssetMonthlyReturns[[#This Row],[SPY]:[PE]])</f>
        <v>-4.4263388275783133E-2</v>
      </c>
      <c r="JX92" s="27">
        <f>IF(ISNUMBER(JX91),JX91*(1+PortfolioFrontier[[#This Row],[P71 Return]]),1+PortfolioFrontier[[#This Row],[P71 Return]])</f>
        <v>1.5256650256733459</v>
      </c>
      <c r="JY92" s="27">
        <f>MAX(JY91,PortfolioFrontier[[#This Row],[P71 Growth]])</f>
        <v>1.6775420819631024</v>
      </c>
      <c r="JZ92" s="27">
        <f>PortfolioFrontier[[#This Row],[P71 Growth]]/PortfolioFrontier[[#This Row],[P71 HWM]]-1</f>
        <v>-9.0535467290350224E-2</v>
      </c>
      <c r="KA92" s="28">
        <f>SUMPRODUCT(INDEX(PortfolioRef[[SPY]:[PE]],MATCH(KA$1,PortfolioRef[Reference '#]),0),AssetMonthlyReturns[[#This Row],[SPY]:[PE]])</f>
        <v>-4.0586778087778747E-2</v>
      </c>
      <c r="KB92" s="27">
        <f>IF(ISNUMBER(KB91),KB91*(1+PortfolioFrontier[[#This Row],[P72 Return]]),1+PortfolioFrontier[[#This Row],[P72 Return]])</f>
        <v>1.5311198936211914</v>
      </c>
      <c r="KC92" s="27">
        <f>MAX(KC91,PortfolioFrontier[[#This Row],[P72 Growth]])</f>
        <v>1.6453738946019467</v>
      </c>
      <c r="KD92" s="27">
        <f>PortfolioFrontier[[#This Row],[P72 Growth]]/PortfolioFrontier[[#This Row],[P72 HWM]]-1</f>
        <v>-6.9439536725113715E-2</v>
      </c>
      <c r="KE92" s="28">
        <f>SUMPRODUCT(INDEX(PortfolioRef[[SPY]:[PE]],MATCH(KE$1,PortfolioRef[Reference '#]),0),AssetMonthlyReturns[[#This Row],[SPY]:[PE]])</f>
        <v>-4.5961758477663497E-2</v>
      </c>
      <c r="KF92" s="27">
        <f>IF(ISNUMBER(KF91),KF91*(1+PortfolioFrontier[[#This Row],[P73 Return]]),1+PortfolioFrontier[[#This Row],[P73 Return]])</f>
        <v>1.5161394532476924</v>
      </c>
      <c r="KG92" s="27">
        <f>MAX(KG91,PortfolioFrontier[[#This Row],[P73 Growth]])</f>
        <v>1.6974712283523181</v>
      </c>
      <c r="KH92" s="27">
        <f>PortfolioFrontier[[#This Row],[P73 Growth]]/PortfolioFrontier[[#This Row],[P73 HWM]]-1</f>
        <v>-0.10682465309331857</v>
      </c>
      <c r="KI92" s="28">
        <f>SUMPRODUCT(INDEX(PortfolioRef[[SPY]:[PE]],MATCH(KI$1,PortfolioRef[Reference '#]),0),AssetMonthlyReturns[[#This Row],[SPY]:[PE]])</f>
        <v>-4.2285148289659118E-2</v>
      </c>
      <c r="KJ92" s="27">
        <f>IF(ISNUMBER(KJ91),KJ91*(1+PortfolioFrontier[[#This Row],[P74 Return]]),1+PortfolioFrontier[[#This Row],[P74 Return]])</f>
        <v>1.5223609802251761</v>
      </c>
      <c r="KK92" s="27">
        <f>MAX(KK91,PortfolioFrontier[[#This Row],[P74 Growth]])</f>
        <v>1.6654678920548054</v>
      </c>
      <c r="KL92" s="27">
        <f>PortfolioFrontier[[#This Row],[P74 Growth]]/PortfolioFrontier[[#This Row],[P74 HWM]]-1</f>
        <v>-8.5925950606629997E-2</v>
      </c>
      <c r="KM92" s="28">
        <f>SUMPRODUCT(INDEX(PortfolioRef[[SPY]:[PE]],MATCH(KM$1,PortfolioRef[Reference '#]),0),AssetMonthlyReturns[[#This Row],[SPY]:[PE]])</f>
        <v>-3.8608538101654745E-2</v>
      </c>
      <c r="KN92" s="27">
        <f>IF(ISNUMBER(KN91),KN91*(1+PortfolioFrontier[[#This Row],[P75 Return]]),1+PortfolioFrontier[[#This Row],[P75 Return]])</f>
        <v>1.5275448439861843</v>
      </c>
      <c r="KO92" s="27">
        <f>MAX(KO91,PortfolioFrontier[[#This Row],[P75 Growth]])</f>
        <v>1.6333591346427441</v>
      </c>
      <c r="KP92" s="27">
        <f>PortfolioFrontier[[#This Row],[P75 Growth]]/PortfolioFrontier[[#This Row],[P75 HWM]]-1</f>
        <v>-6.4783236223002416E-2</v>
      </c>
      <c r="KQ92" s="28">
        <f>SUMPRODUCT(INDEX(PortfolioRef[[SPY]:[PE]],MATCH(KQ$1,PortfolioRef[Reference '#]),0),AssetMonthlyReturns[[#This Row],[SPY]:[PE]])</f>
        <v>-4.7660128679543862E-2</v>
      </c>
      <c r="KR92" s="27">
        <f>IF(ISNUMBER(KR91),KR91*(1+PortfolioFrontier[[#This Row],[P76 Return]]),1+PortfolioFrontier[[#This Row],[P76 Return]])</f>
        <v>1.5055662918405521</v>
      </c>
      <c r="KS92" s="27">
        <f>MAX(KS91,PortfolioFrontier[[#This Row],[P76 Growth]])</f>
        <v>1.7167314071133803</v>
      </c>
      <c r="KT92" s="27">
        <f>PortfolioFrontier[[#This Row],[P76 Growth]]/PortfolioFrontier[[#This Row],[P76 HWM]]-1</f>
        <v>-0.12300416617174526</v>
      </c>
      <c r="KU92" s="28">
        <f>SUMPRODUCT(INDEX(PortfolioRef[[SPY]:[PE]],MATCH(KU$1,PortfolioRef[Reference '#]),0),AssetMonthlyReturns[[#This Row],[SPY]:[PE]])</f>
        <v>-4.3983518491539489E-2</v>
      </c>
      <c r="KV92" s="27">
        <f>IF(ISNUMBER(KV91),KV91*(1+PortfolioFrontier[[#This Row],[P77 Return]]),1+PortfolioFrontier[[#This Row],[P77 Return]])</f>
        <v>1.5125441568543656</v>
      </c>
      <c r="KW92" s="27">
        <f>MAX(KW91,PortfolioFrontier[[#This Row],[P77 Growth]])</f>
        <v>1.6849217747429484</v>
      </c>
      <c r="KX92" s="27">
        <f>PortfolioFrontier[[#This Row],[P77 Growth]]/PortfolioFrontier[[#This Row],[P77 HWM]]-1</f>
        <v>-0.10230600641082033</v>
      </c>
      <c r="KY92" s="28">
        <f>SUMPRODUCT(INDEX(PortfolioRef[[SPY]:[PE]],MATCH(KY$1,PortfolioRef[Reference '#]),0),AssetMonthlyReturns[[#This Row],[SPY]:[PE]])</f>
        <v>-4.0306908303535109E-2</v>
      </c>
      <c r="KZ92" s="27">
        <f>IF(ISNUMBER(KZ91),KZ91*(1+PortfolioFrontier[[#This Row],[P78 Return]]),1+PortfolioFrontier[[#This Row],[P78 Return]])</f>
        <v>1.5184929741273709</v>
      </c>
      <c r="LA92" s="27">
        <f>MAX(LA91,PortfolioFrontier[[#This Row],[P78 Growth]])</f>
        <v>1.6529805725839544</v>
      </c>
      <c r="LB92" s="27">
        <f>PortfolioFrontier[[#This Row],[P78 Growth]]/PortfolioFrontier[[#This Row],[P78 HWM]]-1</f>
        <v>-8.136066490264382E-2</v>
      </c>
      <c r="LC92" s="28">
        <f>SUMPRODUCT(INDEX(PortfolioRef[[SPY]:[PE]],MATCH(LC$1,PortfolioRef[Reference '#]),0),AssetMonthlyReturns[[#This Row],[SPY]:[PE]])</f>
        <v>-4.7048583400503309E-2</v>
      </c>
      <c r="LD92" s="27">
        <f>IF(ISNUMBER(LD91),LD91*(1+PortfolioFrontier[[#This Row],[P79 Return]]),1+PortfolioFrontier[[#This Row],[P79 Return]])</f>
        <v>1.5423510387717227</v>
      </c>
      <c r="LE92" s="27">
        <f>MAX(LE91,PortfolioFrontier[[#This Row],[P79 Growth]])</f>
        <v>1.7129874860839263</v>
      </c>
      <c r="LF92" s="27">
        <f>PortfolioFrontier[[#This Row],[P79 Growth]]/PortfolioFrontier[[#This Row],[P79 HWM]]-1</f>
        <v>-9.9613364778453062E-2</v>
      </c>
      <c r="LG92" s="28">
        <f>SUMPRODUCT(INDEX(PortfolioRef[[SPY]:[PE]],MATCH(LG$1,PortfolioRef[Reference '#]),0),AssetMonthlyReturns[[#This Row],[SPY]:[PE]])</f>
        <v>-4.3371973212498929E-2</v>
      </c>
      <c r="LH92" s="27">
        <f>IF(ISNUMBER(LH91),LH91*(1+PortfolioFrontier[[#This Row],[P80 Return]]),1+PortfolioFrontier[[#This Row],[P80 Return]])</f>
        <v>1.5487217742524224</v>
      </c>
      <c r="LI92" s="27">
        <f>MAX(LI91,PortfolioFrontier[[#This Row],[P80 Growth]])</f>
        <v>1.6807562405101484</v>
      </c>
      <c r="LJ92" s="27">
        <f>PortfolioFrontier[[#This Row],[P80 Growth]]/PortfolioFrontier[[#This Row],[P80 HWM]]-1</f>
        <v>-7.855658249268227E-2</v>
      </c>
      <c r="LK92" s="28">
        <f>SUMPRODUCT(INDEX(PortfolioRef[[SPY]:[PE]],MATCH(LK$1,PortfolioRef[Reference '#]),0),AssetMonthlyReturns[[#This Row],[SPY]:[PE]])</f>
        <v>-3.969536302449455E-2</v>
      </c>
      <c r="LL92" s="27">
        <f>IF(ISNUMBER(LL91),LL91*(1+PortfolioFrontier[[#This Row],[P81 Return]]),1+PortfolioFrontier[[#This Row],[P81 Return]])</f>
        <v>1.5540378948831644</v>
      </c>
      <c r="LM92" s="27">
        <f>MAX(LM91,PortfolioFrontier[[#This Row],[P81 Growth]])</f>
        <v>1.648416413491208</v>
      </c>
      <c r="LN92" s="27">
        <f>PortfolioFrontier[[#This Row],[P81 Growth]]/PortfolioFrontier[[#This Row],[P81 HWM]]-1</f>
        <v>-5.7254051728445221E-2</v>
      </c>
      <c r="LO92" s="28">
        <f>SUMPRODUCT(INDEX(PortfolioRef[[SPY]:[PE]],MATCH(LO$1,PortfolioRef[Reference '#]),0),AssetMonthlyReturns[[#This Row],[SPY]:[PE]])</f>
        <v>-4.874695360238368E-2</v>
      </c>
      <c r="LP92" s="27">
        <f>IF(ISNUMBER(LP91),LP91*(1+PortfolioFrontier[[#This Row],[P82 Return]]),1+PortfolioFrontier[[#This Row],[P82 Return]])</f>
        <v>1.5319462971543099</v>
      </c>
      <c r="LQ92" s="27">
        <f>MAX(LQ91,PortfolioFrontier[[#This Row],[P82 Growth]])</f>
        <v>1.7327259878391794</v>
      </c>
      <c r="LR92" s="27">
        <f>PortfolioFrontier[[#This Row],[P82 Growth]]/PortfolioFrontier[[#This Row],[P82 HWM]]-1</f>
        <v>-0.11587503857736603</v>
      </c>
      <c r="LS92" s="28">
        <f>SUMPRODUCT(INDEX(PortfolioRef[[SPY]:[PE]],MATCH(LS$1,PortfolioRef[Reference '#]),0),AssetMonthlyReturns[[#This Row],[SPY]:[PE]])</f>
        <v>-4.5070343414379294E-2</v>
      </c>
      <c r="LT92" s="27">
        <f>IF(ISNUMBER(LT91),LT91*(1+PortfolioFrontier[[#This Row],[P83 Return]]),1+PortfolioFrontier[[#This Row],[P83 Return]])</f>
        <v>1.5390875520610503</v>
      </c>
      <c r="LU92" s="27">
        <f>MAX(LU91,PortfolioFrontier[[#This Row],[P83 Growth]])</f>
        <v>1.7006855237848306</v>
      </c>
      <c r="LV92" s="27">
        <f>PortfolioFrontier[[#This Row],[P83 Growth]]/PortfolioFrontier[[#This Row],[P83 HWM]]-1</f>
        <v>-9.5019313955320928E-2</v>
      </c>
      <c r="LW92" s="28">
        <f>SUMPRODUCT(INDEX(PortfolioRef[[SPY]:[PE]],MATCH(LW$1,PortfolioRef[Reference '#]),0),AssetMonthlyReturns[[#This Row],[SPY]:[PE]])</f>
        <v>-4.1393733226374921E-2</v>
      </c>
      <c r="LX92" s="27">
        <f>IF(ISNUMBER(LX91),LX91*(1+PortfolioFrontier[[#This Row],[P84 Return]]),1+PortfolioFrontier[[#This Row],[P84 Return]])</f>
        <v>1.5451827635450308</v>
      </c>
      <c r="LY92" s="27">
        <f>MAX(LY91,PortfolioFrontier[[#This Row],[P84 Growth]])</f>
        <v>1.6685100840279028</v>
      </c>
      <c r="LZ92" s="27">
        <f>PortfolioFrontier[[#This Row],[P84 Growth]]/PortfolioFrontier[[#This Row],[P84 HWM]]-1</f>
        <v>-7.3914638972484403E-2</v>
      </c>
      <c r="MA92" s="28">
        <f>SUMPRODUCT(INDEX(PortfolioRef[[SPY]:[PE]],MATCH(MA$1,PortfolioRef[Reference '#]),0),AssetMonthlyReturns[[#This Row],[SPY]:[PE]])</f>
        <v>-5.0445323804264044E-2</v>
      </c>
      <c r="MB92" s="27">
        <f>IF(ISNUMBER(MB91),MB91*(1+PortfolioFrontier[[#This Row],[P85 Return]]),1+PortfolioFrontier[[#This Row],[P85 Return]])</f>
        <v>1.520489951367537</v>
      </c>
      <c r="MC92" s="27">
        <f>MAX(MC91,PortfolioFrontier[[#This Row],[P85 Growth]])</f>
        <v>1.7517641950154219</v>
      </c>
      <c r="MD92" s="27">
        <f>PortfolioFrontier[[#This Row],[P85 Growth]]/PortfolioFrontier[[#This Row],[P85 HWM]]-1</f>
        <v>-0.13202361613850022</v>
      </c>
      <c r="ME92" s="28">
        <f>SUMPRODUCT(INDEX(PortfolioRef[[SPY]:[PE]],MATCH(ME$1,PortfolioRef[Reference '#]),0),AssetMonthlyReturns[[#This Row],[SPY]:[PE]])</f>
        <v>-4.6768713616259658E-2</v>
      </c>
      <c r="MF92" s="27">
        <f>IF(ISNUMBER(MF91),MF91*(1+PortfolioFrontier[[#This Row],[P86 Return]]),1+PortfolioFrontier[[#This Row],[P86 Return]])</f>
        <v>1.5283900500549543</v>
      </c>
      <c r="MG92" s="27">
        <f>MAX(MG91,PortfolioFrontier[[#This Row],[P86 Growth]])</f>
        <v>1.7199439154573082</v>
      </c>
      <c r="MH92" s="27">
        <f>PortfolioFrontier[[#This Row],[P86 Growth]]/PortfolioFrontier[[#This Row],[P86 HWM]]-1</f>
        <v>-0.11137215794122124</v>
      </c>
      <c r="MI92" s="28">
        <f>SUMPRODUCT(INDEX(PortfolioRef[[SPY]:[PE]],MATCH(MI$1,PortfolioRef[Reference '#]),0),AssetMonthlyReturns[[#This Row],[SPY]:[PE]])</f>
        <v>-4.3092103428255292E-2</v>
      </c>
      <c r="MJ92" s="27">
        <f>IF(ISNUMBER(MJ91),MJ91*(1+PortfolioFrontier[[#This Row],[P87 Return]]),1+PortfolioFrontier[[#This Row],[P87 Return]])</f>
        <v>1.5352540537378199</v>
      </c>
      <c r="MK92" s="27">
        <f>MAX(MK91,PortfolioFrontier[[#This Row],[P87 Growth]])</f>
        <v>1.6879617873128629</v>
      </c>
      <c r="ML92" s="27">
        <f>PortfolioFrontier[[#This Row],[P87 Growth]]/PortfolioFrontier[[#This Row],[P87 HWM]]-1</f>
        <v>-9.0468714826859253E-2</v>
      </c>
      <c r="MM92" s="28">
        <f>SUMPRODUCT(INDEX(PortfolioRef[[SPY]:[PE]],MATCH(MM$1,PortfolioRef[Reference '#]),0),AssetMonthlyReturns[[#This Row],[SPY]:[PE]])</f>
        <v>-4.9833778525223492E-2</v>
      </c>
      <c r="MN92" s="27">
        <f>IF(ISNUMBER(MN91),MN91*(1+PortfolioFrontier[[#This Row],[P88 Return]]),1+PortfolioFrontier[[#This Row],[P88 Return]])</f>
        <v>1.5584003721634128</v>
      </c>
      <c r="MO92" s="27">
        <f>MAX(MO91,PortfolioFrontier[[#This Row],[P88 Growth]])</f>
        <v>1.7485237047822844</v>
      </c>
      <c r="MP92" s="27">
        <f>PortfolioFrontier[[#This Row],[P88 Growth]]/PortfolioFrontier[[#This Row],[P88 HWM]]-1</f>
        <v>-0.10873363174824369</v>
      </c>
      <c r="MQ92" s="28">
        <f>SUMPRODUCT(INDEX(PortfolioRef[[SPY]:[PE]],MATCH(MQ$1,PortfolioRef[Reference '#]),0),AssetMonthlyReturns[[#This Row],[SPY]:[PE]])</f>
        <v>-4.6157168337219112E-2</v>
      </c>
      <c r="MR92" s="27">
        <f>IF(ISNUMBER(MR91),MR91*(1+PortfolioFrontier[[#This Row],[P89 Return]]),1+PortfolioFrontier[[#This Row],[P89 Return]])</f>
        <v>1.5657065365078324</v>
      </c>
      <c r="MS92" s="27">
        <f>MAX(MS91,PortfolioFrontier[[#This Row],[P89 Growth]])</f>
        <v>1.7162568132506029</v>
      </c>
      <c r="MT92" s="27">
        <f>PortfolioFrontier[[#This Row],[P89 Growth]]/PortfolioFrontier[[#This Row],[P89 HWM]]-1</f>
        <v>-8.7720133479107454E-2</v>
      </c>
      <c r="MU92" s="28">
        <f>SUMPRODUCT(INDEX(PortfolioRef[[SPY]:[PE]],MATCH(MU$1,PortfolioRef[Reference '#]),0),AssetMonthlyReturns[[#This Row],[SPY]:[PE]])</f>
        <v>-4.2480558149214732E-2</v>
      </c>
      <c r="MV92" s="27">
        <f>IF(ISNUMBER(MV91),MV91*(1+PortfolioFrontier[[#This Row],[P90 Return]]),1+PortfolioFrontier[[#This Row],[P90 Return]])</f>
        <v>1.5719496339543115</v>
      </c>
      <c r="MW92" s="27">
        <f>MAX(MW91,PortfolioFrontier[[#This Row],[P90 Growth]])</f>
        <v>1.6838515290273213</v>
      </c>
      <c r="MX92" s="27">
        <f>PortfolioFrontier[[#This Row],[P90 Growth]]/PortfolioFrontier[[#This Row],[P90 HWM]]-1</f>
        <v>-6.64559155863641E-2</v>
      </c>
      <c r="MY92" s="28">
        <f>SUMPRODUCT(INDEX(PortfolioRef[[SPY]:[PE]],MATCH(MY$1,PortfolioRef[Reference '#]),0),AssetMonthlyReturns[[#This Row],[SPY]:[PE]])</f>
        <v>-5.1532148727103856E-2</v>
      </c>
      <c r="MZ92" s="27">
        <f>IF(ISNUMBER(MZ91),MZ91*(1+PortfolioFrontier[[#This Row],[P91 Return]]),1+PortfolioFrontier[[#This Row],[P91 Return]])</f>
        <v>1.5471008609006778</v>
      </c>
      <c r="NA92" s="27">
        <f>MAX(NA91,PortfolioFrontier[[#This Row],[P91 Growth]])</f>
        <v>1.7680436458517257</v>
      </c>
      <c r="NB92" s="27">
        <f>PortfolioFrontier[[#This Row],[P91 Growth]]/PortfolioFrontier[[#This Row],[P91 HWM]]-1</f>
        <v>-0.12496455360105796</v>
      </c>
      <c r="NC92" s="28">
        <f>SUMPRODUCT(INDEX(PortfolioRef[[SPY]:[PE]],MATCH(NC$1,PortfolioRef[Reference '#]),0),AssetMonthlyReturns[[#This Row],[SPY]:[PE]])</f>
        <v>-4.7855538539099476E-2</v>
      </c>
      <c r="ND92" s="27">
        <f>IF(ISNUMBER(ND91),ND91*(1+PortfolioFrontier[[#This Row],[P92 Return]]),1+PortfolioFrontier[[#This Row],[P92 Return]])</f>
        <v>1.5551802609154819</v>
      </c>
      <c r="NE92" s="27">
        <f>MAX(NE91,PortfolioFrontier[[#This Row],[P92 Growth]])</f>
        <v>1.73599424265744</v>
      </c>
      <c r="NF92" s="27">
        <f>PortfolioFrontier[[#This Row],[P92 Growth]]/PortfolioFrontier[[#This Row],[P92 HWM]]-1</f>
        <v>-0.10415586486345141</v>
      </c>
      <c r="NG92" s="28">
        <f>SUMPRODUCT(INDEX(PortfolioRef[[SPY]:[PE]],MATCH(NG$1,PortfolioRef[Reference '#]),0),AssetMonthlyReturns[[#This Row],[SPY]:[PE]])</f>
        <v>-4.4178928351095104E-2</v>
      </c>
      <c r="NH92" s="27">
        <f>IF(ISNUMBER(NH91),NH91*(1+PortfolioFrontier[[#This Row],[P93 Return]]),1+PortfolioFrontier[[#This Row],[P93 Return]])</f>
        <v>1.5622065188368519</v>
      </c>
      <c r="NI92" s="27">
        <f>MAX(NI91,PortfolioFrontier[[#This Row],[P93 Growth]])</f>
        <v>1.7037793193389816</v>
      </c>
      <c r="NJ92" s="27">
        <f>PortfolioFrontier[[#This Row],[P93 Growth]]/PortfolioFrontier[[#This Row],[P93 HWM]]-1</f>
        <v>-8.3093390614141227E-2</v>
      </c>
      <c r="NK92" s="28">
        <f>SUMPRODUCT(INDEX(PortfolioRef[[SPY]:[PE]],MATCH(NK$1,PortfolioRef[Reference '#]),0),AssetMonthlyReturns[[#This Row],[SPY]:[PE]])</f>
        <v>-5.323051892898422E-2</v>
      </c>
      <c r="NL92" s="27">
        <f>IF(ISNUMBER(NL91),NL91*(1+PortfolioFrontier[[#This Row],[P94 Return]]),1+PortfolioFrontier[[#This Row],[P94 Return]])</f>
        <v>1.5347469846017665</v>
      </c>
      <c r="NM92" s="27">
        <f>MAX(NM91,PortfolioFrontier[[#This Row],[P94 Growth]])</f>
        <v>1.7868313973018393</v>
      </c>
      <c r="NN92" s="27">
        <f>PortfolioFrontier[[#This Row],[P94 Growth]]/PortfolioFrontier[[#This Row],[P94 HWM]]-1</f>
        <v>-0.14107901455096805</v>
      </c>
      <c r="NO92" s="28">
        <f>SUMPRODUCT(INDEX(PortfolioRef[[SPY]:[PE]],MATCH(NO$1,PortfolioRef[Reference '#]),0),AssetMonthlyReturns[[#This Row],[SPY]:[PE]])</f>
        <v>-4.9553908740979841E-2</v>
      </c>
      <c r="NP92" s="27">
        <f>IF(ISNUMBER(NP91),NP91*(1+PortfolioFrontier[[#This Row],[P95 Return]]),1+PortfolioFrontier[[#This Row],[P95 Return]])</f>
        <v>1.5435865680713459</v>
      </c>
      <c r="NQ92" s="27">
        <f>MAX(NQ91,PortfolioFrontier[[#This Row],[P95 Growth]])</f>
        <v>1.7550294195356591</v>
      </c>
      <c r="NR92" s="27">
        <f>PortfolioFrontier[[#This Row],[P95 Growth]]/PortfolioFrontier[[#This Row],[P95 HWM]]-1</f>
        <v>-0.12047823763561538</v>
      </c>
      <c r="NS92" s="28">
        <f>SUMPRODUCT(INDEX(PortfolioRef[[SPY]:[PE]],MATCH(NS$1,PortfolioRef[Reference '#]),0),AssetMonthlyReturns[[#This Row],[SPY]:[PE]])</f>
        <v>-4.5877298552975468E-2</v>
      </c>
      <c r="NT92" s="27">
        <f>IF(ISNUMBER(NT91),NT91*(1+PortfolioFrontier[[#This Row],[P96 Return]]),1+PortfolioFrontier[[#This Row],[P96 Return]])</f>
        <v>1.5513843144508035</v>
      </c>
      <c r="NU92" s="27">
        <f>MAX(NU91,PortfolioFrontier[[#This Row],[P96 Growth]])</f>
        <v>1.7230343324336159</v>
      </c>
      <c r="NV92" s="27">
        <f>PortfolioFrontier[[#This Row],[P96 Growth]]/PortfolioFrontier[[#This Row],[P96 HWM]]-1</f>
        <v>-9.9620776412721712E-2</v>
      </c>
      <c r="NW92" s="28">
        <f>SUMPRODUCT(INDEX(PortfolioRef[[SPY]:[PE]],MATCH(NW$1,PortfolioRef[Reference '#]),0),AssetMonthlyReturns[[#This Row],[SPY]:[PE]])</f>
        <v>-3.8058881597245242E-2</v>
      </c>
      <c r="NX92" s="27">
        <f>IF(ISNUMBER(NX91),NX91*(1+PortfolioFrontier[[#This Row],[P97 Return]]),1+PortfolioFrontier[[#This Row],[P97 Return]])</f>
        <v>1.3952505726085607</v>
      </c>
      <c r="NY92" s="27">
        <f>MAX(NY91,PortfolioFrontier[[#This Row],[P97 Growth]])</f>
        <v>1.5498139523617234</v>
      </c>
      <c r="NZ92" s="27">
        <f>PortfolioFrontier[[#This Row],[P97 Growth]]/PortfolioFrontier[[#This Row],[P97 HWM]]-1</f>
        <v>-9.9730280216943079E-2</v>
      </c>
      <c r="OA92" s="28">
        <f>SUMPRODUCT(INDEX(PortfolioRef[[SPY]:[PE]],MATCH(OA$1,PortfolioRef[Reference '#]),0),AssetMonthlyReturns[[#This Row],[SPY]:[PE]])</f>
        <v>-3.9145706520085061E-2</v>
      </c>
      <c r="OB92" s="27">
        <f>IF(ISNUMBER(OB91),OB91*(1+PortfolioFrontier[[#This Row],[P98 Return]]),1+PortfolioFrontier[[#This Row],[P98 Return]])</f>
        <v>1.4197930068017031</v>
      </c>
      <c r="OC92" s="27">
        <f>MAX(OC91,PortfolioFrontier[[#This Row],[P98 Growth]])</f>
        <v>1.5643918723292729</v>
      </c>
      <c r="OD92" s="27">
        <f>PortfolioFrontier[[#This Row],[P98 Growth]]/PortfolioFrontier[[#This Row],[P98 HWM]]-1</f>
        <v>-9.2431358207117231E-2</v>
      </c>
      <c r="OE92" s="28">
        <f>SUMPRODUCT(INDEX(PortfolioRef[[SPY]:[PE]],MATCH(OE$1,PortfolioRef[Reference '#]),0),AssetMonthlyReturns[[#This Row],[SPY]:[PE]])</f>
        <v>-4.0844076721965425E-2</v>
      </c>
      <c r="OF92" s="27">
        <f>IF(ISNUMBER(OF91),OF91*(1+PortfolioFrontier[[#This Row],[P99 Return]]),1+PortfolioFrontier[[#This Row],[P99 Return]])</f>
        <v>1.4118330547632147</v>
      </c>
      <c r="OG92" s="27">
        <f>MAX(OG91,PortfolioFrontier[[#This Row],[P99 Growth]])</f>
        <v>1.5836627563813395</v>
      </c>
      <c r="OH92" s="27">
        <f>PortfolioFrontier[[#This Row],[P99 Growth]]/PortfolioFrontier[[#This Row],[P99 HWM]]-1</f>
        <v>-0.10850144762560099</v>
      </c>
      <c r="OI92" s="28">
        <f>SUMPRODUCT(INDEX(PortfolioRef[[SPY]:[PE]],MATCH(OI$1,PortfolioRef[Reference '#]),0),AssetMonthlyReturns[[#This Row],[SPY]:[PE]])</f>
        <v>-3.7167466533961045E-2</v>
      </c>
      <c r="OJ92" s="27">
        <f>IF(ISNUMBER(OJ91),OJ91*(1+PortfolioFrontier[[#This Row],[P100 Return]]),1+PortfolioFrontier[[#This Row],[P100 Return]])</f>
        <v>1.4162957005306329</v>
      </c>
      <c r="OK92" s="27">
        <f>MAX(OK91,PortfolioFrontier[[#This Row],[P100 Growth]])</f>
        <v>1.5528062347399851</v>
      </c>
      <c r="OL92" s="27">
        <f>PortfolioFrontier[[#This Row],[P100 Growth]]/PortfolioFrontier[[#This Row],[P100 HWM]]-1</f>
        <v>-8.7912149729493239E-2</v>
      </c>
      <c r="OM92" s="28">
        <f>SUMPRODUCT(INDEX(PortfolioRef[[SPY]:[PE]],MATCH(OM$1,PortfolioRef[Reference '#]),0),AssetMonthlyReturns[[#This Row],[SPY]:[PE]])</f>
        <v>-4.0232531442924865E-2</v>
      </c>
      <c r="ON92" s="27">
        <f>IF(ISNUMBER(ON91),ON91*(1+PortfolioFrontier[[#This Row],[P101 Return]]),1+PortfolioFrontier[[#This Row],[P101 Return]])</f>
        <v>1.4444052503950979</v>
      </c>
      <c r="OO92" s="27">
        <f>MAX(OO91,PortfolioFrontier[[#This Row],[P101 Growth]])</f>
        <v>1.5787921813488919</v>
      </c>
      <c r="OP92" s="27">
        <f>PortfolioFrontier[[#This Row],[P101 Growth]]/PortfolioFrontier[[#This Row],[P101 HWM]]-1</f>
        <v>-8.5120088977750141E-2</v>
      </c>
      <c r="OQ92" s="28">
        <f>SUMPRODUCT(INDEX(PortfolioRef[[SPY]:[PE]],MATCH(OQ$1,PortfolioRef[Reference '#]),0),AssetMonthlyReturns[[#This Row],[SPY]:[PE]])</f>
        <v>-4.1930901644805237E-2</v>
      </c>
      <c r="OR92" s="27">
        <f>IF(ISNUMBER(OR91),OR91*(1+PortfolioFrontier[[#This Row],[P102 Return]]),1+PortfolioFrontier[[#This Row],[P102 Return]])</f>
        <v>1.4366372382377273</v>
      </c>
      <c r="OS92" s="27">
        <f>MAX(OS91,PortfolioFrontier[[#This Row],[P102 Growth]])</f>
        <v>1.5985203886251573</v>
      </c>
      <c r="OT92" s="27">
        <f>PortfolioFrontier[[#This Row],[P102 Growth]]/PortfolioFrontier[[#This Row],[P102 HWM]]-1</f>
        <v>-0.10127061971768858</v>
      </c>
      <c r="OU92" s="28">
        <f>SUMPRODUCT(INDEX(PortfolioRef[[SPY]:[PE]],MATCH(OU$1,PortfolioRef[Reference '#]),0),AssetMonthlyReturns[[#This Row],[SPY]:[PE]])</f>
        <v>-3.8254291456800857E-2</v>
      </c>
      <c r="OV92" s="27">
        <f>IF(ISNUMBER(OV91),OV91*(1+PortfolioFrontier[[#This Row],[P103 Return]]),1+PortfolioFrontier[[#This Row],[P103 Return]])</f>
        <v>1.4412180666475549</v>
      </c>
      <c r="OW92" s="27">
        <f>MAX(OW91,PortfolioFrontier[[#This Row],[P103 Growth]])</f>
        <v>1.5674355228105428</v>
      </c>
      <c r="OX92" s="27">
        <f>PortfolioFrontier[[#This Row],[P103 Growth]]/PortfolioFrontier[[#This Row],[P103 HWM]]-1</f>
        <v>-8.0524815423775431E-2</v>
      </c>
      <c r="OY92" s="28">
        <f>SUMPRODUCT(INDEX(PortfolioRef[[SPY]:[PE]],MATCH(OY$1,PortfolioRef[Reference '#]),0),AssetMonthlyReturns[[#This Row],[SPY]:[PE]])</f>
        <v>-4.3629271846685608E-2</v>
      </c>
      <c r="OZ92" s="27">
        <f>IF(ISNUMBER(OZ91),OZ91*(1+PortfolioFrontier[[#This Row],[P104 Return]]),1+PortfolioFrontier[[#This Row],[P104 Return]])</f>
        <v>1.4278657984519818</v>
      </c>
      <c r="PA92" s="27">
        <f>MAX(PA91,PortfolioFrontier[[#This Row],[P104 Growth]])</f>
        <v>1.6176462594840681</v>
      </c>
      <c r="PB92" s="27">
        <f>PortfolioFrontier[[#This Row],[P104 Growth]]/PortfolioFrontier[[#This Row],[P104 HWM]]-1</f>
        <v>-0.11731888842781668</v>
      </c>
      <c r="PC92" s="28">
        <f>SUMPRODUCT(INDEX(PortfolioRef[[SPY]:[PE]],MATCH(PC$1,PortfolioRef[Reference '#]),0),AssetMonthlyReturns[[#This Row],[SPY]:[PE]])</f>
        <v>-3.9952661658681221E-2</v>
      </c>
      <c r="PD92" s="27">
        <f>IF(ISNUMBER(PD91),PD91*(1+PortfolioFrontier[[#This Row],[P105 Return]]),1+PortfolioFrontier[[#This Row],[P105 Return]])</f>
        <v>1.4331707196911856</v>
      </c>
      <c r="PE92" s="27">
        <f>MAX(PE91,PortfolioFrontier[[#This Row],[P105 Growth]])</f>
        <v>1.5867085542337835</v>
      </c>
      <c r="PF92" s="27">
        <f>PortfolioFrontier[[#This Row],[P105 Growth]]/PortfolioFrontier[[#This Row],[P105 HWM]]-1</f>
        <v>-9.6764988209659508E-2</v>
      </c>
      <c r="PG92" s="28">
        <f>SUMPRODUCT(INDEX(PortfolioRef[[SPY]:[PE]],MATCH(PG$1,PortfolioRef[Reference '#]),0),AssetMonthlyReturns[[#This Row],[SPY]:[PE]])</f>
        <v>-3.6276051470676848E-2</v>
      </c>
      <c r="PH92" s="27">
        <f>IF(ISNUMBER(PH91),PH91*(1+PortfolioFrontier[[#This Row],[P106 Return]]),1+PortfolioFrontier[[#This Row],[P106 Return]])</f>
        <v>1.4374959719943168</v>
      </c>
      <c r="PI92" s="27">
        <f>MAX(PI91,PortfolioFrontier[[#This Row],[P106 Growth]])</f>
        <v>1.5556887430167754</v>
      </c>
      <c r="PJ92" s="27">
        <f>PortfolioFrontier[[#This Row],[P106 Growth]]/PortfolioFrontier[[#This Row],[P106 HWM]]-1</f>
        <v>-7.5974562105052268E-2</v>
      </c>
      <c r="PK92" s="28">
        <f>SUMPRODUCT(INDEX(PortfolioRef[[SPY]:[PE]],MATCH(PK$1,PortfolioRef[Reference '#]),0),AssetMonthlyReturns[[#This Row],[SPY]:[PE]])</f>
        <v>-4.3017726567645048E-2</v>
      </c>
      <c r="PL92" s="27">
        <f>IF(ISNUMBER(PL91),PL91*(1+PortfolioFrontier[[#This Row],[P107 Return]]),1+PortfolioFrontier[[#This Row],[P107 Return]])</f>
        <v>1.4615115080618175</v>
      </c>
      <c r="PM92" s="27">
        <f>MAX(PM91,PortfolioFrontier[[#This Row],[P107 Growth]])</f>
        <v>1.6131964012798079</v>
      </c>
      <c r="PN92" s="27">
        <f>PortfolioFrontier[[#This Row],[P107 Growth]]/PortfolioFrontier[[#This Row],[P107 HWM]]-1</f>
        <v>-9.4027542522195806E-2</v>
      </c>
      <c r="PO92" s="28">
        <f>SUMPRODUCT(INDEX(PortfolioRef[[SPY]:[PE]],MATCH(PO$1,PortfolioRef[Reference '#]),0),AssetMonthlyReturns[[#This Row],[SPY]:[PE]])</f>
        <v>-3.9341116379640675E-2</v>
      </c>
      <c r="PP92" s="27">
        <f>IF(ISNUMBER(PP91),PP91*(1+PortfolioFrontier[[#This Row],[P108 Return]]),1+PortfolioFrontier[[#This Row],[P108 Return]])</f>
        <v>1.4662118645250262</v>
      </c>
      <c r="PQ92" s="27">
        <f>MAX(PQ91,PortfolioFrontier[[#This Row],[P108 Growth]])</f>
        <v>1.5818874318633449</v>
      </c>
      <c r="PR92" s="27">
        <f>PortfolioFrontier[[#This Row],[P108 Growth]]/PortfolioFrontier[[#This Row],[P108 HWM]]-1</f>
        <v>-7.3125030901890153E-2</v>
      </c>
      <c r="PS92" s="28">
        <f>SUMPRODUCT(INDEX(PortfolioRef[[SPY]:[PE]],MATCH(PS$1,PortfolioRef[Reference '#]),0),AssetMonthlyReturns[[#This Row],[SPY]:[PE]])</f>
        <v>-4.4716096769525419E-2</v>
      </c>
      <c r="PT92" s="27">
        <f>IF(ISNUMBER(PT91),PT91*(1+PortfolioFrontier[[#This Row],[P109 Return]]),1+PortfolioFrontier[[#This Row],[P109 Return]])</f>
        <v>1.4529218176977201</v>
      </c>
      <c r="PU92" s="27">
        <f>MAX(PU91,PortfolioFrontier[[#This Row],[P109 Growth]])</f>
        <v>1.6327835279326679</v>
      </c>
      <c r="PV92" s="27">
        <f>PortfolioFrontier[[#This Row],[P109 Growth]]/PortfolioFrontier[[#This Row],[P109 HWM]]-1</f>
        <v>-0.11015649481880663</v>
      </c>
      <c r="PW92" s="28">
        <f>SUMPRODUCT(INDEX(PortfolioRef[[SPY]:[PE]],MATCH(PW$1,PortfolioRef[Reference '#]),0),AssetMonthlyReturns[[#This Row],[SPY]:[PE]])</f>
        <v>-4.103948658152104E-2</v>
      </c>
      <c r="PX92" s="27">
        <f>IF(ISNUMBER(PX91),PX91*(1+PortfolioFrontier[[#This Row],[P110 Return]]),1+PortfolioFrontier[[#This Row],[P110 Return]])</f>
        <v>1.4583595942498599</v>
      </c>
      <c r="PY92" s="27">
        <f>MAX(PY91,PortfolioFrontier[[#This Row],[P110 Growth]])</f>
        <v>1.6016185143364081</v>
      </c>
      <c r="PZ92" s="27">
        <f>PortfolioFrontier[[#This Row],[P110 Growth]]/PortfolioFrontier[[#This Row],[P110 HWM]]-1</f>
        <v>-8.9446343685596119E-2</v>
      </c>
      <c r="QA92" s="28">
        <f>SUMPRODUCT(INDEX(PortfolioRef[[SPY]:[PE]],MATCH(QA$1,PortfolioRef[Reference '#]),0),AssetMonthlyReturns[[#This Row],[SPY]:[PE]])</f>
        <v>-3.736287639351666E-2</v>
      </c>
      <c r="QB92" s="27">
        <f>IF(ISNUMBER(QB91),QB91*(1+PortfolioFrontier[[#This Row],[P111 Return]]),1+PortfolioFrontier[[#This Row],[P111 Return]])</f>
        <v>1.4628014260338953</v>
      </c>
      <c r="QC92" s="27">
        <f>MAX(QC91,PortfolioFrontier[[#This Row],[P111 Growth]])</f>
        <v>1.5703684845094485</v>
      </c>
      <c r="QD92" s="27">
        <f>PortfolioFrontier[[#This Row],[P111 Growth]]/PortfolioFrontier[[#This Row],[P111 HWM]]-1</f>
        <v>-6.8497973269729173E-2</v>
      </c>
      <c r="QE92" s="28">
        <f>SUMPRODUCT(INDEX(PortfolioRef[[SPY]:[PE]],MATCH(QE$1,PortfolioRef[Reference '#]),0),AssetMonthlyReturns[[#This Row],[SPY]:[PE]])</f>
        <v>-4.6414466971405784E-2</v>
      </c>
      <c r="QF92" s="27">
        <f>IF(ISNUMBER(QF91),QF91*(1+PortfolioFrontier[[#This Row],[P112 Return]]),1+PortfolioFrontier[[#This Row],[P112 Return]])</f>
        <v>1.4433228130015714</v>
      </c>
      <c r="QG92" s="27">
        <f>MAX(QG91,PortfolioFrontier[[#This Row],[P112 Growth]])</f>
        <v>1.6517386955477045</v>
      </c>
      <c r="QH92" s="27">
        <f>PortfolioFrontier[[#This Row],[P112 Growth]]/PortfolioFrontier[[#This Row],[P112 HWM]]-1</f>
        <v>-0.12617969362098402</v>
      </c>
      <c r="QI92" s="28">
        <f>SUMPRODUCT(INDEX(PortfolioRef[[SPY]:[PE]],MATCH(QI$1,PortfolioRef[Reference '#]),0),AssetMonthlyReturns[[#This Row],[SPY]:[PE]])</f>
        <v>-4.2737856783401404E-2</v>
      </c>
      <c r="QJ92" s="27">
        <f>IF(ISNUMBER(QJ91),QJ91*(1+PortfolioFrontier[[#This Row],[P113 Return]]),1+PortfolioFrontier[[#This Row],[P113 Return]])</f>
        <v>1.4494889335950303</v>
      </c>
      <c r="QK92" s="27">
        <f>MAX(QK91,PortfolioFrontier[[#This Row],[P113 Growth]])</f>
        <v>1.6207454292109018</v>
      </c>
      <c r="QL92" s="27">
        <f>PortfolioFrontier[[#This Row],[P113 Growth]]/PortfolioFrontier[[#This Row],[P113 HWM]]-1</f>
        <v>-0.10566526521025066</v>
      </c>
      <c r="QM92" s="28">
        <f>SUMPRODUCT(INDEX(PortfolioRef[[SPY]:[PE]],MATCH(QM$1,PortfolioRef[Reference '#]),0),AssetMonthlyReturns[[#This Row],[SPY]:[PE]])</f>
        <v>-3.9061246595397024E-2</v>
      </c>
      <c r="QN92" s="27">
        <f>IF(ISNUMBER(QN91),QN91*(1+PortfolioFrontier[[#This Row],[P114 Return]]),1+PortfolioFrontier[[#This Row],[P114 Return]])</f>
        <v>1.4546665691023322</v>
      </c>
      <c r="QO92" s="27">
        <f>MAX(QO91,PortfolioFrontier[[#This Row],[P114 Growth]])</f>
        <v>1.5896421022161857</v>
      </c>
      <c r="QP92" s="27">
        <f>PortfolioFrontier[[#This Row],[P114 Growth]]/PortfolioFrontier[[#This Row],[P114 HWM]]-1</f>
        <v>-8.4909384902223328E-2</v>
      </c>
      <c r="QQ92" s="28">
        <f>SUMPRODUCT(INDEX(PortfolioRef[[SPY]:[PE]],MATCH(QQ$1,PortfolioRef[Reference '#]),0),AssetMonthlyReturns[[#This Row],[SPY]:[PE]])</f>
        <v>-4.5802921692365231E-2</v>
      </c>
      <c r="QR92" s="27">
        <f>IF(ISNUMBER(QR91),QR91*(1+PortfolioFrontier[[#This Row],[P115 Return]]),1+PortfolioFrontier[[#This Row],[P115 Return]])</f>
        <v>1.4780481673440746</v>
      </c>
      <c r="QS92" s="27">
        <f>MAX(QS91,PortfolioFrontier[[#This Row],[P115 Growth]])</f>
        <v>1.6477351477866757</v>
      </c>
      <c r="QT92" s="27">
        <f>PortfolioFrontier[[#This Row],[P115 Growth]]/PortfolioFrontier[[#This Row],[P115 HWM]]-1</f>
        <v>-0.10298195111667885</v>
      </c>
      <c r="QU92" s="28">
        <f>SUMPRODUCT(INDEX(PortfolioRef[[SPY]:[PE]],MATCH(QU$1,PortfolioRef[Reference '#]),0),AssetMonthlyReturns[[#This Row],[SPY]:[PE]])</f>
        <v>-4.2126311504360844E-2</v>
      </c>
      <c r="QV92" s="27">
        <f>IF(ISNUMBER(QV91),QV91*(1+PortfolioFrontier[[#This Row],[P116 Return]]),1+PortfolioFrontier[[#This Row],[P116 Return]])</f>
        <v>1.4836201887418166</v>
      </c>
      <c r="QW92" s="27">
        <f>MAX(QW91,PortfolioFrontier[[#This Row],[P116 Growth]])</f>
        <v>1.6163470917094751</v>
      </c>
      <c r="QX92" s="27">
        <f>PortfolioFrontier[[#This Row],[P116 Growth]]/PortfolioFrontier[[#This Row],[P116 HWM]]-1</f>
        <v>-8.2115347408015182E-2</v>
      </c>
      <c r="QY92" s="28">
        <f>SUMPRODUCT(INDEX(PortfolioRef[[SPY]:[PE]],MATCH(QY$1,PortfolioRef[Reference '#]),0),AssetMonthlyReturns[[#This Row],[SPY]:[PE]])</f>
        <v>-3.8449701316356479E-2</v>
      </c>
      <c r="QZ92" s="27">
        <f>IF(ISNUMBER(QZ91),QZ91*(1+PortfolioFrontier[[#This Row],[P117 Return]]),1+PortfolioFrontier[[#This Row],[P117 Return]])</f>
        <v>1.4881799610010522</v>
      </c>
      <c r="RA92" s="27">
        <f>MAX(RA91,PortfolioFrontier[[#This Row],[P117 Growth]])</f>
        <v>1.5848710929942145</v>
      </c>
      <c r="RB92" s="27">
        <f>PortfolioFrontier[[#This Row],[P117 Growth]]/PortfolioFrontier[[#This Row],[P117 HWM]]-1</f>
        <v>-6.1008830573399342E-2</v>
      </c>
      <c r="RC92" s="28">
        <f>SUMPRODUCT(INDEX(PortfolioRef[[SPY]:[PE]],MATCH(RC$1,PortfolioRef[Reference '#]),0),AssetMonthlyReturns[[#This Row],[SPY]:[PE]])</f>
        <v>-4.7501291894245595E-2</v>
      </c>
      <c r="RD92" s="27">
        <f>IF(ISNUMBER(RD91),RD91*(1+PortfolioFrontier[[#This Row],[P118 Return]]),1+PortfolioFrontier[[#This Row],[P118 Return]])</f>
        <v>1.4686203479484634</v>
      </c>
      <c r="RE92" s="27">
        <f>MAX(RE91,PortfolioFrontier[[#This Row],[P118 Growth]])</f>
        <v>1.667155293527623</v>
      </c>
      <c r="RF92" s="27">
        <f>PortfolioFrontier[[#This Row],[P118 Growth]]/PortfolioFrontier[[#This Row],[P118 HWM]]-1</f>
        <v>-0.11908605416059892</v>
      </c>
      <c r="RG92" s="28">
        <f>SUMPRODUCT(INDEX(PortfolioRef[[SPY]:[PE]],MATCH(RG$1,PortfolioRef[Reference '#]),0),AssetMonthlyReturns[[#This Row],[SPY]:[PE]])</f>
        <v>-4.3824681706241223E-2</v>
      </c>
      <c r="RH92" s="27">
        <f>IF(ISNUMBER(RH91),RH91*(1+PortfolioFrontier[[#This Row],[P119 Return]]),1+PortfolioFrontier[[#This Row],[P119 Return]])</f>
        <v>1.4749342690657912</v>
      </c>
      <c r="RI92" s="27">
        <f>MAX(RI91,PortfolioFrontier[[#This Row],[P119 Growth]])</f>
        <v>1.6359359857167841</v>
      </c>
      <c r="RJ92" s="27">
        <f>PortfolioFrontier[[#This Row],[P119 Growth]]/PortfolioFrontier[[#This Row],[P119 HWM]]-1</f>
        <v>-9.8415658104403225E-2</v>
      </c>
      <c r="RK92" s="28">
        <f>SUMPRODUCT(INDEX(PortfolioRef[[SPY]:[PE]],MATCH(RK$1,PortfolioRef[Reference '#]),0),AssetMonthlyReturns[[#This Row],[SPY]:[PE]])</f>
        <v>-4.0148071518236843E-2</v>
      </c>
      <c r="RL92" s="27">
        <f>IF(ISNUMBER(RL91),RL91*(1+PortfolioFrontier[[#This Row],[P120 Return]]),1+PortfolioFrontier[[#This Row],[P120 Return]])</f>
        <v>1.4802433447507506</v>
      </c>
      <c r="RM92" s="27">
        <f>MAX(RM91,PortfolioFrontier[[#This Row],[P120 Growth]])</f>
        <v>1.6046034567476111</v>
      </c>
      <c r="RN92" s="27">
        <f>PortfolioFrontier[[#This Row],[P120 Growth]]/PortfolioFrontier[[#This Row],[P120 HWM]]-1</f>
        <v>-7.750208406563408E-2</v>
      </c>
      <c r="RO92" s="28">
        <f>SUMPRODUCT(INDEX(PortfolioRef[[SPY]:[PE]],MATCH(RO$1,PortfolioRef[Reference '#]),0),AssetMonthlyReturns[[#This Row],[SPY]:[PE]])</f>
        <v>-4.919966209612596E-2</v>
      </c>
      <c r="RP92" s="27">
        <f>IF(ISNUMBER(RP91),RP91*(1+PortfolioFrontier[[#This Row],[P121 Return]]),1+PortfolioFrontier[[#This Row],[P121 Return]])</f>
        <v>1.4581784754356373</v>
      </c>
      <c r="RQ92" s="27">
        <f>MAX(RQ91,PortfolioFrontier[[#This Row],[P121 Growth]])</f>
        <v>1.6859132740659151</v>
      </c>
      <c r="RR92" s="27">
        <f>PortfolioFrontier[[#This Row],[P121 Growth]]/PortfolioFrontier[[#This Row],[P121 HWM]]-1</f>
        <v>-0.13508096895224631</v>
      </c>
      <c r="RS92" s="28">
        <f>SUMPRODUCT(INDEX(PortfolioRef[[SPY]:[PE]],MATCH(RS$1,PortfolioRef[Reference '#]),0),AssetMonthlyReturns[[#This Row],[SPY]:[PE]])</f>
        <v>-4.5523051908121587E-2</v>
      </c>
      <c r="RT92" s="27">
        <f>IF(ISNUMBER(RT91),RT91*(1+PortfolioFrontier[[#This Row],[P122 Return]]),1+PortfolioFrontier[[#This Row],[P122 Return]])</f>
        <v>1.465223926507027</v>
      </c>
      <c r="RU92" s="27">
        <f>MAX(RU91,PortfolioFrontier[[#This Row],[P122 Growth]])</f>
        <v>1.6548910536150563</v>
      </c>
      <c r="RV92" s="27">
        <f>PortfolioFrontier[[#This Row],[P122 Growth]]/PortfolioFrontier[[#This Row],[P122 HWM]]-1</f>
        <v>-0.11461003834283079</v>
      </c>
      <c r="RW92" s="28">
        <f>SUMPRODUCT(INDEX(PortfolioRef[[SPY]:[PE]],MATCH(RW$1,PortfolioRef[Reference '#]),0),AssetMonthlyReturns[[#This Row],[SPY]:[PE]])</f>
        <v>-4.1846441720117207E-2</v>
      </c>
      <c r="RX92" s="27">
        <f>IF(ISNUMBER(RX91),RX91*(1+PortfolioFrontier[[#This Row],[P123 Return]]),1+PortfolioFrontier[[#This Row],[P123 Return]])</f>
        <v>1.4712732633003627</v>
      </c>
      <c r="RY92" s="27">
        <f>MAX(RY91,PortfolioFrontier[[#This Row],[P123 Growth]])</f>
        <v>1.6237298558231279</v>
      </c>
      <c r="RZ92" s="27">
        <f>PortfolioFrontier[[#This Row],[P123 Growth]]/PortfolioFrontier[[#This Row],[P123 HWM]]-1</f>
        <v>-9.38928307415271E-2</v>
      </c>
      <c r="SA92" s="28">
        <f>SUMPRODUCT(INDEX(PortfolioRef[[SPY]:[PE]],MATCH(SA$1,PortfolioRef[Reference '#]),0),AssetMonthlyReturns[[#This Row],[SPY]:[PE]])</f>
        <v>-4.8588116817085414E-2</v>
      </c>
      <c r="SB92" s="27">
        <f>IF(ISNUMBER(SB91),SB91*(1+PortfolioFrontier[[#This Row],[P124 Return]]),1+PortfolioFrontier[[#This Row],[P124 Return]])</f>
        <v>1.4939884240482264</v>
      </c>
      <c r="SC92" s="27">
        <f>MAX(SC91,PortfolioFrontier[[#This Row],[P124 Growth]])</f>
        <v>1.6823821965094672</v>
      </c>
      <c r="SD92" s="27">
        <f>PortfolioFrontier[[#This Row],[P124 Growth]]/PortfolioFrontier[[#This Row],[P124 HWM]]-1</f>
        <v>-0.11198036501581621</v>
      </c>
      <c r="SE92" s="28">
        <f>SUMPRODUCT(INDEX(PortfolioRef[[SPY]:[PE]],MATCH(SE$1,PortfolioRef[Reference '#]),0),AssetMonthlyReturns[[#This Row],[SPY]:[PE]])</f>
        <v>-4.4911506629081034E-2</v>
      </c>
      <c r="SF92" s="27">
        <f>IF(ISNUMBER(SF91),SF91*(1+PortfolioFrontier[[#This Row],[P125 Return]]),1+PortfolioFrontier[[#This Row],[P125 Return]])</f>
        <v>1.5004515790400323</v>
      </c>
      <c r="SG92" s="27">
        <f>MAX(SG91,PortfolioFrontier[[#This Row],[P125 Growth]])</f>
        <v>1.6509411354388694</v>
      </c>
      <c r="SH92" s="27">
        <f>PortfolioFrontier[[#This Row],[P125 Growth]]/PortfolioFrontier[[#This Row],[P125 HWM]]-1</f>
        <v>-9.1153798986801871E-2</v>
      </c>
      <c r="SI92" s="28">
        <f>SUMPRODUCT(INDEX(PortfolioRef[[SPY]:[PE]],MATCH(SI$1,PortfolioRef[Reference '#]),0),AssetMonthlyReturns[[#This Row],[SPY]:[PE]])</f>
        <v>-4.1234896441076661E-2</v>
      </c>
      <c r="SJ92" s="27">
        <f>IF(ISNUMBER(SJ91),SJ91*(1+PortfolioFrontier[[#This Row],[P126 Return]]),1+PortfolioFrontier[[#This Row],[P126 Return]])</f>
        <v>1.5058935010030505</v>
      </c>
      <c r="SK92" s="27">
        <f>MAX(SK91,PortfolioFrontier[[#This Row],[P126 Growth]])</f>
        <v>1.6193836797956254</v>
      </c>
      <c r="SL92" s="27">
        <f>PortfolioFrontier[[#This Row],[P126 Growth]]/PortfolioFrontier[[#This Row],[P126 HWM]]-1</f>
        <v>-7.0082328362663149E-2</v>
      </c>
      <c r="SM92" s="28">
        <f>SUMPRODUCT(INDEX(PortfolioRef[[SPY]:[PE]],MATCH(SM$1,PortfolioRef[Reference '#]),0),AssetMonthlyReturns[[#This Row],[SPY]:[PE]])</f>
        <v>-5.0286487018965778E-2</v>
      </c>
      <c r="SN92" s="27">
        <f>IF(ISNUMBER(SN91),SN91*(1+PortfolioFrontier[[#This Row],[P127 Return]]),1+PortfolioFrontier[[#This Row],[P127 Return]])</f>
        <v>1.4837068071856423</v>
      </c>
      <c r="SO92" s="27">
        <f>MAX(SO91,PortfolioFrontier[[#This Row],[P127 Growth]])</f>
        <v>1.7016086575400751</v>
      </c>
      <c r="SP92" s="27">
        <f>PortfolioFrontier[[#This Row],[P127 Growth]]/PortfolioFrontier[[#This Row],[P127 HWM]]-1</f>
        <v>-0.12805638322823409</v>
      </c>
      <c r="SQ92" s="28">
        <f>SUMPRODUCT(INDEX(PortfolioRef[[SPY]:[PE]],MATCH(SQ$1,PortfolioRef[Reference '#]),0),AssetMonthlyReturns[[#This Row],[SPY]:[PE]])</f>
        <v>-4.6609876830961398E-2</v>
      </c>
      <c r="SR92" s="27">
        <f>IF(ISNUMBER(SR91),SR91*(1+PortfolioFrontier[[#This Row],[P128 Return]]),1+PortfolioFrontier[[#This Row],[P128 Return]])</f>
        <v>1.4909152619514057</v>
      </c>
      <c r="SS92" s="27">
        <f>MAX(SS91,PortfolioFrontier[[#This Row],[P128 Growth]])</f>
        <v>1.6703618996398835</v>
      </c>
      <c r="ST92" s="27">
        <f>PortfolioFrontier[[#This Row],[P128 Growth]]/PortfolioFrontier[[#This Row],[P128 HWM]]-1</f>
        <v>-0.10742979573897427</v>
      </c>
      <c r="SU92" s="28">
        <f>SUMPRODUCT(INDEX(PortfolioRef[[SPY]:[PE]],MATCH(SU$1,PortfolioRef[Reference '#]),0),AssetMonthlyReturns[[#This Row],[SPY]:[PE]])</f>
        <v>-4.2933266642957026E-2</v>
      </c>
      <c r="SV92" s="27">
        <f>IF(ISNUMBER(SV91),SV91*(1+PortfolioFrontier[[#This Row],[P129 Return]]),1+PortfolioFrontier[[#This Row],[P129 Return]])</f>
        <v>1.4971111782292661</v>
      </c>
      <c r="SW92" s="27">
        <f>MAX(SW91,PortfolioFrontier[[#This Row],[P129 Growth]])</f>
        <v>1.6389727481356613</v>
      </c>
      <c r="SX92" s="27">
        <f>PortfolioFrontier[[#This Row],[P129 Growth]]/PortfolioFrontier[[#This Row],[P129 HWM]]-1</f>
        <v>-8.6555173091049431E-2</v>
      </c>
      <c r="SY92" s="28">
        <f>SUMPRODUCT(INDEX(PortfolioRef[[SPY]:[PE]],MATCH(SY$1,PortfolioRef[Reference '#]),0),AssetMonthlyReturns[[#This Row],[SPY]:[PE]])</f>
        <v>-5.1984857220846142E-2</v>
      </c>
      <c r="SZ92" s="27">
        <f>IF(ISNUMBER(SZ91),SZ91*(1+PortfolioFrontier[[#This Row],[P130 Return]]),1+PortfolioFrontier[[#This Row],[P130 Return]])</f>
        <v>1.472407584626185</v>
      </c>
      <c r="TA92" s="27">
        <f>MAX(TA91,PortfolioFrontier[[#This Row],[P130 Growth]])</f>
        <v>1.720142179322633</v>
      </c>
      <c r="TB92" s="27">
        <f>PortfolioFrontier[[#This Row],[P130 Growth]]/PortfolioFrontier[[#This Row],[P130 HWM]]-1</f>
        <v>-0.14401983607773761</v>
      </c>
      <c r="TC92" s="28">
        <f>SUMPRODUCT(INDEX(PortfolioRef[[SPY]:[PE]],MATCH(TC$1,PortfolioRef[Reference '#]),0),AssetMonthlyReturns[[#This Row],[SPY]:[PE]])</f>
        <v>-4.8308247032841763E-2</v>
      </c>
      <c r="TD92" s="27">
        <f>IF(ISNUMBER(TD91),TD91*(1+PortfolioFrontier[[#This Row],[P131 Return]]),1+PortfolioFrontier[[#This Row],[P131 Return]])</f>
        <v>1.4803496529890854</v>
      </c>
      <c r="TE92" s="27">
        <f>MAX(TE91,PortfolioFrontier[[#This Row],[P131 Growth]])</f>
        <v>1.6891185966988822</v>
      </c>
      <c r="TF92" s="27">
        <f>PortfolioFrontier[[#This Row],[P131 Growth]]/PortfolioFrontier[[#This Row],[P131 HWM]]-1</f>
        <v>-0.12359637986213823</v>
      </c>
      <c r="TG92" s="28">
        <f>SUMPRODUCT(INDEX(PortfolioRef[[SPY]:[PE]],MATCH(TG$1,PortfolioRef[Reference '#]),0),AssetMonthlyReturns[[#This Row],[SPY]:[PE]])</f>
        <v>-4.463163684483739E-2</v>
      </c>
      <c r="TH92" s="27">
        <f>IF(ISNUMBER(TH91),TH91*(1+PortfolioFrontier[[#This Row],[P132 Return]]),1+PortfolioFrontier[[#This Row],[P132 Return]])</f>
        <v>1.487289209819882</v>
      </c>
      <c r="TI92" s="27">
        <f>MAX(TI91,PortfolioFrontier[[#This Row],[P132 Growth]])</f>
        <v>1.6579261593145806</v>
      </c>
      <c r="TJ92" s="27">
        <f>PortfolioFrontier[[#This Row],[P132 Growth]]/PortfolioFrontier[[#This Row],[P132 HWM]]-1</f>
        <v>-0.10292192359474162</v>
      </c>
      <c r="TK92" s="28">
        <f>SUMPRODUCT(INDEX(PortfolioRef[[SPY]:[PE]],MATCH(TK$1,PortfolioRef[Reference '#]),0),AssetMonthlyReturns[[#This Row],[SPY]:[PE]])</f>
        <v>-5.137331194180559E-2</v>
      </c>
      <c r="TL92" s="27">
        <f>IF(ISNUMBER(TL91),TL91*(1+PortfolioFrontier[[#This Row],[P133 Return]]),1+PortfolioFrontier[[#This Row],[P133 Return]])</f>
        <v>1.5093058571868012</v>
      </c>
      <c r="TM92" s="27">
        <f>MAX(TM91,PortfolioFrontier[[#This Row],[P133 Growth]])</f>
        <v>1.7171102853087914</v>
      </c>
      <c r="TN92" s="27">
        <f>PortfolioFrontier[[#This Row],[P133 Growth]]/PortfolioFrontier[[#This Row],[P133 HWM]]-1</f>
        <v>-0.12101984939460098</v>
      </c>
      <c r="TO92" s="28">
        <f>SUMPRODUCT(INDEX(PortfolioRef[[SPY]:[PE]],MATCH(TO$1,PortfolioRef[Reference '#]),0),AssetMonthlyReturns[[#This Row],[SPY]:[PE]])</f>
        <v>-4.769670175380121E-2</v>
      </c>
      <c r="TP92" s="27">
        <f>IF(ISNUMBER(TP91),TP91*(1+PortfolioFrontier[[#This Row],[P134 Return]]),1+PortfolioFrontier[[#This Row],[P134 Return]])</f>
        <v>1.5166787924502179</v>
      </c>
      <c r="TQ92" s="27">
        <f>MAX(TQ91,PortfolioFrontier[[#This Row],[P134 Growth]])</f>
        <v>1.6856432974461595</v>
      </c>
      <c r="TR92" s="27">
        <f>PortfolioFrontier[[#This Row],[P134 Growth]]/PortfolioFrontier[[#This Row],[P134 HWM]]-1</f>
        <v>-0.10023740209564624</v>
      </c>
      <c r="TS92" s="28">
        <f>SUMPRODUCT(INDEX(PortfolioRef[[SPY]:[PE]],MATCH(TS$1,PortfolioRef[Reference '#]),0),AssetMonthlyReturns[[#This Row],[SPY]:[PE]])</f>
        <v>-4.4020091565796837E-2</v>
      </c>
      <c r="TT92" s="27">
        <f>IF(ISNUMBER(TT91),TT91*(1+PortfolioFrontier[[#This Row],[P135 Return]]),1+PortfolioFrontier[[#This Row],[P135 Return]])</f>
        <v>1.5230227391215507</v>
      </c>
      <c r="TU92" s="27">
        <f>MAX(TU91,PortfolioFrontier[[#This Row],[P135 Growth]])</f>
        <v>1.6540304901705998</v>
      </c>
      <c r="TV92" s="27">
        <f>PortfolioFrontier[[#This Row],[P135 Growth]]/PortfolioFrontier[[#This Row],[P135 HWM]]-1</f>
        <v>-7.9205160864680768E-2</v>
      </c>
      <c r="TW92" s="28">
        <f>SUMPRODUCT(INDEX(PortfolioRef[[SPY]:[PE]],MATCH(TW$1,PortfolioRef[Reference '#]),0),AssetMonthlyReturns[[#This Row],[SPY]:[PE]])</f>
        <v>-5.3071682143685961E-2</v>
      </c>
      <c r="TX92" s="27">
        <f>IF(ISNUMBER(TX91),TX91*(1+PortfolioFrontier[[#This Row],[P136 Return]]),1+PortfolioFrontier[[#This Row],[P136 Return]])</f>
        <v>1.4981556040305224</v>
      </c>
      <c r="TY92" s="27">
        <f>MAX(TY91,PortfolioFrontier[[#This Row],[P136 Growth]])</f>
        <v>1.7361155602147582</v>
      </c>
      <c r="TZ92" s="27">
        <f>PortfolioFrontier[[#This Row],[P136 Growth]]/PortfolioFrontier[[#This Row],[P136 HWM]]-1</f>
        <v>-0.13706458350894568</v>
      </c>
      <c r="UA92" s="28">
        <f>SUMPRODUCT(INDEX(PortfolioRef[[SPY]:[PE]],MATCH(UA$1,PortfolioRef[Reference '#]),0),AssetMonthlyReturns[[#This Row],[SPY]:[PE]])</f>
        <v>-4.9395071955681574E-2</v>
      </c>
      <c r="UB92" s="27">
        <f>IF(ISNUMBER(UB91),UB91*(1+PortfolioFrontier[[#This Row],[P137 Return]]),1+PortfolioFrontier[[#This Row],[P137 Return]])</f>
        <v>1.5062761218658511</v>
      </c>
      <c r="UC92" s="27">
        <f>MAX(UC91,PortfolioFrontier[[#This Row],[P137 Growth]])</f>
        <v>1.7048691873265751</v>
      </c>
      <c r="UD92" s="27">
        <f>PortfolioFrontier[[#This Row],[P137 Growth]]/PortfolioFrontier[[#This Row],[P137 HWM]]-1</f>
        <v>-0.11648580837579692</v>
      </c>
      <c r="UE92" s="28">
        <f>SUMPRODUCT(INDEX(PortfolioRef[[SPY]:[PE]],MATCH(UE$1,PortfolioRef[Reference '#]),0),AssetMonthlyReturns[[#This Row],[SPY]:[PE]])</f>
        <v>-4.5718461767677208E-2</v>
      </c>
      <c r="UF92" s="27">
        <f>IF(ISNUMBER(UF91),UF91*(1+PortfolioFrontier[[#This Row],[P138 Return]]),1+PortfolioFrontier[[#This Row],[P138 Return]])</f>
        <v>1.5133776613731309</v>
      </c>
      <c r="UG92" s="27">
        <f>MAX(UG91,PortfolioFrontier[[#This Row],[P138 Growth]])</f>
        <v>1.6734502822541619</v>
      </c>
      <c r="UH92" s="27">
        <f>PortfolioFrontier[[#This Row],[P138 Growth]]/PortfolioFrontier[[#This Row],[P138 HWM]]-1</f>
        <v>-9.5654243558052299E-2</v>
      </c>
      <c r="UI92" s="28">
        <f>SUMPRODUCT(INDEX(PortfolioRef[[SPY]:[PE]],MATCH(UI$1,PortfolioRef[Reference '#]),0),AssetMonthlyReturns[[#This Row],[SPY]:[PE]])</f>
        <v>-5.4770052345566325E-2</v>
      </c>
      <c r="UJ92" s="27">
        <f>IF(ISNUMBER(UJ91),UJ91*(1+PortfolioFrontier[[#This Row],[P139 Return]]),1+PortfolioFrontier[[#This Row],[P139 Return]])</f>
        <v>1.4859854156143675</v>
      </c>
      <c r="UK92" s="27">
        <f>MAX(UK91,PortfolioFrontier[[#This Row],[P139 Growth]])</f>
        <v>1.7543965710992384</v>
      </c>
      <c r="UL92" s="27">
        <f>PortfolioFrontier[[#This Row],[P139 Growth]]/PortfolioFrontier[[#This Row],[P139 HWM]]-1</f>
        <v>-0.15299343370050855</v>
      </c>
      <c r="UM92" s="28">
        <f>SUMPRODUCT(INDEX(PortfolioRef[[SPY]:[PE]],MATCH(UM$1,PortfolioRef[Reference '#]),0),AssetMonthlyReturns[[#This Row],[SPY]:[PE]])</f>
        <v>-5.1093442157561939E-2</v>
      </c>
      <c r="UN92" s="27">
        <f>IF(ISNUMBER(UN91),UN91*(1+PortfolioFrontier[[#This Row],[P140 Return]]),1+PortfolioFrontier[[#This Row],[P140 Return]])</f>
        <v>1.494840492880702</v>
      </c>
      <c r="UO92" s="27">
        <f>MAX(UO91,PortfolioFrontier[[#This Row],[P140 Growth]])</f>
        <v>1.7234002022793458</v>
      </c>
      <c r="UP92" s="27">
        <f>PortfolioFrontier[[#This Row],[P140 Growth]]/PortfolioFrontier[[#This Row],[P140 HWM]]-1</f>
        <v>-0.1326213778415215</v>
      </c>
      <c r="UQ92" s="28">
        <f>SUMPRODUCT(INDEX(PortfolioRef[[SPY]:[PE]],MATCH(UQ$1,PortfolioRef[Reference '#]),0),AssetMonthlyReturns[[#This Row],[SPY]:[PE]])</f>
        <v>-4.7416831969557573E-2</v>
      </c>
      <c r="UR92" s="27">
        <f>IF(ISNUMBER(UR91),UR91*(1+PortfolioFrontier[[#This Row],[P141 Return]]),1+PortfolioFrontier[[#This Row],[P141 Return]])</f>
        <v>1.5026879367566941</v>
      </c>
      <c r="US92" s="27">
        <f>MAX(US91,PortfolioFrontier[[#This Row],[P141 Growth]])</f>
        <v>1.6922041432386774</v>
      </c>
      <c r="UT92" s="27">
        <f>PortfolioFrontier[[#This Row],[P141 Growth]]/PortfolioFrontier[[#This Row],[P141 HWM]]-1</f>
        <v>-0.11199370196510205</v>
      </c>
    </row>
    <row r="93" spans="2:566" x14ac:dyDescent="0.2">
      <c r="B93" s="41">
        <f>AssetMonthlyReturns[[#This Row],[Date]]</f>
        <v>45200</v>
      </c>
      <c r="C93" s="28">
        <f>SUMPRODUCT(INDEX(PortfolioRef[[SPY]:[PE]],MATCH(C$1,PortfolioRef[Reference '#]),0),AssetMonthlyReturns[[#This Row],[SPY]:[PE]])</f>
        <v>-7.771415091813577E-3</v>
      </c>
      <c r="D93" s="29">
        <f>IF(ISNUMBER(D92),D92*(1+PortfolioFrontier[[#This Row],[P1 Return]]),1+PortfolioFrontier[[#This Row],[P1 Return]])</f>
        <v>1.7835018141416892</v>
      </c>
      <c r="E93" s="29">
        <f>MAX(E92,PortfolioFrontier[[#This Row],[P1 Growth]])</f>
        <v>1.9531239567566241</v>
      </c>
      <c r="F93" s="29">
        <f>PortfolioFrontier[[#This Row],[P1 Growth]]/PortfolioFrontier[[#This Row],[P1 HWM]]-1</f>
        <v>-8.6846583407133582E-2</v>
      </c>
      <c r="G93" s="28">
        <f>SUMPRODUCT(INDEX(PortfolioRef[[SPY]:[PE]],MATCH(G$1,PortfolioRef[Reference '#]),0),AssetMonthlyReturns[[#This Row],[SPY]:[PE]])</f>
        <v>-7.6461719879606033E-3</v>
      </c>
      <c r="H93" s="27">
        <f>IF(ISNUMBER(H92),H92*(1+PortfolioFrontier[[#This Row],[P2 Return]]),1+PortfolioFrontier[[#This Row],[P2 Return]])</f>
        <v>1.7119157384112202</v>
      </c>
      <c r="I93" s="27">
        <f>MAX(I92,PortfolioFrontier[[#This Row],[P2 Growth]])</f>
        <v>1.880902671218339</v>
      </c>
      <c r="J93" s="27">
        <f>PortfolioFrontier[[#This Row],[P2 Growth]]/PortfolioFrontier[[#This Row],[P2 HWM]]-1</f>
        <v>-8.9843528531786787E-2</v>
      </c>
      <c r="K93" s="28">
        <f>SUMPRODUCT(INDEX(PortfolioRef[[SPY]:[PE]],MATCH(K$1,PortfolioRef[Reference '#]),0),AssetMonthlyReturns[[#This Row],[SPY]:[PE]])</f>
        <v>-3.1723197624785484E-3</v>
      </c>
      <c r="L93" s="27">
        <f>IF(ISNUMBER(L92),L92*(1+PortfolioFrontier[[#This Row],[P3 Return]]),1+PortfolioFrontier[[#This Row],[P3 Return]])</f>
        <v>1.7498340341488883</v>
      </c>
      <c r="M93" s="27">
        <f>MAX(M92,PortfolioFrontier[[#This Row],[P3 Growth]])</f>
        <v>1.8984394560781046</v>
      </c>
      <c r="N93" s="27">
        <f>PortfolioFrontier[[#This Row],[P3 Growth]]/PortfolioFrontier[[#This Row],[P3 HWM]]-1</f>
        <v>-7.8277672460628889E-2</v>
      </c>
      <c r="O93" s="28">
        <f>SUMPRODUCT(INDEX(PortfolioRef[[SPY]:[PE]],MATCH(O$1,PortfolioRef[Reference '#]),0),AssetMonthlyReturns[[#This Row],[SPY]:[PE]])</f>
        <v>-8.2004145454628863E-3</v>
      </c>
      <c r="P93" s="27">
        <f>IF(ISNUMBER(P92),P92*(1+PortfolioFrontier[[#This Row],[P4 Return]]),1+PortfolioFrontier[[#This Row],[P4 Return]])</f>
        <v>1.7280580002878509</v>
      </c>
      <c r="Q93" s="27">
        <f>MAX(Q92,PortfolioFrontier[[#This Row],[P4 Growth]])</f>
        <v>1.9193367929729268</v>
      </c>
      <c r="R93" s="27">
        <f>PortfolioFrontier[[#This Row],[P4 Growth]]/PortfolioFrontier[[#This Row],[P4 HWM]]-1</f>
        <v>-9.9658795363786856E-2</v>
      </c>
      <c r="S93" s="28">
        <f>SUMPRODUCT(INDEX(PortfolioRef[[SPY]:[PE]],MATCH(S$1,PortfolioRef[Reference '#]),0),AssetMonthlyReturns[[#This Row],[SPY]:[PE]])</f>
        <v>-6.886187701862505E-3</v>
      </c>
      <c r="T93" s="27">
        <f>IF(ISNUMBER(T92),T92*(1+PortfolioFrontier[[#This Row],[P5 Return]]),1+PortfolioFrontier[[#This Row],[P5 Return]])</f>
        <v>1.738943095430471</v>
      </c>
      <c r="U93" s="27">
        <f>MAX(U92,PortfolioFrontier[[#This Row],[P5 Growth]])</f>
        <v>1.8841834525169079</v>
      </c>
      <c r="V93" s="27">
        <f>PortfolioFrontier[[#This Row],[P5 Growth]]/PortfolioFrontier[[#This Row],[P5 HWM]]-1</f>
        <v>-7.7083978681812382E-2</v>
      </c>
      <c r="W93" s="28">
        <f>SUMPRODUCT(INDEX(PortfolioRef[[SPY]:[PE]],MATCH(W$1,PortfolioRef[Reference '#]),0),AssetMonthlyReturns[[#This Row],[SPY]:[PE]])</f>
        <v>-7.5209288841076296E-3</v>
      </c>
      <c r="X93" s="27">
        <f>IF(ISNUMBER(X92),X92*(1+PortfolioFrontier[[#This Row],[P6 Return]]),1+PortfolioFrontier[[#This Row],[P6 Return]])</f>
        <v>1.6424629112105735</v>
      </c>
      <c r="Y93" s="27">
        <f>MAX(Y92,PortfolioFrontier[[#This Row],[P6 Growth]])</f>
        <v>1.8107203423144032</v>
      </c>
      <c r="Z93" s="27">
        <f>PortfolioFrontier[[#This Row],[P6 Growth]]/PortfolioFrontier[[#This Row],[P6 HWM]]-1</f>
        <v>-9.2922925297657222E-2</v>
      </c>
      <c r="AA93" s="28">
        <f>SUMPRODUCT(INDEX(PortfolioRef[[SPY]:[PE]],MATCH(AA$1,PortfolioRef[Reference '#]),0),AssetMonthlyReturns[[#This Row],[SPY]:[PE]])</f>
        <v>-3.0470766586255765E-3</v>
      </c>
      <c r="AB93" s="27">
        <f>IF(ISNUMBER(AB92),AB92*(1+PortfolioFrontier[[#This Row],[P7 Return]]),1+PortfolioFrontier[[#This Row],[P7 Return]])</f>
        <v>1.6788501293664451</v>
      </c>
      <c r="AC93" s="27">
        <f>MAX(AC92,PortfolioFrontier[[#This Row],[P7 Growth]])</f>
        <v>1.8276317298765399</v>
      </c>
      <c r="AD93" s="27">
        <f>PortfolioFrontier[[#This Row],[P7 Growth]]/PortfolioFrontier[[#This Row],[P7 HWM]]-1</f>
        <v>-8.1406772534062588E-2</v>
      </c>
      <c r="AE93" s="28">
        <f>SUMPRODUCT(INDEX(PortfolioRef[[SPY]:[PE]],MATCH(AE$1,PortfolioRef[Reference '#]),0),AssetMonthlyReturns[[#This Row],[SPY]:[PE]])</f>
        <v>-8.0751714416099143E-3</v>
      </c>
      <c r="AF93" s="27">
        <f>IF(ISNUMBER(AF92),AF92*(1+PortfolioFrontier[[#This Row],[P8 Return]]),1+PortfolioFrontier[[#This Row],[P8 Return]])</f>
        <v>1.6585732000146085</v>
      </c>
      <c r="AG93" s="27">
        <f>MAX(AG92,PortfolioFrontier[[#This Row],[P8 Growth]])</f>
        <v>1.8482324314062795</v>
      </c>
      <c r="AH93" s="27">
        <f>PortfolioFrontier[[#This Row],[P8 Growth]]/PortfolioFrontier[[#This Row],[P8 HWM]]-1</f>
        <v>-0.10261654766406381</v>
      </c>
      <c r="AI93" s="28">
        <f>SUMPRODUCT(INDEX(PortfolioRef[[SPY]:[PE]],MATCH(AI$1,PortfolioRef[Reference '#]),0),AssetMonthlyReturns[[#This Row],[SPY]:[PE]])</f>
        <v>-6.760944598009533E-3</v>
      </c>
      <c r="AJ93" s="27">
        <f>IF(ISNUMBER(AJ92),AJ92*(1+PortfolioFrontier[[#This Row],[P9 Return]]),1+PortfolioFrontier[[#This Row],[P9 Return]])</f>
        <v>1.6684175244491277</v>
      </c>
      <c r="AK93" s="27">
        <f>MAX(AK92,PortfolioFrontier[[#This Row],[P9 Growth]])</f>
        <v>1.8139467261629987</v>
      </c>
      <c r="AL93" s="27">
        <f>PortfolioFrontier[[#This Row],[P9 Growth]]/PortfolioFrontier[[#This Row],[P9 HWM]]-1</f>
        <v>-8.0227935922741023E-2</v>
      </c>
      <c r="AM93" s="28">
        <f>SUMPRODUCT(INDEX(PortfolioRef[[SPY]:[PE]],MATCH(AM$1,PortfolioRef[Reference '#]),0),AssetMonthlyReturns[[#This Row],[SPY]:[PE]])</f>
        <v>1.426775566856482E-3</v>
      </c>
      <c r="AN93" s="27">
        <f>IF(ISNUMBER(AN92),AN92*(1+PortfolioFrontier[[#This Row],[P10 Return]]),1+PortfolioFrontier[[#This Row],[P10 Return]])</f>
        <v>1.7155825378749392</v>
      </c>
      <c r="AO93" s="27">
        <f>MAX(AO92,PortfolioFrontier[[#This Row],[P10 Growth]])</f>
        <v>1.8443368551596837</v>
      </c>
      <c r="AP93" s="27">
        <f>PortfolioFrontier[[#This Row],[P10 Growth]]/PortfolioFrontier[[#This Row],[P10 HWM]]-1</f>
        <v>-6.9810629725553519E-2</v>
      </c>
      <c r="AQ93" s="28">
        <f>SUMPRODUCT(INDEX(PortfolioRef[[SPY]:[PE]],MATCH(AQ$1,PortfolioRef[Reference '#]),0),AssetMonthlyReturns[[#This Row],[SPY]:[PE]])</f>
        <v>-3.6013192161278573E-3</v>
      </c>
      <c r="AR93" s="27">
        <f>IF(ISNUMBER(AR92),AR92*(1+PortfolioFrontier[[#This Row],[P11 Return]]),1+PortfolioFrontier[[#This Row],[P11 Return]])</f>
        <v>1.6952874010030516</v>
      </c>
      <c r="AS93" s="27">
        <f>MAX(AS92,PortfolioFrontier[[#This Row],[P11 Growth]])</f>
        <v>1.865449984246593</v>
      </c>
      <c r="AT93" s="27">
        <f>PortfolioFrontier[[#This Row],[P11 Growth]]/PortfolioFrontier[[#This Row],[P11 HWM]]-1</f>
        <v>-9.1217982085038618E-2</v>
      </c>
      <c r="AU93" s="28">
        <f>SUMPRODUCT(INDEX(PortfolioRef[[SPY]:[PE]],MATCH(AU$1,PortfolioRef[Reference '#]),0),AssetMonthlyReturns[[#This Row],[SPY]:[PE]])</f>
        <v>-2.2870923725274782E-3</v>
      </c>
      <c r="AV93" s="27">
        <f>IF(ISNUMBER(AV92),AV92*(1+PortfolioFrontier[[#This Row],[P12 Return]]),1+PortfolioFrontier[[#This Row],[P12 Return]])</f>
        <v>1.7053851320426714</v>
      </c>
      <c r="AW93" s="27">
        <f>MAX(AW92,PortfolioFrontier[[#This Row],[P12 Growth]])</f>
        <v>1.8309154354259589</v>
      </c>
      <c r="AX93" s="27">
        <f>PortfolioFrontier[[#This Row],[P12 Growth]]/PortfolioFrontier[[#This Row],[P12 HWM]]-1</f>
        <v>-6.8561497136585769E-2</v>
      </c>
      <c r="AY93" s="28">
        <f>SUMPRODUCT(INDEX(PortfolioRef[[SPY]:[PE]],MATCH(AY$1,PortfolioRef[Reference '#]),0),AssetMonthlyReturns[[#This Row],[SPY]:[PE]])</f>
        <v>-8.6294139991121947E-3</v>
      </c>
      <c r="AZ93" s="27">
        <f>IF(ISNUMBER(AZ92),AZ92*(1+PortfolioFrontier[[#This Row],[P13 Return]]),1+PortfolioFrontier[[#This Row],[P13 Return]])</f>
        <v>1.6739572917766656</v>
      </c>
      <c r="BA93" s="27">
        <f>MAX(BA92,PortfolioFrontier[[#This Row],[P13 Growth]])</f>
        <v>1.8858075751364967</v>
      </c>
      <c r="BB93" s="27">
        <f>PortfolioFrontier[[#This Row],[P13 Growth]]/PortfolioFrontier[[#This Row],[P13 HWM]]-1</f>
        <v>-0.11233928962476303</v>
      </c>
      <c r="BC93" s="28">
        <f>SUMPRODUCT(INDEX(PortfolioRef[[SPY]:[PE]],MATCH(BC$1,PortfolioRef[Reference '#]),0),AssetMonthlyReturns[[#This Row],[SPY]:[PE]])</f>
        <v>-7.3151871555118143E-3</v>
      </c>
      <c r="BD93" s="27">
        <f>IF(ISNUMBER(BD92),BD92*(1+PortfolioFrontier[[#This Row],[P14 Return]]),1+PortfolioFrontier[[#This Row],[P14 Return]])</f>
        <v>1.6848332366142096</v>
      </c>
      <c r="BE93" s="27">
        <f>MAX(BE92,PortfolioFrontier[[#This Row],[P14 Growth]])</f>
        <v>1.8515113734383843</v>
      </c>
      <c r="BF93" s="27">
        <f>PortfolioFrontier[[#This Row],[P14 Growth]]/PortfolioFrontier[[#This Row],[P14 HWM]]-1</f>
        <v>-9.002274531786536E-2</v>
      </c>
      <c r="BG93" s="28">
        <f>SUMPRODUCT(INDEX(PortfolioRef[[SPY]:[PE]],MATCH(BG$1,PortfolioRef[Reference '#]),0),AssetMonthlyReturns[[#This Row],[SPY]:[PE]])</f>
        <v>-6.0009603119114338E-3</v>
      </c>
      <c r="BH93" s="27">
        <f>IF(ISNUMBER(BH92),BH92*(1+PortfolioFrontier[[#This Row],[P15 Return]]),1+PortfolioFrontier[[#This Row],[P15 Return]])</f>
        <v>1.6945896306160979</v>
      </c>
      <c r="BI93" s="27">
        <f>MAX(BI92,PortfolioFrontier[[#This Row],[P15 Growth]])</f>
        <v>1.8170439473092146</v>
      </c>
      <c r="BJ93" s="27">
        <f>PortfolioFrontier[[#This Row],[P15 Growth]]/PortfolioFrontier[[#This Row],[P15 HWM]]-1</f>
        <v>-6.7392050079170707E-2</v>
      </c>
      <c r="BK93" s="28">
        <f>SUMPRODUCT(INDEX(PortfolioRef[[SPY]:[PE]],MATCH(BK$1,PortfolioRef[Reference '#]),0),AssetMonthlyReturns[[#This Row],[SPY]:[PE]])</f>
        <v>-7.395685780254656E-3</v>
      </c>
      <c r="BL93" s="27">
        <f>IF(ISNUMBER(BL92),BL92*(1+PortfolioFrontier[[#This Row],[P16 Return]]),1+PortfolioFrontier[[#This Row],[P16 Return]])</f>
        <v>1.575118285180451</v>
      </c>
      <c r="BM93" s="27">
        <f>MAX(BM92,PortfolioFrontier[[#This Row],[P16 Growth]])</f>
        <v>1.7425494832470445</v>
      </c>
      <c r="BN93" s="27">
        <f>PortfolioFrontier[[#This Row],[P16 Growth]]/PortfolioFrontier[[#This Row],[P16 HWM]]-1</f>
        <v>-9.6084042190069829E-2</v>
      </c>
      <c r="BO93" s="28">
        <f>SUMPRODUCT(INDEX(PortfolioRef[[SPY]:[PE]],MATCH(BO$1,PortfolioRef[Reference '#]),0),AssetMonthlyReturns[[#This Row],[SPY]:[PE]])</f>
        <v>-2.9218335547726028E-3</v>
      </c>
      <c r="BP93" s="27">
        <f>IF(ISNUMBER(BP92),BP92*(1+PortfolioFrontier[[#This Row],[P17 Return]]),1+PortfolioFrontier[[#This Row],[P17 Return]])</f>
        <v>1.6100209884123942</v>
      </c>
      <c r="BQ93" s="27">
        <f>MAX(BQ92,PortfolioFrontier[[#This Row],[P17 Growth]])</f>
        <v>1.7588525148836969</v>
      </c>
      <c r="BR93" s="27">
        <f>PortfolioFrontier[[#This Row],[P17 Growth]]/PortfolioFrontier[[#This Row],[P17 HWM]]-1</f>
        <v>-8.4618536922150156E-2</v>
      </c>
      <c r="BS93" s="28">
        <f>SUMPRODUCT(INDEX(PortfolioRef[[SPY]:[PE]],MATCH(BS$1,PortfolioRef[Reference '#]),0),AssetMonthlyReturns[[#This Row],[SPY]:[PE]])</f>
        <v>-7.9499283377569389E-3</v>
      </c>
      <c r="BT93" s="27">
        <f>IF(ISNUMBER(BT92),BT92*(1+PortfolioFrontier[[#This Row],[P18 Return]]),1+PortfolioFrontier[[#This Row],[P18 Return]])</f>
        <v>1.5911644574144554</v>
      </c>
      <c r="BU93" s="27">
        <f>MAX(BU92,PortfolioFrontier[[#This Row],[P18 Growth]])</f>
        <v>1.7791407441475846</v>
      </c>
      <c r="BV93" s="27">
        <f>PortfolioFrontier[[#This Row],[P18 Growth]]/PortfolioFrontier[[#This Row],[P18 HWM]]-1</f>
        <v>-0.10565565841346169</v>
      </c>
      <c r="BW93" s="28">
        <f>SUMPRODUCT(INDEX(PortfolioRef[[SPY]:[PE]],MATCH(BW$1,PortfolioRef[Reference '#]),0),AssetMonthlyReturns[[#This Row],[SPY]:[PE]])</f>
        <v>-6.6357014941565593E-3</v>
      </c>
      <c r="BX93" s="27">
        <f>IF(ISNUMBER(BX92),BX92*(1+PortfolioFrontier[[#This Row],[P19 Return]]),1+PortfolioFrontier[[#This Row],[P19 Return]])</f>
        <v>1.6000315152847002</v>
      </c>
      <c r="BY93" s="27">
        <f>MAX(BY92,PortfolioFrontier[[#This Row],[P19 Growth]])</f>
        <v>1.7457196180719312</v>
      </c>
      <c r="BZ93" s="27">
        <f>PortfolioFrontier[[#This Row],[P19 Growth]]/PortfolioFrontier[[#This Row],[P19 HWM]]-1</f>
        <v>-8.3454468449026709E-2</v>
      </c>
      <c r="CA93" s="28">
        <f>SUMPRODUCT(INDEX(PortfolioRef[[SPY]:[PE]],MATCH(CA$1,PortfolioRef[Reference '#]),0),AssetMonthlyReturns[[#This Row],[SPY]:[PE]])</f>
        <v>1.552018670709454E-3</v>
      </c>
      <c r="CB93" s="27">
        <f>IF(ISNUMBER(CB92),CB92*(1+PortfolioFrontier[[#This Row],[P20 Return]]),1+PortfolioFrontier[[#This Row],[P20 Return]])</f>
        <v>1.645254252308765</v>
      </c>
      <c r="CC93" s="27">
        <f>MAX(CC92,PortfolioFrontier[[#This Row],[P20 Growth]])</f>
        <v>1.7749567522517573</v>
      </c>
      <c r="CD93" s="27">
        <f>PortfolioFrontier[[#This Row],[P20 Growth]]/PortfolioFrontier[[#This Row],[P20 HWM]]-1</f>
        <v>-7.307361138712154E-2</v>
      </c>
      <c r="CE93" s="28">
        <f>SUMPRODUCT(INDEX(PortfolioRef[[SPY]:[PE]],MATCH(CE$1,PortfolioRef[Reference '#]),0),AssetMonthlyReturns[[#This Row],[SPY]:[PE]])</f>
        <v>-3.4760761122748854E-3</v>
      </c>
      <c r="CF93" s="27">
        <f>IF(ISNUMBER(CF92),CF92*(1+PortfolioFrontier[[#This Row],[P21 Return]]),1+PortfolioFrontier[[#This Row],[P21 Return]])</f>
        <v>1.6263937357086777</v>
      </c>
      <c r="CG93" s="27">
        <f>MAX(CG92,PortfolioFrontier[[#This Row],[P21 Growth]])</f>
        <v>1.795743356031652</v>
      </c>
      <c r="CH93" s="27">
        <f>PortfolioFrontier[[#This Row],[P21 Growth]]/PortfolioFrontier[[#This Row],[P21 HWM]]-1</f>
        <v>-9.4306137764147868E-2</v>
      </c>
      <c r="CI93" s="28">
        <f>SUMPRODUCT(INDEX(PortfolioRef[[SPY]:[PE]],MATCH(CI$1,PortfolioRef[Reference '#]),0),AssetMonthlyReturns[[#This Row],[SPY]:[PE]])</f>
        <v>-2.1618492686745062E-3</v>
      </c>
      <c r="CJ93" s="27">
        <f>IF(ISNUMBER(CJ92),CJ92*(1+PortfolioFrontier[[#This Row],[P22 Return]]),1+PortfolioFrontier[[#This Row],[P22 Return]])</f>
        <v>1.6354915030994985</v>
      </c>
      <c r="CK93" s="27">
        <f>MAX(CK92,PortfolioFrontier[[#This Row],[P22 Growth]])</f>
        <v>1.7620784578443487</v>
      </c>
      <c r="CL93" s="27">
        <f>PortfolioFrontier[[#This Row],[P22 Growth]]/PortfolioFrontier[[#This Row],[P22 HWM]]-1</f>
        <v>-7.18395677453042E-2</v>
      </c>
      <c r="CM93" s="28">
        <f>SUMPRODUCT(INDEX(PortfolioRef[[SPY]:[PE]],MATCH(CM$1,PortfolioRef[Reference '#]),0),AssetMonthlyReturns[[#This Row],[SPY]:[PE]])</f>
        <v>-8.5041708952592228E-3</v>
      </c>
      <c r="CN93" s="27">
        <f>IF(ISNUMBER(CN92),CN92*(1+PortfolioFrontier[[#This Row],[P23 Return]]),1+PortfolioFrontier[[#This Row],[P23 Return]])</f>
        <v>1.6065275932211378</v>
      </c>
      <c r="CO93" s="27">
        <f>MAX(CO92,PortfolioFrontier[[#This Row],[P23 Growth]])</f>
        <v>1.8158151760868648</v>
      </c>
      <c r="CP93" s="27">
        <f>PortfolioFrontier[[#This Row],[P23 Growth]]/PortfolioFrontier[[#This Row],[P23 HWM]]-1</f>
        <v>-0.11525819677129689</v>
      </c>
      <c r="CQ93" s="28">
        <f>SUMPRODUCT(INDEX(PortfolioRef[[SPY]:[PE]],MATCH(CQ$1,PortfolioRef[Reference '#]),0),AssetMonthlyReturns[[#This Row],[SPY]:[PE]])</f>
        <v>-7.1899440516588423E-3</v>
      </c>
      <c r="CR93" s="27">
        <f>IF(ISNUMBER(CR92),CR92*(1+PortfolioFrontier[[#This Row],[P24 Return]]),1+PortfolioFrontier[[#This Row],[P24 Return]])</f>
        <v>1.6163802012584088</v>
      </c>
      <c r="CS93" s="27">
        <f>MAX(CS92,PortfolioFrontier[[#This Row],[P24 Growth]])</f>
        <v>1.7823638134718676</v>
      </c>
      <c r="CT93" s="27">
        <f>PortfolioFrontier[[#This Row],[P24 Growth]]/PortfolioFrontier[[#This Row],[P24 HWM]]-1</f>
        <v>-9.312555100080222E-2</v>
      </c>
      <c r="CU93" s="28">
        <f>SUMPRODUCT(INDEX(PortfolioRef[[SPY]:[PE]],MATCH(CU$1,PortfolioRef[Reference '#]),0),AssetMonthlyReturns[[#This Row],[SPY]:[PE]])</f>
        <v>-5.8757172080584619E-3</v>
      </c>
      <c r="CV93" s="27">
        <f>IF(ISNUMBER(CV92),CV92*(1+PortfolioFrontier[[#This Row],[P25 Return]]),1+PortfolioFrontier[[#This Row],[P25 Return]])</f>
        <v>1.6251541291177014</v>
      </c>
      <c r="CW93" s="27">
        <f>MAX(CW92,PortfolioFrontier[[#This Row],[P25 Growth]])</f>
        <v>1.7487656732120247</v>
      </c>
      <c r="CX93" s="27">
        <f>PortfolioFrontier[[#This Row],[P25 Growth]]/PortfolioFrontier[[#This Row],[P25 HWM]]-1</f>
        <v>-7.0685024293324128E-2</v>
      </c>
      <c r="CY93" s="28">
        <f>SUMPRODUCT(INDEX(PortfolioRef[[SPY]:[PE]],MATCH(CY$1,PortfolioRef[Reference '#]),0),AssetMonthlyReturns[[#This Row],[SPY]:[PE]])</f>
        <v>9.9777611320717315E-4</v>
      </c>
      <c r="CZ93" s="27">
        <f>IF(ISNUMBER(CZ92),CZ92*(1+PortfolioFrontier[[#This Row],[P26 Return]]),1+PortfolioFrontier[[#This Row],[P26 Return]])</f>
        <v>1.6619561630981343</v>
      </c>
      <c r="DA93" s="27">
        <f>MAX(DA92,PortfolioFrontier[[#This Row],[P26 Growth]])</f>
        <v>1.8121428498945955</v>
      </c>
      <c r="DB93" s="27">
        <f>PortfolioFrontier[[#This Row],[P26 Growth]]/PortfolioFrontier[[#This Row],[P26 HWM]]-1</f>
        <v>-8.2877951263718996E-2</v>
      </c>
      <c r="DC93" s="28">
        <f>SUMPRODUCT(INDEX(PortfolioRef[[SPY]:[PE]],MATCH(DC$1,PortfolioRef[Reference '#]),0),AssetMonthlyReturns[[#This Row],[SPY]:[PE]])</f>
        <v>2.3120029568075525E-3</v>
      </c>
      <c r="DD93" s="27">
        <f>IF(ISNUMBER(DD92),DD92*(1+PortfolioFrontier[[#This Row],[P27 Return]]),1+PortfolioFrontier[[#This Row],[P27 Return]])</f>
        <v>1.6712878212436955</v>
      </c>
      <c r="DE93" s="27">
        <f>MAX(DE92,PortfolioFrontier[[#This Row],[P27 Growth]])</f>
        <v>1.7782387807323972</v>
      </c>
      <c r="DF93" s="27">
        <f>PortfolioFrontier[[#This Row],[P27 Growth]]/PortfolioFrontier[[#This Row],[P27 HWM]]-1</f>
        <v>-6.0144318438861255E-2</v>
      </c>
      <c r="DG93" s="28">
        <f>SUMPRODUCT(INDEX(PortfolioRef[[SPY]:[PE]],MATCH(DG$1,PortfolioRef[Reference '#]),0),AssetMonthlyReturns[[#This Row],[SPY]:[PE]])</f>
        <v>-4.0303186697771675E-3</v>
      </c>
      <c r="DH93" s="27">
        <f>IF(ISNUMBER(DH92),DH92*(1+PortfolioFrontier[[#This Row],[P28 Return]]),1+PortfolioFrontier[[#This Row],[P28 Return]])</f>
        <v>1.6420682528754034</v>
      </c>
      <c r="DI93" s="27">
        <f>MAX(DI92,PortfolioFrontier[[#This Row],[P28 Growth]])</f>
        <v>1.8327167417336543</v>
      </c>
      <c r="DJ93" s="27">
        <f>PortfolioFrontier[[#This Row],[P28 Growth]]/PortfolioFrontier[[#This Row],[P28 HWM]]-1</f>
        <v>-0.10402507082349643</v>
      </c>
      <c r="DK93" s="28">
        <f>SUMPRODUCT(INDEX(PortfolioRef[[SPY]:[PE]],MATCH(DK$1,PortfolioRef[Reference '#]),0),AssetMonthlyReturns[[#This Row],[SPY]:[PE]])</f>
        <v>-2.716091826176787E-3</v>
      </c>
      <c r="DL93" s="27">
        <f>IF(ISNUMBER(DL92),DL92*(1+PortfolioFrontier[[#This Row],[P29 Return]]),1+PortfolioFrontier[[#This Row],[P29 Return]])</f>
        <v>1.6521730005629516</v>
      </c>
      <c r="DM93" s="27">
        <f>MAX(DM92,PortfolioFrontier[[#This Row],[P29 Growth]])</f>
        <v>1.7990232294645383</v>
      </c>
      <c r="DN93" s="27">
        <f>PortfolioFrontier[[#This Row],[P29 Growth]]/PortfolioFrontier[[#This Row],[P29 HWM]]-1</f>
        <v>-8.1627755826863435E-2</v>
      </c>
      <c r="DO93" s="28">
        <f>SUMPRODUCT(INDEX(PortfolioRef[[SPY]:[PE]],MATCH(DO$1,PortfolioRef[Reference '#]),0),AssetMonthlyReturns[[#This Row],[SPY]:[PE]])</f>
        <v>-1.4018649825764075E-3</v>
      </c>
      <c r="DP93" s="27">
        <f>IF(ISNUMBER(DP92),DP92*(1+PortfolioFrontier[[#This Row],[P30 Return]]),1+PortfolioFrontier[[#This Row],[P30 Return]])</f>
        <v>1.6611763688700252</v>
      </c>
      <c r="DQ93" s="27">
        <f>MAX(DQ92,PortfolioFrontier[[#This Row],[P30 Growth]])</f>
        <v>1.7651792866223672</v>
      </c>
      <c r="DR93" s="27">
        <f>PortfolioFrontier[[#This Row],[P30 Growth]]/PortfolioFrontier[[#This Row],[P30 HWM]]-1</f>
        <v>-5.8919180924306813E-2</v>
      </c>
      <c r="DS93" s="28">
        <f>SUMPRODUCT(INDEX(PortfolioRef[[SPY]:[PE]],MATCH(DS$1,PortfolioRef[Reference '#]),0),AssetMonthlyReturns[[#This Row],[SPY]:[PE]])</f>
        <v>-9.0584134527615049E-3</v>
      </c>
      <c r="DT93" s="27">
        <f>IF(ISNUMBER(DT92),DT92*(1+PortfolioFrontier[[#This Row],[P31 Return]]),1+PortfolioFrontier[[#This Row],[P31 Return]])</f>
        <v>1.6211812191592545</v>
      </c>
      <c r="DU93" s="27">
        <f>MAX(DU92,PortfolioFrontier[[#This Row],[P31 Growth]])</f>
        <v>1.8525428026208837</v>
      </c>
      <c r="DV93" s="27">
        <f>PortfolioFrontier[[#This Row],[P31 Growth]]/PortfolioFrontier[[#This Row],[P31 HWM]]-1</f>
        <v>-0.12488865743577449</v>
      </c>
      <c r="DW93" s="28">
        <f>SUMPRODUCT(INDEX(PortfolioRef[[SPY]:[PE]],MATCH(DW$1,PortfolioRef[Reference '#]),0),AssetMonthlyReturns[[#This Row],[SPY]:[PE]])</f>
        <v>-7.7441866091611244E-3</v>
      </c>
      <c r="DX93" s="27">
        <f>IF(ISNUMBER(DX92),DX92*(1+PortfolioFrontier[[#This Row],[P32 Return]]),1+PortfolioFrontier[[#This Row],[P32 Return]])</f>
        <v>1.6320362975660534</v>
      </c>
      <c r="DY93" s="27">
        <f>MAX(DY92,PortfolioFrontier[[#This Row],[P32 Growth]])</f>
        <v>1.8190908915066115</v>
      </c>
      <c r="DZ93" s="27">
        <f>PortfolioFrontier[[#This Row],[P32 Growth]]/PortfolioFrontier[[#This Row],[P32 HWM]]-1</f>
        <v>-0.10282861335512228</v>
      </c>
      <c r="EA93" s="28">
        <f>SUMPRODUCT(INDEX(PortfolioRef[[SPY]:[PE]],MATCH(EA$1,PortfolioRef[Reference '#]),0),AssetMonthlyReturns[[#This Row],[SPY]:[PE]])</f>
        <v>-6.4299597655607431E-3</v>
      </c>
      <c r="EB93" s="27">
        <f>IF(ISNUMBER(EB92),EB92*(1+PortfolioFrontier[[#This Row],[P33 Return]]),1+PortfolioFrontier[[#This Row],[P33 Return]])</f>
        <v>1.6418088904895405</v>
      </c>
      <c r="EC93" s="27">
        <f>MAX(EC92,PortfolioFrontier[[#This Row],[P33 Growth]])</f>
        <v>1.7854600976944932</v>
      </c>
      <c r="ED93" s="27">
        <f>PortfolioFrontier[[#This Row],[P33 Growth]]/PortfolioFrontier[[#This Row],[P33 HWM]]-1</f>
        <v>-8.0456128585816522E-2</v>
      </c>
      <c r="EE93" s="28">
        <f>SUMPRODUCT(INDEX(PortfolioRef[[SPY]:[PE]],MATCH(EE$1,PortfolioRef[Reference '#]),0),AssetMonthlyReturns[[#This Row],[SPY]:[PE]])</f>
        <v>-7.2704426764016805E-3</v>
      </c>
      <c r="EF93" s="27">
        <f>IF(ISNUMBER(EF92),EF92*(1+PortfolioFrontier[[#This Row],[P34 Return]]),1+PortfolioFrontier[[#This Row],[P34 Return]])</f>
        <v>1.5098549468647826</v>
      </c>
      <c r="EG93" s="27">
        <f>MAX(EG92,PortfolioFrontier[[#This Row],[P34 Growth]])</f>
        <v>1.6763614413137211</v>
      </c>
      <c r="EH93" s="27">
        <f>PortfolioFrontier[[#This Row],[P34 Growth]]/PortfolioFrontier[[#This Row],[P34 HWM]]-1</f>
        <v>-9.9326130001207602E-2</v>
      </c>
      <c r="EI93" s="28">
        <f>SUMPRODUCT(INDEX(PortfolioRef[[SPY]:[PE]],MATCH(EI$1,PortfolioRef[Reference '#]),0),AssetMonthlyReturns[[#This Row],[SPY]:[PE]])</f>
        <v>-2.7965904509196274E-3</v>
      </c>
      <c r="EJ93" s="27">
        <f>IF(ISNUMBER(EJ92),EJ92*(1+PortfolioFrontier[[#This Row],[P35 Return]]),1+PortfolioFrontier[[#This Row],[P35 Return]])</f>
        <v>1.5433190706928979</v>
      </c>
      <c r="EK93" s="27">
        <f>MAX(EK92,PortfolioFrontier[[#This Row],[P35 Growth]])</f>
        <v>1.6920729334369538</v>
      </c>
      <c r="EL93" s="27">
        <f>PortfolioFrontier[[#This Row],[P35 Growth]]/PortfolioFrontier[[#This Row],[P35 HWM]]-1</f>
        <v>-8.7912205085572626E-2</v>
      </c>
      <c r="EM93" s="28">
        <f>SUMPRODUCT(INDEX(PortfolioRef[[SPY]:[PE]],MATCH(EM$1,PortfolioRef[Reference '#]),0),AssetMonthlyReturns[[#This Row],[SPY]:[PE]])</f>
        <v>-7.8246852339039635E-3</v>
      </c>
      <c r="EN93" s="27">
        <f>IF(ISNUMBER(EN92),EN92*(1+PortfolioFrontier[[#This Row],[P36 Return]]),1+PortfolioFrontier[[#This Row],[P36 Return]])</f>
        <v>1.5258071602932741</v>
      </c>
      <c r="EO93" s="27">
        <f>MAX(EO92,PortfolioFrontier[[#This Row],[P36 Growth]])</f>
        <v>1.7120343963250326</v>
      </c>
      <c r="EP93" s="27">
        <f>PortfolioFrontier[[#This Row],[P36 Growth]]/PortfolioFrontier[[#This Row],[P36 HWM]]-1</f>
        <v>-0.10877540569950261</v>
      </c>
      <c r="EQ93" s="28">
        <f>SUMPRODUCT(INDEX(PortfolioRef[[SPY]:[PE]],MATCH(EQ$1,PortfolioRef[Reference '#]),0),AssetMonthlyReturns[[#This Row],[SPY]:[PE]])</f>
        <v>-6.5104583903035839E-3</v>
      </c>
      <c r="ER93" s="27">
        <f>IF(ISNUMBER(ER92),ER92*(1+PortfolioFrontier[[#This Row],[P37 Return]]),1+PortfolioFrontier[[#This Row],[P37 Return]])</f>
        <v>1.5337578199232573</v>
      </c>
      <c r="ES93" s="27">
        <f>MAX(ES92,PortfolioFrontier[[#This Row],[P37 Growth]])</f>
        <v>1.6794736802569215</v>
      </c>
      <c r="ET93" s="27">
        <f>PortfolioFrontier[[#This Row],[P37 Growth]]/PortfolioFrontier[[#This Row],[P37 HWM]]-1</f>
        <v>-8.6762812687468216E-2</v>
      </c>
      <c r="EU93" s="28">
        <f>SUMPRODUCT(INDEX(PortfolioRef[[SPY]:[PE]],MATCH(EU$1,PortfolioRef[Reference '#]),0),AssetMonthlyReturns[[#This Row],[SPY]:[PE]])</f>
        <v>1.6772617745624294E-3</v>
      </c>
      <c r="EV93" s="27">
        <f>IF(ISNUMBER(EV92),EV92*(1+PortfolioFrontier[[#This Row],[P38 Return]]),1+PortfolioFrontier[[#This Row],[P38 Return]])</f>
        <v>1.5770996099802634</v>
      </c>
      <c r="EW93" s="27">
        <f>MAX(EW92,PortfolioFrontier[[#This Row],[P38 Growth]])</f>
        <v>1.7075928941250238</v>
      </c>
      <c r="EX93" s="27">
        <f>PortfolioFrontier[[#This Row],[P38 Growth]]/PortfolioFrontier[[#This Row],[P38 HWM]]-1</f>
        <v>-7.6419434979919765E-2</v>
      </c>
      <c r="EY93" s="28">
        <f>SUMPRODUCT(INDEX(PortfolioRef[[SPY]:[PE]],MATCH(EY$1,PortfolioRef[Reference '#]),0),AssetMonthlyReturns[[#This Row],[SPY]:[PE]])</f>
        <v>-3.35083300842191E-3</v>
      </c>
      <c r="EZ93" s="27">
        <f>IF(ISNUMBER(EZ92),EZ92*(1+PortfolioFrontier[[#This Row],[P39 Return]]),1+PortfolioFrontier[[#This Row],[P39 Return]])</f>
        <v>1.5595967816649952</v>
      </c>
      <c r="FA93" s="27">
        <f>MAX(FA92,PortfolioFrontier[[#This Row],[P39 Growth]])</f>
        <v>1.7280388577532122</v>
      </c>
      <c r="FB93" s="27">
        <f>PortfolioFrontier[[#This Row],[P39 Growth]]/PortfolioFrontier[[#This Row],[P39 HWM]]-1</f>
        <v>-9.7475861339845427E-2</v>
      </c>
      <c r="FC93" s="28">
        <f>SUMPRODUCT(INDEX(PortfolioRef[[SPY]:[PE]],MATCH(FC$1,PortfolioRef[Reference '#]),0),AssetMonthlyReturns[[#This Row],[SPY]:[PE]])</f>
        <v>-2.0366061648215308E-3</v>
      </c>
      <c r="FD93" s="27">
        <f>IF(ISNUMBER(FD92),FD92*(1+PortfolioFrontier[[#This Row],[P40 Return]]),1+PortfolioFrontier[[#This Row],[P40 Return]])</f>
        <v>1.5677568105416329</v>
      </c>
      <c r="FE93" s="27">
        <f>MAX(FE92,PortfolioFrontier[[#This Row],[P40 Growth]])</f>
        <v>1.6952394830468527</v>
      </c>
      <c r="FF93" s="27">
        <f>PortfolioFrontier[[#This Row],[P40 Growth]]/PortfolioFrontier[[#This Row],[P40 HWM]]-1</f>
        <v>-7.5200391319399484E-2</v>
      </c>
      <c r="FG93" s="28">
        <f>SUMPRODUCT(INDEX(PortfolioRef[[SPY]:[PE]],MATCH(FG$1,PortfolioRef[Reference '#]),0),AssetMonthlyReturns[[#This Row],[SPY]:[PE]])</f>
        <v>-8.3789277914062474E-3</v>
      </c>
      <c r="FH93" s="27">
        <f>IF(ISNUMBER(FH92),FH92*(1+PortfolioFrontier[[#This Row],[P41 Return]]),1+PortfolioFrontier[[#This Row],[P41 Return]])</f>
        <v>1.5411177985608475</v>
      </c>
      <c r="FI93" s="27">
        <f>MAX(FI92,PortfolioFrontier[[#This Row],[P41 Growth]])</f>
        <v>1.7478091274239449</v>
      </c>
      <c r="FJ93" s="27">
        <f>PortfolioFrontier[[#This Row],[P41 Growth]]/PortfolioFrontier[[#This Row],[P41 HWM]]-1</f>
        <v>-0.1182573804084287</v>
      </c>
      <c r="FK93" s="28">
        <f>SUMPRODUCT(INDEX(PortfolioRef[[SPY]:[PE]],MATCH(FK$1,PortfolioRef[Reference '#]),0),AssetMonthlyReturns[[#This Row],[SPY]:[PE]])</f>
        <v>-7.0647009478058669E-3</v>
      </c>
      <c r="FL93" s="27">
        <f>IF(ISNUMBER(FL92),FL92*(1+PortfolioFrontier[[#This Row],[P42 Return]]),1+PortfolioFrontier[[#This Row],[P42 Return]])</f>
        <v>1.5500092319538241</v>
      </c>
      <c r="FM93" s="27">
        <f>MAX(FM92,PortfolioFrontier[[#This Row],[P42 Growth]])</f>
        <v>1.7151998522045959</v>
      </c>
      <c r="FN93" s="27">
        <f>PortfolioFrontier[[#This Row],[P42 Growth]]/PortfolioFrontier[[#This Row],[P42 HWM]]-1</f>
        <v>-9.6309838202497278E-2</v>
      </c>
      <c r="FO93" s="28">
        <f>SUMPRODUCT(INDEX(PortfolioRef[[SPY]:[PE]],MATCH(FO$1,PortfolioRef[Reference '#]),0),AssetMonthlyReturns[[#This Row],[SPY]:[PE]])</f>
        <v>-5.7504741042054865E-3</v>
      </c>
      <c r="FP93" s="27">
        <f>IF(ISNUMBER(FP92),FP92*(1+PortfolioFrontier[[#This Row],[P43 Return]]),1+PortfolioFrontier[[#This Row],[P43 Return]])</f>
        <v>1.5578621711545031</v>
      </c>
      <c r="FQ93" s="27">
        <f>MAX(FQ92,PortfolioFrontier[[#This Row],[P43 Growth]])</f>
        <v>1.6824667632825669</v>
      </c>
      <c r="FR93" s="27">
        <f>PortfolioFrontier[[#This Row],[P43 Growth]]/PortfolioFrontier[[#This Row],[P43 HWM]]-1</f>
        <v>-7.4060655965027644E-2</v>
      </c>
      <c r="FS93" s="28">
        <f>SUMPRODUCT(INDEX(PortfolioRef[[SPY]:[PE]],MATCH(FS$1,PortfolioRef[Reference '#]),0),AssetMonthlyReturns[[#This Row],[SPY]:[PE]])</f>
        <v>1.1230192170601468E-3</v>
      </c>
      <c r="FT93" s="27">
        <f>IF(ISNUMBER(FT92),FT92*(1+PortfolioFrontier[[#This Row],[P44 Return]]),1+PortfolioFrontier[[#This Row],[P44 Return]])</f>
        <v>1.5937054103852586</v>
      </c>
      <c r="FU93" s="27">
        <f>MAX(FU92,PortfolioFrontier[[#This Row],[P44 Growth]])</f>
        <v>1.7438475694471607</v>
      </c>
      <c r="FV93" s="27">
        <f>PortfolioFrontier[[#This Row],[P44 Growth]]/PortfolioFrontier[[#This Row],[P44 HWM]]-1</f>
        <v>-8.6098212763802806E-2</v>
      </c>
      <c r="FW93" s="28">
        <f>SUMPRODUCT(INDEX(PortfolioRef[[SPY]:[PE]],MATCH(FW$1,PortfolioRef[Reference '#]),0),AssetMonthlyReturns[[#This Row],[SPY]:[PE]])</f>
        <v>2.4372460606605262E-3</v>
      </c>
      <c r="FX93" s="27">
        <f>IF(ISNUMBER(FX92),FX92*(1+PortfolioFrontier[[#This Row],[P45 Return]]),1+PortfolioFrontier[[#This Row],[P45 Return]])</f>
        <v>1.6020777486500282</v>
      </c>
      <c r="FY93" s="27">
        <f>MAX(FY92,PortfolioFrontier[[#This Row],[P45 Growth]])</f>
        <v>1.7108140158896465</v>
      </c>
      <c r="FZ93" s="27">
        <f>PortfolioFrontier[[#This Row],[P45 Growth]]/PortfolioFrontier[[#This Row],[P45 HWM]]-1</f>
        <v>-6.3558204591323775E-2</v>
      </c>
      <c r="GA93" s="28">
        <f>SUMPRODUCT(INDEX(PortfolioRef[[SPY]:[PE]],MATCH(GA$1,PortfolioRef[Reference '#]),0),AssetMonthlyReturns[[#This Row],[SPY]:[PE]])</f>
        <v>-3.9050755659241938E-3</v>
      </c>
      <c r="GB93" s="27">
        <f>IF(ISNUMBER(GB92),GB92*(1+PortfolioFrontier[[#This Row],[P46 Return]]),1+PortfolioFrontier[[#This Row],[P46 Return]])</f>
        <v>1.5752186141101321</v>
      </c>
      <c r="GC93" s="27">
        <f>MAX(GC92,PortfolioFrontier[[#This Row],[P46 Growth]])</f>
        <v>1.7641061270089846</v>
      </c>
      <c r="GD93" s="27">
        <f>PortfolioFrontier[[#This Row],[P46 Growth]]/PortfolioFrontier[[#This Row],[P46 HWM]]-1</f>
        <v>-0.10707264716500275</v>
      </c>
      <c r="GE93" s="28">
        <f>SUMPRODUCT(INDEX(PortfolioRef[[SPY]:[PE]],MATCH(GE$1,PortfolioRef[Reference '#]),0),AssetMonthlyReturns[[#This Row],[SPY]:[PE]])</f>
        <v>-2.5908487223238134E-3</v>
      </c>
      <c r="GF93" s="27">
        <f>IF(ISNUMBER(GF92),GF92*(1+PortfolioFrontier[[#This Row],[P47 Return]]),1+PortfolioFrontier[[#This Row],[P47 Return]])</f>
        <v>1.5843399010636079</v>
      </c>
      <c r="GG93" s="27">
        <f>MAX(GG92,PortfolioFrontier[[#This Row],[P47 Growth]])</f>
        <v>1.7312596087544752</v>
      </c>
      <c r="GH93" s="27">
        <f>PortfolioFrontier[[#This Row],[P47 Growth]]/PortfolioFrontier[[#This Row],[P47 HWM]]-1</f>
        <v>-8.4862898058695069E-2</v>
      </c>
      <c r="GI93" s="28">
        <f>SUMPRODUCT(INDEX(PortfolioRef[[SPY]:[PE]],MATCH(GI$1,PortfolioRef[Reference '#]),0),AssetMonthlyReturns[[#This Row],[SPY]:[PE]])</f>
        <v>-1.2766218787234338E-3</v>
      </c>
      <c r="GJ93" s="27">
        <f>IF(ISNUMBER(GJ92),GJ92*(1+PortfolioFrontier[[#This Row],[P48 Return]]),1+PortfolioFrontier[[#This Row],[P48 Return]])</f>
        <v>1.5924008101047942</v>
      </c>
      <c r="GK93" s="27">
        <f>MAX(GK92,PortfolioFrontier[[#This Row],[P48 Growth]])</f>
        <v>1.6982858835097865</v>
      </c>
      <c r="GL93" s="27">
        <f>PortfolioFrontier[[#This Row],[P48 Growth]]/PortfolioFrontier[[#This Row],[P48 HWM]]-1</f>
        <v>-6.2348203228400734E-2</v>
      </c>
      <c r="GM93" s="28">
        <f>SUMPRODUCT(INDEX(PortfolioRef[[SPY]:[PE]],MATCH(GM$1,PortfolioRef[Reference '#]),0),AssetMonthlyReturns[[#This Row],[SPY]:[PE]])</f>
        <v>-8.9331703489085312E-3</v>
      </c>
      <c r="GN93" s="27">
        <f>IF(ISNUMBER(GN92),GN92*(1+PortfolioFrontier[[#This Row],[P49 Return]]),1+PortfolioFrontier[[#This Row],[P49 Return]])</f>
        <v>1.5557609032321342</v>
      </c>
      <c r="GO93" s="27">
        <f>MAX(GO92,PortfolioFrontier[[#This Row],[P49 Growth]])</f>
        <v>1.7836571071341945</v>
      </c>
      <c r="GP93" s="27">
        <f>PortfolioFrontier[[#This Row],[P49 Growth]]/PortfolioFrontier[[#This Row],[P49 HWM]]-1</f>
        <v>-0.12776906670600019</v>
      </c>
      <c r="GQ93" s="28">
        <f>SUMPRODUCT(INDEX(PortfolioRef[[SPY]:[PE]],MATCH(GQ$1,PortfolioRef[Reference '#]),0),AssetMonthlyReturns[[#This Row],[SPY]:[PE]])</f>
        <v>-7.6189435053081508E-3</v>
      </c>
      <c r="GR93" s="27">
        <f>IF(ISNUMBER(GR92),GR92*(1+PortfolioFrontier[[#This Row],[P50 Return]]),1+PortfolioFrontier[[#This Row],[P50 Return]])</f>
        <v>1.5656101405500327</v>
      </c>
      <c r="GS93" s="27">
        <f>MAX(GS92,PortfolioFrontier[[#This Row],[P50 Growth]])</f>
        <v>1.7510275614895194</v>
      </c>
      <c r="GT93" s="27">
        <f>PortfolioFrontier[[#This Row],[P50 Growth]]/PortfolioFrontier[[#This Row],[P50 HWM]]-1</f>
        <v>-0.10589063531459242</v>
      </c>
      <c r="GU93" s="28">
        <f>SUMPRODUCT(INDEX(PortfolioRef[[SPY]:[PE]],MATCH(GU$1,PortfolioRef[Reference '#]),0),AssetMonthlyReturns[[#This Row],[SPY]:[PE]])</f>
        <v>-6.3047166617077694E-3</v>
      </c>
      <c r="GV93" s="27">
        <f>IF(ISNUMBER(GV92),GV92*(1+PortfolioFrontier[[#This Row],[P51 Return]]),1+PortfolioFrontier[[#This Row],[P51 Return]])</f>
        <v>1.5744162857152433</v>
      </c>
      <c r="GW93" s="27">
        <f>MAX(GW92,PortfolioFrontier[[#This Row],[P51 Growth]])</f>
        <v>1.7182435242855478</v>
      </c>
      <c r="GX93" s="27">
        <f>PortfolioFrontier[[#This Row],[P51 Growth]]/PortfolioFrontier[[#This Row],[P51 HWM]]-1</f>
        <v>-8.370596864615476E-2</v>
      </c>
      <c r="GY93" s="28">
        <f>SUMPRODUCT(INDEX(PortfolioRef[[SPY]:[PE]],MATCH(GY$1,PortfolioRef[Reference '#]),0),AssetMonthlyReturns[[#This Row],[SPY]:[PE]])</f>
        <v>5.6877665955786471E-4</v>
      </c>
      <c r="GZ93" s="27">
        <f>IF(ISNUMBER(GZ92),GZ92*(1+PortfolioFrontier[[#This Row],[P52 Return]]),1+PortfolioFrontier[[#This Row],[P52 Return]])</f>
        <v>1.6096408914080411</v>
      </c>
      <c r="HA93" s="27">
        <f>MAX(HA92,PortfolioFrontier[[#This Row],[P52 Growth]])</f>
        <v>1.7802031417261526</v>
      </c>
      <c r="HB93" s="27">
        <f>PortfolioFrontier[[#This Row],[P52 Growth]]/PortfolioFrontier[[#This Row],[P52 HWM]]-1</f>
        <v>-9.5810554604868203E-2</v>
      </c>
      <c r="HC93" s="28">
        <f>SUMPRODUCT(INDEX(PortfolioRef[[SPY]:[PE]],MATCH(HC$1,PortfolioRef[Reference '#]),0),AssetMonthlyReturns[[#This Row],[SPY]:[PE]])</f>
        <v>1.8830035031582456E-3</v>
      </c>
      <c r="HD93" s="27">
        <f>IF(ISNUMBER(HD92),HD92*(1+PortfolioFrontier[[#This Row],[P53 Return]]),1+PortfolioFrontier[[#This Row],[P53 Return]])</f>
        <v>1.6189951635093016</v>
      </c>
      <c r="HE93" s="27">
        <f>MAX(HE92,PortfolioFrontier[[#This Row],[P53 Growth]])</f>
        <v>1.7471238825308339</v>
      </c>
      <c r="HF93" s="27">
        <f>PortfolioFrontier[[#This Row],[P53 Growth]]/PortfolioFrontier[[#This Row],[P53 HWM]]-1</f>
        <v>-7.3336939814438784E-2</v>
      </c>
      <c r="HG93" s="28">
        <f>SUMPRODUCT(INDEX(PortfolioRef[[SPY]:[PE]],MATCH(HG$1,PortfolioRef[Reference '#]),0),AssetMonthlyReturns[[#This Row],[SPY]:[PE]])</f>
        <v>3.197230346758625E-3</v>
      </c>
      <c r="HH93" s="27">
        <f>IF(ISNUMBER(HH92),HH92*(1+PortfolioFrontier[[#This Row],[P54 Return]]),1+PortfolioFrontier[[#This Row],[P54 Return]])</f>
        <v>1.6272669908926116</v>
      </c>
      <c r="HI93" s="27">
        <f>MAX(HI92,PortfolioFrontier[[#This Row],[P54 Growth]])</f>
        <v>1.7139140104060526</v>
      </c>
      <c r="HJ93" s="27">
        <f>PortfolioFrontier[[#This Row],[P54 Growth]]/PortfolioFrontier[[#This Row],[P54 HWM]]-1</f>
        <v>-5.0555056430697465E-2</v>
      </c>
      <c r="HK93" s="28">
        <f>SUMPRODUCT(INDEX(PortfolioRef[[SPY]:[PE]],MATCH(HK$1,PortfolioRef[Reference '#]),0),AssetMonthlyReturns[[#This Row],[SPY]:[PE]])</f>
        <v>-4.4593181234264751E-3</v>
      </c>
      <c r="HL93" s="27">
        <f>IF(ISNUMBER(HL92),HL92*(1+PortfolioFrontier[[#This Row],[P55 Return]]),1+PortfolioFrontier[[#This Row],[P55 Return]])</f>
        <v>1.5901580848707404</v>
      </c>
      <c r="HM93" s="27">
        <f>MAX(HM92,PortfolioFrontier[[#This Row],[P55 Growth]])</f>
        <v>1.8002459621778737</v>
      </c>
      <c r="HN93" s="27">
        <f>PortfolioFrontier[[#This Row],[P55 Growth]]/PortfolioFrontier[[#This Row],[P55 HWM]]-1</f>
        <v>-0.11669954090771928</v>
      </c>
      <c r="HO93" s="28">
        <f>SUMPRODUCT(INDEX(PortfolioRef[[SPY]:[PE]],MATCH(HO$1,PortfolioRef[Reference '#]),0),AssetMonthlyReturns[[#This Row],[SPY]:[PE]])</f>
        <v>-3.1450912798260955E-3</v>
      </c>
      <c r="HP93" s="27">
        <f>IF(ISNUMBER(HP92),HP92*(1+PortfolioFrontier[[#This Row],[P56 Return]]),1+PortfolioFrontier[[#This Row],[P56 Return]])</f>
        <v>1.6002579813045303</v>
      </c>
      <c r="HQ93" s="27">
        <f>MAX(HQ92,PortfolioFrontier[[#This Row],[P56 Growth]])</f>
        <v>1.767380839986993</v>
      </c>
      <c r="HR93" s="27">
        <f>PortfolioFrontier[[#This Row],[P56 Growth]]/PortfolioFrontier[[#This Row],[P56 HWM]]-1</f>
        <v>-9.4559618901205567E-2</v>
      </c>
      <c r="HS93" s="28">
        <f>SUMPRODUCT(INDEX(PortfolioRef[[SPY]:[PE]],MATCH(HS$1,PortfolioRef[Reference '#]),0),AssetMonthlyReturns[[#This Row],[SPY]:[PE]])</f>
        <v>-1.8308644362257146E-3</v>
      </c>
      <c r="HT93" s="27">
        <f>IF(ISNUMBER(HT92),HT92*(1+PortfolioFrontier[[#This Row],[P57 Return]]),1+PortfolioFrontier[[#This Row],[P57 Return]])</f>
        <v>1.6092928595051554</v>
      </c>
      <c r="HU93" s="27">
        <f>MAX(HU92,PortfolioFrontier[[#This Row],[P57 Growth]])</f>
        <v>1.7343575628436463</v>
      </c>
      <c r="HV93" s="27">
        <f>PortfolioFrontier[[#This Row],[P57 Growth]]/PortfolioFrontier[[#This Row],[P57 HWM]]-1</f>
        <v>-7.2110103486062727E-2</v>
      </c>
      <c r="HW93" s="28">
        <f>SUMPRODUCT(INDEX(PortfolioRef[[SPY]:[PE]],MATCH(HW$1,PortfolioRef[Reference '#]),0),AssetMonthlyReturns[[#This Row],[SPY]:[PE]])</f>
        <v>-9.4874129064108116E-3</v>
      </c>
      <c r="HX93" s="27">
        <f>IF(ISNUMBER(HX92),HX92*(1+PortfolioFrontier[[#This Row],[P58 Return]]),1+PortfolioFrontier[[#This Row],[P58 Return]])</f>
        <v>1.5697110475230351</v>
      </c>
      <c r="HY93" s="27">
        <f>MAX(HY92,PortfolioFrontier[[#This Row],[P58 Growth]])</f>
        <v>1.8195487359549802</v>
      </c>
      <c r="HZ93" s="27">
        <f>PortfolioFrontier[[#This Row],[P58 Growth]]/PortfolioFrontier[[#This Row],[P58 HWM]]-1</f>
        <v>-0.1373075002032409</v>
      </c>
      <c r="IA93" s="28">
        <f>SUMPRODUCT(INDEX(PortfolioRef[[SPY]:[PE]],MATCH(IA$1,PortfolioRef[Reference '#]),0),AssetMonthlyReturns[[#This Row],[SPY]:[PE]])</f>
        <v>-8.1731860628104312E-3</v>
      </c>
      <c r="IB93" s="27">
        <f>IF(ISNUMBER(IB92),IB92*(1+PortfolioFrontier[[#This Row],[P59 Return]]),1+PortfolioFrontier[[#This Row],[P59 Return]])</f>
        <v>1.580534134992587</v>
      </c>
      <c r="IC93" s="27">
        <f>MAX(IC92,PortfolioFrontier[[#This Row],[P59 Growth]])</f>
        <v>1.7869282396294996</v>
      </c>
      <c r="ID93" s="27">
        <f>PortfolioFrontier[[#This Row],[P59 Growth]]/PortfolioFrontier[[#This Row],[P59 HWM]]-1</f>
        <v>-0.11550217857640788</v>
      </c>
      <c r="IE93" s="28">
        <f>SUMPRODUCT(INDEX(PortfolioRef[[SPY]:[PE]],MATCH(IE$1,PortfolioRef[Reference '#]),0),AssetMonthlyReturns[[#This Row],[SPY]:[PE]])</f>
        <v>-6.8589592192100516E-3</v>
      </c>
      <c r="IF93" s="27">
        <f>IF(ISNUMBER(IF92),IF92*(1+PortfolioFrontier[[#This Row],[P60 Return]]),1+PortfolioFrontier[[#This Row],[P60 Return]])</f>
        <v>1.5903109145561651</v>
      </c>
      <c r="IG93" s="27">
        <f>MAX(IG92,PortfolioFrontier[[#This Row],[P60 Growth]])</f>
        <v>1.7541215677111524</v>
      </c>
      <c r="IH93" s="27">
        <f>PortfolioFrontier[[#This Row],[P60 Growth]]/PortfolioFrontier[[#This Row],[P60 HWM]]-1</f>
        <v>-9.3386146188678243E-2</v>
      </c>
      <c r="II93" s="28">
        <f>SUMPRODUCT(INDEX(PortfolioRef[[SPY]:[PE]],MATCH(II$1,PortfolioRef[Reference '#]),0),AssetMonthlyReturns[[#This Row],[SPY]:[PE]])</f>
        <v>-7.1451995725487086E-3</v>
      </c>
      <c r="IJ93" s="27">
        <f>IF(ISNUMBER(IJ92),IJ92*(1+PortfolioFrontier[[#This Row],[P61 Return]]),1+PortfolioFrontier[[#This Row],[P61 Return]])</f>
        <v>1.4466442547539946</v>
      </c>
      <c r="IK93" s="27">
        <f>MAX(IK92,PortfolioFrontier[[#This Row],[P61 Growth]])</f>
        <v>1.6121264956964798</v>
      </c>
      <c r="IL93" s="27">
        <f>PortfolioFrontier[[#This Row],[P61 Growth]]/PortfolioFrontier[[#This Row],[P61 HWM]]-1</f>
        <v>-0.1026484220588364</v>
      </c>
      <c r="IM93" s="28">
        <f>SUMPRODUCT(INDEX(PortfolioRef[[SPY]:[PE]],MATCH(IM$1,PortfolioRef[Reference '#]),0),AssetMonthlyReturns[[#This Row],[SPY]:[PE]])</f>
        <v>-2.6713473470666555E-3</v>
      </c>
      <c r="IN93" s="27">
        <f>IF(ISNUMBER(IN92),IN92*(1+PortfolioFrontier[[#This Row],[P62 Return]]),1+PortfolioFrontier[[#This Row],[P62 Return]])</f>
        <v>1.4787150726840763</v>
      </c>
      <c r="IO93" s="27">
        <f>MAX(IO92,PortfolioFrontier[[#This Row],[P62 Growth]])</f>
        <v>1.6272630311124299</v>
      </c>
      <c r="IP93" s="27">
        <f>PortfolioFrontier[[#This Row],[P62 Growth]]/PortfolioFrontier[[#This Row],[P62 HWM]]-1</f>
        <v>-9.128699883681568E-2</v>
      </c>
      <c r="IQ93" s="28">
        <f>SUMPRODUCT(INDEX(PortfolioRef[[SPY]:[PE]],MATCH(IQ$1,PortfolioRef[Reference '#]),0),AssetMonthlyReturns[[#This Row],[SPY]:[PE]])</f>
        <v>-7.6994421300509916E-3</v>
      </c>
      <c r="IR93" s="27">
        <f>IF(ISNUMBER(IR92),IR92*(1+PortfolioFrontier[[#This Row],[P63 Return]]),1+PortfolioFrontier[[#This Row],[P63 Return]])</f>
        <v>1.462474888836236</v>
      </c>
      <c r="IS93" s="27">
        <f>MAX(IS92,PortfolioFrontier[[#This Row],[P63 Growth]])</f>
        <v>1.646884909102555</v>
      </c>
      <c r="IT93" s="27">
        <f>PortfolioFrontier[[#This Row],[P63 Growth]]/PortfolioFrontier[[#This Row],[P63 HWM]]-1</f>
        <v>-0.11197505013681286</v>
      </c>
      <c r="IU93" s="28">
        <f>SUMPRODUCT(INDEX(PortfolioRef[[SPY]:[PE]],MATCH(IU$1,PortfolioRef[Reference '#]),0),AssetMonthlyReturns[[#This Row],[SPY]:[PE]])</f>
        <v>-6.385215286450612E-3</v>
      </c>
      <c r="IV93" s="27">
        <f>IF(ISNUMBER(IV92),IV92*(1+PortfolioFrontier[[#This Row],[P64 Return]]),1+PortfolioFrontier[[#This Row],[P64 Return]])</f>
        <v>1.4695674329879038</v>
      </c>
      <c r="IW93" s="27">
        <f>MAX(IW92,PortfolioFrontier[[#This Row],[P64 Growth]])</f>
        <v>1.6151793879801097</v>
      </c>
      <c r="IX93" s="27">
        <f>PortfolioFrontier[[#This Row],[P64 Growth]]/PortfolioFrontier[[#This Row],[P64 HWM]]-1</f>
        <v>-9.0152187475784573E-2</v>
      </c>
      <c r="IY93" s="28">
        <f>SUMPRODUCT(INDEX(PortfolioRef[[SPY]:[PE]],MATCH(IY$1,PortfolioRef[Reference '#]),0),AssetMonthlyReturns[[#This Row],[SPY]:[PE]])</f>
        <v>1.8025048784154013E-3</v>
      </c>
      <c r="IZ93" s="27">
        <f>IF(ISNUMBER(IZ92),IZ92*(1+PortfolioFrontier[[#This Row],[P65 Return]]),1+PortfolioFrontier[[#This Row],[P65 Return]])</f>
        <v>1.5110886363858795</v>
      </c>
      <c r="JA93" s="27">
        <f>MAX(JA92,PortfolioFrontier[[#This Row],[P65 Growth]])</f>
        <v>1.6422150953060746</v>
      </c>
      <c r="JB93" s="27">
        <f>PortfolioFrontier[[#This Row],[P65 Growth]]/PortfolioFrontier[[#This Row],[P65 HWM]]-1</f>
        <v>-7.9847310681160022E-2</v>
      </c>
      <c r="JC93" s="28">
        <f>SUMPRODUCT(INDEX(PortfolioRef[[SPY]:[PE]],MATCH(JC$1,PortfolioRef[Reference '#]),0),AssetMonthlyReturns[[#This Row],[SPY]:[PE]])</f>
        <v>-3.225589904568938E-3</v>
      </c>
      <c r="JD93" s="27">
        <f>IF(ISNUMBER(JD92),JD92*(1+PortfolioFrontier[[#This Row],[P66 Return]]),1+PortfolioFrontier[[#This Row],[P66 Return]])</f>
        <v>1.4948695048719272</v>
      </c>
      <c r="JE93" s="27">
        <f>MAX(JE92,PortfolioFrontier[[#This Row],[P66 Growth]])</f>
        <v>1.6623077877531292</v>
      </c>
      <c r="JF93" s="27">
        <f>PortfolioFrontier[[#This Row],[P66 Growth]]/PortfolioFrontier[[#This Row],[P66 HWM]]-1</f>
        <v>-0.10072640224318574</v>
      </c>
      <c r="JG93" s="28">
        <f>SUMPRODUCT(INDEX(PortfolioRef[[SPY]:[PE]],MATCH(JG$1,PortfolioRef[Reference '#]),0),AssetMonthlyReturns[[#This Row],[SPY]:[PE]])</f>
        <v>-1.9113630609685587E-3</v>
      </c>
      <c r="JH93" s="27">
        <f>IF(ISNUMBER(JH92),JH92*(1+PortfolioFrontier[[#This Row],[P67 Return]]),1+PortfolioFrontier[[#This Row],[P67 Return]])</f>
        <v>1.5021513785129095</v>
      </c>
      <c r="JI93" s="27">
        <f>MAX(JI92,PortfolioFrontier[[#This Row],[P67 Growth]])</f>
        <v>1.6303687537292939</v>
      </c>
      <c r="JJ93" s="27">
        <f>PortfolioFrontier[[#This Row],[P67 Growth]]/PortfolioFrontier[[#This Row],[P67 HWM]]-1</f>
        <v>-7.8643175001422816E-2</v>
      </c>
      <c r="JK93" s="28">
        <f>SUMPRODUCT(INDEX(PortfolioRef[[SPY]:[PE]],MATCH(JK$1,PortfolioRef[Reference '#]),0),AssetMonthlyReturns[[#This Row],[SPY]:[PE]])</f>
        <v>-8.2536846875532754E-3</v>
      </c>
      <c r="JL93" s="27">
        <f>IF(ISNUMBER(JL92),JL92*(1+PortfolioFrontier[[#This Row],[P68 Return]]),1+PortfolioFrontier[[#This Row],[P68 Return]])</f>
        <v>1.4777037339127541</v>
      </c>
      <c r="JM93" s="27">
        <f>MAX(JM92,PortfolioFrontier[[#This Row],[P68 Growth]])</f>
        <v>1.6817622542850994</v>
      </c>
      <c r="JN93" s="27">
        <f>PortfolioFrontier[[#This Row],[P68 Growth]]/PortfolioFrontier[[#This Row],[P68 HWM]]-1</f>
        <v>-0.12133612813131456</v>
      </c>
      <c r="JO93" s="28">
        <f>SUMPRODUCT(INDEX(PortfolioRef[[SPY]:[PE]],MATCH(JO$1,PortfolioRef[Reference '#]),0),AssetMonthlyReturns[[#This Row],[SPY]:[PE]])</f>
        <v>-6.939457843952895E-3</v>
      </c>
      <c r="JP93" s="27">
        <f>IF(ISNUMBER(JP92),JP92*(1+PortfolioFrontier[[#This Row],[P69 Return]]),1+PortfolioFrontier[[#This Row],[P69 Return]])</f>
        <v>1.4856935778498306</v>
      </c>
      <c r="JQ93" s="27">
        <f>MAX(JQ92,PortfolioFrontier[[#This Row],[P69 Growth]])</f>
        <v>1.6499912107010917</v>
      </c>
      <c r="JR93" s="27">
        <f>PortfolioFrontier[[#This Row],[P69 Growth]]/PortfolioFrontier[[#This Row],[P69 HWM]]-1</f>
        <v>-9.9574853360249072E-2</v>
      </c>
      <c r="JS93" s="28">
        <f>SUMPRODUCT(INDEX(PortfolioRef[[SPY]:[PE]],MATCH(JS$1,PortfolioRef[Reference '#]),0),AssetMonthlyReturns[[#This Row],[SPY]:[PE]])</f>
        <v>-5.6252310003525145E-3</v>
      </c>
      <c r="JT93" s="27">
        <f>IF(ISNUMBER(JT92),JT92*(1+PortfolioFrontier[[#This Row],[P70 Return]]),1+PortfolioFrontier[[#This Row],[P70 Return]])</f>
        <v>1.4926843876160896</v>
      </c>
      <c r="JU93" s="27">
        <f>MAX(JU92,PortfolioFrontier[[#This Row],[P70 Growth]])</f>
        <v>1.6181178918603722</v>
      </c>
      <c r="JV93" s="27">
        <f>PortfolioFrontier[[#This Row],[P70 Growth]]/PortfolioFrontier[[#This Row],[P70 HWM]]-1</f>
        <v>-7.7518149249354185E-2</v>
      </c>
      <c r="JW93" s="28">
        <f>SUMPRODUCT(INDEX(PortfolioRef[[SPY]:[PE]],MATCH(JW$1,PortfolioRef[Reference '#]),0),AssetMonthlyReturns[[#This Row],[SPY]:[PE]])</f>
        <v>1.2482623209131205E-3</v>
      </c>
      <c r="JX93" s="27">
        <f>IF(ISNUMBER(JX92),JX92*(1+PortfolioFrontier[[#This Row],[P71 Return]]),1+PortfolioFrontier[[#This Row],[P71 Return]])</f>
        <v>1.527569455839229</v>
      </c>
      <c r="JY93" s="27">
        <f>MAX(JY92,PortfolioFrontier[[#This Row],[P71 Growth]])</f>
        <v>1.6775420819631024</v>
      </c>
      <c r="JZ93" s="27">
        <f>PortfolioFrontier[[#This Row],[P71 Growth]]/PortfolioFrontier[[#This Row],[P71 HWM]]-1</f>
        <v>-8.9400216981961877E-2</v>
      </c>
      <c r="KA93" s="28">
        <f>SUMPRODUCT(INDEX(PortfolioRef[[SPY]:[PE]],MATCH(KA$1,PortfolioRef[Reference '#]),0),AssetMonthlyReturns[[#This Row],[SPY]:[PE]])</f>
        <v>2.5624891645134999E-3</v>
      </c>
      <c r="KB93" s="27">
        <f>IF(ISNUMBER(KB92),KB92*(1+PortfolioFrontier[[#This Row],[P72 Return]]),1+PortfolioFrontier[[#This Row],[P72 Return]])</f>
        <v>1.5350433717581669</v>
      </c>
      <c r="KC93" s="27">
        <f>MAX(KC92,PortfolioFrontier[[#This Row],[P72 Growth]])</f>
        <v>1.6453738946019467</v>
      </c>
      <c r="KD93" s="27">
        <f>PortfolioFrontier[[#This Row],[P72 Growth]]/PortfolioFrontier[[#This Row],[P72 HWM]]-1</f>
        <v>-6.705498562104717E-2</v>
      </c>
      <c r="KE93" s="28">
        <f>SUMPRODUCT(INDEX(PortfolioRef[[SPY]:[PE]],MATCH(KE$1,PortfolioRef[Reference '#]),0),AssetMonthlyReturns[[#This Row],[SPY]:[PE]])</f>
        <v>-3.7798324620712202E-3</v>
      </c>
      <c r="KF93" s="27">
        <f>IF(ISNUMBER(KF92),KF92*(1+PortfolioFrontier[[#This Row],[P73 Return]]),1+PortfolioFrontier[[#This Row],[P73 Return]])</f>
        <v>1.5104087001252797</v>
      </c>
      <c r="KG93" s="27">
        <f>MAX(KG92,PortfolioFrontier[[#This Row],[P73 Growth]])</f>
        <v>1.6974712283523181</v>
      </c>
      <c r="KH93" s="27">
        <f>PortfolioFrontier[[#This Row],[P73 Growth]]/PortfolioFrontier[[#This Row],[P73 HWM]]-1</f>
        <v>-0.11020070626387823</v>
      </c>
      <c r="KI93" s="28">
        <f>SUMPRODUCT(INDEX(PortfolioRef[[SPY]:[PE]],MATCH(KI$1,PortfolioRef[Reference '#]),0),AssetMonthlyReturns[[#This Row],[SPY]:[PE]])</f>
        <v>-2.4656056184708397E-3</v>
      </c>
      <c r="KJ93" s="27">
        <f>IF(ISNUMBER(KJ92),KJ92*(1+PortfolioFrontier[[#This Row],[P74 Return]]),1+PortfolioFrontier[[#This Row],[P74 Return]])</f>
        <v>1.518607438438992</v>
      </c>
      <c r="KK93" s="27">
        <f>MAX(KK92,PortfolioFrontier[[#This Row],[P74 Growth]])</f>
        <v>1.6654678920548054</v>
      </c>
      <c r="KL93" s="27">
        <f>PortfolioFrontier[[#This Row],[P74 Growth]]/PortfolioFrontier[[#This Row],[P74 HWM]]-1</f>
        <v>-8.8179696718512668E-2</v>
      </c>
      <c r="KM93" s="28">
        <f>SUMPRODUCT(INDEX(PortfolioRef[[SPY]:[PE]],MATCH(KM$1,PortfolioRef[Reference '#]),0),AssetMonthlyReturns[[#This Row],[SPY]:[PE]])</f>
        <v>-1.1513787748704601E-3</v>
      </c>
      <c r="KN93" s="27">
        <f>IF(ISNUMBER(KN92),KN92*(1+PortfolioFrontier[[#This Row],[P75 Return]]),1+PortfolioFrontier[[#This Row],[P75 Return]])</f>
        <v>1.5257860612751557</v>
      </c>
      <c r="KO93" s="27">
        <f>MAX(KO92,PortfolioFrontier[[#This Row],[P75 Growth]])</f>
        <v>1.6333591346427441</v>
      </c>
      <c r="KP93" s="27">
        <f>PortfolioFrontier[[#This Row],[P75 Growth]]/PortfolioFrontier[[#This Row],[P75 HWM]]-1</f>
        <v>-6.5860024954718432E-2</v>
      </c>
      <c r="KQ93" s="28">
        <f>SUMPRODUCT(INDEX(PortfolioRef[[SPY]:[PE]],MATCH(KQ$1,PortfolioRef[Reference '#]),0),AssetMonthlyReturns[[#This Row],[SPY]:[PE]])</f>
        <v>-8.8079272450555576E-3</v>
      </c>
      <c r="KR93" s="27">
        <f>IF(ISNUMBER(KR92),KR92*(1+PortfolioFrontier[[#This Row],[P76 Return]]),1+PortfolioFrontier[[#This Row],[P76 Return]])</f>
        <v>1.4923053734794125</v>
      </c>
      <c r="KS93" s="27">
        <f>MAX(KS92,PortfolioFrontier[[#This Row],[P76 Growth]])</f>
        <v>1.7167314071133803</v>
      </c>
      <c r="KT93" s="27">
        <f>PortfolioFrontier[[#This Row],[P76 Growth]]/PortfolioFrontier[[#This Row],[P76 HWM]]-1</f>
        <v>-0.13072868167032126</v>
      </c>
      <c r="KU93" s="28">
        <f>SUMPRODUCT(INDEX(PortfolioRef[[SPY]:[PE]],MATCH(KU$1,PortfolioRef[Reference '#]),0),AssetMonthlyReturns[[#This Row],[SPY]:[PE]])</f>
        <v>-7.4937004014551771E-3</v>
      </c>
      <c r="KV93" s="27">
        <f>IF(ISNUMBER(KV92),KV92*(1+PortfolioFrontier[[#This Row],[P77 Return]]),1+PortfolioFrontier[[#This Row],[P77 Return]])</f>
        <v>1.5012096040989273</v>
      </c>
      <c r="KW93" s="27">
        <f>MAX(KW92,PortfolioFrontier[[#This Row],[P77 Growth]])</f>
        <v>1.6849217747429484</v>
      </c>
      <c r="KX93" s="27">
        <f>PortfolioFrontier[[#This Row],[P77 Growth]]/PortfolioFrontier[[#This Row],[P77 HWM]]-1</f>
        <v>-0.10903305625096338</v>
      </c>
      <c r="KY93" s="28">
        <f>SUMPRODUCT(INDEX(PortfolioRef[[SPY]:[PE]],MATCH(KY$1,PortfolioRef[Reference '#]),0),AssetMonthlyReturns[[#This Row],[SPY]:[PE]])</f>
        <v>-6.1794735578547958E-3</v>
      </c>
      <c r="KZ93" s="27">
        <f>IF(ISNUMBER(KZ92),KZ92*(1+PortfolioFrontier[[#This Row],[P78 Return]]),1+PortfolioFrontier[[#This Row],[P78 Return]])</f>
        <v>1.5091094869459627</v>
      </c>
      <c r="LA93" s="27">
        <f>MAX(LA92,PortfolioFrontier[[#This Row],[P78 Growth]])</f>
        <v>1.6529805725839544</v>
      </c>
      <c r="LB93" s="27">
        <f>PortfolioFrontier[[#This Row],[P78 Growth]]/PortfolioFrontier[[#This Row],[P78 HWM]]-1</f>
        <v>-8.7037372383083178E-2</v>
      </c>
      <c r="LC93" s="28">
        <f>SUMPRODUCT(INDEX(PortfolioRef[[SPY]:[PE]],MATCH(LC$1,PortfolioRef[Reference '#]),0),AssetMonthlyReturns[[#This Row],[SPY]:[PE]])</f>
        <v>6.9401976341083665E-4</v>
      </c>
      <c r="LD93" s="27">
        <f>IF(ISNUMBER(LD92),LD92*(1+PortfolioFrontier[[#This Row],[P79 Return]]),1+PortfolioFrontier[[#This Row],[P79 Return]])</f>
        <v>1.5434214608747476</v>
      </c>
      <c r="LE93" s="27">
        <f>MAX(LE92,PortfolioFrontier[[#This Row],[P79 Growth]])</f>
        <v>1.7129874860839263</v>
      </c>
      <c r="LF93" s="27">
        <f>PortfolioFrontier[[#This Row],[P79 Growth]]/PortfolioFrontier[[#This Row],[P79 HWM]]-1</f>
        <v>-9.8988478658898371E-2</v>
      </c>
      <c r="LG93" s="28">
        <f>SUMPRODUCT(INDEX(PortfolioRef[[SPY]:[PE]],MATCH(LG$1,PortfolioRef[Reference '#]),0),AssetMonthlyReturns[[#This Row],[SPY]:[PE]])</f>
        <v>2.0082466070112173E-3</v>
      </c>
      <c r="LH93" s="27">
        <f>IF(ISNUMBER(LH92),LH92*(1+PortfolioFrontier[[#This Row],[P80 Return]]),1+PortfolioFrontier[[#This Row],[P80 Return]])</f>
        <v>1.5518319895007693</v>
      </c>
      <c r="LI93" s="27">
        <f>MAX(LI92,PortfolioFrontier[[#This Row],[P80 Growth]])</f>
        <v>1.6807562405101484</v>
      </c>
      <c r="LJ93" s="27">
        <f>PortfolioFrontier[[#This Row],[P80 Growth]]/PortfolioFrontier[[#This Row],[P80 HWM]]-1</f>
        <v>-7.6706096875920338E-2</v>
      </c>
      <c r="LK93" s="28">
        <f>SUMPRODUCT(INDEX(PortfolioRef[[SPY]:[PE]],MATCH(LK$1,PortfolioRef[Reference '#]),0),AssetMonthlyReturns[[#This Row],[SPY]:[PE]])</f>
        <v>3.3224734506115969E-3</v>
      </c>
      <c r="LL93" s="27">
        <f>IF(ISNUMBER(LL92),LL92*(1+PortfolioFrontier[[#This Row],[P81 Return]]),1+PortfolioFrontier[[#This Row],[P81 Return]])</f>
        <v>1.5592011445301581</v>
      </c>
      <c r="LM93" s="27">
        <f>MAX(LM92,PortfolioFrontier[[#This Row],[P81 Growth]])</f>
        <v>1.648416413491208</v>
      </c>
      <c r="LN93" s="27">
        <f>PortfolioFrontier[[#This Row],[P81 Growth]]/PortfolioFrontier[[#This Row],[P81 HWM]]-1</f>
        <v>-5.4121803344641228E-2</v>
      </c>
      <c r="LO93" s="28">
        <f>SUMPRODUCT(INDEX(PortfolioRef[[SPY]:[PE]],MATCH(LO$1,PortfolioRef[Reference '#]),0),AssetMonthlyReturns[[#This Row],[SPY]:[PE]])</f>
        <v>-4.3340750195735031E-3</v>
      </c>
      <c r="LP93" s="27">
        <f>IF(ISNUMBER(LP92),LP92*(1+PortfolioFrontier[[#This Row],[P82 Return]]),1+PortfolioFrontier[[#This Row],[P82 Return]])</f>
        <v>1.5253067269764853</v>
      </c>
      <c r="LQ93" s="27">
        <f>MAX(LQ92,PortfolioFrontier[[#This Row],[P82 Growth]])</f>
        <v>1.7327259878391794</v>
      </c>
      <c r="LR93" s="27">
        <f>PortfolioFrontier[[#This Row],[P82 Growth]]/PortfolioFrontier[[#This Row],[P82 HWM]]-1</f>
        <v>-0.11970690248684923</v>
      </c>
      <c r="LS93" s="28">
        <f>SUMPRODUCT(INDEX(PortfolioRef[[SPY]:[PE]],MATCH(LS$1,PortfolioRef[Reference '#]),0),AssetMonthlyReturns[[#This Row],[SPY]:[PE]])</f>
        <v>-3.0198481759731235E-3</v>
      </c>
      <c r="LT93" s="27">
        <f>IF(ISNUMBER(LT92),LT92*(1+PortfolioFrontier[[#This Row],[P83 Return]]),1+PortfolioFrontier[[#This Row],[P83 Return]])</f>
        <v>1.5344397413242958</v>
      </c>
      <c r="LU93" s="27">
        <f>MAX(LU92,PortfolioFrontier[[#This Row],[P83 Growth]])</f>
        <v>1.7006855237848306</v>
      </c>
      <c r="LV93" s="27">
        <f>PortfolioFrontier[[#This Row],[P83 Growth]]/PortfolioFrontier[[#This Row],[P83 HWM]]-1</f>
        <v>-9.7752218229363863E-2</v>
      </c>
      <c r="LW93" s="28">
        <f>SUMPRODUCT(INDEX(PortfolioRef[[SPY]:[PE]],MATCH(LW$1,PortfolioRef[Reference '#]),0),AssetMonthlyReturns[[#This Row],[SPY]:[PE]])</f>
        <v>-1.7056213323727427E-3</v>
      </c>
      <c r="LX93" s="27">
        <f>IF(ISNUMBER(LX92),LX92*(1+PortfolioFrontier[[#This Row],[P84 Return]]),1+PortfolioFrontier[[#This Row],[P84 Return]])</f>
        <v>1.5425472668611138</v>
      </c>
      <c r="LY93" s="27">
        <f>MAX(LY92,PortfolioFrontier[[#This Row],[P84 Growth]])</f>
        <v>1.6685100840279028</v>
      </c>
      <c r="LZ93" s="27">
        <f>PortfolioFrontier[[#This Row],[P84 Growth]]/PortfolioFrontier[[#This Row],[P84 HWM]]-1</f>
        <v>-7.5494189919851018E-2</v>
      </c>
      <c r="MA93" s="28">
        <f>SUMPRODUCT(INDEX(PortfolioRef[[SPY]:[PE]],MATCH(MA$1,PortfolioRef[Reference '#]),0),AssetMonthlyReturns[[#This Row],[SPY]:[PE]])</f>
        <v>-9.3621698025578397E-3</v>
      </c>
      <c r="MB93" s="27">
        <f>IF(ISNUMBER(MB92),MB92*(1+PortfolioFrontier[[#This Row],[P85 Return]]),1+PortfolioFrontier[[#This Row],[P85 Return]])</f>
        <v>1.506254866259751</v>
      </c>
      <c r="MC93" s="27">
        <f>MAX(MC92,PortfolioFrontier[[#This Row],[P85 Growth]])</f>
        <v>1.7517641950154219</v>
      </c>
      <c r="MD93" s="27">
        <f>PortfolioFrontier[[#This Row],[P85 Growth]]/PortfolioFrontier[[#This Row],[P85 HWM]]-1</f>
        <v>-0.14014975842882182</v>
      </c>
      <c r="ME93" s="28">
        <f>SUMPRODUCT(INDEX(PortfolioRef[[SPY]:[PE]],MATCH(ME$1,PortfolioRef[Reference '#]),0),AssetMonthlyReturns[[#This Row],[SPY]:[PE]])</f>
        <v>-8.0479429589574592E-3</v>
      </c>
      <c r="MF93" s="27">
        <f>IF(ISNUMBER(MF92),MF92*(1+PortfolioFrontier[[#This Row],[P86 Return]]),1+PortfolioFrontier[[#This Row],[P86 Return]])</f>
        <v>1.5160896541130739</v>
      </c>
      <c r="MG93" s="27">
        <f>MAX(MG92,PortfolioFrontier[[#This Row],[P86 Growth]])</f>
        <v>1.7199439154573082</v>
      </c>
      <c r="MH93" s="27">
        <f>PortfolioFrontier[[#This Row],[P86 Growth]]/PortfolioFrontier[[#This Row],[P86 HWM]]-1</f>
        <v>-0.11852378412585174</v>
      </c>
      <c r="MI93" s="28">
        <f>SUMPRODUCT(INDEX(PortfolioRef[[SPY]:[PE]],MATCH(MI$1,PortfolioRef[Reference '#]),0),AssetMonthlyReturns[[#This Row],[SPY]:[PE]])</f>
        <v>-6.7337161153570796E-3</v>
      </c>
      <c r="MJ93" s="27">
        <f>IF(ISNUMBER(MJ92),MJ92*(1+PortfolioFrontier[[#This Row],[P87 Return]]),1+PortfolioFrontier[[#This Row],[P87 Return]])</f>
        <v>1.5249160887749982</v>
      </c>
      <c r="MK93" s="27">
        <f>MAX(MK92,PortfolioFrontier[[#This Row],[P87 Growth]])</f>
        <v>1.6879617873128629</v>
      </c>
      <c r="ML93" s="27">
        <f>PortfolioFrontier[[#This Row],[P87 Growth]]/PortfolioFrontier[[#This Row],[P87 HWM]]-1</f>
        <v>-9.6593240299251093E-2</v>
      </c>
      <c r="MM93" s="28">
        <f>SUMPRODUCT(INDEX(PortfolioRef[[SPY]:[PE]],MATCH(MM$1,PortfolioRef[Reference '#]),0),AssetMonthlyReturns[[#This Row],[SPY]:[PE]])</f>
        <v>1.3977720590855545E-4</v>
      </c>
      <c r="MN93" s="27">
        <f>IF(ISNUMBER(MN92),MN92*(1+PortfolioFrontier[[#This Row],[P88 Return]]),1+PortfolioFrontier[[#This Row],[P88 Return]])</f>
        <v>1.5586182010131207</v>
      </c>
      <c r="MO93" s="27">
        <f>MAX(MO92,PortfolioFrontier[[#This Row],[P88 Growth]])</f>
        <v>1.7485237047822844</v>
      </c>
      <c r="MP93" s="27">
        <f>PortfolioFrontier[[#This Row],[P88 Growth]]/PortfolioFrontier[[#This Row],[P88 HWM]]-1</f>
        <v>-0.10860905302556911</v>
      </c>
      <c r="MQ93" s="28">
        <f>SUMPRODUCT(INDEX(PortfolioRef[[SPY]:[PE]],MATCH(MQ$1,PortfolioRef[Reference '#]),0),AssetMonthlyReturns[[#This Row],[SPY]:[PE]])</f>
        <v>1.4540040495089354E-3</v>
      </c>
      <c r="MR93" s="27">
        <f>IF(ISNUMBER(MR92),MR92*(1+PortfolioFrontier[[#This Row],[P89 Return]]),1+PortfolioFrontier[[#This Row],[P89 Return]])</f>
        <v>1.5679830801522576</v>
      </c>
      <c r="MS93" s="27">
        <f>MAX(MS92,PortfolioFrontier[[#This Row],[P89 Growth]])</f>
        <v>1.7162568132506029</v>
      </c>
      <c r="MT93" s="27">
        <f>PortfolioFrontier[[#This Row],[P89 Growth]]/PortfolioFrontier[[#This Row],[P89 HWM]]-1</f>
        <v>-8.6393674858900482E-2</v>
      </c>
      <c r="MU93" s="28">
        <f>SUMPRODUCT(INDEX(PortfolioRef[[SPY]:[PE]],MATCH(MU$1,PortfolioRef[Reference '#]),0),AssetMonthlyReturns[[#This Row],[SPY]:[PE]])</f>
        <v>2.7682308931093161E-3</v>
      </c>
      <c r="MV93" s="27">
        <f>IF(ISNUMBER(MV92),MV92*(1+PortfolioFrontier[[#This Row],[P90 Return]]),1+PortfolioFrontier[[#This Row],[P90 Return]])</f>
        <v>1.5763011534934359</v>
      </c>
      <c r="MW93" s="27">
        <f>MAX(MW92,PortfolioFrontier[[#This Row],[P90 Growth]])</f>
        <v>1.6838515290273213</v>
      </c>
      <c r="MX93" s="27">
        <f>PortfolioFrontier[[#This Row],[P90 Growth]]/PortfolioFrontier[[#This Row],[P90 HWM]]-1</f>
        <v>-6.3871650011810721E-2</v>
      </c>
      <c r="MY93" s="28">
        <f>SUMPRODUCT(INDEX(PortfolioRef[[SPY]:[PE]],MATCH(MY$1,PortfolioRef[Reference '#]),0),AssetMonthlyReturns[[#This Row],[SPY]:[PE]])</f>
        <v>-4.8883175770757835E-3</v>
      </c>
      <c r="MZ93" s="27">
        <f>IF(ISNUMBER(MZ92),MZ92*(1+PortfolioFrontier[[#This Row],[P91 Return]]),1+PortfolioFrontier[[#This Row],[P91 Return]])</f>
        <v>1.539538140568828</v>
      </c>
      <c r="NA93" s="27">
        <f>MAX(NA92,PortfolioFrontier[[#This Row],[P91 Growth]])</f>
        <v>1.7680436458517257</v>
      </c>
      <c r="NB93" s="27">
        <f>PortfolioFrontier[[#This Row],[P91 Growth]]/PortfolioFrontier[[#This Row],[P91 HWM]]-1</f>
        <v>-0.12924200475425418</v>
      </c>
      <c r="NC93" s="28">
        <f>SUMPRODUCT(INDEX(PortfolioRef[[SPY]:[PE]],MATCH(NC$1,PortfolioRef[Reference '#]),0),AssetMonthlyReturns[[#This Row],[SPY]:[PE]])</f>
        <v>-3.5740907334754048E-3</v>
      </c>
      <c r="ND93" s="27">
        <f>IF(ISNUMBER(ND92),ND92*(1+PortfolioFrontier[[#This Row],[P92 Return]]),1+PortfolioFrontier[[#This Row],[P92 Return]])</f>
        <v>1.5496219055560601</v>
      </c>
      <c r="NE93" s="27">
        <f>MAX(NE92,PortfolioFrontier[[#This Row],[P92 Growth]])</f>
        <v>1.73599424265744</v>
      </c>
      <c r="NF93" s="27">
        <f>PortfolioFrontier[[#This Row],[P92 Growth]]/PortfolioFrontier[[#This Row],[P92 HWM]]-1</f>
        <v>-0.10735769308548126</v>
      </c>
      <c r="NG93" s="28">
        <f>SUMPRODUCT(INDEX(PortfolioRef[[SPY]:[PE]],MATCH(NG$1,PortfolioRef[Reference '#]),0),AssetMonthlyReturns[[#This Row],[SPY]:[PE]])</f>
        <v>-2.2598638898750248E-3</v>
      </c>
      <c r="NH93" s="27">
        <f>IF(ISNUMBER(NH92),NH92*(1+PortfolioFrontier[[#This Row],[P93 Return]]),1+PortfolioFrontier[[#This Row],[P93 Return]])</f>
        <v>1.5586761447364053</v>
      </c>
      <c r="NI93" s="27">
        <f>MAX(NI92,PortfolioFrontier[[#This Row],[P93 Growth]])</f>
        <v>1.7037793193389816</v>
      </c>
      <c r="NJ93" s="27">
        <f>PortfolioFrontier[[#This Row],[P93 Growth]]/PortfolioFrontier[[#This Row],[P93 HWM]]-1</f>
        <v>-8.516547475108005E-2</v>
      </c>
      <c r="NK93" s="28">
        <f>SUMPRODUCT(INDEX(PortfolioRef[[SPY]:[PE]],MATCH(NK$1,PortfolioRef[Reference '#]),0),AssetMonthlyReturns[[#This Row],[SPY]:[PE]])</f>
        <v>-9.9164123600601218E-3</v>
      </c>
      <c r="NL93" s="27">
        <f>IF(ISNUMBER(NL92),NL92*(1+PortfolioFrontier[[#This Row],[P94 Return]]),1+PortfolioFrontier[[#This Row],[P94 Return]])</f>
        <v>1.5195278006340964</v>
      </c>
      <c r="NM93" s="27">
        <f>MAX(NM92,PortfolioFrontier[[#This Row],[P94 Growth]])</f>
        <v>1.7868313973018393</v>
      </c>
      <c r="NN93" s="27">
        <f>PortfolioFrontier[[#This Row],[P94 Growth]]/PortfolioFrontier[[#This Row],[P94 HWM]]-1</f>
        <v>-0.14959642922738992</v>
      </c>
      <c r="NO93" s="28">
        <f>SUMPRODUCT(INDEX(PortfolioRef[[SPY]:[PE]],MATCH(NO$1,PortfolioRef[Reference '#]),0),AssetMonthlyReturns[[#This Row],[SPY]:[PE]])</f>
        <v>-8.6021855164597396E-3</v>
      </c>
      <c r="NP93" s="27">
        <f>IF(ISNUMBER(NP92),NP92*(1+PortfolioFrontier[[#This Row],[P95 Return]]),1+PortfolioFrontier[[#This Row],[P95 Return]])</f>
        <v>1.5303083500520807</v>
      </c>
      <c r="NQ93" s="27">
        <f>MAX(NQ92,PortfolioFrontier[[#This Row],[P95 Growth]])</f>
        <v>1.7550294195356591</v>
      </c>
      <c r="NR93" s="27">
        <f>PortfolioFrontier[[#This Row],[P95 Growth]]/PortfolioFrontier[[#This Row],[P95 HWM]]-1</f>
        <v>-0.12804404700123739</v>
      </c>
      <c r="NS93" s="28">
        <f>SUMPRODUCT(INDEX(PortfolioRef[[SPY]:[PE]],MATCH(NS$1,PortfolioRef[Reference '#]),0),AssetMonthlyReturns[[#This Row],[SPY]:[PE]])</f>
        <v>-7.2879586728593609E-3</v>
      </c>
      <c r="NT93" s="27">
        <f>IF(ISNUMBER(NT92),NT92*(1+PortfolioFrontier[[#This Row],[P96 Return]]),1+PortfolioFrontier[[#This Row],[P96 Return]])</f>
        <v>1.5400778896813638</v>
      </c>
      <c r="NU93" s="27">
        <f>MAX(NU92,PortfolioFrontier[[#This Row],[P96 Growth]])</f>
        <v>1.7230343324336159</v>
      </c>
      <c r="NV93" s="27">
        <f>PortfolioFrontier[[#This Row],[P96 Growth]]/PortfolioFrontier[[#This Row],[P96 HWM]]-1</f>
        <v>-0.10618270298412691</v>
      </c>
      <c r="NW93" s="28">
        <f>SUMPRODUCT(INDEX(PortfolioRef[[SPY]:[PE]],MATCH(NW$1,PortfolioRef[Reference '#]),0),AssetMonthlyReturns[[#This Row],[SPY]:[PE]])</f>
        <v>-7.0199564686957367E-3</v>
      </c>
      <c r="NX93" s="27">
        <f>IF(ISNUMBER(NX92),NX92*(1+PortfolioFrontier[[#This Row],[P97 Return]]),1+PortfolioFrontier[[#This Row],[P97 Return]])</f>
        <v>1.3854559743259258</v>
      </c>
      <c r="NY93" s="27">
        <f>MAX(NY92,PortfolioFrontier[[#This Row],[P97 Growth]])</f>
        <v>1.5498139523617234</v>
      </c>
      <c r="NZ93" s="27">
        <f>PortfolioFrontier[[#This Row],[P97 Growth]]/PortfolioFrontier[[#This Row],[P97 HWM]]-1</f>
        <v>-0.10605013445990497</v>
      </c>
      <c r="OA93" s="28">
        <f>SUMPRODUCT(INDEX(PortfolioRef[[SPY]:[PE]],MATCH(OA$1,PortfolioRef[Reference '#]),0),AssetMonthlyReturns[[#This Row],[SPY]:[PE]])</f>
        <v>-2.5461042432136836E-3</v>
      </c>
      <c r="OB93" s="27">
        <f>IF(ISNUMBER(OB92),OB92*(1+PortfolioFrontier[[#This Row],[P98 Return]]),1+PortfolioFrontier[[#This Row],[P98 Return]])</f>
        <v>1.4161780658026002</v>
      </c>
      <c r="OC93" s="27">
        <f>MAX(OC92,PortfolioFrontier[[#This Row],[P98 Growth]])</f>
        <v>1.5643918723292729</v>
      </c>
      <c r="OD93" s="27">
        <f>PortfolioFrontier[[#This Row],[P98 Growth]]/PortfolioFrontier[[#This Row],[P98 HWM]]-1</f>
        <v>-9.474212257699377E-2</v>
      </c>
      <c r="OE93" s="28">
        <f>SUMPRODUCT(INDEX(PortfolioRef[[SPY]:[PE]],MATCH(OE$1,PortfolioRef[Reference '#]),0),AssetMonthlyReturns[[#This Row],[SPY]:[PE]])</f>
        <v>-7.5741990261980197E-3</v>
      </c>
      <c r="OF93" s="27">
        <f>IF(ISNUMBER(OF92),OF92*(1+PortfolioFrontier[[#This Row],[P99 Return]]),1+PortfolioFrontier[[#This Row],[P99 Return]])</f>
        <v>1.4011395502146731</v>
      </c>
      <c r="OG93" s="27">
        <f>MAX(OG92,PortfolioFrontier[[#This Row],[P99 Growth]])</f>
        <v>1.5836627563813395</v>
      </c>
      <c r="OH93" s="27">
        <f>PortfolioFrontier[[#This Row],[P99 Growth]]/PortfolioFrontier[[#This Row],[P99 HWM]]-1</f>
        <v>-0.11525383509285203</v>
      </c>
      <c r="OI93" s="28">
        <f>SUMPRODUCT(INDEX(PortfolioRef[[SPY]:[PE]],MATCH(OI$1,PortfolioRef[Reference '#]),0),AssetMonthlyReturns[[#This Row],[SPY]:[PE]])</f>
        <v>-6.2599721825976401E-3</v>
      </c>
      <c r="OJ93" s="27">
        <f>IF(ISNUMBER(OJ92),OJ92*(1+PortfolioFrontier[[#This Row],[P100 Return]]),1+PortfolioFrontier[[#This Row],[P100 Return]])</f>
        <v>1.4074297288429785</v>
      </c>
      <c r="OK93" s="27">
        <f>MAX(OK92,PortfolioFrontier[[#This Row],[P100 Growth]])</f>
        <v>1.5528062347399851</v>
      </c>
      <c r="OL93" s="27">
        <f>PortfolioFrontier[[#This Row],[P100 Growth]]/PortfolioFrontier[[#This Row],[P100 HWM]]-1</f>
        <v>-9.3621794300271954E-2</v>
      </c>
      <c r="OM93" s="28">
        <f>SUMPRODUCT(INDEX(PortfolioRef[[SPY]:[PE]],MATCH(OM$1,PortfolioRef[Reference '#]),0),AssetMonthlyReturns[[#This Row],[SPY]:[PE]])</f>
        <v>1.9277479822683767E-3</v>
      </c>
      <c r="ON93" s="27">
        <f>IF(ISNUMBER(ON92),ON92*(1+PortfolioFrontier[[#This Row],[P101 Return]]),1+PortfolioFrontier[[#This Row],[P101 Return]])</f>
        <v>1.447189699702125</v>
      </c>
      <c r="OO93" s="27">
        <f>MAX(OO92,PortfolioFrontier[[#This Row],[P101 Growth]])</f>
        <v>1.5787921813488919</v>
      </c>
      <c r="OP93" s="27">
        <f>PortfolioFrontier[[#This Row],[P101 Growth]]/PortfolioFrontier[[#This Row],[P101 HWM]]-1</f>
        <v>-8.3356431075259141E-2</v>
      </c>
      <c r="OQ93" s="28">
        <f>SUMPRODUCT(INDEX(PortfolioRef[[SPY]:[PE]],MATCH(OQ$1,PortfolioRef[Reference '#]),0),AssetMonthlyReturns[[#This Row],[SPY]:[PE]])</f>
        <v>-3.1003468007159626E-3</v>
      </c>
      <c r="OR93" s="27">
        <f>IF(ISNUMBER(OR92),OR92*(1+PortfolioFrontier[[#This Row],[P102 Return]]),1+PortfolioFrontier[[#This Row],[P102 Return]])</f>
        <v>1.4321831645723675</v>
      </c>
      <c r="OS93" s="27">
        <f>MAX(OS92,PortfolioFrontier[[#This Row],[P102 Growth]])</f>
        <v>1.5985203886251573</v>
      </c>
      <c r="OT93" s="27">
        <f>PortfolioFrontier[[#This Row],[P102 Growth]]/PortfolioFrontier[[#This Row],[P102 HWM]]-1</f>
        <v>-0.10405699247655631</v>
      </c>
      <c r="OU93" s="28">
        <f>SUMPRODUCT(INDEX(PortfolioRef[[SPY]:[PE]],MATCH(OU$1,PortfolioRef[Reference '#]),0),AssetMonthlyReturns[[#This Row],[SPY]:[PE]])</f>
        <v>-1.7861199571155833E-3</v>
      </c>
      <c r="OV93" s="27">
        <f>IF(ISNUMBER(OV92),OV92*(1+PortfolioFrontier[[#This Row],[P103 Return]]),1+PortfolioFrontier[[#This Row],[P103 Return]])</f>
        <v>1.4386438782961604</v>
      </c>
      <c r="OW93" s="27">
        <f>MAX(OW92,PortfolioFrontier[[#This Row],[P103 Growth]])</f>
        <v>1.5674355228105428</v>
      </c>
      <c r="OX93" s="27">
        <f>PortfolioFrontier[[#This Row],[P103 Growth]]/PortfolioFrontier[[#This Row],[P103 HWM]]-1</f>
        <v>-8.2167108401019373E-2</v>
      </c>
      <c r="OY93" s="28">
        <f>SUMPRODUCT(INDEX(PortfolioRef[[SPY]:[PE]],MATCH(OY$1,PortfolioRef[Reference '#]),0),AssetMonthlyReturns[[#This Row],[SPY]:[PE]])</f>
        <v>-8.1284415837003E-3</v>
      </c>
      <c r="OZ93" s="27">
        <f>IF(ISNUMBER(OZ92),OZ92*(1+PortfolioFrontier[[#This Row],[P104 Return]]),1+PortfolioFrontier[[#This Row],[P104 Return]])</f>
        <v>1.4162594747199013</v>
      </c>
      <c r="PA93" s="27">
        <f>MAX(PA92,PortfolioFrontier[[#This Row],[P104 Growth]])</f>
        <v>1.6176462594840681</v>
      </c>
      <c r="PB93" s="27">
        <f>PortfolioFrontier[[#This Row],[P104 Growth]]/PortfolioFrontier[[#This Row],[P104 HWM]]-1</f>
        <v>-0.12449371028026679</v>
      </c>
      <c r="PC93" s="28">
        <f>SUMPRODUCT(INDEX(PortfolioRef[[SPY]:[PE]],MATCH(PC$1,PortfolioRef[Reference '#]),0),AssetMonthlyReturns[[#This Row],[SPY]:[PE]])</f>
        <v>-6.8142147400999196E-3</v>
      </c>
      <c r="PD93" s="27">
        <f>IF(ISNUMBER(PD92),PD92*(1+PortfolioFrontier[[#This Row],[P105 Return]]),1+PortfolioFrontier[[#This Row],[P105 Return]])</f>
        <v>1.4234047866479864</v>
      </c>
      <c r="PE93" s="27">
        <f>MAX(PE92,PortfolioFrontier[[#This Row],[P105 Growth]])</f>
        <v>1.5867085542337835</v>
      </c>
      <c r="PF93" s="27">
        <f>PortfolioFrontier[[#This Row],[P105 Growth]]/PortfolioFrontier[[#This Row],[P105 HWM]]-1</f>
        <v>-0.1029198255407755</v>
      </c>
      <c r="PG93" s="28">
        <f>SUMPRODUCT(INDEX(PortfolioRef[[SPY]:[PE]],MATCH(PG$1,PortfolioRef[Reference '#]),0),AssetMonthlyReturns[[#This Row],[SPY]:[PE]])</f>
        <v>-5.4999878964995391E-3</v>
      </c>
      <c r="PH93" s="27">
        <f>IF(ISNUMBER(PH92),PH92*(1+PortfolioFrontier[[#This Row],[P106 Return]]),1+PortfolioFrontier[[#This Row],[P106 Return]])</f>
        <v>1.4295897615470812</v>
      </c>
      <c r="PI93" s="27">
        <f>MAX(PI92,PortfolioFrontier[[#This Row],[P106 Growth]])</f>
        <v>1.5556887430167754</v>
      </c>
      <c r="PJ93" s="27">
        <f>PortfolioFrontier[[#This Row],[P106 Growth]]/PortfolioFrontier[[#This Row],[P106 HWM]]-1</f>
        <v>-8.1056690829532152E-2</v>
      </c>
      <c r="PK93" s="28">
        <f>SUMPRODUCT(INDEX(PortfolioRef[[SPY]:[PE]],MATCH(PK$1,PortfolioRef[Reference '#]),0),AssetMonthlyReturns[[#This Row],[SPY]:[PE]])</f>
        <v>1.3735054247660942E-3</v>
      </c>
      <c r="PL93" s="27">
        <f>IF(ISNUMBER(PL92),PL92*(1+PortfolioFrontier[[#This Row],[P107 Return]]),1+PortfolioFrontier[[#This Row],[P107 Return]])</f>
        <v>1.4635189020464985</v>
      </c>
      <c r="PM93" s="27">
        <f>MAX(PM92,PortfolioFrontier[[#This Row],[P107 Growth]])</f>
        <v>1.6131964012798079</v>
      </c>
      <c r="PN93" s="27">
        <f>PortfolioFrontier[[#This Row],[P107 Growth]]/PortfolioFrontier[[#This Row],[P107 HWM]]-1</f>
        <v>-9.2783184437161381E-2</v>
      </c>
      <c r="PO93" s="28">
        <f>SUMPRODUCT(INDEX(PortfolioRef[[SPY]:[PE]],MATCH(PO$1,PortfolioRef[Reference '#]),0),AssetMonthlyReturns[[#This Row],[SPY]:[PE]])</f>
        <v>2.6877322683664735E-3</v>
      </c>
      <c r="PP93" s="27">
        <f>IF(ISNUMBER(PP92),PP92*(1+PortfolioFrontier[[#This Row],[P108 Return]]),1+PortfolioFrontier[[#This Row],[P108 Return]])</f>
        <v>1.4701526494655719</v>
      </c>
      <c r="PQ93" s="27">
        <f>MAX(PQ92,PortfolioFrontier[[#This Row],[P108 Growth]])</f>
        <v>1.5818874318633449</v>
      </c>
      <c r="PR93" s="27">
        <f>PortfolioFrontier[[#This Row],[P108 Growth]]/PortfolioFrontier[[#This Row],[P108 HWM]]-1</f>
        <v>-7.0633839138703913E-2</v>
      </c>
      <c r="PS93" s="28">
        <f>SUMPRODUCT(INDEX(PortfolioRef[[SPY]:[PE]],MATCH(PS$1,PortfolioRef[Reference '#]),0),AssetMonthlyReturns[[#This Row],[SPY]:[PE]])</f>
        <v>-3.6545893582182465E-3</v>
      </c>
      <c r="PT93" s="27">
        <f>IF(ISNUMBER(PT92),PT92*(1+PortfolioFrontier[[#This Row],[P109 Return]]),1+PortfolioFrontier[[#This Row],[P109 Return]])</f>
        <v>1.4476119850844389</v>
      </c>
      <c r="PU93" s="27">
        <f>MAX(PU92,PortfolioFrontier[[#This Row],[P109 Growth]])</f>
        <v>1.6327835279326679</v>
      </c>
      <c r="PV93" s="27">
        <f>PortfolioFrontier[[#This Row],[P109 Growth]]/PortfolioFrontier[[#This Row],[P109 HWM]]-1</f>
        <v>-0.11340850742332154</v>
      </c>
      <c r="PW93" s="28">
        <f>SUMPRODUCT(INDEX(PortfolioRef[[SPY]:[PE]],MATCH(PW$1,PortfolioRef[Reference '#]),0),AssetMonthlyReturns[[#This Row],[SPY]:[PE]])</f>
        <v>-2.340362514617866E-3</v>
      </c>
      <c r="PX93" s="27">
        <f>IF(ISNUMBER(PX92),PX92*(1+PortfolioFrontier[[#This Row],[P110 Return]]),1+PortfolioFrontier[[#This Row],[P110 Return]])</f>
        <v>1.4549465041226441</v>
      </c>
      <c r="PY93" s="27">
        <f>MAX(PY92,PortfolioFrontier[[#This Row],[P110 Growth]])</f>
        <v>1.6016185143364081</v>
      </c>
      <c r="PZ93" s="27">
        <f>PortfolioFrontier[[#This Row],[P110 Growth]]/PortfolioFrontier[[#This Row],[P110 HWM]]-1</f>
        <v>-9.157736933038263E-2</v>
      </c>
      <c r="QA93" s="28">
        <f>SUMPRODUCT(INDEX(PortfolioRef[[SPY]:[PE]],MATCH(QA$1,PortfolioRef[Reference '#]),0),AssetMonthlyReturns[[#This Row],[SPY]:[PE]])</f>
        <v>-1.0261356710174864E-3</v>
      </c>
      <c r="QB93" s="27">
        <f>IF(ISNUMBER(QB92),QB92*(1+PortfolioFrontier[[#This Row],[P111 Return]]),1+PortfolioFrontier[[#This Row],[P111 Return]])</f>
        <v>1.4613003933110267</v>
      </c>
      <c r="QC93" s="27">
        <f>MAX(QC92,PortfolioFrontier[[#This Row],[P111 Growth]])</f>
        <v>1.5703684845094485</v>
      </c>
      <c r="QD93" s="27">
        <f>PortfolioFrontier[[#This Row],[P111 Growth]]/PortfolioFrontier[[#This Row],[P111 HWM]]-1</f>
        <v>-6.9453820726982141E-2</v>
      </c>
      <c r="QE93" s="28">
        <f>SUMPRODUCT(INDEX(PortfolioRef[[SPY]:[PE]],MATCH(QE$1,PortfolioRef[Reference '#]),0),AssetMonthlyReturns[[#This Row],[SPY]:[PE]])</f>
        <v>-8.6826841412025839E-3</v>
      </c>
      <c r="QF93" s="27">
        <f>IF(ISNUMBER(QF92),QF92*(1+PortfolioFrontier[[#This Row],[P112 Return]]),1+PortfolioFrontier[[#This Row],[P112 Return]])</f>
        <v>1.4307908969024867</v>
      </c>
      <c r="QG93" s="27">
        <f>MAX(QG92,PortfolioFrontier[[#This Row],[P112 Growth]])</f>
        <v>1.6517386955477045</v>
      </c>
      <c r="QH93" s="27">
        <f>PortfolioFrontier[[#This Row],[P112 Growth]]/PortfolioFrontier[[#This Row],[P112 HWM]]-1</f>
        <v>-0.13376679933744184</v>
      </c>
      <c r="QI93" s="28">
        <f>SUMPRODUCT(INDEX(PortfolioRef[[SPY]:[PE]],MATCH(QI$1,PortfolioRef[Reference '#]),0),AssetMonthlyReturns[[#This Row],[SPY]:[PE]])</f>
        <v>-7.3684572976022034E-3</v>
      </c>
      <c r="QJ93" s="27">
        <f>IF(ISNUMBER(QJ92),QJ92*(1+PortfolioFrontier[[#This Row],[P113 Return]]),1+PortfolioFrontier[[#This Row],[P113 Return]])</f>
        <v>1.4388084362844884</v>
      </c>
      <c r="QK93" s="27">
        <f>MAX(QK92,PortfolioFrontier[[#This Row],[P113 Growth]])</f>
        <v>1.6207454292109018</v>
      </c>
      <c r="QL93" s="27">
        <f>PortfolioFrontier[[#This Row],[P113 Growth]]/PortfolioFrontier[[#This Row],[P113 HWM]]-1</f>
        <v>-0.11225513251331132</v>
      </c>
      <c r="QM93" s="28">
        <f>SUMPRODUCT(INDEX(PortfolioRef[[SPY]:[PE]],MATCH(QM$1,PortfolioRef[Reference '#]),0),AssetMonthlyReturns[[#This Row],[SPY]:[PE]])</f>
        <v>-6.0542304540018221E-3</v>
      </c>
      <c r="QN93" s="27">
        <f>IF(ISNUMBER(QN92),QN92*(1+PortfolioFrontier[[#This Row],[P114 Return]]),1+PortfolioFrontier[[#This Row],[P114 Return]])</f>
        <v>1.4458596824592544</v>
      </c>
      <c r="QO93" s="27">
        <f>MAX(QO92,PortfolioFrontier[[#This Row],[P114 Growth]])</f>
        <v>1.5896421022161857</v>
      </c>
      <c r="QP93" s="27">
        <f>PortfolioFrontier[[#This Row],[P114 Growth]]/PortfolioFrontier[[#This Row],[P114 HWM]]-1</f>
        <v>-9.0449554372319607E-2</v>
      </c>
      <c r="QQ93" s="28">
        <f>SUMPRODUCT(INDEX(PortfolioRef[[SPY]:[PE]],MATCH(QQ$1,PortfolioRef[Reference '#]),0),AssetMonthlyReturns[[#This Row],[SPY]:[PE]])</f>
        <v>8.1926286726381032E-4</v>
      </c>
      <c r="QR93" s="27">
        <f>IF(ISNUMBER(QR92),QR92*(1+PortfolioFrontier[[#This Row],[P115 Return]]),1+PortfolioFrontier[[#This Row],[P115 Return]])</f>
        <v>1.479259077323607</v>
      </c>
      <c r="QS93" s="27">
        <f>MAX(QS92,PortfolioFrontier[[#This Row],[P115 Growth]])</f>
        <v>1.6477351477866757</v>
      </c>
      <c r="QT93" s="27">
        <f>PortfolioFrontier[[#This Row],[P115 Growth]]/PortfolioFrontier[[#This Row],[P115 HWM]]-1</f>
        <v>-0.10224705753796337</v>
      </c>
      <c r="QU93" s="28">
        <f>SUMPRODUCT(INDEX(PortfolioRef[[SPY]:[PE]],MATCH(QU$1,PortfolioRef[Reference '#]),0),AssetMonthlyReturns[[#This Row],[SPY]:[PE]])</f>
        <v>2.133489710864191E-3</v>
      </c>
      <c r="QV93" s="27">
        <f>IF(ISNUMBER(QV92),QV92*(1+PortfolioFrontier[[#This Row],[P116 Return]]),1+PortfolioFrontier[[#This Row],[P116 Return]])</f>
        <v>1.4867854771493276</v>
      </c>
      <c r="QW93" s="27">
        <f>MAX(QW92,PortfolioFrontier[[#This Row],[P116 Growth]])</f>
        <v>1.6163470917094751</v>
      </c>
      <c r="QX93" s="27">
        <f>PortfolioFrontier[[#This Row],[P116 Growth]]/PortfolioFrontier[[#This Row],[P116 HWM]]-1</f>
        <v>-8.0157049945950076E-2</v>
      </c>
      <c r="QY93" s="28">
        <f>SUMPRODUCT(INDEX(PortfolioRef[[SPY]:[PE]],MATCH(QY$1,PortfolioRef[Reference '#]),0),AssetMonthlyReturns[[#This Row],[SPY]:[PE]])</f>
        <v>3.4477165544645706E-3</v>
      </c>
      <c r="QZ93" s="27">
        <f>IF(ISNUMBER(QZ92),QZ92*(1+PortfolioFrontier[[#This Row],[P117 Return]]),1+PortfolioFrontier[[#This Row],[P117 Return]])</f>
        <v>1.4933107836886181</v>
      </c>
      <c r="RA93" s="27">
        <f>MAX(RA92,PortfolioFrontier[[#This Row],[P117 Growth]])</f>
        <v>1.5848710929942145</v>
      </c>
      <c r="RB93" s="27">
        <f>PortfolioFrontier[[#This Row],[P117 Growth]]/PortfolioFrontier[[#This Row],[P117 HWM]]-1</f>
        <v>-5.7771455174071118E-2</v>
      </c>
      <c r="RC93" s="28">
        <f>SUMPRODUCT(INDEX(PortfolioRef[[SPY]:[PE]],MATCH(RC$1,PortfolioRef[Reference '#]),0),AssetMonthlyReturns[[#This Row],[SPY]:[PE]])</f>
        <v>-4.2088319157205295E-3</v>
      </c>
      <c r="RD93" s="27">
        <f>IF(ISNUMBER(RD92),RD92*(1+PortfolioFrontier[[#This Row],[P118 Return]]),1+PortfolioFrontier[[#This Row],[P118 Return]])</f>
        <v>1.4624391717559413</v>
      </c>
      <c r="RE93" s="27">
        <f>MAX(RE92,PortfolioFrontier[[#This Row],[P118 Growth]])</f>
        <v>1.667155293527623</v>
      </c>
      <c r="RF93" s="27">
        <f>PortfolioFrontier[[#This Row],[P118 Growth]]/PortfolioFrontier[[#This Row],[P118 HWM]]-1</f>
        <v>-0.12279367289085108</v>
      </c>
      <c r="RG93" s="28">
        <f>SUMPRODUCT(INDEX(PortfolioRef[[SPY]:[PE]],MATCH(RG$1,PortfolioRef[Reference '#]),0),AssetMonthlyReturns[[#This Row],[SPY]:[PE]])</f>
        <v>-2.8946050721201499E-3</v>
      </c>
      <c r="RH93" s="27">
        <f>IF(ISNUMBER(RH92),RH92*(1+PortfolioFrontier[[#This Row],[P119 Return]]),1+PortfolioFrontier[[#This Row],[P119 Return]])</f>
        <v>1.4706649168495096</v>
      </c>
      <c r="RI93" s="27">
        <f>MAX(RI92,PortfolioFrontier[[#This Row],[P119 Growth]])</f>
        <v>1.6359359857167841</v>
      </c>
      <c r="RJ93" s="27">
        <f>PortfolioFrontier[[#This Row],[P119 Growth]]/PortfolioFrontier[[#This Row],[P119 HWM]]-1</f>
        <v>-0.10102538871339828</v>
      </c>
      <c r="RK93" s="28">
        <f>SUMPRODUCT(INDEX(PortfolioRef[[SPY]:[PE]],MATCH(RK$1,PortfolioRef[Reference '#]),0),AssetMonthlyReturns[[#This Row],[SPY]:[PE]])</f>
        <v>-1.580378228519769E-3</v>
      </c>
      <c r="RL93" s="27">
        <f>IF(ISNUMBER(RL92),RL92*(1+PortfolioFrontier[[#This Row],[P120 Return]]),1+PortfolioFrontier[[#This Row],[P120 Return]])</f>
        <v>1.4779040003957953</v>
      </c>
      <c r="RM93" s="27">
        <f>MAX(RM92,PortfolioFrontier[[#This Row],[P120 Growth]])</f>
        <v>1.6046034567476111</v>
      </c>
      <c r="RN93" s="27">
        <f>PortfolioFrontier[[#This Row],[P120 Growth]]/PortfolioFrontier[[#This Row],[P120 HWM]]-1</f>
        <v>-7.8959979687831638E-2</v>
      </c>
      <c r="RO93" s="28">
        <f>SUMPRODUCT(INDEX(PortfolioRef[[SPY]:[PE]],MATCH(RO$1,PortfolioRef[Reference '#]),0),AssetMonthlyReturns[[#This Row],[SPY]:[PE]])</f>
        <v>-9.236926698704866E-3</v>
      </c>
      <c r="RP93" s="27">
        <f>IF(ISNUMBER(RP92),RP92*(1+PortfolioFrontier[[#This Row],[P121 Return]]),1+PortfolioFrontier[[#This Row],[P121 Return]])</f>
        <v>1.444709387744409</v>
      </c>
      <c r="RQ93" s="27">
        <f>MAX(RQ92,PortfolioFrontier[[#This Row],[P121 Growth]])</f>
        <v>1.6859132740659151</v>
      </c>
      <c r="RR93" s="27">
        <f>PortfolioFrontier[[#This Row],[P121 Growth]]/PortfolioFrontier[[#This Row],[P121 HWM]]-1</f>
        <v>-0.14307016264234929</v>
      </c>
      <c r="RS93" s="28">
        <f>SUMPRODUCT(INDEX(PortfolioRef[[SPY]:[PE]],MATCH(RS$1,PortfolioRef[Reference '#]),0),AssetMonthlyReturns[[#This Row],[SPY]:[PE]])</f>
        <v>-7.9226998551044855E-3</v>
      </c>
      <c r="RT93" s="27">
        <f>IF(ISNUMBER(RT92),RT92*(1+PortfolioFrontier[[#This Row],[P122 Return]]),1+PortfolioFrontier[[#This Row],[P122 Return]])</f>
        <v>1.4536153971167942</v>
      </c>
      <c r="RU93" s="27">
        <f>MAX(RU92,PortfolioFrontier[[#This Row],[P122 Growth]])</f>
        <v>1.6548910536150563</v>
      </c>
      <c r="RV93" s="27">
        <f>PortfolioFrontier[[#This Row],[P122 Growth]]/PortfolioFrontier[[#This Row],[P122 HWM]]-1</f>
        <v>-0.121624717263763</v>
      </c>
      <c r="RW93" s="28">
        <f>SUMPRODUCT(INDEX(PortfolioRef[[SPY]:[PE]],MATCH(RW$1,PortfolioRef[Reference '#]),0),AssetMonthlyReturns[[#This Row],[SPY]:[PE]])</f>
        <v>-6.608473011504106E-3</v>
      </c>
      <c r="RX93" s="27">
        <f>IF(ISNUMBER(RX92),RX92*(1+PortfolioFrontier[[#This Row],[P123 Return]]),1+PortfolioFrontier[[#This Row],[P123 Return]])</f>
        <v>1.4615503936472947</v>
      </c>
      <c r="RY93" s="27">
        <f>MAX(RY92,PortfolioFrontier[[#This Row],[P123 Growth]])</f>
        <v>1.6237298558231279</v>
      </c>
      <c r="RZ93" s="27">
        <f>PortfolioFrontier[[#This Row],[P123 Growth]]/PortfolioFrontier[[#This Row],[P123 HWM]]-1</f>
        <v>-9.9880815515102195E-2</v>
      </c>
      <c r="SA93" s="28">
        <f>SUMPRODUCT(INDEX(PortfolioRef[[SPY]:[PE]],MATCH(SA$1,PortfolioRef[Reference '#]),0),AssetMonthlyReturns[[#This Row],[SPY]:[PE]])</f>
        <v>2.6502030976152739E-4</v>
      </c>
      <c r="SB93" s="27">
        <f>IF(ISNUMBER(SB92),SB92*(1+PortfolioFrontier[[#This Row],[P124 Return]]),1+PortfolioFrontier[[#This Row],[P124 Return]])</f>
        <v>1.494384361323148</v>
      </c>
      <c r="SC93" s="27">
        <f>MAX(SC92,PortfolioFrontier[[#This Row],[P124 Growth]])</f>
        <v>1.6823821965094672</v>
      </c>
      <c r="SD93" s="27">
        <f>PortfolioFrontier[[#This Row],[P124 Growth]]/PortfolioFrontier[[#This Row],[P124 HWM]]-1</f>
        <v>-0.11174502177707824</v>
      </c>
      <c r="SE93" s="28">
        <f>SUMPRODUCT(INDEX(PortfolioRef[[SPY]:[PE]],MATCH(SE$1,PortfolioRef[Reference '#]),0),AssetMonthlyReturns[[#This Row],[SPY]:[PE]])</f>
        <v>1.5792471533619074E-3</v>
      </c>
      <c r="SF93" s="27">
        <f>IF(ISNUMBER(SF92),SF92*(1+PortfolioFrontier[[#This Row],[P125 Return]]),1+PortfolioFrontier[[#This Row],[P125 Return]])</f>
        <v>1.5028211629249888</v>
      </c>
      <c r="SG93" s="27">
        <f>MAX(SG92,PortfolioFrontier[[#This Row],[P125 Growth]])</f>
        <v>1.6509411354388694</v>
      </c>
      <c r="SH93" s="27">
        <f>PortfolioFrontier[[#This Row],[P125 Growth]]/PortfolioFrontier[[#This Row],[P125 HWM]]-1</f>
        <v>-8.9718506211007854E-2</v>
      </c>
      <c r="SI93" s="28">
        <f>SUMPRODUCT(INDEX(PortfolioRef[[SPY]:[PE]],MATCH(SI$1,PortfolioRef[Reference '#]),0),AssetMonthlyReturns[[#This Row],[SPY]:[PE]])</f>
        <v>2.893473996962288E-3</v>
      </c>
      <c r="SJ93" s="27">
        <f>IF(ISNUMBER(SJ92),SJ92*(1+PortfolioFrontier[[#This Row],[P126 Return]]),1+PortfolioFrontier[[#This Row],[P126 Return]])</f>
        <v>1.5102507646903975</v>
      </c>
      <c r="SK93" s="27">
        <f>MAX(SK92,PortfolioFrontier[[#This Row],[P126 Growth]])</f>
        <v>1.6193836797956254</v>
      </c>
      <c r="SL93" s="27">
        <f>PortfolioFrontier[[#This Row],[P126 Growth]]/PortfolioFrontier[[#This Row],[P126 HWM]]-1</f>
        <v>-6.7391635760464697E-2</v>
      </c>
      <c r="SM93" s="28">
        <f>SUMPRODUCT(INDEX(PortfolioRef[[SPY]:[PE]],MATCH(SM$1,PortfolioRef[Reference '#]),0),AssetMonthlyReturns[[#This Row],[SPY]:[PE]])</f>
        <v>-4.7630744732228116E-3</v>
      </c>
      <c r="SN93" s="27">
        <f>IF(ISNUMBER(SN92),SN92*(1+PortfolioFrontier[[#This Row],[P127 Return]]),1+PortfolioFrontier[[#This Row],[P127 Return]])</f>
        <v>1.4766398011665895</v>
      </c>
      <c r="SO93" s="27">
        <f>MAX(SO92,PortfolioFrontier[[#This Row],[P127 Growth]])</f>
        <v>1.7016086575400751</v>
      </c>
      <c r="SP93" s="27">
        <f>PortfolioFrontier[[#This Row],[P127 Growth]]/PortfolioFrontier[[#This Row],[P127 HWM]]-1</f>
        <v>-0.13220951561136918</v>
      </c>
      <c r="SQ93" s="28">
        <f>SUMPRODUCT(INDEX(PortfolioRef[[SPY]:[PE]],MATCH(SQ$1,PortfolioRef[Reference '#]),0),AssetMonthlyReturns[[#This Row],[SPY]:[PE]])</f>
        <v>-3.4488476296224329E-3</v>
      </c>
      <c r="SR93" s="27">
        <f>IF(ISNUMBER(SR92),SR92*(1+PortfolioFrontier[[#This Row],[P128 Return]]),1+PortfolioFrontier[[#This Row],[P128 Return]])</f>
        <v>1.4857733223842566</v>
      </c>
      <c r="SS93" s="27">
        <f>MAX(SS92,PortfolioFrontier[[#This Row],[P128 Growth]])</f>
        <v>1.6703618996398835</v>
      </c>
      <c r="ST93" s="27">
        <f>PortfolioFrontier[[#This Row],[P128 Growth]]/PortfolioFrontier[[#This Row],[P128 HWM]]-1</f>
        <v>-0.11050813437221163</v>
      </c>
      <c r="SU93" s="28">
        <f>SUMPRODUCT(INDEX(PortfolioRef[[SPY]:[PE]],MATCH(SU$1,PortfolioRef[Reference '#]),0),AssetMonthlyReturns[[#This Row],[SPY]:[PE]])</f>
        <v>-2.1346207860220528E-3</v>
      </c>
      <c r="SV93" s="27">
        <f>IF(ISNUMBER(SV92),SV92*(1+PortfolioFrontier[[#This Row],[P129 Return]]),1+PortfolioFrontier[[#This Row],[P129 Return]])</f>
        <v>1.4939154135892321</v>
      </c>
      <c r="SW93" s="27">
        <f>MAX(SW92,PortfolioFrontier[[#This Row],[P129 Growth]])</f>
        <v>1.6389727481356613</v>
      </c>
      <c r="SX93" s="27">
        <f>PortfolioFrontier[[#This Row],[P129 Growth]]/PortfolioFrontier[[#This Row],[P129 HWM]]-1</f>
        <v>-8.8505031405453516E-2</v>
      </c>
      <c r="SY93" s="28">
        <f>SUMPRODUCT(INDEX(PortfolioRef[[SPY]:[PE]],MATCH(SY$1,PortfolioRef[Reference '#]),0),AssetMonthlyReturns[[#This Row],[SPY]:[PE]])</f>
        <v>-9.7911692562071499E-3</v>
      </c>
      <c r="SZ93" s="27">
        <f>IF(ISNUMBER(SZ92),SZ92*(1+PortfolioFrontier[[#This Row],[P130 Return]]),1+PortfolioFrontier[[#This Row],[P130 Return]])</f>
        <v>1.4579909927509869</v>
      </c>
      <c r="TA93" s="27">
        <f>MAX(TA92,PortfolioFrontier[[#This Row],[P130 Growth]])</f>
        <v>1.720142179322633</v>
      </c>
      <c r="TB93" s="27">
        <f>PortfolioFrontier[[#This Row],[P130 Growth]]/PortfolioFrontier[[#This Row],[P130 HWM]]-1</f>
        <v>-0.15240088274265651</v>
      </c>
      <c r="TC93" s="28">
        <f>SUMPRODUCT(INDEX(PortfolioRef[[SPY]:[PE]],MATCH(TC$1,PortfolioRef[Reference '#]),0),AssetMonthlyReturns[[#This Row],[SPY]:[PE]])</f>
        <v>-8.4769424126067677E-3</v>
      </c>
      <c r="TD93" s="27">
        <f>IF(ISNUMBER(TD92),TD92*(1+PortfolioFrontier[[#This Row],[P131 Return]]),1+PortfolioFrontier[[#This Row],[P131 Return]])</f>
        <v>1.4678008142301744</v>
      </c>
      <c r="TE93" s="27">
        <f>MAX(TE92,PortfolioFrontier[[#This Row],[P131 Growth]])</f>
        <v>1.6891185966988822</v>
      </c>
      <c r="TF93" s="27">
        <f>PortfolioFrontier[[#This Row],[P131 Growth]]/PortfolioFrontier[[#This Row],[P131 HWM]]-1</f>
        <v>-0.13102560288024701</v>
      </c>
      <c r="TG93" s="28">
        <f>SUMPRODUCT(INDEX(PortfolioRef[[SPY]:[PE]],MATCH(TG$1,PortfolioRef[Reference '#]),0),AssetMonthlyReturns[[#This Row],[SPY]:[PE]])</f>
        <v>-7.1627155690063889E-3</v>
      </c>
      <c r="TH93" s="27">
        <f>IF(ISNUMBER(TH92),TH92*(1+PortfolioFrontier[[#This Row],[P132 Return]]),1+PortfolioFrontier[[#This Row],[P132 Return]])</f>
        <v>1.4766361802410899</v>
      </c>
      <c r="TI93" s="27">
        <f>MAX(TI92,PortfolioFrontier[[#This Row],[P132 Growth]])</f>
        <v>1.6579261593145806</v>
      </c>
      <c r="TJ93" s="27">
        <f>PortfolioFrontier[[#This Row],[P132 Growth]]/PortfolioFrontier[[#This Row],[P132 HWM]]-1</f>
        <v>-0.10934743869922381</v>
      </c>
      <c r="TK93" s="28">
        <f>SUMPRODUCT(INDEX(PortfolioRef[[SPY]:[PE]],MATCH(TK$1,PortfolioRef[Reference '#]),0),AssetMonthlyReturns[[#This Row],[SPY]:[PE]])</f>
        <v>-2.8922224774075299E-4</v>
      </c>
      <c r="TL93" s="27">
        <f>IF(ISNUMBER(TL92),TL92*(1+PortfolioFrontier[[#This Row],[P133 Return]]),1+PortfolioFrontier[[#This Row],[P133 Return]])</f>
        <v>1.5088693323542575</v>
      </c>
      <c r="TM93" s="27">
        <f>MAX(TM92,PortfolioFrontier[[#This Row],[P133 Growth]])</f>
        <v>1.7171102853087914</v>
      </c>
      <c r="TN93" s="27">
        <f>PortfolioFrontier[[#This Row],[P133 Growth]]/PortfolioFrontier[[#This Row],[P133 HWM]]-1</f>
        <v>-0.12127407000947843</v>
      </c>
      <c r="TO93" s="28">
        <f>SUMPRODUCT(INDEX(PortfolioRef[[SPY]:[PE]],MATCH(TO$1,PortfolioRef[Reference '#]),0),AssetMonthlyReturns[[#This Row],[SPY]:[PE]])</f>
        <v>1.0250045958596261E-3</v>
      </c>
      <c r="TP93" s="27">
        <f>IF(ISNUMBER(TP92),TP92*(1+PortfolioFrontier[[#This Row],[P134 Return]]),1+PortfolioFrontier[[#This Row],[P134 Return]])</f>
        <v>1.5182333951829221</v>
      </c>
      <c r="TQ93" s="27">
        <f>MAX(TQ92,PortfolioFrontier[[#This Row],[P134 Growth]])</f>
        <v>1.6856432974461595</v>
      </c>
      <c r="TR93" s="27">
        <f>PortfolioFrontier[[#This Row],[P134 Growth]]/PortfolioFrontier[[#This Row],[P134 HWM]]-1</f>
        <v>-9.9315141297611653E-2</v>
      </c>
      <c r="TS93" s="28">
        <f>SUMPRODUCT(INDEX(PortfolioRef[[SPY]:[PE]],MATCH(TS$1,PortfolioRef[Reference '#]),0),AssetMonthlyReturns[[#This Row],[SPY]:[PE]])</f>
        <v>2.3392314394600059E-3</v>
      </c>
      <c r="TT93" s="27">
        <f>IF(ISNUMBER(TT92),TT92*(1+PortfolioFrontier[[#This Row],[P135 Return]]),1+PortfolioFrontier[[#This Row],[P135 Return]])</f>
        <v>1.5265854417959162</v>
      </c>
      <c r="TU93" s="27">
        <f>MAX(TU92,PortfolioFrontier[[#This Row],[P135 Growth]])</f>
        <v>1.6540304901705998</v>
      </c>
      <c r="TV93" s="27">
        <f>PortfolioFrontier[[#This Row],[P135 Growth]]/PortfolioFrontier[[#This Row],[P135 HWM]]-1</f>
        <v>-7.7051208627682999E-2</v>
      </c>
      <c r="TW93" s="28">
        <f>SUMPRODUCT(INDEX(PortfolioRef[[SPY]:[PE]],MATCH(TW$1,PortfolioRef[Reference '#]),0),AssetMonthlyReturns[[#This Row],[SPY]:[PE]])</f>
        <v>-5.3173170307250937E-3</v>
      </c>
      <c r="TX93" s="27">
        <f>IF(ISNUMBER(TX92),TX92*(1+PortfolioFrontier[[#This Row],[P136 Return]]),1+PortfolioFrontier[[#This Row],[P136 Return]])</f>
        <v>1.4901894357225347</v>
      </c>
      <c r="TY93" s="27">
        <f>MAX(TY92,PortfolioFrontier[[#This Row],[P136 Growth]])</f>
        <v>1.7361155602147582</v>
      </c>
      <c r="TZ93" s="27">
        <f>PortfolioFrontier[[#This Row],[P136 Growth]]/PortfolioFrontier[[#This Row],[P136 HWM]]-1</f>
        <v>-0.14165308469546944</v>
      </c>
      <c r="UA93" s="28">
        <f>SUMPRODUCT(INDEX(PortfolioRef[[SPY]:[PE]],MATCH(UA$1,PortfolioRef[Reference '#]),0),AssetMonthlyReturns[[#This Row],[SPY]:[PE]])</f>
        <v>-4.0030901871247132E-3</v>
      </c>
      <c r="UB93" s="27">
        <f>IF(ISNUMBER(UB92),UB92*(1+PortfolioFrontier[[#This Row],[P137 Return]]),1+PortfolioFrontier[[#This Row],[P137 Return]])</f>
        <v>1.5002463627033096</v>
      </c>
      <c r="UC93" s="27">
        <f>MAX(UC92,PortfolioFrontier[[#This Row],[P137 Growth]])</f>
        <v>1.7048691873265751</v>
      </c>
      <c r="UD93" s="27">
        <f>PortfolioFrontier[[#This Row],[P137 Growth]]/PortfolioFrontier[[#This Row],[P137 HWM]]-1</f>
        <v>-0.12002259536647319</v>
      </c>
      <c r="UE93" s="28">
        <f>SUMPRODUCT(INDEX(PortfolioRef[[SPY]:[PE]],MATCH(UE$1,PortfolioRef[Reference '#]),0),AssetMonthlyReturns[[#This Row],[SPY]:[PE]])</f>
        <v>-2.6888633435243341E-3</v>
      </c>
      <c r="UF93" s="27">
        <f>IF(ISNUMBER(UF92),UF92*(1+PortfolioFrontier[[#This Row],[P138 Return]]),1+PortfolioFrontier[[#This Row],[P138 Return]])</f>
        <v>1.5093083956545561</v>
      </c>
      <c r="UG93" s="27">
        <f>MAX(UG92,PortfolioFrontier[[#This Row],[P138 Growth]])</f>
        <v>1.6734502822541619</v>
      </c>
      <c r="UH93" s="27">
        <f>PortfolioFrontier[[#This Row],[P138 Growth]]/PortfolioFrontier[[#This Row],[P138 HWM]]-1</f>
        <v>-9.8085905712420929E-2</v>
      </c>
      <c r="UI93" s="28">
        <f>SUMPRODUCT(INDEX(PortfolioRef[[SPY]:[PE]],MATCH(UI$1,PortfolioRef[Reference '#]),0),AssetMonthlyReturns[[#This Row],[SPY]:[PE]])</f>
        <v>-1.0345411813709432E-2</v>
      </c>
      <c r="UJ93" s="27">
        <f>IF(ISNUMBER(UJ92),UJ92*(1+PortfolioFrontier[[#This Row],[P139 Return]]),1+PortfolioFrontier[[#This Row],[P139 Return]])</f>
        <v>1.4706122845406706</v>
      </c>
      <c r="UK93" s="27">
        <f>MAX(UK92,PortfolioFrontier[[#This Row],[P139 Growth]])</f>
        <v>1.7543965710992384</v>
      </c>
      <c r="UL93" s="27">
        <f>PortfolioFrontier[[#This Row],[P139 Growth]]/PortfolioFrontier[[#This Row],[P139 HWM]]-1</f>
        <v>-0.16175606543779286</v>
      </c>
      <c r="UM93" s="28">
        <f>SUMPRODUCT(INDEX(PortfolioRef[[SPY]:[PE]],MATCH(UM$1,PortfolioRef[Reference '#]),0),AssetMonthlyReturns[[#This Row],[SPY]:[PE]])</f>
        <v>-9.0311849701090498E-3</v>
      </c>
      <c r="UN93" s="27">
        <f>IF(ISNUMBER(UN92),UN92*(1+PortfolioFrontier[[#This Row],[P140 Return]]),1+PortfolioFrontier[[#This Row],[P140 Return]])</f>
        <v>1.4813403118886874</v>
      </c>
      <c r="UO93" s="27">
        <f>MAX(UO92,PortfolioFrontier[[#This Row],[P140 Growth]])</f>
        <v>1.7234002022793458</v>
      </c>
      <c r="UP93" s="27">
        <f>PortfolioFrontier[[#This Row],[P140 Growth]]/PortfolioFrontier[[#This Row],[P140 HWM]]-1</f>
        <v>-0.14045483461735309</v>
      </c>
      <c r="UQ93" s="28">
        <f>SUMPRODUCT(INDEX(PortfolioRef[[SPY]:[PE]],MATCH(UQ$1,PortfolioRef[Reference '#]),0),AssetMonthlyReturns[[#This Row],[SPY]:[PE]])</f>
        <v>-7.7169581265086693E-3</v>
      </c>
      <c r="UR93" s="27">
        <f>IF(ISNUMBER(UR92),UR92*(1+PortfolioFrontier[[#This Row],[P141 Return]]),1+PortfolioFrontier[[#This Row],[P141 Return]])</f>
        <v>1.4910917568715329</v>
      </c>
      <c r="US93" s="27">
        <f>MAX(US92,PortfolioFrontier[[#This Row],[P141 Growth]])</f>
        <v>1.6922041432386774</v>
      </c>
      <c r="UT93" s="27">
        <f>PortfolioFrontier[[#This Row],[P141 Growth]]/PortfolioFrontier[[#This Row],[P141 HWM]]-1</f>
        <v>-0.11884640938311342</v>
      </c>
    </row>
    <row r="94" spans="2:566" x14ac:dyDescent="0.2">
      <c r="B94" s="41">
        <f>AssetMonthlyReturns[[#This Row],[Date]]</f>
        <v>45231</v>
      </c>
      <c r="C94" s="28">
        <f>SUMPRODUCT(INDEX(PortfolioRef[[SPY]:[PE]],MATCH(C$1,PortfolioRef[Reference '#]),0),AssetMonthlyReturns[[#This Row],[SPY]:[PE]])</f>
        <v>7.151519122921389E-2</v>
      </c>
      <c r="D94" s="29">
        <f>IF(ISNUMBER(D93),D93*(1+PortfolioFrontier[[#This Row],[P1 Return]]),1+PortfolioFrontier[[#This Row],[P1 Return]])</f>
        <v>1.9110492874376819</v>
      </c>
      <c r="E94" s="29">
        <f>MAX(E93,PortfolioFrontier[[#This Row],[P1 Growth]])</f>
        <v>1.9531239567566241</v>
      </c>
      <c r="F94" s="29">
        <f>PortfolioFrontier[[#This Row],[P1 Growth]]/PortfolioFrontier[[#This Row],[P1 HWM]]-1</f>
        <v>-2.1542242197884809E-2</v>
      </c>
      <c r="G94" s="28">
        <f>SUMPRODUCT(INDEX(PortfolioRef[[SPY]:[PE]],MATCH(G$1,PortfolioRef[Reference '#]),0),AssetMonthlyReturns[[#This Row],[SPY]:[PE]])</f>
        <v>6.923040272108609E-2</v>
      </c>
      <c r="H94" s="27">
        <f>IF(ISNUMBER(H93),H93*(1+PortfolioFrontier[[#This Row],[P2 Return]]),1+PortfolioFrontier[[#This Row],[P2 Return]])</f>
        <v>1.8304323544059946</v>
      </c>
      <c r="I94" s="27">
        <f>MAX(I93,PortfolioFrontier[[#This Row],[P2 Growth]])</f>
        <v>1.880902671218339</v>
      </c>
      <c r="J94" s="27">
        <f>PortfolioFrontier[[#This Row],[P2 Growth]]/PortfolioFrontier[[#This Row],[P2 HWM]]-1</f>
        <v>-2.6833029472839609E-2</v>
      </c>
      <c r="K94" s="28">
        <f>SUMPRODUCT(INDEX(PortfolioRef[[SPY]:[PE]],MATCH(K$1,PortfolioRef[Reference '#]),0),AssetMonthlyReturns[[#This Row],[SPY]:[PE]])</f>
        <v>6.821368760885714E-2</v>
      </c>
      <c r="L94" s="27">
        <f>IF(ISNUMBER(L93),L93*(1+PortfolioFrontier[[#This Row],[P3 Return]]),1+PortfolioFrontier[[#This Row],[P3 Return]])</f>
        <v>1.8691966663216666</v>
      </c>
      <c r="M94" s="27">
        <f>MAX(M93,PortfolioFrontier[[#This Row],[P3 Growth]])</f>
        <v>1.8984394560781046</v>
      </c>
      <c r="N94" s="27">
        <f>PortfolioFrontier[[#This Row],[P3 Growth]]/PortfolioFrontier[[#This Row],[P3 HWM]]-1</f>
        <v>-1.5403593547749672E-2</v>
      </c>
      <c r="O94" s="28">
        <f>SUMPRODUCT(INDEX(PortfolioRef[[SPY]:[PE]],MATCH(O$1,PortfolioRef[Reference '#]),0),AssetMonthlyReturns[[#This Row],[SPY]:[PE]])</f>
        <v>7.2988872164779048E-2</v>
      </c>
      <c r="P94" s="27">
        <f>IF(ISNUMBER(P93),P93*(1+PortfolioFrontier[[#This Row],[P4 Return]]),1+PortfolioFrontier[[#This Row],[P4 Return]])</f>
        <v>1.8541870047641846</v>
      </c>
      <c r="Q94" s="27">
        <f>MAX(Q93,PortfolioFrontier[[#This Row],[P4 Growth]])</f>
        <v>1.9193367929729268</v>
      </c>
      <c r="R94" s="27">
        <f>PortfolioFrontier[[#This Row],[P4 Growth]]/PortfolioFrontier[[#This Row],[P4 HWM]]-1</f>
        <v>-3.3943906273911084E-2</v>
      </c>
      <c r="S94" s="28">
        <f>SUMPRODUCT(INDEX(PortfolioRef[[SPY]:[PE]],MATCH(S$1,PortfolioRef[Reference '#]),0),AssetMonthlyReturns[[#This Row],[SPY]:[PE]])</f>
        <v>6.685589315698294E-2</v>
      </c>
      <c r="T94" s="27">
        <f>IF(ISNUMBER(T93),T93*(1+PortfolioFrontier[[#This Row],[P5 Return]]),1+PortfolioFrontier[[#This Row],[P5 Return]])</f>
        <v>1.8552016892246437</v>
      </c>
      <c r="U94" s="27">
        <f>MAX(U93,PortfolioFrontier[[#This Row],[P5 Growth]])</f>
        <v>1.8841834525169079</v>
      </c>
      <c r="V94" s="27">
        <f>PortfolioFrontier[[#This Row],[P5 Growth]]/PortfolioFrontier[[#This Row],[P5 HWM]]-1</f>
        <v>-1.5381603767695817E-2</v>
      </c>
      <c r="W94" s="28">
        <f>SUMPRODUCT(INDEX(PortfolioRef[[SPY]:[PE]],MATCH(W$1,PortfolioRef[Reference '#]),0),AssetMonthlyReturns[[#This Row],[SPY]:[PE]])</f>
        <v>6.694561421295829E-2</v>
      </c>
      <c r="X94" s="27">
        <f>IF(ISNUMBER(X93),X93*(1+PortfolioFrontier[[#This Row],[P6 Return]]),1+PortfolioFrontier[[#This Row],[P6 Return]])</f>
        <v>1.7524185996235691</v>
      </c>
      <c r="Y94" s="27">
        <f>MAX(Y93,PortfolioFrontier[[#This Row],[P6 Growth]])</f>
        <v>1.8107203423144032</v>
      </c>
      <c r="Z94" s="27">
        <f>PortfolioFrontier[[#This Row],[P6 Growth]]/PortfolioFrontier[[#This Row],[P6 HWM]]-1</f>
        <v>-3.2198093393215443E-2</v>
      </c>
      <c r="AA94" s="28">
        <f>SUMPRODUCT(INDEX(PortfolioRef[[SPY]:[PE]],MATCH(AA$1,PortfolioRef[Reference '#]),0),AssetMonthlyReturns[[#This Row],[SPY]:[PE]])</f>
        <v>6.5928899100729341E-2</v>
      </c>
      <c r="AB94" s="27">
        <f>IF(ISNUMBER(AB93),AB93*(1+PortfolioFrontier[[#This Row],[P7 Return]]),1+PortfolioFrontier[[#This Row],[P7 Return]])</f>
        <v>1.7895348701506919</v>
      </c>
      <c r="AC94" s="27">
        <f>MAX(AC93,PortfolioFrontier[[#This Row],[P7 Growth]])</f>
        <v>1.8276317298765399</v>
      </c>
      <c r="AD94" s="27">
        <f>PortfolioFrontier[[#This Row],[P7 Growth]]/PortfolioFrontier[[#This Row],[P7 HWM]]-1</f>
        <v>-2.0844932325847498E-2</v>
      </c>
      <c r="AE94" s="28">
        <f>SUMPRODUCT(INDEX(PortfolioRef[[SPY]:[PE]],MATCH(AE$1,PortfolioRef[Reference '#]),0),AssetMonthlyReturns[[#This Row],[SPY]:[PE]])</f>
        <v>7.0704083656651248E-2</v>
      </c>
      <c r="AF94" s="27">
        <f>IF(ISNUMBER(AF93),AF93*(1+PortfolioFrontier[[#This Row],[P8 Return]]),1+PortfolioFrontier[[#This Row],[P8 Return]])</f>
        <v>1.7758410982991211</v>
      </c>
      <c r="AG94" s="27">
        <f>MAX(AG93,PortfolioFrontier[[#This Row],[P8 Growth]])</f>
        <v>1.8482324314062795</v>
      </c>
      <c r="AH94" s="27">
        <f>PortfolioFrontier[[#This Row],[P8 Growth]]/PortfolioFrontier[[#This Row],[P8 HWM]]-1</f>
        <v>-3.9167872978009277E-2</v>
      </c>
      <c r="AI94" s="28">
        <f>SUMPRODUCT(INDEX(PortfolioRef[[SPY]:[PE]],MATCH(AI$1,PortfolioRef[Reference '#]),0),AssetMonthlyReturns[[#This Row],[SPY]:[PE]])</f>
        <v>6.457110464885514E-2</v>
      </c>
      <c r="AJ94" s="27">
        <f>IF(ISNUMBER(AJ93),AJ93*(1+PortfolioFrontier[[#This Row],[P9 Return]]),1+PortfolioFrontier[[#This Row],[P9 Return]])</f>
        <v>1.7761490870183161</v>
      </c>
      <c r="AK94" s="27">
        <f>MAX(AK93,PortfolioFrontier[[#This Row],[P9 Growth]])</f>
        <v>1.8139467261629987</v>
      </c>
      <c r="AL94" s="27">
        <f>PortfolioFrontier[[#This Row],[P9 Growth]]/PortfolioFrontier[[#This Row],[P9 HWM]]-1</f>
        <v>-2.0837237720114921E-2</v>
      </c>
      <c r="AM94" s="28">
        <f>SUMPRODUCT(INDEX(PortfolioRef[[SPY]:[PE]],MATCH(AM$1,PortfolioRef[Reference '#]),0),AssetMonthlyReturns[[#This Row],[SPY]:[PE]])</f>
        <v>6.4912183988500391E-2</v>
      </c>
      <c r="AN94" s="27">
        <f>IF(ISNUMBER(AN93),AN93*(1+PortfolioFrontier[[#This Row],[P10 Return]]),1+PortfolioFrontier[[#This Row],[P10 Return]])</f>
        <v>1.8269447472209355</v>
      </c>
      <c r="AO94" s="27">
        <f>MAX(AO93,PortfolioFrontier[[#This Row],[P10 Growth]])</f>
        <v>1.8443368551596837</v>
      </c>
      <c r="AP94" s="27">
        <f>PortfolioFrontier[[#This Row],[P10 Growth]]/PortfolioFrontier[[#This Row],[P10 HWM]]-1</f>
        <v>-9.4300061781514843E-3</v>
      </c>
      <c r="AQ94" s="28">
        <f>SUMPRODUCT(INDEX(PortfolioRef[[SPY]:[PE]],MATCH(AQ$1,PortfolioRef[Reference '#]),0),AssetMonthlyReturns[[#This Row],[SPY]:[PE]])</f>
        <v>6.9687368544422298E-2</v>
      </c>
      <c r="AR94" s="27">
        <f>IF(ISNUMBER(AR93),AR93*(1+PortfolioFrontier[[#This Row],[P11 Return]]),1+PortfolioFrontier[[#This Row],[P11 Return]])</f>
        <v>1.8134275189054672</v>
      </c>
      <c r="AS94" s="27">
        <f>MAX(AS93,PortfolioFrontier[[#This Row],[P11 Growth]])</f>
        <v>1.865449984246593</v>
      </c>
      <c r="AT94" s="27">
        <f>PortfolioFrontier[[#This Row],[P11 Growth]]/PortfolioFrontier[[#This Row],[P11 HWM]]-1</f>
        <v>-2.7887354676054965E-2</v>
      </c>
      <c r="AU94" s="28">
        <f>SUMPRODUCT(INDEX(PortfolioRef[[SPY]:[PE]],MATCH(AU$1,PortfolioRef[Reference '#]),0),AssetMonthlyReturns[[#This Row],[SPY]:[PE]])</f>
        <v>6.3554389536626191E-2</v>
      </c>
      <c r="AV94" s="27">
        <f>IF(ISNUMBER(AV93),AV93*(1+PortfolioFrontier[[#This Row],[P12 Return]]),1+PortfolioFrontier[[#This Row],[P12 Return]])</f>
        <v>1.813769843034482</v>
      </c>
      <c r="AW94" s="27">
        <f>MAX(AW93,PortfolioFrontier[[#This Row],[P12 Growth]])</f>
        <v>1.8309154354259589</v>
      </c>
      <c r="AX94" s="27">
        <f>PortfolioFrontier[[#This Row],[P12 Growth]]/PortfolioFrontier[[#This Row],[P12 HWM]]-1</f>
        <v>-9.3644916961924674E-3</v>
      </c>
      <c r="AY94" s="28">
        <f>SUMPRODUCT(INDEX(PortfolioRef[[SPY]:[PE]],MATCH(AY$1,PortfolioRef[Reference '#]),0),AssetMonthlyReturns[[#This Row],[SPY]:[PE]])</f>
        <v>7.4462553100344206E-2</v>
      </c>
      <c r="AZ94" s="27">
        <f>IF(ISNUMBER(AZ93),AZ93*(1+PortfolioFrontier[[#This Row],[P13 Return]]),1+PortfolioFrontier[[#This Row],[P13 Return]])</f>
        <v>1.798604425503294</v>
      </c>
      <c r="BA94" s="27">
        <f>MAX(BA93,PortfolioFrontier[[#This Row],[P13 Growth]])</f>
        <v>1.8858075751364967</v>
      </c>
      <c r="BB94" s="27">
        <f>PortfolioFrontier[[#This Row],[P13 Growth]]/PortfolioFrontier[[#This Row],[P13 HWM]]-1</f>
        <v>-4.6241806843357658E-2</v>
      </c>
      <c r="BC94" s="28">
        <f>SUMPRODUCT(INDEX(PortfolioRef[[SPY]:[PE]],MATCH(BC$1,PortfolioRef[Reference '#]),0),AssetMonthlyReturns[[#This Row],[SPY]:[PE]])</f>
        <v>6.8329574092548098E-2</v>
      </c>
      <c r="BD94" s="27">
        <f>IF(ISNUMBER(BD93),BD93*(1+PortfolioFrontier[[#This Row],[P14 Return]]),1+PortfolioFrontier[[#This Row],[P14 Return]])</f>
        <v>1.7999571740890277</v>
      </c>
      <c r="BE94" s="27">
        <f>MAX(BE93,PortfolioFrontier[[#This Row],[P14 Growth]])</f>
        <v>1.8515113734383843</v>
      </c>
      <c r="BF94" s="27">
        <f>PortfolioFrontier[[#This Row],[P14 Growth]]/PortfolioFrontier[[#This Row],[P14 HWM]]-1</f>
        <v>-2.7844387071529031E-2</v>
      </c>
      <c r="BG94" s="28">
        <f>SUMPRODUCT(INDEX(PortfolioRef[[SPY]:[PE]],MATCH(BG$1,PortfolioRef[Reference '#]),0),AssetMonthlyReturns[[#This Row],[SPY]:[PE]])</f>
        <v>6.2196595084751984E-2</v>
      </c>
      <c r="BH94" s="27">
        <f>IF(ISNUMBER(BH93),BH93*(1+PortfolioFrontier[[#This Row],[P15 Return]]),1+PortfolioFrontier[[#This Row],[P15 Return]])</f>
        <v>1.7999873357063469</v>
      </c>
      <c r="BI94" s="27">
        <f>MAX(BI93,PortfolioFrontier[[#This Row],[P15 Growth]])</f>
        <v>1.8170439473092146</v>
      </c>
      <c r="BJ94" s="27">
        <f>PortfolioFrontier[[#This Row],[P15 Growth]]/PortfolioFrontier[[#This Row],[P15 HWM]]-1</f>
        <v>-9.3870110451241828E-3</v>
      </c>
      <c r="BK94" s="28">
        <f>SUMPRODUCT(INDEX(PortfolioRef[[SPY]:[PE]],MATCH(BK$1,PortfolioRef[Reference '#]),0),AssetMonthlyReturns[[#This Row],[SPY]:[PE]])</f>
        <v>6.4660825704830491E-2</v>
      </c>
      <c r="BL94" s="27">
        <f>IF(ISNUMBER(BL93),BL93*(1+PortfolioFrontier[[#This Row],[P16 Return]]),1+PortfolioFrontier[[#This Row],[P16 Return]])</f>
        <v>1.6769667340829957</v>
      </c>
      <c r="BM94" s="27">
        <f>MAX(BM93,PortfolioFrontier[[#This Row],[P16 Growth]])</f>
        <v>1.7425494832470445</v>
      </c>
      <c r="BN94" s="27">
        <f>PortfolioFrontier[[#This Row],[P16 Growth]]/PortfolioFrontier[[#This Row],[P16 HWM]]-1</f>
        <v>-3.7636089990307098E-2</v>
      </c>
      <c r="BO94" s="28">
        <f>SUMPRODUCT(INDEX(PortfolioRef[[SPY]:[PE]],MATCH(BO$1,PortfolioRef[Reference '#]),0),AssetMonthlyReturns[[#This Row],[SPY]:[PE]])</f>
        <v>6.3644110592601541E-2</v>
      </c>
      <c r="BP94" s="27">
        <f>IF(ISNUMBER(BP93),BP93*(1+PortfolioFrontier[[#This Row],[P17 Return]]),1+PortfolioFrontier[[#This Row],[P17 Return]])</f>
        <v>1.7124893422553222</v>
      </c>
      <c r="BQ94" s="27">
        <f>MAX(BQ93,PortfolioFrontier[[#This Row],[P17 Growth]])</f>
        <v>1.7588525148836969</v>
      </c>
      <c r="BR94" s="27">
        <f>PortfolioFrontier[[#This Row],[P17 Growth]]/PortfolioFrontier[[#This Row],[P17 HWM]]-1</f>
        <v>-2.6359897851606084E-2</v>
      </c>
      <c r="BS94" s="28">
        <f>SUMPRODUCT(INDEX(PortfolioRef[[SPY]:[PE]],MATCH(BS$1,PortfolioRef[Reference '#]),0),AssetMonthlyReturns[[#This Row],[SPY]:[PE]])</f>
        <v>6.8419295148523449E-2</v>
      </c>
      <c r="BT94" s="27">
        <f>IF(ISNUMBER(BT93),BT93*(1+PortfolioFrontier[[#This Row],[P18 Return]]),1+PortfolioFrontier[[#This Row],[P18 Return]])</f>
        <v>1.7000308080561353</v>
      </c>
      <c r="BU94" s="27">
        <f>MAX(BU93,PortfolioFrontier[[#This Row],[P18 Growth]])</f>
        <v>1.7791407441475846</v>
      </c>
      <c r="BV94" s="27">
        <f>PortfolioFrontier[[#This Row],[P18 Growth]]/PortfolioFrontier[[#This Row],[P18 HWM]]-1</f>
        <v>-4.4465248942040403E-2</v>
      </c>
      <c r="BW94" s="28">
        <f>SUMPRODUCT(INDEX(PortfolioRef[[SPY]:[PE]],MATCH(BW$1,PortfolioRef[Reference '#]),0),AssetMonthlyReturns[[#This Row],[SPY]:[PE]])</f>
        <v>6.2286316140727341E-2</v>
      </c>
      <c r="BX94" s="27">
        <f>IF(ISNUMBER(BX93),BX93*(1+PortfolioFrontier[[#This Row],[P19 Return]]),1+PortfolioFrontier[[#This Row],[P19 Return]])</f>
        <v>1.6996915840808502</v>
      </c>
      <c r="BY94" s="27">
        <f>MAX(BY93,PortfolioFrontier[[#This Row],[P19 Growth]])</f>
        <v>1.7457196180719312</v>
      </c>
      <c r="BZ94" s="27">
        <f>PortfolioFrontier[[#This Row],[P19 Growth]]/PortfolioFrontier[[#This Row],[P19 HWM]]-1</f>
        <v>-2.6366223713471748E-2</v>
      </c>
      <c r="CA94" s="28">
        <f>SUMPRODUCT(INDEX(PortfolioRef[[SPY]:[PE]],MATCH(CA$1,PortfolioRef[Reference '#]),0),AssetMonthlyReturns[[#This Row],[SPY]:[PE]])</f>
        <v>6.2627395480372591E-2</v>
      </c>
      <c r="CB94" s="27">
        <f>IF(ISNUMBER(CB93),CB93*(1+PortfolioFrontier[[#This Row],[P20 Return]]),1+PortfolioFrontier[[#This Row],[P20 Return]])</f>
        <v>1.7482922410338708</v>
      </c>
      <c r="CC94" s="27">
        <f>MAX(CC93,PortfolioFrontier[[#This Row],[P20 Growth]])</f>
        <v>1.7749567522517573</v>
      </c>
      <c r="CD94" s="27">
        <f>PortfolioFrontier[[#This Row],[P20 Growth]]/PortfolioFrontier[[#This Row],[P20 HWM]]-1</f>
        <v>-1.5022625866269235E-2</v>
      </c>
      <c r="CE94" s="28">
        <f>SUMPRODUCT(INDEX(PortfolioRef[[SPY]:[PE]],MATCH(CE$1,PortfolioRef[Reference '#]),0),AssetMonthlyReturns[[#This Row],[SPY]:[PE]])</f>
        <v>6.7402580036294499E-2</v>
      </c>
      <c r="CF94" s="27">
        <f>IF(ISNUMBER(CF93),CF93*(1+PortfolioFrontier[[#This Row],[P21 Return]]),1+PortfolioFrontier[[#This Row],[P21 Return]])</f>
        <v>1.73601686965031</v>
      </c>
      <c r="CG94" s="27">
        <f>MAX(CG93,PortfolioFrontier[[#This Row],[P21 Growth]])</f>
        <v>1.795743356031652</v>
      </c>
      <c r="CH94" s="27">
        <f>PortfolioFrontier[[#This Row],[P21 Growth]]/PortfolioFrontier[[#This Row],[P21 HWM]]-1</f>
        <v>-3.3260034726415144E-2</v>
      </c>
      <c r="CI94" s="28">
        <f>SUMPRODUCT(INDEX(PortfolioRef[[SPY]:[PE]],MATCH(CI$1,PortfolioRef[Reference '#]),0),AssetMonthlyReturns[[#This Row],[SPY]:[PE]])</f>
        <v>6.1269601028498391E-2</v>
      </c>
      <c r="CJ94" s="27">
        <f>IF(ISNUMBER(CJ93),CJ93*(1+PortfolioFrontier[[#This Row],[P22 Return]]),1+PortfolioFrontier[[#This Row],[P22 Return]])</f>
        <v>1.7356974149799038</v>
      </c>
      <c r="CK94" s="27">
        <f>MAX(CK93,PortfolioFrontier[[#This Row],[P22 Growth]])</f>
        <v>1.7620784578443487</v>
      </c>
      <c r="CL94" s="27">
        <f>PortfolioFrontier[[#This Row],[P22 Growth]]/PortfolioFrontier[[#This Row],[P22 HWM]]-1</f>
        <v>-1.4971548370620424E-2</v>
      </c>
      <c r="CM94" s="28">
        <f>SUMPRODUCT(INDEX(PortfolioRef[[SPY]:[PE]],MATCH(CM$1,PortfolioRef[Reference '#]),0),AssetMonthlyReturns[[#This Row],[SPY]:[PE]])</f>
        <v>7.2177764592216406E-2</v>
      </c>
      <c r="CN94" s="27">
        <f>IF(ISNUMBER(CN93),CN93*(1+PortfolioFrontier[[#This Row],[P23 Return]]),1+PortfolioFrontier[[#This Row],[P23 Return]])</f>
        <v>1.7224831636555531</v>
      </c>
      <c r="CO94" s="27">
        <f>MAX(CO93,PortfolioFrontier[[#This Row],[P23 Growth]])</f>
        <v>1.8158151760868648</v>
      </c>
      <c r="CP94" s="27">
        <f>PortfolioFrontier[[#This Row],[P23 Growth]]/PortfolioFrontier[[#This Row],[P23 HWM]]-1</f>
        <v>-5.1399511172962487E-2</v>
      </c>
      <c r="CQ94" s="28">
        <f>SUMPRODUCT(INDEX(PortfolioRef[[SPY]:[PE]],MATCH(CQ$1,PortfolioRef[Reference '#]),0),AssetMonthlyReturns[[#This Row],[SPY]:[PE]])</f>
        <v>6.6044785584420299E-2</v>
      </c>
      <c r="CR94" s="27">
        <f>IF(ISNUMBER(CR93),CR93*(1+PortfolioFrontier[[#This Row],[P24 Return]]),1+PortfolioFrontier[[#This Row],[P24 Return]])</f>
        <v>1.7231336850734227</v>
      </c>
      <c r="CS94" s="27">
        <f>MAX(CS93,PortfolioFrontier[[#This Row],[P24 Growth]])</f>
        <v>1.7823638134718676</v>
      </c>
      <c r="CT94" s="27">
        <f>PortfolioFrontier[[#This Row],[P24 Growth]]/PortfolioFrontier[[#This Row],[P24 HWM]]-1</f>
        <v>-3.3231222464660815E-2</v>
      </c>
      <c r="CU94" s="28">
        <f>SUMPRODUCT(INDEX(PortfolioRef[[SPY]:[PE]],MATCH(CU$1,PortfolioRef[Reference '#]),0),AssetMonthlyReturns[[#This Row],[SPY]:[PE]])</f>
        <v>5.9911806576624184E-2</v>
      </c>
      <c r="CV94" s="27">
        <f>IF(ISNUMBER(CV93),CV93*(1+PortfolioFrontier[[#This Row],[P25 Return]]),1+PortfolioFrontier[[#This Row],[P25 Return]])</f>
        <v>1.7225200489586032</v>
      </c>
      <c r="CW94" s="27">
        <f>MAX(CW93,PortfolioFrontier[[#This Row],[P25 Growth]])</f>
        <v>1.7487656732120247</v>
      </c>
      <c r="CX94" s="27">
        <f>PortfolioFrontier[[#This Row],[P25 Growth]]/PortfolioFrontier[[#This Row],[P25 HWM]]-1</f>
        <v>-1.5008085220025613E-2</v>
      </c>
      <c r="CY94" s="28">
        <f>SUMPRODUCT(INDEX(PortfolioRef[[SPY]:[PE]],MATCH(CY$1,PortfolioRef[Reference '#]),0),AssetMonthlyReturns[[#This Row],[SPY]:[PE]])</f>
        <v>6.6385864924065549E-2</v>
      </c>
      <c r="CZ94" s="27">
        <f>IF(ISNUMBER(CZ93),CZ93*(1+PortfolioFrontier[[#This Row],[P26 Return]]),1+PortfolioFrontier[[#This Row],[P26 Return]])</f>
        <v>1.7722865604512854</v>
      </c>
      <c r="DA94" s="27">
        <f>MAX(DA93,PortfolioFrontier[[#This Row],[P26 Growth]])</f>
        <v>1.8121428498945955</v>
      </c>
      <c r="DB94" s="27">
        <f>PortfolioFrontier[[#This Row],[P26 Growth]]/PortfolioFrontier[[#This Row],[P26 HWM]]-1</f>
        <v>-2.1994010817430021E-2</v>
      </c>
      <c r="DC94" s="28">
        <f>SUMPRODUCT(INDEX(PortfolioRef[[SPY]:[PE]],MATCH(DC$1,PortfolioRef[Reference '#]),0),AssetMonthlyReturns[[#This Row],[SPY]:[PE]])</f>
        <v>6.0252885916269441E-2</v>
      </c>
      <c r="DD94" s="27">
        <f>IF(ISNUMBER(DD93),DD93*(1+PortfolioFrontier[[#This Row],[P27 Return]]),1+PortfolioFrontier[[#This Row],[P27 Return]])</f>
        <v>1.7719877356703424</v>
      </c>
      <c r="DE94" s="27">
        <f>MAX(DE93,PortfolioFrontier[[#This Row],[P27 Growth]])</f>
        <v>1.7782387807323972</v>
      </c>
      <c r="DF94" s="27">
        <f>PortfolioFrontier[[#This Row],[P27 Growth]]/PortfolioFrontier[[#This Row],[P27 HWM]]-1</f>
        <v>-3.5153012800003269E-3</v>
      </c>
      <c r="DG94" s="28">
        <f>SUMPRODUCT(INDEX(PortfolioRef[[SPY]:[PE]],MATCH(DG$1,PortfolioRef[Reference '#]),0),AssetMonthlyReturns[[#This Row],[SPY]:[PE]])</f>
        <v>7.1161049479987457E-2</v>
      </c>
      <c r="DH94" s="27">
        <f>IF(ISNUMBER(DH93),DH93*(1+PortfolioFrontier[[#This Row],[P28 Return]]),1+PortfolioFrontier[[#This Row],[P28 Return]])</f>
        <v>1.7589195530677866</v>
      </c>
      <c r="DI94" s="27">
        <f>MAX(DI93,PortfolioFrontier[[#This Row],[P28 Growth]])</f>
        <v>1.8327167417336543</v>
      </c>
      <c r="DJ94" s="27">
        <f>PortfolioFrontier[[#This Row],[P28 Growth]]/PortfolioFrontier[[#This Row],[P28 HWM]]-1</f>
        <v>-4.0266554555538958E-2</v>
      </c>
      <c r="DK94" s="28">
        <f>SUMPRODUCT(INDEX(PortfolioRef[[SPY]:[PE]],MATCH(DK$1,PortfolioRef[Reference '#]),0),AssetMonthlyReturns[[#This Row],[SPY]:[PE]])</f>
        <v>6.5028070472191349E-2</v>
      </c>
      <c r="DL94" s="27">
        <f>IF(ISNUMBER(DL93),DL93*(1+PortfolioFrontier[[#This Row],[P29 Return]]),1+PortfolioFrontier[[#This Row],[P29 Return]])</f>
        <v>1.7596106228758108</v>
      </c>
      <c r="DM94" s="27">
        <f>MAX(DM93,PortfolioFrontier[[#This Row],[P29 Growth]])</f>
        <v>1.7990232294645383</v>
      </c>
      <c r="DN94" s="27">
        <f>PortfolioFrontier[[#This Row],[P29 Growth]]/PortfolioFrontier[[#This Row],[P29 HWM]]-1</f>
        <v>-2.1907780813068323E-2</v>
      </c>
      <c r="DO94" s="28">
        <f>SUMPRODUCT(INDEX(PortfolioRef[[SPY]:[PE]],MATCH(DO$1,PortfolioRef[Reference '#]),0),AssetMonthlyReturns[[#This Row],[SPY]:[PE]])</f>
        <v>5.8895091464395234E-2</v>
      </c>
      <c r="DP94" s="27">
        <f>IF(ISNUMBER(DP93),DP93*(1+PortfolioFrontier[[#This Row],[P30 Return]]),1+PortfolioFrontier[[#This Row],[P30 Return]])</f>
        <v>1.7590115030531175</v>
      </c>
      <c r="DQ94" s="27">
        <f>MAX(DQ93,PortfolioFrontier[[#This Row],[P30 Growth]])</f>
        <v>1.7651792866223672</v>
      </c>
      <c r="DR94" s="27">
        <f>PortfolioFrontier[[#This Row],[P30 Growth]]/PortfolioFrontier[[#This Row],[P30 HWM]]-1</f>
        <v>-3.4941400094556929E-3</v>
      </c>
      <c r="DS94" s="28">
        <f>SUMPRODUCT(INDEX(PortfolioRef[[SPY]:[PE]],MATCH(DS$1,PortfolioRef[Reference '#]),0),AssetMonthlyReturns[[#This Row],[SPY]:[PE]])</f>
        <v>7.5936234035909364E-2</v>
      </c>
      <c r="DT94" s="27">
        <f>IF(ISNUMBER(DT93),DT93*(1+PortfolioFrontier[[#This Row],[P31 Return]]),1+PortfolioFrontier[[#This Row],[P31 Return]])</f>
        <v>1.7442876156319524</v>
      </c>
      <c r="DU94" s="27">
        <f>MAX(DU93,PortfolioFrontier[[#This Row],[P31 Growth]])</f>
        <v>1.8525428026208837</v>
      </c>
      <c r="DV94" s="27">
        <f>PortfolioFrontier[[#This Row],[P31 Growth]]/PortfolioFrontier[[#This Row],[P31 HWM]]-1</f>
        <v>-5.8435997719338717E-2</v>
      </c>
      <c r="DW94" s="28">
        <f>SUMPRODUCT(INDEX(PortfolioRef[[SPY]:[PE]],MATCH(DW$1,PortfolioRef[Reference '#]),0),AssetMonthlyReturns[[#This Row],[SPY]:[PE]])</f>
        <v>6.9803255028113256E-2</v>
      </c>
      <c r="DX94" s="27">
        <f>IF(ISNUMBER(DX93),DX93*(1+PortfolioFrontier[[#This Row],[P32 Return]]),1+PortfolioFrontier[[#This Row],[P32 Return]])</f>
        <v>1.7459577434601945</v>
      </c>
      <c r="DY94" s="27">
        <f>MAX(DY93,PortfolioFrontier[[#This Row],[P32 Growth]])</f>
        <v>1.8190908915066115</v>
      </c>
      <c r="DZ94" s="27">
        <f>PortfolioFrontier[[#This Row],[P32 Growth]]/PortfolioFrontier[[#This Row],[P32 HWM]]-1</f>
        <v>-4.020313024922384E-2</v>
      </c>
      <c r="EA94" s="28">
        <f>SUMPRODUCT(INDEX(PortfolioRef[[SPY]:[PE]],MATCH(EA$1,PortfolioRef[Reference '#]),0),AssetMonthlyReturns[[#This Row],[SPY]:[PE]])</f>
        <v>6.3670276020317135E-2</v>
      </c>
      <c r="EB94" s="27">
        <f>IF(ISNUMBER(EB93),EB93*(1+PortfolioFrontier[[#This Row],[P33 Return]]),1+PortfolioFrontier[[#This Row],[P33 Return]])</f>
        <v>1.7463433157196202</v>
      </c>
      <c r="EC94" s="27">
        <f>MAX(EC93,PortfolioFrontier[[#This Row],[P33 Growth]])</f>
        <v>1.7854600976944932</v>
      </c>
      <c r="ED94" s="27">
        <f>PortfolioFrontier[[#This Row],[P33 Growth]]/PortfolioFrontier[[#This Row],[P33 HWM]]-1</f>
        <v>-2.1908516480084406E-2</v>
      </c>
      <c r="EE94" s="28">
        <f>SUMPRODUCT(INDEX(PortfolioRef[[SPY]:[PE]],MATCH(EE$1,PortfolioRef[Reference '#]),0),AssetMonthlyReturns[[#This Row],[SPY]:[PE]])</f>
        <v>6.2376037196702691E-2</v>
      </c>
      <c r="EF94" s="27">
        <f>IF(ISNUMBER(EF93),EF93*(1+PortfolioFrontier[[#This Row],[P34 Return]]),1+PortfolioFrontier[[#This Row],[P34 Return]])</f>
        <v>1.6040337151920456</v>
      </c>
      <c r="EG94" s="27">
        <f>MAX(EG93,PortfolioFrontier[[#This Row],[P34 Growth]])</f>
        <v>1.6763614413137211</v>
      </c>
      <c r="EH94" s="27">
        <f>PortfolioFrontier[[#This Row],[P34 Growth]]/PortfolioFrontier[[#This Row],[P34 HWM]]-1</f>
        <v>-4.3145663184064986E-2</v>
      </c>
      <c r="EI94" s="28">
        <f>SUMPRODUCT(INDEX(PortfolioRef[[SPY]:[PE]],MATCH(EI$1,PortfolioRef[Reference '#]),0),AssetMonthlyReturns[[#This Row],[SPY]:[PE]])</f>
        <v>6.1359322084473741E-2</v>
      </c>
      <c r="EJ94" s="27">
        <f>IF(ISNUMBER(EJ93),EJ93*(1+PortfolioFrontier[[#This Row],[P35 Return]]),1+PortfolioFrontier[[#This Row],[P35 Return]])</f>
        <v>1.638016082630654</v>
      </c>
      <c r="EK94" s="27">
        <f>MAX(EK93,PortfolioFrontier[[#This Row],[P35 Growth]])</f>
        <v>1.6920729334369538</v>
      </c>
      <c r="EL94" s="27">
        <f>PortfolioFrontier[[#This Row],[P35 Growth]]/PortfolioFrontier[[#This Row],[P35 HWM]]-1</f>
        <v>-3.1947116308100876E-2</v>
      </c>
      <c r="EM94" s="28">
        <f>SUMPRODUCT(INDEX(PortfolioRef[[SPY]:[PE]],MATCH(EM$1,PortfolioRef[Reference '#]),0),AssetMonthlyReturns[[#This Row],[SPY]:[PE]])</f>
        <v>6.6134506640395649E-2</v>
      </c>
      <c r="EN94" s="27">
        <f>IF(ISNUMBER(EN93),EN93*(1+PortfolioFrontier[[#This Row],[P36 Return]]),1+PortfolioFrontier[[#This Row],[P36 Return]])</f>
        <v>1.6267156640676528</v>
      </c>
      <c r="EO94" s="27">
        <f>MAX(EO93,PortfolioFrontier[[#This Row],[P36 Growth]])</f>
        <v>1.7120343963250326</v>
      </c>
      <c r="EP94" s="27">
        <f>PortfolioFrontier[[#This Row],[P36 Growth]]/PortfolioFrontier[[#This Row],[P36 HWM]]-1</f>
        <v>-4.9834706849652521E-2</v>
      </c>
      <c r="EQ94" s="28">
        <f>SUMPRODUCT(INDEX(PortfolioRef[[SPY]:[PE]],MATCH(EQ$1,PortfolioRef[Reference '#]),0),AssetMonthlyReturns[[#This Row],[SPY]:[PE]])</f>
        <v>6.0001527632599541E-2</v>
      </c>
      <c r="ER94" s="27">
        <f>IF(ISNUMBER(ER93),ER93*(1+PortfolioFrontier[[#This Row],[P37 Return]]),1+PortfolioFrontier[[#This Row],[P37 Return]])</f>
        <v>1.6257856321370983</v>
      </c>
      <c r="ES94" s="27">
        <f>MAX(ES93,PortfolioFrontier[[#This Row],[P37 Growth]])</f>
        <v>1.6794736802569215</v>
      </c>
      <c r="ET94" s="27">
        <f>PortfolioFrontier[[#This Row],[P37 Growth]]/PortfolioFrontier[[#This Row],[P37 HWM]]-1</f>
        <v>-3.1967186357817812E-2</v>
      </c>
      <c r="EU94" s="28">
        <f>SUMPRODUCT(INDEX(PortfolioRef[[SPY]:[PE]],MATCH(EU$1,PortfolioRef[Reference '#]),0),AssetMonthlyReturns[[#This Row],[SPY]:[PE]])</f>
        <v>6.0342606972244792E-2</v>
      </c>
      <c r="EV94" s="27">
        <f>IF(ISNUMBER(EV93),EV93*(1+PortfolioFrontier[[#This Row],[P38 Return]]),1+PortfolioFrontier[[#This Row],[P38 Return]])</f>
        <v>1.672265911901383</v>
      </c>
      <c r="EW94" s="27">
        <f>MAX(EW93,PortfolioFrontier[[#This Row],[P38 Growth]])</f>
        <v>1.7075928941250238</v>
      </c>
      <c r="EX94" s="27">
        <f>PortfolioFrontier[[#This Row],[P38 Growth]]/PortfolioFrontier[[#This Row],[P38 HWM]]-1</f>
        <v>-2.068817593770933E-2</v>
      </c>
      <c r="EY94" s="28">
        <f>SUMPRODUCT(INDEX(PortfolioRef[[SPY]:[PE]],MATCH(EY$1,PortfolioRef[Reference '#]),0),AssetMonthlyReturns[[#This Row],[SPY]:[PE]])</f>
        <v>6.5117791528166699E-2</v>
      </c>
      <c r="EZ94" s="27">
        <f>IF(ISNUMBER(EZ93),EZ93*(1+PortfolioFrontier[[#This Row],[P39 Return]]),1+PortfolioFrontier[[#This Row],[P39 Return]])</f>
        <v>1.661154279761456</v>
      </c>
      <c r="FA94" s="27">
        <f>MAX(FA93,PortfolioFrontier[[#This Row],[P39 Growth]])</f>
        <v>1.7280388577532122</v>
      </c>
      <c r="FB94" s="27">
        <f>PortfolioFrontier[[#This Row],[P39 Growth]]/PortfolioFrontier[[#This Row],[P39 HWM]]-1</f>
        <v>-3.8705482629435295E-2</v>
      </c>
      <c r="FC94" s="28">
        <f>SUMPRODUCT(INDEX(PortfolioRef[[SPY]:[PE]],MATCH(FC$1,PortfolioRef[Reference '#]),0),AssetMonthlyReturns[[#This Row],[SPY]:[PE]])</f>
        <v>5.8984812520370591E-2</v>
      </c>
      <c r="FD94" s="27">
        <f>IF(ISNUMBER(FD93),FD93*(1+PortfolioFrontier[[#This Row],[P40 Return]]),1+PortfolioFrontier[[#This Row],[P40 Return]])</f>
        <v>1.6602306520889654</v>
      </c>
      <c r="FE94" s="27">
        <f>MAX(FE93,PortfolioFrontier[[#This Row],[P40 Growth]])</f>
        <v>1.6952394830468527</v>
      </c>
      <c r="FF94" s="27">
        <f>PortfolioFrontier[[#This Row],[P40 Growth]]/PortfolioFrontier[[#This Row],[P40 HWM]]-1</f>
        <v>-2.0651259782462073E-2</v>
      </c>
      <c r="FG94" s="28">
        <f>SUMPRODUCT(INDEX(PortfolioRef[[SPY]:[PE]],MATCH(FG$1,PortfolioRef[Reference '#]),0),AssetMonthlyReturns[[#This Row],[SPY]:[PE]])</f>
        <v>6.9892976084088607E-2</v>
      </c>
      <c r="FH94" s="27">
        <f>IF(ISNUMBER(FH93),FH93*(1+PortfolioFrontier[[#This Row],[P41 Return]]),1+PortfolioFrontier[[#This Row],[P41 Return]])</f>
        <v>1.6488311079984239</v>
      </c>
      <c r="FI94" s="27">
        <f>MAX(FI93,PortfolioFrontier[[#This Row],[P41 Growth]])</f>
        <v>1.7478091274239449</v>
      </c>
      <c r="FJ94" s="27">
        <f>PortfolioFrontier[[#This Row],[P41 Growth]]/PortfolioFrontier[[#This Row],[P41 HWM]]-1</f>
        <v>-5.662976458499358E-2</v>
      </c>
      <c r="FK94" s="28">
        <f>SUMPRODUCT(INDEX(PortfolioRef[[SPY]:[PE]],MATCH(FK$1,PortfolioRef[Reference '#]),0),AssetMonthlyReturns[[#This Row],[SPY]:[PE]])</f>
        <v>6.3759997076292499E-2</v>
      </c>
      <c r="FL94" s="27">
        <f>IF(ISNUMBER(FL93),FL93*(1+PortfolioFrontier[[#This Row],[P42 Return]]),1+PortfolioFrontier[[#This Row],[P42 Return]])</f>
        <v>1.6488378160514263</v>
      </c>
      <c r="FM94" s="27">
        <f>MAX(FM93,PortfolioFrontier[[#This Row],[P42 Growth]])</f>
        <v>1.7151998522045959</v>
      </c>
      <c r="FN94" s="27">
        <f>PortfolioFrontier[[#This Row],[P42 Growth]]/PortfolioFrontier[[#This Row],[P42 HWM]]-1</f>
        <v>-3.8690556128414211E-2</v>
      </c>
      <c r="FO94" s="28">
        <f>SUMPRODUCT(INDEX(PortfolioRef[[SPY]:[PE]],MATCH(FO$1,PortfolioRef[Reference '#]),0),AssetMonthlyReturns[[#This Row],[SPY]:[PE]])</f>
        <v>5.7627018068496384E-2</v>
      </c>
      <c r="FP94" s="27">
        <f>IF(ISNUMBER(FP93),FP93*(1+PortfolioFrontier[[#This Row],[P43 Return]]),1+PortfolioFrontier[[#This Row],[P43 Return]])</f>
        <v>1.6476371226398505</v>
      </c>
      <c r="FQ94" s="27">
        <f>MAX(FQ93,PortfolioFrontier[[#This Row],[P43 Growth]])</f>
        <v>1.6824667632825669</v>
      </c>
      <c r="FR94" s="27">
        <f>PortfolioFrontier[[#This Row],[P43 Growth]]/PortfolioFrontier[[#This Row],[P43 HWM]]-1</f>
        <v>-2.0701532655992727E-2</v>
      </c>
      <c r="FS94" s="28">
        <f>SUMPRODUCT(INDEX(PortfolioRef[[SPY]:[PE]],MATCH(FS$1,PortfolioRef[Reference '#]),0),AssetMonthlyReturns[[#This Row],[SPY]:[PE]])</f>
        <v>6.4101076415937749E-2</v>
      </c>
      <c r="FT94" s="27">
        <f>IF(ISNUMBER(FT93),FT93*(1+PortfolioFrontier[[#This Row],[P44 Return]]),1+PortfolioFrontier[[#This Row],[P44 Return]])</f>
        <v>1.6958636426808575</v>
      </c>
      <c r="FU94" s="27">
        <f>MAX(FU93,PortfolioFrontier[[#This Row],[P44 Growth]])</f>
        <v>1.7438475694471607</v>
      </c>
      <c r="FV94" s="27">
        <f>PortfolioFrontier[[#This Row],[P44 Growth]]/PortfolioFrontier[[#This Row],[P44 HWM]]-1</f>
        <v>-2.7516124463513258E-2</v>
      </c>
      <c r="FW94" s="28">
        <f>SUMPRODUCT(INDEX(PortfolioRef[[SPY]:[PE]],MATCH(FW$1,PortfolioRef[Reference '#]),0),AssetMonthlyReturns[[#This Row],[SPY]:[PE]])</f>
        <v>5.7968097408141642E-2</v>
      </c>
      <c r="FX94" s="27">
        <f>IF(ISNUMBER(FX93),FX93*(1+PortfolioFrontier[[#This Row],[P45 Return]]),1+PortfolioFrontier[[#This Row],[P45 Return]])</f>
        <v>1.6949471476391891</v>
      </c>
      <c r="FY94" s="27">
        <f>MAX(FY93,PortfolioFrontier[[#This Row],[P45 Growth]])</f>
        <v>1.7108140158896465</v>
      </c>
      <c r="FZ94" s="27">
        <f>PortfolioFrontier[[#This Row],[P45 Growth]]/PortfolioFrontier[[#This Row],[P45 HWM]]-1</f>
        <v>-9.2744553780186312E-3</v>
      </c>
      <c r="GA94" s="28">
        <f>SUMPRODUCT(INDEX(PortfolioRef[[SPY]:[PE]],MATCH(GA$1,PortfolioRef[Reference '#]),0),AssetMonthlyReturns[[#This Row],[SPY]:[PE]])</f>
        <v>6.8876260971859657E-2</v>
      </c>
      <c r="GB94" s="27">
        <f>IF(ISNUMBER(GB93),GB93*(1+PortfolioFrontier[[#This Row],[P46 Return]]),1+PortfolioFrontier[[#This Row],[P46 Return]])</f>
        <v>1.6837137824633126</v>
      </c>
      <c r="GC94" s="27">
        <f>MAX(GC93,PortfolioFrontier[[#This Row],[P46 Growth]])</f>
        <v>1.7641061270089846</v>
      </c>
      <c r="GD94" s="27">
        <f>PortfolioFrontier[[#This Row],[P46 Growth]]/PortfolioFrontier[[#This Row],[P46 HWM]]-1</f>
        <v>-4.5571149782227649E-2</v>
      </c>
      <c r="GE94" s="28">
        <f>SUMPRODUCT(INDEX(PortfolioRef[[SPY]:[PE]],MATCH(GE$1,PortfolioRef[Reference '#]),0),AssetMonthlyReturns[[#This Row],[SPY]:[PE]])</f>
        <v>6.2743281964063549E-2</v>
      </c>
      <c r="GF94" s="27">
        <f>IF(ISNUMBER(GF93),GF93*(1+PortfolioFrontier[[#This Row],[P47 Return]]),1+PortfolioFrontier[[#This Row],[P47 Return]])</f>
        <v>1.6837465862029586</v>
      </c>
      <c r="GG94" s="27">
        <f>MAX(GG93,PortfolioFrontier[[#This Row],[P47 Growth]])</f>
        <v>1.7312596087544752</v>
      </c>
      <c r="GH94" s="27">
        <f>PortfolioFrontier[[#This Row],[P47 Growth]]/PortfolioFrontier[[#This Row],[P47 HWM]]-1</f>
        <v>-2.7444192835815673E-2</v>
      </c>
      <c r="GI94" s="28">
        <f>SUMPRODUCT(INDEX(PortfolioRef[[SPY]:[PE]],MATCH(GI$1,PortfolioRef[Reference '#]),0),AssetMonthlyReturns[[#This Row],[SPY]:[PE]])</f>
        <v>5.6610302956267435E-2</v>
      </c>
      <c r="GJ94" s="27">
        <f>IF(ISNUMBER(GJ93),GJ93*(1+PortfolioFrontier[[#This Row],[P48 Return]]),1+PortfolioFrontier[[#This Row],[P48 Return]])</f>
        <v>1.6825471023926324</v>
      </c>
      <c r="GK94" s="27">
        <f>MAX(GK93,PortfolioFrontier[[#This Row],[P48 Growth]])</f>
        <v>1.6982858835097865</v>
      </c>
      <c r="GL94" s="27">
        <f>PortfolioFrontier[[#This Row],[P48 Growth]]/PortfolioFrontier[[#This Row],[P48 HWM]]-1</f>
        <v>-9.2674509456719401E-3</v>
      </c>
      <c r="GM94" s="28">
        <f>SUMPRODUCT(INDEX(PortfolioRef[[SPY]:[PE]],MATCH(GM$1,PortfolioRef[Reference '#]),0),AssetMonthlyReturns[[#This Row],[SPY]:[PE]])</f>
        <v>7.3651445527781564E-2</v>
      </c>
      <c r="GN94" s="27">
        <f>IF(ISNUMBER(GN93),GN93*(1+PortfolioFrontier[[#This Row],[P49 Return]]),1+PortfolioFrontier[[#This Row],[P49 Return]])</f>
        <v>1.6703449426507879</v>
      </c>
      <c r="GO94" s="27">
        <f>MAX(GO93,PortfolioFrontier[[#This Row],[P49 Growth]])</f>
        <v>1.7836571071341945</v>
      </c>
      <c r="GP94" s="27">
        <f>PortfolioFrontier[[#This Row],[P49 Growth]]/PortfolioFrontier[[#This Row],[P49 HWM]]-1</f>
        <v>-6.3527997634851174E-2</v>
      </c>
      <c r="GQ94" s="28">
        <f>SUMPRODUCT(INDEX(PortfolioRef[[SPY]:[PE]],MATCH(GQ$1,PortfolioRef[Reference '#]),0),AssetMonthlyReturns[[#This Row],[SPY]:[PE]])</f>
        <v>6.7518466519985457E-2</v>
      </c>
      <c r="GR94" s="27">
        <f>IF(ISNUMBER(GR93),GR93*(1+PortfolioFrontier[[#This Row],[P50 Return]]),1+PortfolioFrontier[[#This Row],[P50 Return]])</f>
        <v>1.6713177364081098</v>
      </c>
      <c r="GS94" s="27">
        <f>MAX(GS93,PortfolioFrontier[[#This Row],[P50 Growth]])</f>
        <v>1.7510275614895194</v>
      </c>
      <c r="GT94" s="27">
        <f>PortfolioFrontier[[#This Row],[P50 Growth]]/PortfolioFrontier[[#This Row],[P50 HWM]]-1</f>
        <v>-4.5521742109875252E-2</v>
      </c>
      <c r="GU94" s="28">
        <f>SUMPRODUCT(INDEX(PortfolioRef[[SPY]:[PE]],MATCH(GU$1,PortfolioRef[Reference '#]),0),AssetMonthlyReturns[[#This Row],[SPY]:[PE]])</f>
        <v>6.1385487512189342E-2</v>
      </c>
      <c r="GV94" s="27">
        <f>IF(ISNUMBER(GV93),GV93*(1+PortfolioFrontier[[#This Row],[P51 Return]]),1+PortfolioFrontier[[#This Row],[P51 Return]])</f>
        <v>1.6710625969610038</v>
      </c>
      <c r="GW94" s="27">
        <f>MAX(GW93,PortfolioFrontier[[#This Row],[P51 Growth]])</f>
        <v>1.7182435242855478</v>
      </c>
      <c r="GX94" s="27">
        <f>PortfolioFrontier[[#This Row],[P51 Growth]]/PortfolioFrontier[[#This Row],[P51 HWM]]-1</f>
        <v>-2.7458812826989698E-2</v>
      </c>
      <c r="GY94" s="28">
        <f>SUMPRODUCT(INDEX(PortfolioRef[[SPY]:[PE]],MATCH(GY$1,PortfolioRef[Reference '#]),0),AssetMonthlyReturns[[#This Row],[SPY]:[PE]])</f>
        <v>6.7859545859630707E-2</v>
      </c>
      <c r="GZ94" s="27">
        <f>IF(ISNUMBER(GZ93),GZ93*(1+PortfolioFrontier[[#This Row],[P52 Return]]),1+PortfolioFrontier[[#This Row],[P52 Return]])</f>
        <v>1.7188703912960819</v>
      </c>
      <c r="HA94" s="27">
        <f>MAX(HA93,PortfolioFrontier[[#This Row],[P52 Growth]])</f>
        <v>1.7802031417261526</v>
      </c>
      <c r="HB94" s="27">
        <f>PortfolioFrontier[[#This Row],[P52 Growth]]/PortfolioFrontier[[#This Row],[P52 HWM]]-1</f>
        <v>-3.445266946928327E-2</v>
      </c>
      <c r="HC94" s="28">
        <f>SUMPRODUCT(INDEX(PortfolioRef[[SPY]:[PE]],MATCH(HC$1,PortfolioRef[Reference '#]),0),AssetMonthlyReturns[[#This Row],[SPY]:[PE]])</f>
        <v>6.1726566851834599E-2</v>
      </c>
      <c r="HD94" s="27">
        <f>IF(ISNUMBER(HD93),HD93*(1+PortfolioFrontier[[#This Row],[P53 Return]]),1+PortfolioFrontier[[#This Row],[P53 Return]])</f>
        <v>1.7189301767024554</v>
      </c>
      <c r="HE94" s="27">
        <f>MAX(HE93,PortfolioFrontier[[#This Row],[P53 Growth]])</f>
        <v>1.7471238825308339</v>
      </c>
      <c r="HF94" s="27">
        <f>PortfolioFrontier[[#This Row],[P53 Growth]]/PortfolioFrontier[[#This Row],[P53 HWM]]-1</f>
        <v>-1.6137210480769104E-2</v>
      </c>
      <c r="HG94" s="28">
        <f>SUMPRODUCT(INDEX(PortfolioRef[[SPY]:[PE]],MATCH(HG$1,PortfolioRef[Reference '#]),0),AssetMonthlyReturns[[#This Row],[SPY]:[PE]])</f>
        <v>5.5593587844038485E-2</v>
      </c>
      <c r="HH94" s="27">
        <f>IF(ISNUMBER(HH93),HH93*(1+PortfolioFrontier[[#This Row],[P54 Return]]),1+PortfolioFrontier[[#This Row],[P54 Return]])</f>
        <v>1.7177326012965044</v>
      </c>
      <c r="HI94" s="27">
        <f>MAX(HI93,PortfolioFrontier[[#This Row],[P54 Growth]])</f>
        <v>1.7177326012965044</v>
      </c>
      <c r="HJ94" s="27">
        <f>PortfolioFrontier[[#This Row],[P54 Growth]]/PortfolioFrontier[[#This Row],[P54 HWM]]-1</f>
        <v>0</v>
      </c>
      <c r="HK94" s="28">
        <f>SUMPRODUCT(INDEX(PortfolioRef[[SPY]:[PE]],MATCH(HK$1,PortfolioRef[Reference '#]),0),AssetMonthlyReturns[[#This Row],[SPY]:[PE]])</f>
        <v>7.2634730415552615E-2</v>
      </c>
      <c r="HL94" s="27">
        <f>IF(ISNUMBER(HL93),HL93*(1+PortfolioFrontier[[#This Row],[P55 Return]]),1+PortfolioFrontier[[#This Row],[P55 Return]])</f>
        <v>1.705658788683438</v>
      </c>
      <c r="HM94" s="27">
        <f>MAX(HM93,PortfolioFrontier[[#This Row],[P55 Growth]])</f>
        <v>1.8002459621778737</v>
      </c>
      <c r="HN94" s="27">
        <f>PortfolioFrontier[[#This Row],[P55 Growth]]/PortfolioFrontier[[#This Row],[P55 HWM]]-1</f>
        <v>-5.2541250185617727E-2</v>
      </c>
      <c r="HO94" s="28">
        <f>SUMPRODUCT(INDEX(PortfolioRef[[SPY]:[PE]],MATCH(HO$1,PortfolioRef[Reference '#]),0),AssetMonthlyReturns[[#This Row],[SPY]:[PE]])</f>
        <v>6.6501751407756507E-2</v>
      </c>
      <c r="HP94" s="27">
        <f>IF(ISNUMBER(HP93),HP93*(1+PortfolioFrontier[[#This Row],[P56 Return]]),1+PortfolioFrontier[[#This Row],[P56 Return]])</f>
        <v>1.7066779397655227</v>
      </c>
      <c r="HQ94" s="27">
        <f>MAX(HQ93,PortfolioFrontier[[#This Row],[P56 Growth]])</f>
        <v>1.767380839986993</v>
      </c>
      <c r="HR94" s="27">
        <f>PortfolioFrontier[[#This Row],[P56 Growth]]/PortfolioFrontier[[#This Row],[P56 HWM]]-1</f>
        <v>-3.434624776282913E-2</v>
      </c>
      <c r="HS94" s="28">
        <f>SUMPRODUCT(INDEX(PortfolioRef[[SPY]:[PE]],MATCH(HS$1,PortfolioRef[Reference '#]),0),AssetMonthlyReturns[[#This Row],[SPY]:[PE]])</f>
        <v>6.0368772399960392E-2</v>
      </c>
      <c r="HT94" s="27">
        <f>IF(ISNUMBER(HT93),HT93*(1+PortfolioFrontier[[#This Row],[P57 Return]]),1+PortfolioFrontier[[#This Row],[P57 Return]])</f>
        <v>1.7064438938655035</v>
      </c>
      <c r="HU94" s="27">
        <f>MAX(HU93,PortfolioFrontier[[#This Row],[P57 Growth]])</f>
        <v>1.7343575628436463</v>
      </c>
      <c r="HV94" s="27">
        <f>PortfolioFrontier[[#This Row],[P57 Growth]]/PortfolioFrontier[[#This Row],[P57 HWM]]-1</f>
        <v>-1.6094529511190059E-2</v>
      </c>
      <c r="HW94" s="28">
        <f>SUMPRODUCT(INDEX(PortfolioRef[[SPY]:[PE]],MATCH(HW$1,PortfolioRef[Reference '#]),0),AssetMonthlyReturns[[#This Row],[SPY]:[PE]])</f>
        <v>7.7409914971474522E-2</v>
      </c>
      <c r="HX94" s="27">
        <f>IF(ISNUMBER(HX93),HX93*(1+PortfolioFrontier[[#This Row],[P58 Return]]),1+PortfolioFrontier[[#This Row],[P58 Return]])</f>
        <v>1.6912222462415774</v>
      </c>
      <c r="HY94" s="27">
        <f>MAX(HY93,PortfolioFrontier[[#This Row],[P58 Growth]])</f>
        <v>1.8195487359549802</v>
      </c>
      <c r="HZ94" s="27">
        <f>PortfolioFrontier[[#This Row],[P58 Growth]]/PortfolioFrontier[[#This Row],[P58 HWM]]-1</f>
        <v>-7.0526547147444996E-2</v>
      </c>
      <c r="IA94" s="28">
        <f>SUMPRODUCT(INDEX(PortfolioRef[[SPY]:[PE]],MATCH(IA$1,PortfolioRef[Reference '#]),0),AssetMonthlyReturns[[#This Row],[SPY]:[PE]])</f>
        <v>7.1276935963678414E-2</v>
      </c>
      <c r="IB94" s="27">
        <f>IF(ISNUMBER(IB93),IB93*(1+PortfolioFrontier[[#This Row],[P59 Return]]),1+PortfolioFrontier[[#This Row],[P59 Return]])</f>
        <v>1.6931897653208616</v>
      </c>
      <c r="IC94" s="27">
        <f>MAX(IC93,PortfolioFrontier[[#This Row],[P59 Growth]])</f>
        <v>1.7869282396294996</v>
      </c>
      <c r="ID94" s="27">
        <f>PortfolioFrontier[[#This Row],[P59 Growth]]/PortfolioFrontier[[#This Row],[P59 HWM]]-1</f>
        <v>-5.2457883998785371E-2</v>
      </c>
      <c r="IE94" s="28">
        <f>SUMPRODUCT(INDEX(PortfolioRef[[SPY]:[PE]],MATCH(IE$1,PortfolioRef[Reference '#]),0),AssetMonthlyReturns[[#This Row],[SPY]:[PE]])</f>
        <v>6.5143956955882293E-2</v>
      </c>
      <c r="IF94" s="27">
        <f>IF(ISNUMBER(IF93),IF93*(1+PortfolioFrontier[[#This Row],[P60 Return]]),1+PortfolioFrontier[[#This Row],[P60 Return]])</f>
        <v>1.6939100603204817</v>
      </c>
      <c r="IG94" s="27">
        <f>MAX(IG93,PortfolioFrontier[[#This Row],[P60 Growth]])</f>
        <v>1.7541215677111524</v>
      </c>
      <c r="IH94" s="27">
        <f>PortfolioFrontier[[#This Row],[P60 Growth]]/PortfolioFrontier[[#This Row],[P60 HWM]]-1</f>
        <v>-3.4325732320387048E-2</v>
      </c>
      <c r="II94" s="28">
        <f>SUMPRODUCT(INDEX(PortfolioRef[[SPY]:[PE]],MATCH(II$1,PortfolioRef[Reference '#]),0),AssetMonthlyReturns[[#This Row],[SPY]:[PE]])</f>
        <v>6.0091248688574891E-2</v>
      </c>
      <c r="IJ94" s="27">
        <f>IF(ISNUMBER(IJ93),IJ93*(1+PortfolioFrontier[[#This Row],[P61 Return]]),1+PortfolioFrontier[[#This Row],[P61 Return]])</f>
        <v>1.533574914430315</v>
      </c>
      <c r="IK94" s="27">
        <f>MAX(IK93,PortfolioFrontier[[#This Row],[P61 Growth]])</f>
        <v>1.6121264956964798</v>
      </c>
      <c r="IL94" s="27">
        <f>PortfolioFrontier[[#This Row],[P61 Growth]]/PortfolioFrontier[[#This Row],[P61 HWM]]-1</f>
        <v>-4.8725445227688846E-2</v>
      </c>
      <c r="IM94" s="28">
        <f>SUMPRODUCT(INDEX(PortfolioRef[[SPY]:[PE]],MATCH(IM$1,PortfolioRef[Reference '#]),0),AssetMonthlyReturns[[#This Row],[SPY]:[PE]])</f>
        <v>5.9074533576345942E-2</v>
      </c>
      <c r="IN94" s="27">
        <f>IF(ISNUMBER(IN93),IN93*(1+PortfolioFrontier[[#This Row],[P62 Return]]),1+PortfolioFrontier[[#This Row],[P62 Return]])</f>
        <v>1.5660694758952005</v>
      </c>
      <c r="IO94" s="27">
        <f>MAX(IO93,PortfolioFrontier[[#This Row],[P62 Growth]])</f>
        <v>1.6272630311124299</v>
      </c>
      <c r="IP94" s="27">
        <f>PortfolioFrontier[[#This Row],[P62 Growth]]/PortfolioFrontier[[#This Row],[P62 HWM]]-1</f>
        <v>-3.7605202138339178E-2</v>
      </c>
      <c r="IQ94" s="28">
        <f>SUMPRODUCT(INDEX(PortfolioRef[[SPY]:[PE]],MATCH(IQ$1,PortfolioRef[Reference '#]),0),AssetMonthlyReturns[[#This Row],[SPY]:[PE]])</f>
        <v>6.3849718132267849E-2</v>
      </c>
      <c r="IR94" s="27">
        <f>IF(ISNUMBER(IR93),IR93*(1+PortfolioFrontier[[#This Row],[P63 Return]]),1+PortfolioFrontier[[#This Row],[P63 Return]])</f>
        <v>1.5558534982639496</v>
      </c>
      <c r="IS94" s="27">
        <f>MAX(IS93,PortfolioFrontier[[#This Row],[P63 Growth]])</f>
        <v>1.646884909102555</v>
      </c>
      <c r="IT94" s="27">
        <f>PortfolioFrontier[[#This Row],[P63 Growth]]/PortfolioFrontier[[#This Row],[P63 HWM]]-1</f>
        <v>-5.5274907393626949E-2</v>
      </c>
      <c r="IU94" s="28">
        <f>SUMPRODUCT(INDEX(PortfolioRef[[SPY]:[PE]],MATCH(IU$1,PortfolioRef[Reference '#]),0),AssetMonthlyReturns[[#This Row],[SPY]:[PE]])</f>
        <v>5.7716739124471741E-2</v>
      </c>
      <c r="IV94" s="27">
        <f>IF(ISNUMBER(IV93),IV93*(1+PortfolioFrontier[[#This Row],[P64 Return]]),1+PortfolioFrontier[[#This Row],[P64 Return]])</f>
        <v>1.5543860731434862</v>
      </c>
      <c r="IW94" s="27">
        <f>MAX(IW93,PortfolioFrontier[[#This Row],[P64 Growth]])</f>
        <v>1.6151793879801097</v>
      </c>
      <c r="IX94" s="27">
        <f>PortfolioFrontier[[#This Row],[P64 Growth]]/PortfolioFrontier[[#This Row],[P64 HWM]]-1</f>
        <v>-3.7638738637353231E-2</v>
      </c>
      <c r="IY94" s="28">
        <f>SUMPRODUCT(INDEX(PortfolioRef[[SPY]:[PE]],MATCH(IY$1,PortfolioRef[Reference '#]),0),AssetMonthlyReturns[[#This Row],[SPY]:[PE]])</f>
        <v>5.8057818464116992E-2</v>
      </c>
      <c r="IZ94" s="27">
        <f>IF(ISNUMBER(IZ93),IZ93*(1+PortfolioFrontier[[#This Row],[P65 Return]]),1+PortfolioFrontier[[#This Row],[P65 Return]])</f>
        <v>1.5988191461203609</v>
      </c>
      <c r="JA94" s="27">
        <f>MAX(JA93,PortfolioFrontier[[#This Row],[P65 Growth]])</f>
        <v>1.6422150953060746</v>
      </c>
      <c r="JB94" s="27">
        <f>PortfolioFrontier[[#This Row],[P65 Growth]]/PortfolioFrontier[[#This Row],[P65 HWM]]-1</f>
        <v>-2.642525288541786E-2</v>
      </c>
      <c r="JC94" s="28">
        <f>SUMPRODUCT(INDEX(PortfolioRef[[SPY]:[PE]],MATCH(JC$1,PortfolioRef[Reference '#]),0),AssetMonthlyReturns[[#This Row],[SPY]:[PE]])</f>
        <v>6.2833003020038899E-2</v>
      </c>
      <c r="JD94" s="27">
        <f>IF(ISNUMBER(JD93),JD93*(1+PortfolioFrontier[[#This Row],[P66 Return]]),1+PortfolioFrontier[[#This Row],[P66 Return]])</f>
        <v>1.5887966449861088</v>
      </c>
      <c r="JE94" s="27">
        <f>MAX(JE93,PortfolioFrontier[[#This Row],[P66 Growth]])</f>
        <v>1.6623077877531292</v>
      </c>
      <c r="JF94" s="27">
        <f>PortfolioFrontier[[#This Row],[P66 Growth]]/PortfolioFrontier[[#This Row],[P66 HWM]]-1</f>
        <v>-4.4222341559490785E-2</v>
      </c>
      <c r="JG94" s="28">
        <f>SUMPRODUCT(INDEX(PortfolioRef[[SPY]:[PE]],MATCH(JG$1,PortfolioRef[Reference '#]),0),AssetMonthlyReturns[[#This Row],[SPY]:[PE]])</f>
        <v>5.6700024012242792E-2</v>
      </c>
      <c r="JH94" s="27">
        <f>IF(ISNUMBER(JH93),JH93*(1+PortfolioFrontier[[#This Row],[P67 Return]]),1+PortfolioFrontier[[#This Row],[P67 Return]])</f>
        <v>1.5873233977446151</v>
      </c>
      <c r="JI94" s="27">
        <f>MAX(JI93,PortfolioFrontier[[#This Row],[P67 Growth]])</f>
        <v>1.6303687537292939</v>
      </c>
      <c r="JJ94" s="27">
        <f>PortfolioFrontier[[#This Row],[P67 Growth]]/PortfolioFrontier[[#This Row],[P67 HWM]]-1</f>
        <v>-2.6402220900159645E-2</v>
      </c>
      <c r="JK94" s="28">
        <f>SUMPRODUCT(INDEX(PortfolioRef[[SPY]:[PE]],MATCH(JK$1,PortfolioRef[Reference '#]),0),AssetMonthlyReturns[[#This Row],[SPY]:[PE]])</f>
        <v>6.7608187575960807E-2</v>
      </c>
      <c r="JL94" s="27">
        <f>IF(ISNUMBER(JL93),JL93*(1+PortfolioFrontier[[#This Row],[P68 Return]]),1+PortfolioFrontier[[#This Row],[P68 Return]])</f>
        <v>1.5776086051368254</v>
      </c>
      <c r="JM94" s="27">
        <f>MAX(JM93,PortfolioFrontier[[#This Row],[P68 Growth]])</f>
        <v>1.6817622542850994</v>
      </c>
      <c r="JN94" s="27">
        <f>PortfolioFrontier[[#This Row],[P68 Growth]]/PortfolioFrontier[[#This Row],[P68 HWM]]-1</f>
        <v>-6.1931256265796431E-2</v>
      </c>
      <c r="JO94" s="28">
        <f>SUMPRODUCT(INDEX(PortfolioRef[[SPY]:[PE]],MATCH(JO$1,PortfolioRef[Reference '#]),0),AssetMonthlyReturns[[#This Row],[SPY]:[PE]])</f>
        <v>6.1475208568164699E-2</v>
      </c>
      <c r="JP94" s="27">
        <f>IF(ISNUMBER(JP93),JP93*(1+PortfolioFrontier[[#This Row],[P69 Return]]),1+PortfolioFrontier[[#This Row],[P69 Return]])</f>
        <v>1.5770269004165318</v>
      </c>
      <c r="JQ94" s="27">
        <f>MAX(JQ93,PortfolioFrontier[[#This Row],[P69 Growth]])</f>
        <v>1.6499912107010917</v>
      </c>
      <c r="JR94" s="27">
        <f>PortfolioFrontier[[#This Row],[P69 Growth]]/PortfolioFrontier[[#This Row],[P69 HWM]]-1</f>
        <v>-4.4221029670550083E-2</v>
      </c>
      <c r="JS94" s="28">
        <f>SUMPRODUCT(INDEX(PortfolioRef[[SPY]:[PE]],MATCH(JS$1,PortfolioRef[Reference '#]),0),AssetMonthlyReturns[[#This Row],[SPY]:[PE]])</f>
        <v>5.5342229560368585E-2</v>
      </c>
      <c r="JT94" s="27">
        <f>IF(ISNUMBER(JT93),JT93*(1+PortfolioFrontier[[#This Row],[P70 Return]]),1+PortfolioFrontier[[#This Row],[P70 Return]])</f>
        <v>1.5752928696567172</v>
      </c>
      <c r="JU94" s="27">
        <f>MAX(JU93,PortfolioFrontier[[#This Row],[P70 Growth]])</f>
        <v>1.6181178918603722</v>
      </c>
      <c r="JV94" s="27">
        <f>PortfolioFrontier[[#This Row],[P70 Growth]]/PortfolioFrontier[[#This Row],[P70 HWM]]-1</f>
        <v>-2.6465946899838388E-2</v>
      </c>
      <c r="JW94" s="28">
        <f>SUMPRODUCT(INDEX(PortfolioRef[[SPY]:[PE]],MATCH(JW$1,PortfolioRef[Reference '#]),0),AssetMonthlyReturns[[#This Row],[SPY]:[PE]])</f>
        <v>6.181628790780995E-2</v>
      </c>
      <c r="JX94" s="27">
        <f>IF(ISNUMBER(JX93),JX93*(1+PortfolioFrontier[[#This Row],[P71 Return]]),1+PortfolioFrontier[[#This Row],[P71 Return]])</f>
        <v>1.6219981291205632</v>
      </c>
      <c r="JY94" s="27">
        <f>MAX(JY93,PortfolioFrontier[[#This Row],[P71 Growth]])</f>
        <v>1.6775420819631024</v>
      </c>
      <c r="JZ94" s="27">
        <f>PortfolioFrontier[[#This Row],[P71 Growth]]/PortfolioFrontier[[#This Row],[P71 HWM]]-1</f>
        <v>-3.3110318626129676E-2</v>
      </c>
      <c r="KA94" s="28">
        <f>SUMPRODUCT(INDEX(PortfolioRef[[SPY]:[PE]],MATCH(KA$1,PortfolioRef[Reference '#]),0),AssetMonthlyReturns[[#This Row],[SPY]:[PE]])</f>
        <v>5.5683308900013842E-2</v>
      </c>
      <c r="KB94" s="27">
        <f>IF(ISNUMBER(KB93),KB93*(1+PortfolioFrontier[[#This Row],[P72 Return]]),1+PortfolioFrontier[[#This Row],[P72 Return]])</f>
        <v>1.6205196660026957</v>
      </c>
      <c r="KC94" s="27">
        <f>MAX(KC93,PortfolioFrontier[[#This Row],[P72 Growth]])</f>
        <v>1.6453738946019467</v>
      </c>
      <c r="KD94" s="27">
        <f>PortfolioFrontier[[#This Row],[P72 Growth]]/PortfolioFrontier[[#This Row],[P72 HWM]]-1</f>
        <v>-1.5105520198655964E-2</v>
      </c>
      <c r="KE94" s="28">
        <f>SUMPRODUCT(INDEX(PortfolioRef[[SPY]:[PE]],MATCH(KE$1,PortfolioRef[Reference '#]),0),AssetMonthlyReturns[[#This Row],[SPY]:[PE]])</f>
        <v>6.6591472463731857E-2</v>
      </c>
      <c r="KF94" s="27">
        <f>IF(ISNUMBER(KF93),KF93*(1+PortfolioFrontier[[#This Row],[P73 Return]]),1+PortfolioFrontier[[#This Row],[P73 Return]])</f>
        <v>1.6109890394886532</v>
      </c>
      <c r="KG94" s="27">
        <f>MAX(KG93,PortfolioFrontier[[#This Row],[P73 Growth]])</f>
        <v>1.6974712283523181</v>
      </c>
      <c r="KH94" s="27">
        <f>PortfolioFrontier[[#This Row],[P73 Growth]]/PortfolioFrontier[[#This Row],[P73 HWM]]-1</f>
        <v>-5.0947661096801267E-2</v>
      </c>
      <c r="KI94" s="28">
        <f>SUMPRODUCT(INDEX(PortfolioRef[[SPY]:[PE]],MATCH(KI$1,PortfolioRef[Reference '#]),0),AssetMonthlyReturns[[#This Row],[SPY]:[PE]])</f>
        <v>6.045849345593575E-2</v>
      </c>
      <c r="KJ94" s="27">
        <f>IF(ISNUMBER(KJ93),KJ93*(1+PortfolioFrontier[[#This Row],[P74 Return]]),1+PortfolioFrontier[[#This Row],[P74 Return]])</f>
        <v>1.6104201563179912</v>
      </c>
      <c r="KK94" s="27">
        <f>MAX(KK93,PortfolioFrontier[[#This Row],[P74 Growth]])</f>
        <v>1.6654678920548054</v>
      </c>
      <c r="KL94" s="27">
        <f>PortfolioFrontier[[#This Row],[P74 Growth]]/PortfolioFrontier[[#This Row],[P74 HWM]]-1</f>
        <v>-3.305241487957955E-2</v>
      </c>
      <c r="KM94" s="28">
        <f>SUMPRODUCT(INDEX(PortfolioRef[[SPY]:[PE]],MATCH(KM$1,PortfolioRef[Reference '#]),0),AssetMonthlyReturns[[#This Row],[SPY]:[PE]])</f>
        <v>5.4325514448139635E-2</v>
      </c>
      <c r="KN94" s="27">
        <f>IF(ISNUMBER(KN93),KN93*(1+PortfolioFrontier[[#This Row],[P75 Return]]),1+PortfolioFrontier[[#This Row],[P75 Return]])</f>
        <v>1.6086751739917291</v>
      </c>
      <c r="KO94" s="27">
        <f>MAX(KO93,PortfolioFrontier[[#This Row],[P75 Growth]])</f>
        <v>1.6333591346427441</v>
      </c>
      <c r="KP94" s="27">
        <f>PortfolioFrontier[[#This Row],[P75 Growth]]/PortfolioFrontier[[#This Row],[P75 HWM]]-1</f>
        <v>-1.511239024381128E-2</v>
      </c>
      <c r="KQ94" s="28">
        <f>SUMPRODUCT(INDEX(PortfolioRef[[SPY]:[PE]],MATCH(KQ$1,PortfolioRef[Reference '#]),0),AssetMonthlyReturns[[#This Row],[SPY]:[PE]])</f>
        <v>7.1366657019653765E-2</v>
      </c>
      <c r="KR94" s="27">
        <f>IF(ISNUMBER(KR93),KR93*(1+PortfolioFrontier[[#This Row],[P76 Return]]),1+PortfolioFrontier[[#This Row],[P76 Return]])</f>
        <v>1.5988062192371042</v>
      </c>
      <c r="KS94" s="27">
        <f>MAX(KS93,PortfolioFrontier[[#This Row],[P76 Growth]])</f>
        <v>1.7167314071133803</v>
      </c>
      <c r="KT94" s="27">
        <f>PortfolioFrontier[[#This Row],[P76 Growth]]/PortfolioFrontier[[#This Row],[P76 HWM]]-1</f>
        <v>-6.869169363806471E-2</v>
      </c>
      <c r="KU94" s="28">
        <f>SUMPRODUCT(INDEX(PortfolioRef[[SPY]:[PE]],MATCH(KU$1,PortfolioRef[Reference '#]),0),AssetMonthlyReturns[[#This Row],[SPY]:[PE]])</f>
        <v>6.5233678011857657E-2</v>
      </c>
      <c r="KV94" s="27">
        <f>IF(ISNUMBER(KV93),KV93*(1+PortfolioFrontier[[#This Row],[P77 Return]]),1+PortfolioFrontier[[#This Row],[P77 Return]])</f>
        <v>1.5991390280410251</v>
      </c>
      <c r="KW94" s="27">
        <f>MAX(KW93,PortfolioFrontier[[#This Row],[P77 Growth]])</f>
        <v>1.6849217747429484</v>
      </c>
      <c r="KX94" s="27">
        <f>PortfolioFrontier[[#This Row],[P77 Growth]]/PortfolioFrontier[[#This Row],[P77 HWM]]-1</f>
        <v>-5.0912005523229831E-2</v>
      </c>
      <c r="KY94" s="28">
        <f>SUMPRODUCT(INDEX(PortfolioRef[[SPY]:[PE]],MATCH(KY$1,PortfolioRef[Reference '#]),0),AssetMonthlyReturns[[#This Row],[SPY]:[PE]])</f>
        <v>5.9100699004061542E-2</v>
      </c>
      <c r="KZ94" s="27">
        <f>IF(ISNUMBER(KZ93),KZ93*(1+PortfolioFrontier[[#This Row],[P78 Return]]),1+PortfolioFrontier[[#This Row],[P78 Return]])</f>
        <v>1.5982989124981297</v>
      </c>
      <c r="LA94" s="27">
        <f>MAX(LA93,PortfolioFrontier[[#This Row],[P78 Growth]])</f>
        <v>1.6529805725839544</v>
      </c>
      <c r="LB94" s="27">
        <f>PortfolioFrontier[[#This Row],[P78 Growth]]/PortfolioFrontier[[#This Row],[P78 HWM]]-1</f>
        <v>-3.3080642926338721E-2</v>
      </c>
      <c r="LC94" s="28">
        <f>SUMPRODUCT(INDEX(PortfolioRef[[SPY]:[PE]],MATCH(LC$1,PortfolioRef[Reference '#]),0),AssetMonthlyReturns[[#This Row],[SPY]:[PE]])</f>
        <v>6.5574757351502908E-2</v>
      </c>
      <c r="LD94" s="27">
        <f>IF(ISNUMBER(LD93),LD93*(1+PortfolioFrontier[[#This Row],[P79 Return]]),1+PortfolioFrontier[[#This Row],[P79 Return]])</f>
        <v>1.6446309486627113</v>
      </c>
      <c r="LE94" s="27">
        <f>MAX(LE93,PortfolioFrontier[[#This Row],[P79 Growth]])</f>
        <v>1.7129874860839263</v>
      </c>
      <c r="LF94" s="27">
        <f>PortfolioFrontier[[#This Row],[P79 Growth]]/PortfolioFrontier[[#This Row],[P79 HWM]]-1</f>
        <v>-3.9904866776047099E-2</v>
      </c>
      <c r="LG94" s="28">
        <f>SUMPRODUCT(INDEX(PortfolioRef[[SPY]:[PE]],MATCH(LG$1,PortfolioRef[Reference '#]),0),AssetMonthlyReturns[[#This Row],[SPY]:[PE]])</f>
        <v>5.94417783437068E-2</v>
      </c>
      <c r="LH94" s="27">
        <f>IF(ISNUMBER(LH93),LH93*(1+PortfolioFrontier[[#This Row],[P80 Return]]),1+PortfolioFrontier[[#This Row],[P80 Return]])</f>
        <v>1.6440756426473477</v>
      </c>
      <c r="LI94" s="27">
        <f>MAX(LI93,PortfolioFrontier[[#This Row],[P80 Growth]])</f>
        <v>1.6807562405101484</v>
      </c>
      <c r="LJ94" s="27">
        <f>PortfolioFrontier[[#This Row],[P80 Growth]]/PortfolioFrontier[[#This Row],[P80 HWM]]-1</f>
        <v>-2.1823865340322768E-2</v>
      </c>
      <c r="LK94" s="28">
        <f>SUMPRODUCT(INDEX(PortfolioRef[[SPY]:[PE]],MATCH(LK$1,PortfolioRef[Reference '#]),0),AssetMonthlyReturns[[#This Row],[SPY]:[PE]])</f>
        <v>5.3308799335910685E-2</v>
      </c>
      <c r="LL94" s="27">
        <f>IF(ISNUMBER(LL93),LL93*(1+PortfolioFrontier[[#This Row],[P81 Return]]),1+PortfolioFrontier[[#This Row],[P81 Return]])</f>
        <v>1.6423202854682386</v>
      </c>
      <c r="LM94" s="27">
        <f>MAX(LM93,PortfolioFrontier[[#This Row],[P81 Growth]])</f>
        <v>1.648416413491208</v>
      </c>
      <c r="LN94" s="27">
        <f>PortfolioFrontier[[#This Row],[P81 Growth]]/PortfolioFrontier[[#This Row],[P81 HWM]]-1</f>
        <v>-3.6981723629275765E-3</v>
      </c>
      <c r="LO94" s="28">
        <f>SUMPRODUCT(INDEX(PortfolioRef[[SPY]:[PE]],MATCH(LO$1,PortfolioRef[Reference '#]),0),AssetMonthlyReturns[[#This Row],[SPY]:[PE]])</f>
        <v>7.0349941907424815E-2</v>
      </c>
      <c r="LP94" s="27">
        <f>IF(ISNUMBER(LP93),LP93*(1+PortfolioFrontier[[#This Row],[P82 Return]]),1+PortfolioFrontier[[#This Row],[P82 Return]])</f>
        <v>1.6326119666102852</v>
      </c>
      <c r="LQ94" s="27">
        <f>MAX(LQ93,PortfolioFrontier[[#This Row],[P82 Growth]])</f>
        <v>1.7327259878391794</v>
      </c>
      <c r="LR94" s="27">
        <f>PortfolioFrontier[[#This Row],[P82 Growth]]/PortfolioFrontier[[#This Row],[P82 HWM]]-1</f>
        <v>-5.7778334215292104E-2</v>
      </c>
      <c r="LS94" s="28">
        <f>SUMPRODUCT(INDEX(PortfolioRef[[SPY]:[PE]],MATCH(LS$1,PortfolioRef[Reference '#]),0),AssetMonthlyReturns[[#This Row],[SPY]:[PE]])</f>
        <v>6.4216962899628707E-2</v>
      </c>
      <c r="LT94" s="27">
        <f>IF(ISNUMBER(LT93),LT93*(1+PortfolioFrontier[[#This Row],[P83 Return]]),1+PortfolioFrontier[[#This Row],[P83 Return]])</f>
        <v>1.6329768012646342</v>
      </c>
      <c r="LU94" s="27">
        <f>MAX(LU93,PortfolioFrontier[[#This Row],[P83 Growth]])</f>
        <v>1.7006855237848306</v>
      </c>
      <c r="LV94" s="27">
        <f>PortfolioFrontier[[#This Row],[P83 Growth]]/PortfolioFrontier[[#This Row],[P83 HWM]]-1</f>
        <v>-3.9812605901126563E-2</v>
      </c>
      <c r="LW94" s="28">
        <f>SUMPRODUCT(INDEX(PortfolioRef[[SPY]:[PE]],MATCH(LW$1,PortfolioRef[Reference '#]),0),AssetMonthlyReturns[[#This Row],[SPY]:[PE]])</f>
        <v>5.8083983891832593E-2</v>
      </c>
      <c r="LX94" s="27">
        <f>IF(ISNUMBER(LX93),LX93*(1+PortfolioFrontier[[#This Row],[P84 Return]]),1+PortfolioFrontier[[#This Row],[P84 Return]])</f>
        <v>1.6321445574618649</v>
      </c>
      <c r="LY94" s="27">
        <f>MAX(LY93,PortfolioFrontier[[#This Row],[P84 Growth]])</f>
        <v>1.6685100840279028</v>
      </c>
      <c r="LZ94" s="27">
        <f>PortfolioFrontier[[#This Row],[P84 Growth]]/PortfolioFrontier[[#This Row],[P84 HWM]]-1</f>
        <v>-2.1795209339250055E-2</v>
      </c>
      <c r="MA94" s="28">
        <f>SUMPRODUCT(INDEX(PortfolioRef[[SPY]:[PE]],MATCH(MA$1,PortfolioRef[Reference '#]),0),AssetMonthlyReturns[[#This Row],[SPY]:[PE]])</f>
        <v>7.5125126463346723E-2</v>
      </c>
      <c r="MB94" s="27">
        <f>IF(ISNUMBER(MB93),MB93*(1+PortfolioFrontier[[#This Row],[P85 Return]]),1+PortfolioFrontier[[#This Row],[P85 Return]])</f>
        <v>1.6194124535735464</v>
      </c>
      <c r="MC94" s="27">
        <f>MAX(MC93,PortfolioFrontier[[#This Row],[P85 Growth]])</f>
        <v>1.7517641950154219</v>
      </c>
      <c r="MD94" s="27">
        <f>PortfolioFrontier[[#This Row],[P85 Growth]]/PortfolioFrontier[[#This Row],[P85 HWM]]-1</f>
        <v>-7.5553400291247796E-2</v>
      </c>
      <c r="ME94" s="28">
        <f>SUMPRODUCT(INDEX(PortfolioRef[[SPY]:[PE]],MATCH(ME$1,PortfolioRef[Reference '#]),0),AssetMonthlyReturns[[#This Row],[SPY]:[PE]])</f>
        <v>6.8992147455550615E-2</v>
      </c>
      <c r="MF94" s="27">
        <f>IF(ISNUMBER(MF93),MF93*(1+PortfolioFrontier[[#This Row],[P86 Return]]),1+PortfolioFrontier[[#This Row],[P86 Return]])</f>
        <v>1.6206879350854779</v>
      </c>
      <c r="MG94" s="27">
        <f>MAX(MG93,PortfolioFrontier[[#This Row],[P86 Growth]])</f>
        <v>1.7199439154573082</v>
      </c>
      <c r="MH94" s="27">
        <f>PortfolioFrontier[[#This Row],[P86 Growth]]/PortfolioFrontier[[#This Row],[P86 HWM]]-1</f>
        <v>-5.7708847061701762E-2</v>
      </c>
      <c r="MI94" s="28">
        <f>SUMPRODUCT(INDEX(PortfolioRef[[SPY]:[PE]],MATCH(MI$1,PortfolioRef[Reference '#]),0),AssetMonthlyReturns[[#This Row],[SPY]:[PE]])</f>
        <v>6.2859168447754493E-2</v>
      </c>
      <c r="MJ94" s="27">
        <f>IF(ISNUMBER(MJ93),MJ93*(1+PortfolioFrontier[[#This Row],[P87 Return]]),1+PortfolioFrontier[[#This Row],[P87 Return]])</f>
        <v>1.6207710460679967</v>
      </c>
      <c r="MK94" s="27">
        <f>MAX(MK93,PortfolioFrontier[[#This Row],[P87 Growth]])</f>
        <v>1.6879617873128629</v>
      </c>
      <c r="ML94" s="27">
        <f>PortfolioFrontier[[#This Row],[P87 Growth]]/PortfolioFrontier[[#This Row],[P87 HWM]]-1</f>
        <v>-3.9805842614381692E-2</v>
      </c>
      <c r="MM94" s="28">
        <f>SUMPRODUCT(INDEX(PortfolioRef[[SPY]:[PE]],MATCH(MM$1,PortfolioRef[Reference '#]),0),AssetMonthlyReturns[[#This Row],[SPY]:[PE]])</f>
        <v>6.9333226795195865E-2</v>
      </c>
      <c r="MN94" s="27">
        <f>IF(ISNUMBER(MN93),MN93*(1+PortfolioFrontier[[#This Row],[P88 Return]]),1+PortfolioFrontier[[#This Row],[P88 Return]])</f>
        <v>1.6666822302310835</v>
      </c>
      <c r="MO94" s="27">
        <f>MAX(MO93,PortfolioFrontier[[#This Row],[P88 Growth]])</f>
        <v>1.7485237047822844</v>
      </c>
      <c r="MP94" s="27">
        <f>PortfolioFrontier[[#This Row],[P88 Growth]]/PortfolioFrontier[[#This Row],[P88 HWM]]-1</f>
        <v>-4.6806042335806541E-2</v>
      </c>
      <c r="MQ94" s="28">
        <f>SUMPRODUCT(INDEX(PortfolioRef[[SPY]:[PE]],MATCH(MQ$1,PortfolioRef[Reference '#]),0),AssetMonthlyReturns[[#This Row],[SPY]:[PE]])</f>
        <v>6.3200247787399758E-2</v>
      </c>
      <c r="MR94" s="27">
        <f>IF(ISNUMBER(MR93),MR93*(1+PortfolioFrontier[[#This Row],[P89 Return]]),1+PortfolioFrontier[[#This Row],[P89 Return]])</f>
        <v>1.6670799993443308</v>
      </c>
      <c r="MS94" s="27">
        <f>MAX(MS93,PortfolioFrontier[[#This Row],[P89 Growth]])</f>
        <v>1.7162568132506029</v>
      </c>
      <c r="MT94" s="27">
        <f>PortfolioFrontier[[#This Row],[P89 Growth]]/PortfolioFrontier[[#This Row],[P89 HWM]]-1</f>
        <v>-2.8653528729847166E-2</v>
      </c>
      <c r="MU94" s="28">
        <f>SUMPRODUCT(INDEX(PortfolioRef[[SPY]:[PE]],MATCH(MU$1,PortfolioRef[Reference '#]),0),AssetMonthlyReturns[[#This Row],[SPY]:[PE]])</f>
        <v>5.7067268779603643E-2</v>
      </c>
      <c r="MV94" s="27">
        <f>IF(ISNUMBER(MV93),MV93*(1+PortfolioFrontier[[#This Row],[P90 Return]]),1+PortfolioFrontier[[#This Row],[P90 Return]])</f>
        <v>1.6662563550974452</v>
      </c>
      <c r="MW94" s="27">
        <f>MAX(MW93,PortfolioFrontier[[#This Row],[P90 Growth]])</f>
        <v>1.6838515290273213</v>
      </c>
      <c r="MX94" s="27">
        <f>PortfolioFrontier[[#This Row],[P90 Growth]]/PortfolioFrontier[[#This Row],[P90 HWM]]-1</f>
        <v>-1.0449361850827787E-2</v>
      </c>
      <c r="MY94" s="28">
        <f>SUMPRODUCT(INDEX(PortfolioRef[[SPY]:[PE]],MATCH(MY$1,PortfolioRef[Reference '#]),0),AssetMonthlyReturns[[#This Row],[SPY]:[PE]])</f>
        <v>7.4108411351117773E-2</v>
      </c>
      <c r="MZ94" s="27">
        <f>IF(ISNUMBER(MZ93),MZ93*(1+PortfolioFrontier[[#This Row],[P91 Return]]),1+PortfolioFrontier[[#This Row],[P91 Return]])</f>
        <v>1.6536308663808374</v>
      </c>
      <c r="NA94" s="27">
        <f>MAX(NA93,PortfolioFrontier[[#This Row],[P91 Growth]])</f>
        <v>1.7680436458517257</v>
      </c>
      <c r="NB94" s="27">
        <f>PortfolioFrontier[[#This Row],[P91 Growth]]/PortfolioFrontier[[#This Row],[P91 HWM]]-1</f>
        <v>-6.4711513055307979E-2</v>
      </c>
      <c r="NC94" s="28">
        <f>SUMPRODUCT(INDEX(PortfolioRef[[SPY]:[PE]],MATCH(NC$1,PortfolioRef[Reference '#]),0),AssetMonthlyReturns[[#This Row],[SPY]:[PE]])</f>
        <v>6.7975432343321665E-2</v>
      </c>
      <c r="ND94" s="27">
        <f>IF(ISNUMBER(ND93),ND93*(1+PortfolioFrontier[[#This Row],[P92 Return]]),1+PortfolioFrontier[[#This Row],[P92 Return]])</f>
        <v>1.6549581245549152</v>
      </c>
      <c r="NE94" s="27">
        <f>MAX(NE93,PortfolioFrontier[[#This Row],[P92 Growth]])</f>
        <v>1.73599424265744</v>
      </c>
      <c r="NF94" s="27">
        <f>PortfolioFrontier[[#This Row],[P92 Growth]]/PortfolioFrontier[[#This Row],[P92 HWM]]-1</f>
        <v>-4.6679946345026813E-2</v>
      </c>
      <c r="NG94" s="28">
        <f>SUMPRODUCT(INDEX(PortfolioRef[[SPY]:[PE]],MATCH(NG$1,PortfolioRef[Reference '#]),0),AssetMonthlyReturns[[#This Row],[SPY]:[PE]])</f>
        <v>6.184245333552555E-2</v>
      </c>
      <c r="NH94" s="27">
        <f>IF(ISNUMBER(NH93),NH93*(1+PortfolioFrontier[[#This Row],[P93 Return]]),1+PortfolioFrontier[[#This Row],[P93 Return]])</f>
        <v>1.6550685014824633</v>
      </c>
      <c r="NI94" s="27">
        <f>MAX(NI93,PortfolioFrontier[[#This Row],[P93 Growth]])</f>
        <v>1.7037793193389816</v>
      </c>
      <c r="NJ94" s="27">
        <f>PortfolioFrontier[[#This Row],[P93 Growth]]/PortfolioFrontier[[#This Row],[P93 HWM]]-1</f>
        <v>-2.8589863313645991E-2</v>
      </c>
      <c r="NK94" s="28">
        <f>SUMPRODUCT(INDEX(PortfolioRef[[SPY]:[PE]],MATCH(NK$1,PortfolioRef[Reference '#]),0),AssetMonthlyReturns[[#This Row],[SPY]:[PE]])</f>
        <v>7.888359590703968E-2</v>
      </c>
      <c r="NL94" s="27">
        <f>IF(ISNUMBER(NL93),NL93*(1+PortfolioFrontier[[#This Row],[P94 Return]]),1+PortfolioFrontier[[#This Row],[P94 Return]])</f>
        <v>1.6393936176288293</v>
      </c>
      <c r="NM94" s="27">
        <f>MAX(NM93,PortfolioFrontier[[#This Row],[P94 Growth]])</f>
        <v>1.7868313973018393</v>
      </c>
      <c r="NN94" s="27">
        <f>PortfolioFrontier[[#This Row],[P94 Growth]]/PortfolioFrontier[[#This Row],[P94 HWM]]-1</f>
        <v>-8.2513537592659669E-2</v>
      </c>
      <c r="NO94" s="28">
        <f>SUMPRODUCT(INDEX(PortfolioRef[[SPY]:[PE]],MATCH(NO$1,PortfolioRef[Reference '#]),0),AssetMonthlyReturns[[#This Row],[SPY]:[PE]])</f>
        <v>7.2750616899243573E-2</v>
      </c>
      <c r="NP94" s="27">
        <f>IF(ISNUMBER(NP93),NP93*(1+PortfolioFrontier[[#This Row],[P95 Return]]),1+PortfolioFrontier[[#This Row],[P95 Return]])</f>
        <v>1.6416392265644331</v>
      </c>
      <c r="NQ94" s="27">
        <f>MAX(NQ93,PortfolioFrontier[[#This Row],[P95 Growth]])</f>
        <v>1.7550294195356591</v>
      </c>
      <c r="NR94" s="27">
        <f>PortfolioFrontier[[#This Row],[P95 Growth]]/PortfolioFrontier[[#This Row],[P95 HWM]]-1</f>
        <v>-6.4608713511609683E-2</v>
      </c>
      <c r="NS94" s="28">
        <f>SUMPRODUCT(INDEX(PortfolioRef[[SPY]:[PE]],MATCH(NS$1,PortfolioRef[Reference '#]),0),AssetMonthlyReturns[[#This Row],[SPY]:[PE]])</f>
        <v>6.6617637891447451E-2</v>
      </c>
      <c r="NT94" s="27">
        <f>IF(ISNUMBER(NT93),NT93*(1+PortfolioFrontier[[#This Row],[P96 Return]]),1+PortfolioFrontier[[#This Row],[P96 Return]])</f>
        <v>1.6426742408607813</v>
      </c>
      <c r="NU94" s="27">
        <f>MAX(NU93,PortfolioFrontier[[#This Row],[P96 Growth]])</f>
        <v>1.7230343324336159</v>
      </c>
      <c r="NV94" s="27">
        <f>PortfolioFrontier[[#This Row],[P96 Growth]]/PortfolioFrontier[[#This Row],[P96 HWM]]-1</f>
        <v>-4.6638705950411308E-2</v>
      </c>
      <c r="NW94" s="28">
        <f>SUMPRODUCT(INDEX(PortfolioRef[[SPY]:[PE]],MATCH(NW$1,PortfolioRef[Reference '#]),0),AssetMonthlyReturns[[#This Row],[SPY]:[PE]])</f>
        <v>5.7806460180447092E-2</v>
      </c>
      <c r="NX94" s="27">
        <f>IF(ISNUMBER(NX93),NX93*(1+PortfolioFrontier[[#This Row],[P97 Return]]),1+PortfolioFrontier[[#This Row],[P97 Return]])</f>
        <v>1.46554427993756</v>
      </c>
      <c r="NY94" s="27">
        <f>MAX(NY93,PortfolioFrontier[[#This Row],[P97 Growth]])</f>
        <v>1.5498139523617234</v>
      </c>
      <c r="NZ94" s="27">
        <f>PortfolioFrontier[[#This Row],[P97 Growth]]/PortfolioFrontier[[#This Row],[P97 HWM]]-1</f>
        <v>-5.4374057154245481E-2</v>
      </c>
      <c r="OA94" s="28">
        <f>SUMPRODUCT(INDEX(PortfolioRef[[SPY]:[PE]],MATCH(OA$1,PortfolioRef[Reference '#]),0),AssetMonthlyReturns[[#This Row],[SPY]:[PE]])</f>
        <v>5.6789745068218142E-2</v>
      </c>
      <c r="OB94" s="27">
        <f>IF(ISNUMBER(OB93),OB93*(1+PortfolioFrontier[[#This Row],[P98 Return]]),1+PortfolioFrontier[[#This Row],[P98 Return]])</f>
        <v>1.4966024571307321</v>
      </c>
      <c r="OC94" s="27">
        <f>MAX(OC93,PortfolioFrontier[[#This Row],[P98 Growth]])</f>
        <v>1.5643918723292729</v>
      </c>
      <c r="OD94" s="27">
        <f>PortfolioFrontier[[#This Row],[P98 Growth]]/PortfolioFrontier[[#This Row],[P98 HWM]]-1</f>
        <v>-4.3332758497144908E-2</v>
      </c>
      <c r="OE94" s="28">
        <f>SUMPRODUCT(INDEX(PortfolioRef[[SPY]:[PE]],MATCH(OE$1,PortfolioRef[Reference '#]),0),AssetMonthlyReturns[[#This Row],[SPY]:[PE]])</f>
        <v>6.156492962414005E-2</v>
      </c>
      <c r="OF94" s="27">
        <f>IF(ISNUMBER(OF93),OF93*(1+PortfolioFrontier[[#This Row],[P99 Return]]),1+PortfolioFrontier[[#This Row],[P99 Return]])</f>
        <v>1.4874006080172386</v>
      </c>
      <c r="OG94" s="27">
        <f>MAX(OG93,PortfolioFrontier[[#This Row],[P99 Growth]])</f>
        <v>1.5836627563813395</v>
      </c>
      <c r="OH94" s="27">
        <f>PortfolioFrontier[[#This Row],[P99 Growth]]/PortfolioFrontier[[#This Row],[P99 HWM]]-1</f>
        <v>-6.0784499715115681E-2</v>
      </c>
      <c r="OI94" s="28">
        <f>SUMPRODUCT(INDEX(PortfolioRef[[SPY]:[PE]],MATCH(OI$1,PortfolioRef[Reference '#]),0),AssetMonthlyReturns[[#This Row],[SPY]:[PE]])</f>
        <v>5.5431950616343942E-2</v>
      </c>
      <c r="OJ94" s="27">
        <f>IF(ISNUMBER(OJ93),OJ93*(1+PortfolioFrontier[[#This Row],[P100 Return]]),1+PortfolioFrontier[[#This Row],[P100 Return]])</f>
        <v>1.4854463040681767</v>
      </c>
      <c r="OK94" s="27">
        <f>MAX(OK93,PortfolioFrontier[[#This Row],[P100 Growth]])</f>
        <v>1.5528062347399851</v>
      </c>
      <c r="OL94" s="27">
        <f>PortfolioFrontier[[#This Row],[P100 Growth]]/PortfolioFrontier[[#This Row],[P100 HWM]]-1</f>
        <v>-4.3379482362194244E-2</v>
      </c>
      <c r="OM94" s="28">
        <f>SUMPRODUCT(INDEX(PortfolioRef[[SPY]:[PE]],MATCH(OM$1,PortfolioRef[Reference '#]),0),AssetMonthlyReturns[[#This Row],[SPY]:[PE]])</f>
        <v>5.5773029955989192E-2</v>
      </c>
      <c r="ON94" s="27">
        <f>IF(ISNUMBER(ON93),ON93*(1+PortfolioFrontier[[#This Row],[P101 Return]]),1+PortfolioFrontier[[#This Row],[P101 Return]])</f>
        <v>1.5279038541756105</v>
      </c>
      <c r="OO94" s="27">
        <f>MAX(OO93,PortfolioFrontier[[#This Row],[P101 Growth]])</f>
        <v>1.5787921813488919</v>
      </c>
      <c r="OP94" s="27">
        <f>PortfolioFrontier[[#This Row],[P101 Growth]]/PortfolioFrontier[[#This Row],[P101 HWM]]-1</f>
        <v>-3.2232441846654747E-2</v>
      </c>
      <c r="OQ94" s="28">
        <f>SUMPRODUCT(INDEX(PortfolioRef[[SPY]:[PE]],MATCH(OQ$1,PortfolioRef[Reference '#]),0),AssetMonthlyReturns[[#This Row],[SPY]:[PE]])</f>
        <v>6.05482145119111E-2</v>
      </c>
      <c r="OR94" s="27">
        <f>IF(ISNUMBER(OR93),OR93*(1+PortfolioFrontier[[#This Row],[P102 Return]]),1+PortfolioFrontier[[#This Row],[P102 Return]])</f>
        <v>1.518899298041243</v>
      </c>
      <c r="OS94" s="27">
        <f>MAX(OS93,PortfolioFrontier[[#This Row],[P102 Growth]])</f>
        <v>1.5985203886251573</v>
      </c>
      <c r="OT94" s="27">
        <f>PortfolioFrontier[[#This Row],[P102 Growth]]/PortfolioFrontier[[#This Row],[P102 HWM]]-1</f>
        <v>-4.9809243066579967E-2</v>
      </c>
      <c r="OU94" s="28">
        <f>SUMPRODUCT(INDEX(PortfolioRef[[SPY]:[PE]],MATCH(OU$1,PortfolioRef[Reference '#]),0),AssetMonthlyReturns[[#This Row],[SPY]:[PE]])</f>
        <v>5.4415235504114992E-2</v>
      </c>
      <c r="OV94" s="27">
        <f>IF(ISNUMBER(OV93),OV93*(1+PortfolioFrontier[[#This Row],[P103 Return]]),1+PortfolioFrontier[[#This Row],[P103 Return]])</f>
        <v>1.5169280237401992</v>
      </c>
      <c r="OW94" s="27">
        <f>MAX(OW93,PortfolioFrontier[[#This Row],[P103 Growth]])</f>
        <v>1.5674355228105428</v>
      </c>
      <c r="OX94" s="27">
        <f>PortfolioFrontier[[#This Row],[P103 Growth]]/PortfolioFrontier[[#This Row],[P103 HWM]]-1</f>
        <v>-3.2223015451238068E-2</v>
      </c>
      <c r="OY94" s="28">
        <f>SUMPRODUCT(INDEX(PortfolioRef[[SPY]:[PE]],MATCH(OY$1,PortfolioRef[Reference '#]),0),AssetMonthlyReturns[[#This Row],[SPY]:[PE]])</f>
        <v>6.5323399067833007E-2</v>
      </c>
      <c r="OZ94" s="27">
        <f>IF(ISNUMBER(OZ93),OZ93*(1+PortfolioFrontier[[#This Row],[P104 Return]]),1+PortfolioFrontier[[#This Row],[P104 Return]])</f>
        <v>1.5087743575706289</v>
      </c>
      <c r="PA94" s="27">
        <f>MAX(PA93,PortfolioFrontier[[#This Row],[P104 Growth]])</f>
        <v>1.6176462594840681</v>
      </c>
      <c r="PB94" s="27">
        <f>PortfolioFrontier[[#This Row],[P104 Growth]]/PortfolioFrontier[[#This Row],[P104 HWM]]-1</f>
        <v>-6.7302663530506845E-2</v>
      </c>
      <c r="PC94" s="28">
        <f>SUMPRODUCT(INDEX(PortfolioRef[[SPY]:[PE]],MATCH(PC$1,PortfolioRef[Reference '#]),0),AssetMonthlyReturns[[#This Row],[SPY]:[PE]])</f>
        <v>5.91904200600369E-2</v>
      </c>
      <c r="PD94" s="27">
        <f>IF(ISNUMBER(PD93),PD93*(1+PortfolioFrontier[[#This Row],[P105 Return]]),1+PortfolioFrontier[[#This Row],[P105 Return]])</f>
        <v>1.5076567138851478</v>
      </c>
      <c r="PE94" s="27">
        <f>MAX(PE93,PortfolioFrontier[[#This Row],[P105 Growth]])</f>
        <v>1.5867085542337835</v>
      </c>
      <c r="PF94" s="27">
        <f>PortfolioFrontier[[#This Row],[P105 Growth]]/PortfolioFrontier[[#This Row],[P105 HWM]]-1</f>
        <v>-4.9821273187002912E-2</v>
      </c>
      <c r="PG94" s="28">
        <f>SUMPRODUCT(INDEX(PortfolioRef[[SPY]:[PE]],MATCH(PG$1,PortfolioRef[Reference '#]),0),AssetMonthlyReturns[[#This Row],[SPY]:[PE]])</f>
        <v>5.3057441052240785E-2</v>
      </c>
      <c r="PH94" s="27">
        <f>IF(ISNUMBER(PH93),PH93*(1+PortfolioFrontier[[#This Row],[P106 Return]]),1+PortfolioFrontier[[#This Row],[P106 Return]])</f>
        <v>1.5054401360492524</v>
      </c>
      <c r="PI94" s="27">
        <f>MAX(PI93,PortfolioFrontier[[#This Row],[P106 Growth]])</f>
        <v>1.5556887430167754</v>
      </c>
      <c r="PJ94" s="27">
        <f>PortfolioFrontier[[#This Row],[P106 Growth]]/PortfolioFrontier[[#This Row],[P106 HWM]]-1</f>
        <v>-3.2299910372868945E-2</v>
      </c>
      <c r="PK94" s="28">
        <f>SUMPRODUCT(INDEX(PortfolioRef[[SPY]:[PE]],MATCH(PK$1,PortfolioRef[Reference '#]),0),AssetMonthlyReturns[[#This Row],[SPY]:[PE]])</f>
        <v>5.953149939968215E-2</v>
      </c>
      <c r="PL94" s="27">
        <f>IF(ISNUMBER(PL93),PL93*(1+PortfolioFrontier[[#This Row],[P107 Return]]),1+PortfolioFrontier[[#This Row],[P107 Return]])</f>
        <v>1.550644376685103</v>
      </c>
      <c r="PM94" s="27">
        <f>MAX(PM93,PortfolioFrontier[[#This Row],[P107 Growth]])</f>
        <v>1.6131964012798079</v>
      </c>
      <c r="PN94" s="27">
        <f>PortfolioFrontier[[#This Row],[P107 Growth]]/PortfolioFrontier[[#This Row],[P107 HWM]]-1</f>
        <v>-3.8775207126100719E-2</v>
      </c>
      <c r="PO94" s="28">
        <f>SUMPRODUCT(INDEX(PortfolioRef[[SPY]:[PE]],MATCH(PO$1,PortfolioRef[Reference '#]),0),AssetMonthlyReturns[[#This Row],[SPY]:[PE]])</f>
        <v>5.3398520391886042E-2</v>
      </c>
      <c r="PP94" s="27">
        <f>IF(ISNUMBER(PP93),PP93*(1+PortfolioFrontier[[#This Row],[P108 Return]]),1+PortfolioFrontier[[#This Row],[P108 Return]])</f>
        <v>1.5486566256972445</v>
      </c>
      <c r="PQ94" s="27">
        <f>MAX(PQ93,PortfolioFrontier[[#This Row],[P108 Growth]])</f>
        <v>1.5818874318633449</v>
      </c>
      <c r="PR94" s="27">
        <f>PortfolioFrontier[[#This Row],[P108 Growth]]/PortfolioFrontier[[#This Row],[P108 HWM]]-1</f>
        <v>-2.1007061246423264E-2</v>
      </c>
      <c r="PS94" s="28">
        <f>SUMPRODUCT(INDEX(PortfolioRef[[SPY]:[PE]],MATCH(PS$1,PortfolioRef[Reference '#]),0),AssetMonthlyReturns[[#This Row],[SPY]:[PE]])</f>
        <v>6.4306683955604058E-2</v>
      </c>
      <c r="PT94" s="27">
        <f>IF(ISNUMBER(PT93),PT93*(1+PortfolioFrontier[[#This Row],[P109 Return]]),1+PortfolioFrontier[[#This Row],[P109 Return]])</f>
        <v>1.5407031114996086</v>
      </c>
      <c r="PU94" s="27">
        <f>MAX(PU93,PortfolioFrontier[[#This Row],[P109 Growth]])</f>
        <v>1.6327835279326679</v>
      </c>
      <c r="PV94" s="27">
        <f>PortfolioFrontier[[#This Row],[P109 Growth]]/PortfolioFrontier[[#This Row],[P109 HWM]]-1</f>
        <v>-5.6394748512465731E-2</v>
      </c>
      <c r="PW94" s="28">
        <f>SUMPRODUCT(INDEX(PortfolioRef[[SPY]:[PE]],MATCH(PW$1,PortfolioRef[Reference '#]),0),AssetMonthlyReturns[[#This Row],[SPY]:[PE]])</f>
        <v>5.817370494780795E-2</v>
      </c>
      <c r="PX94" s="27">
        <f>IF(ISNUMBER(PX93),PX93*(1+PortfolioFrontier[[#This Row],[P110 Return]]),1+PortfolioFrontier[[#This Row],[P110 Return]])</f>
        <v>1.5395861327683196</v>
      </c>
      <c r="PY94" s="27">
        <f>MAX(PY93,PortfolioFrontier[[#This Row],[P110 Growth]])</f>
        <v>1.6016185143364081</v>
      </c>
      <c r="PZ94" s="27">
        <f>PortfolioFrontier[[#This Row],[P110 Growth]]/PortfolioFrontier[[#This Row],[P110 HWM]]-1</f>
        <v>-3.8731059245896704E-2</v>
      </c>
      <c r="QA94" s="28">
        <f>SUMPRODUCT(INDEX(PortfolioRef[[SPY]:[PE]],MATCH(QA$1,PortfolioRef[Reference '#]),0),AssetMonthlyReturns[[#This Row],[SPY]:[PE]])</f>
        <v>5.2040725940011835E-2</v>
      </c>
      <c r="QB94" s="27">
        <f>IF(ISNUMBER(QB93),QB93*(1+PortfolioFrontier[[#This Row],[P111 Return]]),1+PortfolioFrontier[[#This Row],[P111 Return]])</f>
        <v>1.5373475265953571</v>
      </c>
      <c r="QC94" s="27">
        <f>MAX(QC93,PortfolioFrontier[[#This Row],[P111 Growth]])</f>
        <v>1.5703684845094485</v>
      </c>
      <c r="QD94" s="27">
        <f>PortfolioFrontier[[#This Row],[P111 Growth]]/PortfolioFrontier[[#This Row],[P111 HWM]]-1</f>
        <v>-2.1027522036910051E-2</v>
      </c>
      <c r="QE94" s="28">
        <f>SUMPRODUCT(INDEX(PortfolioRef[[SPY]:[PE]],MATCH(QE$1,PortfolioRef[Reference '#]),0),AssetMonthlyReturns[[#This Row],[SPY]:[PE]])</f>
        <v>6.9081868511525965E-2</v>
      </c>
      <c r="QF94" s="27">
        <f>IF(ISNUMBER(QF93),QF93*(1+PortfolioFrontier[[#This Row],[P112 Return]]),1+PortfolioFrontier[[#This Row],[P112 Return]])</f>
        <v>1.5296326055097926</v>
      </c>
      <c r="QG94" s="27">
        <f>MAX(QG93,PortfolioFrontier[[#This Row],[P112 Growth]])</f>
        <v>1.6517386955477045</v>
      </c>
      <c r="QH94" s="27">
        <f>PortfolioFrontier[[#This Row],[P112 Growth]]/PortfolioFrontier[[#This Row],[P112 HWM]]-1</f>
        <v>-7.3925791268952712E-2</v>
      </c>
      <c r="QI94" s="28">
        <f>SUMPRODUCT(INDEX(PortfolioRef[[SPY]:[PE]],MATCH(QI$1,PortfolioRef[Reference '#]),0),AssetMonthlyReturns[[#This Row],[SPY]:[PE]])</f>
        <v>6.2948889503729857E-2</v>
      </c>
      <c r="QJ94" s="27">
        <f>IF(ISNUMBER(QJ93),QJ93*(1+PortfolioFrontier[[#This Row],[P113 Return]]),1+PortfolioFrontier[[#This Row],[P113 Return]])</f>
        <v>1.529379829557195</v>
      </c>
      <c r="QK94" s="27">
        <f>MAX(QK93,PortfolioFrontier[[#This Row],[P113 Growth]])</f>
        <v>1.6207454292109018</v>
      </c>
      <c r="QL94" s="27">
        <f>PortfolioFrontier[[#This Row],[P113 Growth]]/PortfolioFrontier[[#This Row],[P113 HWM]]-1</f>
        <v>-5.6372578942388452E-2</v>
      </c>
      <c r="QM94" s="28">
        <f>SUMPRODUCT(INDEX(PortfolioRef[[SPY]:[PE]],MATCH(QM$1,PortfolioRef[Reference '#]),0),AssetMonthlyReturns[[#This Row],[SPY]:[PE]])</f>
        <v>5.6815910495933743E-2</v>
      </c>
      <c r="QN94" s="27">
        <f>IF(ISNUMBER(QN93),QN93*(1+PortfolioFrontier[[#This Row],[P114 Return]]),1+PortfolioFrontier[[#This Row],[P114 Return]])</f>
        <v>1.5280075167675387</v>
      </c>
      <c r="QO94" s="27">
        <f>MAX(QO93,PortfolioFrontier[[#This Row],[P114 Growth]])</f>
        <v>1.5896421022161857</v>
      </c>
      <c r="QP94" s="27">
        <f>PortfolioFrontier[[#This Row],[P114 Growth]]/PortfolioFrontier[[#This Row],[P114 HWM]]-1</f>
        <v>-3.8772617662000575E-2</v>
      </c>
      <c r="QQ94" s="28">
        <f>SUMPRODUCT(INDEX(PortfolioRef[[SPY]:[PE]],MATCH(QQ$1,PortfolioRef[Reference '#]),0),AssetMonthlyReturns[[#This Row],[SPY]:[PE]])</f>
        <v>6.3289968843375108E-2</v>
      </c>
      <c r="QR94" s="27">
        <f>IF(ISNUMBER(QR93),QR93*(1+PortfolioFrontier[[#This Row],[P115 Return]]),1+PortfolioFrontier[[#This Row],[P115 Return]])</f>
        <v>1.5728813382386977</v>
      </c>
      <c r="QS94" s="27">
        <f>MAX(QS93,PortfolioFrontier[[#This Row],[P115 Growth]])</f>
        <v>1.6477351477866757</v>
      </c>
      <c r="QT94" s="27">
        <f>PortfolioFrontier[[#This Row],[P115 Growth]]/PortfolioFrontier[[#This Row],[P115 HWM]]-1</f>
        <v>-4.5428301780492841E-2</v>
      </c>
      <c r="QU94" s="28">
        <f>SUMPRODUCT(INDEX(PortfolioRef[[SPY]:[PE]],MATCH(QU$1,PortfolioRef[Reference '#]),0),AssetMonthlyReturns[[#This Row],[SPY]:[PE]])</f>
        <v>5.7156989835579E-2</v>
      </c>
      <c r="QV94" s="27">
        <f>IF(ISNUMBER(QV93),QV93*(1+PortfolioFrontier[[#This Row],[P116 Return]]),1+PortfolioFrontier[[#This Row],[P116 Return]])</f>
        <v>1.5717656595544383</v>
      </c>
      <c r="QW94" s="27">
        <f>MAX(QW93,PortfolioFrontier[[#This Row],[P116 Growth]])</f>
        <v>1.6163470917094751</v>
      </c>
      <c r="QX94" s="27">
        <f>PortfolioFrontier[[#This Row],[P116 Growth]]/PortfolioFrontier[[#This Row],[P116 HWM]]-1</f>
        <v>-2.7581595799381686E-2</v>
      </c>
      <c r="QY94" s="28">
        <f>SUMPRODUCT(INDEX(PortfolioRef[[SPY]:[PE]],MATCH(QY$1,PortfolioRef[Reference '#]),0),AssetMonthlyReturns[[#This Row],[SPY]:[PE]])</f>
        <v>5.1024010827782885E-2</v>
      </c>
      <c r="QZ94" s="27">
        <f>IF(ISNUMBER(QZ93),QZ93*(1+PortfolioFrontier[[#This Row],[P117 Return]]),1+PortfolioFrontier[[#This Row],[P117 Return]])</f>
        <v>1.5695054892847911</v>
      </c>
      <c r="RA94" s="27">
        <f>MAX(RA93,PortfolioFrontier[[#This Row],[P117 Growth]])</f>
        <v>1.5848710929942145</v>
      </c>
      <c r="RB94" s="27">
        <f>PortfolioFrontier[[#This Row],[P117 Growth]]/PortfolioFrontier[[#This Row],[P117 HWM]]-1</f>
        <v>-9.6951757006268346E-3</v>
      </c>
      <c r="RC94" s="28">
        <f>SUMPRODUCT(INDEX(PortfolioRef[[SPY]:[PE]],MATCH(RC$1,PortfolioRef[Reference '#]),0),AssetMonthlyReturns[[#This Row],[SPY]:[PE]])</f>
        <v>6.8065153399297015E-2</v>
      </c>
      <c r="RD94" s="27">
        <f>IF(ISNUMBER(RD93),RD93*(1+PortfolioFrontier[[#This Row],[P118 Return]]),1+PortfolioFrontier[[#This Row],[P118 Return]])</f>
        <v>1.5619803183186505</v>
      </c>
      <c r="RE94" s="27">
        <f>MAX(RE93,PortfolioFrontier[[#This Row],[P118 Growth]])</f>
        <v>1.667155293527623</v>
      </c>
      <c r="RF94" s="27">
        <f>PortfolioFrontier[[#This Row],[P118 Growth]]/PortfolioFrontier[[#This Row],[P118 HWM]]-1</f>
        <v>-6.3086489673332857E-2</v>
      </c>
      <c r="RG94" s="28">
        <f>SUMPRODUCT(INDEX(PortfolioRef[[SPY]:[PE]],MATCH(RG$1,PortfolioRef[Reference '#]),0),AssetMonthlyReturns[[#This Row],[SPY]:[PE]])</f>
        <v>6.1932174391500908E-2</v>
      </c>
      <c r="RH94" s="27">
        <f>IF(ISNUMBER(RH93),RH93*(1+PortfolioFrontier[[#This Row],[P119 Return]]),1+PortfolioFrontier[[#This Row],[P119 Return]])</f>
        <v>1.5617463929512956</v>
      </c>
      <c r="RI94" s="27">
        <f>MAX(RI93,PortfolioFrontier[[#This Row],[P119 Growth]])</f>
        <v>1.6359359857167841</v>
      </c>
      <c r="RJ94" s="27">
        <f>PortfolioFrontier[[#This Row],[P119 Growth]]/PortfolioFrontier[[#This Row],[P119 HWM]]-1</f>
        <v>-4.5349936313664796E-2</v>
      </c>
      <c r="RK94" s="28">
        <f>SUMPRODUCT(INDEX(PortfolioRef[[SPY]:[PE]],MATCH(RK$1,PortfolioRef[Reference '#]),0),AssetMonthlyReturns[[#This Row],[SPY]:[PE]])</f>
        <v>5.5799195383704793E-2</v>
      </c>
      <c r="RL94" s="27">
        <f>IF(ISNUMBER(RL93),RL93*(1+PortfolioFrontier[[#This Row],[P120 Return]]),1+PortfolioFrontier[[#This Row],[P120 Return]])</f>
        <v>1.5603698544722391</v>
      </c>
      <c r="RM94" s="27">
        <f>MAX(RM93,PortfolioFrontier[[#This Row],[P120 Growth]])</f>
        <v>1.6046034567476111</v>
      </c>
      <c r="RN94" s="27">
        <f>PortfolioFrontier[[#This Row],[P120 Growth]]/PortfolioFrontier[[#This Row],[P120 HWM]]-1</f>
        <v>-2.7566687638221565E-2</v>
      </c>
      <c r="RO94" s="28">
        <f>SUMPRODUCT(INDEX(PortfolioRef[[SPY]:[PE]],MATCH(RO$1,PortfolioRef[Reference '#]),0),AssetMonthlyReturns[[#This Row],[SPY]:[PE]])</f>
        <v>7.2840337955218923E-2</v>
      </c>
      <c r="RP94" s="27">
        <f>IF(ISNUMBER(RP93),RP93*(1+PortfolioFrontier[[#This Row],[P121 Return]]),1+PortfolioFrontier[[#This Row],[P121 Return]])</f>
        <v>1.5499425077947893</v>
      </c>
      <c r="RQ94" s="27">
        <f>MAX(RQ93,PortfolioFrontier[[#This Row],[P121 Growth]])</f>
        <v>1.6859132740659151</v>
      </c>
      <c r="RR94" s="27">
        <f>PortfolioFrontier[[#This Row],[P121 Growth]]/PortfolioFrontier[[#This Row],[P121 HWM]]-1</f>
        <v>-8.0651103685307146E-2</v>
      </c>
      <c r="RS94" s="28">
        <f>SUMPRODUCT(INDEX(PortfolioRef[[SPY]:[PE]],MATCH(RS$1,PortfolioRef[Reference '#]),0),AssetMonthlyReturns[[#This Row],[SPY]:[PE]])</f>
        <v>6.6707358947422815E-2</v>
      </c>
      <c r="RT94" s="27">
        <f>IF(ISNUMBER(RT93),RT93*(1+PortfolioFrontier[[#This Row],[P122 Return]]),1+PortfolioFrontier[[#This Row],[P122 Return]])</f>
        <v>1.5505822411837646</v>
      </c>
      <c r="RU94" s="27">
        <f>MAX(RU93,PortfolioFrontier[[#This Row],[P122 Growth]])</f>
        <v>1.6548910536150563</v>
      </c>
      <c r="RV94" s="27">
        <f>PortfolioFrontier[[#This Row],[P122 Growth]]/PortfolioFrontier[[#This Row],[P122 HWM]]-1</f>
        <v>-6.3030621987732904E-2</v>
      </c>
      <c r="RW94" s="28">
        <f>SUMPRODUCT(INDEX(PortfolioRef[[SPY]:[PE]],MATCH(RW$1,PortfolioRef[Reference '#]),0),AssetMonthlyReturns[[#This Row],[SPY]:[PE]])</f>
        <v>6.05743799396267E-2</v>
      </c>
      <c r="RX94" s="27">
        <f>IF(ISNUMBER(RX93),RX93*(1+PortfolioFrontier[[#This Row],[P123 Return]]),1+PortfolioFrontier[[#This Row],[P123 Return]])</f>
        <v>1.550082902492997</v>
      </c>
      <c r="RY94" s="27">
        <f>MAX(RY93,PortfolioFrontier[[#This Row],[P123 Growth]])</f>
        <v>1.6237298558231279</v>
      </c>
      <c r="RZ94" s="27">
        <f>PortfolioFrontier[[#This Row],[P123 Growth]]/PortfolioFrontier[[#This Row],[P123 HWM]]-1</f>
        <v>-4.5356654043166911E-2</v>
      </c>
      <c r="SA94" s="28">
        <f>SUMPRODUCT(INDEX(PortfolioRef[[SPY]:[PE]],MATCH(SA$1,PortfolioRef[Reference '#]),0),AssetMonthlyReturns[[#This Row],[SPY]:[PE]])</f>
        <v>6.7048438287068066E-2</v>
      </c>
      <c r="SB94" s="27">
        <f>IF(ISNUMBER(SB93),SB93*(1+PortfolioFrontier[[#This Row],[P124 Return]]),1+PortfolioFrontier[[#This Row],[P124 Return]])</f>
        <v>1.5945804989504826</v>
      </c>
      <c r="SC94" s="27">
        <f>MAX(SC93,PortfolioFrontier[[#This Row],[P124 Growth]])</f>
        <v>1.6823821965094672</v>
      </c>
      <c r="SD94" s="27">
        <f>PortfolioFrontier[[#This Row],[P124 Growth]]/PortfolioFrontier[[#This Row],[P124 HWM]]-1</f>
        <v>-5.2188912686517819E-2</v>
      </c>
      <c r="SE94" s="28">
        <f>SUMPRODUCT(INDEX(PortfolioRef[[SPY]:[PE]],MATCH(SE$1,PortfolioRef[Reference '#]),0),AssetMonthlyReturns[[#This Row],[SPY]:[PE]])</f>
        <v>6.0915459279271958E-2</v>
      </c>
      <c r="SF94" s="27">
        <f>IF(ISNUMBER(SF93),SF93*(1+PortfolioFrontier[[#This Row],[P125 Return]]),1+PortfolioFrontier[[#This Row],[P125 Return]])</f>
        <v>1.5943662042791742</v>
      </c>
      <c r="SG94" s="27">
        <f>MAX(SG93,PortfolioFrontier[[#This Row],[P125 Growth]])</f>
        <v>1.6509411354388694</v>
      </c>
      <c r="SH94" s="27">
        <f>PortfolioFrontier[[#This Row],[P125 Growth]]/PortfolioFrontier[[#This Row],[P125 HWM]]-1</f>
        <v>-3.4268290943429647E-2</v>
      </c>
      <c r="SI94" s="28">
        <f>SUMPRODUCT(INDEX(PortfolioRef[[SPY]:[PE]],MATCH(SI$1,PortfolioRef[Reference '#]),0),AssetMonthlyReturns[[#This Row],[SPY]:[PE]])</f>
        <v>5.4782480271475843E-2</v>
      </c>
      <c r="SJ94" s="27">
        <f>IF(ISNUMBER(SJ93),SJ93*(1+PortfolioFrontier[[#This Row],[P126 Return]]),1+PortfolioFrontier[[#This Row],[P126 Return]])</f>
        <v>1.5929860474120305</v>
      </c>
      <c r="SK94" s="27">
        <f>MAX(SK93,PortfolioFrontier[[#This Row],[P126 Growth]])</f>
        <v>1.6193836797956254</v>
      </c>
      <c r="SL94" s="27">
        <f>PortfolioFrontier[[#This Row],[P126 Growth]]/PortfolioFrontier[[#This Row],[P126 HWM]]-1</f>
        <v>-1.6301036445499073E-2</v>
      </c>
      <c r="SM94" s="28">
        <f>SUMPRODUCT(INDEX(PortfolioRef[[SPY]:[PE]],MATCH(SM$1,PortfolioRef[Reference '#]),0),AssetMonthlyReturns[[#This Row],[SPY]:[PE]])</f>
        <v>7.1823622842989973E-2</v>
      </c>
      <c r="SN94" s="27">
        <f>IF(ISNUMBER(SN93),SN93*(1+PortfolioFrontier[[#This Row],[P127 Return]]),1+PortfolioFrontier[[#This Row],[P127 Return]])</f>
        <v>1.5826974213205265</v>
      </c>
      <c r="SO94" s="27">
        <f>MAX(SO93,PortfolioFrontier[[#This Row],[P127 Growth]])</f>
        <v>1.7016086575400751</v>
      </c>
      <c r="SP94" s="27">
        <f>PortfolioFrontier[[#This Row],[P127 Growth]]/PortfolioFrontier[[#This Row],[P127 HWM]]-1</f>
        <v>-6.9881659153904541E-2</v>
      </c>
      <c r="SQ94" s="28">
        <f>SUMPRODUCT(INDEX(PortfolioRef[[SPY]:[PE]],MATCH(SQ$1,PortfolioRef[Reference '#]),0),AssetMonthlyReturns[[#This Row],[SPY]:[PE]])</f>
        <v>6.5690643835193865E-2</v>
      </c>
      <c r="SR94" s="27">
        <f>IF(ISNUMBER(SR93),SR93*(1+PortfolioFrontier[[#This Row],[P128 Return]]),1+PortfolioFrontier[[#This Row],[P128 Return]])</f>
        <v>1.5833747285248334</v>
      </c>
      <c r="SS94" s="27">
        <f>MAX(SS93,PortfolioFrontier[[#This Row],[P128 Growth]])</f>
        <v>1.6703618996398835</v>
      </c>
      <c r="ST94" s="27">
        <f>PortfolioFrontier[[#This Row],[P128 Growth]]/PortfolioFrontier[[#This Row],[P128 HWM]]-1</f>
        <v>-5.2076841032954513E-2</v>
      </c>
      <c r="SU94" s="28">
        <f>SUMPRODUCT(INDEX(PortfolioRef[[SPY]:[PE]],MATCH(SU$1,PortfolioRef[Reference '#]),0),AssetMonthlyReturns[[#This Row],[SPY]:[PE]])</f>
        <v>5.9557664827397751E-2</v>
      </c>
      <c r="SV94" s="27">
        <f>IF(ISNUMBER(SV93),SV93*(1+PortfolioFrontier[[#This Row],[P129 Return]]),1+PortfolioFrontier[[#This Row],[P129 Return]])</f>
        <v>1.5828895270722627</v>
      </c>
      <c r="SW94" s="27">
        <f>MAX(SW93,PortfolioFrontier[[#This Row],[P129 Growth]])</f>
        <v>1.6389727481356613</v>
      </c>
      <c r="SX94" s="27">
        <f>PortfolioFrontier[[#This Row],[P129 Growth]]/PortfolioFrontier[[#This Row],[P129 HWM]]-1</f>
        <v>-3.4218519574040207E-2</v>
      </c>
      <c r="SY94" s="28">
        <f>SUMPRODUCT(INDEX(PortfolioRef[[SPY]:[PE]],MATCH(SY$1,PortfolioRef[Reference '#]),0),AssetMonthlyReturns[[#This Row],[SPY]:[PE]])</f>
        <v>7.6598807398911881E-2</v>
      </c>
      <c r="SZ94" s="27">
        <f>IF(ISNUMBER(SZ93),SZ93*(1+PortfolioFrontier[[#This Row],[P130 Return]]),1+PortfolioFrontier[[#This Row],[P130 Return]])</f>
        <v>1.569671363994068</v>
      </c>
      <c r="TA94" s="27">
        <f>MAX(TA93,PortfolioFrontier[[#This Row],[P130 Growth]])</f>
        <v>1.720142179322633</v>
      </c>
      <c r="TB94" s="27">
        <f>PortfolioFrontier[[#This Row],[P130 Growth]]/PortfolioFrontier[[#This Row],[P130 HWM]]-1</f>
        <v>-8.7475801208373505E-2</v>
      </c>
      <c r="TC94" s="28">
        <f>SUMPRODUCT(INDEX(PortfolioRef[[SPY]:[PE]],MATCH(TC$1,PortfolioRef[Reference '#]),0),AssetMonthlyReturns[[#This Row],[SPY]:[PE]])</f>
        <v>7.0465828391115773E-2</v>
      </c>
      <c r="TD94" s="27">
        <f>IF(ISNUMBER(TD93),TD93*(1+PortfolioFrontier[[#This Row],[P131 Return]]),1+PortfolioFrontier[[#This Row],[P131 Return]])</f>
        <v>1.5712306145180577</v>
      </c>
      <c r="TE94" s="27">
        <f>MAX(TE93,PortfolioFrontier[[#This Row],[P131 Growth]])</f>
        <v>1.6891185966988822</v>
      </c>
      <c r="TF94" s="27">
        <f>PortfolioFrontier[[#This Row],[P131 Growth]]/PortfolioFrontier[[#This Row],[P131 HWM]]-1</f>
        <v>-6.9792602136533266E-2</v>
      </c>
      <c r="TG94" s="28">
        <f>SUMPRODUCT(INDEX(PortfolioRef[[SPY]:[PE]],MATCH(TG$1,PortfolioRef[Reference '#]),0),AssetMonthlyReturns[[#This Row],[SPY]:[PE]])</f>
        <v>6.4332849383319651E-2</v>
      </c>
      <c r="TH94" s="27">
        <f>IF(ISNUMBER(TH93),TH93*(1+PortfolioFrontier[[#This Row],[P132 Return]]),1+PortfolioFrontier[[#This Row],[P132 Return]])</f>
        <v>1.5716323932185006</v>
      </c>
      <c r="TI94" s="27">
        <f>MAX(TI93,PortfolioFrontier[[#This Row],[P132 Growth]])</f>
        <v>1.6579261593145806</v>
      </c>
      <c r="TJ94" s="27">
        <f>PortfolioFrontier[[#This Row],[P132 Growth]]/PortfolioFrontier[[#This Row],[P132 HWM]]-1</f>
        <v>-5.2049221620192987E-2</v>
      </c>
      <c r="TK94" s="28">
        <f>SUMPRODUCT(INDEX(PortfolioRef[[SPY]:[PE]],MATCH(TK$1,PortfolioRef[Reference '#]),0),AssetMonthlyReturns[[#This Row],[SPY]:[PE]])</f>
        <v>7.0806907730761023E-2</v>
      </c>
      <c r="TL94" s="27">
        <f>IF(ISNUMBER(TL93),TL93*(1+PortfolioFrontier[[#This Row],[P133 Return]]),1+PortfolioFrontier[[#This Row],[P133 Return]])</f>
        <v>1.6157077039480403</v>
      </c>
      <c r="TM94" s="27">
        <f>MAX(TM93,PortfolioFrontier[[#This Row],[P133 Growth]])</f>
        <v>1.7171102853087914</v>
      </c>
      <c r="TN94" s="27">
        <f>PortfolioFrontier[[#This Row],[P133 Growth]]/PortfolioFrontier[[#This Row],[P133 HWM]]-1</f>
        <v>-5.9054204164012525E-2</v>
      </c>
      <c r="TO94" s="28">
        <f>SUMPRODUCT(INDEX(PortfolioRef[[SPY]:[PE]],MATCH(TO$1,PortfolioRef[Reference '#]),0),AssetMonthlyReturns[[#This Row],[SPY]:[PE]])</f>
        <v>6.4673928722964916E-2</v>
      </c>
      <c r="TP94" s="27">
        <f>IF(ISNUMBER(TP93),TP93*(1+PortfolioFrontier[[#This Row],[P134 Return]]),1+PortfolioFrontier[[#This Row],[P134 Return]])</f>
        <v>1.6164235135678076</v>
      </c>
      <c r="TQ94" s="27">
        <f>MAX(TQ93,PortfolioFrontier[[#This Row],[P134 Growth]])</f>
        <v>1.6856432974461595</v>
      </c>
      <c r="TR94" s="27">
        <f>PortfolioFrontier[[#This Row],[P134 Growth]]/PortfolioFrontier[[#This Row],[P134 HWM]]-1</f>
        <v>-4.106431294403956E-2</v>
      </c>
      <c r="TS94" s="28">
        <f>SUMPRODUCT(INDEX(PortfolioRef[[SPY]:[PE]],MATCH(TS$1,PortfolioRef[Reference '#]),0),AssetMonthlyReturns[[#This Row],[SPY]:[PE]])</f>
        <v>5.8540949715168801E-2</v>
      </c>
      <c r="TT94" s="27">
        <f>IF(ISNUMBER(TT93),TT93*(1+PortfolioFrontier[[#This Row],[P135 Return]]),1+PortfolioFrontier[[#This Row],[P135 Return]])</f>
        <v>1.6159532033799995</v>
      </c>
      <c r="TU94" s="27">
        <f>MAX(TU93,PortfolioFrontier[[#This Row],[P135 Growth]])</f>
        <v>1.6540304901705998</v>
      </c>
      <c r="TV94" s="27">
        <f>PortfolioFrontier[[#This Row],[P135 Growth]]/PortfolioFrontier[[#This Row],[P135 HWM]]-1</f>
        <v>-2.3020909842280446E-2</v>
      </c>
      <c r="TW94" s="28">
        <f>SUMPRODUCT(INDEX(PortfolioRef[[SPY]:[PE]],MATCH(TW$1,PortfolioRef[Reference '#]),0),AssetMonthlyReturns[[#This Row],[SPY]:[PE]])</f>
        <v>7.5582092286682931E-2</v>
      </c>
      <c r="TX94" s="27">
        <f>IF(ISNUMBER(TX93),TX93*(1+PortfolioFrontier[[#This Row],[P136 Return]]),1+PortfolioFrontier[[#This Row],[P136 Return]])</f>
        <v>1.6028210711779554</v>
      </c>
      <c r="TY94" s="27">
        <f>MAX(TY93,PortfolioFrontier[[#This Row],[P136 Growth]])</f>
        <v>1.7361155602147582</v>
      </c>
      <c r="TZ94" s="27">
        <f>PortfolioFrontier[[#This Row],[P136 Growth]]/PortfolioFrontier[[#This Row],[P136 HWM]]-1</f>
        <v>-7.6777428928932689E-2</v>
      </c>
      <c r="UA94" s="28">
        <f>SUMPRODUCT(INDEX(PortfolioRef[[SPY]:[PE]],MATCH(UA$1,PortfolioRef[Reference '#]),0),AssetMonthlyReturns[[#This Row],[SPY]:[PE]])</f>
        <v>6.9449113278886823E-2</v>
      </c>
      <c r="UB94" s="27">
        <f>IF(ISNUMBER(UB93),UB93*(1+PortfolioFrontier[[#This Row],[P137 Return]]),1+PortfolioFrontier[[#This Row],[P137 Return]])</f>
        <v>1.6044371422929296</v>
      </c>
      <c r="UC94" s="27">
        <f>MAX(UC93,PortfolioFrontier[[#This Row],[P137 Growth]])</f>
        <v>1.7048691873265751</v>
      </c>
      <c r="UD94" s="27">
        <f>PortfolioFrontier[[#This Row],[P137 Growth]]/PortfolioFrontier[[#This Row],[P137 HWM]]-1</f>
        <v>-5.8908944909218608E-2</v>
      </c>
      <c r="UE94" s="28">
        <f>SUMPRODUCT(INDEX(PortfolioRef[[SPY]:[PE]],MATCH(UE$1,PortfolioRef[Reference '#]),0),AssetMonthlyReturns[[#This Row],[SPY]:[PE]])</f>
        <v>6.3316134271090702E-2</v>
      </c>
      <c r="UF94" s="27">
        <f>IF(ISNUMBER(UF93),UF93*(1+PortfolioFrontier[[#This Row],[P138 Return]]),1+PortfolioFrontier[[#This Row],[P138 Return]])</f>
        <v>1.6048719686903044</v>
      </c>
      <c r="UG94" s="27">
        <f>MAX(UG93,PortfolioFrontier[[#This Row],[P138 Growth]])</f>
        <v>1.6734502822541619</v>
      </c>
      <c r="UH94" s="27">
        <f>PortfolioFrontier[[#This Row],[P138 Growth]]/PortfolioFrontier[[#This Row],[P138 HWM]]-1</f>
        <v>-4.098019181751944E-2</v>
      </c>
      <c r="UI94" s="28">
        <f>SUMPRODUCT(INDEX(PortfolioRef[[SPY]:[PE]],MATCH(UI$1,PortfolioRef[Reference '#]),0),AssetMonthlyReturns[[#This Row],[SPY]:[PE]])</f>
        <v>8.0357276842604838E-2</v>
      </c>
      <c r="UJ94" s="27">
        <f>IF(ISNUMBER(UJ93),UJ93*(1+PortfolioFrontier[[#This Row],[P139 Return]]),1+PortfolioFrontier[[#This Row],[P139 Return]])</f>
        <v>1.5887866830176409</v>
      </c>
      <c r="UK94" s="27">
        <f>MAX(UK93,PortfolioFrontier[[#This Row],[P139 Growth]])</f>
        <v>1.7543965710992384</v>
      </c>
      <c r="UL94" s="27">
        <f>PortfolioFrontier[[#This Row],[P139 Growth]]/PortfolioFrontier[[#This Row],[P139 HWM]]-1</f>
        <v>-9.4397065526543145E-2</v>
      </c>
      <c r="UM94" s="28">
        <f>SUMPRODUCT(INDEX(PortfolioRef[[SPY]:[PE]],MATCH(UM$1,PortfolioRef[Reference '#]),0),AssetMonthlyReturns[[#This Row],[SPY]:[PE]])</f>
        <v>7.4224297834808731E-2</v>
      </c>
      <c r="UN94" s="27">
        <f>IF(ISNUMBER(UN93),UN93*(1+PortfolioFrontier[[#This Row],[P140 Return]]),1+PortfolioFrontier[[#This Row],[P140 Return]])</f>
        <v>1.5912917563930218</v>
      </c>
      <c r="UO94" s="27">
        <f>MAX(UO93,PortfolioFrontier[[#This Row],[P140 Growth]])</f>
        <v>1.7234002022793458</v>
      </c>
      <c r="UP94" s="27">
        <f>PortfolioFrontier[[#This Row],[P140 Growth]]/PortfolioFrontier[[#This Row],[P140 HWM]]-1</f>
        <v>-7.6655698259521565E-2</v>
      </c>
      <c r="UQ94" s="28">
        <f>SUMPRODUCT(INDEX(PortfolioRef[[SPY]:[PE]],MATCH(UQ$1,PortfolioRef[Reference '#]),0),AssetMonthlyReturns[[#This Row],[SPY]:[PE]])</f>
        <v>6.8091318827012609E-2</v>
      </c>
      <c r="UR94" s="27">
        <f>IF(ISNUMBER(UR93),UR93*(1+PortfolioFrontier[[#This Row],[P141 Return]]),1+PortfolioFrontier[[#This Row],[P141 Return]])</f>
        <v>1.592622161089003</v>
      </c>
      <c r="US94" s="27">
        <f>MAX(US93,PortfolioFrontier[[#This Row],[P141 Growth]])</f>
        <v>1.6922041432386774</v>
      </c>
      <c r="UT94" s="27">
        <f>PortfolioFrontier[[#This Row],[P141 Growth]]/PortfolioFrontier[[#This Row],[P141 HWM]]-1</f>
        <v>-5.8847499308851914E-2</v>
      </c>
    </row>
    <row r="95" spans="2:566" x14ac:dyDescent="0.2">
      <c r="B95" s="41">
        <f>AssetMonthlyReturns[[#This Row],[Date]]</f>
        <v>45261</v>
      </c>
      <c r="C95" s="28">
        <f>SUMPRODUCT(INDEX(PortfolioRef[[SPY]:[PE]],MATCH(C$1,PortfolioRef[Reference '#]),0),AssetMonthlyReturns[[#This Row],[SPY]:[PE]])</f>
        <v>3.4980005750523818E-2</v>
      </c>
      <c r="D95" s="29">
        <f>IF(ISNUMBER(D94),D94*(1+PortfolioFrontier[[#This Row],[P1 Return]]),1+PortfolioFrontier[[#This Row],[P1 Return]])</f>
        <v>1.9778978025017866</v>
      </c>
      <c r="E95" s="29">
        <f>MAX(E94,PortfolioFrontier[[#This Row],[P1 Growth]])</f>
        <v>1.9778978025017866</v>
      </c>
      <c r="F95" s="29">
        <f>PortfolioFrontier[[#This Row],[P1 Growth]]/PortfolioFrontier[[#This Row],[P1 HWM]]-1</f>
        <v>0</v>
      </c>
      <c r="G95" s="28">
        <f>SUMPRODUCT(INDEX(PortfolioRef[[SPY]:[PE]],MATCH(G$1,PortfolioRef[Reference '#]),0),AssetMonthlyReturns[[#This Row],[SPY]:[PE]])</f>
        <v>3.4616601864649092E-2</v>
      </c>
      <c r="H95" s="27">
        <f>IF(ISNUMBER(H94),H94*(1+PortfolioFrontier[[#This Row],[P2 Return]]),1+PortfolioFrontier[[#This Row],[P2 Return]])</f>
        <v>1.8937957024586389</v>
      </c>
      <c r="I95" s="27">
        <f>MAX(I94,PortfolioFrontier[[#This Row],[P2 Growth]])</f>
        <v>1.8937957024586389</v>
      </c>
      <c r="J95" s="27">
        <f>PortfolioFrontier[[#This Row],[P2 Growth]]/PortfolioFrontier[[#This Row],[P2 HWM]]-1</f>
        <v>0</v>
      </c>
      <c r="K95" s="28">
        <f>SUMPRODUCT(INDEX(PortfolioRef[[SPY]:[PE]],MATCH(K$1,PortfolioRef[Reference '#]),0),AssetMonthlyReturns[[#This Row],[SPY]:[PE]])</f>
        <v>3.3549417668269896E-2</v>
      </c>
      <c r="L95" s="27">
        <f>IF(ISNUMBER(L94),L94*(1+PortfolioFrontier[[#This Row],[P3 Return]]),1+PortfolioFrontier[[#This Row],[P3 Return]])</f>
        <v>1.9319071259842298</v>
      </c>
      <c r="M95" s="27">
        <f>MAX(M94,PortfolioFrontier[[#This Row],[P3 Growth]])</f>
        <v>1.9319071259842298</v>
      </c>
      <c r="N95" s="27">
        <f>PortfolioFrontier[[#This Row],[P3 Growth]]/PortfolioFrontier[[#This Row],[P3 HWM]]-1</f>
        <v>0</v>
      </c>
      <c r="O95" s="28">
        <f>SUMPRODUCT(INDEX(PortfolioRef[[SPY]:[PE]],MATCH(O$1,PortfolioRef[Reference '#]),0),AssetMonthlyReturns[[#This Row],[SPY]:[PE]])</f>
        <v>3.6964392588270757E-2</v>
      </c>
      <c r="P95" s="27">
        <f>IF(ISNUMBER(P94),P94*(1+PortfolioFrontier[[#This Row],[P4 Return]]),1+PortfolioFrontier[[#This Row],[P4 Return]])</f>
        <v>1.9227259011403579</v>
      </c>
      <c r="Q95" s="27">
        <f>MAX(Q94,PortfolioFrontier[[#This Row],[P4 Growth]])</f>
        <v>1.9227259011403579</v>
      </c>
      <c r="R95" s="27">
        <f>PortfolioFrontier[[#This Row],[P4 Growth]]/PortfolioFrontier[[#This Row],[P4 HWM]]-1</f>
        <v>0</v>
      </c>
      <c r="S95" s="28">
        <f>SUMPRODUCT(INDEX(PortfolioRef[[SPY]:[PE]],MATCH(S$1,PortfolioRef[Reference '#]),0),AssetMonthlyReturns[[#This Row],[SPY]:[PE]])</f>
        <v>3.1744843618287492E-2</v>
      </c>
      <c r="T95" s="27">
        <f>IF(ISNUMBER(T94),T94*(1+PortfolioFrontier[[#This Row],[P5 Return]]),1+PortfolioFrontier[[#This Row],[P5 Return]])</f>
        <v>1.9140947767294627</v>
      </c>
      <c r="U95" s="27">
        <f>MAX(U94,PortfolioFrontier[[#This Row],[P5 Growth]])</f>
        <v>1.9140947767294627</v>
      </c>
      <c r="V95" s="27">
        <f>PortfolioFrontier[[#This Row],[P5 Growth]]/PortfolioFrontier[[#This Row],[P5 HWM]]-1</f>
        <v>0</v>
      </c>
      <c r="W95" s="28">
        <f>SUMPRODUCT(INDEX(PortfolioRef[[SPY]:[PE]],MATCH(W$1,PortfolioRef[Reference '#]),0),AssetMonthlyReturns[[#This Row],[SPY]:[PE]])</f>
        <v>3.4253197978774366E-2</v>
      </c>
      <c r="X95" s="27">
        <f>IF(ISNUMBER(X94),X94*(1+PortfolioFrontier[[#This Row],[P6 Return]]),1+PortfolioFrontier[[#This Row],[P6 Return]])</f>
        <v>1.8124445408581618</v>
      </c>
      <c r="Y95" s="27">
        <f>MAX(Y94,PortfolioFrontier[[#This Row],[P6 Growth]])</f>
        <v>1.8124445408581618</v>
      </c>
      <c r="Z95" s="27">
        <f>PortfolioFrontier[[#This Row],[P6 Growth]]/PortfolioFrontier[[#This Row],[P6 HWM]]-1</f>
        <v>0</v>
      </c>
      <c r="AA95" s="28">
        <f>SUMPRODUCT(INDEX(PortfolioRef[[SPY]:[PE]],MATCH(AA$1,PortfolioRef[Reference '#]),0),AssetMonthlyReturns[[#This Row],[SPY]:[PE]])</f>
        <v>3.3186013782395177E-2</v>
      </c>
      <c r="AB95" s="27">
        <f>IF(ISNUMBER(AB94),AB94*(1+PortfolioFrontier[[#This Row],[P7 Return]]),1+PortfolioFrontier[[#This Row],[P7 Return]])</f>
        <v>1.8489223990155894</v>
      </c>
      <c r="AC95" s="27">
        <f>MAX(AC94,PortfolioFrontier[[#This Row],[P7 Growth]])</f>
        <v>1.8489223990155894</v>
      </c>
      <c r="AD95" s="27">
        <f>PortfolioFrontier[[#This Row],[P7 Growth]]/PortfolioFrontier[[#This Row],[P7 HWM]]-1</f>
        <v>0</v>
      </c>
      <c r="AE95" s="28">
        <f>SUMPRODUCT(INDEX(PortfolioRef[[SPY]:[PE]],MATCH(AE$1,PortfolioRef[Reference '#]),0),AssetMonthlyReturns[[#This Row],[SPY]:[PE]])</f>
        <v>3.6600988702396031E-2</v>
      </c>
      <c r="AF95" s="27">
        <f>IF(ISNUMBER(AF94),AF94*(1+PortfolioFrontier[[#This Row],[P8 Return]]),1+PortfolioFrontier[[#This Row],[P8 Return]])</f>
        <v>1.8408386382752175</v>
      </c>
      <c r="AG95" s="27">
        <f>MAX(AG94,PortfolioFrontier[[#This Row],[P8 Growth]])</f>
        <v>1.8482324314062795</v>
      </c>
      <c r="AH95" s="27">
        <f>PortfolioFrontier[[#This Row],[P8 Growth]]/PortfolioFrontier[[#This Row],[P8 HWM]]-1</f>
        <v>-4.0004671519783264E-3</v>
      </c>
      <c r="AI95" s="28">
        <f>SUMPRODUCT(INDEX(PortfolioRef[[SPY]:[PE]],MATCH(AI$1,PortfolioRef[Reference '#]),0),AssetMonthlyReturns[[#This Row],[SPY]:[PE]])</f>
        <v>3.1381439732412773E-2</v>
      </c>
      <c r="AJ95" s="27">
        <f>IF(ISNUMBER(AJ94),AJ94*(1+PortfolioFrontier[[#This Row],[P9 Return]]),1+PortfolioFrontier[[#This Row],[P9 Return]])</f>
        <v>1.8318872025483615</v>
      </c>
      <c r="AK95" s="27">
        <f>MAX(AK94,PortfolioFrontier[[#This Row],[P9 Growth]])</f>
        <v>1.8318872025483615</v>
      </c>
      <c r="AL95" s="27">
        <f>PortfolioFrontier[[#This Row],[P9 Growth]]/PortfolioFrontier[[#This Row],[P9 HWM]]-1</f>
        <v>0</v>
      </c>
      <c r="AM95" s="28">
        <f>SUMPRODUCT(INDEX(PortfolioRef[[SPY]:[PE]],MATCH(AM$1,PortfolioRef[Reference '#]),0),AssetMonthlyReturns[[#This Row],[SPY]:[PE]])</f>
        <v>3.2118829586015987E-2</v>
      </c>
      <c r="AN95" s="27">
        <f>IF(ISNUMBER(AN94),AN94*(1+PortfolioFrontier[[#This Row],[P10 Return]]),1+PortfolioFrontier[[#This Row],[P10 Return]])</f>
        <v>1.8856240742199917</v>
      </c>
      <c r="AO95" s="27">
        <f>MAX(AO94,PortfolioFrontier[[#This Row],[P10 Growth]])</f>
        <v>1.8856240742199917</v>
      </c>
      <c r="AP95" s="27">
        <f>PortfolioFrontier[[#This Row],[P10 Growth]]/PortfolioFrontier[[#This Row],[P10 HWM]]-1</f>
        <v>0</v>
      </c>
      <c r="AQ95" s="28">
        <f>SUMPRODUCT(INDEX(PortfolioRef[[SPY]:[PE]],MATCH(AQ$1,PortfolioRef[Reference '#]),0),AssetMonthlyReturns[[#This Row],[SPY]:[PE]])</f>
        <v>3.5533804506016842E-2</v>
      </c>
      <c r="AR95" s="27">
        <f>IF(ISNUMBER(AR94),AR94*(1+PortfolioFrontier[[#This Row],[P11 Return]]),1+PortfolioFrontier[[#This Row],[P11 Return]])</f>
        <v>1.8778654978480853</v>
      </c>
      <c r="AS95" s="27">
        <f>MAX(AS94,PortfolioFrontier[[#This Row],[P11 Growth]])</f>
        <v>1.8778654978480853</v>
      </c>
      <c r="AT95" s="27">
        <f>PortfolioFrontier[[#This Row],[P11 Growth]]/PortfolioFrontier[[#This Row],[P11 HWM]]-1</f>
        <v>0</v>
      </c>
      <c r="AU95" s="28">
        <f>SUMPRODUCT(INDEX(PortfolioRef[[SPY]:[PE]],MATCH(AU$1,PortfolioRef[Reference '#]),0),AssetMonthlyReturns[[#This Row],[SPY]:[PE]])</f>
        <v>3.0314255536033577E-2</v>
      </c>
      <c r="AV95" s="27">
        <f>IF(ISNUMBER(AV94),AV94*(1+PortfolioFrontier[[#This Row],[P12 Return]]),1+PortfolioFrontier[[#This Row],[P12 Return]])</f>
        <v>1.8687529255397808</v>
      </c>
      <c r="AW95" s="27">
        <f>MAX(AW94,PortfolioFrontier[[#This Row],[P12 Growth]])</f>
        <v>1.8687529255397808</v>
      </c>
      <c r="AX95" s="27">
        <f>PortfolioFrontier[[#This Row],[P12 Growth]]/PortfolioFrontier[[#This Row],[P12 HWM]]-1</f>
        <v>0</v>
      </c>
      <c r="AY95" s="28">
        <f>SUMPRODUCT(INDEX(PortfolioRef[[SPY]:[PE]],MATCH(AY$1,PortfolioRef[Reference '#]),0),AssetMonthlyReturns[[#This Row],[SPY]:[PE]])</f>
        <v>3.8948779426017696E-2</v>
      </c>
      <c r="AZ95" s="27">
        <f>IF(ISNUMBER(AZ94),AZ94*(1+PortfolioFrontier[[#This Row],[P13 Return]]),1+PortfolioFrontier[[#This Row],[P13 Return]])</f>
        <v>1.8686578725468812</v>
      </c>
      <c r="BA95" s="27">
        <f>MAX(BA94,PortfolioFrontier[[#This Row],[P13 Growth]])</f>
        <v>1.8858075751364967</v>
      </c>
      <c r="BB95" s="27">
        <f>PortfolioFrontier[[#This Row],[P13 Growth]]/PortfolioFrontier[[#This Row],[P13 HWM]]-1</f>
        <v>-9.0940893523423494E-3</v>
      </c>
      <c r="BC95" s="28">
        <f>SUMPRODUCT(INDEX(PortfolioRef[[SPY]:[PE]],MATCH(BC$1,PortfolioRef[Reference '#]),0),AssetMonthlyReturns[[#This Row],[SPY]:[PE]])</f>
        <v>3.3729230456034438E-2</v>
      </c>
      <c r="BD95" s="27">
        <f>IF(ISNUMBER(BD94),BD94*(1+PortfolioFrontier[[#This Row],[P14 Return]]),1+PortfolioFrontier[[#This Row],[P14 Return]])</f>
        <v>1.8606683444248688</v>
      </c>
      <c r="BE95" s="27">
        <f>MAX(BE94,PortfolioFrontier[[#This Row],[P14 Growth]])</f>
        <v>1.8606683444248688</v>
      </c>
      <c r="BF95" s="27">
        <f>PortfolioFrontier[[#This Row],[P14 Growth]]/PortfolioFrontier[[#This Row],[P14 HWM]]-1</f>
        <v>0</v>
      </c>
      <c r="BG95" s="28">
        <f>SUMPRODUCT(INDEX(PortfolioRef[[SPY]:[PE]],MATCH(BG$1,PortfolioRef[Reference '#]),0),AssetMonthlyReturns[[#This Row],[SPY]:[PE]])</f>
        <v>2.8509681486051174E-2</v>
      </c>
      <c r="BH95" s="27">
        <f>IF(ISNUMBER(BH94),BH94*(1+PortfolioFrontier[[#This Row],[P15 Return]]),1+PortfolioFrontier[[#This Row],[P15 Return]])</f>
        <v>1.851304401326261</v>
      </c>
      <c r="BI95" s="27">
        <f>MAX(BI94,PortfolioFrontier[[#This Row],[P15 Growth]])</f>
        <v>1.851304401326261</v>
      </c>
      <c r="BJ95" s="27">
        <f>PortfolioFrontier[[#This Row],[P15 Growth]]/PortfolioFrontier[[#This Row],[P15 HWM]]-1</f>
        <v>0</v>
      </c>
      <c r="BK95" s="28">
        <f>SUMPRODUCT(INDEX(PortfolioRef[[SPY]:[PE]],MATCH(BK$1,PortfolioRef[Reference '#]),0),AssetMonthlyReturns[[#This Row],[SPY]:[PE]])</f>
        <v>3.388979409289964E-2</v>
      </c>
      <c r="BL95" s="27">
        <f>IF(ISNUMBER(BL94),BL94*(1+PortfolioFrontier[[#This Row],[P16 Return]]),1+PortfolioFrontier[[#This Row],[P16 Return]])</f>
        <v>1.733798791401711</v>
      </c>
      <c r="BM95" s="27">
        <f>MAX(BM94,PortfolioFrontier[[#This Row],[P16 Growth]])</f>
        <v>1.7425494832470445</v>
      </c>
      <c r="BN95" s="27">
        <f>PortfolioFrontier[[#This Row],[P16 Growth]]/PortfolioFrontier[[#This Row],[P16 HWM]]-1</f>
        <v>-5.021775237640691E-3</v>
      </c>
      <c r="BO95" s="28">
        <f>SUMPRODUCT(INDEX(PortfolioRef[[SPY]:[PE]],MATCH(BO$1,PortfolioRef[Reference '#]),0),AssetMonthlyReturns[[#This Row],[SPY]:[PE]])</f>
        <v>3.2822609896520451E-2</v>
      </c>
      <c r="BP95" s="27">
        <f>IF(ISNUMBER(BP94),BP94*(1+PortfolioFrontier[[#This Row],[P17 Return]]),1+PortfolioFrontier[[#This Row],[P17 Return]])</f>
        <v>1.7686977118881178</v>
      </c>
      <c r="BQ95" s="27">
        <f>MAX(BQ94,PortfolioFrontier[[#This Row],[P17 Growth]])</f>
        <v>1.7686977118881178</v>
      </c>
      <c r="BR95" s="27">
        <f>PortfolioFrontier[[#This Row],[P17 Growth]]/PortfolioFrontier[[#This Row],[P17 HWM]]-1</f>
        <v>0</v>
      </c>
      <c r="BS95" s="28">
        <f>SUMPRODUCT(INDEX(PortfolioRef[[SPY]:[PE]],MATCH(BS$1,PortfolioRef[Reference '#]),0),AssetMonthlyReturns[[#This Row],[SPY]:[PE]])</f>
        <v>3.6237584816521305E-2</v>
      </c>
      <c r="BT95" s="27">
        <f>IF(ISNUMBER(BT94),BT94*(1+PortfolioFrontier[[#This Row],[P18 Return]]),1+PortfolioFrontier[[#This Row],[P18 Return]])</f>
        <v>1.7616358186537686</v>
      </c>
      <c r="BU95" s="27">
        <f>MAX(BU94,PortfolioFrontier[[#This Row],[P18 Growth]])</f>
        <v>1.7791407441475846</v>
      </c>
      <c r="BV95" s="27">
        <f>PortfolioFrontier[[#This Row],[P18 Growth]]/PortfolioFrontier[[#This Row],[P18 HWM]]-1</f>
        <v>-9.8389773554440341E-3</v>
      </c>
      <c r="BW95" s="28">
        <f>SUMPRODUCT(INDEX(PortfolioRef[[SPY]:[PE]],MATCH(BW$1,PortfolioRef[Reference '#]),0),AssetMonthlyReturns[[#This Row],[SPY]:[PE]])</f>
        <v>3.1018035846538047E-2</v>
      </c>
      <c r="BX95" s="27">
        <f>IF(ISNUMBER(BX94),BX94*(1+PortfolioFrontier[[#This Row],[P19 Return]]),1+PortfolioFrontier[[#This Row],[P19 Return]])</f>
        <v>1.7524126785639289</v>
      </c>
      <c r="BY95" s="27">
        <f>MAX(BY94,PortfolioFrontier[[#This Row],[P19 Growth]])</f>
        <v>1.7524126785639289</v>
      </c>
      <c r="BZ95" s="27">
        <f>PortfolioFrontier[[#This Row],[P19 Growth]]/PortfolioFrontier[[#This Row],[P19 HWM]]-1</f>
        <v>0</v>
      </c>
      <c r="CA95" s="28">
        <f>SUMPRODUCT(INDEX(PortfolioRef[[SPY]:[PE]],MATCH(CA$1,PortfolioRef[Reference '#]),0),AssetMonthlyReturns[[#This Row],[SPY]:[PE]])</f>
        <v>3.1755425700141261E-2</v>
      </c>
      <c r="CB95" s="27">
        <f>IF(ISNUMBER(CB94),CB94*(1+PortfolioFrontier[[#This Row],[P20 Return]]),1+PortfolioFrontier[[#This Row],[P20 Return]])</f>
        <v>1.8038100053961554</v>
      </c>
      <c r="CC95" s="27">
        <f>MAX(CC94,PortfolioFrontier[[#This Row],[P20 Growth]])</f>
        <v>1.8038100053961554</v>
      </c>
      <c r="CD95" s="27">
        <f>PortfolioFrontier[[#This Row],[P20 Growth]]/PortfolioFrontier[[#This Row],[P20 HWM]]-1</f>
        <v>0</v>
      </c>
      <c r="CE95" s="28">
        <f>SUMPRODUCT(INDEX(PortfolioRef[[SPY]:[PE]],MATCH(CE$1,PortfolioRef[Reference '#]),0),AssetMonthlyReturns[[#This Row],[SPY]:[PE]])</f>
        <v>3.5170400620142116E-2</v>
      </c>
      <c r="CF95" s="27">
        <f>IF(ISNUMBER(CF94),CF94*(1+PortfolioFrontier[[#This Row],[P21 Return]]),1+PortfolioFrontier[[#This Row],[P21 Return]])</f>
        <v>1.7970732784392365</v>
      </c>
      <c r="CG95" s="27">
        <f>MAX(CG94,PortfolioFrontier[[#This Row],[P21 Growth]])</f>
        <v>1.7970732784392365</v>
      </c>
      <c r="CH95" s="27">
        <f>PortfolioFrontier[[#This Row],[P21 Growth]]/PortfolioFrontier[[#This Row],[P21 HWM]]-1</f>
        <v>0</v>
      </c>
      <c r="CI95" s="28">
        <f>SUMPRODUCT(INDEX(PortfolioRef[[SPY]:[PE]],MATCH(CI$1,PortfolioRef[Reference '#]),0),AssetMonthlyReturns[[#This Row],[SPY]:[PE]])</f>
        <v>2.9950851650158858E-2</v>
      </c>
      <c r="CJ95" s="27">
        <f>IF(ISNUMBER(CJ94),CJ94*(1+PortfolioFrontier[[#This Row],[P22 Return]]),1+PortfolioFrontier[[#This Row],[P22 Return]])</f>
        <v>1.7876830307655309</v>
      </c>
      <c r="CK95" s="27">
        <f>MAX(CK94,PortfolioFrontier[[#This Row],[P22 Growth]])</f>
        <v>1.7876830307655309</v>
      </c>
      <c r="CL95" s="27">
        <f>PortfolioFrontier[[#This Row],[P22 Growth]]/PortfolioFrontier[[#This Row],[P22 HWM]]-1</f>
        <v>0</v>
      </c>
      <c r="CM95" s="28">
        <f>SUMPRODUCT(INDEX(PortfolioRef[[SPY]:[PE]],MATCH(CM$1,PortfolioRef[Reference '#]),0),AssetMonthlyReturns[[#This Row],[SPY]:[PE]])</f>
        <v>3.8585375540142977E-2</v>
      </c>
      <c r="CN95" s="27">
        <f>IF(ISNUMBER(CN94),CN94*(1+PortfolioFrontier[[#This Row],[P23 Return]]),1+PortfolioFrontier[[#This Row],[P23 Return]])</f>
        <v>1.7889458233867763</v>
      </c>
      <c r="CO95" s="27">
        <f>MAX(CO94,PortfolioFrontier[[#This Row],[P23 Growth]])</f>
        <v>1.8158151760868648</v>
      </c>
      <c r="CP95" s="27">
        <f>PortfolioFrontier[[#This Row],[P23 Growth]]/PortfolioFrontier[[#This Row],[P23 HWM]]-1</f>
        <v>-1.4797405074007952E-2</v>
      </c>
      <c r="CQ95" s="28">
        <f>SUMPRODUCT(INDEX(PortfolioRef[[SPY]:[PE]],MATCH(CQ$1,PortfolioRef[Reference '#]),0),AssetMonthlyReturns[[#This Row],[SPY]:[PE]])</f>
        <v>3.3365826570159712E-2</v>
      </c>
      <c r="CR95" s="27">
        <f>IF(ISNUMBER(CR94),CR94*(1+PortfolioFrontier[[#This Row],[P24 Return]]),1+PortfolioFrontier[[#This Row],[P24 Return]])</f>
        <v>1.7806274647667828</v>
      </c>
      <c r="CS95" s="27">
        <f>MAX(CS94,PortfolioFrontier[[#This Row],[P24 Growth]])</f>
        <v>1.7823638134718676</v>
      </c>
      <c r="CT95" s="27">
        <f>PortfolioFrontier[[#This Row],[P24 Growth]]/PortfolioFrontier[[#This Row],[P24 HWM]]-1</f>
        <v>-9.7418309997132635E-4</v>
      </c>
      <c r="CU95" s="28">
        <f>SUMPRODUCT(INDEX(PortfolioRef[[SPY]:[PE]],MATCH(CU$1,PortfolioRef[Reference '#]),0),AssetMonthlyReturns[[#This Row],[SPY]:[PE]])</f>
        <v>2.8146277600176454E-2</v>
      </c>
      <c r="CV95" s="27">
        <f>IF(ISNUMBER(CV94),CV94*(1+PortfolioFrontier[[#This Row],[P25 Return]]),1+PortfolioFrontier[[#This Row],[P25 Return]])</f>
        <v>1.7710025764284616</v>
      </c>
      <c r="CW95" s="27">
        <f>MAX(CW94,PortfolioFrontier[[#This Row],[P25 Growth]])</f>
        <v>1.7710025764284616</v>
      </c>
      <c r="CX95" s="27">
        <f>PortfolioFrontier[[#This Row],[P25 Growth]]/PortfolioFrontier[[#This Row],[P25 HWM]]-1</f>
        <v>0</v>
      </c>
      <c r="CY95" s="28">
        <f>SUMPRODUCT(INDEX(PortfolioRef[[SPY]:[PE]],MATCH(CY$1,PortfolioRef[Reference '#]),0),AssetMonthlyReturns[[#This Row],[SPY]:[PE]])</f>
        <v>3.4103216423762926E-2</v>
      </c>
      <c r="CZ95" s="27">
        <f>IF(ISNUMBER(CZ94),CZ94*(1+PortfolioFrontier[[#This Row],[P26 Return]]),1+PortfolioFrontier[[#This Row],[P26 Return]])</f>
        <v>1.8327272325872819</v>
      </c>
      <c r="DA95" s="27">
        <f>MAX(DA94,PortfolioFrontier[[#This Row],[P26 Growth]])</f>
        <v>1.8327272325872819</v>
      </c>
      <c r="DB95" s="27">
        <f>PortfolioFrontier[[#This Row],[P26 Growth]]/PortfolioFrontier[[#This Row],[P26 HWM]]-1</f>
        <v>0</v>
      </c>
      <c r="DC95" s="28">
        <f>SUMPRODUCT(INDEX(PortfolioRef[[SPY]:[PE]],MATCH(DC$1,PortfolioRef[Reference '#]),0),AssetMonthlyReturns[[#This Row],[SPY]:[PE]])</f>
        <v>2.8883667453779668E-2</v>
      </c>
      <c r="DD95" s="27">
        <f>IF(ISNUMBER(DD94),DD94*(1+PortfolioFrontier[[#This Row],[P27 Return]]),1+PortfolioFrontier[[#This Row],[P27 Return]])</f>
        <v>1.8231692401596205</v>
      </c>
      <c r="DE95" s="27">
        <f>MAX(DE94,PortfolioFrontier[[#This Row],[P27 Growth]])</f>
        <v>1.8231692401596205</v>
      </c>
      <c r="DF95" s="27">
        <f>PortfolioFrontier[[#This Row],[P27 Growth]]/PortfolioFrontier[[#This Row],[P27 HWM]]-1</f>
        <v>0</v>
      </c>
      <c r="DG95" s="28">
        <f>SUMPRODUCT(INDEX(PortfolioRef[[SPY]:[PE]],MATCH(DG$1,PortfolioRef[Reference '#]),0),AssetMonthlyReturns[[#This Row],[SPY]:[PE]])</f>
        <v>3.7518191343763788E-2</v>
      </c>
      <c r="DH95" s="27">
        <f>IF(ISNUMBER(DH94),DH94*(1+PortfolioFrontier[[#This Row],[P28 Return]]),1+PortfolioFrontier[[#This Row],[P28 Return]])</f>
        <v>1.8249110334180714</v>
      </c>
      <c r="DI95" s="27">
        <f>MAX(DI94,PortfolioFrontier[[#This Row],[P28 Growth]])</f>
        <v>1.8327167417336543</v>
      </c>
      <c r="DJ95" s="27">
        <f>PortfolioFrontier[[#This Row],[P28 Growth]]/PortfolioFrontier[[#This Row],[P28 HWM]]-1</f>
        <v>-4.2590915103438709E-3</v>
      </c>
      <c r="DK95" s="28">
        <f>SUMPRODUCT(INDEX(PortfolioRef[[SPY]:[PE]],MATCH(DK$1,PortfolioRef[Reference '#]),0),AssetMonthlyReturns[[#This Row],[SPY]:[PE]])</f>
        <v>3.2298642373780523E-2</v>
      </c>
      <c r="DL95" s="27">
        <f>IF(ISNUMBER(DL94),DL94*(1+PortfolioFrontier[[#This Row],[P29 Return]]),1+PortfolioFrontier[[#This Row],[P29 Return]])</f>
        <v>1.8164436571011819</v>
      </c>
      <c r="DM95" s="27">
        <f>MAX(DM94,PortfolioFrontier[[#This Row],[P29 Growth]])</f>
        <v>1.8164436571011819</v>
      </c>
      <c r="DN95" s="27">
        <f>PortfolioFrontier[[#This Row],[P29 Growth]]/PortfolioFrontier[[#This Row],[P29 HWM]]-1</f>
        <v>0</v>
      </c>
      <c r="DO95" s="28">
        <f>SUMPRODUCT(INDEX(PortfolioRef[[SPY]:[PE]],MATCH(DO$1,PortfolioRef[Reference '#]),0),AssetMonthlyReturns[[#This Row],[SPY]:[PE]])</f>
        <v>2.7079093403797258E-2</v>
      </c>
      <c r="DP95" s="27">
        <f>IF(ISNUMBER(DP94),DP94*(1+PortfolioFrontier[[#This Row],[P30 Return]]),1+PortfolioFrontier[[#This Row],[P30 Return]])</f>
        <v>1.8066439398426466</v>
      </c>
      <c r="DQ95" s="27">
        <f>MAX(DQ94,PortfolioFrontier[[#This Row],[P30 Growth]])</f>
        <v>1.8066439398426466</v>
      </c>
      <c r="DR95" s="27">
        <f>PortfolioFrontier[[#This Row],[P30 Growth]]/PortfolioFrontier[[#This Row],[P30 HWM]]-1</f>
        <v>0</v>
      </c>
      <c r="DS95" s="28">
        <f>SUMPRODUCT(INDEX(PortfolioRef[[SPY]:[PE]],MATCH(DS$1,PortfolioRef[Reference '#]),0),AssetMonthlyReturns[[#This Row],[SPY]:[PE]])</f>
        <v>4.0933166263764642E-2</v>
      </c>
      <c r="DT95" s="27">
        <f>IF(ISNUMBER(DT94),DT94*(1+PortfolioFrontier[[#This Row],[P31 Return]]),1+PortfolioFrontier[[#This Row],[P31 Return]])</f>
        <v>1.8156868306144407</v>
      </c>
      <c r="DU95" s="27">
        <f>MAX(DU94,PortfolioFrontier[[#This Row],[P31 Growth]])</f>
        <v>1.8525428026208837</v>
      </c>
      <c r="DV95" s="27">
        <f>PortfolioFrontier[[#This Row],[P31 Growth]]/PortfolioFrontier[[#This Row],[P31 HWM]]-1</f>
        <v>-1.9894801866008671E-2</v>
      </c>
      <c r="DW95" s="28">
        <f>SUMPRODUCT(INDEX(PortfolioRef[[SPY]:[PE]],MATCH(DW$1,PortfolioRef[Reference '#]),0),AssetMonthlyReturns[[#This Row],[SPY]:[PE]])</f>
        <v>3.5713617293781377E-2</v>
      </c>
      <c r="DX95" s="27">
        <f>IF(ISNUMBER(DX94),DX94*(1+PortfolioFrontier[[#This Row],[P32 Return]]),1+PortfolioFrontier[[#This Row],[P32 Return]])</f>
        <v>1.8083122101212459</v>
      </c>
      <c r="DY95" s="27">
        <f>MAX(DY94,PortfolioFrontier[[#This Row],[P32 Growth]])</f>
        <v>1.8190908915066115</v>
      </c>
      <c r="DZ95" s="27">
        <f>PortfolioFrontier[[#This Row],[P32 Growth]]/PortfolioFrontier[[#This Row],[P32 HWM]]-1</f>
        <v>-5.925312163175378E-3</v>
      </c>
      <c r="EA95" s="28">
        <f>SUMPRODUCT(INDEX(PortfolioRef[[SPY]:[PE]],MATCH(EA$1,PortfolioRef[Reference '#]),0),AssetMonthlyReturns[[#This Row],[SPY]:[PE]])</f>
        <v>3.0494068323798119E-2</v>
      </c>
      <c r="EB95" s="27">
        <f>IF(ISNUMBER(EB94),EB94*(1+PortfolioFrontier[[#This Row],[P33 Return]]),1+PortfolioFrontier[[#This Row],[P33 Return]])</f>
        <v>1.7995964281059826</v>
      </c>
      <c r="EC95" s="27">
        <f>MAX(EC94,PortfolioFrontier[[#This Row],[P33 Growth]])</f>
        <v>1.7995964281059826</v>
      </c>
      <c r="ED95" s="27">
        <f>PortfolioFrontier[[#This Row],[P33 Growth]]/PortfolioFrontier[[#This Row],[P33 HWM]]-1</f>
        <v>0</v>
      </c>
      <c r="EE95" s="28">
        <f>SUMPRODUCT(INDEX(PortfolioRef[[SPY]:[PE]],MATCH(EE$1,PortfolioRef[Reference '#]),0),AssetMonthlyReturns[[#This Row],[SPY]:[PE]])</f>
        <v>3.3526390207024914E-2</v>
      </c>
      <c r="EF95" s="27">
        <f>IF(ISNUMBER(EF94),EF94*(1+PortfolioFrontier[[#This Row],[P34 Return]]),1+PortfolioFrontier[[#This Row],[P34 Return]])</f>
        <v>1.657811175432798</v>
      </c>
      <c r="EG95" s="27">
        <f>MAX(EG94,PortfolioFrontier[[#This Row],[P34 Growth]])</f>
        <v>1.6763614413137211</v>
      </c>
      <c r="EH95" s="27">
        <f>PortfolioFrontier[[#This Row],[P34 Growth]]/PortfolioFrontier[[#This Row],[P34 HWM]]-1</f>
        <v>-1.1065791316689944E-2</v>
      </c>
      <c r="EI95" s="28">
        <f>SUMPRODUCT(INDEX(PortfolioRef[[SPY]:[PE]],MATCH(EI$1,PortfolioRef[Reference '#]),0),AssetMonthlyReturns[[#This Row],[SPY]:[PE]])</f>
        <v>3.2459206010645725E-2</v>
      </c>
      <c r="EJ95" s="27">
        <f>IF(ISNUMBER(EJ94),EJ94*(1+PortfolioFrontier[[#This Row],[P35 Return]]),1+PortfolioFrontier[[#This Row],[P35 Return]])</f>
        <v>1.6911847841055132</v>
      </c>
      <c r="EK95" s="27">
        <f>MAX(EK94,PortfolioFrontier[[#This Row],[P35 Growth]])</f>
        <v>1.6920729334369538</v>
      </c>
      <c r="EL95" s="27">
        <f>PortfolioFrontier[[#This Row],[P35 Growth]]/PortfolioFrontier[[#This Row],[P35 HWM]]-1</f>
        <v>-5.248883271459226E-4</v>
      </c>
      <c r="EM95" s="28">
        <f>SUMPRODUCT(INDEX(PortfolioRef[[SPY]:[PE]],MATCH(EM$1,PortfolioRef[Reference '#]),0),AssetMonthlyReturns[[#This Row],[SPY]:[PE]])</f>
        <v>3.5874180930646579E-2</v>
      </c>
      <c r="EN95" s="27">
        <f>IF(ISNUMBER(EN94),EN94*(1+PortfolioFrontier[[#This Row],[P36 Return]]),1+PortfolioFrontier[[#This Row],[P36 Return]])</f>
        <v>1.6850727561231327</v>
      </c>
      <c r="EO95" s="27">
        <f>MAX(EO94,PortfolioFrontier[[#This Row],[P36 Growth]])</f>
        <v>1.7120343963250326</v>
      </c>
      <c r="EP95" s="27">
        <f>PortfolioFrontier[[#This Row],[P36 Growth]]/PortfolioFrontier[[#This Row],[P36 HWM]]-1</f>
        <v>-1.5748305209156155E-2</v>
      </c>
      <c r="EQ95" s="28">
        <f>SUMPRODUCT(INDEX(PortfolioRef[[SPY]:[PE]],MATCH(EQ$1,PortfolioRef[Reference '#]),0),AssetMonthlyReturns[[#This Row],[SPY]:[PE]])</f>
        <v>3.0654631960663321E-2</v>
      </c>
      <c r="ER95" s="27">
        <f>IF(ISNUMBER(ER94),ER94*(1+PortfolioFrontier[[#This Row],[P37 Return]]),1+PortfolioFrontier[[#This Row],[P37 Return]])</f>
        <v>1.6756234923371953</v>
      </c>
      <c r="ES95" s="27">
        <f>MAX(ES94,PortfolioFrontier[[#This Row],[P37 Growth]])</f>
        <v>1.6794736802569215</v>
      </c>
      <c r="ET95" s="27">
        <f>PortfolioFrontier[[#This Row],[P37 Growth]]/PortfolioFrontier[[#This Row],[P37 HWM]]-1</f>
        <v>-2.2924967297713872E-3</v>
      </c>
      <c r="EU95" s="28">
        <f>SUMPRODUCT(INDEX(PortfolioRef[[SPY]:[PE]],MATCH(EU$1,PortfolioRef[Reference '#]),0),AssetMonthlyReturns[[#This Row],[SPY]:[PE]])</f>
        <v>3.1392021814266535E-2</v>
      </c>
      <c r="EV95" s="27">
        <f>IF(ISNUMBER(EV94),EV94*(1+PortfolioFrontier[[#This Row],[P38 Return]]),1+PortfolioFrontier[[#This Row],[P38 Return]])</f>
        <v>1.7247617198870453</v>
      </c>
      <c r="EW95" s="27">
        <f>MAX(EW94,PortfolioFrontier[[#This Row],[P38 Growth]])</f>
        <v>1.7247617198870453</v>
      </c>
      <c r="EX95" s="27">
        <f>PortfolioFrontier[[#This Row],[P38 Growth]]/PortfolioFrontier[[#This Row],[P38 HWM]]-1</f>
        <v>0</v>
      </c>
      <c r="EY95" s="28">
        <f>SUMPRODUCT(INDEX(PortfolioRef[[SPY]:[PE]],MATCH(EY$1,PortfolioRef[Reference '#]),0),AssetMonthlyReturns[[#This Row],[SPY]:[PE]])</f>
        <v>3.480699673426739E-2</v>
      </c>
      <c r="EZ95" s="27">
        <f>IF(ISNUMBER(EZ94),EZ94*(1+PortfolioFrontier[[#This Row],[P39 Return]]),1+PortfolioFrontier[[#This Row],[P39 Return]])</f>
        <v>1.7189740713522275</v>
      </c>
      <c r="FA95" s="27">
        <f>MAX(FA94,PortfolioFrontier[[#This Row],[P39 Growth]])</f>
        <v>1.7280388577532122</v>
      </c>
      <c r="FB95" s="27">
        <f>PortfolioFrontier[[#This Row],[P39 Growth]]/PortfolioFrontier[[#This Row],[P39 HWM]]-1</f>
        <v>-5.2457075026488553E-3</v>
      </c>
      <c r="FC95" s="28">
        <f>SUMPRODUCT(INDEX(PortfolioRef[[SPY]:[PE]],MATCH(FC$1,PortfolioRef[Reference '#]),0),AssetMonthlyReturns[[#This Row],[SPY]:[PE]])</f>
        <v>2.9587447764284132E-2</v>
      </c>
      <c r="FD95" s="27">
        <f>IF(ISNUMBER(FD94),FD94*(1+PortfolioFrontier[[#This Row],[P40 Return]]),1+PortfolioFrontier[[#This Row],[P40 Return]])</f>
        <v>1.7093526397843111</v>
      </c>
      <c r="FE95" s="27">
        <f>MAX(FE94,PortfolioFrontier[[#This Row],[P40 Growth]])</f>
        <v>1.7093526397843111</v>
      </c>
      <c r="FF95" s="27">
        <f>PortfolioFrontier[[#This Row],[P40 Growth]]/PortfolioFrontier[[#This Row],[P40 HWM]]-1</f>
        <v>0</v>
      </c>
      <c r="FG95" s="28">
        <f>SUMPRODUCT(INDEX(PortfolioRef[[SPY]:[PE]],MATCH(FG$1,PortfolioRef[Reference '#]),0),AssetMonthlyReturns[[#This Row],[SPY]:[PE]])</f>
        <v>3.8221971654268251E-2</v>
      </c>
      <c r="FH95" s="27">
        <f>IF(ISNUMBER(FH94),FH94*(1+PortfolioFrontier[[#This Row],[P41 Return]]),1+PortfolioFrontier[[#This Row],[P41 Return]])</f>
        <v>1.7118526838710153</v>
      </c>
      <c r="FI95" s="27">
        <f>MAX(FI94,PortfolioFrontier[[#This Row],[P41 Growth]])</f>
        <v>1.7478091274239449</v>
      </c>
      <c r="FJ95" s="27">
        <f>PortfolioFrontier[[#This Row],[P41 Growth]]/PortfolioFrontier[[#This Row],[P41 HWM]]-1</f>
        <v>-2.0572294187480855E-2</v>
      </c>
      <c r="FK95" s="28">
        <f>SUMPRODUCT(INDEX(PortfolioRef[[SPY]:[PE]],MATCH(FK$1,PortfolioRef[Reference '#]),0),AssetMonthlyReturns[[#This Row],[SPY]:[PE]])</f>
        <v>3.3002422684284986E-2</v>
      </c>
      <c r="FL95" s="27">
        <f>IF(ISNUMBER(FL94),FL94*(1+PortfolioFrontier[[#This Row],[P42 Return]]),1+PortfolioFrontier[[#This Row],[P42 Return]])</f>
        <v>1.7032534585945887</v>
      </c>
      <c r="FM95" s="27">
        <f>MAX(FM94,PortfolioFrontier[[#This Row],[P42 Growth]])</f>
        <v>1.7151998522045959</v>
      </c>
      <c r="FN95" s="27">
        <f>PortfolioFrontier[[#This Row],[P42 Growth]]/PortfolioFrontier[[#This Row],[P42 HWM]]-1</f>
        <v>-6.9650155313693007E-3</v>
      </c>
      <c r="FO95" s="28">
        <f>SUMPRODUCT(INDEX(PortfolioRef[[SPY]:[PE]],MATCH(FO$1,PortfolioRef[Reference '#]),0),AssetMonthlyReturns[[#This Row],[SPY]:[PE]])</f>
        <v>2.7782873714301728E-2</v>
      </c>
      <c r="FP95" s="27">
        <f>IF(ISNUMBER(FP94),FP94*(1+PortfolioFrontier[[#This Row],[P43 Return]]),1+PortfolioFrontier[[#This Row],[P43 Return]])</f>
        <v>1.693413216745149</v>
      </c>
      <c r="FQ95" s="27">
        <f>MAX(FQ94,PortfolioFrontier[[#This Row],[P43 Growth]])</f>
        <v>1.693413216745149</v>
      </c>
      <c r="FR95" s="27">
        <f>PortfolioFrontier[[#This Row],[P43 Growth]]/PortfolioFrontier[[#This Row],[P43 HWM]]-1</f>
        <v>0</v>
      </c>
      <c r="FS95" s="28">
        <f>SUMPRODUCT(INDEX(PortfolioRef[[SPY]:[PE]],MATCH(FS$1,PortfolioRef[Reference '#]),0),AssetMonthlyReturns[[#This Row],[SPY]:[PE]])</f>
        <v>3.37398125378882E-2</v>
      </c>
      <c r="FT95" s="27">
        <f>IF(ISNUMBER(FT94),FT94*(1+PortfolioFrontier[[#This Row],[P44 Return]]),1+PortfolioFrontier[[#This Row],[P44 Return]])</f>
        <v>1.75308176407473</v>
      </c>
      <c r="FU95" s="27">
        <f>MAX(FU94,PortfolioFrontier[[#This Row],[P44 Growth]])</f>
        <v>1.75308176407473</v>
      </c>
      <c r="FV95" s="27">
        <f>PortfolioFrontier[[#This Row],[P44 Growth]]/PortfolioFrontier[[#This Row],[P44 HWM]]-1</f>
        <v>0</v>
      </c>
      <c r="FW95" s="28">
        <f>SUMPRODUCT(INDEX(PortfolioRef[[SPY]:[PE]],MATCH(FW$1,PortfolioRef[Reference '#]),0),AssetMonthlyReturns[[#This Row],[SPY]:[PE]])</f>
        <v>2.8520263567904942E-2</v>
      </c>
      <c r="FX95" s="27">
        <f>IF(ISNUMBER(FX94),FX94*(1+PortfolioFrontier[[#This Row],[P45 Return]]),1+PortfolioFrontier[[#This Row],[P45 Return]])</f>
        <v>1.7432874870235275</v>
      </c>
      <c r="FY95" s="27">
        <f>MAX(FY94,PortfolioFrontier[[#This Row],[P45 Growth]])</f>
        <v>1.7432874870235275</v>
      </c>
      <c r="FZ95" s="27">
        <f>PortfolioFrontier[[#This Row],[P45 Growth]]/PortfolioFrontier[[#This Row],[P45 HWM]]-1</f>
        <v>0</v>
      </c>
      <c r="GA95" s="28">
        <f>SUMPRODUCT(INDEX(PortfolioRef[[SPY]:[PE]],MATCH(GA$1,PortfolioRef[Reference '#]),0),AssetMonthlyReturns[[#This Row],[SPY]:[PE]])</f>
        <v>3.7154787457889055E-2</v>
      </c>
      <c r="GB95" s="27">
        <f>IF(ISNUMBER(GB94),GB94*(1+PortfolioFrontier[[#This Row],[P46 Return]]),1+PortfolioFrontier[[#This Row],[P46 Return]])</f>
        <v>1.7462718101906554</v>
      </c>
      <c r="GC95" s="27">
        <f>MAX(GC94,PortfolioFrontier[[#This Row],[P46 Growth]])</f>
        <v>1.7641061270089846</v>
      </c>
      <c r="GD95" s="27">
        <f>PortfolioFrontier[[#This Row],[P46 Growth]]/PortfolioFrontier[[#This Row],[P46 HWM]]-1</f>
        <v>-1.0109548708708949E-2</v>
      </c>
      <c r="GE95" s="28">
        <f>SUMPRODUCT(INDEX(PortfolioRef[[SPY]:[PE]],MATCH(GE$1,PortfolioRef[Reference '#]),0),AssetMonthlyReturns[[#This Row],[SPY]:[PE]])</f>
        <v>3.1935238487905797E-2</v>
      </c>
      <c r="GF95" s="27">
        <f>IF(ISNUMBER(GF94),GF94*(1+PortfolioFrontier[[#This Row],[P47 Return]]),1+PortfolioFrontier[[#This Row],[P47 Return]])</f>
        <v>1.7375174349865472</v>
      </c>
      <c r="GG95" s="27">
        <f>MAX(GG94,PortfolioFrontier[[#This Row],[P47 Growth]])</f>
        <v>1.7375174349865472</v>
      </c>
      <c r="GH95" s="27">
        <f>PortfolioFrontier[[#This Row],[P47 Growth]]/PortfolioFrontier[[#This Row],[P47 HWM]]-1</f>
        <v>0</v>
      </c>
      <c r="GI95" s="28">
        <f>SUMPRODUCT(INDEX(PortfolioRef[[SPY]:[PE]],MATCH(GI$1,PortfolioRef[Reference '#]),0),AssetMonthlyReturns[[#This Row],[SPY]:[PE]])</f>
        <v>2.6715689517922532E-2</v>
      </c>
      <c r="GJ95" s="27">
        <f>IF(ISNUMBER(GJ94),GJ94*(1+PortfolioFrontier[[#This Row],[P48 Return]]),1+PortfolioFrontier[[#This Row],[P48 Return]])</f>
        <v>1.7274975083794342</v>
      </c>
      <c r="GK95" s="27">
        <f>MAX(GK94,PortfolioFrontier[[#This Row],[P48 Growth]])</f>
        <v>1.7274975083794342</v>
      </c>
      <c r="GL95" s="27">
        <f>PortfolioFrontier[[#This Row],[P48 Growth]]/PortfolioFrontier[[#This Row],[P48 HWM]]-1</f>
        <v>0</v>
      </c>
      <c r="GM95" s="28">
        <f>SUMPRODUCT(INDEX(PortfolioRef[[SPY]:[PE]],MATCH(GM$1,PortfolioRef[Reference '#]),0),AssetMonthlyReturns[[#This Row],[SPY]:[PE]])</f>
        <v>4.0569762377889916E-2</v>
      </c>
      <c r="GN95" s="27">
        <f>IF(ISNUMBER(GN94),GN94*(1+PortfolioFrontier[[#This Row],[P49 Return]]),1+PortfolioFrontier[[#This Row],[P49 Return]])</f>
        <v>1.7381104400632408</v>
      </c>
      <c r="GO95" s="27">
        <f>MAX(GO94,PortfolioFrontier[[#This Row],[P49 Growth]])</f>
        <v>1.7836571071341945</v>
      </c>
      <c r="GP95" s="27">
        <f>PortfolioFrontier[[#This Row],[P49 Growth]]/PortfolioFrontier[[#This Row],[P49 HWM]]-1</f>
        <v>-2.5535551025350212E-2</v>
      </c>
      <c r="GQ95" s="28">
        <f>SUMPRODUCT(INDEX(PortfolioRef[[SPY]:[PE]],MATCH(GQ$1,PortfolioRef[Reference '#]),0),AssetMonthlyReturns[[#This Row],[SPY]:[PE]])</f>
        <v>3.5350213407906658E-2</v>
      </c>
      <c r="GR95" s="27">
        <f>IF(ISNUMBER(GR94),GR94*(1+PortfolioFrontier[[#This Row],[P50 Return]]),1+PortfolioFrontier[[#This Row],[P50 Return]])</f>
        <v>1.730399175062556</v>
      </c>
      <c r="GS95" s="27">
        <f>MAX(GS94,PortfolioFrontier[[#This Row],[P50 Growth]])</f>
        <v>1.7510275614895194</v>
      </c>
      <c r="GT95" s="27">
        <f>PortfolioFrontier[[#This Row],[P50 Growth]]/PortfolioFrontier[[#This Row],[P50 HWM]]-1</f>
        <v>-1.1780732000252314E-2</v>
      </c>
      <c r="GU95" s="28">
        <f>SUMPRODUCT(INDEX(PortfolioRef[[SPY]:[PE]],MATCH(GU$1,PortfolioRef[Reference '#]),0),AssetMonthlyReturns[[#This Row],[SPY]:[PE]])</f>
        <v>3.0130664437923393E-2</v>
      </c>
      <c r="GV95" s="27">
        <f>IF(ISNUMBER(GV94),GV94*(1+PortfolioFrontier[[#This Row],[P51 Return]]),1+PortfolioFrontier[[#This Row],[P51 Return]])</f>
        <v>1.7214128233248005</v>
      </c>
      <c r="GW95" s="27">
        <f>MAX(GW94,PortfolioFrontier[[#This Row],[P51 Growth]])</f>
        <v>1.7214128233248005</v>
      </c>
      <c r="GX95" s="27">
        <f>PortfolioFrontier[[#This Row],[P51 Growth]]/PortfolioFrontier[[#This Row],[P51 HWM]]-1</f>
        <v>0</v>
      </c>
      <c r="GY95" s="28">
        <f>SUMPRODUCT(INDEX(PortfolioRef[[SPY]:[PE]],MATCH(GY$1,PortfolioRef[Reference '#]),0),AssetMonthlyReturns[[#This Row],[SPY]:[PE]])</f>
        <v>3.6087603261509872E-2</v>
      </c>
      <c r="GZ95" s="27">
        <f>IF(ISNUMBER(GZ94),GZ94*(1+PortfolioFrontier[[#This Row],[P52 Return]]),1+PortfolioFrontier[[#This Row],[P52 Return]])</f>
        <v>1.780900304035131</v>
      </c>
      <c r="HA95" s="27">
        <f>MAX(HA94,PortfolioFrontier[[#This Row],[P52 Growth]])</f>
        <v>1.780900304035131</v>
      </c>
      <c r="HB95" s="27">
        <f>PortfolioFrontier[[#This Row],[P52 Growth]]/PortfolioFrontier[[#This Row],[P52 HWM]]-1</f>
        <v>0</v>
      </c>
      <c r="HC95" s="28">
        <f>SUMPRODUCT(INDEX(PortfolioRef[[SPY]:[PE]],MATCH(HC$1,PortfolioRef[Reference '#]),0),AssetMonthlyReturns[[#This Row],[SPY]:[PE]])</f>
        <v>3.0868054291526607E-2</v>
      </c>
      <c r="HD95" s="27">
        <f>IF(ISNUMBER(HD94),HD94*(1+PortfolioFrontier[[#This Row],[P53 Return]]),1+PortfolioFrontier[[#This Row],[P53 Return]])</f>
        <v>1.77199020672025</v>
      </c>
      <c r="HE95" s="27">
        <f>MAX(HE94,PortfolioFrontier[[#This Row],[P53 Growth]])</f>
        <v>1.77199020672025</v>
      </c>
      <c r="HF95" s="27">
        <f>PortfolioFrontier[[#This Row],[P53 Growth]]/PortfolioFrontier[[#This Row],[P53 HWM]]-1</f>
        <v>0</v>
      </c>
      <c r="HG95" s="28">
        <f>SUMPRODUCT(INDEX(PortfolioRef[[SPY]:[PE]],MATCH(HG$1,PortfolioRef[Reference '#]),0),AssetMonthlyReturns[[#This Row],[SPY]:[PE]])</f>
        <v>2.5648505321543349E-2</v>
      </c>
      <c r="HH95" s="27">
        <f>IF(ISNUMBER(HH94),HH94*(1+PortfolioFrontier[[#This Row],[P54 Return]]),1+PortfolioFrontier[[#This Row],[P54 Return]])</f>
        <v>1.7617898750618464</v>
      </c>
      <c r="HI95" s="27">
        <f>MAX(HI94,PortfolioFrontier[[#This Row],[P54 Growth]])</f>
        <v>1.7617898750618464</v>
      </c>
      <c r="HJ95" s="27">
        <f>PortfolioFrontier[[#This Row],[P54 Growth]]/PortfolioFrontier[[#This Row],[P54 HWM]]-1</f>
        <v>0</v>
      </c>
      <c r="HK95" s="28">
        <f>SUMPRODUCT(INDEX(PortfolioRef[[SPY]:[PE]],MATCH(HK$1,PortfolioRef[Reference '#]),0),AssetMonthlyReturns[[#This Row],[SPY]:[PE]])</f>
        <v>3.9502578181510727E-2</v>
      </c>
      <c r="HL95" s="27">
        <f>IF(ISNUMBER(HL94),HL94*(1+PortfolioFrontier[[#This Row],[P55 Return]]),1+PortfolioFrontier[[#This Row],[P55 Return]])</f>
        <v>1.7730367083343865</v>
      </c>
      <c r="HM95" s="27">
        <f>MAX(HM94,PortfolioFrontier[[#This Row],[P55 Growth]])</f>
        <v>1.8002459621778737</v>
      </c>
      <c r="HN95" s="27">
        <f>PortfolioFrontier[[#This Row],[P55 Growth]]/PortfolioFrontier[[#This Row],[P55 HWM]]-1</f>
        <v>-1.5114186847318578E-2</v>
      </c>
      <c r="HO95" s="28">
        <f>SUMPRODUCT(INDEX(PortfolioRef[[SPY]:[PE]],MATCH(HO$1,PortfolioRef[Reference '#]),0),AssetMonthlyReturns[[#This Row],[SPY]:[PE]])</f>
        <v>3.4283029211527469E-2</v>
      </c>
      <c r="HP95" s="27">
        <f>IF(ISNUMBER(HP94),HP94*(1+PortfolioFrontier[[#This Row],[P56 Return]]),1+PortfolioFrontier[[#This Row],[P56 Return]])</f>
        <v>1.7651880294291737</v>
      </c>
      <c r="HQ95" s="27">
        <f>MAX(HQ94,PortfolioFrontier[[#This Row],[P56 Growth]])</f>
        <v>1.767380839986993</v>
      </c>
      <c r="HR95" s="27">
        <f>PortfolioFrontier[[#This Row],[P56 Growth]]/PortfolioFrontier[[#This Row],[P56 HWM]]-1</f>
        <v>-1.2407119666609789E-3</v>
      </c>
      <c r="HS95" s="28">
        <f>SUMPRODUCT(INDEX(PortfolioRef[[SPY]:[PE]],MATCH(HS$1,PortfolioRef[Reference '#]),0),AssetMonthlyReturns[[#This Row],[SPY]:[PE]])</f>
        <v>2.9063480241544204E-2</v>
      </c>
      <c r="HT95" s="27">
        <f>IF(ISNUMBER(HT94),HT94*(1+PortfolioFrontier[[#This Row],[P57 Return]]),1+PortfolioFrontier[[#This Row],[P57 Return]])</f>
        <v>1.7560390922581672</v>
      </c>
      <c r="HU95" s="27">
        <f>MAX(HU94,PortfolioFrontier[[#This Row],[P57 Growth]])</f>
        <v>1.7560390922581672</v>
      </c>
      <c r="HV95" s="27">
        <f>PortfolioFrontier[[#This Row],[P57 Growth]]/PortfolioFrontier[[#This Row],[P57 HWM]]-1</f>
        <v>0</v>
      </c>
      <c r="HW95" s="28">
        <f>SUMPRODUCT(INDEX(PortfolioRef[[SPY]:[PE]],MATCH(HW$1,PortfolioRef[Reference '#]),0),AssetMonthlyReturns[[#This Row],[SPY]:[PE]])</f>
        <v>4.2917553101511588E-2</v>
      </c>
      <c r="HX95" s="27">
        <f>IF(ISNUMBER(HX94),HX94*(1+PortfolioFrontier[[#This Row],[P58 Return]]),1+PortfolioFrontier[[#This Row],[P58 Return]])</f>
        <v>1.763805366801108</v>
      </c>
      <c r="HY95" s="27">
        <f>MAX(HY94,PortfolioFrontier[[#This Row],[P58 Growth]])</f>
        <v>1.8195487359549802</v>
      </c>
      <c r="HZ95" s="27">
        <f>PortfolioFrontier[[#This Row],[P58 Growth]]/PortfolioFrontier[[#This Row],[P58 HWM]]-1</f>
        <v>-3.063582087820016E-2</v>
      </c>
      <c r="IA95" s="28">
        <f>SUMPRODUCT(INDEX(PortfolioRef[[SPY]:[PE]],MATCH(IA$1,PortfolioRef[Reference '#]),0),AssetMonthlyReturns[[#This Row],[SPY]:[PE]])</f>
        <v>3.7698004131528323E-2</v>
      </c>
      <c r="IB95" s="27">
        <f>IF(ISNUMBER(IB94),IB94*(1+PortfolioFrontier[[#This Row],[P59 Return]]),1+PortfolioFrontier[[#This Row],[P59 Return]])</f>
        <v>1.7570196400893887</v>
      </c>
      <c r="IC95" s="27">
        <f>MAX(IC94,PortfolioFrontier[[#This Row],[P59 Growth]])</f>
        <v>1.7869282396294996</v>
      </c>
      <c r="ID95" s="27">
        <f>PortfolioFrontier[[#This Row],[P59 Growth]]/PortfolioFrontier[[#This Row],[P59 HWM]]-1</f>
        <v>-1.6737437394974575E-2</v>
      </c>
      <c r="IE95" s="28">
        <f>SUMPRODUCT(INDEX(PortfolioRef[[SPY]:[PE]],MATCH(IE$1,PortfolioRef[Reference '#]),0),AssetMonthlyReturns[[#This Row],[SPY]:[PE]])</f>
        <v>3.2478455161545058E-2</v>
      </c>
      <c r="IF95" s="27">
        <f>IF(ISNUMBER(IF94),IF94*(1+PortfolioFrontier[[#This Row],[P60 Return]]),1+PortfolioFrontier[[#This Row],[P60 Return]])</f>
        <v>1.7489256422622907</v>
      </c>
      <c r="IG95" s="27">
        <f>MAX(IG94,PortfolioFrontier[[#This Row],[P60 Growth]])</f>
        <v>1.7541215677111524</v>
      </c>
      <c r="IH95" s="27">
        <f>PortfolioFrontier[[#This Row],[P60 Growth]]/PortfolioFrontier[[#This Row],[P60 HWM]]-1</f>
        <v>-2.9621239168967639E-3</v>
      </c>
      <c r="II95" s="28">
        <f>SUMPRODUCT(INDEX(PortfolioRef[[SPY]:[PE]],MATCH(II$1,PortfolioRef[Reference '#]),0),AssetMonthlyReturns[[#This Row],[SPY]:[PE]])</f>
        <v>3.3162986321150195E-2</v>
      </c>
      <c r="IJ95" s="27">
        <f>IF(ISNUMBER(IJ94),IJ94*(1+PortfolioFrontier[[#This Row],[P61 Return]]),1+PortfolioFrontier[[#This Row],[P61 Return]])</f>
        <v>1.5844328383400266</v>
      </c>
      <c r="IK95" s="27">
        <f>MAX(IK94,PortfolioFrontier[[#This Row],[P61 Growth]])</f>
        <v>1.6121264956964798</v>
      </c>
      <c r="IL95" s="27">
        <f>PortfolioFrontier[[#This Row],[P61 Growth]]/PortfolioFrontier[[#This Row],[P61 HWM]]-1</f>
        <v>-1.7178340180116547E-2</v>
      </c>
      <c r="IM95" s="28">
        <f>SUMPRODUCT(INDEX(PortfolioRef[[SPY]:[PE]],MATCH(IM$1,PortfolioRef[Reference '#]),0),AssetMonthlyReturns[[#This Row],[SPY]:[PE]])</f>
        <v>3.2095802124770999E-2</v>
      </c>
      <c r="IN95" s="27">
        <f>IF(ISNUMBER(IN94),IN94*(1+PortfolioFrontier[[#This Row],[P62 Return]]),1+PortfolioFrontier[[#This Row],[P62 Return]])</f>
        <v>1.6163337319071767</v>
      </c>
      <c r="IO95" s="27">
        <f>MAX(IO94,PortfolioFrontier[[#This Row],[P62 Growth]])</f>
        <v>1.6272630311124299</v>
      </c>
      <c r="IP95" s="27">
        <f>PortfolioFrontier[[#This Row],[P62 Growth]]/PortfolioFrontier[[#This Row],[P62 HWM]]-1</f>
        <v>-6.7163691402623016E-3</v>
      </c>
      <c r="IQ95" s="28">
        <f>SUMPRODUCT(INDEX(PortfolioRef[[SPY]:[PE]],MATCH(IQ$1,PortfolioRef[Reference '#]),0),AssetMonthlyReturns[[#This Row],[SPY]:[PE]])</f>
        <v>3.5510777044771853E-2</v>
      </c>
      <c r="IR95" s="27">
        <f>IF(ISNUMBER(IR94),IR94*(1+PortfolioFrontier[[#This Row],[P63 Return]]),1+PortfolioFrontier[[#This Row],[P63 Return]])</f>
        <v>1.611103064955129</v>
      </c>
      <c r="IS95" s="27">
        <f>MAX(IS94,PortfolioFrontier[[#This Row],[P63 Growth]])</f>
        <v>1.646884909102555</v>
      </c>
      <c r="IT95" s="27">
        <f>PortfolioFrontier[[#This Row],[P63 Growth]]/PortfolioFrontier[[#This Row],[P63 HWM]]-1</f>
        <v>-2.1726985261480647E-2</v>
      </c>
      <c r="IU95" s="28">
        <f>SUMPRODUCT(INDEX(PortfolioRef[[SPY]:[PE]],MATCH(IU$1,PortfolioRef[Reference '#]),0),AssetMonthlyReturns[[#This Row],[SPY]:[PE]])</f>
        <v>3.0291228074788595E-2</v>
      </c>
      <c r="IV95" s="27">
        <f>IF(ISNUMBER(IV94),IV94*(1+PortfolioFrontier[[#This Row],[P64 Return]]),1+PortfolioFrontier[[#This Row],[P64 Return]])</f>
        <v>1.6014703362013507</v>
      </c>
      <c r="IW95" s="27">
        <f>MAX(IW94,PortfolioFrontier[[#This Row],[P64 Growth]])</f>
        <v>1.6151793879801097</v>
      </c>
      <c r="IX95" s="27">
        <f>PortfolioFrontier[[#This Row],[P64 Growth]]/PortfolioFrontier[[#This Row],[P64 HWM]]-1</f>
        <v>-8.4876341790759424E-3</v>
      </c>
      <c r="IY95" s="28">
        <f>SUMPRODUCT(INDEX(PortfolioRef[[SPY]:[PE]],MATCH(IY$1,PortfolioRef[Reference '#]),0),AssetMonthlyReturns[[#This Row],[SPY]:[PE]])</f>
        <v>3.1028617928391809E-2</v>
      </c>
      <c r="IZ95" s="27">
        <f>IF(ISNUMBER(IZ94),IZ94*(1+PortfolioFrontier[[#This Row],[P65 Return]]),1+PortfolioFrontier[[#This Row],[P65 Return]])</f>
        <v>1.6484282945419273</v>
      </c>
      <c r="JA95" s="27">
        <f>MAX(JA94,PortfolioFrontier[[#This Row],[P65 Growth]])</f>
        <v>1.6484282945419273</v>
      </c>
      <c r="JB95" s="27">
        <f>PortfolioFrontier[[#This Row],[P65 Growth]]/PortfolioFrontier[[#This Row],[P65 HWM]]-1</f>
        <v>0</v>
      </c>
      <c r="JC95" s="28">
        <f>SUMPRODUCT(INDEX(PortfolioRef[[SPY]:[PE]],MATCH(JC$1,PortfolioRef[Reference '#]),0),AssetMonthlyReturns[[#This Row],[SPY]:[PE]])</f>
        <v>3.4443592848392664E-2</v>
      </c>
      <c r="JD95" s="27">
        <f>IF(ISNUMBER(JD94),JD94*(1+PortfolioFrontier[[#This Row],[P66 Return]]),1+PortfolioFrontier[[#This Row],[P66 Return]])</f>
        <v>1.6435205097449026</v>
      </c>
      <c r="JE95" s="27">
        <f>MAX(JE94,PortfolioFrontier[[#This Row],[P66 Growth]])</f>
        <v>1.6623077877531292</v>
      </c>
      <c r="JF95" s="27">
        <f>PortfolioFrontier[[#This Row],[P66 Growth]]/PortfolioFrontier[[#This Row],[P66 HWM]]-1</f>
        <v>-1.1301925038575744E-2</v>
      </c>
      <c r="JG95" s="28">
        <f>SUMPRODUCT(INDEX(PortfolioRef[[SPY]:[PE]],MATCH(JG$1,PortfolioRef[Reference '#]),0),AssetMonthlyReturns[[#This Row],[SPY]:[PE]])</f>
        <v>2.9224043878409406E-2</v>
      </c>
      <c r="JH95" s="27">
        <f>IF(ISNUMBER(JH94),JH94*(1+PortfolioFrontier[[#This Row],[P67 Return]]),1+PortfolioFrontier[[#This Row],[P67 Return]])</f>
        <v>1.6337114063695297</v>
      </c>
      <c r="JI95" s="27">
        <f>MAX(JI94,PortfolioFrontier[[#This Row],[P67 Growth]])</f>
        <v>1.6337114063695297</v>
      </c>
      <c r="JJ95" s="27">
        <f>PortfolioFrontier[[#This Row],[P67 Growth]]/PortfolioFrontier[[#This Row],[P67 HWM]]-1</f>
        <v>0</v>
      </c>
      <c r="JK95" s="28">
        <f>SUMPRODUCT(INDEX(PortfolioRef[[SPY]:[PE]],MATCH(JK$1,PortfolioRef[Reference '#]),0),AssetMonthlyReturns[[#This Row],[SPY]:[PE]])</f>
        <v>3.7858567768393525E-2</v>
      </c>
      <c r="JL95" s="27">
        <f>IF(ISNUMBER(JL94),JL94*(1+PortfolioFrontier[[#This Row],[P68 Return]]),1+PortfolioFrontier[[#This Row],[P68 Return]])</f>
        <v>1.6373346074263988</v>
      </c>
      <c r="JM95" s="27">
        <f>MAX(JM94,PortfolioFrontier[[#This Row],[P68 Growth]])</f>
        <v>1.6817622542850994</v>
      </c>
      <c r="JN95" s="27">
        <f>PortfolioFrontier[[#This Row],[P68 Growth]]/PortfolioFrontier[[#This Row],[P68 HWM]]-1</f>
        <v>-2.6417317159723286E-2</v>
      </c>
      <c r="JO95" s="28">
        <f>SUMPRODUCT(INDEX(PortfolioRef[[SPY]:[PE]],MATCH(JO$1,PortfolioRef[Reference '#]),0),AssetMonthlyReturns[[#This Row],[SPY]:[PE]])</f>
        <v>3.263901879841026E-2</v>
      </c>
      <c r="JP95" s="27">
        <f>IF(ISNUMBER(JP94),JP94*(1+PortfolioFrontier[[#This Row],[P69 Return]]),1+PortfolioFrontier[[#This Row],[P69 Return]])</f>
        <v>1.6284995110648257</v>
      </c>
      <c r="JQ95" s="27">
        <f>MAX(JQ94,PortfolioFrontier[[#This Row],[P69 Growth]])</f>
        <v>1.6499912107010917</v>
      </c>
      <c r="JR95" s="27">
        <f>PortfolioFrontier[[#This Row],[P69 Growth]]/PortfolioFrontier[[#This Row],[P69 HWM]]-1</f>
        <v>-1.3025341890841924E-2</v>
      </c>
      <c r="JS95" s="28">
        <f>SUMPRODUCT(INDEX(PortfolioRef[[SPY]:[PE]],MATCH(JS$1,PortfolioRef[Reference '#]),0),AssetMonthlyReturns[[#This Row],[SPY]:[PE]])</f>
        <v>2.7419469828427002E-2</v>
      </c>
      <c r="JT95" s="27">
        <f>IF(ISNUMBER(JT94),JT94*(1+PortfolioFrontier[[#This Row],[P70 Return]]),1+PortfolioFrontier[[#This Row],[P70 Return]])</f>
        <v>1.6184865649672056</v>
      </c>
      <c r="JU95" s="27">
        <f>MAX(JU94,PortfolioFrontier[[#This Row],[P70 Growth]])</f>
        <v>1.6184865649672056</v>
      </c>
      <c r="JV95" s="27">
        <f>PortfolioFrontier[[#This Row],[P70 Growth]]/PortfolioFrontier[[#This Row],[P70 HWM]]-1</f>
        <v>0</v>
      </c>
      <c r="JW95" s="28">
        <f>SUMPRODUCT(INDEX(PortfolioRef[[SPY]:[PE]],MATCH(JW$1,PortfolioRef[Reference '#]),0),AssetMonthlyReturns[[#This Row],[SPY]:[PE]])</f>
        <v>3.3376408652013481E-2</v>
      </c>
      <c r="JX95" s="27">
        <f>IF(ISNUMBER(JX94),JX94*(1+PortfolioFrontier[[#This Row],[P71 Return]]),1+PortfolioFrontier[[#This Row],[P71 Return]])</f>
        <v>1.6761346015108922</v>
      </c>
      <c r="JY95" s="27">
        <f>MAX(JY94,PortfolioFrontier[[#This Row],[P71 Growth]])</f>
        <v>1.6775420819631024</v>
      </c>
      <c r="JZ95" s="27">
        <f>PortfolioFrontier[[#This Row],[P71 Growth]]/PortfolioFrontier[[#This Row],[P71 HWM]]-1</f>
        <v>-8.3901349918036328E-4</v>
      </c>
      <c r="KA95" s="28">
        <f>SUMPRODUCT(INDEX(PortfolioRef[[SPY]:[PE]],MATCH(KA$1,PortfolioRef[Reference '#]),0),AssetMonthlyReturns[[#This Row],[SPY]:[PE]])</f>
        <v>2.8156859682030216E-2</v>
      </c>
      <c r="KB95" s="27">
        <f>IF(ISNUMBER(KB94),KB94*(1+PortfolioFrontier[[#This Row],[P72 Return]]),1+PortfolioFrontier[[#This Row],[P72 Return]])</f>
        <v>1.6661484108503042</v>
      </c>
      <c r="KC95" s="27">
        <f>MAX(KC94,PortfolioFrontier[[#This Row],[P72 Growth]])</f>
        <v>1.6661484108503042</v>
      </c>
      <c r="KD95" s="27">
        <f>PortfolioFrontier[[#This Row],[P72 Growth]]/PortfolioFrontier[[#This Row],[P72 HWM]]-1</f>
        <v>0</v>
      </c>
      <c r="KE95" s="28">
        <f>SUMPRODUCT(INDEX(PortfolioRef[[SPY]:[PE]],MATCH(KE$1,PortfolioRef[Reference '#]),0),AssetMonthlyReturns[[#This Row],[SPY]:[PE]])</f>
        <v>3.6791383572014336E-2</v>
      </c>
      <c r="KF95" s="27">
        <f>IF(ISNUMBER(KF94),KF94*(1+PortfolioFrontier[[#This Row],[P73 Return]]),1+PortfolioFrontier[[#This Row],[P73 Return]])</f>
        <v>1.6702595551707913</v>
      </c>
      <c r="KG95" s="27">
        <f>MAX(KG94,PortfolioFrontier[[#This Row],[P73 Growth]])</f>
        <v>1.6974712283523181</v>
      </c>
      <c r="KH95" s="27">
        <f>PortfolioFrontier[[#This Row],[P73 Growth]]/PortfolioFrontier[[#This Row],[P73 HWM]]-1</f>
        <v>-1.6030712466296282E-2</v>
      </c>
      <c r="KI95" s="28">
        <f>SUMPRODUCT(INDEX(PortfolioRef[[SPY]:[PE]],MATCH(KI$1,PortfolioRef[Reference '#]),0),AssetMonthlyReturns[[#This Row],[SPY]:[PE]])</f>
        <v>3.1571834602031071E-2</v>
      </c>
      <c r="KJ95" s="27">
        <f>IF(ISNUMBER(KJ94),KJ94*(1+PortfolioFrontier[[#This Row],[P74 Return]]),1+PortfolioFrontier[[#This Row],[P74 Return]])</f>
        <v>1.6612640751330399</v>
      </c>
      <c r="KK95" s="27">
        <f>MAX(KK94,PortfolioFrontier[[#This Row],[P74 Growth]])</f>
        <v>1.6654678920548054</v>
      </c>
      <c r="KL95" s="27">
        <f>PortfolioFrontier[[#This Row],[P74 Growth]]/PortfolioFrontier[[#This Row],[P74 HWM]]-1</f>
        <v>-2.5241056533242823E-3</v>
      </c>
      <c r="KM95" s="28">
        <f>SUMPRODUCT(INDEX(PortfolioRef[[SPY]:[PE]],MATCH(KM$1,PortfolioRef[Reference '#]),0),AssetMonthlyReturns[[#This Row],[SPY]:[PE]])</f>
        <v>2.6352285632047813E-2</v>
      </c>
      <c r="KN95" s="27">
        <f>IF(ISNUMBER(KN94),KN94*(1+PortfolioFrontier[[#This Row],[P75 Return]]),1+PortfolioFrontier[[#This Row],[P75 Return]])</f>
        <v>1.6510674416659432</v>
      </c>
      <c r="KO95" s="27">
        <f>MAX(KO94,PortfolioFrontier[[#This Row],[P75 Growth]])</f>
        <v>1.6510674416659432</v>
      </c>
      <c r="KP95" s="27">
        <f>PortfolioFrontier[[#This Row],[P75 Growth]]/PortfolioFrontier[[#This Row],[P75 HWM]]-1</f>
        <v>0</v>
      </c>
      <c r="KQ95" s="28">
        <f>SUMPRODUCT(INDEX(PortfolioRef[[SPY]:[PE]],MATCH(KQ$1,PortfolioRef[Reference '#]),0),AssetMonthlyReturns[[#This Row],[SPY]:[PE]])</f>
        <v>4.020635849201519E-2</v>
      </c>
      <c r="KR95" s="27">
        <f>IF(ISNUMBER(KR94),KR94*(1+PortfolioFrontier[[#This Row],[P76 Return]]),1+PortfolioFrontier[[#This Row],[P76 Return]])</f>
        <v>1.6630883952470146</v>
      </c>
      <c r="KS95" s="27">
        <f>MAX(KS94,PortfolioFrontier[[#This Row],[P76 Growth]])</f>
        <v>1.7167314071133803</v>
      </c>
      <c r="KT95" s="27">
        <f>PortfolioFrontier[[#This Row],[P76 Growth]]/PortfolioFrontier[[#This Row],[P76 HWM]]-1</f>
        <v>-3.1247178005885279E-2</v>
      </c>
      <c r="KU95" s="28">
        <f>SUMPRODUCT(INDEX(PortfolioRef[[SPY]:[PE]],MATCH(KU$1,PortfolioRef[Reference '#]),0),AssetMonthlyReturns[[#This Row],[SPY]:[PE]])</f>
        <v>3.4986809522031932E-2</v>
      </c>
      <c r="KV95" s="27">
        <f>IF(ISNUMBER(KV94),KV94*(1+PortfolioFrontier[[#This Row],[P77 Return]]),1+PortfolioFrontier[[#This Row],[P77 Return]])</f>
        <v>1.6550878006143439</v>
      </c>
      <c r="KW95" s="27">
        <f>MAX(KW94,PortfolioFrontier[[#This Row],[P77 Growth]])</f>
        <v>1.6849217747429484</v>
      </c>
      <c r="KX95" s="27">
        <f>PortfolioFrontier[[#This Row],[P77 Growth]]/PortfolioFrontier[[#This Row],[P77 HWM]]-1</f>
        <v>-1.7706444640823715E-2</v>
      </c>
      <c r="KY95" s="28">
        <f>SUMPRODUCT(INDEX(PortfolioRef[[SPY]:[PE]],MATCH(KY$1,PortfolioRef[Reference '#]),0),AssetMonthlyReturns[[#This Row],[SPY]:[PE]])</f>
        <v>2.9767260552048667E-2</v>
      </c>
      <c r="KZ95" s="27">
        <f>IF(ISNUMBER(KZ94),KZ94*(1+PortfolioFrontier[[#This Row],[P78 Return]]),1+PortfolioFrontier[[#This Row],[P78 Return]])</f>
        <v>1.6458758926665176</v>
      </c>
      <c r="LA95" s="27">
        <f>MAX(LA94,PortfolioFrontier[[#This Row],[P78 Growth]])</f>
        <v>1.6529805725839544</v>
      </c>
      <c r="LB95" s="27">
        <f>PortfolioFrontier[[#This Row],[P78 Growth]]/PortfolioFrontier[[#This Row],[P78 HWM]]-1</f>
        <v>-4.2981024915076382E-3</v>
      </c>
      <c r="LC95" s="28">
        <f>SUMPRODUCT(INDEX(PortfolioRef[[SPY]:[PE]],MATCH(LC$1,PortfolioRef[Reference '#]),0),AssetMonthlyReturns[[#This Row],[SPY]:[PE]])</f>
        <v>3.5724199375635146E-2</v>
      </c>
      <c r="LD95" s="27">
        <f>IF(ISNUMBER(LD94),LD94*(1+PortfolioFrontier[[#This Row],[P79 Return]]),1+PortfolioFrontier[[#This Row],[P79 Return]])</f>
        <v>1.7033840725720781</v>
      </c>
      <c r="LE95" s="27">
        <f>MAX(LE94,PortfolioFrontier[[#This Row],[P79 Growth]])</f>
        <v>1.7129874860839263</v>
      </c>
      <c r="LF95" s="27">
        <f>PortfolioFrontier[[#This Row],[P79 Growth]]/PortfolioFrontier[[#This Row],[P79 HWM]]-1</f>
        <v>-5.6062368171775345E-3</v>
      </c>
      <c r="LG95" s="28">
        <f>SUMPRODUCT(INDEX(PortfolioRef[[SPY]:[PE]],MATCH(LG$1,PortfolioRef[Reference '#]),0),AssetMonthlyReturns[[#This Row],[SPY]:[PE]])</f>
        <v>3.0504650405651888E-2</v>
      </c>
      <c r="LH95" s="27">
        <f>IF(ISNUMBER(LH94),LH94*(1+PortfolioFrontier[[#This Row],[P80 Return]]),1+PortfolioFrontier[[#This Row],[P80 Return]])</f>
        <v>1.6942275953667525</v>
      </c>
      <c r="LI95" s="27">
        <f>MAX(LI94,PortfolioFrontier[[#This Row],[P80 Growth]])</f>
        <v>1.6942275953667525</v>
      </c>
      <c r="LJ95" s="27">
        <f>PortfolioFrontier[[#This Row],[P80 Growth]]/PortfolioFrontier[[#This Row],[P80 HWM]]-1</f>
        <v>0</v>
      </c>
      <c r="LK95" s="28">
        <f>SUMPRODUCT(INDEX(PortfolioRef[[SPY]:[PE]],MATCH(LK$1,PortfolioRef[Reference '#]),0),AssetMonthlyReturns[[#This Row],[SPY]:[PE]])</f>
        <v>2.5285101435668624E-2</v>
      </c>
      <c r="LL95" s="27">
        <f>IF(ISNUMBER(LL94),LL94*(1+PortfolioFrontier[[#This Row],[P81 Return]]),1+PortfolioFrontier[[#This Row],[P81 Return]])</f>
        <v>1.683846520476159</v>
      </c>
      <c r="LM95" s="27">
        <f>MAX(LM94,PortfolioFrontier[[#This Row],[P81 Growth]])</f>
        <v>1.683846520476159</v>
      </c>
      <c r="LN95" s="27">
        <f>PortfolioFrontier[[#This Row],[P81 Growth]]/PortfolioFrontier[[#This Row],[P81 HWM]]-1</f>
        <v>0</v>
      </c>
      <c r="LO95" s="28">
        <f>SUMPRODUCT(INDEX(PortfolioRef[[SPY]:[PE]],MATCH(LO$1,PortfolioRef[Reference '#]),0),AssetMonthlyReturns[[#This Row],[SPY]:[PE]])</f>
        <v>3.9139174295636001E-2</v>
      </c>
      <c r="LP95" s="27">
        <f>IF(ISNUMBER(LP94),LP94*(1+PortfolioFrontier[[#This Row],[P82 Return]]),1+PortfolioFrontier[[#This Row],[P82 Return]])</f>
        <v>1.6965110509285861</v>
      </c>
      <c r="LQ95" s="27">
        <f>MAX(LQ94,PortfolioFrontier[[#This Row],[P82 Growth]])</f>
        <v>1.7327259878391794</v>
      </c>
      <c r="LR95" s="27">
        <f>PortfolioFrontier[[#This Row],[P82 Growth]]/PortfolioFrontier[[#This Row],[P82 HWM]]-1</f>
        <v>-2.0900556213020005E-2</v>
      </c>
      <c r="LS95" s="28">
        <f>SUMPRODUCT(INDEX(PortfolioRef[[SPY]:[PE]],MATCH(LS$1,PortfolioRef[Reference '#]),0),AssetMonthlyReturns[[#This Row],[SPY]:[PE]])</f>
        <v>3.3919625325652743E-2</v>
      </c>
      <c r="LT95" s="27">
        <f>IF(ISNUMBER(LT94),LT94*(1+PortfolioFrontier[[#This Row],[P83 Return]]),1+PortfolioFrontier[[#This Row],[P83 Return]])</f>
        <v>1.6883667625290137</v>
      </c>
      <c r="LU95" s="27">
        <f>MAX(LU94,PortfolioFrontier[[#This Row],[P83 Growth]])</f>
        <v>1.7006855237848306</v>
      </c>
      <c r="LV95" s="27">
        <f>PortfolioFrontier[[#This Row],[P83 Growth]]/PortfolioFrontier[[#This Row],[P83 HWM]]-1</f>
        <v>-7.2434092508777415E-3</v>
      </c>
      <c r="LW95" s="28">
        <f>SUMPRODUCT(INDEX(PortfolioRef[[SPY]:[PE]],MATCH(LW$1,PortfolioRef[Reference '#]),0),AssetMonthlyReturns[[#This Row],[SPY]:[PE]])</f>
        <v>2.8700076355669478E-2</v>
      </c>
      <c r="LX95" s="27">
        <f>IF(ISNUMBER(LX94),LX94*(1+PortfolioFrontier[[#This Row],[P84 Return]]),1+PortfolioFrontier[[#This Row],[P84 Return]])</f>
        <v>1.6789872308845109</v>
      </c>
      <c r="LY95" s="27">
        <f>MAX(LY94,PortfolioFrontier[[#This Row],[P84 Growth]])</f>
        <v>1.6789872308845109</v>
      </c>
      <c r="LZ95" s="27">
        <f>PortfolioFrontier[[#This Row],[P84 Growth]]/PortfolioFrontier[[#This Row],[P84 HWM]]-1</f>
        <v>0</v>
      </c>
      <c r="MA95" s="28">
        <f>SUMPRODUCT(INDEX(PortfolioRef[[SPY]:[PE]],MATCH(MA$1,PortfolioRef[Reference '#]),0),AssetMonthlyReturns[[#This Row],[SPY]:[PE]])</f>
        <v>4.2554149215636862E-2</v>
      </c>
      <c r="MB95" s="27">
        <f>IF(ISNUMBER(MB94),MB94*(1+PortfolioFrontier[[#This Row],[P85 Return]]),1+PortfolioFrontier[[#This Row],[P85 Return]])</f>
        <v>1.6883251727645758</v>
      </c>
      <c r="MC95" s="27">
        <f>MAX(MC94,PortfolioFrontier[[#This Row],[P85 Growth]])</f>
        <v>1.7517641950154219</v>
      </c>
      <c r="MD95" s="27">
        <f>PortfolioFrontier[[#This Row],[P85 Growth]]/PortfolioFrontier[[#This Row],[P85 HWM]]-1</f>
        <v>-3.6214361745353307E-2</v>
      </c>
      <c r="ME95" s="28">
        <f>SUMPRODUCT(INDEX(PortfolioRef[[SPY]:[PE]],MATCH(ME$1,PortfolioRef[Reference '#]),0),AssetMonthlyReturns[[#This Row],[SPY]:[PE]])</f>
        <v>3.7334600245653604E-2</v>
      </c>
      <c r="MF95" s="27">
        <f>IF(ISNUMBER(MF94),MF94*(1+PortfolioFrontier[[#This Row],[P86 Return]]),1+PortfolioFrontier[[#This Row],[P86 Return]])</f>
        <v>1.6811956712648481</v>
      </c>
      <c r="MG95" s="27">
        <f>MAX(MG94,PortfolioFrontier[[#This Row],[P86 Growth]])</f>
        <v>1.7199439154573082</v>
      </c>
      <c r="MH95" s="27">
        <f>PortfolioFrontier[[#This Row],[P86 Growth]]/PortfolioFrontier[[#This Row],[P86 HWM]]-1</f>
        <v>-2.2528783551734266E-2</v>
      </c>
      <c r="MI95" s="28">
        <f>SUMPRODUCT(INDEX(PortfolioRef[[SPY]:[PE]],MATCH(MI$1,PortfolioRef[Reference '#]),0),AssetMonthlyReturns[[#This Row],[SPY]:[PE]])</f>
        <v>3.2115051275670339E-2</v>
      </c>
      <c r="MJ95" s="27">
        <f>IF(ISNUMBER(MJ94),MJ94*(1+PortfolioFrontier[[#This Row],[P87 Return]]),1+PortfolioFrontier[[#This Row],[P87 Return]])</f>
        <v>1.6728221913185921</v>
      </c>
      <c r="MK95" s="27">
        <f>MAX(MK94,PortfolioFrontier[[#This Row],[P87 Growth]])</f>
        <v>1.6879617873128629</v>
      </c>
      <c r="ML95" s="27">
        <f>PortfolioFrontier[[#This Row],[P87 Growth]]/PortfolioFrontier[[#This Row],[P87 HWM]]-1</f>
        <v>-8.9691580153435924E-3</v>
      </c>
      <c r="MM95" s="28">
        <f>SUMPRODUCT(INDEX(PortfolioRef[[SPY]:[PE]],MATCH(MM$1,PortfolioRef[Reference '#]),0),AssetMonthlyReturns[[#This Row],[SPY]:[PE]])</f>
        <v>3.8071990099256811E-2</v>
      </c>
      <c r="MN95" s="27">
        <f>IF(ISNUMBER(MN94),MN94*(1+PortfolioFrontier[[#This Row],[P88 Return]]),1+PortfolioFrontier[[#This Row],[P88 Return]])</f>
        <v>1.7301361395990484</v>
      </c>
      <c r="MO95" s="27">
        <f>MAX(MO94,PortfolioFrontier[[#This Row],[P88 Growth]])</f>
        <v>1.7485237047822844</v>
      </c>
      <c r="MP95" s="27">
        <f>PortfolioFrontier[[#This Row],[P88 Growth]]/PortfolioFrontier[[#This Row],[P88 HWM]]-1</f>
        <v>-1.0516051416944006E-2</v>
      </c>
      <c r="MQ95" s="28">
        <f>SUMPRODUCT(INDEX(PortfolioRef[[SPY]:[PE]],MATCH(MQ$1,PortfolioRef[Reference '#]),0),AssetMonthlyReturns[[#This Row],[SPY]:[PE]])</f>
        <v>3.2852441129273553E-2</v>
      </c>
      <c r="MR95" s="27">
        <f>IF(ISNUMBER(MR94),MR94*(1+PortfolioFrontier[[#This Row],[P89 Return]]),1+PortfolioFrontier[[#This Row],[P89 Return]])</f>
        <v>1.7218476468805801</v>
      </c>
      <c r="MS95" s="27">
        <f>MAX(MS94,PortfolioFrontier[[#This Row],[P89 Growth]])</f>
        <v>1.7218476468805801</v>
      </c>
      <c r="MT95" s="27">
        <f>PortfolioFrontier[[#This Row],[P89 Growth]]/PortfolioFrontier[[#This Row],[P89 HWM]]-1</f>
        <v>0</v>
      </c>
      <c r="MU95" s="28">
        <f>SUMPRODUCT(INDEX(PortfolioRef[[SPY]:[PE]],MATCH(MU$1,PortfolioRef[Reference '#]),0),AssetMonthlyReturns[[#This Row],[SPY]:[PE]])</f>
        <v>2.7632892159290288E-2</v>
      </c>
      <c r="MV95" s="27">
        <f>IF(ISNUMBER(MV94),MV94*(1+PortfolioFrontier[[#This Row],[P90 Return]]),1+PortfolioFrontier[[#This Row],[P90 Return]])</f>
        <v>1.7122998372675851</v>
      </c>
      <c r="MW95" s="27">
        <f>MAX(MW94,PortfolioFrontier[[#This Row],[P90 Growth]])</f>
        <v>1.7122998372675851</v>
      </c>
      <c r="MX95" s="27">
        <f>PortfolioFrontier[[#This Row],[P90 Growth]]/PortfolioFrontier[[#This Row],[P90 HWM]]-1</f>
        <v>0</v>
      </c>
      <c r="MY95" s="28">
        <f>SUMPRODUCT(INDEX(PortfolioRef[[SPY]:[PE]],MATCH(MY$1,PortfolioRef[Reference '#]),0),AssetMonthlyReturns[[#This Row],[SPY]:[PE]])</f>
        <v>4.1486965019257666E-2</v>
      </c>
      <c r="MZ95" s="27">
        <f>IF(ISNUMBER(MZ94),MZ94*(1+PortfolioFrontier[[#This Row],[P91 Return]]),1+PortfolioFrontier[[#This Row],[P91 Return]])</f>
        <v>1.7222349922891442</v>
      </c>
      <c r="NA95" s="27">
        <f>MAX(NA94,PortfolioFrontier[[#This Row],[P91 Growth]])</f>
        <v>1.7680436458517257</v>
      </c>
      <c r="NB95" s="27">
        <f>PortfolioFrontier[[#This Row],[P91 Growth]]/PortfolioFrontier[[#This Row],[P91 HWM]]-1</f>
        <v>-2.5909232314518915E-2</v>
      </c>
      <c r="NC95" s="28">
        <f>SUMPRODUCT(INDEX(PortfolioRef[[SPY]:[PE]],MATCH(NC$1,PortfolioRef[Reference '#]),0),AssetMonthlyReturns[[#This Row],[SPY]:[PE]])</f>
        <v>3.6267416049274408E-2</v>
      </c>
      <c r="ND95" s="27">
        <f>IF(ISNUMBER(ND94),ND94*(1+PortfolioFrontier[[#This Row],[P92 Return]]),1+PortfolioFrontier[[#This Row],[P92 Return]])</f>
        <v>1.7149791794022753</v>
      </c>
      <c r="NE95" s="27">
        <f>MAX(NE94,PortfolioFrontier[[#This Row],[P92 Growth]])</f>
        <v>1.73599424265744</v>
      </c>
      <c r="NF95" s="27">
        <f>PortfolioFrontier[[#This Row],[P92 Growth]]/PortfolioFrontier[[#This Row],[P92 HWM]]-1</f>
        <v>-1.2105491331005247E-2</v>
      </c>
      <c r="NG95" s="28">
        <f>SUMPRODUCT(INDEX(PortfolioRef[[SPY]:[PE]],MATCH(NG$1,PortfolioRef[Reference '#]),0),AssetMonthlyReturns[[#This Row],[SPY]:[PE]])</f>
        <v>3.104786707929115E-2</v>
      </c>
      <c r="NH95" s="27">
        <f>IF(ISNUMBER(NH94),NH94*(1+PortfolioFrontier[[#This Row],[P93 Return]]),1+PortfolioFrontier[[#This Row],[P93 Return]])</f>
        <v>1.7064548483236124</v>
      </c>
      <c r="NI95" s="27">
        <f>MAX(NI94,PortfolioFrontier[[#This Row],[P93 Growth]])</f>
        <v>1.7064548483236124</v>
      </c>
      <c r="NJ95" s="27">
        <f>PortfolioFrontier[[#This Row],[P93 Growth]]/PortfolioFrontier[[#This Row],[P93 HWM]]-1</f>
        <v>0</v>
      </c>
      <c r="NK95" s="28">
        <f>SUMPRODUCT(INDEX(PortfolioRef[[SPY]:[PE]],MATCH(NK$1,PortfolioRef[Reference '#]),0),AssetMonthlyReturns[[#This Row],[SPY]:[PE]])</f>
        <v>4.4901939939258527E-2</v>
      </c>
      <c r="NL95" s="27">
        <f>IF(ISNUMBER(NL94),NL94*(1+PortfolioFrontier[[#This Row],[P94 Return]]),1+PortfolioFrontier[[#This Row],[P94 Return]])</f>
        <v>1.7130055713844028</v>
      </c>
      <c r="NM95" s="27">
        <f>MAX(NM94,PortfolioFrontier[[#This Row],[P94 Growth]])</f>
        <v>1.7868313973018393</v>
      </c>
      <c r="NN95" s="27">
        <f>PortfolioFrontier[[#This Row],[P94 Growth]]/PortfolioFrontier[[#This Row],[P94 HWM]]-1</f>
        <v>-4.1316615562562498E-2</v>
      </c>
      <c r="NO95" s="28">
        <f>SUMPRODUCT(INDEX(PortfolioRef[[SPY]:[PE]],MATCH(NO$1,PortfolioRef[Reference '#]),0),AssetMonthlyReturns[[#This Row],[SPY]:[PE]])</f>
        <v>3.9682390969275269E-2</v>
      </c>
      <c r="NP95" s="27">
        <f>IF(ISNUMBER(NP94),NP94*(1+PortfolioFrontier[[#This Row],[P95 Return]]),1+PortfolioFrontier[[#This Row],[P95 Return]])</f>
        <v>1.7067833961834613</v>
      </c>
      <c r="NQ95" s="27">
        <f>MAX(NQ94,PortfolioFrontier[[#This Row],[P95 Growth]])</f>
        <v>1.7550294195356591</v>
      </c>
      <c r="NR95" s="27">
        <f>PortfolioFrontier[[#This Row],[P95 Growth]]/PortfolioFrontier[[#This Row],[P95 HWM]]-1</f>
        <v>-2.7490150771924071E-2</v>
      </c>
      <c r="NS95" s="28">
        <f>SUMPRODUCT(INDEX(PortfolioRef[[SPY]:[PE]],MATCH(NS$1,PortfolioRef[Reference '#]),0),AssetMonthlyReturns[[#This Row],[SPY]:[PE]])</f>
        <v>3.4462841999292004E-2</v>
      </c>
      <c r="NT95" s="27">
        <f>IF(ISNUMBER(NT94),NT94*(1+PortfolioFrontier[[#This Row],[P96 Return]]),1+PortfolioFrontier[[#This Row],[P96 Return]])</f>
        <v>1.6992854636798733</v>
      </c>
      <c r="NU95" s="27">
        <f>MAX(NU94,PortfolioFrontier[[#This Row],[P96 Growth]])</f>
        <v>1.7230343324336159</v>
      </c>
      <c r="NV95" s="27">
        <f>PortfolioFrontier[[#This Row],[P96 Growth]]/PortfolioFrontier[[#This Row],[P96 HWM]]-1</f>
        <v>-1.3783166305339711E-2</v>
      </c>
      <c r="NW95" s="28">
        <f>SUMPRODUCT(INDEX(PortfolioRef[[SPY]:[PE]],MATCH(NW$1,PortfolioRef[Reference '#]),0),AssetMonthlyReturns[[#This Row],[SPY]:[PE]])</f>
        <v>3.2799582435275469E-2</v>
      </c>
      <c r="NX95" s="27">
        <f>IF(ISNUMBER(NX94),NX94*(1+PortfolioFrontier[[#This Row],[P97 Return]]),1+PortfolioFrontier[[#This Row],[P97 Return]])</f>
        <v>1.5136135203599184</v>
      </c>
      <c r="NY95" s="27">
        <f>MAX(NY94,PortfolioFrontier[[#This Row],[P97 Growth]])</f>
        <v>1.5498139523617234</v>
      </c>
      <c r="NZ95" s="27">
        <f>PortfolioFrontier[[#This Row],[P97 Growth]]/PortfolioFrontier[[#This Row],[P97 HWM]]-1</f>
        <v>-2.335792108894108E-2</v>
      </c>
      <c r="OA95" s="28">
        <f>SUMPRODUCT(INDEX(PortfolioRef[[SPY]:[PE]],MATCH(OA$1,PortfolioRef[Reference '#]),0),AssetMonthlyReturns[[#This Row],[SPY]:[PE]])</f>
        <v>3.173239823889628E-2</v>
      </c>
      <c r="OB95" s="27">
        <f>IF(ISNUMBER(OB94),OB94*(1+PortfolioFrontier[[#This Row],[P98 Return]]),1+PortfolioFrontier[[#This Row],[P98 Return]])</f>
        <v>1.544093242305715</v>
      </c>
      <c r="OC95" s="27">
        <f>MAX(OC94,PortfolioFrontier[[#This Row],[P98 Growth]])</f>
        <v>1.5643918723292729</v>
      </c>
      <c r="OD95" s="27">
        <f>PortfolioFrontier[[#This Row],[P98 Growth]]/PortfolioFrontier[[#This Row],[P98 HWM]]-1</f>
        <v>-1.29754126076701E-2</v>
      </c>
      <c r="OE95" s="28">
        <f>SUMPRODUCT(INDEX(PortfolioRef[[SPY]:[PE]],MATCH(OE$1,PortfolioRef[Reference '#]),0),AssetMonthlyReturns[[#This Row],[SPY]:[PE]])</f>
        <v>3.5147373158897134E-2</v>
      </c>
      <c r="OF95" s="27">
        <f>IF(ISNUMBER(OF94),OF94*(1+PortfolioFrontier[[#This Row],[P99 Return]]),1+PortfolioFrontier[[#This Row],[P99 Return]])</f>
        <v>1.5396788322239909</v>
      </c>
      <c r="OG95" s="27">
        <f>MAX(OG94,PortfolioFrontier[[#This Row],[P99 Growth]])</f>
        <v>1.5836627563813395</v>
      </c>
      <c r="OH95" s="27">
        <f>PortfolioFrontier[[#This Row],[P99 Growth]]/PortfolioFrontier[[#This Row],[P99 HWM]]-1</f>
        <v>-2.7773542049982614E-2</v>
      </c>
      <c r="OI95" s="28">
        <f>SUMPRODUCT(INDEX(PortfolioRef[[SPY]:[PE]],MATCH(OI$1,PortfolioRef[Reference '#]),0),AssetMonthlyReturns[[#This Row],[SPY]:[PE]])</f>
        <v>2.9927824188913876E-2</v>
      </c>
      <c r="OJ95" s="27">
        <f>IF(ISNUMBER(OJ94),OJ94*(1+PortfolioFrontier[[#This Row],[P100 Return]]),1+PortfolioFrontier[[#This Row],[P100 Return]])</f>
        <v>1.5299024798984009</v>
      </c>
      <c r="OK95" s="27">
        <f>MAX(OK94,PortfolioFrontier[[#This Row],[P100 Growth]])</f>
        <v>1.5528062347399851</v>
      </c>
      <c r="OL95" s="27">
        <f>PortfolioFrontier[[#This Row],[P100 Growth]]/PortfolioFrontier[[#This Row],[P100 HWM]]-1</f>
        <v>-1.4749911694822315E-2</v>
      </c>
      <c r="OM95" s="28">
        <f>SUMPRODUCT(INDEX(PortfolioRef[[SPY]:[PE]],MATCH(OM$1,PortfolioRef[Reference '#]),0),AssetMonthlyReturns[[#This Row],[SPY]:[PE]])</f>
        <v>3.0665214042517083E-2</v>
      </c>
      <c r="ON95" s="27">
        <f>IF(ISNUMBER(ON94),ON94*(1+PortfolioFrontier[[#This Row],[P101 Return]]),1+PortfolioFrontier[[#This Row],[P101 Return]])</f>
        <v>1.5747573529002923</v>
      </c>
      <c r="OO95" s="27">
        <f>MAX(OO94,PortfolioFrontier[[#This Row],[P101 Growth]])</f>
        <v>1.5787921813488919</v>
      </c>
      <c r="OP95" s="27">
        <f>PortfolioFrontier[[#This Row],[P101 Growth]]/PortfolioFrontier[[#This Row],[P101 HWM]]-1</f>
        <v>-2.5556425324784193E-3</v>
      </c>
      <c r="OQ95" s="28">
        <f>SUMPRODUCT(INDEX(PortfolioRef[[SPY]:[PE]],MATCH(OQ$1,PortfolioRef[Reference '#]),0),AssetMonthlyReturns[[#This Row],[SPY]:[PE]])</f>
        <v>3.4080188962517938E-2</v>
      </c>
      <c r="OR95" s="27">
        <f>IF(ISNUMBER(OR94),OR94*(1+PortfolioFrontier[[#This Row],[P102 Return]]),1+PortfolioFrontier[[#This Row],[P102 Return]])</f>
        <v>1.5706636731335244</v>
      </c>
      <c r="OS95" s="27">
        <f>MAX(OS94,PortfolioFrontier[[#This Row],[P102 Growth]])</f>
        <v>1.5985203886251573</v>
      </c>
      <c r="OT95" s="27">
        <f>PortfolioFrontier[[#This Row],[P102 Growth]]/PortfolioFrontier[[#This Row],[P102 HWM]]-1</f>
        <v>-1.7426562519851085E-2</v>
      </c>
      <c r="OU95" s="28">
        <f>SUMPRODUCT(INDEX(PortfolioRef[[SPY]:[PE]],MATCH(OU$1,PortfolioRef[Reference '#]),0),AssetMonthlyReturns[[#This Row],[SPY]:[PE]])</f>
        <v>2.886063999253468E-2</v>
      </c>
      <c r="OV95" s="27">
        <f>IF(ISNUMBER(OV94),OV94*(1+PortfolioFrontier[[#This Row],[P103 Return]]),1+PortfolioFrontier[[#This Row],[P103 Return]])</f>
        <v>1.5607075373279522</v>
      </c>
      <c r="OW95" s="27">
        <f>MAX(OW94,PortfolioFrontier[[#This Row],[P103 Growth]])</f>
        <v>1.5674355228105428</v>
      </c>
      <c r="OX95" s="27">
        <f>PortfolioFrontier[[#This Row],[P103 Growth]]/PortfolioFrontier[[#This Row],[P103 HWM]]-1</f>
        <v>-4.2923523071154435E-3</v>
      </c>
      <c r="OY95" s="28">
        <f>SUMPRODUCT(INDEX(PortfolioRef[[SPY]:[PE]],MATCH(OY$1,PortfolioRef[Reference '#]),0),AssetMonthlyReturns[[#This Row],[SPY]:[PE]])</f>
        <v>3.7495163882518799E-2</v>
      </c>
      <c r="OZ95" s="27">
        <f>IF(ISNUMBER(OZ94),OZ94*(1+PortfolioFrontier[[#This Row],[P104 Return]]),1+PortfolioFrontier[[#This Row],[P104 Return]])</f>
        <v>1.5653460993694817</v>
      </c>
      <c r="PA95" s="27">
        <f>MAX(PA94,PortfolioFrontier[[#This Row],[P104 Growth]])</f>
        <v>1.6176462594840681</v>
      </c>
      <c r="PB95" s="27">
        <f>PortfolioFrontier[[#This Row],[P104 Growth]]/PortfolioFrontier[[#This Row],[P104 HWM]]-1</f>
        <v>-3.2331024046794443E-2</v>
      </c>
      <c r="PC95" s="28">
        <f>SUMPRODUCT(INDEX(PortfolioRef[[SPY]:[PE]],MATCH(PC$1,PortfolioRef[Reference '#]),0),AssetMonthlyReturns[[#This Row],[SPY]:[PE]])</f>
        <v>3.2275614912535534E-2</v>
      </c>
      <c r="PD95" s="27">
        <f>IF(ISNUMBER(PD94),PD94*(1+PortfolioFrontier[[#This Row],[P105 Return]]),1+PortfolioFrontier[[#This Row],[P105 Return]])</f>
        <v>1.5563172614028036</v>
      </c>
      <c r="PE95" s="27">
        <f>MAX(PE94,PortfolioFrontier[[#This Row],[P105 Growth]])</f>
        <v>1.5867085542337835</v>
      </c>
      <c r="PF95" s="27">
        <f>PortfolioFrontier[[#This Row],[P105 Growth]]/PortfolioFrontier[[#This Row],[P105 HWM]]-1</f>
        <v>-1.9153670502303322E-2</v>
      </c>
      <c r="PG95" s="28">
        <f>SUMPRODUCT(INDEX(PortfolioRef[[SPY]:[PE]],MATCH(PG$1,PortfolioRef[Reference '#]),0),AssetMonthlyReturns[[#This Row],[SPY]:[PE]])</f>
        <v>2.7056065942552276E-2</v>
      </c>
      <c r="PH95" s="27">
        <f>IF(ISNUMBER(PH94),PH94*(1+PortfolioFrontier[[#This Row],[P106 Return]]),1+PortfolioFrontier[[#This Row],[P106 Return]])</f>
        <v>1.5461714236427659</v>
      </c>
      <c r="PI95" s="27">
        <f>MAX(PI94,PortfolioFrontier[[#This Row],[P106 Growth]])</f>
        <v>1.5556887430167754</v>
      </c>
      <c r="PJ95" s="27">
        <f>PortfolioFrontier[[#This Row],[P106 Growth]]/PortfolioFrontier[[#This Row],[P106 HWM]]-1</f>
        <v>-6.1177529353034776E-3</v>
      </c>
      <c r="PK95" s="28">
        <f>SUMPRODUCT(INDEX(PortfolioRef[[SPY]:[PE]],MATCH(PK$1,PortfolioRef[Reference '#]),0),AssetMonthlyReturns[[#This Row],[SPY]:[PE]])</f>
        <v>3.3013004766138755E-2</v>
      </c>
      <c r="PL95" s="27">
        <f>IF(ISNUMBER(PL94),PL94*(1+PortfolioFrontier[[#This Row],[P107 Return]]),1+PortfolioFrontier[[#This Row],[P107 Return]])</f>
        <v>1.6018358068831946</v>
      </c>
      <c r="PM95" s="27">
        <f>MAX(PM94,PortfolioFrontier[[#This Row],[P107 Growth]])</f>
        <v>1.6131964012798079</v>
      </c>
      <c r="PN95" s="27">
        <f>PortfolioFrontier[[#This Row],[P107 Growth]]/PortfolioFrontier[[#This Row],[P107 HWM]]-1</f>
        <v>-7.0422884576240019E-3</v>
      </c>
      <c r="PO95" s="28">
        <f>SUMPRODUCT(INDEX(PortfolioRef[[SPY]:[PE]],MATCH(PO$1,PortfolioRef[Reference '#]),0),AssetMonthlyReturns[[#This Row],[SPY]:[PE]])</f>
        <v>2.779345579615549E-2</v>
      </c>
      <c r="PP95" s="27">
        <f>IF(ISNUMBER(PP94),PP94*(1+PortfolioFrontier[[#This Row],[P108 Return]]),1+PortfolioFrontier[[#This Row],[P108 Return]])</f>
        <v>1.5916991451669842</v>
      </c>
      <c r="PQ95" s="27">
        <f>MAX(PQ94,PortfolioFrontier[[#This Row],[P108 Growth]])</f>
        <v>1.5916991451669842</v>
      </c>
      <c r="PR95" s="27">
        <f>PortfolioFrontier[[#This Row],[P108 Growth]]/PortfolioFrontier[[#This Row],[P108 HWM]]-1</f>
        <v>0</v>
      </c>
      <c r="PS95" s="28">
        <f>SUMPRODUCT(INDEX(PortfolioRef[[SPY]:[PE]],MATCH(PS$1,PortfolioRef[Reference '#]),0),AssetMonthlyReturns[[#This Row],[SPY]:[PE]])</f>
        <v>3.642797968613961E-2</v>
      </c>
      <c r="PT95" s="27">
        <f>IF(ISNUMBER(PT94),PT94*(1+PortfolioFrontier[[#This Row],[P109 Return]]),1+PortfolioFrontier[[#This Row],[P109 Return]])</f>
        <v>1.5968278131476883</v>
      </c>
      <c r="PU95" s="27">
        <f>MAX(PU94,PortfolioFrontier[[#This Row],[P109 Growth]])</f>
        <v>1.6327835279326679</v>
      </c>
      <c r="PV95" s="27">
        <f>PortfolioFrontier[[#This Row],[P109 Growth]]/PortfolioFrontier[[#This Row],[P109 HWM]]-1</f>
        <v>-2.2021115579543227E-2</v>
      </c>
      <c r="PW95" s="28">
        <f>SUMPRODUCT(INDEX(PortfolioRef[[SPY]:[PE]],MATCH(PW$1,PortfolioRef[Reference '#]),0),AssetMonthlyReturns[[#This Row],[SPY]:[PE]])</f>
        <v>3.1208430716156345E-2</v>
      </c>
      <c r="PX95" s="27">
        <f>IF(ISNUMBER(PX94),PX94*(1+PortfolioFrontier[[#This Row],[P110 Return]]),1+PortfolioFrontier[[#This Row],[P110 Return]])</f>
        <v>1.5876341999243748</v>
      </c>
      <c r="PY95" s="27">
        <f>MAX(PY94,PortfolioFrontier[[#This Row],[P110 Growth]])</f>
        <v>1.6016185143364081</v>
      </c>
      <c r="PZ95" s="27">
        <f>PortfolioFrontier[[#This Row],[P110 Growth]]/PortfolioFrontier[[#This Row],[P110 HWM]]-1</f>
        <v>-8.7313641087792826E-3</v>
      </c>
      <c r="QA95" s="28">
        <f>SUMPRODUCT(INDEX(PortfolioRef[[SPY]:[PE]],MATCH(QA$1,PortfolioRef[Reference '#]),0),AssetMonthlyReturns[[#This Row],[SPY]:[PE]])</f>
        <v>2.5988881746173087E-2</v>
      </c>
      <c r="QB95" s="27">
        <f>IF(ISNUMBER(QB94),QB94*(1+PortfolioFrontier[[#This Row],[P111 Return]]),1+PortfolioFrontier[[#This Row],[P111 Return]])</f>
        <v>1.5773014696668155</v>
      </c>
      <c r="QC95" s="27">
        <f>MAX(QC94,PortfolioFrontier[[#This Row],[P111 Growth]])</f>
        <v>1.5773014696668155</v>
      </c>
      <c r="QD95" s="27">
        <f>PortfolioFrontier[[#This Row],[P111 Growth]]/PortfolioFrontier[[#This Row],[P111 HWM]]-1</f>
        <v>0</v>
      </c>
      <c r="QE95" s="28">
        <f>SUMPRODUCT(INDEX(PortfolioRef[[SPY]:[PE]],MATCH(QE$1,PortfolioRef[Reference '#]),0),AssetMonthlyReturns[[#This Row],[SPY]:[PE]])</f>
        <v>3.9842954606140471E-2</v>
      </c>
      <c r="QF95" s="27">
        <f>IF(ISNUMBER(QF94),QF94*(1+PortfolioFrontier[[#This Row],[P112 Return]]),1+PortfolioFrontier[[#This Row],[P112 Return]])</f>
        <v>1.5905776879751918</v>
      </c>
      <c r="QG95" s="27">
        <f>MAX(QG94,PortfolioFrontier[[#This Row],[P112 Growth]])</f>
        <v>1.6517386955477045</v>
      </c>
      <c r="QH95" s="27">
        <f>PortfolioFrontier[[#This Row],[P112 Growth]]/PortfolioFrontier[[#This Row],[P112 HWM]]-1</f>
        <v>-3.7028258608564069E-2</v>
      </c>
      <c r="QI95" s="28">
        <f>SUMPRODUCT(INDEX(PortfolioRef[[SPY]:[PE]],MATCH(QI$1,PortfolioRef[Reference '#]),0),AssetMonthlyReturns[[#This Row],[SPY]:[PE]])</f>
        <v>3.4623405636157206E-2</v>
      </c>
      <c r="QJ95" s="27">
        <f>IF(ISNUMBER(QJ94),QJ94*(1+PortfolioFrontier[[#This Row],[P113 Return]]),1+PortfolioFrontier[[#This Row],[P113 Return]])</f>
        <v>1.5823321677677107</v>
      </c>
      <c r="QK95" s="27">
        <f>MAX(QK94,PortfolioFrontier[[#This Row],[P113 Growth]])</f>
        <v>1.6207454292109018</v>
      </c>
      <c r="QL95" s="27">
        <f>PortfolioFrontier[[#This Row],[P113 Growth]]/PortfolioFrontier[[#This Row],[P113 HWM]]-1</f>
        <v>-2.3700983973709899E-2</v>
      </c>
      <c r="QM95" s="28">
        <f>SUMPRODUCT(INDEX(PortfolioRef[[SPY]:[PE]],MATCH(QM$1,PortfolioRef[Reference '#]),0),AssetMonthlyReturns[[#This Row],[SPY]:[PE]])</f>
        <v>2.9403856666173941E-2</v>
      </c>
      <c r="QN95" s="27">
        <f>IF(ISNUMBER(QN94),QN94*(1+PortfolioFrontier[[#This Row],[P114 Return]]),1+PortfolioFrontier[[#This Row],[P114 Return]])</f>
        <v>1.5729368307754077</v>
      </c>
      <c r="QO95" s="27">
        <f>MAX(QO94,PortfolioFrontier[[#This Row],[P114 Growth]])</f>
        <v>1.5896421022161857</v>
      </c>
      <c r="QP95" s="27">
        <f>PortfolioFrontier[[#This Row],[P114 Growth]]/PortfolioFrontier[[#This Row],[P114 HWM]]-1</f>
        <v>-1.0508825488132589E-2</v>
      </c>
      <c r="QQ95" s="28">
        <f>SUMPRODUCT(INDEX(PortfolioRef[[SPY]:[PE]],MATCH(QQ$1,PortfolioRef[Reference '#]),0),AssetMonthlyReturns[[#This Row],[SPY]:[PE]])</f>
        <v>3.5360795489760427E-2</v>
      </c>
      <c r="QR95" s="27">
        <f>IF(ISNUMBER(QR94),QR94*(1+PortfolioFrontier[[#This Row],[P115 Return]]),1+PortfolioFrontier[[#This Row],[P115 Return]])</f>
        <v>1.628499673569817</v>
      </c>
      <c r="QS95" s="27">
        <f>MAX(QS94,PortfolioFrontier[[#This Row],[P115 Growth]])</f>
        <v>1.6477351477866757</v>
      </c>
      <c r="QT95" s="27">
        <f>PortfolioFrontier[[#This Row],[P115 Growth]]/PortfolioFrontier[[#This Row],[P115 HWM]]-1</f>
        <v>-1.1673887179439513E-2</v>
      </c>
      <c r="QU95" s="28">
        <f>SUMPRODUCT(INDEX(PortfolioRef[[SPY]:[PE]],MATCH(QU$1,PortfolioRef[Reference '#]),0),AssetMonthlyReturns[[#This Row],[SPY]:[PE]])</f>
        <v>3.0141246519777162E-2</v>
      </c>
      <c r="QV95" s="27">
        <f>IF(ISNUMBER(QV94),QV94*(1+PortfolioFrontier[[#This Row],[P116 Return]]),1+PortfolioFrontier[[#This Row],[P116 Return]])</f>
        <v>1.6191406357703888</v>
      </c>
      <c r="QW95" s="27">
        <f>MAX(QW94,PortfolioFrontier[[#This Row],[P116 Growth]])</f>
        <v>1.6191406357703888</v>
      </c>
      <c r="QX95" s="27">
        <f>PortfolioFrontier[[#This Row],[P116 Growth]]/PortfolioFrontier[[#This Row],[P116 HWM]]-1</f>
        <v>0</v>
      </c>
      <c r="QY95" s="28">
        <f>SUMPRODUCT(INDEX(PortfolioRef[[SPY]:[PE]],MATCH(QY$1,PortfolioRef[Reference '#]),0),AssetMonthlyReturns[[#This Row],[SPY]:[PE]])</f>
        <v>2.4921697549793898E-2</v>
      </c>
      <c r="QZ95" s="27">
        <f>IF(ISNUMBER(QZ94),QZ94*(1+PortfolioFrontier[[#This Row],[P117 Return]]),1+PortfolioFrontier[[#This Row],[P117 Return]])</f>
        <v>1.6086202303914878</v>
      </c>
      <c r="RA95" s="27">
        <f>MAX(RA94,PortfolioFrontier[[#This Row],[P117 Growth]])</f>
        <v>1.6086202303914878</v>
      </c>
      <c r="RB95" s="27">
        <f>PortfolioFrontier[[#This Row],[P117 Growth]]/PortfolioFrontier[[#This Row],[P117 HWM]]-1</f>
        <v>0</v>
      </c>
      <c r="RC95" s="28">
        <f>SUMPRODUCT(INDEX(PortfolioRef[[SPY]:[PE]],MATCH(RC$1,PortfolioRef[Reference '#]),0),AssetMonthlyReturns[[#This Row],[SPY]:[PE]])</f>
        <v>3.8775770409761282E-2</v>
      </c>
      <c r="RD95" s="27">
        <f>IF(ISNUMBER(RD94),RD94*(1+PortfolioFrontier[[#This Row],[P118 Return]]),1+PortfolioFrontier[[#This Row],[P118 Return]])</f>
        <v>1.6225473085263404</v>
      </c>
      <c r="RE95" s="27">
        <f>MAX(RE94,PortfolioFrontier[[#This Row],[P118 Growth]])</f>
        <v>1.667155293527623</v>
      </c>
      <c r="RF95" s="27">
        <f>PortfolioFrontier[[#This Row],[P118 Growth]]/PortfolioFrontier[[#This Row],[P118 HWM]]-1</f>
        <v>-2.6756946503102452E-2</v>
      </c>
      <c r="RG95" s="28">
        <f>SUMPRODUCT(INDEX(PortfolioRef[[SPY]:[PE]],MATCH(RG$1,PortfolioRef[Reference '#]),0),AssetMonthlyReturns[[#This Row],[SPY]:[PE]])</f>
        <v>3.3556221439778017E-2</v>
      </c>
      <c r="RH95" s="27">
        <f>IF(ISNUMBER(RH94),RH94*(1+PortfolioFrontier[[#This Row],[P119 Return]]),1+PortfolioFrontier[[#This Row],[P119 Return]])</f>
        <v>1.6141527007459437</v>
      </c>
      <c r="RI95" s="27">
        <f>MAX(RI94,PortfolioFrontier[[#This Row],[P119 Growth]])</f>
        <v>1.6359359857167841</v>
      </c>
      <c r="RJ95" s="27">
        <f>PortfolioFrontier[[#This Row],[P119 Growth]]/PortfolioFrontier[[#This Row],[P119 HWM]]-1</f>
        <v>-1.3315487379107926E-2</v>
      </c>
      <c r="RK95" s="28">
        <f>SUMPRODUCT(INDEX(PortfolioRef[[SPY]:[PE]],MATCH(RK$1,PortfolioRef[Reference '#]),0),AssetMonthlyReturns[[#This Row],[SPY]:[PE]])</f>
        <v>2.8336672469794752E-2</v>
      </c>
      <c r="RL95" s="27">
        <f>IF(ISNUMBER(RL94),RL94*(1+PortfolioFrontier[[#This Row],[P120 Return]]),1+PortfolioFrontier[[#This Row],[P120 Return]])</f>
        <v>1.6045855439701602</v>
      </c>
      <c r="RM95" s="27">
        <f>MAX(RM94,PortfolioFrontier[[#This Row],[P120 Growth]])</f>
        <v>1.6046034567476111</v>
      </c>
      <c r="RN95" s="27">
        <f>PortfolioFrontier[[#This Row],[P120 Growth]]/PortfolioFrontier[[#This Row],[P120 HWM]]-1</f>
        <v>-1.1163367108268929E-5</v>
      </c>
      <c r="RO95" s="28">
        <f>SUMPRODUCT(INDEX(PortfolioRef[[SPY]:[PE]],MATCH(RO$1,PortfolioRef[Reference '#]),0),AssetMonthlyReturns[[#This Row],[SPY]:[PE]])</f>
        <v>4.2190745329762136E-2</v>
      </c>
      <c r="RP95" s="27">
        <f>IF(ISNUMBER(RP94),RP94*(1+PortfolioFrontier[[#This Row],[P121 Return]]),1+PortfolioFrontier[[#This Row],[P121 Return]])</f>
        <v>1.6153357374169319</v>
      </c>
      <c r="RQ95" s="27">
        <f>MAX(RQ94,PortfolioFrontier[[#This Row],[P121 Growth]])</f>
        <v>1.6859132740659151</v>
      </c>
      <c r="RR95" s="27">
        <f>PortfolioFrontier[[#This Row],[P121 Growth]]/PortfolioFrontier[[#This Row],[P121 HWM]]-1</f>
        <v>-4.186308853169618E-2</v>
      </c>
      <c r="RS95" s="28">
        <f>SUMPRODUCT(INDEX(PortfolioRef[[SPY]:[PE]],MATCH(RS$1,PortfolioRef[Reference '#]),0),AssetMonthlyReturns[[#This Row],[SPY]:[PE]])</f>
        <v>3.6971196359778871E-2</v>
      </c>
      <c r="RT95" s="27">
        <f>IF(ISNUMBER(RT94),RT94*(1+PortfolioFrontier[[#This Row],[P122 Return]]),1+PortfolioFrontier[[#This Row],[P122 Return]])</f>
        <v>1.6079091216945558</v>
      </c>
      <c r="RU95" s="27">
        <f>MAX(RU94,PortfolioFrontier[[#This Row],[P122 Growth]])</f>
        <v>1.6548910536150563</v>
      </c>
      <c r="RV95" s="27">
        <f>PortfolioFrontier[[#This Row],[P122 Growth]]/PortfolioFrontier[[#This Row],[P122 HWM]]-1</f>
        <v>-2.838974313014142E-2</v>
      </c>
      <c r="RW95" s="28">
        <f>SUMPRODUCT(INDEX(PortfolioRef[[SPY]:[PE]],MATCH(RW$1,PortfolioRef[Reference '#]),0),AssetMonthlyReturns[[#This Row],[SPY]:[PE]])</f>
        <v>3.1751647389795613E-2</v>
      </c>
      <c r="RX95" s="27">
        <f>IF(ISNUMBER(RX94),RX94*(1+PortfolioFrontier[[#This Row],[P123 Return]]),1+PortfolioFrontier[[#This Row],[P123 Return]])</f>
        <v>1.5993005882379057</v>
      </c>
      <c r="RY95" s="27">
        <f>MAX(RY94,PortfolioFrontier[[#This Row],[P123 Growth]])</f>
        <v>1.6237298558231279</v>
      </c>
      <c r="RZ95" s="27">
        <f>PortfolioFrontier[[#This Row],[P123 Growth]]/PortfolioFrontier[[#This Row],[P123 HWM]]-1</f>
        <v>-1.5045155139330801E-2</v>
      </c>
      <c r="SA95" s="28">
        <f>SUMPRODUCT(INDEX(PortfolioRef[[SPY]:[PE]],MATCH(SA$1,PortfolioRef[Reference '#]),0),AssetMonthlyReturns[[#This Row],[SPY]:[PE]])</f>
        <v>3.7708586213382092E-2</v>
      </c>
      <c r="SB95" s="27">
        <f>IF(ISNUMBER(SB94),SB94*(1+PortfolioFrontier[[#This Row],[P124 Return]]),1+PortfolioFrontier[[#This Row],[P124 Return]])</f>
        <v>1.6547098751693348</v>
      </c>
      <c r="SC95" s="27">
        <f>MAX(SC94,PortfolioFrontier[[#This Row],[P124 Growth]])</f>
        <v>1.6823821965094672</v>
      </c>
      <c r="SD95" s="27">
        <f>PortfolioFrontier[[#This Row],[P124 Growth]]/PortfolioFrontier[[#This Row],[P124 HWM]]-1</f>
        <v>-1.6448296586557887E-2</v>
      </c>
      <c r="SE95" s="28">
        <f>SUMPRODUCT(INDEX(PortfolioRef[[SPY]:[PE]],MATCH(SE$1,PortfolioRef[Reference '#]),0),AssetMonthlyReturns[[#This Row],[SPY]:[PE]])</f>
        <v>3.2489037243398827E-2</v>
      </c>
      <c r="SF95" s="27">
        <f>IF(ISNUMBER(SF94),SF94*(1+PortfolioFrontier[[#This Row],[P125 Return]]),1+PortfolioFrontier[[#This Row],[P125 Return]])</f>
        <v>1.6461656272696166</v>
      </c>
      <c r="SG95" s="27">
        <f>MAX(SG94,PortfolioFrontier[[#This Row],[P125 Growth]])</f>
        <v>1.6509411354388694</v>
      </c>
      <c r="SH95" s="27">
        <f>PortfolioFrontier[[#This Row],[P125 Growth]]/PortfolioFrontier[[#This Row],[P125 HWM]]-1</f>
        <v>-2.8925974807596511E-3</v>
      </c>
      <c r="SI95" s="28">
        <f>SUMPRODUCT(INDEX(PortfolioRef[[SPY]:[PE]],MATCH(SI$1,PortfolioRef[Reference '#]),0),AssetMonthlyReturns[[#This Row],[SPY]:[PE]])</f>
        <v>2.7269488273415569E-2</v>
      </c>
      <c r="SJ95" s="27">
        <f>IF(ISNUMBER(SJ94),SJ94*(1+PortfolioFrontier[[#This Row],[P126 Return]]),1+PortfolioFrontier[[#This Row],[P126 Return]])</f>
        <v>1.6364259617516475</v>
      </c>
      <c r="SK95" s="27">
        <f>MAX(SK94,PortfolioFrontier[[#This Row],[P126 Growth]])</f>
        <v>1.6364259617516475</v>
      </c>
      <c r="SL95" s="27">
        <f>PortfolioFrontier[[#This Row],[P126 Growth]]/PortfolioFrontier[[#This Row],[P126 HWM]]-1</f>
        <v>0</v>
      </c>
      <c r="SM95" s="28">
        <f>SUMPRODUCT(INDEX(PortfolioRef[[SPY]:[PE]],MATCH(SM$1,PortfolioRef[Reference '#]),0),AssetMonthlyReturns[[#This Row],[SPY]:[PE]])</f>
        <v>4.1123561133382946E-2</v>
      </c>
      <c r="SN95" s="27">
        <f>IF(ISNUMBER(SN94),SN94*(1+PortfolioFrontier[[#This Row],[P127 Return]]),1+PortfolioFrontier[[#This Row],[P127 Return]])</f>
        <v>1.6477835754818486</v>
      </c>
      <c r="SO95" s="27">
        <f>MAX(SO94,PortfolioFrontier[[#This Row],[P127 Growth]])</f>
        <v>1.7016086575400751</v>
      </c>
      <c r="SP95" s="27">
        <f>PortfolioFrontier[[#This Row],[P127 Growth]]/PortfolioFrontier[[#This Row],[P127 HWM]]-1</f>
        <v>-3.1631880702839399E-2</v>
      </c>
      <c r="SQ95" s="28">
        <f>SUMPRODUCT(INDEX(PortfolioRef[[SPY]:[PE]],MATCH(SQ$1,PortfolioRef[Reference '#]),0),AssetMonthlyReturns[[#This Row],[SPY]:[PE]])</f>
        <v>3.5904012163399682E-2</v>
      </c>
      <c r="SR95" s="27">
        <f>IF(ISNUMBER(SR94),SR94*(1+PortfolioFrontier[[#This Row],[P128 Return]]),1+PortfolioFrontier[[#This Row],[P128 Return]])</f>
        <v>1.6402242340370088</v>
      </c>
      <c r="SS95" s="27">
        <f>MAX(SS94,PortfolioFrontier[[#This Row],[P128 Growth]])</f>
        <v>1.6703618996398835</v>
      </c>
      <c r="ST95" s="27">
        <f>PortfolioFrontier[[#This Row],[P128 Growth]]/PortfolioFrontier[[#This Row],[P128 HWM]]-1</f>
        <v>-1.8042596403433309E-2</v>
      </c>
      <c r="SU95" s="28">
        <f>SUMPRODUCT(INDEX(PortfolioRef[[SPY]:[PE]],MATCH(SU$1,PortfolioRef[Reference '#]),0),AssetMonthlyReturns[[#This Row],[SPY]:[PE]])</f>
        <v>3.0684463193416424E-2</v>
      </c>
      <c r="SV95" s="27">
        <f>IF(ISNUMBER(SV94),SV94*(1+PortfolioFrontier[[#This Row],[P129 Return]]),1+PortfolioFrontier[[#This Row],[P129 Return]])</f>
        <v>1.6314596425049559</v>
      </c>
      <c r="SW95" s="27">
        <f>MAX(SW94,PortfolioFrontier[[#This Row],[P129 Growth]])</f>
        <v>1.6389727481356613</v>
      </c>
      <c r="SX95" s="27">
        <f>PortfolioFrontier[[#This Row],[P129 Growth]]/PortfolioFrontier[[#This Row],[P129 HWM]]-1</f>
        <v>-4.5840332850266563E-3</v>
      </c>
      <c r="SY95" s="28">
        <f>SUMPRODUCT(INDEX(PortfolioRef[[SPY]:[PE]],MATCH(SY$1,PortfolioRef[Reference '#]),0),AssetMonthlyReturns[[#This Row],[SPY]:[PE]])</f>
        <v>4.4538536053383801E-2</v>
      </c>
      <c r="SZ95" s="27">
        <f>IF(ISNUMBER(SZ94),SZ94*(1+PortfolioFrontier[[#This Row],[P130 Return]]),1+PortfolioFrontier[[#This Row],[P130 Return]])</f>
        <v>1.639582228631282</v>
      </c>
      <c r="TA95" s="27">
        <f>MAX(TA94,PortfolioFrontier[[#This Row],[P130 Growth]])</f>
        <v>1.720142179322633</v>
      </c>
      <c r="TB95" s="27">
        <f>PortfolioFrontier[[#This Row],[P130 Growth]]/PortfolioFrontier[[#This Row],[P130 HWM]]-1</f>
        <v>-4.6833309280907454E-2</v>
      </c>
      <c r="TC95" s="28">
        <f>SUMPRODUCT(INDEX(PortfolioRef[[SPY]:[PE]],MATCH(TC$1,PortfolioRef[Reference '#]),0),AssetMonthlyReturns[[#This Row],[SPY]:[PE]])</f>
        <v>3.9318987083400543E-2</v>
      </c>
      <c r="TD95" s="27">
        <f>IF(ISNUMBER(TD94),TD94*(1+PortfolioFrontier[[#This Row],[P131 Return]]),1+PortfolioFrontier[[#This Row],[P131 Return]])</f>
        <v>1.6330098107553366</v>
      </c>
      <c r="TE95" s="27">
        <f>MAX(TE94,PortfolioFrontier[[#This Row],[P131 Growth]])</f>
        <v>1.6891185966988822</v>
      </c>
      <c r="TF95" s="27">
        <f>PortfolioFrontier[[#This Row],[P131 Growth]]/PortfolioFrontier[[#This Row],[P131 HWM]]-1</f>
        <v>-3.3217789475056048E-2</v>
      </c>
      <c r="TG95" s="28">
        <f>SUMPRODUCT(INDEX(PortfolioRef[[SPY]:[PE]],MATCH(TG$1,PortfolioRef[Reference '#]),0),AssetMonthlyReturns[[#This Row],[SPY]:[PE]])</f>
        <v>3.4099438113417285E-2</v>
      </c>
      <c r="TH95" s="27">
        <f>IF(ISNUMBER(TH94),TH94*(1+PortfolioFrontier[[#This Row],[P132 Return]]),1+PortfolioFrontier[[#This Row],[P132 Return]])</f>
        <v>1.6252241747480967</v>
      </c>
      <c r="TI95" s="27">
        <f>MAX(TI94,PortfolioFrontier[[#This Row],[P132 Growth]])</f>
        <v>1.6579261593145806</v>
      </c>
      <c r="TJ95" s="27">
        <f>PortfolioFrontier[[#This Row],[P132 Growth]]/PortfolioFrontier[[#This Row],[P132 HWM]]-1</f>
        <v>-1.9724632718265078E-2</v>
      </c>
      <c r="TK95" s="28">
        <f>SUMPRODUCT(INDEX(PortfolioRef[[SPY]:[PE]],MATCH(TK$1,PortfolioRef[Reference '#]),0),AssetMonthlyReturns[[#This Row],[SPY]:[PE]])</f>
        <v>4.0056376937003757E-2</v>
      </c>
      <c r="TL95" s="27">
        <f>IF(ISNUMBER(TL94),TL94*(1+PortfolioFrontier[[#This Row],[P133 Return]]),1+PortfolioFrontier[[#This Row],[P133 Return]])</f>
        <v>1.6804271007574039</v>
      </c>
      <c r="TM95" s="27">
        <f>MAX(TM94,PortfolioFrontier[[#This Row],[P133 Growth]])</f>
        <v>1.7171102853087914</v>
      </c>
      <c r="TN95" s="27">
        <f>PortfolioFrontier[[#This Row],[P133 Growth]]/PortfolioFrontier[[#This Row],[P133 HWM]]-1</f>
        <v>-2.1363324688717156E-2</v>
      </c>
      <c r="TO95" s="28">
        <f>SUMPRODUCT(INDEX(PortfolioRef[[SPY]:[PE]],MATCH(TO$1,PortfolioRef[Reference '#]),0),AssetMonthlyReturns[[#This Row],[SPY]:[PE]])</f>
        <v>3.4836827967020492E-2</v>
      </c>
      <c r="TP95" s="27">
        <f>IF(ISNUMBER(TP94),TP94*(1+PortfolioFrontier[[#This Row],[P134 Return]]),1+PortfolioFrontier[[#This Row],[P134 Return]])</f>
        <v>1.6727345814318162</v>
      </c>
      <c r="TQ95" s="27">
        <f>MAX(TQ94,PortfolioFrontier[[#This Row],[P134 Growth]])</f>
        <v>1.6856432974461595</v>
      </c>
      <c r="TR95" s="27">
        <f>PortfolioFrontier[[#This Row],[P134 Growth]]/PortfolioFrontier[[#This Row],[P134 HWM]]-1</f>
        <v>-7.6580353826344316E-3</v>
      </c>
      <c r="TS95" s="28">
        <f>SUMPRODUCT(INDEX(PortfolioRef[[SPY]:[PE]],MATCH(TS$1,PortfolioRef[Reference '#]),0),AssetMonthlyReturns[[#This Row],[SPY]:[PE]])</f>
        <v>2.9617278997037234E-2</v>
      </c>
      <c r="TT95" s="27">
        <f>IF(ISNUMBER(TT94),TT94*(1+PortfolioFrontier[[#This Row],[P135 Return]]),1+PortfolioFrontier[[#This Row],[P135 Return]])</f>
        <v>1.663813340250661</v>
      </c>
      <c r="TU95" s="27">
        <f>MAX(TU94,PortfolioFrontier[[#This Row],[P135 Growth]])</f>
        <v>1.663813340250661</v>
      </c>
      <c r="TV95" s="27">
        <f>PortfolioFrontier[[#This Row],[P135 Growth]]/PortfolioFrontier[[#This Row],[P135 HWM]]-1</f>
        <v>0</v>
      </c>
      <c r="TW95" s="28">
        <f>SUMPRODUCT(INDEX(PortfolioRef[[SPY]:[PE]],MATCH(TW$1,PortfolioRef[Reference '#]),0),AssetMonthlyReturns[[#This Row],[SPY]:[PE]])</f>
        <v>4.3471351857004611E-2</v>
      </c>
      <c r="TX95" s="27">
        <f>IF(ISNUMBER(TX94),TX94*(1+PortfolioFrontier[[#This Row],[P136 Return]]),1+PortfolioFrontier[[#This Row],[P136 Return]])</f>
        <v>1.6724978699269535</v>
      </c>
      <c r="TY95" s="27">
        <f>MAX(TY94,PortfolioFrontier[[#This Row],[P136 Growth]])</f>
        <v>1.7361155602147582</v>
      </c>
      <c r="TZ95" s="27">
        <f>PortfolioFrontier[[#This Row],[P136 Growth]]/PortfolioFrontier[[#This Row],[P136 HWM]]-1</f>
        <v>-3.6643695699573819E-2</v>
      </c>
      <c r="UA95" s="28">
        <f>SUMPRODUCT(INDEX(PortfolioRef[[SPY]:[PE]],MATCH(UA$1,PortfolioRef[Reference '#]),0),AssetMonthlyReturns[[#This Row],[SPY]:[PE]])</f>
        <v>3.8251802887021347E-2</v>
      </c>
      <c r="UB95" s="27">
        <f>IF(ISNUMBER(UB94),UB94*(1+PortfolioFrontier[[#This Row],[P137 Return]]),1+PortfolioFrontier[[#This Row],[P137 Return]])</f>
        <v>1.6658097556045346</v>
      </c>
      <c r="UC95" s="27">
        <f>MAX(UC94,PortfolioFrontier[[#This Row],[P137 Growth]])</f>
        <v>1.7048691873265751</v>
      </c>
      <c r="UD95" s="27">
        <f>PortfolioFrontier[[#This Row],[P137 Growth]]/PortfolioFrontier[[#This Row],[P137 HWM]]-1</f>
        <v>-2.2910515371147078E-2</v>
      </c>
      <c r="UE95" s="28">
        <f>SUMPRODUCT(INDEX(PortfolioRef[[SPY]:[PE]],MATCH(UE$1,PortfolioRef[Reference '#]),0),AssetMonthlyReturns[[#This Row],[SPY]:[PE]])</f>
        <v>3.3032253917038089E-2</v>
      </c>
      <c r="UF95" s="27">
        <f>IF(ISNUMBER(UF94),UF94*(1+PortfolioFrontier[[#This Row],[P138 Return]]),1+PortfolioFrontier[[#This Row],[P138 Return]])</f>
        <v>1.6578845070644193</v>
      </c>
      <c r="UG95" s="27">
        <f>MAX(UG94,PortfolioFrontier[[#This Row],[P138 Growth]])</f>
        <v>1.6734502822541619</v>
      </c>
      <c r="UH95" s="27">
        <f>PortfolioFrontier[[#This Row],[P138 Growth]]/PortfolioFrontier[[#This Row],[P138 HWM]]-1</f>
        <v>-9.3016060021665625E-3</v>
      </c>
      <c r="UI95" s="28">
        <f>SUMPRODUCT(INDEX(PortfolioRef[[SPY]:[PE]],MATCH(UI$1,PortfolioRef[Reference '#]),0),AssetMonthlyReturns[[#This Row],[SPY]:[PE]])</f>
        <v>4.6886326777005473E-2</v>
      </c>
      <c r="UJ95" s="27">
        <f>IF(ISNUMBER(UJ94),UJ94*(1+PortfolioFrontier[[#This Row],[P139 Return]]),1+PortfolioFrontier[[#This Row],[P139 Return]])</f>
        <v>1.6632790546165606</v>
      </c>
      <c r="UK95" s="27">
        <f>MAX(UK94,PortfolioFrontier[[#This Row],[P139 Growth]])</f>
        <v>1.7543965710992384</v>
      </c>
      <c r="UL95" s="27">
        <f>PortfolioFrontier[[#This Row],[P139 Growth]]/PortfolioFrontier[[#This Row],[P139 HWM]]-1</f>
        <v>-5.1936670410605679E-2</v>
      </c>
      <c r="UM95" s="28">
        <f>SUMPRODUCT(INDEX(PortfolioRef[[SPY]:[PE]],MATCH(UM$1,PortfolioRef[Reference '#]),0),AssetMonthlyReturns[[#This Row],[SPY]:[PE]])</f>
        <v>4.1666777807022208E-2</v>
      </c>
      <c r="UN95" s="27">
        <f>IF(ISNUMBER(UN94),UN94*(1+PortfolioFrontier[[#This Row],[P140 Return]]),1+PortfolioFrontier[[#This Row],[P140 Return]])</f>
        <v>1.6575957564327957</v>
      </c>
      <c r="UO95" s="27">
        <f>MAX(UO94,PortfolioFrontier[[#This Row],[P140 Growth]])</f>
        <v>1.7234002022793458</v>
      </c>
      <c r="UP95" s="27">
        <f>PortfolioFrontier[[#This Row],[P140 Growth]]/PortfolioFrontier[[#This Row],[P140 HWM]]-1</f>
        <v>-3.8182916399521094E-2</v>
      </c>
      <c r="UQ95" s="28">
        <f>SUMPRODUCT(INDEX(PortfolioRef[[SPY]:[PE]],MATCH(UQ$1,PortfolioRef[Reference '#]),0),AssetMonthlyReturns[[#This Row],[SPY]:[PE]])</f>
        <v>3.644722883703895E-2</v>
      </c>
      <c r="UR95" s="27">
        <f>IF(ISNUMBER(UR94),UR94*(1+PortfolioFrontier[[#This Row],[P141 Return]]),1+PortfolioFrontier[[#This Row],[P141 Return]])</f>
        <v>1.6506688254451536</v>
      </c>
      <c r="US95" s="27">
        <f>MAX(US94,PortfolioFrontier[[#This Row],[P141 Growth]])</f>
        <v>1.6922041432386774</v>
      </c>
      <c r="UT95" s="27">
        <f>PortfolioFrontier[[#This Row],[P141 Growth]]/PortfolioFrontier[[#This Row],[P141 HWM]]-1</f>
        <v>-2.4545098745610061E-2</v>
      </c>
    </row>
    <row r="96" spans="2:566" x14ac:dyDescent="0.2">
      <c r="B96" s="41">
        <f>AssetMonthlyReturns[[#This Row],[Date]]</f>
        <v>45292</v>
      </c>
      <c r="C96" s="28">
        <f>SUMPRODUCT(INDEX(PortfolioRef[[SPY]:[PE]],MATCH(C$1,PortfolioRef[Reference '#]),0),AssetMonthlyReturns[[#This Row],[SPY]:[PE]])</f>
        <v>7.5389169495173724E-3</v>
      </c>
      <c r="D96" s="29">
        <f>IF(ISNUMBER(D95),D95*(1+PortfolioFrontier[[#This Row],[P1 Return]]),1+PortfolioFrontier[[#This Row],[P1 Return]])</f>
        <v>1.9928090097694806</v>
      </c>
      <c r="E96" s="29">
        <f>MAX(E95,PortfolioFrontier[[#This Row],[P1 Growth]])</f>
        <v>1.9928090097694806</v>
      </c>
      <c r="F96" s="29">
        <f>PortfolioFrontier[[#This Row],[P1 Growth]]/PortfolioFrontier[[#This Row],[P1 HWM]]-1</f>
        <v>0</v>
      </c>
      <c r="G96" s="28">
        <f>SUMPRODUCT(INDEX(PortfolioRef[[SPY]:[PE]],MATCH(G$1,PortfolioRef[Reference '#]),0),AssetMonthlyReturns[[#This Row],[SPY]:[PE]])</f>
        <v>6.7474826486102705E-3</v>
      </c>
      <c r="H96" s="27">
        <f>IF(ISNUMBER(H95),H95*(1+PortfolioFrontier[[#This Row],[P2 Return]]),1+PortfolioFrontier[[#This Row],[P2 Return]])</f>
        <v>1.9065740561009912</v>
      </c>
      <c r="I96" s="27">
        <f>MAX(I95,PortfolioFrontier[[#This Row],[P2 Growth]])</f>
        <v>1.9065740561009912</v>
      </c>
      <c r="J96" s="27">
        <f>PortfolioFrontier[[#This Row],[P2 Growth]]/PortfolioFrontier[[#This Row],[P2 HWM]]-1</f>
        <v>0</v>
      </c>
      <c r="K96" s="28">
        <f>SUMPRODUCT(INDEX(PortfolioRef[[SPY]:[PE]],MATCH(K$1,PortfolioRef[Reference '#]),0),AssetMonthlyReturns[[#This Row],[SPY]:[PE]])</f>
        <v>5.8252367372887311E-3</v>
      </c>
      <c r="L96" s="27">
        <f>IF(ISNUMBER(L95),L95*(1+PortfolioFrontier[[#This Row],[P3 Return]]),1+PortfolioFrontier[[#This Row],[P3 Return]])</f>
        <v>1.9431609423475429</v>
      </c>
      <c r="M96" s="27">
        <f>MAX(M95,PortfolioFrontier[[#This Row],[P3 Growth]])</f>
        <v>1.9431609423475429</v>
      </c>
      <c r="N96" s="27">
        <f>PortfolioFrontier[[#This Row],[P3 Growth]]/PortfolioFrontier[[#This Row],[P3 HWM]]-1</f>
        <v>0</v>
      </c>
      <c r="O96" s="28">
        <f>SUMPRODUCT(INDEX(PortfolioRef[[SPY]:[PE]],MATCH(O$1,PortfolioRef[Reference '#]),0),AssetMonthlyReturns[[#This Row],[SPY]:[PE]])</f>
        <v>4.5926462696153853E-3</v>
      </c>
      <c r="P96" s="27">
        <f>IF(ISNUMBER(P95),P95*(1+PortfolioFrontier[[#This Row],[P4 Return]]),1+PortfolioFrontier[[#This Row],[P4 Return]])</f>
        <v>1.9315563010777228</v>
      </c>
      <c r="Q96" s="27">
        <f>MAX(Q95,PortfolioFrontier[[#This Row],[P4 Growth]])</f>
        <v>1.9315563010777228</v>
      </c>
      <c r="R96" s="27">
        <f>PortfolioFrontier[[#This Row],[P4 Growth]]/PortfolioFrontier[[#This Row],[P4 HWM]]-1</f>
        <v>0</v>
      </c>
      <c r="S96" s="28">
        <f>SUMPRODUCT(INDEX(PortfolioRef[[SPY]:[PE]],MATCH(S$1,PortfolioRef[Reference '#]),0),AssetMonthlyReturns[[#This Row],[SPY]:[PE]])</f>
        <v>7.1327660509073569E-3</v>
      </c>
      <c r="T96" s="27">
        <f>IF(ISNUMBER(T95),T95*(1+PortfolioFrontier[[#This Row],[P5 Return]]),1+PortfolioFrontier[[#This Row],[P5 Return]])</f>
        <v>1.9277475669711377</v>
      </c>
      <c r="U96" s="27">
        <f>MAX(U95,PortfolioFrontier[[#This Row],[P5 Growth]])</f>
        <v>1.9277475669711377</v>
      </c>
      <c r="V96" s="27">
        <f>PortfolioFrontier[[#This Row],[P5 Growth]]/PortfolioFrontier[[#This Row],[P5 HWM]]-1</f>
        <v>0</v>
      </c>
      <c r="W96" s="28">
        <f>SUMPRODUCT(INDEX(PortfolioRef[[SPY]:[PE]],MATCH(W$1,PortfolioRef[Reference '#]),0),AssetMonthlyReturns[[#This Row],[SPY]:[PE]])</f>
        <v>5.9560483477031686E-3</v>
      </c>
      <c r="X96" s="27">
        <f>IF(ISNUMBER(X95),X95*(1+PortfolioFrontier[[#This Row],[P6 Return]]),1+PortfolioFrontier[[#This Row],[P6 Return]])</f>
        <v>1.8232395481710437</v>
      </c>
      <c r="Y96" s="27">
        <f>MAX(Y95,PortfolioFrontier[[#This Row],[P6 Growth]])</f>
        <v>1.8232395481710437</v>
      </c>
      <c r="Z96" s="27">
        <f>PortfolioFrontier[[#This Row],[P6 Growth]]/PortfolioFrontier[[#This Row],[P6 HWM]]-1</f>
        <v>0</v>
      </c>
      <c r="AA96" s="28">
        <f>SUMPRODUCT(INDEX(PortfolioRef[[SPY]:[PE]],MATCH(AA$1,PortfolioRef[Reference '#]),0),AssetMonthlyReturns[[#This Row],[SPY]:[PE]])</f>
        <v>5.0338024363816309E-3</v>
      </c>
      <c r="AB96" s="27">
        <f>IF(ISNUMBER(AB95),AB95*(1+PortfolioFrontier[[#This Row],[P7 Return]]),1+PortfolioFrontier[[#This Row],[P7 Return]])</f>
        <v>1.8582295090924346</v>
      </c>
      <c r="AC96" s="27">
        <f>MAX(AC95,PortfolioFrontier[[#This Row],[P7 Growth]])</f>
        <v>1.8582295090924346</v>
      </c>
      <c r="AD96" s="27">
        <f>PortfolioFrontier[[#This Row],[P7 Growth]]/PortfolioFrontier[[#This Row],[P7 HWM]]-1</f>
        <v>0</v>
      </c>
      <c r="AE96" s="28">
        <f>SUMPRODUCT(INDEX(PortfolioRef[[SPY]:[PE]],MATCH(AE$1,PortfolioRef[Reference '#]),0),AssetMonthlyReturns[[#This Row],[SPY]:[PE]])</f>
        <v>3.8012119687082851E-3</v>
      </c>
      <c r="AF96" s="27">
        <f>IF(ISNUMBER(AF95),AF95*(1+PortfolioFrontier[[#This Row],[P8 Return]]),1+PortfolioFrontier[[#This Row],[P8 Return]])</f>
        <v>1.84783605613949</v>
      </c>
      <c r="AG96" s="27">
        <f>MAX(AG95,PortfolioFrontier[[#This Row],[P8 Growth]])</f>
        <v>1.8482324314062795</v>
      </c>
      <c r="AH96" s="27">
        <f>PortfolioFrontier[[#This Row],[P8 Growth]]/PortfolioFrontier[[#This Row],[P8 HWM]]-1</f>
        <v>-2.144618068885551E-4</v>
      </c>
      <c r="AI96" s="28">
        <f>SUMPRODUCT(INDEX(PortfolioRef[[SPY]:[PE]],MATCH(AI$1,PortfolioRef[Reference '#]),0),AssetMonthlyReturns[[#This Row],[SPY]:[PE]])</f>
        <v>6.3413317500002567E-3</v>
      </c>
      <c r="AJ96" s="27">
        <f>IF(ISNUMBER(AJ95),AJ95*(1+PortfolioFrontier[[#This Row],[P9 Return]]),1+PortfolioFrontier[[#This Row],[P9 Return]])</f>
        <v>1.8435038070283005</v>
      </c>
      <c r="AK96" s="27">
        <f>MAX(AK95,PortfolioFrontier[[#This Row],[P9 Growth]])</f>
        <v>1.8435038070283005</v>
      </c>
      <c r="AL96" s="27">
        <f>PortfolioFrontier[[#This Row],[P9 Growth]]/PortfolioFrontier[[#This Row],[P9 HWM]]-1</f>
        <v>0</v>
      </c>
      <c r="AM96" s="28">
        <f>SUMPRODUCT(INDEX(PortfolioRef[[SPY]:[PE]],MATCH(AM$1,PortfolioRef[Reference '#]),0),AssetMonthlyReturns[[#This Row],[SPY]:[PE]])</f>
        <v>4.1115565250600897E-3</v>
      </c>
      <c r="AN96" s="27">
        <f>IF(ISNUMBER(AN95),AN95*(1+PortfolioFrontier[[#This Row],[P10 Return]]),1+PortfolioFrontier[[#This Row],[P10 Return]])</f>
        <v>1.8933769241861611</v>
      </c>
      <c r="AO96" s="27">
        <f>MAX(AO95,PortfolioFrontier[[#This Row],[P10 Growth]])</f>
        <v>1.8933769241861611</v>
      </c>
      <c r="AP96" s="27">
        <f>PortfolioFrontier[[#This Row],[P10 Growth]]/PortfolioFrontier[[#This Row],[P10 HWM]]-1</f>
        <v>0</v>
      </c>
      <c r="AQ96" s="28">
        <f>SUMPRODUCT(INDEX(PortfolioRef[[SPY]:[PE]],MATCH(AQ$1,PortfolioRef[Reference '#]),0),AssetMonthlyReturns[[#This Row],[SPY]:[PE]])</f>
        <v>2.8789660573867457E-3</v>
      </c>
      <c r="AR96" s="27">
        <f>IF(ISNUMBER(AR95),AR95*(1+PortfolioFrontier[[#This Row],[P11 Return]]),1+PortfolioFrontier[[#This Row],[P11 Return]])</f>
        <v>1.8832718088767275</v>
      </c>
      <c r="AS96" s="27">
        <f>MAX(AS95,PortfolioFrontier[[#This Row],[P11 Growth]])</f>
        <v>1.8832718088767275</v>
      </c>
      <c r="AT96" s="27">
        <f>PortfolioFrontier[[#This Row],[P11 Growth]]/PortfolioFrontier[[#This Row],[P11 HWM]]-1</f>
        <v>0</v>
      </c>
      <c r="AU96" s="28">
        <f>SUMPRODUCT(INDEX(PortfolioRef[[SPY]:[PE]],MATCH(AU$1,PortfolioRef[Reference '#]),0),AssetMonthlyReturns[[#This Row],[SPY]:[PE]])</f>
        <v>5.4190858386787173E-3</v>
      </c>
      <c r="AV96" s="27">
        <f>IF(ISNUMBER(AV95),AV95*(1+PortfolioFrontier[[#This Row],[P12 Return]]),1+PortfolioFrontier[[#This Row],[P12 Return]])</f>
        <v>1.8788798580545627</v>
      </c>
      <c r="AW96" s="27">
        <f>MAX(AW95,PortfolioFrontier[[#This Row],[P12 Growth]])</f>
        <v>1.8788798580545627</v>
      </c>
      <c r="AX96" s="27">
        <f>PortfolioFrontier[[#This Row],[P12 Growth]]/PortfolioFrontier[[#This Row],[P12 HWM]]-1</f>
        <v>0</v>
      </c>
      <c r="AY96" s="28">
        <f>SUMPRODUCT(INDEX(PortfolioRef[[SPY]:[PE]],MATCH(AY$1,PortfolioRef[Reference '#]),0),AssetMonthlyReturns[[#This Row],[SPY]:[PE]])</f>
        <v>1.646375589713399E-3</v>
      </c>
      <c r="AZ96" s="27">
        <f>IF(ISNUMBER(AZ95),AZ95*(1+PortfolioFrontier[[#This Row],[P13 Return]]),1+PortfolioFrontier[[#This Row],[P13 Return]])</f>
        <v>1.871734385253768</v>
      </c>
      <c r="BA96" s="27">
        <f>MAX(BA95,PortfolioFrontier[[#This Row],[P13 Growth]])</f>
        <v>1.8858075751364967</v>
      </c>
      <c r="BB96" s="27">
        <f>PortfolioFrontier[[#This Row],[P13 Growth]]/PortfolioFrontier[[#This Row],[P13 HWM]]-1</f>
        <v>-7.4626860493494096E-3</v>
      </c>
      <c r="BC96" s="28">
        <f>SUMPRODUCT(INDEX(PortfolioRef[[SPY]:[PE]],MATCH(BC$1,PortfolioRef[Reference '#]),0),AssetMonthlyReturns[[#This Row],[SPY]:[PE]])</f>
        <v>4.1864953710053715E-3</v>
      </c>
      <c r="BD96" s="27">
        <f>IF(ISNUMBER(BD95),BD95*(1+PortfolioFrontier[[#This Row],[P14 Return]]),1+PortfolioFrontier[[#This Row],[P14 Return]])</f>
        <v>1.8684580238357797</v>
      </c>
      <c r="BE96" s="27">
        <f>MAX(BE95,PortfolioFrontier[[#This Row],[P14 Growth]])</f>
        <v>1.8684580238357797</v>
      </c>
      <c r="BF96" s="27">
        <f>PortfolioFrontier[[#This Row],[P14 Growth]]/PortfolioFrontier[[#This Row],[P14 HWM]]-1</f>
        <v>0</v>
      </c>
      <c r="BG96" s="28">
        <f>SUMPRODUCT(INDEX(PortfolioRef[[SPY]:[PE]],MATCH(BG$1,PortfolioRef[Reference '#]),0),AssetMonthlyReturns[[#This Row],[SPY]:[PE]])</f>
        <v>6.7266151522973432E-3</v>
      </c>
      <c r="BH96" s="27">
        <f>IF(ISNUMBER(BH95),BH95*(1+PortfolioFrontier[[#This Row],[P15 Return]]),1+PortfolioFrontier[[#This Row],[P15 Return]])</f>
        <v>1.8637574135637369</v>
      </c>
      <c r="BI96" s="27">
        <f>MAX(BI95,PortfolioFrontier[[#This Row],[P15 Growth]])</f>
        <v>1.8637574135637369</v>
      </c>
      <c r="BJ96" s="27">
        <f>PortfolioFrontier[[#This Row],[P15 Growth]]/PortfolioFrontier[[#This Row],[P15 HWM]]-1</f>
        <v>0</v>
      </c>
      <c r="BK96" s="28">
        <f>SUMPRODUCT(INDEX(PortfolioRef[[SPY]:[PE]],MATCH(BK$1,PortfolioRef[Reference '#]),0),AssetMonthlyReturns[[#This Row],[SPY]:[PE]])</f>
        <v>5.1646140467960667E-3</v>
      </c>
      <c r="BL96" s="27">
        <f>IF(ISNUMBER(BL95),BL95*(1+PortfolioFrontier[[#This Row],[P16 Return]]),1+PortfolioFrontier[[#This Row],[P16 Return]])</f>
        <v>1.7427531929941023</v>
      </c>
      <c r="BM96" s="27">
        <f>MAX(BM95,PortfolioFrontier[[#This Row],[P16 Growth]])</f>
        <v>1.7427531929941023</v>
      </c>
      <c r="BN96" s="27">
        <f>PortfolioFrontier[[#This Row],[P16 Growth]]/PortfolioFrontier[[#This Row],[P16 HWM]]-1</f>
        <v>0</v>
      </c>
      <c r="BO96" s="28">
        <f>SUMPRODUCT(INDEX(PortfolioRef[[SPY]:[PE]],MATCH(BO$1,PortfolioRef[Reference '#]),0),AssetMonthlyReturns[[#This Row],[SPY]:[PE]])</f>
        <v>4.242368135474529E-3</v>
      </c>
      <c r="BP96" s="27">
        <f>IF(ISNUMBER(BP95),BP95*(1+PortfolioFrontier[[#This Row],[P17 Return]]),1+PortfolioFrontier[[#This Row],[P17 Return]])</f>
        <v>1.7762011787023189</v>
      </c>
      <c r="BQ96" s="27">
        <f>MAX(BQ95,PortfolioFrontier[[#This Row],[P17 Growth]])</f>
        <v>1.7762011787023189</v>
      </c>
      <c r="BR96" s="27">
        <f>PortfolioFrontier[[#This Row],[P17 Growth]]/PortfolioFrontier[[#This Row],[P17 HWM]]-1</f>
        <v>0</v>
      </c>
      <c r="BS96" s="28">
        <f>SUMPRODUCT(INDEX(PortfolioRef[[SPY]:[PE]],MATCH(BS$1,PortfolioRef[Reference '#]),0),AssetMonthlyReturns[[#This Row],[SPY]:[PE]])</f>
        <v>3.0097776678011841E-3</v>
      </c>
      <c r="BT96" s="27">
        <f>IF(ISNUMBER(BT95),BT95*(1+PortfolioFrontier[[#This Row],[P18 Return]]),1+PortfolioFrontier[[#This Row],[P18 Return]])</f>
        <v>1.7669379507995513</v>
      </c>
      <c r="BU96" s="27">
        <f>MAX(BU95,PortfolioFrontier[[#This Row],[P18 Growth]])</f>
        <v>1.7791407441475846</v>
      </c>
      <c r="BV96" s="27">
        <f>PortfolioFrontier[[#This Row],[P18 Growth]]/PortfolioFrontier[[#This Row],[P18 HWM]]-1</f>
        <v>-6.8588128219613242E-3</v>
      </c>
      <c r="BW96" s="28">
        <f>SUMPRODUCT(INDEX(PortfolioRef[[SPY]:[PE]],MATCH(BW$1,PortfolioRef[Reference '#]),0),AssetMonthlyReturns[[#This Row],[SPY]:[PE]])</f>
        <v>5.5498974490931548E-3</v>
      </c>
      <c r="BX96" s="27">
        <f>IF(ISNUMBER(BX95),BX95*(1+PortfolioFrontier[[#This Row],[P19 Return]]),1+PortfolioFrontier[[#This Row],[P19 Return]])</f>
        <v>1.7621383892184492</v>
      </c>
      <c r="BY96" s="27">
        <f>MAX(BY95,PortfolioFrontier[[#This Row],[P19 Growth]])</f>
        <v>1.7621383892184492</v>
      </c>
      <c r="BZ96" s="27">
        <f>PortfolioFrontier[[#This Row],[P19 Growth]]/PortfolioFrontier[[#This Row],[P19 HWM]]-1</f>
        <v>0</v>
      </c>
      <c r="CA96" s="28">
        <f>SUMPRODUCT(INDEX(PortfolioRef[[SPY]:[PE]],MATCH(CA$1,PortfolioRef[Reference '#]),0),AssetMonthlyReturns[[#This Row],[SPY]:[PE]])</f>
        <v>3.3201222241529891E-3</v>
      </c>
      <c r="CB96" s="27">
        <f>IF(ISNUMBER(CB95),CB95*(1+PortfolioFrontier[[#This Row],[P20 Return]]),1+PortfolioFrontier[[#This Row],[P20 Return]])</f>
        <v>1.8097988750832208</v>
      </c>
      <c r="CC96" s="27">
        <f>MAX(CC95,PortfolioFrontier[[#This Row],[P20 Growth]])</f>
        <v>1.8097988750832208</v>
      </c>
      <c r="CD96" s="27">
        <f>PortfolioFrontier[[#This Row],[P20 Growth]]/PortfolioFrontier[[#This Row],[P20 HWM]]-1</f>
        <v>0</v>
      </c>
      <c r="CE96" s="28">
        <f>SUMPRODUCT(INDEX(PortfolioRef[[SPY]:[PE]],MATCH(CE$1,PortfolioRef[Reference '#]),0),AssetMonthlyReturns[[#This Row],[SPY]:[PE]])</f>
        <v>2.0875317564796455E-3</v>
      </c>
      <c r="CF96" s="27">
        <f>IF(ISNUMBER(CF95),CF95*(1+PortfolioFrontier[[#This Row],[P21 Return]]),1+PortfolioFrontier[[#This Row],[P21 Return]])</f>
        <v>1.8008247259766994</v>
      </c>
      <c r="CG96" s="27">
        <f>MAX(CG95,PortfolioFrontier[[#This Row],[P21 Growth]])</f>
        <v>1.8008247259766994</v>
      </c>
      <c r="CH96" s="27">
        <f>PortfolioFrontier[[#This Row],[P21 Growth]]/PortfolioFrontier[[#This Row],[P21 HWM]]-1</f>
        <v>0</v>
      </c>
      <c r="CI96" s="28">
        <f>SUMPRODUCT(INDEX(PortfolioRef[[SPY]:[PE]],MATCH(CI$1,PortfolioRef[Reference '#]),0),AssetMonthlyReturns[[#This Row],[SPY]:[PE]])</f>
        <v>4.6276515377716172E-3</v>
      </c>
      <c r="CJ96" s="27">
        <f>IF(ISNUMBER(CJ95),CJ95*(1+PortfolioFrontier[[#This Row],[P22 Return]]),1+PortfolioFrontier[[#This Row],[P22 Return]])</f>
        <v>1.7959558048919013</v>
      </c>
      <c r="CK96" s="27">
        <f>MAX(CK95,PortfolioFrontier[[#This Row],[P22 Growth]])</f>
        <v>1.7959558048919013</v>
      </c>
      <c r="CL96" s="27">
        <f>PortfolioFrontier[[#This Row],[P22 Growth]]/PortfolioFrontier[[#This Row],[P22 HWM]]-1</f>
        <v>0</v>
      </c>
      <c r="CM96" s="28">
        <f>SUMPRODUCT(INDEX(PortfolioRef[[SPY]:[PE]],MATCH(CM$1,PortfolioRef[Reference '#]),0),AssetMonthlyReturns[[#This Row],[SPY]:[PE]])</f>
        <v>8.5494128880629974E-4</v>
      </c>
      <c r="CN96" s="27">
        <f>IF(ISNUMBER(CN95),CN95*(1+PortfolioFrontier[[#This Row],[P23 Return]]),1+PortfolioFrontier[[#This Row],[P23 Return]])</f>
        <v>1.7904752670346273</v>
      </c>
      <c r="CO96" s="27">
        <f>MAX(CO95,PortfolioFrontier[[#This Row],[P23 Growth]])</f>
        <v>1.8158151760868648</v>
      </c>
      <c r="CP96" s="27">
        <f>PortfolioFrontier[[#This Row],[P23 Growth]]/PortfolioFrontier[[#This Row],[P23 HWM]]-1</f>
        <v>-1.3955114697766668E-2</v>
      </c>
      <c r="CQ96" s="28">
        <f>SUMPRODUCT(INDEX(PortfolioRef[[SPY]:[PE]],MATCH(CQ$1,PortfolioRef[Reference '#]),0),AssetMonthlyReturns[[#This Row],[SPY]:[PE]])</f>
        <v>3.3950610700982722E-3</v>
      </c>
      <c r="CR96" s="27">
        <f>IF(ISNUMBER(CR95),CR95*(1+PortfolioFrontier[[#This Row],[P24 Return]]),1+PortfolioFrontier[[#This Row],[P24 Return]])</f>
        <v>1.7866728037527604</v>
      </c>
      <c r="CS96" s="27">
        <f>MAX(CS95,PortfolioFrontier[[#This Row],[P24 Growth]])</f>
        <v>1.7866728037527604</v>
      </c>
      <c r="CT96" s="27">
        <f>PortfolioFrontier[[#This Row],[P24 Growth]]/PortfolioFrontier[[#This Row],[P24 HWM]]-1</f>
        <v>0</v>
      </c>
      <c r="CU96" s="28">
        <f>SUMPRODUCT(INDEX(PortfolioRef[[SPY]:[PE]],MATCH(CU$1,PortfolioRef[Reference '#]),0),AssetMonthlyReturns[[#This Row],[SPY]:[PE]])</f>
        <v>5.935180851390243E-3</v>
      </c>
      <c r="CV96" s="27">
        <f>IF(ISNUMBER(CV95),CV95*(1+PortfolioFrontier[[#This Row],[P25 Return]]),1+PortfolioFrontier[[#This Row],[P25 Return]])</f>
        <v>1.7815137970078427</v>
      </c>
      <c r="CW96" s="27">
        <f>MAX(CW95,PortfolioFrontier[[#This Row],[P25 Growth]])</f>
        <v>1.7815137970078427</v>
      </c>
      <c r="CX96" s="27">
        <f>PortfolioFrontier[[#This Row],[P25 Growth]]/PortfolioFrontier[[#This Row],[P25 HWM]]-1</f>
        <v>0</v>
      </c>
      <c r="CY96" s="28">
        <f>SUMPRODUCT(INDEX(PortfolioRef[[SPY]:[PE]],MATCH(CY$1,PortfolioRef[Reference '#]),0),AssetMonthlyReturns[[#This Row],[SPY]:[PE]])</f>
        <v>1.1652858451581044E-3</v>
      </c>
      <c r="CZ96" s="27">
        <f>IF(ISNUMBER(CZ95),CZ95*(1+PortfolioFrontier[[#This Row],[P26 Return]]),1+PortfolioFrontier[[#This Row],[P26 Return]])</f>
        <v>1.8348628836894516</v>
      </c>
      <c r="DA96" s="27">
        <f>MAX(DA95,PortfolioFrontier[[#This Row],[P26 Growth]])</f>
        <v>1.8348628836894516</v>
      </c>
      <c r="DB96" s="27">
        <f>PortfolioFrontier[[#This Row],[P26 Growth]]/PortfolioFrontier[[#This Row],[P26 HWM]]-1</f>
        <v>0</v>
      </c>
      <c r="DC96" s="28">
        <f>SUMPRODUCT(INDEX(PortfolioRef[[SPY]:[PE]],MATCH(DC$1,PortfolioRef[Reference '#]),0),AssetMonthlyReturns[[#This Row],[SPY]:[PE]])</f>
        <v>3.7054056264500756E-3</v>
      </c>
      <c r="DD96" s="27">
        <f>IF(ISNUMBER(DD95),DD95*(1+PortfolioFrontier[[#This Row],[P27 Return]]),1+PortfolioFrontier[[#This Row],[P27 Return]])</f>
        <v>1.8299248217200785</v>
      </c>
      <c r="DE96" s="27">
        <f>MAX(DE95,PortfolioFrontier[[#This Row],[P27 Growth]])</f>
        <v>1.8299248217200785</v>
      </c>
      <c r="DF96" s="27">
        <f>PortfolioFrontier[[#This Row],[P27 Growth]]/PortfolioFrontier[[#This Row],[P27 HWM]]-1</f>
        <v>0</v>
      </c>
      <c r="DG96" s="28">
        <f>SUMPRODUCT(INDEX(PortfolioRef[[SPY]:[PE]],MATCH(DG$1,PortfolioRef[Reference '#]),0),AssetMonthlyReturns[[#This Row],[SPY]:[PE]])</f>
        <v>-6.7304622515240546E-5</v>
      </c>
      <c r="DH96" s="27">
        <f>IF(ISNUMBER(DH95),DH95*(1+PortfolioFrontier[[#This Row],[P28 Return]]),1+PortfolioFrontier[[#This Row],[P28 Return]])</f>
        <v>1.8247882084698432</v>
      </c>
      <c r="DI96" s="27">
        <f>MAX(DI95,PortfolioFrontier[[#This Row],[P28 Growth]])</f>
        <v>1.8327167417336543</v>
      </c>
      <c r="DJ96" s="27">
        <f>PortfolioFrontier[[#This Row],[P28 Growth]]/PortfolioFrontier[[#This Row],[P28 HWM]]-1</f>
        <v>-4.3261094763127339E-3</v>
      </c>
      <c r="DK96" s="28">
        <f>SUMPRODUCT(INDEX(PortfolioRef[[SPY]:[PE]],MATCH(DK$1,PortfolioRef[Reference '#]),0),AssetMonthlyReturns[[#This Row],[SPY]:[PE]])</f>
        <v>2.4728151587767319E-3</v>
      </c>
      <c r="DL96" s="27">
        <f>IF(ISNUMBER(DL95),DL95*(1+PortfolioFrontier[[#This Row],[P29 Return]]),1+PortfolioFrontier[[#This Row],[P29 Return]])</f>
        <v>1.8209353865115256</v>
      </c>
      <c r="DM96" s="27">
        <f>MAX(DM95,PortfolioFrontier[[#This Row],[P29 Growth]])</f>
        <v>1.8209353865115256</v>
      </c>
      <c r="DN96" s="27">
        <f>PortfolioFrontier[[#This Row],[P29 Growth]]/PortfolioFrontier[[#This Row],[P29 HWM]]-1</f>
        <v>0</v>
      </c>
      <c r="DO96" s="28">
        <f>SUMPRODUCT(INDEX(PortfolioRef[[SPY]:[PE]],MATCH(DO$1,PortfolioRef[Reference '#]),0),AssetMonthlyReturns[[#This Row],[SPY]:[PE]])</f>
        <v>5.0129349400687036E-3</v>
      </c>
      <c r="DP96" s="27">
        <f>IF(ISNUMBER(DP95),DP95*(1+PortfolioFrontier[[#This Row],[P30 Return]]),1+PortfolioFrontier[[#This Row],[P30 Return]])</f>
        <v>1.8157005283729473</v>
      </c>
      <c r="DQ96" s="27">
        <f>MAX(DQ95,PortfolioFrontier[[#This Row],[P30 Growth]])</f>
        <v>1.8157005283729473</v>
      </c>
      <c r="DR96" s="27">
        <f>PortfolioFrontier[[#This Row],[P30 Growth]]/PortfolioFrontier[[#This Row],[P30 HWM]]-1</f>
        <v>0</v>
      </c>
      <c r="DS96" s="28">
        <f>SUMPRODUCT(INDEX(PortfolioRef[[SPY]:[PE]],MATCH(DS$1,PortfolioRef[Reference '#]),0),AssetMonthlyReturns[[#This Row],[SPY]:[PE]])</f>
        <v>-1.2998950901885855E-3</v>
      </c>
      <c r="DT96" s="27">
        <f>IF(ISNUMBER(DT95),DT95*(1+PortfolioFrontier[[#This Row],[P31 Return]]),1+PortfolioFrontier[[#This Row],[P31 Return]])</f>
        <v>1.8133266282180049</v>
      </c>
      <c r="DU96" s="27">
        <f>MAX(DU95,PortfolioFrontier[[#This Row],[P31 Growth]])</f>
        <v>1.8525428026208837</v>
      </c>
      <c r="DV96" s="27">
        <f>PortfolioFrontier[[#This Row],[P31 Growth]]/PortfolioFrontier[[#This Row],[P31 HWM]]-1</f>
        <v>-2.1168835800931429E-2</v>
      </c>
      <c r="DW96" s="28">
        <f>SUMPRODUCT(INDEX(PortfolioRef[[SPY]:[PE]],MATCH(DW$1,PortfolioRef[Reference '#]),0),AssetMonthlyReturns[[#This Row],[SPY]:[PE]])</f>
        <v>1.2402246911033862E-3</v>
      </c>
      <c r="DX96" s="27">
        <f>IF(ISNUMBER(DX95),DX95*(1+PortfolioFrontier[[#This Row],[P32 Return]]),1+PortfolioFrontier[[#This Row],[P32 Return]])</f>
        <v>1.8105549235734619</v>
      </c>
      <c r="DY96" s="27">
        <f>MAX(DY95,PortfolioFrontier[[#This Row],[P32 Growth]])</f>
        <v>1.8190908915066115</v>
      </c>
      <c r="DZ96" s="27">
        <f>PortfolioFrontier[[#This Row],[P32 Growth]]/PortfolioFrontier[[#This Row],[P32 HWM]]-1</f>
        <v>-4.6924361905192891E-3</v>
      </c>
      <c r="EA96" s="28">
        <f>SUMPRODUCT(INDEX(PortfolioRef[[SPY]:[PE]],MATCH(EA$1,PortfolioRef[Reference '#]),0),AssetMonthlyReturns[[#This Row],[SPY]:[PE]])</f>
        <v>3.7803444723953587E-3</v>
      </c>
      <c r="EB96" s="27">
        <f>IF(ISNUMBER(EB95),EB95*(1+PortfolioFrontier[[#This Row],[P33 Return]]),1+PortfolioFrontier[[#This Row],[P33 Return]])</f>
        <v>1.8063995225155156</v>
      </c>
      <c r="EC96" s="27">
        <f>MAX(EC95,PortfolioFrontier[[#This Row],[P33 Growth]])</f>
        <v>1.8063995225155156</v>
      </c>
      <c r="ED96" s="27">
        <f>PortfolioFrontier[[#This Row],[P33 Growth]]/PortfolioFrontier[[#This Row],[P33 HWM]]-1</f>
        <v>0</v>
      </c>
      <c r="EE96" s="28">
        <f>SUMPRODUCT(INDEX(PortfolioRef[[SPY]:[PE]],MATCH(EE$1,PortfolioRef[Reference '#]),0),AssetMonthlyReturns[[#This Row],[SPY]:[PE]])</f>
        <v>4.3731797458889648E-3</v>
      </c>
      <c r="EF96" s="27">
        <f>IF(ISNUMBER(EF95),EF95*(1+PortfolioFrontier[[#This Row],[P34 Return]]),1+PortfolioFrontier[[#This Row],[P34 Return]])</f>
        <v>1.6650610816877092</v>
      </c>
      <c r="EG96" s="27">
        <f>MAX(EG95,PortfolioFrontier[[#This Row],[P34 Growth]])</f>
        <v>1.6763614413137211</v>
      </c>
      <c r="EH96" s="27">
        <f>PortfolioFrontier[[#This Row],[P34 Growth]]/PortfolioFrontier[[#This Row],[P34 HWM]]-1</f>
        <v>-6.7410042652592539E-3</v>
      </c>
      <c r="EI96" s="28">
        <f>SUMPRODUCT(INDEX(PortfolioRef[[SPY]:[PE]],MATCH(EI$1,PortfolioRef[Reference '#]),0),AssetMonthlyReturns[[#This Row],[SPY]:[PE]])</f>
        <v>3.4509338345674267E-3</v>
      </c>
      <c r="EJ96" s="27">
        <f>IF(ISNUMBER(EJ95),EJ95*(1+PortfolioFrontier[[#This Row],[P35 Return]]),1+PortfolioFrontier[[#This Row],[P35 Return]])</f>
        <v>1.6970209508974885</v>
      </c>
      <c r="EK96" s="27">
        <f>MAX(EK95,PortfolioFrontier[[#This Row],[P35 Growth]])</f>
        <v>1.6970209508974885</v>
      </c>
      <c r="EL96" s="27">
        <f>PortfolioFrontier[[#This Row],[P35 Growth]]/PortfolioFrontier[[#This Row],[P35 HWM]]-1</f>
        <v>0</v>
      </c>
      <c r="EM96" s="28">
        <f>SUMPRODUCT(INDEX(PortfolioRef[[SPY]:[PE]],MATCH(EM$1,PortfolioRef[Reference '#]),0),AssetMonthlyReturns[[#This Row],[SPY]:[PE]])</f>
        <v>2.2183433668940822E-3</v>
      </c>
      <c r="EN96" s="27">
        <f>IF(ISNUMBER(EN95),EN95*(1+PortfolioFrontier[[#This Row],[P36 Return]]),1+PortfolioFrontier[[#This Row],[P36 Return]])</f>
        <v>1.6888108260944124</v>
      </c>
      <c r="EO96" s="27">
        <f>MAX(EO95,PortfolioFrontier[[#This Row],[P36 Growth]])</f>
        <v>1.7120343963250326</v>
      </c>
      <c r="EP96" s="27">
        <f>PortfolioFrontier[[#This Row],[P36 Growth]]/PortfolioFrontier[[#This Row],[P36 HWM]]-1</f>
        <v>-1.3564896990662545E-2</v>
      </c>
      <c r="EQ96" s="28">
        <f>SUMPRODUCT(INDEX(PortfolioRef[[SPY]:[PE]],MATCH(EQ$1,PortfolioRef[Reference '#]),0),AssetMonthlyReturns[[#This Row],[SPY]:[PE]])</f>
        <v>4.7584631481860529E-3</v>
      </c>
      <c r="ER96" s="27">
        <f>IF(ISNUMBER(ER95),ER95*(1+PortfolioFrontier[[#This Row],[P37 Return]]),1+PortfolioFrontier[[#This Row],[P37 Return]])</f>
        <v>1.6835968849757168</v>
      </c>
      <c r="ES96" s="27">
        <f>MAX(ES95,PortfolioFrontier[[#This Row],[P37 Growth]])</f>
        <v>1.6835968849757168</v>
      </c>
      <c r="ET96" s="27">
        <f>PortfolioFrontier[[#This Row],[P37 Growth]]/PortfolioFrontier[[#This Row],[P37 HWM]]-1</f>
        <v>0</v>
      </c>
      <c r="EU96" s="28">
        <f>SUMPRODUCT(INDEX(PortfolioRef[[SPY]:[PE]],MATCH(EU$1,PortfolioRef[Reference '#]),0),AssetMonthlyReturns[[#This Row],[SPY]:[PE]])</f>
        <v>2.5286879232458872E-3</v>
      </c>
      <c r="EV96" s="27">
        <f>IF(ISNUMBER(EV95),EV95*(1+PortfolioFrontier[[#This Row],[P38 Return]]),1+PortfolioFrontier[[#This Row],[P38 Return]])</f>
        <v>1.7291231040186004</v>
      </c>
      <c r="EW96" s="27">
        <f>MAX(EW95,PortfolioFrontier[[#This Row],[P38 Growth]])</f>
        <v>1.7291231040186004</v>
      </c>
      <c r="EX96" s="27">
        <f>PortfolioFrontier[[#This Row],[P38 Growth]]/PortfolioFrontier[[#This Row],[P38 HWM]]-1</f>
        <v>0</v>
      </c>
      <c r="EY96" s="28">
        <f>SUMPRODUCT(INDEX(PortfolioRef[[SPY]:[PE]],MATCH(EY$1,PortfolioRef[Reference '#]),0),AssetMonthlyReturns[[#This Row],[SPY]:[PE]])</f>
        <v>1.2960974555725436E-3</v>
      </c>
      <c r="EZ96" s="27">
        <f>IF(ISNUMBER(EZ95),EZ95*(1+PortfolioFrontier[[#This Row],[P39 Return]]),1+PortfolioFrontier[[#This Row],[P39 Return]])</f>
        <v>1.721202029272302</v>
      </c>
      <c r="FA96" s="27">
        <f>MAX(FA95,PortfolioFrontier[[#This Row],[P39 Growth]])</f>
        <v>1.7280388577532122</v>
      </c>
      <c r="FB96" s="27">
        <f>PortfolioFrontier[[#This Row],[P39 Growth]]/PortfolioFrontier[[#This Row],[P39 HWM]]-1</f>
        <v>-3.956408995223315E-3</v>
      </c>
      <c r="FC96" s="28">
        <f>SUMPRODUCT(INDEX(PortfolioRef[[SPY]:[PE]],MATCH(FC$1,PortfolioRef[Reference '#]),0),AssetMonthlyReturns[[#This Row],[SPY]:[PE]])</f>
        <v>3.8362172368645148E-3</v>
      </c>
      <c r="FD96" s="27">
        <f>IF(ISNUMBER(FD95),FD95*(1+PortfolioFrontier[[#This Row],[P40 Return]]),1+PortfolioFrontier[[#This Row],[P40 Return]])</f>
        <v>1.7159100878449314</v>
      </c>
      <c r="FE96" s="27">
        <f>MAX(FE95,PortfolioFrontier[[#This Row],[P40 Growth]])</f>
        <v>1.7159100878449314</v>
      </c>
      <c r="FF96" s="27">
        <f>PortfolioFrontier[[#This Row],[P40 Growth]]/PortfolioFrontier[[#This Row],[P40 HWM]]-1</f>
        <v>0</v>
      </c>
      <c r="FG96" s="28">
        <f>SUMPRODUCT(INDEX(PortfolioRef[[SPY]:[PE]],MATCH(FG$1,PortfolioRef[Reference '#]),0),AssetMonthlyReturns[[#This Row],[SPY]:[PE]])</f>
        <v>6.3506987899197842E-5</v>
      </c>
      <c r="FH96" s="27">
        <f>IF(ISNUMBER(FH95),FH95*(1+PortfolioFrontier[[#This Row],[P41 Return]]),1+PortfolioFrontier[[#This Row],[P41 Return]])</f>
        <v>1.711961398478695</v>
      </c>
      <c r="FI96" s="27">
        <f>MAX(FI95,PortfolioFrontier[[#This Row],[P41 Growth]])</f>
        <v>1.7478091274239449</v>
      </c>
      <c r="FJ96" s="27">
        <f>PortfolioFrontier[[#This Row],[P41 Growth]]/PortfolioFrontier[[#This Row],[P41 HWM]]-1</f>
        <v>-2.0510093684019792E-2</v>
      </c>
      <c r="FK96" s="28">
        <f>SUMPRODUCT(INDEX(PortfolioRef[[SPY]:[PE]],MATCH(FK$1,PortfolioRef[Reference '#]),0),AssetMonthlyReturns[[#This Row],[SPY]:[PE]])</f>
        <v>2.6036267691911703E-3</v>
      </c>
      <c r="FL96" s="27">
        <f>IF(ISNUMBER(FL95),FL95*(1+PortfolioFrontier[[#This Row],[P42 Return]]),1+PortfolioFrontier[[#This Row],[P42 Return]])</f>
        <v>1.7076880948941029</v>
      </c>
      <c r="FM96" s="27">
        <f>MAX(FM95,PortfolioFrontier[[#This Row],[P42 Growth]])</f>
        <v>1.7151998522045959</v>
      </c>
      <c r="FN96" s="27">
        <f>PortfolioFrontier[[#This Row],[P42 Growth]]/PortfolioFrontier[[#This Row],[P42 HWM]]-1</f>
        <v>-4.3795230630634396E-3</v>
      </c>
      <c r="FO96" s="28">
        <f>SUMPRODUCT(INDEX(PortfolioRef[[SPY]:[PE]],MATCH(FO$1,PortfolioRef[Reference '#]),0),AssetMonthlyReturns[[#This Row],[SPY]:[PE]])</f>
        <v>5.1437465504831411E-3</v>
      </c>
      <c r="FP96" s="27">
        <f>IF(ISNUMBER(FP95),FP95*(1+PortfolioFrontier[[#This Row],[P43 Return]]),1+PortfolioFrontier[[#This Row],[P43 Return]])</f>
        <v>1.7021237051373244</v>
      </c>
      <c r="FQ96" s="27">
        <f>MAX(FQ95,PortfolioFrontier[[#This Row],[P43 Growth]])</f>
        <v>1.7021237051373244</v>
      </c>
      <c r="FR96" s="27">
        <f>PortfolioFrontier[[#This Row],[P43 Growth]]/PortfolioFrontier[[#This Row],[P43 HWM]]-1</f>
        <v>0</v>
      </c>
      <c r="FS96" s="28">
        <f>SUMPRODUCT(INDEX(PortfolioRef[[SPY]:[PE]],MATCH(FS$1,PortfolioRef[Reference '#]),0),AssetMonthlyReturns[[#This Row],[SPY]:[PE]])</f>
        <v>3.7385154425100247E-4</v>
      </c>
      <c r="FT96" s="27">
        <f>IF(ISNUMBER(FT95),FT95*(1+PortfolioFrontier[[#This Row],[P44 Return]]),1+PortfolioFrontier[[#This Row],[P44 Return]])</f>
        <v>1.7537371563994277</v>
      </c>
      <c r="FU96" s="27">
        <f>MAX(FU95,PortfolioFrontier[[#This Row],[P44 Growth]])</f>
        <v>1.7537371563994277</v>
      </c>
      <c r="FV96" s="27">
        <f>PortfolioFrontier[[#This Row],[P44 Growth]]/PortfolioFrontier[[#This Row],[P44 HWM]]-1</f>
        <v>0</v>
      </c>
      <c r="FW96" s="28">
        <f>SUMPRODUCT(INDEX(PortfolioRef[[SPY]:[PE]],MATCH(FW$1,PortfolioRef[Reference '#]),0),AssetMonthlyReturns[[#This Row],[SPY]:[PE]])</f>
        <v>2.9139713255429737E-3</v>
      </c>
      <c r="FX96" s="27">
        <f>IF(ISNUMBER(FX95),FX95*(1+PortfolioFrontier[[#This Row],[P45 Return]]),1+PortfolioFrontier[[#This Row],[P45 Return]])</f>
        <v>1.748367376772892</v>
      </c>
      <c r="FY96" s="27">
        <f>MAX(FY95,PortfolioFrontier[[#This Row],[P45 Growth]])</f>
        <v>1.748367376772892</v>
      </c>
      <c r="FZ96" s="27">
        <f>PortfolioFrontier[[#This Row],[P45 Growth]]/PortfolioFrontier[[#This Row],[P45 HWM]]-1</f>
        <v>0</v>
      </c>
      <c r="GA96" s="28">
        <f>SUMPRODUCT(INDEX(PortfolioRef[[SPY]:[PE]],MATCH(GA$1,PortfolioRef[Reference '#]),0),AssetMonthlyReturns[[#This Row],[SPY]:[PE]])</f>
        <v>-8.5873892342234245E-4</v>
      </c>
      <c r="GB96" s="27">
        <f>IF(ISNUMBER(GB95),GB95*(1+PortfolioFrontier[[#This Row],[P46 Return]]),1+PortfolioFrontier[[#This Row],[P46 Return]])</f>
        <v>1.7447722186163694</v>
      </c>
      <c r="GC96" s="27">
        <f>MAX(GC95,PortfolioFrontier[[#This Row],[P46 Growth]])</f>
        <v>1.7641061270089846</v>
      </c>
      <c r="GD96" s="27">
        <f>PortfolioFrontier[[#This Row],[P46 Growth]]/PortfolioFrontier[[#This Row],[P46 HWM]]-1</f>
        <v>-1.0959606169156921E-2</v>
      </c>
      <c r="GE96" s="28">
        <f>SUMPRODUCT(INDEX(PortfolioRef[[SPY]:[PE]],MATCH(GE$1,PortfolioRef[Reference '#]),0),AssetMonthlyReturns[[#This Row],[SPY]:[PE]])</f>
        <v>1.68138085786963E-3</v>
      </c>
      <c r="GF96" s="27">
        <f>IF(ISNUMBER(GF95),GF95*(1+PortfolioFrontier[[#This Row],[P47 Return]]),1+PortfolioFrontier[[#This Row],[P47 Return]])</f>
        <v>1.7404388635419485</v>
      </c>
      <c r="GG96" s="27">
        <f>MAX(GG95,PortfolioFrontier[[#This Row],[P47 Growth]])</f>
        <v>1.7404388635419485</v>
      </c>
      <c r="GH96" s="27">
        <f>PortfolioFrontier[[#This Row],[P47 Growth]]/PortfolioFrontier[[#This Row],[P47 HWM]]-1</f>
        <v>0</v>
      </c>
      <c r="GI96" s="28">
        <f>SUMPRODUCT(INDEX(PortfolioRef[[SPY]:[PE]],MATCH(GI$1,PortfolioRef[Reference '#]),0),AssetMonthlyReturns[[#This Row],[SPY]:[PE]])</f>
        <v>4.2215006391616017E-3</v>
      </c>
      <c r="GJ96" s="27">
        <f>IF(ISNUMBER(GJ95),GJ95*(1+PortfolioFrontier[[#This Row],[P48 Return]]),1+PortfolioFrontier[[#This Row],[P48 Return]])</f>
        <v>1.7347901402152077</v>
      </c>
      <c r="GK96" s="27">
        <f>MAX(GK95,PortfolioFrontier[[#This Row],[P48 Growth]])</f>
        <v>1.7347901402152077</v>
      </c>
      <c r="GL96" s="27">
        <f>PortfolioFrontier[[#This Row],[P48 Growth]]/PortfolioFrontier[[#This Row],[P48 HWM]]-1</f>
        <v>0</v>
      </c>
      <c r="GM96" s="28">
        <f>SUMPRODUCT(INDEX(PortfolioRef[[SPY]:[PE]],MATCH(GM$1,PortfolioRef[Reference '#]),0),AssetMonthlyReturns[[#This Row],[SPY]:[PE]])</f>
        <v>-2.0913293910956874E-3</v>
      </c>
      <c r="GN96" s="27">
        <f>IF(ISNUMBER(GN95),GN95*(1+PortfolioFrontier[[#This Row],[P49 Return]]),1+PortfolioFrontier[[#This Row],[P49 Return]])</f>
        <v>1.7344754786149663</v>
      </c>
      <c r="GO96" s="27">
        <f>MAX(GO95,PortfolioFrontier[[#This Row],[P49 Growth]])</f>
        <v>1.7836571071341945</v>
      </c>
      <c r="GP96" s="27">
        <f>PortfolioFrontier[[#This Row],[P49 Growth]]/PortfolioFrontier[[#This Row],[P49 HWM]]-1</f>
        <v>-2.7573477168068683E-2</v>
      </c>
      <c r="GQ96" s="28">
        <f>SUMPRODUCT(INDEX(PortfolioRef[[SPY]:[PE]],MATCH(GQ$1,PortfolioRef[Reference '#]),0),AssetMonthlyReturns[[#This Row],[SPY]:[PE]])</f>
        <v>4.4879039019628426E-4</v>
      </c>
      <c r="GR96" s="27">
        <f>IF(ISNUMBER(GR95),GR95*(1+PortfolioFrontier[[#This Row],[P50 Return]]),1+PortfolioFrontier[[#This Row],[P50 Return]])</f>
        <v>1.7311757615835275</v>
      </c>
      <c r="GS96" s="27">
        <f>MAX(GS95,PortfolioFrontier[[#This Row],[P50 Growth]])</f>
        <v>1.7510275614895194</v>
      </c>
      <c r="GT96" s="27">
        <f>PortfolioFrontier[[#This Row],[P50 Growth]]/PortfolioFrontier[[#This Row],[P50 HWM]]-1</f>
        <v>-1.1337228689367373E-2</v>
      </c>
      <c r="GU96" s="28">
        <f>SUMPRODUCT(INDEX(PortfolioRef[[SPY]:[PE]],MATCH(GU$1,PortfolioRef[Reference '#]),0),AssetMonthlyReturns[[#This Row],[SPY]:[PE]])</f>
        <v>2.9889101714882568E-3</v>
      </c>
      <c r="GV96" s="27">
        <f>IF(ISNUMBER(GV95),GV95*(1+PortfolioFrontier[[#This Row],[P51 Return]]),1+PortfolioFrontier[[#This Row],[P51 Return]])</f>
        <v>1.7265579716217661</v>
      </c>
      <c r="GW96" s="27">
        <f>MAX(GW95,PortfolioFrontier[[#This Row],[P51 Growth]])</f>
        <v>1.7265579716217661</v>
      </c>
      <c r="GX96" s="27">
        <f>PortfolioFrontier[[#This Row],[P51 Growth]]/PortfolioFrontier[[#This Row],[P51 HWM]]-1</f>
        <v>0</v>
      </c>
      <c r="GY96" s="28">
        <f>SUMPRODUCT(INDEX(PortfolioRef[[SPY]:[PE]],MATCH(GY$1,PortfolioRef[Reference '#]),0),AssetMonthlyReturns[[#This Row],[SPY]:[PE]])</f>
        <v>-1.7809848347438836E-3</v>
      </c>
      <c r="GZ96" s="27">
        <f>IF(ISNUMBER(GZ95),GZ95*(1+PortfolioFrontier[[#This Row],[P52 Return]]),1+PortfolioFrontier[[#This Row],[P52 Return]])</f>
        <v>1.7777285476014537</v>
      </c>
      <c r="HA96" s="27">
        <f>MAX(HA95,PortfolioFrontier[[#This Row],[P52 Growth]])</f>
        <v>1.780900304035131</v>
      </c>
      <c r="HB96" s="27">
        <f>PortfolioFrontier[[#This Row],[P52 Growth]]/PortfolioFrontier[[#This Row],[P52 HWM]]-1</f>
        <v>-1.7809848347438706E-3</v>
      </c>
      <c r="HC96" s="28">
        <f>SUMPRODUCT(INDEX(PortfolioRef[[SPY]:[PE]],MATCH(HC$1,PortfolioRef[Reference '#]),0),AssetMonthlyReturns[[#This Row],[SPY]:[PE]])</f>
        <v>7.5913494654808889E-4</v>
      </c>
      <c r="HD96" s="27">
        <f>IF(ISNUMBER(HD95),HD95*(1+PortfolioFrontier[[#This Row],[P53 Return]]),1+PortfolioFrontier[[#This Row],[P53 Return]])</f>
        <v>1.7733353864111123</v>
      </c>
      <c r="HE96" s="27">
        <f>MAX(HE95,PortfolioFrontier[[#This Row],[P53 Growth]])</f>
        <v>1.7733353864111123</v>
      </c>
      <c r="HF96" s="27">
        <f>PortfolioFrontier[[#This Row],[P53 Growth]]/PortfolioFrontier[[#This Row],[P53 HWM]]-1</f>
        <v>0</v>
      </c>
      <c r="HG96" s="28">
        <f>SUMPRODUCT(INDEX(PortfolioRef[[SPY]:[PE]],MATCH(HG$1,PortfolioRef[Reference '#]),0),AssetMonthlyReturns[[#This Row],[SPY]:[PE]])</f>
        <v>3.2992547278400601E-3</v>
      </c>
      <c r="HH96" s="27">
        <f>IF(ISNUMBER(HH95),HH95*(1+PortfolioFrontier[[#This Row],[P54 Return]]),1+PortfolioFrontier[[#This Row],[P54 Return]])</f>
        <v>1.767602468636605</v>
      </c>
      <c r="HI96" s="27">
        <f>MAX(HI95,PortfolioFrontier[[#This Row],[P54 Growth]])</f>
        <v>1.767602468636605</v>
      </c>
      <c r="HJ96" s="27">
        <f>PortfolioFrontier[[#This Row],[P54 Growth]]/PortfolioFrontier[[#This Row],[P54 HWM]]-1</f>
        <v>0</v>
      </c>
      <c r="HK96" s="28">
        <f>SUMPRODUCT(INDEX(PortfolioRef[[SPY]:[PE]],MATCH(HK$1,PortfolioRef[Reference '#]),0),AssetMonthlyReturns[[#This Row],[SPY]:[PE]])</f>
        <v>-3.0135753024172277E-3</v>
      </c>
      <c r="HL96" s="27">
        <f>IF(ISNUMBER(HL95),HL95*(1+PortfolioFrontier[[#This Row],[P55 Return]]),1+PortfolioFrontier[[#This Row],[P55 Return]])</f>
        <v>1.767693528699871</v>
      </c>
      <c r="HM96" s="27">
        <f>MAX(HM95,PortfolioFrontier[[#This Row],[P55 Growth]])</f>
        <v>1.8002459621778737</v>
      </c>
      <c r="HN96" s="27">
        <f>PortfolioFrontier[[#This Row],[P55 Growth]]/PortfolioFrontier[[#This Row],[P55 HWM]]-1</f>
        <v>-1.8082214409536501E-2</v>
      </c>
      <c r="HO96" s="28">
        <f>SUMPRODUCT(INDEX(PortfolioRef[[SPY]:[PE]],MATCH(HO$1,PortfolioRef[Reference '#]),0),AssetMonthlyReturns[[#This Row],[SPY]:[PE]])</f>
        <v>-4.7345552112525603E-4</v>
      </c>
      <c r="HP96" s="27">
        <f>IF(ISNUMBER(HP95),HP95*(1+PortfolioFrontier[[#This Row],[P56 Return]]),1+PortfolioFrontier[[#This Row],[P56 Return]])</f>
        <v>1.7643522914108163</v>
      </c>
      <c r="HQ96" s="27">
        <f>MAX(HQ95,PortfolioFrontier[[#This Row],[P56 Growth]])</f>
        <v>1.767380839986993</v>
      </c>
      <c r="HR96" s="27">
        <f>PortfolioFrontier[[#This Row],[P56 Growth]]/PortfolioFrontier[[#This Row],[P56 HWM]]-1</f>
        <v>-1.7135800658555356E-3</v>
      </c>
      <c r="HS96" s="28">
        <f>SUMPRODUCT(INDEX(PortfolioRef[[SPY]:[PE]],MATCH(HS$1,PortfolioRef[Reference '#]),0),AssetMonthlyReturns[[#This Row],[SPY]:[PE]])</f>
        <v>2.0666642601667165E-3</v>
      </c>
      <c r="HT96" s="27">
        <f>IF(ISNUMBER(HT95),HT95*(1+PortfolioFrontier[[#This Row],[P57 Return]]),1+PortfolioFrontier[[#This Row],[P57 Return]])</f>
        <v>1.7596682354895929</v>
      </c>
      <c r="HU96" s="27">
        <f>MAX(HU95,PortfolioFrontier[[#This Row],[P57 Growth]])</f>
        <v>1.7596682354895929</v>
      </c>
      <c r="HV96" s="27">
        <f>PortfolioFrontier[[#This Row],[P57 Growth]]/PortfolioFrontier[[#This Row],[P57 HWM]]-1</f>
        <v>0</v>
      </c>
      <c r="HW96" s="28">
        <f>SUMPRODUCT(INDEX(PortfolioRef[[SPY]:[PE]],MATCH(HW$1,PortfolioRef[Reference '#]),0),AssetMonthlyReturns[[#This Row],[SPY]:[PE]])</f>
        <v>-4.2461657700905708E-3</v>
      </c>
      <c r="HX96" s="27">
        <f>IF(ISNUMBER(HX95),HX95*(1+PortfolioFrontier[[#This Row],[P58 Return]]),1+PortfolioFrontier[[#This Row],[P58 Return]])</f>
        <v>1.7563159568274951</v>
      </c>
      <c r="HY96" s="27">
        <f>MAX(HY95,PortfolioFrontier[[#This Row],[P58 Growth]])</f>
        <v>1.8195487359549802</v>
      </c>
      <c r="HZ96" s="27">
        <f>PortfolioFrontier[[#This Row],[P58 Growth]]/PortfolioFrontier[[#This Row],[P58 HWM]]-1</f>
        <v>-3.4751901874339075E-2</v>
      </c>
      <c r="IA96" s="28">
        <f>SUMPRODUCT(INDEX(PortfolioRef[[SPY]:[PE]],MATCH(IA$1,PortfolioRef[Reference '#]),0),AssetMonthlyReturns[[#This Row],[SPY]:[PE]])</f>
        <v>-1.7060459887986001E-3</v>
      </c>
      <c r="IB96" s="27">
        <f>IF(ISNUMBER(IB95),IB95*(1+PortfolioFrontier[[#This Row],[P59 Return]]),1+PortfolioFrontier[[#This Row],[P59 Return]])</f>
        <v>1.7540220837801739</v>
      </c>
      <c r="IC96" s="27">
        <f>MAX(IC95,PortfolioFrontier[[#This Row],[P59 Growth]])</f>
        <v>1.7869282396294996</v>
      </c>
      <c r="ID96" s="27">
        <f>PortfolioFrontier[[#This Row],[P59 Growth]]/PortfolioFrontier[[#This Row],[P59 HWM]]-1</f>
        <v>-1.8414928545842701E-2</v>
      </c>
      <c r="IE96" s="28">
        <f>SUMPRODUCT(INDEX(PortfolioRef[[SPY]:[PE]],MATCH(IE$1,PortfolioRef[Reference '#]),0),AssetMonthlyReturns[[#This Row],[SPY]:[PE]])</f>
        <v>8.3407379249337155E-4</v>
      </c>
      <c r="IF96" s="27">
        <f>IF(ISNUMBER(IF95),IF95*(1+PortfolioFrontier[[#This Row],[P60 Return]]),1+PortfolioFrontier[[#This Row],[P60 Return]])</f>
        <v>1.7503843753055215</v>
      </c>
      <c r="IG96" s="27">
        <f>MAX(IG95,PortfolioFrontier[[#This Row],[P60 Growth]])</f>
        <v>1.7541215677111524</v>
      </c>
      <c r="IH96" s="27">
        <f>PortfolioFrontier[[#This Row],[P60 Growth]]/PortfolioFrontier[[#This Row],[P60 HWM]]-1</f>
        <v>-2.13052075433251E-3</v>
      </c>
      <c r="II96" s="28">
        <f>SUMPRODUCT(INDEX(PortfolioRef[[SPY]:[PE]],MATCH(II$1,PortfolioRef[Reference '#]),0),AssetMonthlyReturns[[#This Row],[SPY]:[PE]])</f>
        <v>3.5817454449818651E-3</v>
      </c>
      <c r="IJ96" s="27">
        <f>IF(ISNUMBER(IJ95),IJ95*(1+PortfolioFrontier[[#This Row],[P61 Return]]),1+PortfolioFrontier[[#This Row],[P61 Return]])</f>
        <v>1.5901078734416305</v>
      </c>
      <c r="IK96" s="27">
        <f>MAX(IK95,PortfolioFrontier[[#This Row],[P61 Growth]])</f>
        <v>1.6121264956964798</v>
      </c>
      <c r="IL96" s="27">
        <f>PortfolioFrontier[[#This Row],[P61 Growth]]/PortfolioFrontier[[#This Row],[P61 HWM]]-1</f>
        <v>-1.3658123176827242E-2</v>
      </c>
      <c r="IM96" s="28">
        <f>SUMPRODUCT(INDEX(PortfolioRef[[SPY]:[PE]],MATCH(IM$1,PortfolioRef[Reference '#]),0),AssetMonthlyReturns[[#This Row],[SPY]:[PE]])</f>
        <v>2.6594995336603265E-3</v>
      </c>
      <c r="IN96" s="27">
        <f>IF(ISNUMBER(IN95),IN95*(1+PortfolioFrontier[[#This Row],[P62 Return]]),1+PortfolioFrontier[[#This Row],[P62 Return]])</f>
        <v>1.6206323707134234</v>
      </c>
      <c r="IO96" s="27">
        <f>MAX(IO95,PortfolioFrontier[[#This Row],[P62 Growth]])</f>
        <v>1.6272630311124299</v>
      </c>
      <c r="IP96" s="27">
        <f>PortfolioFrontier[[#This Row],[P62 Growth]]/PortfolioFrontier[[#This Row],[P62 HWM]]-1</f>
        <v>-4.0747317871983046E-3</v>
      </c>
      <c r="IQ96" s="28">
        <f>SUMPRODUCT(INDEX(PortfolioRef[[SPY]:[PE]],MATCH(IQ$1,PortfolioRef[Reference '#]),0),AssetMonthlyReturns[[#This Row],[SPY]:[PE]])</f>
        <v>1.426909065986982E-3</v>
      </c>
      <c r="IR96" s="27">
        <f>IF(ISNUMBER(IR95),IR95*(1+PortfolioFrontier[[#This Row],[P63 Return]]),1+PortfolioFrontier[[#This Row],[P63 Return]])</f>
        <v>1.6134019625247531</v>
      </c>
      <c r="IS96" s="27">
        <f>MAX(IS95,PortfolioFrontier[[#This Row],[P63 Growth]])</f>
        <v>1.646884909102555</v>
      </c>
      <c r="IT96" s="27">
        <f>PortfolioFrontier[[#This Row],[P63 Growth]]/PortfolioFrontier[[#This Row],[P63 HWM]]-1</f>
        <v>-2.033107862773964E-2</v>
      </c>
      <c r="IU96" s="28">
        <f>SUMPRODUCT(INDEX(PortfolioRef[[SPY]:[PE]],MATCH(IU$1,PortfolioRef[Reference '#]),0),AssetMonthlyReturns[[#This Row],[SPY]:[PE]])</f>
        <v>3.9670288472789528E-3</v>
      </c>
      <c r="IV96" s="27">
        <f>IF(ISNUMBER(IV95),IV95*(1+PortfolioFrontier[[#This Row],[P64 Return]]),1+PortfolioFrontier[[#This Row],[P64 Return]])</f>
        <v>1.6078234152231232</v>
      </c>
      <c r="IW96" s="27">
        <f>MAX(IW95,PortfolioFrontier[[#This Row],[P64 Growth]])</f>
        <v>1.6151793879801097</v>
      </c>
      <c r="IX96" s="27">
        <f>PortfolioFrontier[[#This Row],[P64 Growth]]/PortfolioFrontier[[#This Row],[P64 HWM]]-1</f>
        <v>-4.5542760214304367E-3</v>
      </c>
      <c r="IY96" s="28">
        <f>SUMPRODUCT(INDEX(PortfolioRef[[SPY]:[PE]],MATCH(IY$1,PortfolioRef[Reference '#]),0),AssetMonthlyReturns[[#This Row],[SPY]:[PE]])</f>
        <v>1.7372536223387853E-3</v>
      </c>
      <c r="IZ96" s="27">
        <f>IF(ISNUMBER(IZ95),IZ95*(1+PortfolioFrontier[[#This Row],[P65 Return]]),1+PortfolioFrontier[[#This Row],[P65 Return]])</f>
        <v>1.651292032567786</v>
      </c>
      <c r="JA96" s="27">
        <f>MAX(JA95,PortfolioFrontier[[#This Row],[P65 Growth]])</f>
        <v>1.651292032567786</v>
      </c>
      <c r="JB96" s="27">
        <f>PortfolioFrontier[[#This Row],[P65 Growth]]/PortfolioFrontier[[#This Row],[P65 HWM]]-1</f>
        <v>0</v>
      </c>
      <c r="JC96" s="28">
        <f>SUMPRODUCT(INDEX(PortfolioRef[[SPY]:[PE]],MATCH(JC$1,PortfolioRef[Reference '#]),0),AssetMonthlyReturns[[#This Row],[SPY]:[PE]])</f>
        <v>5.0466315466544173E-4</v>
      </c>
      <c r="JD96" s="27">
        <f>IF(ISNUMBER(JD95),JD95*(1+PortfolioFrontier[[#This Row],[P66 Return]]),1+PortfolioFrontier[[#This Row],[P66 Return]])</f>
        <v>1.6443499339901078</v>
      </c>
      <c r="JE96" s="27">
        <f>MAX(JE95,PortfolioFrontier[[#This Row],[P66 Growth]])</f>
        <v>1.6623077877531292</v>
      </c>
      <c r="JF96" s="27">
        <f>PortfolioFrontier[[#This Row],[P66 Growth]]/PortfolioFrontier[[#This Row],[P66 HWM]]-1</f>
        <v>-1.0802965549054133E-2</v>
      </c>
      <c r="JG96" s="28">
        <f>SUMPRODUCT(INDEX(PortfolioRef[[SPY]:[PE]],MATCH(JG$1,PortfolioRef[Reference '#]),0),AssetMonthlyReturns[[#This Row],[SPY]:[PE]])</f>
        <v>3.0447829359574129E-3</v>
      </c>
      <c r="JH96" s="27">
        <f>IF(ISNUMBER(JH95),JH95*(1+PortfolioFrontier[[#This Row],[P67 Return]]),1+PortfolioFrontier[[#This Row],[P67 Return]])</f>
        <v>1.6386857029819226</v>
      </c>
      <c r="JI96" s="27">
        <f>MAX(JI95,PortfolioFrontier[[#This Row],[P67 Growth]])</f>
        <v>1.6386857029819226</v>
      </c>
      <c r="JJ96" s="27">
        <f>PortfolioFrontier[[#This Row],[P67 Growth]]/PortfolioFrontier[[#This Row],[P67 HWM]]-1</f>
        <v>0</v>
      </c>
      <c r="JK96" s="28">
        <f>SUMPRODUCT(INDEX(PortfolioRef[[SPY]:[PE]],MATCH(JK$1,PortfolioRef[Reference '#]),0),AssetMonthlyReturns[[#This Row],[SPY]:[PE]])</f>
        <v>-7.2792731300790319E-4</v>
      </c>
      <c r="JL96" s="27">
        <f>IF(ISNUMBER(JL95),JL95*(1+PortfolioFrontier[[#This Row],[P68 Return]]),1+PortfolioFrontier[[#This Row],[P68 Return]])</f>
        <v>1.6361427468451202</v>
      </c>
      <c r="JM96" s="27">
        <f>MAX(JM95,PortfolioFrontier[[#This Row],[P68 Growth]])</f>
        <v>1.6817622542850994</v>
      </c>
      <c r="JN96" s="27">
        <f>PortfolioFrontier[[#This Row],[P68 Growth]]/PortfolioFrontier[[#This Row],[P68 HWM]]-1</f>
        <v>-2.7126014586034142E-2</v>
      </c>
      <c r="JO96" s="28">
        <f>SUMPRODUCT(INDEX(PortfolioRef[[SPY]:[PE]],MATCH(JO$1,PortfolioRef[Reference '#]),0),AssetMonthlyReturns[[#This Row],[SPY]:[PE]])</f>
        <v>1.8121924682840693E-3</v>
      </c>
      <c r="JP96" s="27">
        <f>IF(ISNUMBER(JP95),JP95*(1+PortfolioFrontier[[#This Row],[P69 Return]]),1+PortfolioFrontier[[#This Row],[P69 Return]])</f>
        <v>1.6314506656133818</v>
      </c>
      <c r="JQ96" s="27">
        <f>MAX(JQ95,PortfolioFrontier[[#This Row],[P69 Growth]])</f>
        <v>1.6499912107010917</v>
      </c>
      <c r="JR96" s="27">
        <f>PortfolioFrontier[[#This Row],[P69 Growth]]/PortfolioFrontier[[#This Row],[P69 HWM]]-1</f>
        <v>-1.1236753849029224E-2</v>
      </c>
      <c r="JS96" s="28">
        <f>SUMPRODUCT(INDEX(PortfolioRef[[SPY]:[PE]],MATCH(JS$1,PortfolioRef[Reference '#]),0),AssetMonthlyReturns[[#This Row],[SPY]:[PE]])</f>
        <v>4.3523122495760409E-3</v>
      </c>
      <c r="JT96" s="27">
        <f>IF(ISNUMBER(JT95),JT95*(1+PortfolioFrontier[[#This Row],[P70 Return]]),1+PortfolioFrontier[[#This Row],[P70 Return]])</f>
        <v>1.6255307238696868</v>
      </c>
      <c r="JU96" s="27">
        <f>MAX(JU95,PortfolioFrontier[[#This Row],[P70 Growth]])</f>
        <v>1.6255307238696868</v>
      </c>
      <c r="JV96" s="27">
        <f>PortfolioFrontier[[#This Row],[P70 Growth]]/PortfolioFrontier[[#This Row],[P70 HWM]]-1</f>
        <v>0</v>
      </c>
      <c r="JW96" s="28">
        <f>SUMPRODUCT(INDEX(PortfolioRef[[SPY]:[PE]],MATCH(JW$1,PortfolioRef[Reference '#]),0),AssetMonthlyReturns[[#This Row],[SPY]:[PE]])</f>
        <v>-4.175827566560977E-4</v>
      </c>
      <c r="JX96" s="27">
        <f>IF(ISNUMBER(JX95),JX95*(1+PortfolioFrontier[[#This Row],[P71 Return]]),1+PortfolioFrontier[[#This Row],[P71 Return]])</f>
        <v>1.6754346766034667</v>
      </c>
      <c r="JY96" s="27">
        <f>MAX(JY95,PortfolioFrontier[[#This Row],[P71 Growth]])</f>
        <v>1.6775420819631024</v>
      </c>
      <c r="JZ96" s="27">
        <f>PortfolioFrontier[[#This Row],[P71 Growth]]/PortfolioFrontier[[#This Row],[P71 HWM]]-1</f>
        <v>-1.2562458982665614E-3</v>
      </c>
      <c r="KA96" s="28">
        <f>SUMPRODUCT(INDEX(PortfolioRef[[SPY]:[PE]],MATCH(KA$1,PortfolioRef[Reference '#]),0),AssetMonthlyReturns[[#This Row],[SPY]:[PE]])</f>
        <v>2.1225370246358735E-3</v>
      </c>
      <c r="KB96" s="27">
        <f>IF(ISNUMBER(KB95),KB95*(1+PortfolioFrontier[[#This Row],[P72 Return]]),1+PortfolioFrontier[[#This Row],[P72 Return]])</f>
        <v>1.6696848725408722</v>
      </c>
      <c r="KC96" s="27">
        <f>MAX(KC95,PortfolioFrontier[[#This Row],[P72 Growth]])</f>
        <v>1.6696848725408722</v>
      </c>
      <c r="KD96" s="27">
        <f>PortfolioFrontier[[#This Row],[P72 Growth]]/PortfolioFrontier[[#This Row],[P72 HWM]]-1</f>
        <v>0</v>
      </c>
      <c r="KE96" s="28">
        <f>SUMPRODUCT(INDEX(PortfolioRef[[SPY]:[PE]],MATCH(KE$1,PortfolioRef[Reference '#]),0),AssetMonthlyReturns[[#This Row],[SPY]:[PE]])</f>
        <v>-1.6501732243294426E-3</v>
      </c>
      <c r="KF96" s="27">
        <f>IF(ISNUMBER(KF95),KF95*(1+PortfolioFrontier[[#This Row],[P73 Return]]),1+PortfolioFrontier[[#This Row],[P73 Return]])</f>
        <v>1.667503337575168</v>
      </c>
      <c r="KG96" s="27">
        <f>MAX(KG95,PortfolioFrontier[[#This Row],[P73 Growth]])</f>
        <v>1.6974712283523181</v>
      </c>
      <c r="KH96" s="27">
        <f>PortfolioFrontier[[#This Row],[P73 Growth]]/PortfolioFrontier[[#This Row],[P73 HWM]]-1</f>
        <v>-1.7654432238147E-2</v>
      </c>
      <c r="KI96" s="28">
        <f>SUMPRODUCT(INDEX(PortfolioRef[[SPY]:[PE]],MATCH(KI$1,PortfolioRef[Reference '#]),0),AssetMonthlyReturns[[#This Row],[SPY]:[PE]])</f>
        <v>8.8994655696252988E-4</v>
      </c>
      <c r="KJ96" s="27">
        <f>IF(ISNUMBER(KJ95),KJ95*(1+PortfolioFrontier[[#This Row],[P74 Return]]),1+PortfolioFrontier[[#This Row],[P74 Return]])</f>
        <v>1.6627425113769101</v>
      </c>
      <c r="KK96" s="27">
        <f>MAX(KK95,PortfolioFrontier[[#This Row],[P74 Growth]])</f>
        <v>1.6654678920548054</v>
      </c>
      <c r="KL96" s="27">
        <f>PortfolioFrontier[[#This Row],[P74 Growth]]/PortfolioFrontier[[#This Row],[P74 HWM]]-1</f>
        <v>-1.6364054154972552E-3</v>
      </c>
      <c r="KM96" s="28">
        <f>SUMPRODUCT(INDEX(PortfolioRef[[SPY]:[PE]],MATCH(KM$1,PortfolioRef[Reference '#]),0),AssetMonthlyReturns[[#This Row],[SPY]:[PE]])</f>
        <v>3.4300663382545011E-3</v>
      </c>
      <c r="KN96" s="27">
        <f>IF(ISNUMBER(KN95),KN95*(1+PortfolioFrontier[[#This Row],[P75 Return]]),1+PortfolioFrontier[[#This Row],[P75 Return]])</f>
        <v>1.6567307125197894</v>
      </c>
      <c r="KO96" s="27">
        <f>MAX(KO95,PortfolioFrontier[[#This Row],[P75 Growth]])</f>
        <v>1.6567307125197894</v>
      </c>
      <c r="KP96" s="27">
        <f>PortfolioFrontier[[#This Row],[P75 Growth]]/PortfolioFrontier[[#This Row],[P75 HWM]]-1</f>
        <v>0</v>
      </c>
      <c r="KQ96" s="28">
        <f>SUMPRODUCT(INDEX(PortfolioRef[[SPY]:[PE]],MATCH(KQ$1,PortfolioRef[Reference '#]),0),AssetMonthlyReturns[[#This Row],[SPY]:[PE]])</f>
        <v>-2.8827636920027875E-3</v>
      </c>
      <c r="KR96" s="27">
        <f>IF(ISNUMBER(KR95),KR95*(1+PortfolioFrontier[[#This Row],[P76 Return]]),1+PortfolioFrontier[[#This Row],[P76 Return]])</f>
        <v>1.6582941044046053</v>
      </c>
      <c r="KS96" s="27">
        <f>MAX(KS95,PortfolioFrontier[[#This Row],[P76 Growth]])</f>
        <v>1.7167314071133803</v>
      </c>
      <c r="KT96" s="27">
        <f>PortfolioFrontier[[#This Row],[P76 Growth]]/PortfolioFrontier[[#This Row],[P76 HWM]]-1</f>
        <v>-3.4039863467655196E-2</v>
      </c>
      <c r="KU96" s="28">
        <f>SUMPRODUCT(INDEX(PortfolioRef[[SPY]:[PE]],MATCH(KU$1,PortfolioRef[Reference '#]),0),AssetMonthlyReturns[[#This Row],[SPY]:[PE]])</f>
        <v>-3.426439107108159E-4</v>
      </c>
      <c r="KV96" s="27">
        <f>IF(ISNUMBER(KV95),KV95*(1+PortfolioFrontier[[#This Row],[P77 Return]]),1+PortfolioFrontier[[#This Row],[P77 Return]])</f>
        <v>1.6545206948577715</v>
      </c>
      <c r="KW96" s="27">
        <f>MAX(KW95,PortfolioFrontier[[#This Row],[P77 Growth]])</f>
        <v>1.6849217747429484</v>
      </c>
      <c r="KX96" s="27">
        <f>PortfolioFrontier[[#This Row],[P77 Growth]]/PortfolioFrontier[[#This Row],[P77 HWM]]-1</f>
        <v>-1.8043021546098048E-2</v>
      </c>
      <c r="KY96" s="28">
        <f>SUMPRODUCT(INDEX(PortfolioRef[[SPY]:[PE]],MATCH(KY$1,PortfolioRef[Reference '#]),0),AssetMonthlyReturns[[#This Row],[SPY]:[PE]])</f>
        <v>2.1974758705811566E-3</v>
      </c>
      <c r="KZ96" s="27">
        <f>IF(ISNUMBER(KZ95),KZ95*(1+PortfolioFrontier[[#This Row],[P78 Return]]),1+PortfolioFrontier[[#This Row],[P78 Return]])</f>
        <v>1.6494926652266235</v>
      </c>
      <c r="LA96" s="27">
        <f>MAX(LA95,PortfolioFrontier[[#This Row],[P78 Growth]])</f>
        <v>1.6529805725839544</v>
      </c>
      <c r="LB96" s="27">
        <f>PortfolioFrontier[[#This Row],[P78 Growth]]/PortfolioFrontier[[#This Row],[P78 HWM]]-1</f>
        <v>-2.1100715974408102E-3</v>
      </c>
      <c r="LC96" s="28">
        <f>SUMPRODUCT(INDEX(PortfolioRef[[SPY]:[PE]],MATCH(LC$1,PortfolioRef[Reference '#]),0),AssetMonthlyReturns[[#This Row],[SPY]:[PE]])</f>
        <v>-2.5724191356509838E-3</v>
      </c>
      <c r="LD96" s="27">
        <f>IF(ISNUMBER(LD95),LD95*(1+PortfolioFrontier[[#This Row],[P79 Return]]),1+PortfolioFrontier[[#This Row],[P79 Return]])</f>
        <v>1.6990022547884307</v>
      </c>
      <c r="LE96" s="27">
        <f>MAX(LE95,PortfolioFrontier[[#This Row],[P79 Growth]])</f>
        <v>1.7129874860839263</v>
      </c>
      <c r="LF96" s="27">
        <f>PortfolioFrontier[[#This Row],[P79 Growth]]/PortfolioFrontier[[#This Row],[P79 HWM]]-1</f>
        <v>-8.1642343619610092E-3</v>
      </c>
      <c r="LG96" s="28">
        <f>SUMPRODUCT(INDEX(PortfolioRef[[SPY]:[PE]],MATCH(LG$1,PortfolioRef[Reference '#]),0),AssetMonthlyReturns[[#This Row],[SPY]:[PE]])</f>
        <v>-3.2299354359011274E-5</v>
      </c>
      <c r="LH96" s="27">
        <f>IF(ISNUMBER(LH95),LH95*(1+PortfolioFrontier[[#This Row],[P80 Return]]),1+PortfolioFrontier[[#This Row],[P80 Return]])</f>
        <v>1.6941728729092849</v>
      </c>
      <c r="LI96" s="27">
        <f>MAX(LI95,PortfolioFrontier[[#This Row],[P80 Growth]])</f>
        <v>1.6942275953667525</v>
      </c>
      <c r="LJ96" s="27">
        <f>PortfolioFrontier[[#This Row],[P80 Growth]]/PortfolioFrontier[[#This Row],[P80 HWM]]-1</f>
        <v>-3.2299354358999999E-5</v>
      </c>
      <c r="LK96" s="28">
        <f>SUMPRODUCT(INDEX(PortfolioRef[[SPY]:[PE]],MATCH(LK$1,PortfolioRef[Reference '#]),0),AssetMonthlyReturns[[#This Row],[SPY]:[PE]])</f>
        <v>2.5078204269329599E-3</v>
      </c>
      <c r="LL96" s="27">
        <f>IF(ISNUMBER(LL95),LL95*(1+PortfolioFrontier[[#This Row],[P81 Return]]),1+PortfolioFrontier[[#This Row],[P81 Return]])</f>
        <v>1.6880693051760289</v>
      </c>
      <c r="LM96" s="27">
        <f>MAX(LM95,PortfolioFrontier[[#This Row],[P81 Growth]])</f>
        <v>1.6880693051760289</v>
      </c>
      <c r="LN96" s="27">
        <f>PortfolioFrontier[[#This Row],[P81 Growth]]/PortfolioFrontier[[#This Row],[P81 HWM]]-1</f>
        <v>0</v>
      </c>
      <c r="LO96" s="28">
        <f>SUMPRODUCT(INDEX(PortfolioRef[[SPY]:[PE]],MATCH(LO$1,PortfolioRef[Reference '#]),0),AssetMonthlyReturns[[#This Row],[SPY]:[PE]])</f>
        <v>-3.8050096033243278E-3</v>
      </c>
      <c r="LP96" s="27">
        <f>IF(ISNUMBER(LP95),LP95*(1+PortfolioFrontier[[#This Row],[P82 Return]]),1+PortfolioFrontier[[#This Row],[P82 Return]])</f>
        <v>1.690055810087657</v>
      </c>
      <c r="LQ96" s="27">
        <f>MAX(LQ95,PortfolioFrontier[[#This Row],[P82 Growth]])</f>
        <v>1.7327259878391794</v>
      </c>
      <c r="LR96" s="27">
        <f>PortfolioFrontier[[#This Row],[P82 Growth]]/PortfolioFrontier[[#This Row],[P82 HWM]]-1</f>
        <v>-2.4626038999238875E-2</v>
      </c>
      <c r="LS96" s="28">
        <f>SUMPRODUCT(INDEX(PortfolioRef[[SPY]:[PE]],MATCH(LS$1,PortfolioRef[Reference '#]),0),AssetMonthlyReturns[[#This Row],[SPY]:[PE]])</f>
        <v>-1.2648898220323562E-3</v>
      </c>
      <c r="LT96" s="27">
        <f>IF(ISNUMBER(LT95),LT95*(1+PortfolioFrontier[[#This Row],[P83 Return]]),1+PortfolioFrontier[[#This Row],[P83 Return]])</f>
        <v>1.686231164595233</v>
      </c>
      <c r="LU96" s="27">
        <f>MAX(LU95,PortfolioFrontier[[#This Row],[P83 Growth]])</f>
        <v>1.7006855237848306</v>
      </c>
      <c r="LV96" s="27">
        <f>PortfolioFrontier[[#This Row],[P83 Growth]]/PortfolioFrontier[[#This Row],[P83 HWM]]-1</f>
        <v>-8.499136958271869E-3</v>
      </c>
      <c r="LW96" s="28">
        <f>SUMPRODUCT(INDEX(PortfolioRef[[SPY]:[PE]],MATCH(LW$1,PortfolioRef[Reference '#]),0),AssetMonthlyReturns[[#This Row],[SPY]:[PE]])</f>
        <v>1.2752299592596163E-3</v>
      </c>
      <c r="LX96" s="27">
        <f>IF(ISNUMBER(LX95),LX95*(1+PortfolioFrontier[[#This Row],[P84 Return]]),1+PortfolioFrontier[[#This Row],[P84 Return]])</f>
        <v>1.6811283257025491</v>
      </c>
      <c r="LY96" s="27">
        <f>MAX(LY95,PortfolioFrontier[[#This Row],[P84 Growth]])</f>
        <v>1.6811283257025491</v>
      </c>
      <c r="LZ96" s="27">
        <f>PortfolioFrontier[[#This Row],[P84 Growth]]/PortfolioFrontier[[#This Row],[P84 HWM]]-1</f>
        <v>0</v>
      </c>
      <c r="MA96" s="28">
        <f>SUMPRODUCT(INDEX(PortfolioRef[[SPY]:[PE]],MATCH(MA$1,PortfolioRef[Reference '#]),0),AssetMonthlyReturns[[#This Row],[SPY]:[PE]])</f>
        <v>-5.037600070997671E-3</v>
      </c>
      <c r="MB96" s="27">
        <f>IF(ISNUMBER(MB95),MB95*(1+PortfolioFrontier[[#This Row],[P85 Return]]),1+PortfolioFrontier[[#This Row],[P85 Return]])</f>
        <v>1.67982006575439</v>
      </c>
      <c r="MC96" s="27">
        <f>MAX(MC95,PortfolioFrontier[[#This Row],[P85 Growth]])</f>
        <v>1.7517641950154219</v>
      </c>
      <c r="MD96" s="27">
        <f>PortfolioFrontier[[#This Row],[P85 Growth]]/PortfolioFrontier[[#This Row],[P85 HWM]]-1</f>
        <v>-4.1069528345051287E-2</v>
      </c>
      <c r="ME96" s="28">
        <f>SUMPRODUCT(INDEX(PortfolioRef[[SPY]:[PE]],MATCH(ME$1,PortfolioRef[Reference '#]),0),AssetMonthlyReturns[[#This Row],[SPY]:[PE]])</f>
        <v>-2.4974802897057002E-3</v>
      </c>
      <c r="MF96" s="27">
        <f>IF(ISNUMBER(MF95),MF95*(1+PortfolioFrontier[[#This Row],[P86 Return]]),1+PortfolioFrontier[[#This Row],[P86 Return]])</f>
        <v>1.6769969182127256</v>
      </c>
      <c r="MG96" s="27">
        <f>MAX(MG95,PortfolioFrontier[[#This Row],[P86 Growth]])</f>
        <v>1.7199439154573082</v>
      </c>
      <c r="MH96" s="27">
        <f>PortfolioFrontier[[#This Row],[P86 Growth]]/PortfolioFrontier[[#This Row],[P86 HWM]]-1</f>
        <v>-2.4969998648568525E-2</v>
      </c>
      <c r="MI96" s="28">
        <f>SUMPRODUCT(INDEX(PortfolioRef[[SPY]:[PE]],MATCH(MI$1,PortfolioRef[Reference '#]),0),AssetMonthlyReturns[[#This Row],[SPY]:[PE]])</f>
        <v>4.2639491586271387E-5</v>
      </c>
      <c r="MJ96" s="27">
        <f>IF(ISNUMBER(MJ95),MJ95*(1+PortfolioFrontier[[#This Row],[P87 Return]]),1+PortfolioFrontier[[#This Row],[P87 Return]])</f>
        <v>1.6728935196063441</v>
      </c>
      <c r="MK96" s="27">
        <f>MAX(MK95,PortfolioFrontier[[#This Row],[P87 Growth]])</f>
        <v>1.6879617873128629</v>
      </c>
      <c r="ML96" s="27">
        <f>PortfolioFrontier[[#This Row],[P87 Growth]]/PortfolioFrontier[[#This Row],[P87 HWM]]-1</f>
        <v>-8.9269009640950969E-3</v>
      </c>
      <c r="MM96" s="28">
        <f>SUMPRODUCT(INDEX(PortfolioRef[[SPY]:[PE]],MATCH(MM$1,PortfolioRef[Reference '#]),0),AssetMonthlyReturns[[#This Row],[SPY]:[PE]])</f>
        <v>-4.7272555146458672E-3</v>
      </c>
      <c r="MN96" s="27">
        <f>IF(ISNUMBER(MN95),MN95*(1+PortfolioFrontier[[#This Row],[P88 Return]]),1+PortfolioFrontier[[#This Row],[P88 Return]])</f>
        <v>1.7219573439920408</v>
      </c>
      <c r="MO96" s="27">
        <f>MAX(MO95,PortfolioFrontier[[#This Row],[P88 Growth]])</f>
        <v>1.7485237047822844</v>
      </c>
      <c r="MP96" s="27">
        <f>PortfolioFrontier[[#This Row],[P88 Growth]]/PortfolioFrontier[[#This Row],[P88 HWM]]-1</f>
        <v>-1.5193594869536753E-2</v>
      </c>
      <c r="MQ96" s="28">
        <f>SUMPRODUCT(INDEX(PortfolioRef[[SPY]:[PE]],MATCH(MQ$1,PortfolioRef[Reference '#]),0),AssetMonthlyReturns[[#This Row],[SPY]:[PE]])</f>
        <v>-2.1871357333538965E-3</v>
      </c>
      <c r="MR96" s="27">
        <f>IF(ISNUMBER(MR95),MR95*(1+PortfolioFrontier[[#This Row],[P89 Return]]),1+PortfolioFrontier[[#This Row],[P89 Return]])</f>
        <v>1.7180817323646962</v>
      </c>
      <c r="MS96" s="27">
        <f>MAX(MS95,PortfolioFrontier[[#This Row],[P89 Growth]])</f>
        <v>1.7218476468805801</v>
      </c>
      <c r="MT96" s="27">
        <f>PortfolioFrontier[[#This Row],[P89 Growth]]/PortfolioFrontier[[#This Row],[P89 HWM]]-1</f>
        <v>-2.1871357333539398E-3</v>
      </c>
      <c r="MU96" s="28">
        <f>SUMPRODUCT(INDEX(PortfolioRef[[SPY]:[PE]],MATCH(MU$1,PortfolioRef[Reference '#]),0),AssetMonthlyReturns[[#This Row],[SPY]:[PE]])</f>
        <v>3.5298404793807645E-4</v>
      </c>
      <c r="MV96" s="27">
        <f>IF(ISNUMBER(MV95),MV95*(1+PortfolioFrontier[[#This Row],[P90 Return]]),1+PortfolioFrontier[[#This Row],[P90 Return]])</f>
        <v>1.7129042517954276</v>
      </c>
      <c r="MW96" s="27">
        <f>MAX(MW95,PortfolioFrontier[[#This Row],[P90 Growth]])</f>
        <v>1.7129042517954276</v>
      </c>
      <c r="MX96" s="27">
        <f>PortfolioFrontier[[#This Row],[P90 Growth]]/PortfolioFrontier[[#This Row],[P90 HWM]]-1</f>
        <v>0</v>
      </c>
      <c r="MY96" s="28">
        <f>SUMPRODUCT(INDEX(PortfolioRef[[SPY]:[PE]],MATCH(MY$1,PortfolioRef[Reference '#]),0),AssetMonthlyReturns[[#This Row],[SPY]:[PE]])</f>
        <v>-5.9598459823192104E-3</v>
      </c>
      <c r="MZ96" s="27">
        <f>IF(ISNUMBER(MZ95),MZ95*(1+PortfolioFrontier[[#This Row],[P91 Return]]),1+PortfolioFrontier[[#This Row],[P91 Return]])</f>
        <v>1.7119707369897401</v>
      </c>
      <c r="NA96" s="27">
        <f>MAX(NA95,PortfolioFrontier[[#This Row],[P91 Growth]])</f>
        <v>1.7680436458517257</v>
      </c>
      <c r="NB96" s="27">
        <f>PortfolioFrontier[[#This Row],[P91 Growth]]/PortfolioFrontier[[#This Row],[P91 HWM]]-1</f>
        <v>-3.1714663262723541E-2</v>
      </c>
      <c r="NC96" s="28">
        <f>SUMPRODUCT(INDEX(PortfolioRef[[SPY]:[PE]],MATCH(NC$1,PortfolioRef[Reference '#]),0),AssetMonthlyReturns[[#This Row],[SPY]:[PE]])</f>
        <v>-3.4197262010272397E-3</v>
      </c>
      <c r="ND96" s="27">
        <f>IF(ISNUMBER(ND95),ND95*(1+PortfolioFrontier[[#This Row],[P92 Return]]),1+PortfolioFrontier[[#This Row],[P92 Return]])</f>
        <v>1.7091144201682571</v>
      </c>
      <c r="NE96" s="27">
        <f>MAX(NE95,PortfolioFrontier[[#This Row],[P92 Growth]])</f>
        <v>1.73599424265744</v>
      </c>
      <c r="NF96" s="27">
        <f>PortfolioFrontier[[#This Row],[P92 Growth]]/PortfolioFrontier[[#This Row],[P92 HWM]]-1</f>
        <v>-1.5483820066151566E-2</v>
      </c>
      <c r="NG96" s="28">
        <f>SUMPRODUCT(INDEX(PortfolioRef[[SPY]:[PE]],MATCH(NG$1,PortfolioRef[Reference '#]),0),AssetMonthlyReturns[[#This Row],[SPY]:[PE]])</f>
        <v>-8.7960641973526803E-4</v>
      </c>
      <c r="NH96" s="27">
        <f>IF(ISNUMBER(NH95),NH95*(1+PortfolioFrontier[[#This Row],[P93 Return]]),1+PortfolioFrontier[[#This Row],[P93 Return]])</f>
        <v>1.7049538396840385</v>
      </c>
      <c r="NI96" s="27">
        <f>MAX(NI95,PortfolioFrontier[[#This Row],[P93 Growth]])</f>
        <v>1.7064548483236124</v>
      </c>
      <c r="NJ96" s="27">
        <f>PortfolioFrontier[[#This Row],[P93 Growth]]/PortfolioFrontier[[#This Row],[P93 HWM]]-1</f>
        <v>-8.7960641973527931E-4</v>
      </c>
      <c r="NK96" s="28">
        <f>SUMPRODUCT(INDEX(PortfolioRef[[SPY]:[PE]],MATCH(NK$1,PortfolioRef[Reference '#]),0),AssetMonthlyReturns[[#This Row],[SPY]:[PE]])</f>
        <v>-7.1924364499925571E-3</v>
      </c>
      <c r="NL96" s="27">
        <f>IF(ISNUMBER(NL95),NL95*(1+PortfolioFrontier[[#This Row],[P94 Return]]),1+PortfolioFrontier[[#This Row],[P94 Return]])</f>
        <v>1.7006848876737373</v>
      </c>
      <c r="NM96" s="27">
        <f>MAX(NM95,PortfolioFrontier[[#This Row],[P94 Growth]])</f>
        <v>1.7868313973018393</v>
      </c>
      <c r="NN96" s="27">
        <f>PortfolioFrontier[[#This Row],[P94 Growth]]/PortfolioFrontier[[#This Row],[P94 HWM]]-1</f>
        <v>-4.8211884880792533E-2</v>
      </c>
      <c r="NO96" s="28">
        <f>SUMPRODUCT(INDEX(PortfolioRef[[SPY]:[PE]],MATCH(NO$1,PortfolioRef[Reference '#]),0),AssetMonthlyReturns[[#This Row],[SPY]:[PE]])</f>
        <v>-4.6523166687005837E-3</v>
      </c>
      <c r="NP96" s="27">
        <f>IF(ISNUMBER(NP95),NP95*(1+PortfolioFrontier[[#This Row],[P95 Return]]),1+PortfolioFrontier[[#This Row],[P95 Return]])</f>
        <v>1.6988428993395357</v>
      </c>
      <c r="NQ96" s="27">
        <f>MAX(NQ95,PortfolioFrontier[[#This Row],[P95 Growth]])</f>
        <v>1.7550294195356591</v>
      </c>
      <c r="NR96" s="27">
        <f>PortfolioFrontier[[#This Row],[P95 Growth]]/PortfolioFrontier[[#This Row],[P95 HWM]]-1</f>
        <v>-3.2014574553963393E-2</v>
      </c>
      <c r="NS96" s="28">
        <f>SUMPRODUCT(INDEX(PortfolioRef[[SPY]:[PE]],MATCH(NS$1,PortfolioRef[Reference '#]),0),AssetMonthlyReturns[[#This Row],[SPY]:[PE]])</f>
        <v>-2.112196887408613E-3</v>
      </c>
      <c r="NT96" s="27">
        <f>IF(ISNUMBER(NT95),NT95*(1+PortfolioFrontier[[#This Row],[P96 Return]]),1+PortfolioFrontier[[#This Row],[P96 Return]])</f>
        <v>1.6956962382126699</v>
      </c>
      <c r="NU96" s="27">
        <f>MAX(NU95,PortfolioFrontier[[#This Row],[P96 Growth]])</f>
        <v>1.7230343324336159</v>
      </c>
      <c r="NV96" s="27">
        <f>PortfolioFrontier[[#This Row],[P96 Growth]]/PortfolioFrontier[[#This Row],[P96 HWM]]-1</f>
        <v>-1.5866250431779694E-2</v>
      </c>
      <c r="NW96" s="28">
        <f>SUMPRODUCT(INDEX(PortfolioRef[[SPY]:[PE]],MATCH(NW$1,PortfolioRef[Reference '#]),0),AssetMonthlyReturns[[#This Row],[SPY]:[PE]])</f>
        <v>2.790311144074764E-3</v>
      </c>
      <c r="NX96" s="27">
        <f>IF(ISNUMBER(NX95),NX95*(1+PortfolioFrontier[[#This Row],[P97 Return]]),1+PortfolioFrontier[[#This Row],[P97 Return]])</f>
        <v>1.517836973033601</v>
      </c>
      <c r="NY96" s="27">
        <f>MAX(NY95,PortfolioFrontier[[#This Row],[P97 Growth]])</f>
        <v>1.5498139523617234</v>
      </c>
      <c r="NZ96" s="27">
        <f>PortfolioFrontier[[#This Row],[P97 Growth]]/PortfolioFrontier[[#This Row],[P97 HWM]]-1</f>
        <v>-2.0632785812383148E-2</v>
      </c>
      <c r="OA96" s="28">
        <f>SUMPRODUCT(INDEX(PortfolioRef[[SPY]:[PE]],MATCH(OA$1,PortfolioRef[Reference '#]),0),AssetMonthlyReturns[[#This Row],[SPY]:[PE]])</f>
        <v>1.8680652327532246E-3</v>
      </c>
      <c r="OB96" s="27">
        <f>IF(ISNUMBER(OB95),OB95*(1+PortfolioFrontier[[#This Row],[P98 Return]]),1+PortfolioFrontier[[#This Row],[P98 Return]])</f>
        <v>1.5469777092077954</v>
      </c>
      <c r="OC96" s="27">
        <f>MAX(OC95,PortfolioFrontier[[#This Row],[P98 Growth]])</f>
        <v>1.5643918723292729</v>
      </c>
      <c r="OD96" s="27">
        <f>PortfolioFrontier[[#This Row],[P98 Growth]]/PortfolioFrontier[[#This Row],[P98 HWM]]-1</f>
        <v>-1.113158629208999E-2</v>
      </c>
      <c r="OE96" s="28">
        <f>SUMPRODUCT(INDEX(PortfolioRef[[SPY]:[PE]],MATCH(OE$1,PortfolioRef[Reference '#]),0),AssetMonthlyReturns[[#This Row],[SPY]:[PE]])</f>
        <v>6.3547476507988011E-4</v>
      </c>
      <c r="OF96" s="27">
        <f>IF(ISNUMBER(OF95),OF95*(1+PortfolioFrontier[[#This Row],[P99 Return]]),1+PortfolioFrontier[[#This Row],[P99 Return]])</f>
        <v>1.5406572592681969</v>
      </c>
      <c r="OG96" s="27">
        <f>MAX(OG95,PortfolioFrontier[[#This Row],[P99 Growth]])</f>
        <v>1.5836627563813395</v>
      </c>
      <c r="OH96" s="27">
        <f>PortfolioFrontier[[#This Row],[P99 Growth]]/PortfolioFrontier[[#This Row],[P99 HWM]]-1</f>
        <v>-2.7155716670012486E-2</v>
      </c>
      <c r="OI96" s="28">
        <f>SUMPRODUCT(INDEX(PortfolioRef[[SPY]:[PE]],MATCH(OI$1,PortfolioRef[Reference '#]),0),AssetMonthlyReturns[[#This Row],[SPY]:[PE]])</f>
        <v>3.1755945463718513E-3</v>
      </c>
      <c r="OJ96" s="27">
        <f>IF(ISNUMBER(OJ95),OJ95*(1+PortfolioFrontier[[#This Row],[P100 Return]]),1+PortfolioFrontier[[#This Row],[P100 Return]])</f>
        <v>1.534760829870047</v>
      </c>
      <c r="OK96" s="27">
        <f>MAX(OK95,PortfolioFrontier[[#This Row],[P100 Growth]])</f>
        <v>1.5528062347399851</v>
      </c>
      <c r="OL96" s="27">
        <f>PortfolioFrontier[[#This Row],[P100 Growth]]/PortfolioFrontier[[#This Row],[P100 HWM]]-1</f>
        <v>-1.1621156887587913E-2</v>
      </c>
      <c r="OM96" s="28">
        <f>SUMPRODUCT(INDEX(PortfolioRef[[SPY]:[PE]],MATCH(OM$1,PortfolioRef[Reference '#]),0),AssetMonthlyReturns[[#This Row],[SPY]:[PE]])</f>
        <v>9.4581932143168474E-4</v>
      </c>
      <c r="ON96" s="27">
        <f>IF(ISNUMBER(ON95),ON95*(1+PortfolioFrontier[[#This Row],[P101 Return]]),1+PortfolioFrontier[[#This Row],[P101 Return]])</f>
        <v>1.5762467888312321</v>
      </c>
      <c r="OO96" s="27">
        <f>MAX(OO95,PortfolioFrontier[[#This Row],[P101 Growth]])</f>
        <v>1.5787921813488919</v>
      </c>
      <c r="OP96" s="27">
        <f>PortfolioFrontier[[#This Row],[P101 Growth]]/PortfolioFrontier[[#This Row],[P101 HWM]]-1</f>
        <v>-1.6122403871324797E-3</v>
      </c>
      <c r="OQ96" s="28">
        <f>SUMPRODUCT(INDEX(PortfolioRef[[SPY]:[PE]],MATCH(OQ$1,PortfolioRef[Reference '#]),0),AssetMonthlyReturns[[#This Row],[SPY]:[PE]])</f>
        <v>-2.8677114624165844E-4</v>
      </c>
      <c r="OR96" s="27">
        <f>IF(ISNUMBER(OR95),OR95*(1+PortfolioFrontier[[#This Row],[P102 Return]]),1+PortfolioFrontier[[#This Row],[P102 Return]])</f>
        <v>1.5702132521116199</v>
      </c>
      <c r="OS96" s="27">
        <f>MAX(OS95,PortfolioFrontier[[#This Row],[P102 Growth]])</f>
        <v>1.5985203886251573</v>
      </c>
      <c r="OT96" s="27">
        <f>PortfolioFrontier[[#This Row],[P102 Growth]]/PortfolioFrontier[[#This Row],[P102 HWM]]-1</f>
        <v>-1.7708336230783828E-2</v>
      </c>
      <c r="OU96" s="28">
        <f>SUMPRODUCT(INDEX(PortfolioRef[[SPY]:[PE]],MATCH(OU$1,PortfolioRef[Reference '#]),0),AssetMonthlyReturns[[#This Row],[SPY]:[PE]])</f>
        <v>2.2533486350503128E-3</v>
      </c>
      <c r="OV96" s="27">
        <f>IF(ISNUMBER(OV95),OV95*(1+PortfolioFrontier[[#This Row],[P103 Return]]),1+PortfolioFrontier[[#This Row],[P103 Return]])</f>
        <v>1.5642243555269026</v>
      </c>
      <c r="OW96" s="27">
        <f>MAX(OW95,PortfolioFrontier[[#This Row],[P103 Growth]])</f>
        <v>1.5674355228105428</v>
      </c>
      <c r="OX96" s="27">
        <f>PortfolioFrontier[[#This Row],[P103 Growth]]/PortfolioFrontier[[#This Row],[P103 HWM]]-1</f>
        <v>-2.0486758382777248E-3</v>
      </c>
      <c r="OY96" s="28">
        <f>SUMPRODUCT(INDEX(PortfolioRef[[SPY]:[PE]],MATCH(OY$1,PortfolioRef[Reference '#]),0),AssetMonthlyReturns[[#This Row],[SPY]:[PE]])</f>
        <v>-1.5193616139150042E-3</v>
      </c>
      <c r="OZ96" s="27">
        <f>IF(ISNUMBER(OZ95),OZ95*(1+PortfolioFrontier[[#This Row],[P104 Return]]),1+PortfolioFrontier[[#This Row],[P104 Return]])</f>
        <v>1.5629677725936082</v>
      </c>
      <c r="PA96" s="27">
        <f>MAX(PA95,PortfolioFrontier[[#This Row],[P104 Growth]])</f>
        <v>1.6176462594840681</v>
      </c>
      <c r="PB96" s="27">
        <f>PortfolioFrontier[[#This Row],[P104 Growth]]/PortfolioFrontier[[#This Row],[P104 HWM]]-1</f>
        <v>-3.3801263143834137E-2</v>
      </c>
      <c r="PC96" s="28">
        <f>SUMPRODUCT(INDEX(PortfolioRef[[SPY]:[PE]],MATCH(PC$1,PortfolioRef[Reference '#]),0),AssetMonthlyReturns[[#This Row],[SPY]:[PE]])</f>
        <v>1.0207581673769683E-3</v>
      </c>
      <c r="PD96" s="27">
        <f>IF(ISNUMBER(PD95),PD95*(1+PortfolioFrontier[[#This Row],[P105 Return]]),1+PortfolioFrontier[[#This Row],[P105 Return]])</f>
        <v>1.5579058849584102</v>
      </c>
      <c r="PE96" s="27">
        <f>MAX(PE95,PortfolioFrontier[[#This Row],[P105 Growth]])</f>
        <v>1.5867085542337835</v>
      </c>
      <c r="PF96" s="27">
        <f>PortfolioFrontier[[#This Row],[P105 Growth]]/PortfolioFrontier[[#This Row],[P105 HWM]]-1</f>
        <v>-1.8152463600526803E-2</v>
      </c>
      <c r="PG96" s="28">
        <f>SUMPRODUCT(INDEX(PortfolioRef[[SPY]:[PE]],MATCH(PG$1,PortfolioRef[Reference '#]),0),AssetMonthlyReturns[[#This Row],[SPY]:[PE]])</f>
        <v>3.5608779486689395E-3</v>
      </c>
      <c r="PH96" s="27">
        <f>IF(ISNUMBER(PH95),PH95*(1+PortfolioFrontier[[#This Row],[P106 Return]]),1+PortfolioFrontier[[#This Row],[P106 Return]])</f>
        <v>1.5516771513700773</v>
      </c>
      <c r="PI96" s="27">
        <f>MAX(PI95,PortfolioFrontier[[#This Row],[P106 Growth]])</f>
        <v>1.5556887430167754</v>
      </c>
      <c r="PJ96" s="27">
        <f>PortfolioFrontier[[#This Row],[P106 Growth]]/PortfolioFrontier[[#This Row],[P106 HWM]]-1</f>
        <v>-2.5786595581573923E-3</v>
      </c>
      <c r="PK96" s="28">
        <f>SUMPRODUCT(INDEX(PortfolioRef[[SPY]:[PE]],MATCH(PK$1,PortfolioRef[Reference '#]),0),AssetMonthlyReturns[[#This Row],[SPY]:[PE]])</f>
        <v>-1.2090170575631992E-3</v>
      </c>
      <c r="PL96" s="27">
        <f>IF(ISNUMBER(PL95),PL95*(1+PortfolioFrontier[[#This Row],[P107 Return]]),1+PortfolioFrontier[[#This Row],[P107 Return]])</f>
        <v>1.5998991600692574</v>
      </c>
      <c r="PM96" s="27">
        <f>MAX(PM95,PortfolioFrontier[[#This Row],[P107 Growth]])</f>
        <v>1.6131964012798079</v>
      </c>
      <c r="PN96" s="27">
        <f>PortfolioFrontier[[#This Row],[P107 Growth]]/PortfolioFrontier[[#This Row],[P107 HWM]]-1</f>
        <v>-8.2427912683176174E-3</v>
      </c>
      <c r="PO96" s="28">
        <f>SUMPRODUCT(INDEX(PortfolioRef[[SPY]:[PE]],MATCH(PO$1,PortfolioRef[Reference '#]),0),AssetMonthlyReturns[[#This Row],[SPY]:[PE]])</f>
        <v>1.331102723728772E-3</v>
      </c>
      <c r="PP96" s="27">
        <f>IF(ISNUMBER(PP95),PP95*(1+PortfolioFrontier[[#This Row],[P108 Return]]),1+PortfolioFrontier[[#This Row],[P108 Return]])</f>
        <v>1.5938178602344728</v>
      </c>
      <c r="PQ96" s="27">
        <f>MAX(PQ95,PortfolioFrontier[[#This Row],[P108 Growth]])</f>
        <v>1.5938178602344728</v>
      </c>
      <c r="PR96" s="27">
        <f>PortfolioFrontier[[#This Row],[P108 Growth]]/PortfolioFrontier[[#This Row],[P108 HWM]]-1</f>
        <v>0</v>
      </c>
      <c r="PS96" s="28">
        <f>SUMPRODUCT(INDEX(PortfolioRef[[SPY]:[PE]],MATCH(PS$1,PortfolioRef[Reference '#]),0),AssetMonthlyReturns[[#This Row],[SPY]:[PE]])</f>
        <v>-2.4416075252365445E-3</v>
      </c>
      <c r="PT96" s="27">
        <f>IF(ISNUMBER(PT95),PT95*(1+PortfolioFrontier[[#This Row],[P109 Return]]),1+PortfolioFrontier[[#This Row],[P109 Return]])</f>
        <v>1.5929289863425997</v>
      </c>
      <c r="PU96" s="27">
        <f>MAX(PU95,PortfolioFrontier[[#This Row],[P109 Growth]])</f>
        <v>1.6327835279326679</v>
      </c>
      <c r="PV96" s="27">
        <f>PortfolioFrontier[[#This Row],[P109 Growth]]/PortfolioFrontier[[#This Row],[P109 HWM]]-1</f>
        <v>-2.4408956183266772E-2</v>
      </c>
      <c r="PW96" s="28">
        <f>SUMPRODUCT(INDEX(PortfolioRef[[SPY]:[PE]],MATCH(PW$1,PortfolioRef[Reference '#]),0),AssetMonthlyReturns[[#This Row],[SPY]:[PE]])</f>
        <v>9.8512256055427981E-5</v>
      </c>
      <c r="PX96" s="27">
        <f>IF(ISNUMBER(PX95),PX95*(1+PortfolioFrontier[[#This Row],[P110 Return]]),1+PortfolioFrontier[[#This Row],[P110 Return]])</f>
        <v>1.5877906013512002</v>
      </c>
      <c r="PY96" s="27">
        <f>MAX(PY95,PortfolioFrontier[[#This Row],[P110 Growth]])</f>
        <v>1.6016185143364081</v>
      </c>
      <c r="PZ96" s="27">
        <f>PortfolioFrontier[[#This Row],[P110 Growth]]/PortfolioFrontier[[#This Row],[P110 HWM]]-1</f>
        <v>-8.6337119991005684E-3</v>
      </c>
      <c r="QA96" s="28">
        <f>SUMPRODUCT(INDEX(PortfolioRef[[SPY]:[PE]],MATCH(QA$1,PortfolioRef[Reference '#]),0),AssetMonthlyReturns[[#This Row],[SPY]:[PE]])</f>
        <v>2.6386320373473992E-3</v>
      </c>
      <c r="QB96" s="27">
        <f>IF(ISNUMBER(QB95),QB95*(1+PortfolioFrontier[[#This Row],[P111 Return]]),1+PortfolioFrontier[[#This Row],[P111 Return]])</f>
        <v>1.5814633878572337</v>
      </c>
      <c r="QC96" s="27">
        <f>MAX(QC95,PortfolioFrontier[[#This Row],[P111 Growth]])</f>
        <v>1.5814633878572337</v>
      </c>
      <c r="QD96" s="27">
        <f>PortfolioFrontier[[#This Row],[P111 Growth]]/PortfolioFrontier[[#This Row],[P111 HWM]]-1</f>
        <v>0</v>
      </c>
      <c r="QE96" s="28">
        <f>SUMPRODUCT(INDEX(PortfolioRef[[SPY]:[PE]],MATCH(QE$1,PortfolioRef[Reference '#]),0),AssetMonthlyReturns[[#This Row],[SPY]:[PE]])</f>
        <v>-3.6741979929098886E-3</v>
      </c>
      <c r="QF96" s="27">
        <f>IF(ISNUMBER(QF95),QF95*(1+PortfolioFrontier[[#This Row],[P112 Return]]),1+PortfolioFrontier[[#This Row],[P112 Return]])</f>
        <v>1.5847335906264661</v>
      </c>
      <c r="QG96" s="27">
        <f>MAX(QG95,PortfolioFrontier[[#This Row],[P112 Growth]])</f>
        <v>1.6517386955477045</v>
      </c>
      <c r="QH96" s="27">
        <f>PortfolioFrontier[[#This Row],[P112 Growth]]/PortfolioFrontier[[#This Row],[P112 HWM]]-1</f>
        <v>-4.0566407448013431E-2</v>
      </c>
      <c r="QI96" s="28">
        <f>SUMPRODUCT(INDEX(PortfolioRef[[SPY]:[PE]],MATCH(QI$1,PortfolioRef[Reference '#]),0),AssetMonthlyReturns[[#This Row],[SPY]:[PE]])</f>
        <v>-1.1340782116179169E-3</v>
      </c>
      <c r="QJ96" s="27">
        <f>IF(ISNUMBER(QJ95),QJ95*(1+PortfolioFrontier[[#This Row],[P113 Return]]),1+PortfolioFrontier[[#This Row],[P113 Return]])</f>
        <v>1.5805376793327031</v>
      </c>
      <c r="QK96" s="27">
        <f>MAX(QK95,PortfolioFrontier[[#This Row],[P113 Growth]])</f>
        <v>1.6207454292109018</v>
      </c>
      <c r="QL96" s="27">
        <f>PortfolioFrontier[[#This Row],[P113 Growth]]/PortfolioFrontier[[#This Row],[P113 HWM]]-1</f>
        <v>-2.4808183415809371E-2</v>
      </c>
      <c r="QM96" s="28">
        <f>SUMPRODUCT(INDEX(PortfolioRef[[SPY]:[PE]],MATCH(QM$1,PortfolioRef[Reference '#]),0),AssetMonthlyReturns[[#This Row],[SPY]:[PE]])</f>
        <v>1.4060415696740556E-3</v>
      </c>
      <c r="QN96" s="27">
        <f>IF(ISNUMBER(QN95),QN95*(1+PortfolioFrontier[[#This Row],[P114 Return]]),1+PortfolioFrontier[[#This Row],[P114 Return]])</f>
        <v>1.5751484453459494</v>
      </c>
      <c r="QO96" s="27">
        <f>MAX(QO95,PortfolioFrontier[[#This Row],[P114 Growth]])</f>
        <v>1.5896421022161857</v>
      </c>
      <c r="QP96" s="27">
        <f>PortfolioFrontier[[#This Row],[P114 Growth]]/PortfolioFrontier[[#This Row],[P114 HWM]]-1</f>
        <v>-9.1175597639431283E-3</v>
      </c>
      <c r="QQ96" s="28">
        <f>SUMPRODUCT(INDEX(PortfolioRef[[SPY]:[PE]],MATCH(QQ$1,PortfolioRef[Reference '#]),0),AssetMonthlyReturns[[#This Row],[SPY]:[PE]])</f>
        <v>-3.3638534365580848E-3</v>
      </c>
      <c r="QR96" s="27">
        <f>IF(ISNUMBER(QR95),QR95*(1+PortfolioFrontier[[#This Row],[P115 Return]]),1+PortfolioFrontier[[#This Row],[P115 Return]])</f>
        <v>1.6230216393464454</v>
      </c>
      <c r="QS96" s="27">
        <f>MAX(QS95,PortfolioFrontier[[#This Row],[P115 Growth]])</f>
        <v>1.6477351477866757</v>
      </c>
      <c r="QT96" s="27">
        <f>PortfolioFrontier[[#This Row],[P115 Growth]]/PortfolioFrontier[[#This Row],[P115 HWM]]-1</f>
        <v>-1.499847137049104E-2</v>
      </c>
      <c r="QU96" s="28">
        <f>SUMPRODUCT(INDEX(PortfolioRef[[SPY]:[PE]],MATCH(QU$1,PortfolioRef[Reference '#]),0),AssetMonthlyReturns[[#This Row],[SPY]:[PE]])</f>
        <v>-8.2373365526611187E-4</v>
      </c>
      <c r="QV96" s="27">
        <f>IF(ISNUMBER(QV95),QV95*(1+PortfolioFrontier[[#This Row],[P116 Return]]),1+PortfolioFrontier[[#This Row],[P116 Return]])</f>
        <v>1.6178068951360958</v>
      </c>
      <c r="QW96" s="27">
        <f>MAX(QW95,PortfolioFrontier[[#This Row],[P116 Growth]])</f>
        <v>1.6191406357703888</v>
      </c>
      <c r="QX96" s="27">
        <f>PortfolioFrontier[[#This Row],[P116 Growth]]/PortfolioFrontier[[#This Row],[P116 HWM]]-1</f>
        <v>-8.2373365526611231E-4</v>
      </c>
      <c r="QY96" s="28">
        <f>SUMPRODUCT(INDEX(PortfolioRef[[SPY]:[PE]],MATCH(QY$1,PortfolioRef[Reference '#]),0),AssetMonthlyReturns[[#This Row],[SPY]:[PE]])</f>
        <v>1.7163861260258593E-3</v>
      </c>
      <c r="QZ96" s="27">
        <f>IF(ISNUMBER(QZ95),QZ95*(1+PortfolioFrontier[[#This Row],[P117 Return]]),1+PortfolioFrontier[[#This Row],[P117 Return]])</f>
        <v>1.6113812438369763</v>
      </c>
      <c r="RA96" s="27">
        <f>MAX(RA95,PortfolioFrontier[[#This Row],[P117 Growth]])</f>
        <v>1.6113812438369763</v>
      </c>
      <c r="RB96" s="27">
        <f>PortfolioFrontier[[#This Row],[P117 Growth]]/PortfolioFrontier[[#This Row],[P117 HWM]]-1</f>
        <v>0</v>
      </c>
      <c r="RC96" s="28">
        <f>SUMPRODUCT(INDEX(PortfolioRef[[SPY]:[PE]],MATCH(RC$1,PortfolioRef[Reference '#]),0),AssetMonthlyReturns[[#This Row],[SPY]:[PE]])</f>
        <v>-4.596443904231428E-3</v>
      </c>
      <c r="RD96" s="27">
        <f>IF(ISNUMBER(RD95),RD95*(1+PortfolioFrontier[[#This Row],[P118 Return]]),1+PortfolioFrontier[[#This Row],[P118 Return]])</f>
        <v>1.6150893608407375</v>
      </c>
      <c r="RE96" s="27">
        <f>MAX(RE95,PortfolioFrontier[[#This Row],[P118 Growth]])</f>
        <v>1.667155293527623</v>
      </c>
      <c r="RF96" s="27">
        <f>PortfolioFrontier[[#This Row],[P118 Growth]]/PortfolioFrontier[[#This Row],[P118 HWM]]-1</f>
        <v>-3.1230403603683787E-2</v>
      </c>
      <c r="RG96" s="28">
        <f>SUMPRODUCT(INDEX(PortfolioRef[[SPY]:[PE]],MATCH(RG$1,PortfolioRef[Reference '#]),0),AssetMonthlyReturns[[#This Row],[SPY]:[PE]])</f>
        <v>-2.0563241229394564E-3</v>
      </c>
      <c r="RH96" s="27">
        <f>IF(ISNUMBER(RH95),RH95*(1+PortfolioFrontier[[#This Row],[P119 Return]]),1+PortfolioFrontier[[#This Row],[P119 Return]])</f>
        <v>1.610833479609292</v>
      </c>
      <c r="RI96" s="27">
        <f>MAX(RI95,PortfolioFrontier[[#This Row],[P119 Growth]])</f>
        <v>1.6359359857167841</v>
      </c>
      <c r="RJ96" s="27">
        <f>PortfolioFrontier[[#This Row],[P119 Growth]]/PortfolioFrontier[[#This Row],[P119 HWM]]-1</f>
        <v>-1.534443054414103E-2</v>
      </c>
      <c r="RK96" s="28">
        <f>SUMPRODUCT(INDEX(PortfolioRef[[SPY]:[PE]],MATCH(RK$1,PortfolioRef[Reference '#]),0),AssetMonthlyReturns[[#This Row],[SPY]:[PE]])</f>
        <v>4.8379565835251614E-4</v>
      </c>
      <c r="RL96" s="27">
        <f>IF(ISNUMBER(RL95),RL95*(1+PortfolioFrontier[[#This Row],[P120 Return]]),1+PortfolioFrontier[[#This Row],[P120 Return]])</f>
        <v>1.6053618354897883</v>
      </c>
      <c r="RM96" s="27">
        <f>MAX(RM95,PortfolioFrontier[[#This Row],[P120 Growth]])</f>
        <v>1.6053618354897883</v>
      </c>
      <c r="RN96" s="27">
        <f>PortfolioFrontier[[#This Row],[P120 Growth]]/PortfolioFrontier[[#This Row],[P120 HWM]]-1</f>
        <v>0</v>
      </c>
      <c r="RO96" s="28">
        <f>SUMPRODUCT(INDEX(PortfolioRef[[SPY]:[PE]],MATCH(RO$1,PortfolioRef[Reference '#]),0),AssetMonthlyReturns[[#This Row],[SPY]:[PE]])</f>
        <v>-5.829034371904772E-3</v>
      </c>
      <c r="RP96" s="27">
        <f>IF(ISNUMBER(RP95),RP95*(1+PortfolioFrontier[[#This Row],[P121 Return]]),1+PortfolioFrontier[[#This Row],[P121 Return]])</f>
        <v>1.6059198898813625</v>
      </c>
      <c r="RQ96" s="27">
        <f>MAX(RQ95,PortfolioFrontier[[#This Row],[P121 Growth]])</f>
        <v>1.6859132740659151</v>
      </c>
      <c r="RR96" s="27">
        <f>PortfolioFrontier[[#This Row],[P121 Growth]]/PortfolioFrontier[[#This Row],[P121 HWM]]-1</f>
        <v>-4.7448101521635588E-2</v>
      </c>
      <c r="RS96" s="28">
        <f>SUMPRODUCT(INDEX(PortfolioRef[[SPY]:[PE]],MATCH(RS$1,PortfolioRef[Reference '#]),0),AssetMonthlyReturns[[#This Row],[SPY]:[PE]])</f>
        <v>-3.2889145906128013E-3</v>
      </c>
      <c r="RT96" s="27">
        <f>IF(ISNUMBER(RT95),RT95*(1+PortfolioFrontier[[#This Row],[P122 Return]]),1+PortfolioFrontier[[#This Row],[P122 Return]])</f>
        <v>1.6026208459238351</v>
      </c>
      <c r="RU96" s="27">
        <f>MAX(RU95,PortfolioFrontier[[#This Row],[P122 Growth]])</f>
        <v>1.6548910536150563</v>
      </c>
      <c r="RV96" s="27">
        <f>PortfolioFrontier[[#This Row],[P122 Growth]]/PortfolioFrontier[[#This Row],[P122 HWM]]-1</f>
        <v>-3.1585286280349734E-2</v>
      </c>
      <c r="RW96" s="28">
        <f>SUMPRODUCT(INDEX(PortfolioRef[[SPY]:[PE]],MATCH(RW$1,PortfolioRef[Reference '#]),0),AssetMonthlyReturns[[#This Row],[SPY]:[PE]])</f>
        <v>-7.4879480932082965E-4</v>
      </c>
      <c r="RX96" s="27">
        <f>IF(ISNUMBER(RX95),RX95*(1+PortfolioFrontier[[#This Row],[P123 Return]]),1+PortfolioFrontier[[#This Row],[P123 Return]])</f>
        <v>1.5981030402588894</v>
      </c>
      <c r="RY96" s="27">
        <f>MAX(RY95,PortfolioFrontier[[#This Row],[P123 Growth]])</f>
        <v>1.6237298558231279</v>
      </c>
      <c r="RZ96" s="27">
        <f>PortfolioFrontier[[#This Row],[P123 Growth]]/PortfolioFrontier[[#This Row],[P123 HWM]]-1</f>
        <v>-1.5782684214577847E-2</v>
      </c>
      <c r="SA96" s="28">
        <f>SUMPRODUCT(INDEX(PortfolioRef[[SPY]:[PE]],MATCH(SA$1,PortfolioRef[Reference '#]),0),AssetMonthlyReturns[[#This Row],[SPY]:[PE]])</f>
        <v>-5.5186898155529691E-3</v>
      </c>
      <c r="SB96" s="27">
        <f>IF(ISNUMBER(SB95),SB95*(1+PortfolioFrontier[[#This Row],[P124 Return]]),1+PortfolioFrontier[[#This Row],[P124 Return]])</f>
        <v>1.6455780446335428</v>
      </c>
      <c r="SC96" s="27">
        <f>MAX(SC95,PortfolioFrontier[[#This Row],[P124 Growth]])</f>
        <v>1.6823821965094672</v>
      </c>
      <c r="SD96" s="27">
        <f>PortfolioFrontier[[#This Row],[P124 Growth]]/PortfolioFrontier[[#This Row],[P124 HWM]]-1</f>
        <v>-2.1876213355255358E-2</v>
      </c>
      <c r="SE96" s="28">
        <f>SUMPRODUCT(INDEX(PortfolioRef[[SPY]:[PE]],MATCH(SE$1,PortfolioRef[Reference '#]),0),AssetMonthlyReturns[[#This Row],[SPY]:[PE]])</f>
        <v>-2.9785700342609966E-3</v>
      </c>
      <c r="SF96" s="27">
        <f>IF(ISNUMBER(SF95),SF95*(1+PortfolioFrontier[[#This Row],[P125 Return]]),1+PortfolioFrontier[[#This Row],[P125 Return]])</f>
        <v>1.6412624076608007</v>
      </c>
      <c r="SG96" s="27">
        <f>MAX(SG95,PortfolioFrontier[[#This Row],[P125 Growth]])</f>
        <v>1.6509411354388694</v>
      </c>
      <c r="SH96" s="27">
        <f>PortfolioFrontier[[#This Row],[P125 Growth]]/PortfolioFrontier[[#This Row],[P125 HWM]]-1</f>
        <v>-5.8625517108433778E-3</v>
      </c>
      <c r="SI96" s="28">
        <f>SUMPRODUCT(INDEX(PortfolioRef[[SPY]:[PE]],MATCH(SI$1,PortfolioRef[Reference '#]),0),AssetMonthlyReturns[[#This Row],[SPY]:[PE]])</f>
        <v>-4.3845025296902458E-4</v>
      </c>
      <c r="SJ96" s="27">
        <f>IF(ISNUMBER(SJ95),SJ95*(1+PortfolioFrontier[[#This Row],[P126 Return]]),1+PortfolioFrontier[[#This Row],[P126 Return]])</f>
        <v>1.6357084703747522</v>
      </c>
      <c r="SK96" s="27">
        <f>MAX(SK95,PortfolioFrontier[[#This Row],[P126 Growth]])</f>
        <v>1.6364259617516475</v>
      </c>
      <c r="SL96" s="27">
        <f>PortfolioFrontier[[#This Row],[P126 Growth]]/PortfolioFrontier[[#This Row],[P126 HWM]]-1</f>
        <v>-4.3845025296906925E-4</v>
      </c>
      <c r="SM96" s="28">
        <f>SUMPRODUCT(INDEX(PortfolioRef[[SPY]:[PE]],MATCH(SM$1,PortfolioRef[Reference '#]),0),AssetMonthlyReturns[[#This Row],[SPY]:[PE]])</f>
        <v>-6.7512802832263123E-3</v>
      </c>
      <c r="SN96" s="27">
        <f>IF(ISNUMBER(SN95),SN95*(1+PortfolioFrontier[[#This Row],[P127 Return]]),1+PortfolioFrontier[[#This Row],[P127 Return]])</f>
        <v>1.6366589267176739</v>
      </c>
      <c r="SO96" s="27">
        <f>MAX(SO95,PortfolioFrontier[[#This Row],[P127 Growth]])</f>
        <v>1.7016086575400751</v>
      </c>
      <c r="SP96" s="27">
        <f>PortfolioFrontier[[#This Row],[P127 Growth]]/PortfolioFrontier[[#This Row],[P127 HWM]]-1</f>
        <v>-3.8169605293555287E-2</v>
      </c>
      <c r="SQ96" s="28">
        <f>SUMPRODUCT(INDEX(PortfolioRef[[SPY]:[PE]],MATCH(SQ$1,PortfolioRef[Reference '#]),0),AssetMonthlyReturns[[#This Row],[SPY]:[PE]])</f>
        <v>-4.2111605019343416E-3</v>
      </c>
      <c r="SR96" s="27">
        <f>IF(ISNUMBER(SR95),SR95*(1+PortfolioFrontier[[#This Row],[P128 Return]]),1+PortfolioFrontier[[#This Row],[P128 Return]])</f>
        <v>1.6333169865283166</v>
      </c>
      <c r="SS96" s="27">
        <f>MAX(SS95,PortfolioFrontier[[#This Row],[P128 Growth]])</f>
        <v>1.6703618996398835</v>
      </c>
      <c r="ST96" s="27">
        <f>PortfolioFrontier[[#This Row],[P128 Growth]]/PortfolioFrontier[[#This Row],[P128 HWM]]-1</f>
        <v>-2.2177776636041258E-2</v>
      </c>
      <c r="SU96" s="28">
        <f>SUMPRODUCT(INDEX(PortfolioRef[[SPY]:[PE]],MATCH(SU$1,PortfolioRef[Reference '#]),0),AssetMonthlyReturns[[#This Row],[SPY]:[PE]])</f>
        <v>-1.6710407206423691E-3</v>
      </c>
      <c r="SV96" s="27">
        <f>IF(ISNUMBER(SV95),SV95*(1+PortfolioFrontier[[#This Row],[P129 Return]]),1+PortfolioFrontier[[#This Row],[P129 Return]])</f>
        <v>1.6287334070082455</v>
      </c>
      <c r="SW96" s="27">
        <f>MAX(SW95,PortfolioFrontier[[#This Row],[P129 Growth]])</f>
        <v>1.6389727481356613</v>
      </c>
      <c r="SX96" s="27">
        <f>PortfolioFrontier[[#This Row],[P129 Growth]]/PortfolioFrontier[[#This Row],[P129 HWM]]-1</f>
        <v>-6.2474138993848793E-3</v>
      </c>
      <c r="SY96" s="28">
        <f>SUMPRODUCT(INDEX(PortfolioRef[[SPY]:[PE]],MATCH(SY$1,PortfolioRef[Reference '#]),0),AssetMonthlyReturns[[#This Row],[SPY]:[PE]])</f>
        <v>-7.9838707508996572E-3</v>
      </c>
      <c r="SZ96" s="27">
        <f>IF(ISNUMBER(SZ95),SZ95*(1+PortfolioFrontier[[#This Row],[P130 Return]]),1+PortfolioFrontier[[#This Row],[P130 Return]])</f>
        <v>1.6264920160324179</v>
      </c>
      <c r="TA96" s="27">
        <f>MAX(TA95,PortfolioFrontier[[#This Row],[P130 Growth]])</f>
        <v>1.720142179322633</v>
      </c>
      <c r="TB96" s="27">
        <f>PortfolioFrontier[[#This Row],[P130 Growth]]/PortfolioFrontier[[#This Row],[P130 HWM]]-1</f>
        <v>-5.4443268943671352E-2</v>
      </c>
      <c r="TC96" s="28">
        <f>SUMPRODUCT(INDEX(PortfolioRef[[SPY]:[PE]],MATCH(TC$1,PortfolioRef[Reference '#]),0),AssetMonthlyReturns[[#This Row],[SPY]:[PE]])</f>
        <v>-5.4437509696076847E-3</v>
      </c>
      <c r="TD96" s="27">
        <f>IF(ISNUMBER(TD95),TD95*(1+PortfolioFrontier[[#This Row],[P131 Return]]),1+PortfolioFrontier[[#This Row],[P131 Return]])</f>
        <v>1.6241201120146582</v>
      </c>
      <c r="TE96" s="27">
        <f>MAX(TE95,PortfolioFrontier[[#This Row],[P131 Growth]])</f>
        <v>1.6891185966988822</v>
      </c>
      <c r="TF96" s="27">
        <f>PortfolioFrontier[[#This Row],[P131 Growth]]/PortfolioFrontier[[#This Row],[P131 HWM]]-1</f>
        <v>-3.8480711071000817E-2</v>
      </c>
      <c r="TG96" s="28">
        <f>SUMPRODUCT(INDEX(PortfolioRef[[SPY]:[PE]],MATCH(TG$1,PortfolioRef[Reference '#]),0),AssetMonthlyReturns[[#This Row],[SPY]:[PE]])</f>
        <v>-2.903631188315714E-3</v>
      </c>
      <c r="TH96" s="27">
        <f>IF(ISNUMBER(TH95),TH95*(1+PortfolioFrontier[[#This Row],[P132 Return]]),1+PortfolioFrontier[[#This Row],[P132 Return]])</f>
        <v>1.6205051231462935</v>
      </c>
      <c r="TI96" s="27">
        <f>MAX(TI95,PortfolioFrontier[[#This Row],[P132 Growth]])</f>
        <v>1.6579261593145806</v>
      </c>
      <c r="TJ96" s="27">
        <f>PortfolioFrontier[[#This Row],[P132 Growth]]/PortfolioFrontier[[#This Row],[P132 HWM]]-1</f>
        <v>-2.2570990847841976E-2</v>
      </c>
      <c r="TK96" s="28">
        <f>SUMPRODUCT(INDEX(PortfolioRef[[SPY]:[PE]],MATCH(TK$1,PortfolioRef[Reference '#]),0),AssetMonthlyReturns[[#This Row],[SPY]:[PE]])</f>
        <v>-7.6735261945478517E-3</v>
      </c>
      <c r="TL96" s="27">
        <f>IF(ISNUMBER(TL95),TL95*(1+PortfolioFrontier[[#This Row],[P133 Return]]),1+PortfolioFrontier[[#This Row],[P133 Return]])</f>
        <v>1.6675322993817139</v>
      </c>
      <c r="TM96" s="27">
        <f>MAX(TM95,PortfolioFrontier[[#This Row],[P133 Growth]])</f>
        <v>1.7171102853087914</v>
      </c>
      <c r="TN96" s="27">
        <f>PortfolioFrontier[[#This Row],[P133 Growth]]/PortfolioFrontier[[#This Row],[P133 HWM]]-1</f>
        <v>-2.8872918851663543E-2</v>
      </c>
      <c r="TO96" s="28">
        <f>SUMPRODUCT(INDEX(PortfolioRef[[SPY]:[PE]],MATCH(TO$1,PortfolioRef[Reference '#]),0),AssetMonthlyReturns[[#This Row],[SPY]:[PE]])</f>
        <v>-5.133406413255881E-3</v>
      </c>
      <c r="TP96" s="27">
        <f>IF(ISNUMBER(TP95),TP95*(1+PortfolioFrontier[[#This Row],[P134 Return]]),1+PortfolioFrontier[[#This Row],[P134 Return]])</f>
        <v>1.6641477550038193</v>
      </c>
      <c r="TQ96" s="27">
        <f>MAX(TQ95,PortfolioFrontier[[#This Row],[P134 Growth]])</f>
        <v>1.6856432974461595</v>
      </c>
      <c r="TR96" s="27">
        <f>PortfolioFrontier[[#This Row],[P134 Growth]]/PortfolioFrontier[[#This Row],[P134 HWM]]-1</f>
        <v>-1.2752129987944172E-2</v>
      </c>
      <c r="TS96" s="28">
        <f>SUMPRODUCT(INDEX(PortfolioRef[[SPY]:[PE]],MATCH(TS$1,PortfolioRef[Reference '#]),0),AssetMonthlyReturns[[#This Row],[SPY]:[PE]])</f>
        <v>-2.5932866319639102E-3</v>
      </c>
      <c r="TT96" s="27">
        <f>IF(ISNUMBER(TT95),TT95*(1+PortfolioFrontier[[#This Row],[P135 Return]]),1+PortfolioFrontier[[#This Row],[P135 Return]])</f>
        <v>1.6594985953573058</v>
      </c>
      <c r="TU96" s="27">
        <f>MAX(TU95,PortfolioFrontier[[#This Row],[P135 Growth]])</f>
        <v>1.663813340250661</v>
      </c>
      <c r="TV96" s="27">
        <f>PortfolioFrontier[[#This Row],[P135 Growth]]/PortfolioFrontier[[#This Row],[P135 HWM]]-1</f>
        <v>-2.5932866319638981E-3</v>
      </c>
      <c r="TW96" s="28">
        <f>SUMPRODUCT(INDEX(PortfolioRef[[SPY]:[PE]],MATCH(TW$1,PortfolioRef[Reference '#]),0),AssetMonthlyReturns[[#This Row],[SPY]:[PE]])</f>
        <v>-8.9061166622211967E-3</v>
      </c>
      <c r="TX96" s="27">
        <f>IF(ISNUMBER(TX95),TX95*(1+PortfolioFrontier[[#This Row],[P136 Return]]),1+PortfolioFrontier[[#This Row],[P136 Return]])</f>
        <v>1.6576024087800676</v>
      </c>
      <c r="TY96" s="27">
        <f>MAX(TY95,PortfolioFrontier[[#This Row],[P136 Growth]])</f>
        <v>1.7361155602147582</v>
      </c>
      <c r="TZ96" s="27">
        <f>PortfolioFrontier[[#This Row],[P136 Growth]]/PortfolioFrontier[[#This Row],[P136 HWM]]-1</f>
        <v>-4.5223459332959681E-2</v>
      </c>
      <c r="UA96" s="28">
        <f>SUMPRODUCT(INDEX(PortfolioRef[[SPY]:[PE]],MATCH(UA$1,PortfolioRef[Reference '#]),0),AssetMonthlyReturns[[#This Row],[SPY]:[PE]])</f>
        <v>-6.3659968809292242E-3</v>
      </c>
      <c r="UB96" s="27">
        <f>IF(ISNUMBER(UB95),UB95*(1+PortfolioFrontier[[#This Row],[P137 Return]]),1+PortfolioFrontier[[#This Row],[P137 Return]])</f>
        <v>1.6552052158961348</v>
      </c>
      <c r="UC96" s="27">
        <f>MAX(UC95,PortfolioFrontier[[#This Row],[P137 Growth]])</f>
        <v>1.7048691873265751</v>
      </c>
      <c r="UD96" s="27">
        <f>PortfolioFrontier[[#This Row],[P137 Growth]]/PortfolioFrontier[[#This Row],[P137 HWM]]-1</f>
        <v>-2.9130663982683047E-2</v>
      </c>
      <c r="UE96" s="28">
        <f>SUMPRODUCT(INDEX(PortfolioRef[[SPY]:[PE]],MATCH(UE$1,PortfolioRef[Reference '#]),0),AssetMonthlyReturns[[#This Row],[SPY]:[PE]])</f>
        <v>-3.8258770996372534E-3</v>
      </c>
      <c r="UF96" s="27">
        <f>IF(ISNUMBER(UF95),UF95*(1+PortfolioFrontier[[#This Row],[P138 Return]]),1+PortfolioFrontier[[#This Row],[P138 Return]])</f>
        <v>1.6515416446949982</v>
      </c>
      <c r="UG96" s="27">
        <f>MAX(UG95,PortfolioFrontier[[#This Row],[P138 Growth]])</f>
        <v>1.6734502822541619</v>
      </c>
      <c r="UH96" s="27">
        <f>PortfolioFrontier[[#This Row],[P138 Growth]]/PortfolioFrontier[[#This Row],[P138 HWM]]-1</f>
        <v>-1.3091896300410188E-2</v>
      </c>
      <c r="UI96" s="28">
        <f>SUMPRODUCT(INDEX(PortfolioRef[[SPY]:[PE]],MATCH(UI$1,PortfolioRef[Reference '#]),0),AssetMonthlyReturns[[#This Row],[SPY]:[PE]])</f>
        <v>-1.0138707129894543E-2</v>
      </c>
      <c r="UJ96" s="27">
        <f>IF(ISNUMBER(UJ95),UJ95*(1+PortfolioFrontier[[#This Row],[P139 Return]]),1+PortfolioFrontier[[#This Row],[P139 Return]])</f>
        <v>1.6464155554065154</v>
      </c>
      <c r="UK96" s="27">
        <f>MAX(UK95,PortfolioFrontier[[#This Row],[P139 Growth]])</f>
        <v>1.7543965710992384</v>
      </c>
      <c r="UL96" s="27">
        <f>PortfolioFrontier[[#This Row],[P139 Growth]]/PortfolioFrontier[[#This Row],[P139 HWM]]-1</f>
        <v>-6.1548806849905158E-2</v>
      </c>
      <c r="UM96" s="28">
        <f>SUMPRODUCT(INDEX(PortfolioRef[[SPY]:[PE]],MATCH(UM$1,PortfolioRef[Reference '#]),0),AssetMonthlyReturns[[#This Row],[SPY]:[PE]])</f>
        <v>-7.5985873486025708E-3</v>
      </c>
      <c r="UN96" s="27">
        <f>IF(ISNUMBER(UN95),UN95*(1+PortfolioFrontier[[#This Row],[P140 Return]]),1+PortfolioFrontier[[#This Row],[P140 Return]])</f>
        <v>1.6450003702888683</v>
      </c>
      <c r="UO96" s="27">
        <f>MAX(UO95,PortfolioFrontier[[#This Row],[P140 Growth]])</f>
        <v>1.7234002022793458</v>
      </c>
      <c r="UP96" s="27">
        <f>PortfolioFrontier[[#This Row],[P140 Growth]]/PortfolioFrontier[[#This Row],[P140 HWM]]-1</f>
        <v>-4.5491367522637494E-2</v>
      </c>
      <c r="UQ96" s="28">
        <f>SUMPRODUCT(INDEX(PortfolioRef[[SPY]:[PE]],MATCH(UQ$1,PortfolioRef[Reference '#]),0),AssetMonthlyReturns[[#This Row],[SPY]:[PE]])</f>
        <v>-5.0584675673105975E-3</v>
      </c>
      <c r="UR96" s="27">
        <f>IF(ISNUMBER(UR95),UR95*(1+PortfolioFrontier[[#This Row],[P141 Return]]),1+PortfolioFrontier[[#This Row],[P141 Return]])</f>
        <v>1.6423189707272687</v>
      </c>
      <c r="US96" s="27">
        <f>MAX(US95,PortfolioFrontier[[#This Row],[P141 Growth]])</f>
        <v>1.6922041432386774</v>
      </c>
      <c r="UT96" s="27">
        <f>PortfolioFrontier[[#This Row],[P141 Growth]]/PortfolioFrontier[[#This Row],[P141 HWM]]-1</f>
        <v>-2.9479405726979491E-2</v>
      </c>
    </row>
    <row r="97" spans="2:566" x14ac:dyDescent="0.2">
      <c r="B97" s="41">
        <f>AssetMonthlyReturns[[#This Row],[Date]]</f>
        <v>45323</v>
      </c>
      <c r="C97" s="28">
        <f>SUMPRODUCT(INDEX(PortfolioRef[[SPY]:[PE]],MATCH(C$1,PortfolioRef[Reference '#]),0),AssetMonthlyReturns[[#This Row],[SPY]:[PE]])</f>
        <v>2.9611229642153684E-2</v>
      </c>
      <c r="D97" s="29">
        <f>IF(ISNUMBER(D96),D96*(1+PortfolioFrontier[[#This Row],[P1 Return]]),1+PortfolioFrontier[[#This Row],[P1 Return]])</f>
        <v>2.0518185349907179</v>
      </c>
      <c r="E97" s="29">
        <f>MAX(E96,PortfolioFrontier[[#This Row],[P1 Growth]])</f>
        <v>2.0518185349907179</v>
      </c>
      <c r="F97" s="29">
        <f>PortfolioFrontier[[#This Row],[P1 Growth]]/PortfolioFrontier[[#This Row],[P1 HWM]]-1</f>
        <v>0</v>
      </c>
      <c r="G97" s="28">
        <f>SUMPRODUCT(INDEX(PortfolioRef[[SPY]:[PE]],MATCH(G$1,PortfolioRef[Reference '#]),0),AssetMonthlyReturns[[#This Row],[SPY]:[PE]])</f>
        <v>2.6118933975690029E-2</v>
      </c>
      <c r="H97" s="27">
        <f>IF(ISNUMBER(H96),H96*(1+PortfolioFrontier[[#This Row],[P2 Return]]),1+PortfolioFrontier[[#This Row],[P2 Return]])</f>
        <v>1.9563717379920564</v>
      </c>
      <c r="I97" s="27">
        <f>MAX(I96,PortfolioFrontier[[#This Row],[P2 Growth]])</f>
        <v>1.9563717379920564</v>
      </c>
      <c r="J97" s="27">
        <f>PortfolioFrontier[[#This Row],[P2 Growth]]/PortfolioFrontier[[#This Row],[P2 HWM]]-1</f>
        <v>0</v>
      </c>
      <c r="K97" s="28">
        <f>SUMPRODUCT(INDEX(PortfolioRef[[SPY]:[PE]],MATCH(K$1,PortfolioRef[Reference '#]),0),AssetMonthlyReturns[[#This Row],[SPY]:[PE]])</f>
        <v>2.7230059236552893E-2</v>
      </c>
      <c r="L97" s="27">
        <f>IF(ISNUMBER(L96),L96*(1+PortfolioFrontier[[#This Row],[P3 Return]]),1+PortfolioFrontier[[#This Row],[P3 Return]])</f>
        <v>1.9960733299138222</v>
      </c>
      <c r="M97" s="27">
        <f>MAX(M96,PortfolioFrontier[[#This Row],[P3 Growth]])</f>
        <v>1.9960733299138222</v>
      </c>
      <c r="N97" s="27">
        <f>PortfolioFrontier[[#This Row],[P3 Growth]]/PortfolioFrontier[[#This Row],[P3 HWM]]-1</f>
        <v>0</v>
      </c>
      <c r="O97" s="28">
        <f>SUMPRODUCT(INDEX(PortfolioRef[[SPY]:[PE]],MATCH(O$1,PortfolioRef[Reference '#]),0),AssetMonthlyReturns[[#This Row],[SPY]:[PE]])</f>
        <v>2.7991272647733646E-2</v>
      </c>
      <c r="P97" s="27">
        <f>IF(ISNUMBER(P96),P96*(1+PortfolioFrontier[[#This Row],[P4 Return]]),1+PortfolioFrontier[[#This Row],[P4 Return]])</f>
        <v>1.9856230201356371</v>
      </c>
      <c r="Q97" s="27">
        <f>MAX(Q96,PortfolioFrontier[[#This Row],[P4 Growth]])</f>
        <v>1.9856230201356371</v>
      </c>
      <c r="R97" s="27">
        <f>PortfolioFrontier[[#This Row],[P4 Growth]]/PortfolioFrontier[[#This Row],[P4 HWM]]-1</f>
        <v>0</v>
      </c>
      <c r="S97" s="28">
        <f>SUMPRODUCT(INDEX(PortfolioRef[[SPY]:[PE]],MATCH(S$1,PortfolioRef[Reference '#]),0),AssetMonthlyReturns[[#This Row],[SPY]:[PE]])</f>
        <v>2.7562937058737882E-2</v>
      </c>
      <c r="T97" s="27">
        <f>IF(ISNUMBER(T96),T96*(1+PortfolioFrontier[[#This Row],[P5 Return]]),1+PortfolioFrontier[[#This Row],[P5 Return]])</f>
        <v>1.9808819518246981</v>
      </c>
      <c r="U97" s="27">
        <f>MAX(U96,PortfolioFrontier[[#This Row],[P5 Growth]])</f>
        <v>1.9808819518246981</v>
      </c>
      <c r="V97" s="27">
        <f>PortfolioFrontier[[#This Row],[P5 Growth]]/PortfolioFrontier[[#This Row],[P5 HWM]]-1</f>
        <v>0</v>
      </c>
      <c r="W97" s="28">
        <f>SUMPRODUCT(INDEX(PortfolioRef[[SPY]:[PE]],MATCH(W$1,PortfolioRef[Reference '#]),0),AssetMonthlyReturns[[#This Row],[SPY]:[PE]])</f>
        <v>2.2626638309226378E-2</v>
      </c>
      <c r="X97" s="27">
        <f>IF(ISNUMBER(X96),X96*(1+PortfolioFrontier[[#This Row],[P6 Return]]),1+PortfolioFrontier[[#This Row],[P6 Return]])</f>
        <v>1.8644933299785873</v>
      </c>
      <c r="Y97" s="27">
        <f>MAX(Y96,PortfolioFrontier[[#This Row],[P6 Growth]])</f>
        <v>1.8644933299785873</v>
      </c>
      <c r="Z97" s="27">
        <f>PortfolioFrontier[[#This Row],[P6 Growth]]/PortfolioFrontier[[#This Row],[P6 HWM]]-1</f>
        <v>0</v>
      </c>
      <c r="AA97" s="28">
        <f>SUMPRODUCT(INDEX(PortfolioRef[[SPY]:[PE]],MATCH(AA$1,PortfolioRef[Reference '#]),0),AssetMonthlyReturns[[#This Row],[SPY]:[PE]])</f>
        <v>2.3737763570089242E-2</v>
      </c>
      <c r="AB97" s="27">
        <f>IF(ISNUMBER(AB96),AB96*(1+PortfolioFrontier[[#This Row],[P7 Return]]),1+PortfolioFrontier[[#This Row],[P7 Return]])</f>
        <v>1.9023397218382339</v>
      </c>
      <c r="AC97" s="27">
        <f>MAX(AC96,PortfolioFrontier[[#This Row],[P7 Growth]])</f>
        <v>1.9023397218382339</v>
      </c>
      <c r="AD97" s="27">
        <f>PortfolioFrontier[[#This Row],[P7 Growth]]/PortfolioFrontier[[#This Row],[P7 HWM]]-1</f>
        <v>0</v>
      </c>
      <c r="AE97" s="28">
        <f>SUMPRODUCT(INDEX(PortfolioRef[[SPY]:[PE]],MATCH(AE$1,PortfolioRef[Reference '#]),0),AssetMonthlyReturns[[#This Row],[SPY]:[PE]])</f>
        <v>2.4498976981269995E-2</v>
      </c>
      <c r="AF97" s="27">
        <f>IF(ISNUMBER(AF96),AF96*(1+PortfolioFrontier[[#This Row],[P8 Return]]),1+PortfolioFrontier[[#This Row],[P8 Return]])</f>
        <v>1.8931061491440122</v>
      </c>
      <c r="AG97" s="27">
        <f>MAX(AG96,PortfolioFrontier[[#This Row],[P8 Growth]])</f>
        <v>1.8931061491440122</v>
      </c>
      <c r="AH97" s="27">
        <f>PortfolioFrontier[[#This Row],[P8 Growth]]/PortfolioFrontier[[#This Row],[P8 HWM]]-1</f>
        <v>0</v>
      </c>
      <c r="AI97" s="28">
        <f>SUMPRODUCT(INDEX(PortfolioRef[[SPY]:[PE]],MATCH(AI$1,PortfolioRef[Reference '#]),0),AssetMonthlyReturns[[#This Row],[SPY]:[PE]])</f>
        <v>2.4070641392274231E-2</v>
      </c>
      <c r="AJ97" s="27">
        <f>IF(ISNUMBER(AJ96),AJ96*(1+PortfolioFrontier[[#This Row],[P9 Return]]),1+PortfolioFrontier[[#This Row],[P9 Return]])</f>
        <v>1.887878126072571</v>
      </c>
      <c r="AK97" s="27">
        <f>MAX(AK96,PortfolioFrontier[[#This Row],[P9 Growth]])</f>
        <v>1.887878126072571</v>
      </c>
      <c r="AL97" s="27">
        <f>PortfolioFrontier[[#This Row],[P9 Growth]]/PortfolioFrontier[[#This Row],[P9 HWM]]-1</f>
        <v>0</v>
      </c>
      <c r="AM97" s="28">
        <f>SUMPRODUCT(INDEX(PortfolioRef[[SPY]:[PE]],MATCH(AM$1,PortfolioRef[Reference '#]),0),AssetMonthlyReturns[[#This Row],[SPY]:[PE]])</f>
        <v>2.4848888830952109E-2</v>
      </c>
      <c r="AN97" s="27">
        <f>IF(ISNUMBER(AN96),AN96*(1+PortfolioFrontier[[#This Row],[P10 Return]]),1+PortfolioFrontier[[#This Row],[P10 Return]])</f>
        <v>1.9404252368903532</v>
      </c>
      <c r="AO97" s="27">
        <f>MAX(AO96,PortfolioFrontier[[#This Row],[P10 Growth]])</f>
        <v>1.9404252368903532</v>
      </c>
      <c r="AP97" s="27">
        <f>PortfolioFrontier[[#This Row],[P10 Growth]]/PortfolioFrontier[[#This Row],[P10 HWM]]-1</f>
        <v>0</v>
      </c>
      <c r="AQ97" s="28">
        <f>SUMPRODUCT(INDEX(PortfolioRef[[SPY]:[PE]],MATCH(AQ$1,PortfolioRef[Reference '#]),0),AssetMonthlyReturns[[#This Row],[SPY]:[PE]])</f>
        <v>2.5610102242132858E-2</v>
      </c>
      <c r="AR97" s="27">
        <f>IF(ISNUMBER(AR96),AR96*(1+PortfolioFrontier[[#This Row],[P11 Return]]),1+PortfolioFrontier[[#This Row],[P11 Return]])</f>
        <v>1.931502592451787</v>
      </c>
      <c r="AS97" s="27">
        <f>MAX(AS96,PortfolioFrontier[[#This Row],[P11 Growth]])</f>
        <v>1.931502592451787</v>
      </c>
      <c r="AT97" s="27">
        <f>PortfolioFrontier[[#This Row],[P11 Growth]]/PortfolioFrontier[[#This Row],[P11 HWM]]-1</f>
        <v>0</v>
      </c>
      <c r="AU97" s="28">
        <f>SUMPRODUCT(INDEX(PortfolioRef[[SPY]:[PE]],MATCH(AU$1,PortfolioRef[Reference '#]),0),AssetMonthlyReturns[[#This Row],[SPY]:[PE]])</f>
        <v>2.5181766653137094E-2</v>
      </c>
      <c r="AV97" s="27">
        <f>IF(ISNUMBER(AV96),AV96*(1+PortfolioFrontier[[#This Row],[P12 Return]]),1+PortfolioFrontier[[#This Row],[P12 Return]])</f>
        <v>1.926193372209372</v>
      </c>
      <c r="AW97" s="27">
        <f>MAX(AW96,PortfolioFrontier[[#This Row],[P12 Growth]])</f>
        <v>1.926193372209372</v>
      </c>
      <c r="AX97" s="27">
        <f>PortfolioFrontier[[#This Row],[P12 Growth]]/PortfolioFrontier[[#This Row],[P12 HWM]]-1</f>
        <v>0</v>
      </c>
      <c r="AY97" s="28">
        <f>SUMPRODUCT(INDEX(PortfolioRef[[SPY]:[PE]],MATCH(AY$1,PortfolioRef[Reference '#]),0),AssetMonthlyReturns[[#This Row],[SPY]:[PE]])</f>
        <v>2.6371315653313611E-2</v>
      </c>
      <c r="AZ97" s="27">
        <f>IF(ISNUMBER(AZ96),AZ96*(1+PortfolioFrontier[[#This Row],[P13 Return]]),1+PortfolioFrontier[[#This Row],[P13 Return]])</f>
        <v>1.9210944835464561</v>
      </c>
      <c r="BA97" s="27">
        <f>MAX(BA96,PortfolioFrontier[[#This Row],[P13 Growth]])</f>
        <v>1.9210944835464561</v>
      </c>
      <c r="BB97" s="27">
        <f>PortfolioFrontier[[#This Row],[P13 Growth]]/PortfolioFrontier[[#This Row],[P13 HWM]]-1</f>
        <v>0</v>
      </c>
      <c r="BC97" s="28">
        <f>SUMPRODUCT(INDEX(PortfolioRef[[SPY]:[PE]],MATCH(BC$1,PortfolioRef[Reference '#]),0),AssetMonthlyReturns[[#This Row],[SPY]:[PE]])</f>
        <v>2.5942980064317847E-2</v>
      </c>
      <c r="BD97" s="27">
        <f>IF(ISNUMBER(BD96),BD96*(1+PortfolioFrontier[[#This Row],[P14 Return]]),1+PortfolioFrontier[[#This Row],[P14 Return]])</f>
        <v>1.916931393099166</v>
      </c>
      <c r="BE97" s="27">
        <f>MAX(BE96,PortfolioFrontier[[#This Row],[P14 Growth]])</f>
        <v>1.916931393099166</v>
      </c>
      <c r="BF97" s="27">
        <f>PortfolioFrontier[[#This Row],[P14 Growth]]/PortfolioFrontier[[#This Row],[P14 HWM]]-1</f>
        <v>0</v>
      </c>
      <c r="BG97" s="28">
        <f>SUMPRODUCT(INDEX(PortfolioRef[[SPY]:[PE]],MATCH(BG$1,PortfolioRef[Reference '#]),0),AssetMonthlyReturns[[#This Row],[SPY]:[PE]])</f>
        <v>2.551464447532208E-2</v>
      </c>
      <c r="BH97" s="27">
        <f>IF(ISNUMBER(BH96),BH96*(1+PortfolioFrontier[[#This Row],[P15 Return]]),1+PortfolioFrontier[[#This Row],[P15 Return]])</f>
        <v>1.9113105213590613</v>
      </c>
      <c r="BI97" s="27">
        <f>MAX(BI96,PortfolioFrontier[[#This Row],[P15 Growth]])</f>
        <v>1.9113105213590613</v>
      </c>
      <c r="BJ97" s="27">
        <f>PortfolioFrontier[[#This Row],[P15 Growth]]/PortfolioFrontier[[#This Row],[P15 HWM]]-1</f>
        <v>0</v>
      </c>
      <c r="BK97" s="28">
        <f>SUMPRODUCT(INDEX(PortfolioRef[[SPY]:[PE]],MATCH(BK$1,PortfolioRef[Reference '#]),0),AssetMonthlyReturns[[#This Row],[SPY]:[PE]])</f>
        <v>1.9134342642762727E-2</v>
      </c>
      <c r="BL97" s="27">
        <f>IF(ISNUMBER(BL96),BL96*(1+PortfolioFrontier[[#This Row],[P16 Return]]),1+PortfolioFrontier[[#This Row],[P16 Return]])</f>
        <v>1.7760996297306204</v>
      </c>
      <c r="BM97" s="27">
        <f>MAX(BM96,PortfolioFrontier[[#This Row],[P16 Growth]])</f>
        <v>1.7760996297306204</v>
      </c>
      <c r="BN97" s="27">
        <f>PortfolioFrontier[[#This Row],[P16 Growth]]/PortfolioFrontier[[#This Row],[P16 HWM]]-1</f>
        <v>0</v>
      </c>
      <c r="BO97" s="28">
        <f>SUMPRODUCT(INDEX(PortfolioRef[[SPY]:[PE]],MATCH(BO$1,PortfolioRef[Reference '#]),0),AssetMonthlyReturns[[#This Row],[SPY]:[PE]])</f>
        <v>2.0245467903625591E-2</v>
      </c>
      <c r="BP97" s="27">
        <f>IF(ISNUMBER(BP96),BP96*(1+PortfolioFrontier[[#This Row],[P17 Return]]),1+PortfolioFrontier[[#This Row],[P17 Return]])</f>
        <v>1.8121612026561187</v>
      </c>
      <c r="BQ97" s="27">
        <f>MAX(BQ96,PortfolioFrontier[[#This Row],[P17 Growth]])</f>
        <v>1.8121612026561187</v>
      </c>
      <c r="BR97" s="27">
        <f>PortfolioFrontier[[#This Row],[P17 Growth]]/PortfolioFrontier[[#This Row],[P17 HWM]]-1</f>
        <v>0</v>
      </c>
      <c r="BS97" s="28">
        <f>SUMPRODUCT(INDEX(PortfolioRef[[SPY]:[PE]],MATCH(BS$1,PortfolioRef[Reference '#]),0),AssetMonthlyReturns[[#This Row],[SPY]:[PE]])</f>
        <v>2.1006681314806343E-2</v>
      </c>
      <c r="BT97" s="27">
        <f>IF(ISNUMBER(BT96),BT96*(1+PortfolioFrontier[[#This Row],[P18 Return]]),1+PortfolioFrontier[[#This Row],[P18 Return]])</f>
        <v>1.8040554532350346</v>
      </c>
      <c r="BU97" s="27">
        <f>MAX(BU96,PortfolioFrontier[[#This Row],[P18 Growth]])</f>
        <v>1.8040554532350346</v>
      </c>
      <c r="BV97" s="27">
        <f>PortfolioFrontier[[#This Row],[P18 Growth]]/PortfolioFrontier[[#This Row],[P18 HWM]]-1</f>
        <v>0</v>
      </c>
      <c r="BW97" s="28">
        <f>SUMPRODUCT(INDEX(PortfolioRef[[SPY]:[PE]],MATCH(BW$1,PortfolioRef[Reference '#]),0),AssetMonthlyReturns[[#This Row],[SPY]:[PE]])</f>
        <v>2.057834572581058E-2</v>
      </c>
      <c r="BX97" s="27">
        <f>IF(ISNUMBER(BX96),BX96*(1+PortfolioFrontier[[#This Row],[P19 Return]]),1+PortfolioFrontier[[#This Row],[P19 Return]])</f>
        <v>1.7984002822085094</v>
      </c>
      <c r="BY97" s="27">
        <f>MAX(BY96,PortfolioFrontier[[#This Row],[P19 Growth]])</f>
        <v>1.7984002822085094</v>
      </c>
      <c r="BZ97" s="27">
        <f>PortfolioFrontier[[#This Row],[P19 Growth]]/PortfolioFrontier[[#This Row],[P19 HWM]]-1</f>
        <v>0</v>
      </c>
      <c r="CA97" s="28">
        <f>SUMPRODUCT(INDEX(PortfolioRef[[SPY]:[PE]],MATCH(CA$1,PortfolioRef[Reference '#]),0),AssetMonthlyReturns[[#This Row],[SPY]:[PE]])</f>
        <v>2.1356593164488458E-2</v>
      </c>
      <c r="CB97" s="27">
        <f>IF(ISNUMBER(CB96),CB96*(1+PortfolioFrontier[[#This Row],[P20 Return]]),1+PortfolioFrontier[[#This Row],[P20 Return]])</f>
        <v>1.8484500133679223</v>
      </c>
      <c r="CC97" s="27">
        <f>MAX(CC96,PortfolioFrontier[[#This Row],[P20 Growth]])</f>
        <v>1.8484500133679223</v>
      </c>
      <c r="CD97" s="27">
        <f>PortfolioFrontier[[#This Row],[P20 Growth]]/PortfolioFrontier[[#This Row],[P20 HWM]]-1</f>
        <v>0</v>
      </c>
      <c r="CE97" s="28">
        <f>SUMPRODUCT(INDEX(PortfolioRef[[SPY]:[PE]],MATCH(CE$1,PortfolioRef[Reference '#]),0),AssetMonthlyReturns[[#This Row],[SPY]:[PE]])</f>
        <v>2.2117806575669207E-2</v>
      </c>
      <c r="CF97" s="27">
        <f>IF(ISNUMBER(CF96),CF96*(1+PortfolioFrontier[[#This Row],[P21 Return]]),1+PortfolioFrontier[[#This Row],[P21 Return]])</f>
        <v>1.8406550189425348</v>
      </c>
      <c r="CG97" s="27">
        <f>MAX(CG96,PortfolioFrontier[[#This Row],[P21 Growth]])</f>
        <v>1.8406550189425348</v>
      </c>
      <c r="CH97" s="27">
        <f>PortfolioFrontier[[#This Row],[P21 Growth]]/PortfolioFrontier[[#This Row],[P21 HWM]]-1</f>
        <v>0</v>
      </c>
      <c r="CI97" s="28">
        <f>SUMPRODUCT(INDEX(PortfolioRef[[SPY]:[PE]],MATCH(CI$1,PortfolioRef[Reference '#]),0),AssetMonthlyReturns[[#This Row],[SPY]:[PE]])</f>
        <v>2.1689470986673443E-2</v>
      </c>
      <c r="CJ97" s="27">
        <f>IF(ISNUMBER(CJ96),CJ96*(1+PortfolioFrontier[[#This Row],[P22 Return]]),1+PortfolioFrontier[[#This Row],[P22 Return]])</f>
        <v>1.8349091362154522</v>
      </c>
      <c r="CK97" s="27">
        <f>MAX(CK96,PortfolioFrontier[[#This Row],[P22 Growth]])</f>
        <v>1.8349091362154522</v>
      </c>
      <c r="CL97" s="27">
        <f>PortfolioFrontier[[#This Row],[P22 Growth]]/PortfolioFrontier[[#This Row],[P22 HWM]]-1</f>
        <v>0</v>
      </c>
      <c r="CM97" s="28">
        <f>SUMPRODUCT(INDEX(PortfolioRef[[SPY]:[PE]],MATCH(CM$1,PortfolioRef[Reference '#]),0),AssetMonthlyReturns[[#This Row],[SPY]:[PE]])</f>
        <v>2.287901998684996E-2</v>
      </c>
      <c r="CN97" s="27">
        <f>IF(ISNUMBER(CN96),CN96*(1+PortfolioFrontier[[#This Row],[P23 Return]]),1+PortfolioFrontier[[#This Row],[P23 Return]])</f>
        <v>1.8314395864550732</v>
      </c>
      <c r="CO97" s="27">
        <f>MAX(CO96,PortfolioFrontier[[#This Row],[P23 Growth]])</f>
        <v>1.8314395864550732</v>
      </c>
      <c r="CP97" s="27">
        <f>PortfolioFrontier[[#This Row],[P23 Growth]]/PortfolioFrontier[[#This Row],[P23 HWM]]-1</f>
        <v>0</v>
      </c>
      <c r="CQ97" s="28">
        <f>SUMPRODUCT(INDEX(PortfolioRef[[SPY]:[PE]],MATCH(CQ$1,PortfolioRef[Reference '#]),0),AssetMonthlyReturns[[#This Row],[SPY]:[PE]])</f>
        <v>2.2450684397854196E-2</v>
      </c>
      <c r="CR97" s="27">
        <f>IF(ISNUMBER(CR96),CR96*(1+PortfolioFrontier[[#This Row],[P24 Return]]),1+PortfolioFrontier[[#This Row],[P24 Return]])</f>
        <v>1.8267848309920429</v>
      </c>
      <c r="CS97" s="27">
        <f>MAX(CS96,PortfolioFrontier[[#This Row],[P24 Growth]])</f>
        <v>1.8267848309920429</v>
      </c>
      <c r="CT97" s="27">
        <f>PortfolioFrontier[[#This Row],[P24 Growth]]/PortfolioFrontier[[#This Row],[P24 HWM]]-1</f>
        <v>0</v>
      </c>
      <c r="CU97" s="28">
        <f>SUMPRODUCT(INDEX(PortfolioRef[[SPY]:[PE]],MATCH(CU$1,PortfolioRef[Reference '#]),0),AssetMonthlyReturns[[#This Row],[SPY]:[PE]])</f>
        <v>2.2022348808858429E-2</v>
      </c>
      <c r="CV97" s="27">
        <f>IF(ISNUMBER(CV96),CV96*(1+PortfolioFrontier[[#This Row],[P25 Return]]),1+PortfolioFrontier[[#This Row],[P25 Return]])</f>
        <v>1.8207469152533433</v>
      </c>
      <c r="CW97" s="27">
        <f>MAX(CW96,PortfolioFrontier[[#This Row],[P25 Growth]])</f>
        <v>1.8207469152533433</v>
      </c>
      <c r="CX97" s="27">
        <f>PortfolioFrontier[[#This Row],[P25 Growth]]/PortfolioFrontier[[#This Row],[P25 HWM]]-1</f>
        <v>0</v>
      </c>
      <c r="CY97" s="28">
        <f>SUMPRODUCT(INDEX(PortfolioRef[[SPY]:[PE]],MATCH(CY$1,PortfolioRef[Reference '#]),0),AssetMonthlyReturns[[#This Row],[SPY]:[PE]])</f>
        <v>2.3228931836532074E-2</v>
      </c>
      <c r="CZ97" s="27">
        <f>IF(ISNUMBER(CZ96),CZ96*(1+PortfolioFrontier[[#This Row],[P26 Return]]),1+PortfolioFrontier[[#This Row],[P26 Return]])</f>
        <v>1.8774847885440564</v>
      </c>
      <c r="DA97" s="27">
        <f>MAX(DA96,PortfolioFrontier[[#This Row],[P26 Growth]])</f>
        <v>1.8774847885440564</v>
      </c>
      <c r="DB97" s="27">
        <f>PortfolioFrontier[[#This Row],[P26 Growth]]/PortfolioFrontier[[#This Row],[P26 HWM]]-1</f>
        <v>0</v>
      </c>
      <c r="DC97" s="28">
        <f>SUMPRODUCT(INDEX(PortfolioRef[[SPY]:[PE]],MATCH(DC$1,PortfolioRef[Reference '#]),0),AssetMonthlyReturns[[#This Row],[SPY]:[PE]])</f>
        <v>2.280059624753631E-2</v>
      </c>
      <c r="DD97" s="27">
        <f>IF(ISNUMBER(DD96),DD96*(1+PortfolioFrontier[[#This Row],[P27 Return]]),1+PortfolioFrontier[[#This Row],[P27 Return]])</f>
        <v>1.871648198743463</v>
      </c>
      <c r="DE97" s="27">
        <f>MAX(DE96,PortfolioFrontier[[#This Row],[P27 Growth]])</f>
        <v>1.871648198743463</v>
      </c>
      <c r="DF97" s="27">
        <f>PortfolioFrontier[[#This Row],[P27 Growth]]/PortfolioFrontier[[#This Row],[P27 HWM]]-1</f>
        <v>0</v>
      </c>
      <c r="DG97" s="28">
        <f>SUMPRODUCT(INDEX(PortfolioRef[[SPY]:[PE]],MATCH(DG$1,PortfolioRef[Reference '#]),0),AssetMonthlyReturns[[#This Row],[SPY]:[PE]])</f>
        <v>2.3990145247712823E-2</v>
      </c>
      <c r="DH97" s="27">
        <f>IF(ISNUMBER(DH96),DH96*(1+PortfolioFrontier[[#This Row],[P28 Return]]),1+PortfolioFrontier[[#This Row],[P28 Return]])</f>
        <v>1.8685651426373486</v>
      </c>
      <c r="DI97" s="27">
        <f>MAX(DI96,PortfolioFrontier[[#This Row],[P28 Growth]])</f>
        <v>1.8685651426373486</v>
      </c>
      <c r="DJ97" s="27">
        <f>PortfolioFrontier[[#This Row],[P28 Growth]]/PortfolioFrontier[[#This Row],[P28 HWM]]-1</f>
        <v>0</v>
      </c>
      <c r="DK97" s="28">
        <f>SUMPRODUCT(INDEX(PortfolioRef[[SPY]:[PE]],MATCH(DK$1,PortfolioRef[Reference '#]),0),AssetMonthlyReturns[[#This Row],[SPY]:[PE]])</f>
        <v>2.356180965871706E-2</v>
      </c>
      <c r="DL97" s="27">
        <f>IF(ISNUMBER(DL96),DL96*(1+PortfolioFrontier[[#This Row],[P29 Return]]),1+PortfolioFrontier[[#This Row],[P29 Return]])</f>
        <v>1.8638399194893327</v>
      </c>
      <c r="DM97" s="27">
        <f>MAX(DM96,PortfolioFrontier[[#This Row],[P29 Growth]])</f>
        <v>1.8638399194893327</v>
      </c>
      <c r="DN97" s="27">
        <f>PortfolioFrontier[[#This Row],[P29 Growth]]/PortfolioFrontier[[#This Row],[P29 HWM]]-1</f>
        <v>0</v>
      </c>
      <c r="DO97" s="28">
        <f>SUMPRODUCT(INDEX(PortfolioRef[[SPY]:[PE]],MATCH(DO$1,PortfolioRef[Reference '#]),0),AssetMonthlyReturns[[#This Row],[SPY]:[PE]])</f>
        <v>2.3133474069721292E-2</v>
      </c>
      <c r="DP97" s="27">
        <f>IF(ISNUMBER(DP96),DP96*(1+PortfolioFrontier[[#This Row],[P30 Return]]),1+PortfolioFrontier[[#This Row],[P30 Return]])</f>
        <v>1.8577039894644423</v>
      </c>
      <c r="DQ97" s="27">
        <f>MAX(DQ96,PortfolioFrontier[[#This Row],[P30 Growth]])</f>
        <v>1.8577039894644423</v>
      </c>
      <c r="DR97" s="27">
        <f>PortfolioFrontier[[#This Row],[P30 Growth]]/PortfolioFrontier[[#This Row],[P30 HWM]]-1</f>
        <v>0</v>
      </c>
      <c r="DS97" s="28">
        <f>SUMPRODUCT(INDEX(PortfolioRef[[SPY]:[PE]],MATCH(DS$1,PortfolioRef[Reference '#]),0),AssetMonthlyReturns[[#This Row],[SPY]:[PE]])</f>
        <v>2.4751358658893576E-2</v>
      </c>
      <c r="DT97" s="27">
        <f>IF(ISNUMBER(DT96),DT96*(1+PortfolioFrontier[[#This Row],[P31 Return]]),1+PortfolioFrontier[[#This Row],[P31 Return]])</f>
        <v>1.8582089259587511</v>
      </c>
      <c r="DU97" s="27">
        <f>MAX(DU96,PortfolioFrontier[[#This Row],[P31 Growth]])</f>
        <v>1.8582089259587511</v>
      </c>
      <c r="DV97" s="27">
        <f>PortfolioFrontier[[#This Row],[P31 Growth]]/PortfolioFrontier[[#This Row],[P31 HWM]]-1</f>
        <v>0</v>
      </c>
      <c r="DW97" s="28">
        <f>SUMPRODUCT(INDEX(PortfolioRef[[SPY]:[PE]],MATCH(DW$1,PortfolioRef[Reference '#]),0),AssetMonthlyReturns[[#This Row],[SPY]:[PE]])</f>
        <v>2.4323023069897812E-2</v>
      </c>
      <c r="DX97" s="27">
        <f>IF(ISNUMBER(DX96),DX96*(1+PortfolioFrontier[[#This Row],[P32 Return]]),1+PortfolioFrontier[[#This Row],[P32 Return]])</f>
        <v>1.8545930927488563</v>
      </c>
      <c r="DY97" s="27">
        <f>MAX(DY96,PortfolioFrontier[[#This Row],[P32 Growth]])</f>
        <v>1.8545930927488563</v>
      </c>
      <c r="DZ97" s="27">
        <f>PortfolioFrontier[[#This Row],[P32 Growth]]/PortfolioFrontier[[#This Row],[P32 HWM]]-1</f>
        <v>0</v>
      </c>
      <c r="EA97" s="28">
        <f>SUMPRODUCT(INDEX(PortfolioRef[[SPY]:[PE]],MATCH(EA$1,PortfolioRef[Reference '#]),0),AssetMonthlyReturns[[#This Row],[SPY]:[PE]])</f>
        <v>2.3894687480902045E-2</v>
      </c>
      <c r="EB97" s="27">
        <f>IF(ISNUMBER(EB96),EB96*(1+PortfolioFrontier[[#This Row],[P33 Return]]),1+PortfolioFrontier[[#This Row],[P33 Return]])</f>
        <v>1.8495628745716746</v>
      </c>
      <c r="EC97" s="27">
        <f>MAX(EC96,PortfolioFrontier[[#This Row],[P33 Growth]])</f>
        <v>1.8495628745716746</v>
      </c>
      <c r="ED97" s="27">
        <f>PortfolioFrontier[[#This Row],[P33 Growth]]/PortfolioFrontier[[#This Row],[P33 HWM]]-1</f>
        <v>0</v>
      </c>
      <c r="EE97" s="28">
        <f>SUMPRODUCT(INDEX(PortfolioRef[[SPY]:[PE]],MATCH(EE$1,PortfolioRef[Reference '#]),0),AssetMonthlyReturns[[#This Row],[SPY]:[PE]])</f>
        <v>1.5642046976299073E-2</v>
      </c>
      <c r="EF97" s="27">
        <f>IF(ISNUMBER(EF96),EF96*(1+PortfolioFrontier[[#This Row],[P34 Return]]),1+PortfolioFrontier[[#This Row],[P34 Return]])</f>
        <v>1.6911060453458755</v>
      </c>
      <c r="EG97" s="27">
        <f>MAX(EG96,PortfolioFrontier[[#This Row],[P34 Growth]])</f>
        <v>1.6911060453458755</v>
      </c>
      <c r="EH97" s="27">
        <f>PortfolioFrontier[[#This Row],[P34 Growth]]/PortfolioFrontier[[#This Row],[P34 HWM]]-1</f>
        <v>0</v>
      </c>
      <c r="EI97" s="28">
        <f>SUMPRODUCT(INDEX(PortfolioRef[[SPY]:[PE]],MATCH(EI$1,PortfolioRef[Reference '#]),0),AssetMonthlyReturns[[#This Row],[SPY]:[PE]])</f>
        <v>1.6753172237161936E-2</v>
      </c>
      <c r="EJ97" s="27">
        <f>IF(ISNUMBER(EJ96),EJ96*(1+PortfolioFrontier[[#This Row],[P35 Return]]),1+PortfolioFrontier[[#This Row],[P35 Return]])</f>
        <v>1.7254514351779464</v>
      </c>
      <c r="EK97" s="27">
        <f>MAX(EK96,PortfolioFrontier[[#This Row],[P35 Growth]])</f>
        <v>1.7254514351779464</v>
      </c>
      <c r="EL97" s="27">
        <f>PortfolioFrontier[[#This Row],[P35 Growth]]/PortfolioFrontier[[#This Row],[P35 HWM]]-1</f>
        <v>0</v>
      </c>
      <c r="EM97" s="28">
        <f>SUMPRODUCT(INDEX(PortfolioRef[[SPY]:[PE]],MATCH(EM$1,PortfolioRef[Reference '#]),0),AssetMonthlyReturns[[#This Row],[SPY]:[PE]])</f>
        <v>1.7514385648342689E-2</v>
      </c>
      <c r="EN97" s="27">
        <f>IF(ISNUMBER(EN96),EN96*(1+PortfolioFrontier[[#This Row],[P36 Return]]),1+PortfolioFrontier[[#This Row],[P36 Return]])</f>
        <v>1.7183893101897261</v>
      </c>
      <c r="EO97" s="27">
        <f>MAX(EO96,PortfolioFrontier[[#This Row],[P36 Growth]])</f>
        <v>1.7183893101897261</v>
      </c>
      <c r="EP97" s="27">
        <f>PortfolioFrontier[[#This Row],[P36 Growth]]/PortfolioFrontier[[#This Row],[P36 HWM]]-1</f>
        <v>0</v>
      </c>
      <c r="EQ97" s="28">
        <f>SUMPRODUCT(INDEX(PortfolioRef[[SPY]:[PE]],MATCH(EQ$1,PortfolioRef[Reference '#]),0),AssetMonthlyReturns[[#This Row],[SPY]:[PE]])</f>
        <v>1.7086050059346922E-2</v>
      </c>
      <c r="ER97" s="27">
        <f>IF(ISNUMBER(ER96),ER96*(1+PortfolioFrontier[[#This Row],[P37 Return]]),1+PortfolioFrontier[[#This Row],[P37 Return]])</f>
        <v>1.7123629056321723</v>
      </c>
      <c r="ES97" s="27">
        <f>MAX(ES96,PortfolioFrontier[[#This Row],[P37 Growth]])</f>
        <v>1.7123629056321723</v>
      </c>
      <c r="ET97" s="27">
        <f>PortfolioFrontier[[#This Row],[P37 Growth]]/PortfolioFrontier[[#This Row],[P37 HWM]]-1</f>
        <v>0</v>
      </c>
      <c r="EU97" s="28">
        <f>SUMPRODUCT(INDEX(PortfolioRef[[SPY]:[PE]],MATCH(EU$1,PortfolioRef[Reference '#]),0),AssetMonthlyReturns[[#This Row],[SPY]:[PE]])</f>
        <v>1.7864297498024803E-2</v>
      </c>
      <c r="EV97" s="27">
        <f>IF(ISNUMBER(EV96),EV96*(1+PortfolioFrontier[[#This Row],[P38 Return]]),1+PortfolioFrontier[[#This Row],[P38 Return]])</f>
        <v>1.7600126735594968</v>
      </c>
      <c r="EW97" s="27">
        <f>MAX(EW96,PortfolioFrontier[[#This Row],[P38 Growth]])</f>
        <v>1.7600126735594968</v>
      </c>
      <c r="EX97" s="27">
        <f>PortfolioFrontier[[#This Row],[P38 Growth]]/PortfolioFrontier[[#This Row],[P38 HWM]]-1</f>
        <v>0</v>
      </c>
      <c r="EY97" s="28">
        <f>SUMPRODUCT(INDEX(PortfolioRef[[SPY]:[PE]],MATCH(EY$1,PortfolioRef[Reference '#]),0),AssetMonthlyReturns[[#This Row],[SPY]:[PE]])</f>
        <v>1.8625510909205552E-2</v>
      </c>
      <c r="EZ97" s="27">
        <f>IF(ISNUMBER(EZ96),EZ96*(1+PortfolioFrontier[[#This Row],[P39 Return]]),1+PortfolioFrontier[[#This Row],[P39 Return]])</f>
        <v>1.75326029644546</v>
      </c>
      <c r="FA97" s="27">
        <f>MAX(FA96,PortfolioFrontier[[#This Row],[P39 Growth]])</f>
        <v>1.75326029644546</v>
      </c>
      <c r="FB97" s="27">
        <f>PortfolioFrontier[[#This Row],[P39 Growth]]/PortfolioFrontier[[#This Row],[P39 HWM]]-1</f>
        <v>0</v>
      </c>
      <c r="FC97" s="28">
        <f>SUMPRODUCT(INDEX(PortfolioRef[[SPY]:[PE]],MATCH(FC$1,PortfolioRef[Reference '#]),0),AssetMonthlyReturns[[#This Row],[SPY]:[PE]])</f>
        <v>1.8197175320209789E-2</v>
      </c>
      <c r="FD97" s="27">
        <f>IF(ISNUMBER(FD96),FD96*(1+PortfolioFrontier[[#This Row],[P40 Return]]),1+PortfolioFrontier[[#This Row],[P40 Return]])</f>
        <v>1.747134804547162</v>
      </c>
      <c r="FE97" s="27">
        <f>MAX(FE96,PortfolioFrontier[[#This Row],[P40 Growth]])</f>
        <v>1.747134804547162</v>
      </c>
      <c r="FF97" s="27">
        <f>PortfolioFrontier[[#This Row],[P40 Growth]]/PortfolioFrontier[[#This Row],[P40 HWM]]-1</f>
        <v>0</v>
      </c>
      <c r="FG97" s="28">
        <f>SUMPRODUCT(INDEX(PortfolioRef[[SPY]:[PE]],MATCH(FG$1,PortfolioRef[Reference '#]),0),AssetMonthlyReturns[[#This Row],[SPY]:[PE]])</f>
        <v>1.9386724320386305E-2</v>
      </c>
      <c r="FH97" s="27">
        <f>IF(ISNUMBER(FH96),FH96*(1+PortfolioFrontier[[#This Row],[P41 Return]]),1+PortfolioFrontier[[#This Row],[P41 Return]])</f>
        <v>1.7451507221581444</v>
      </c>
      <c r="FI97" s="27">
        <f>MAX(FI96,PortfolioFrontier[[#This Row],[P41 Growth]])</f>
        <v>1.7478091274239449</v>
      </c>
      <c r="FJ97" s="27">
        <f>PortfolioFrontier[[#This Row],[P41 Growth]]/PortfolioFrontier[[#This Row],[P41 HWM]]-1</f>
        <v>-1.5209928956708696E-3</v>
      </c>
      <c r="FK97" s="28">
        <f>SUMPRODUCT(INDEX(PortfolioRef[[SPY]:[PE]],MATCH(FK$1,PortfolioRef[Reference '#]),0),AssetMonthlyReturns[[#This Row],[SPY]:[PE]])</f>
        <v>1.8958388731390542E-2</v>
      </c>
      <c r="FL97" s="27">
        <f>IF(ISNUMBER(FL96),FL96*(1+PortfolioFrontier[[#This Row],[P42 Return]]),1+PortfolioFrontier[[#This Row],[P42 Return]])</f>
        <v>1.7400631096290728</v>
      </c>
      <c r="FM97" s="27">
        <f>MAX(FM96,PortfolioFrontier[[#This Row],[P42 Growth]])</f>
        <v>1.7400631096290728</v>
      </c>
      <c r="FN97" s="27">
        <f>PortfolioFrontier[[#This Row],[P42 Growth]]/PortfolioFrontier[[#This Row],[P42 HWM]]-1</f>
        <v>0</v>
      </c>
      <c r="FO97" s="28">
        <f>SUMPRODUCT(INDEX(PortfolioRef[[SPY]:[PE]],MATCH(FO$1,PortfolioRef[Reference '#]),0),AssetMonthlyReturns[[#This Row],[SPY]:[PE]])</f>
        <v>1.8530053142394774E-2</v>
      </c>
      <c r="FP97" s="27">
        <f>IF(ISNUMBER(FP96),FP96*(1+PortfolioFrontier[[#This Row],[P43 Return]]),1+PortfolioFrontier[[#This Row],[P43 Return]])</f>
        <v>1.7336641478484491</v>
      </c>
      <c r="FQ97" s="27">
        <f>MAX(FQ96,PortfolioFrontier[[#This Row],[P43 Growth]])</f>
        <v>1.7336641478484491</v>
      </c>
      <c r="FR97" s="27">
        <f>PortfolioFrontier[[#This Row],[P43 Growth]]/PortfolioFrontier[[#This Row],[P43 HWM]]-1</f>
        <v>0</v>
      </c>
      <c r="FS97" s="28">
        <f>SUMPRODUCT(INDEX(PortfolioRef[[SPY]:[PE]],MATCH(FS$1,PortfolioRef[Reference '#]),0),AssetMonthlyReturns[[#This Row],[SPY]:[PE]])</f>
        <v>1.973663617006842E-2</v>
      </c>
      <c r="FT97" s="27">
        <f>IF(ISNUMBER(FT96),FT96*(1+PortfolioFrontier[[#This Row],[P44 Return]]),1+PortfolioFrontier[[#This Row],[P44 Return]])</f>
        <v>1.7883500285932135</v>
      </c>
      <c r="FU97" s="27">
        <f>MAX(FU96,PortfolioFrontier[[#This Row],[P44 Growth]])</f>
        <v>1.7883500285932135</v>
      </c>
      <c r="FV97" s="27">
        <f>PortfolioFrontier[[#This Row],[P44 Growth]]/PortfolioFrontier[[#This Row],[P44 HWM]]-1</f>
        <v>0</v>
      </c>
      <c r="FW97" s="28">
        <f>SUMPRODUCT(INDEX(PortfolioRef[[SPY]:[PE]],MATCH(FW$1,PortfolioRef[Reference '#]),0),AssetMonthlyReturns[[#This Row],[SPY]:[PE]])</f>
        <v>1.9308300581072656E-2</v>
      </c>
      <c r="FX97" s="27">
        <f>IF(ISNUMBER(FX96),FX96*(1+PortfolioFrontier[[#This Row],[P45 Return]]),1+PortfolioFrontier[[#This Row],[P45 Return]])</f>
        <v>1.7821253796097645</v>
      </c>
      <c r="FY97" s="27">
        <f>MAX(FY96,PortfolioFrontier[[#This Row],[P45 Growth]])</f>
        <v>1.7821253796097645</v>
      </c>
      <c r="FZ97" s="27">
        <f>PortfolioFrontier[[#This Row],[P45 Growth]]/PortfolioFrontier[[#This Row],[P45 HWM]]-1</f>
        <v>0</v>
      </c>
      <c r="GA97" s="28">
        <f>SUMPRODUCT(INDEX(PortfolioRef[[SPY]:[PE]],MATCH(GA$1,PortfolioRef[Reference '#]),0),AssetMonthlyReturns[[#This Row],[SPY]:[PE]])</f>
        <v>2.0497849581249169E-2</v>
      </c>
      <c r="GB97" s="27">
        <f>IF(ISNUMBER(GB96),GB96*(1+PortfolioFrontier[[#This Row],[P46 Return]]),1+PortfolioFrontier[[#This Row],[P46 Return]])</f>
        <v>1.7805362971071101</v>
      </c>
      <c r="GC97" s="27">
        <f>MAX(GC96,PortfolioFrontier[[#This Row],[P46 Growth]])</f>
        <v>1.7805362971071101</v>
      </c>
      <c r="GD97" s="27">
        <f>PortfolioFrontier[[#This Row],[P46 Growth]]/PortfolioFrontier[[#This Row],[P46 HWM]]-1</f>
        <v>0</v>
      </c>
      <c r="GE97" s="28">
        <f>SUMPRODUCT(INDEX(PortfolioRef[[SPY]:[PE]],MATCH(GE$1,PortfolioRef[Reference '#]),0),AssetMonthlyReturns[[#This Row],[SPY]:[PE]])</f>
        <v>2.0069513992253405E-2</v>
      </c>
      <c r="GF97" s="27">
        <f>IF(ISNUMBER(GF96),GF96*(1+PortfolioFrontier[[#This Row],[P47 Return]]),1+PortfolioFrontier[[#This Row],[P47 Return]])</f>
        <v>1.7753686256664651</v>
      </c>
      <c r="GG97" s="27">
        <f>MAX(GG96,PortfolioFrontier[[#This Row],[P47 Growth]])</f>
        <v>1.7753686256664651</v>
      </c>
      <c r="GH97" s="27">
        <f>PortfolioFrontier[[#This Row],[P47 Growth]]/PortfolioFrontier[[#This Row],[P47 HWM]]-1</f>
        <v>0</v>
      </c>
      <c r="GI97" s="28">
        <f>SUMPRODUCT(INDEX(PortfolioRef[[SPY]:[PE]],MATCH(GI$1,PortfolioRef[Reference '#]),0),AssetMonthlyReturns[[#This Row],[SPY]:[PE]])</f>
        <v>1.9641178403257638E-2</v>
      </c>
      <c r="GJ97" s="27">
        <f>IF(ISNUMBER(GJ96),GJ96*(1+PortfolioFrontier[[#This Row],[P48 Return]]),1+PortfolioFrontier[[#This Row],[P48 Return]])</f>
        <v>1.7688634628513871</v>
      </c>
      <c r="GK97" s="27">
        <f>MAX(GK96,PortfolioFrontier[[#This Row],[P48 Growth]])</f>
        <v>1.7688634628513871</v>
      </c>
      <c r="GL97" s="27">
        <f>PortfolioFrontier[[#This Row],[P48 Growth]]/PortfolioFrontier[[#This Row],[P48 HWM]]-1</f>
        <v>0</v>
      </c>
      <c r="GM97" s="28">
        <f>SUMPRODUCT(INDEX(PortfolioRef[[SPY]:[PE]],MATCH(GM$1,PortfolioRef[Reference '#]),0),AssetMonthlyReturns[[#This Row],[SPY]:[PE]])</f>
        <v>2.1259062992429922E-2</v>
      </c>
      <c r="GN97" s="27">
        <f>IF(ISNUMBER(GN96),GN96*(1+PortfolioFrontier[[#This Row],[P49 Return]]),1+PortfolioFrontier[[#This Row],[P49 Return]])</f>
        <v>1.7713488020736667</v>
      </c>
      <c r="GO97" s="27">
        <f>MAX(GO96,PortfolioFrontier[[#This Row],[P49 Growth]])</f>
        <v>1.7836571071341945</v>
      </c>
      <c r="GP97" s="27">
        <f>PortfolioFrontier[[#This Row],[P49 Growth]]/PortfolioFrontier[[#This Row],[P49 HWM]]-1</f>
        <v>-6.9006004636751328E-3</v>
      </c>
      <c r="GQ97" s="28">
        <f>SUMPRODUCT(INDEX(PortfolioRef[[SPY]:[PE]],MATCH(GQ$1,PortfolioRef[Reference '#]),0),AssetMonthlyReturns[[#This Row],[SPY]:[PE]])</f>
        <v>2.0830727403434158E-2</v>
      </c>
      <c r="GR97" s="27">
        <f>IF(ISNUMBER(GR96),GR96*(1+PortfolioFrontier[[#This Row],[P50 Return]]),1+PortfolioFrontier[[#This Row],[P50 Return]])</f>
        <v>1.7672374119605063</v>
      </c>
      <c r="GS97" s="27">
        <f>MAX(GS96,PortfolioFrontier[[#This Row],[P50 Growth]])</f>
        <v>1.7672374119605063</v>
      </c>
      <c r="GT97" s="27">
        <f>PortfolioFrontier[[#This Row],[P50 Growth]]/PortfolioFrontier[[#This Row],[P50 HWM]]-1</f>
        <v>0</v>
      </c>
      <c r="GU97" s="28">
        <f>SUMPRODUCT(INDEX(PortfolioRef[[SPY]:[PE]],MATCH(GU$1,PortfolioRef[Reference '#]),0),AssetMonthlyReturns[[#This Row],[SPY]:[PE]])</f>
        <v>2.0402391814438391E-2</v>
      </c>
      <c r="GV97" s="27">
        <f>IF(ISNUMBER(GV96),GV96*(1+PortfolioFrontier[[#This Row],[P51 Return]]),1+PortfolioFrontier[[#This Row],[P51 Return]])</f>
        <v>1.7617838838491355</v>
      </c>
      <c r="GW97" s="27">
        <f>MAX(GW96,PortfolioFrontier[[#This Row],[P51 Growth]])</f>
        <v>1.7617838838491355</v>
      </c>
      <c r="GX97" s="27">
        <f>PortfolioFrontier[[#This Row],[P51 Growth]]/PortfolioFrontier[[#This Row],[P51 HWM]]-1</f>
        <v>0</v>
      </c>
      <c r="GY97" s="28">
        <f>SUMPRODUCT(INDEX(PortfolioRef[[SPY]:[PE]],MATCH(GY$1,PortfolioRef[Reference '#]),0),AssetMonthlyReturns[[#This Row],[SPY]:[PE]])</f>
        <v>2.1608974842112036E-2</v>
      </c>
      <c r="GZ97" s="27">
        <f>IF(ISNUMBER(GZ96),GZ96*(1+PortfolioFrontier[[#This Row],[P52 Return]]),1+PortfolioFrontier[[#This Row],[P52 Return]])</f>
        <v>1.8161434390626778</v>
      </c>
      <c r="HA97" s="27">
        <f>MAX(HA96,PortfolioFrontier[[#This Row],[P52 Growth]])</f>
        <v>1.8161434390626778</v>
      </c>
      <c r="HB97" s="27">
        <f>PortfolioFrontier[[#This Row],[P52 Growth]]/PortfolioFrontier[[#This Row],[P52 HWM]]-1</f>
        <v>0</v>
      </c>
      <c r="HC97" s="28">
        <f>SUMPRODUCT(INDEX(PortfolioRef[[SPY]:[PE]],MATCH(HC$1,PortfolioRef[Reference '#]),0),AssetMonthlyReturns[[#This Row],[SPY]:[PE]])</f>
        <v>2.1180639253116272E-2</v>
      </c>
      <c r="HD97" s="27">
        <f>IF(ISNUMBER(HD96),HD96*(1+PortfolioFrontier[[#This Row],[P53 Return]]),1+PortfolioFrontier[[#This Row],[P53 Return]])</f>
        <v>1.8108957635054714</v>
      </c>
      <c r="HE97" s="27">
        <f>MAX(HE96,PortfolioFrontier[[#This Row],[P53 Growth]])</f>
        <v>1.8108957635054714</v>
      </c>
      <c r="HF97" s="27">
        <f>PortfolioFrontier[[#This Row],[P53 Growth]]/PortfolioFrontier[[#This Row],[P53 HWM]]-1</f>
        <v>0</v>
      </c>
      <c r="HG97" s="28">
        <f>SUMPRODUCT(INDEX(PortfolioRef[[SPY]:[PE]],MATCH(HG$1,PortfolioRef[Reference '#]),0),AssetMonthlyReturns[[#This Row],[SPY]:[PE]])</f>
        <v>2.0752303664120505E-2</v>
      </c>
      <c r="HH97" s="27">
        <f>IF(ISNUMBER(HH96),HH96*(1+PortfolioFrontier[[#This Row],[P54 Return]]),1+PortfolioFrontier[[#This Row],[P54 Return]])</f>
        <v>1.8042842918232007</v>
      </c>
      <c r="HI97" s="27">
        <f>MAX(HI96,PortfolioFrontier[[#This Row],[P54 Growth]])</f>
        <v>1.8042842918232007</v>
      </c>
      <c r="HJ97" s="27">
        <f>PortfolioFrontier[[#This Row],[P54 Growth]]/PortfolioFrontier[[#This Row],[P54 HWM]]-1</f>
        <v>0</v>
      </c>
      <c r="HK97" s="28">
        <f>SUMPRODUCT(INDEX(PortfolioRef[[SPY]:[PE]],MATCH(HK$1,PortfolioRef[Reference '#]),0),AssetMonthlyReturns[[#This Row],[SPY]:[PE]])</f>
        <v>2.2370188253292785E-2</v>
      </c>
      <c r="HL97" s="27">
        <f>IF(ISNUMBER(HL96),HL96*(1+PortfolioFrontier[[#This Row],[P55 Return]]),1+PortfolioFrontier[[#This Row],[P55 Return]])</f>
        <v>1.8072371657110144</v>
      </c>
      <c r="HM97" s="27">
        <f>MAX(HM96,PortfolioFrontier[[#This Row],[P55 Growth]])</f>
        <v>1.8072371657110144</v>
      </c>
      <c r="HN97" s="27">
        <f>PortfolioFrontier[[#This Row],[P55 Growth]]/PortfolioFrontier[[#This Row],[P55 HWM]]-1</f>
        <v>0</v>
      </c>
      <c r="HO97" s="28">
        <f>SUMPRODUCT(INDEX(PortfolioRef[[SPY]:[PE]],MATCH(HO$1,PortfolioRef[Reference '#]),0),AssetMonthlyReturns[[#This Row],[SPY]:[PE]])</f>
        <v>2.1941852664297021E-2</v>
      </c>
      <c r="HP97" s="27">
        <f>IF(ISNUMBER(HP96),HP96*(1+PortfolioFrontier[[#This Row],[P56 Return]]),1+PortfolioFrontier[[#This Row],[P56 Return]])</f>
        <v>1.8030654494368672</v>
      </c>
      <c r="HQ97" s="27">
        <f>MAX(HQ96,PortfolioFrontier[[#This Row],[P56 Growth]])</f>
        <v>1.8030654494368672</v>
      </c>
      <c r="HR97" s="27">
        <f>PortfolioFrontier[[#This Row],[P56 Growth]]/PortfolioFrontier[[#This Row],[P56 HWM]]-1</f>
        <v>0</v>
      </c>
      <c r="HS97" s="28">
        <f>SUMPRODUCT(INDEX(PortfolioRef[[SPY]:[PE]],MATCH(HS$1,PortfolioRef[Reference '#]),0),AssetMonthlyReturns[[#This Row],[SPY]:[PE]])</f>
        <v>2.1513517075301254E-2</v>
      </c>
      <c r="HT97" s="27">
        <f>IF(ISNUMBER(HT96),HT96*(1+PortfolioFrontier[[#This Row],[P57 Return]]),1+PortfolioFrontier[[#This Row],[P57 Return]])</f>
        <v>1.7975248881206638</v>
      </c>
      <c r="HU97" s="27">
        <f>MAX(HU96,PortfolioFrontier[[#This Row],[P57 Growth]])</f>
        <v>1.7975248881206638</v>
      </c>
      <c r="HV97" s="27">
        <f>PortfolioFrontier[[#This Row],[P57 Growth]]/PortfolioFrontier[[#This Row],[P57 HWM]]-1</f>
        <v>0</v>
      </c>
      <c r="HW97" s="28">
        <f>SUMPRODUCT(INDEX(PortfolioRef[[SPY]:[PE]],MATCH(HW$1,PortfolioRef[Reference '#]),0),AssetMonthlyReturns[[#This Row],[SPY]:[PE]])</f>
        <v>2.3131401664473538E-2</v>
      </c>
      <c r="HX97" s="27">
        <f>IF(ISNUMBER(HX96),HX96*(1+PortfolioFrontier[[#This Row],[P58 Return]]),1+PortfolioFrontier[[#This Row],[P58 Return]])</f>
        <v>1.796942006674596</v>
      </c>
      <c r="HY97" s="27">
        <f>MAX(HY96,PortfolioFrontier[[#This Row],[P58 Growth]])</f>
        <v>1.8195487359549802</v>
      </c>
      <c r="HZ97" s="27">
        <f>PortfolioFrontier[[#This Row],[P58 Growth]]/PortfolioFrontier[[#This Row],[P58 HWM]]-1</f>
        <v>-1.2424360410725255E-2</v>
      </c>
      <c r="IA97" s="28">
        <f>SUMPRODUCT(INDEX(PortfolioRef[[SPY]:[PE]],MATCH(IA$1,PortfolioRef[Reference '#]),0),AssetMonthlyReturns[[#This Row],[SPY]:[PE]])</f>
        <v>2.2703066075477774E-2</v>
      </c>
      <c r="IB97" s="27">
        <f>IF(ISNUMBER(IB96),IB96*(1+PortfolioFrontier[[#This Row],[P59 Return]]),1+PortfolioFrontier[[#This Row],[P59 Return]])</f>
        <v>1.7938437630460822</v>
      </c>
      <c r="IC97" s="27">
        <f>MAX(IC96,PortfolioFrontier[[#This Row],[P59 Growth]])</f>
        <v>1.7938437630460822</v>
      </c>
      <c r="ID97" s="27">
        <f>PortfolioFrontier[[#This Row],[P59 Growth]]/PortfolioFrontier[[#This Row],[P59 HWM]]-1</f>
        <v>0</v>
      </c>
      <c r="IE97" s="28">
        <f>SUMPRODUCT(INDEX(PortfolioRef[[SPY]:[PE]],MATCH(IE$1,PortfolioRef[Reference '#]),0),AssetMonthlyReturns[[#This Row],[SPY]:[PE]])</f>
        <v>2.2274730486482007E-2</v>
      </c>
      <c r="IF97" s="27">
        <f>IF(ISNUMBER(IF96),IF96*(1+PortfolioFrontier[[#This Row],[P60 Return]]),1+PortfolioFrontier[[#This Row],[P60 Return]])</f>
        <v>1.7893737155132012</v>
      </c>
      <c r="IG97" s="27">
        <f>MAX(IG96,PortfolioFrontier[[#This Row],[P60 Growth]])</f>
        <v>1.7893737155132012</v>
      </c>
      <c r="IH97" s="27">
        <f>PortfolioFrontier[[#This Row],[P60 Growth]]/PortfolioFrontier[[#This Row],[P60 HWM]]-1</f>
        <v>0</v>
      </c>
      <c r="II97" s="28">
        <f>SUMPRODUCT(INDEX(PortfolioRef[[SPY]:[PE]],MATCH(II$1,PortfolioRef[Reference '#]),0),AssetMonthlyReturns[[#This Row],[SPY]:[PE]])</f>
        <v>1.214975130983542E-2</v>
      </c>
      <c r="IJ97" s="27">
        <f>IF(ISNUMBER(IJ96),IJ96*(1+PortfolioFrontier[[#This Row],[P61 Return]]),1+PortfolioFrontier[[#This Row],[P61 Return]])</f>
        <v>1.6094272886597576</v>
      </c>
      <c r="IK97" s="27">
        <f>MAX(IK96,PortfolioFrontier[[#This Row],[P61 Growth]])</f>
        <v>1.6121264956964798</v>
      </c>
      <c r="IL97" s="27">
        <f>PortfolioFrontier[[#This Row],[P61 Growth]]/PortfolioFrontier[[#This Row],[P61 HWM]]-1</f>
        <v>-1.6743146669493392E-3</v>
      </c>
      <c r="IM97" s="28">
        <f>SUMPRODUCT(INDEX(PortfolioRef[[SPY]:[PE]],MATCH(IM$1,PortfolioRef[Reference '#]),0),AssetMonthlyReturns[[#This Row],[SPY]:[PE]])</f>
        <v>1.3260876570698287E-2</v>
      </c>
      <c r="IN97" s="27">
        <f>IF(ISNUMBER(IN96),IN96*(1+PortfolioFrontier[[#This Row],[P62 Return]]),1+PortfolioFrontier[[#This Row],[P62 Return]])</f>
        <v>1.6421233765479322</v>
      </c>
      <c r="IO97" s="27">
        <f>MAX(IO96,PortfolioFrontier[[#This Row],[P62 Growth]])</f>
        <v>1.6421233765479322</v>
      </c>
      <c r="IP97" s="27">
        <f>PortfolioFrontier[[#This Row],[P62 Growth]]/PortfolioFrontier[[#This Row],[P62 HWM]]-1</f>
        <v>0</v>
      </c>
      <c r="IQ97" s="28">
        <f>SUMPRODUCT(INDEX(PortfolioRef[[SPY]:[PE]],MATCH(IQ$1,PortfolioRef[Reference '#]),0),AssetMonthlyReturns[[#This Row],[SPY]:[PE]])</f>
        <v>1.4022089981879036E-2</v>
      </c>
      <c r="IR97" s="27">
        <f>IF(ISNUMBER(IR96),IR96*(1+PortfolioFrontier[[#This Row],[P63 Return]]),1+PortfolioFrontier[[#This Row],[P63 Return]])</f>
        <v>1.6360252300202154</v>
      </c>
      <c r="IS97" s="27">
        <f>MAX(IS96,PortfolioFrontier[[#This Row],[P63 Growth]])</f>
        <v>1.646884909102555</v>
      </c>
      <c r="IT97" s="27">
        <f>PortfolioFrontier[[#This Row],[P63 Growth]]/PortfolioFrontier[[#This Row],[P63 HWM]]-1</f>
        <v>-6.5940728598075093E-3</v>
      </c>
      <c r="IU97" s="28">
        <f>SUMPRODUCT(INDEX(PortfolioRef[[SPY]:[PE]],MATCH(IU$1,PortfolioRef[Reference '#]),0),AssetMonthlyReturns[[#This Row],[SPY]:[PE]])</f>
        <v>1.3593754392883272E-2</v>
      </c>
      <c r="IV97" s="27">
        <f>IF(ISNUMBER(IV96),IV96*(1+PortfolioFrontier[[#This Row],[P64 Return]]),1+PortfolioFrontier[[#This Row],[P64 Return]])</f>
        <v>1.629679771836793</v>
      </c>
      <c r="IW97" s="27">
        <f>MAX(IW96,PortfolioFrontier[[#This Row],[P64 Growth]])</f>
        <v>1.629679771836793</v>
      </c>
      <c r="IX97" s="27">
        <f>PortfolioFrontier[[#This Row],[P64 Growth]]/PortfolioFrontier[[#This Row],[P64 HWM]]-1</f>
        <v>0</v>
      </c>
      <c r="IY97" s="28">
        <f>SUMPRODUCT(INDEX(PortfolioRef[[SPY]:[PE]],MATCH(IY$1,PortfolioRef[Reference '#]),0),AssetMonthlyReturns[[#This Row],[SPY]:[PE]])</f>
        <v>1.4372001831561152E-2</v>
      </c>
      <c r="IZ97" s="27">
        <f>IF(ISNUMBER(IZ96),IZ96*(1+PortfolioFrontier[[#This Row],[P65 Return]]),1+PortfolioFrontier[[#This Row],[P65 Return]])</f>
        <v>1.6750244046842926</v>
      </c>
      <c r="JA97" s="27">
        <f>MAX(JA96,PortfolioFrontier[[#This Row],[P65 Growth]])</f>
        <v>1.6750244046842926</v>
      </c>
      <c r="JB97" s="27">
        <f>PortfolioFrontier[[#This Row],[P65 Growth]]/PortfolioFrontier[[#This Row],[P65 HWM]]-1</f>
        <v>0</v>
      </c>
      <c r="JC97" s="28">
        <f>SUMPRODUCT(INDEX(PortfolioRef[[SPY]:[PE]],MATCH(JC$1,PortfolioRef[Reference '#]),0),AssetMonthlyReturns[[#This Row],[SPY]:[PE]])</f>
        <v>1.5133215242741903E-2</v>
      </c>
      <c r="JD97" s="27">
        <f>IF(ISNUMBER(JD96),JD96*(1+PortfolioFrontier[[#This Row],[P66 Return]]),1+PortfolioFrontier[[#This Row],[P66 Return]])</f>
        <v>1.6692342354755685</v>
      </c>
      <c r="JE97" s="27">
        <f>MAX(JE96,PortfolioFrontier[[#This Row],[P66 Growth]])</f>
        <v>1.6692342354755685</v>
      </c>
      <c r="JF97" s="27">
        <f>PortfolioFrontier[[#This Row],[P66 Growth]]/PortfolioFrontier[[#This Row],[P66 HWM]]-1</f>
        <v>0</v>
      </c>
      <c r="JG97" s="28">
        <f>SUMPRODUCT(INDEX(PortfolioRef[[SPY]:[PE]],MATCH(JG$1,PortfolioRef[Reference '#]),0),AssetMonthlyReturns[[#This Row],[SPY]:[PE]])</f>
        <v>1.4704879653746139E-2</v>
      </c>
      <c r="JH97" s="27">
        <f>IF(ISNUMBER(JH96),JH96*(1+PortfolioFrontier[[#This Row],[P67 Return]]),1+PortfolioFrontier[[#This Row],[P67 Return]])</f>
        <v>1.6627823790345861</v>
      </c>
      <c r="JI97" s="27">
        <f>MAX(JI96,PortfolioFrontier[[#This Row],[P67 Growth]])</f>
        <v>1.6627823790345861</v>
      </c>
      <c r="JJ97" s="27">
        <f>PortfolioFrontier[[#This Row],[P67 Growth]]/PortfolioFrontier[[#This Row],[P67 HWM]]-1</f>
        <v>0</v>
      </c>
      <c r="JK97" s="28">
        <f>SUMPRODUCT(INDEX(PortfolioRef[[SPY]:[PE]],MATCH(JK$1,PortfolioRef[Reference '#]),0),AssetMonthlyReturns[[#This Row],[SPY]:[PE]])</f>
        <v>1.5894428653922654E-2</v>
      </c>
      <c r="JL97" s="27">
        <f>IF(ISNUMBER(JL96),JL96*(1+PortfolioFrontier[[#This Row],[P68 Return]]),1+PortfolioFrontier[[#This Row],[P68 Return]])</f>
        <v>1.6621483010024829</v>
      </c>
      <c r="JM97" s="27">
        <f>MAX(JM96,PortfolioFrontier[[#This Row],[P68 Growth]])</f>
        <v>1.6817622542850994</v>
      </c>
      <c r="JN97" s="27">
        <f>PortfolioFrontier[[#This Row],[P68 Growth]]/PortfolioFrontier[[#This Row],[P68 HWM]]-1</f>
        <v>-1.1662738435614495E-2</v>
      </c>
      <c r="JO97" s="28">
        <f>SUMPRODUCT(INDEX(PortfolioRef[[SPY]:[PE]],MATCH(JO$1,PortfolioRef[Reference '#]),0),AssetMonthlyReturns[[#This Row],[SPY]:[PE]])</f>
        <v>1.5466093064926889E-2</v>
      </c>
      <c r="JP97" s="27">
        <f>IF(ISNUMBER(JP96),JP96*(1+PortfolioFrontier[[#This Row],[P69 Return]]),1+PortfolioFrontier[[#This Row],[P69 Return]])</f>
        <v>1.6566828334385952</v>
      </c>
      <c r="JQ97" s="27">
        <f>MAX(JQ96,PortfolioFrontier[[#This Row],[P69 Growth]])</f>
        <v>1.6566828334385952</v>
      </c>
      <c r="JR97" s="27">
        <f>PortfolioFrontier[[#This Row],[P69 Growth]]/PortfolioFrontier[[#This Row],[P69 HWM]]-1</f>
        <v>0</v>
      </c>
      <c r="JS97" s="28">
        <f>SUMPRODUCT(INDEX(PortfolioRef[[SPY]:[PE]],MATCH(JS$1,PortfolioRef[Reference '#]),0),AssetMonthlyReturns[[#This Row],[SPY]:[PE]])</f>
        <v>1.5037757475931123E-2</v>
      </c>
      <c r="JT97" s="27">
        <f>IF(ISNUMBER(JT96),JT96*(1+PortfolioFrontier[[#This Row],[P70 Return]]),1+PortfolioFrontier[[#This Row],[P70 Return]])</f>
        <v>1.6499750606649137</v>
      </c>
      <c r="JU97" s="27">
        <f>MAX(JU96,PortfolioFrontier[[#This Row],[P70 Growth]])</f>
        <v>1.6499750606649137</v>
      </c>
      <c r="JV97" s="27">
        <f>PortfolioFrontier[[#This Row],[P70 Growth]]/PortfolioFrontier[[#This Row],[P70 HWM]]-1</f>
        <v>0</v>
      </c>
      <c r="JW97" s="28">
        <f>SUMPRODUCT(INDEX(PortfolioRef[[SPY]:[PE]],MATCH(JW$1,PortfolioRef[Reference '#]),0),AssetMonthlyReturns[[#This Row],[SPY]:[PE]])</f>
        <v>1.6244340503604768E-2</v>
      </c>
      <c r="JX97" s="27">
        <f>IF(ISNUMBER(JX96),JX96*(1+PortfolioFrontier[[#This Row],[P71 Return]]),1+PortfolioFrontier[[#This Row],[P71 Return]])</f>
        <v>1.7026510079817603</v>
      </c>
      <c r="JY97" s="27">
        <f>MAX(JY96,PortfolioFrontier[[#This Row],[P71 Growth]])</f>
        <v>1.7026510079817603</v>
      </c>
      <c r="JZ97" s="27">
        <f>PortfolioFrontier[[#This Row],[P71 Growth]]/PortfolioFrontier[[#This Row],[P71 HWM]]-1</f>
        <v>0</v>
      </c>
      <c r="KA97" s="28">
        <f>SUMPRODUCT(INDEX(PortfolioRef[[SPY]:[PE]],MATCH(KA$1,PortfolioRef[Reference '#]),0),AssetMonthlyReturns[[#This Row],[SPY]:[PE]])</f>
        <v>1.5816004914609005E-2</v>
      </c>
      <c r="KB97" s="27">
        <f>IF(ISNUMBER(KB96),KB96*(1+PortfolioFrontier[[#This Row],[P72 Return]]),1+PortfolioFrontier[[#This Row],[P72 Return]])</f>
        <v>1.696092616690827</v>
      </c>
      <c r="KC97" s="27">
        <f>MAX(KC96,PortfolioFrontier[[#This Row],[P72 Growth]])</f>
        <v>1.696092616690827</v>
      </c>
      <c r="KD97" s="27">
        <f>PortfolioFrontier[[#This Row],[P72 Growth]]/PortfolioFrontier[[#This Row],[P72 HWM]]-1</f>
        <v>0</v>
      </c>
      <c r="KE97" s="28">
        <f>SUMPRODUCT(INDEX(PortfolioRef[[SPY]:[PE]],MATCH(KE$1,PortfolioRef[Reference '#]),0),AssetMonthlyReturns[[#This Row],[SPY]:[PE]])</f>
        <v>1.7005553914785521E-2</v>
      </c>
      <c r="KF97" s="27">
        <f>IF(ISNUMBER(KF96),KF96*(1+PortfolioFrontier[[#This Row],[P73 Return]]),1+PortfolioFrontier[[#This Row],[P73 Return]])</f>
        <v>1.6958601554853874</v>
      </c>
      <c r="KG97" s="27">
        <f>MAX(KG96,PortfolioFrontier[[#This Row],[P73 Growth]])</f>
        <v>1.6974712283523181</v>
      </c>
      <c r="KH97" s="27">
        <f>PortfolioFrontier[[#This Row],[P73 Growth]]/PortfolioFrontier[[#This Row],[P73 HWM]]-1</f>
        <v>-9.4910172262219206E-4</v>
      </c>
      <c r="KI97" s="28">
        <f>SUMPRODUCT(INDEX(PortfolioRef[[SPY]:[PE]],MATCH(KI$1,PortfolioRef[Reference '#]),0),AssetMonthlyReturns[[#This Row],[SPY]:[PE]])</f>
        <v>1.6577218325789754E-2</v>
      </c>
      <c r="KJ97" s="27">
        <f>IF(ISNUMBER(KJ96),KJ96*(1+PortfolioFrontier[[#This Row],[P74 Return]]),1+PortfolioFrontier[[#This Row],[P74 Return]])</f>
        <v>1.690306157007577</v>
      </c>
      <c r="KK97" s="27">
        <f>MAX(KK96,PortfolioFrontier[[#This Row],[P74 Growth]])</f>
        <v>1.690306157007577</v>
      </c>
      <c r="KL97" s="27">
        <f>PortfolioFrontier[[#This Row],[P74 Growth]]/PortfolioFrontier[[#This Row],[P74 HWM]]-1</f>
        <v>0</v>
      </c>
      <c r="KM97" s="28">
        <f>SUMPRODUCT(INDEX(PortfolioRef[[SPY]:[PE]],MATCH(KM$1,PortfolioRef[Reference '#]),0),AssetMonthlyReturns[[#This Row],[SPY]:[PE]])</f>
        <v>1.614888273679399E-2</v>
      </c>
      <c r="KN97" s="27">
        <f>IF(ISNUMBER(KN96),KN96*(1+PortfolioFrontier[[#This Row],[P75 Return]]),1+PortfolioFrontier[[#This Row],[P75 Return]])</f>
        <v>1.6834850625227167</v>
      </c>
      <c r="KO97" s="27">
        <f>MAX(KO96,PortfolioFrontier[[#This Row],[P75 Growth]])</f>
        <v>1.6834850625227167</v>
      </c>
      <c r="KP97" s="27">
        <f>PortfolioFrontier[[#This Row],[P75 Growth]]/PortfolioFrontier[[#This Row],[P75 HWM]]-1</f>
        <v>0</v>
      </c>
      <c r="KQ97" s="28">
        <f>SUMPRODUCT(INDEX(PortfolioRef[[SPY]:[PE]],MATCH(KQ$1,PortfolioRef[Reference '#]),0),AssetMonthlyReturns[[#This Row],[SPY]:[PE]])</f>
        <v>1.7766767325966267E-2</v>
      </c>
      <c r="KR97" s="27">
        <f>IF(ISNUMBER(KR96),KR96*(1+PortfolioFrontier[[#This Row],[P76 Return]]),1+PortfolioFrontier[[#This Row],[P76 Return]])</f>
        <v>1.6877566299155835</v>
      </c>
      <c r="KS97" s="27">
        <f>MAX(KS96,PortfolioFrontier[[#This Row],[P76 Growth]])</f>
        <v>1.7167314071133803</v>
      </c>
      <c r="KT97" s="27">
        <f>PortfolioFrontier[[#This Row],[P76 Growth]]/PortfolioFrontier[[#This Row],[P76 HWM]]-1</f>
        <v>-1.6877874475726418E-2</v>
      </c>
      <c r="KU97" s="28">
        <f>SUMPRODUCT(INDEX(PortfolioRef[[SPY]:[PE]],MATCH(KU$1,PortfolioRef[Reference '#]),0),AssetMonthlyReturns[[#This Row],[SPY]:[PE]])</f>
        <v>1.7338431736970503E-2</v>
      </c>
      <c r="KV97" s="27">
        <f>IF(ISNUMBER(KV96),KV96*(1+PortfolioFrontier[[#This Row],[P77 Return]]),1+PortfolioFrontier[[#This Row],[P77 Return]])</f>
        <v>1.683207488982968</v>
      </c>
      <c r="KW97" s="27">
        <f>MAX(KW96,PortfolioFrontier[[#This Row],[P77 Growth]])</f>
        <v>1.6849217747429484</v>
      </c>
      <c r="KX97" s="27">
        <f>PortfolioFrontier[[#This Row],[P77 Growth]]/PortfolioFrontier[[#This Row],[P77 HWM]]-1</f>
        <v>-1.0174275065333305E-3</v>
      </c>
      <c r="KY97" s="28">
        <f>SUMPRODUCT(INDEX(PortfolioRef[[SPY]:[PE]],MATCH(KY$1,PortfolioRef[Reference '#]),0),AssetMonthlyReturns[[#This Row],[SPY]:[PE]])</f>
        <v>1.691009614797474E-2</v>
      </c>
      <c r="KZ97" s="27">
        <f>IF(ISNUMBER(KZ96),KZ96*(1+PortfolioFrontier[[#This Row],[P78 Return]]),1+PortfolioFrontier[[#This Row],[P78 Return]])</f>
        <v>1.6773857447909848</v>
      </c>
      <c r="LA97" s="27">
        <f>MAX(LA96,PortfolioFrontier[[#This Row],[P78 Growth]])</f>
        <v>1.6773857447909848</v>
      </c>
      <c r="LB97" s="27">
        <f>PortfolioFrontier[[#This Row],[P78 Growth]]/PortfolioFrontier[[#This Row],[P78 HWM]]-1</f>
        <v>0</v>
      </c>
      <c r="LC97" s="28">
        <f>SUMPRODUCT(INDEX(PortfolioRef[[SPY]:[PE]],MATCH(LC$1,PortfolioRef[Reference '#]),0),AssetMonthlyReturns[[#This Row],[SPY]:[PE]])</f>
        <v>1.8116679175648385E-2</v>
      </c>
      <c r="LD97" s="27">
        <f>IF(ISNUMBER(LD96),LD96*(1+PortfolioFrontier[[#This Row],[P79 Return]]),1+PortfolioFrontier[[#This Row],[P79 Return]])</f>
        <v>1.729782533557136</v>
      </c>
      <c r="LE97" s="27">
        <f>MAX(LE96,PortfolioFrontier[[#This Row],[P79 Growth]])</f>
        <v>1.729782533557136</v>
      </c>
      <c r="LF97" s="27">
        <f>PortfolioFrontier[[#This Row],[P79 Growth]]/PortfolioFrontier[[#This Row],[P79 HWM]]-1</f>
        <v>0</v>
      </c>
      <c r="LG97" s="28">
        <f>SUMPRODUCT(INDEX(PortfolioRef[[SPY]:[PE]],MATCH(LG$1,PortfolioRef[Reference '#]),0),AssetMonthlyReturns[[#This Row],[SPY]:[PE]])</f>
        <v>1.7688343586652621E-2</v>
      </c>
      <c r="LH97" s="27">
        <f>IF(ISNUMBER(LH96),LH96*(1+PortfolioFrontier[[#This Row],[P80 Return]]),1+PortfolioFrontier[[#This Row],[P80 Return]])</f>
        <v>1.7241399847804906</v>
      </c>
      <c r="LI97" s="27">
        <f>MAX(LI96,PortfolioFrontier[[#This Row],[P80 Growth]])</f>
        <v>1.7241399847804906</v>
      </c>
      <c r="LJ97" s="27">
        <f>PortfolioFrontier[[#This Row],[P80 Growth]]/PortfolioFrontier[[#This Row],[P80 HWM]]-1</f>
        <v>0</v>
      </c>
      <c r="LK97" s="28">
        <f>SUMPRODUCT(INDEX(PortfolioRef[[SPY]:[PE]],MATCH(LK$1,PortfolioRef[Reference '#]),0),AssetMonthlyReturns[[#This Row],[SPY]:[PE]])</f>
        <v>1.7260007997656854E-2</v>
      </c>
      <c r="LL97" s="27">
        <f>IF(ISNUMBER(LL96),LL96*(1+PortfolioFrontier[[#This Row],[P81 Return]]),1+PortfolioFrontier[[#This Row],[P81 Return]])</f>
        <v>1.7172053948839661</v>
      </c>
      <c r="LM97" s="27">
        <f>MAX(LM96,PortfolioFrontier[[#This Row],[P81 Growth]])</f>
        <v>1.7172053948839661</v>
      </c>
      <c r="LN97" s="27">
        <f>PortfolioFrontier[[#This Row],[P81 Growth]]/PortfolioFrontier[[#This Row],[P81 HWM]]-1</f>
        <v>0</v>
      </c>
      <c r="LO97" s="28">
        <f>SUMPRODUCT(INDEX(PortfolioRef[[SPY]:[PE]],MATCH(LO$1,PortfolioRef[Reference '#]),0),AssetMonthlyReturns[[#This Row],[SPY]:[PE]])</f>
        <v>1.8877892586829138E-2</v>
      </c>
      <c r="LP97" s="27">
        <f>IF(ISNUMBER(LP96),LP96*(1+PortfolioFrontier[[#This Row],[P82 Return]]),1+PortfolioFrontier[[#This Row],[P82 Return]])</f>
        <v>1.7219605021362383</v>
      </c>
      <c r="LQ97" s="27">
        <f>MAX(LQ96,PortfolioFrontier[[#This Row],[P82 Growth]])</f>
        <v>1.7327259878391794</v>
      </c>
      <c r="LR97" s="27">
        <f>PortfolioFrontier[[#This Row],[P82 Growth]]/PortfolioFrontier[[#This Row],[P82 HWM]]-1</f>
        <v>-6.213034131476447E-3</v>
      </c>
      <c r="LS97" s="28">
        <f>SUMPRODUCT(INDEX(PortfolioRef[[SPY]:[PE]],MATCH(LS$1,PortfolioRef[Reference '#]),0),AssetMonthlyReturns[[#This Row],[SPY]:[PE]])</f>
        <v>1.8449556997833374E-2</v>
      </c>
      <c r="LT97" s="27">
        <f>IF(ISNUMBER(LT96),LT96*(1+PortfolioFrontier[[#This Row],[P83 Return]]),1+PortfolioFrontier[[#This Row],[P83 Return]])</f>
        <v>1.7173413825779558</v>
      </c>
      <c r="LU97" s="27">
        <f>MAX(LU96,PortfolioFrontier[[#This Row],[P83 Growth]])</f>
        <v>1.7173413825779558</v>
      </c>
      <c r="LV97" s="27">
        <f>PortfolioFrontier[[#This Row],[P83 Growth]]/PortfolioFrontier[[#This Row],[P83 HWM]]-1</f>
        <v>0</v>
      </c>
      <c r="LW97" s="28">
        <f>SUMPRODUCT(INDEX(PortfolioRef[[SPY]:[PE]],MATCH(LW$1,PortfolioRef[Reference '#]),0),AssetMonthlyReturns[[#This Row],[SPY]:[PE]])</f>
        <v>1.8021221408837607E-2</v>
      </c>
      <c r="LX97" s="27">
        <f>IF(ISNUMBER(LX96),LX96*(1+PortfolioFrontier[[#This Row],[P84 Return]]),1+PortfolioFrontier[[#This Row],[P84 Return]])</f>
        <v>1.7114243114767032</v>
      </c>
      <c r="LY97" s="27">
        <f>MAX(LY96,PortfolioFrontier[[#This Row],[P84 Growth]])</f>
        <v>1.7114243114767032</v>
      </c>
      <c r="LZ97" s="27">
        <f>PortfolioFrontier[[#This Row],[P84 Growth]]/PortfolioFrontier[[#This Row],[P84 HWM]]-1</f>
        <v>0</v>
      </c>
      <c r="MA97" s="28">
        <f>SUMPRODUCT(INDEX(PortfolioRef[[SPY]:[PE]],MATCH(MA$1,PortfolioRef[Reference '#]),0),AssetMonthlyReturns[[#This Row],[SPY]:[PE]])</f>
        <v>1.9639105998009884E-2</v>
      </c>
      <c r="MB97" s="27">
        <f>IF(ISNUMBER(MB96),MB96*(1+PortfolioFrontier[[#This Row],[P85 Return]]),1+PortfolioFrontier[[#This Row],[P85 Return]])</f>
        <v>1.7128102300833243</v>
      </c>
      <c r="MC97" s="27">
        <f>MAX(MC96,PortfolioFrontier[[#This Row],[P85 Growth]])</f>
        <v>1.7517641950154219</v>
      </c>
      <c r="MD97" s="27">
        <f>PortfolioFrontier[[#This Row],[P85 Growth]]/PortfolioFrontier[[#This Row],[P85 HWM]]-1</f>
        <v>-2.2236991167498221E-2</v>
      </c>
      <c r="ME97" s="28">
        <f>SUMPRODUCT(INDEX(PortfolioRef[[SPY]:[PE]],MATCH(ME$1,PortfolioRef[Reference '#]),0),AssetMonthlyReturns[[#This Row],[SPY]:[PE]])</f>
        <v>1.921077040901412E-2</v>
      </c>
      <c r="MF97" s="27">
        <f>IF(ISNUMBER(MF96),MF96*(1+PortfolioFrontier[[#This Row],[P86 Return]]),1+PortfolioFrontier[[#This Row],[P86 Return]])</f>
        <v>1.7092133209851343</v>
      </c>
      <c r="MG97" s="27">
        <f>MAX(MG96,PortfolioFrontier[[#This Row],[P86 Growth]])</f>
        <v>1.7199439154573082</v>
      </c>
      <c r="MH97" s="27">
        <f>PortfolioFrontier[[#This Row],[P86 Growth]]/PortfolioFrontier[[#This Row],[P86 HWM]]-1</f>
        <v>-6.2389211507054565E-3</v>
      </c>
      <c r="MI97" s="28">
        <f>SUMPRODUCT(INDEX(PortfolioRef[[SPY]:[PE]],MATCH(MI$1,PortfolioRef[Reference '#]),0),AssetMonthlyReturns[[#This Row],[SPY]:[PE]])</f>
        <v>1.8782434820018352E-2</v>
      </c>
      <c r="MJ97" s="27">
        <f>IF(ISNUMBER(MJ96),MJ96*(1+PortfolioFrontier[[#This Row],[P87 Return]]),1+PortfolioFrontier[[#This Row],[P87 Return]])</f>
        <v>1.7043145330991814</v>
      </c>
      <c r="MK97" s="27">
        <f>MAX(MK96,PortfolioFrontier[[#This Row],[P87 Growth]])</f>
        <v>1.7043145330991814</v>
      </c>
      <c r="ML97" s="27">
        <f>PortfolioFrontier[[#This Row],[P87 Growth]]/PortfolioFrontier[[#This Row],[P87 HWM]]-1</f>
        <v>0</v>
      </c>
      <c r="MM97" s="28">
        <f>SUMPRODUCT(INDEX(PortfolioRef[[SPY]:[PE]],MATCH(MM$1,PortfolioRef[Reference '#]),0),AssetMonthlyReturns[[#This Row],[SPY]:[PE]])</f>
        <v>1.9989017847692001E-2</v>
      </c>
      <c r="MN97" s="27">
        <f>IF(ISNUMBER(MN96),MN96*(1+PortfolioFrontier[[#This Row],[P88 Return]]),1+PortfolioFrontier[[#This Row],[P88 Return]])</f>
        <v>1.756377580074062</v>
      </c>
      <c r="MO97" s="27">
        <f>MAX(MO96,PortfolioFrontier[[#This Row],[P88 Growth]])</f>
        <v>1.756377580074062</v>
      </c>
      <c r="MP97" s="27">
        <f>PortfolioFrontier[[#This Row],[P88 Growth]]/PortfolioFrontier[[#This Row],[P88 HWM]]-1</f>
        <v>0</v>
      </c>
      <c r="MQ97" s="28">
        <f>SUMPRODUCT(INDEX(PortfolioRef[[SPY]:[PE]],MATCH(MQ$1,PortfolioRef[Reference '#]),0),AssetMonthlyReturns[[#This Row],[SPY]:[PE]])</f>
        <v>1.9560682258696237E-2</v>
      </c>
      <c r="MR97" s="27">
        <f>IF(ISNUMBER(MR96),MR96*(1+PortfolioFrontier[[#This Row],[P89 Return]]),1+PortfolioFrontier[[#This Row],[P89 Return]])</f>
        <v>1.7516885832259523</v>
      </c>
      <c r="MS97" s="27">
        <f>MAX(MS96,PortfolioFrontier[[#This Row],[P89 Growth]])</f>
        <v>1.7516885832259523</v>
      </c>
      <c r="MT97" s="27">
        <f>PortfolioFrontier[[#This Row],[P89 Growth]]/PortfolioFrontier[[#This Row],[P89 HWM]]-1</f>
        <v>0</v>
      </c>
      <c r="MU97" s="28">
        <f>SUMPRODUCT(INDEX(PortfolioRef[[SPY]:[PE]],MATCH(MU$1,PortfolioRef[Reference '#]),0),AssetMonthlyReturns[[#This Row],[SPY]:[PE]])</f>
        <v>1.913234666970047E-2</v>
      </c>
      <c r="MV97" s="27">
        <f>IF(ISNUMBER(MV96),MV96*(1+PortfolioFrontier[[#This Row],[P90 Return]]),1+PortfolioFrontier[[#This Row],[P90 Return]])</f>
        <v>1.7456761297527816</v>
      </c>
      <c r="MW97" s="27">
        <f>MAX(MW96,PortfolioFrontier[[#This Row],[P90 Growth]])</f>
        <v>1.7456761297527816</v>
      </c>
      <c r="MX97" s="27">
        <f>PortfolioFrontier[[#This Row],[P90 Growth]]/PortfolioFrontier[[#This Row],[P90 HWM]]-1</f>
        <v>0</v>
      </c>
      <c r="MY97" s="28">
        <f>SUMPRODUCT(INDEX(PortfolioRef[[SPY]:[PE]],MATCH(MY$1,PortfolioRef[Reference '#]),0),AssetMonthlyReturns[[#This Row],[SPY]:[PE]])</f>
        <v>2.0750231258872754E-2</v>
      </c>
      <c r="MZ97" s="27">
        <f>IF(ISNUMBER(MZ96),MZ96*(1+PortfolioFrontier[[#This Row],[P91 Return]]),1+PortfolioFrontier[[#This Row],[P91 Return]])</f>
        <v>1.7474945256907</v>
      </c>
      <c r="NA97" s="27">
        <f>MAX(NA96,PortfolioFrontier[[#This Row],[P91 Growth]])</f>
        <v>1.7680436458517257</v>
      </c>
      <c r="NB97" s="27">
        <f>PortfolioFrontier[[#This Row],[P91 Growth]]/PortfolioFrontier[[#This Row],[P91 HWM]]-1</f>
        <v>-1.1622518600849618E-2</v>
      </c>
      <c r="NC97" s="28">
        <f>SUMPRODUCT(INDEX(PortfolioRef[[SPY]:[PE]],MATCH(NC$1,PortfolioRef[Reference '#]),0),AssetMonthlyReturns[[#This Row],[SPY]:[PE]])</f>
        <v>2.032189566987699E-2</v>
      </c>
      <c r="ND97" s="27">
        <f>IF(ISNUMBER(ND96),ND96*(1+PortfolioFrontier[[#This Row],[P92 Return]]),1+PortfolioFrontier[[#This Row],[P92 Return]])</f>
        <v>1.7438468651027987</v>
      </c>
      <c r="NE97" s="27">
        <f>MAX(NE96,PortfolioFrontier[[#This Row],[P92 Growth]])</f>
        <v>1.7438468651027987</v>
      </c>
      <c r="NF97" s="27">
        <f>PortfolioFrontier[[#This Row],[P92 Growth]]/PortfolioFrontier[[#This Row],[P92 HWM]]-1</f>
        <v>0</v>
      </c>
      <c r="NG97" s="28">
        <f>SUMPRODUCT(INDEX(PortfolioRef[[SPY]:[PE]],MATCH(NG$1,PortfolioRef[Reference '#]),0),AssetMonthlyReturns[[#This Row],[SPY]:[PE]])</f>
        <v>1.9893560080881223E-2</v>
      </c>
      <c r="NH97" s="27">
        <f>IF(ISNUMBER(NH96),NH96*(1+PortfolioFrontier[[#This Row],[P93 Return]]),1+PortfolioFrontier[[#This Row],[P93 Return]])</f>
        <v>1.7388714413289219</v>
      </c>
      <c r="NI97" s="27">
        <f>MAX(NI96,PortfolioFrontier[[#This Row],[P93 Growth]])</f>
        <v>1.7388714413289219</v>
      </c>
      <c r="NJ97" s="27">
        <f>PortfolioFrontier[[#This Row],[P93 Growth]]/PortfolioFrontier[[#This Row],[P93 HWM]]-1</f>
        <v>0</v>
      </c>
      <c r="NK97" s="28">
        <f>SUMPRODUCT(INDEX(PortfolioRef[[SPY]:[PE]],MATCH(NK$1,PortfolioRef[Reference '#]),0),AssetMonthlyReturns[[#This Row],[SPY]:[PE]])</f>
        <v>2.15114446700535E-2</v>
      </c>
      <c r="NL97" s="27">
        <f>IF(ISNUMBER(NL96),NL96*(1+PortfolioFrontier[[#This Row],[P94 Return]]),1+PortfolioFrontier[[#This Row],[P94 Return]])</f>
        <v>1.7372690765361269</v>
      </c>
      <c r="NM97" s="27">
        <f>MAX(NM96,PortfolioFrontier[[#This Row],[P94 Growth]])</f>
        <v>1.7868313973018393</v>
      </c>
      <c r="NN97" s="27">
        <f>PortfolioFrontier[[#This Row],[P94 Growth]]/PortfolioFrontier[[#This Row],[P94 HWM]]-1</f>
        <v>-2.7737547504791293E-2</v>
      </c>
      <c r="NO97" s="28">
        <f>SUMPRODUCT(INDEX(PortfolioRef[[SPY]:[PE]],MATCH(NO$1,PortfolioRef[Reference '#]),0),AssetMonthlyReturns[[#This Row],[SPY]:[PE]])</f>
        <v>2.1083109081057736E-2</v>
      </c>
      <c r="NP97" s="27">
        <f>IF(ISNUMBER(NP96),NP96*(1+PortfolioFrontier[[#This Row],[P95 Return]]),1+PortfolioFrontier[[#This Row],[P95 Return]])</f>
        <v>1.7346597894978915</v>
      </c>
      <c r="NQ97" s="27">
        <f>MAX(NQ96,PortfolioFrontier[[#This Row],[P95 Growth]])</f>
        <v>1.7550294195356591</v>
      </c>
      <c r="NR97" s="27">
        <f>PortfolioFrontier[[#This Row],[P95 Growth]]/PortfolioFrontier[[#This Row],[P95 HWM]]-1</f>
        <v>-1.1606432240410469E-2</v>
      </c>
      <c r="NS97" s="28">
        <f>SUMPRODUCT(INDEX(PortfolioRef[[SPY]:[PE]],MATCH(NS$1,PortfolioRef[Reference '#]),0),AssetMonthlyReturns[[#This Row],[SPY]:[PE]])</f>
        <v>2.0654773492061969E-2</v>
      </c>
      <c r="NT97" s="27">
        <f>IF(ISNUMBER(NT96),NT96*(1+PortfolioFrontier[[#This Row],[P96 Return]]),1+PortfolioFrontier[[#This Row],[P96 Return]])</f>
        <v>1.730720459924294</v>
      </c>
      <c r="NU97" s="27">
        <f>MAX(NU96,PortfolioFrontier[[#This Row],[P96 Growth]])</f>
        <v>1.730720459924294</v>
      </c>
      <c r="NV97" s="27">
        <f>PortfolioFrontier[[#This Row],[P96 Growth]]/PortfolioFrontier[[#This Row],[P96 HWM]]-1</f>
        <v>0</v>
      </c>
      <c r="NW97" s="28">
        <f>SUMPRODUCT(INDEX(PortfolioRef[[SPY]:[PE]],MATCH(NW$1,PortfolioRef[Reference '#]),0),AssetMonthlyReturns[[#This Row],[SPY]:[PE]])</f>
        <v>8.6574556433717687E-3</v>
      </c>
      <c r="NX97" s="27">
        <f>IF(ISNUMBER(NX96),NX96*(1+PortfolioFrontier[[#This Row],[P97 Return]]),1+PortfolioFrontier[[#This Row],[P97 Return]])</f>
        <v>1.5309775793015092</v>
      </c>
      <c r="NY97" s="27">
        <f>MAX(NY96,PortfolioFrontier[[#This Row],[P97 Growth]])</f>
        <v>1.5498139523617234</v>
      </c>
      <c r="NZ97" s="27">
        <f>PortfolioFrontier[[#This Row],[P97 Growth]]/PortfolioFrontier[[#This Row],[P97 HWM]]-1</f>
        <v>-1.2153957596981124E-2</v>
      </c>
      <c r="OA97" s="28">
        <f>SUMPRODUCT(INDEX(PortfolioRef[[SPY]:[PE]],MATCH(OA$1,PortfolioRef[Reference '#]),0),AssetMonthlyReturns[[#This Row],[SPY]:[PE]])</f>
        <v>9.7685809042346358E-3</v>
      </c>
      <c r="OB97" s="27">
        <f>IF(ISNUMBER(OB96),OB96*(1+PortfolioFrontier[[#This Row],[P98 Return]]),1+PortfolioFrontier[[#This Row],[P98 Return]])</f>
        <v>1.5620894861172394</v>
      </c>
      <c r="OC97" s="27">
        <f>MAX(OC96,PortfolioFrontier[[#This Row],[P98 Growth]])</f>
        <v>1.5643918723292729</v>
      </c>
      <c r="OD97" s="27">
        <f>PortfolioFrontier[[#This Row],[P98 Growth]]/PortfolioFrontier[[#This Row],[P98 HWM]]-1</f>
        <v>-1.4717451891420597E-3</v>
      </c>
      <c r="OE97" s="28">
        <f>SUMPRODUCT(INDEX(PortfolioRef[[SPY]:[PE]],MATCH(OE$1,PortfolioRef[Reference '#]),0),AssetMonthlyReturns[[#This Row],[SPY]:[PE]])</f>
        <v>1.0529794315415385E-2</v>
      </c>
      <c r="OF97" s="27">
        <f>IF(ISNUMBER(OF96),OF96*(1+PortfolioFrontier[[#This Row],[P99 Return]]),1+PortfolioFrontier[[#This Row],[P99 Return]])</f>
        <v>1.5568800633188427</v>
      </c>
      <c r="OG97" s="27">
        <f>MAX(OG96,PortfolioFrontier[[#This Row],[P99 Growth]])</f>
        <v>1.5836627563813395</v>
      </c>
      <c r="OH97" s="27">
        <f>PortfolioFrontier[[#This Row],[P99 Growth]]/PortfolioFrontier[[#This Row],[P99 HWM]]-1</f>
        <v>-1.6911866465619929E-2</v>
      </c>
      <c r="OI97" s="28">
        <f>SUMPRODUCT(INDEX(PortfolioRef[[SPY]:[PE]],MATCH(OI$1,PortfolioRef[Reference '#]),0),AssetMonthlyReturns[[#This Row],[SPY]:[PE]])</f>
        <v>1.0101458726419621E-2</v>
      </c>
      <c r="OJ97" s="27">
        <f>IF(ISNUMBER(OJ96),OJ96*(1+PortfolioFrontier[[#This Row],[P100 Return]]),1+PortfolioFrontier[[#This Row],[P100 Return]])</f>
        <v>1.5502641530479049</v>
      </c>
      <c r="OK97" s="27">
        <f>MAX(OK96,PortfolioFrontier[[#This Row],[P100 Growth]])</f>
        <v>1.5528062347399851</v>
      </c>
      <c r="OL97" s="27">
        <f>PortfolioFrontier[[#This Row],[P100 Growth]]/PortfolioFrontier[[#This Row],[P100 HWM]]-1</f>
        <v>-1.6370887978215398E-3</v>
      </c>
      <c r="OM97" s="28">
        <f>SUMPRODUCT(INDEX(PortfolioRef[[SPY]:[PE]],MATCH(OM$1,PortfolioRef[Reference '#]),0),AssetMonthlyReturns[[#This Row],[SPY]:[PE]])</f>
        <v>1.0879706165097501E-2</v>
      </c>
      <c r="ON97" s="27">
        <f>IF(ISNUMBER(ON96),ON96*(1+PortfolioFrontier[[#This Row],[P101 Return]]),1+PortfolioFrontier[[#This Row],[P101 Return]])</f>
        <v>1.5933958907373946</v>
      </c>
      <c r="OO97" s="27">
        <f>MAX(OO96,PortfolioFrontier[[#This Row],[P101 Growth]])</f>
        <v>1.5933958907373946</v>
      </c>
      <c r="OP97" s="27">
        <f>PortfolioFrontier[[#This Row],[P101 Growth]]/PortfolioFrontier[[#This Row],[P101 HWM]]-1</f>
        <v>0</v>
      </c>
      <c r="OQ97" s="28">
        <f>SUMPRODUCT(INDEX(PortfolioRef[[SPY]:[PE]],MATCH(OQ$1,PortfolioRef[Reference '#]),0),AssetMonthlyReturns[[#This Row],[SPY]:[PE]])</f>
        <v>1.1640919576278252E-2</v>
      </c>
      <c r="OR97" s="27">
        <f>IF(ISNUMBER(OR96),OR96*(1+PortfolioFrontier[[#This Row],[P102 Return]]),1+PortfolioFrontier[[#This Row],[P102 Return]])</f>
        <v>1.5884919782970577</v>
      </c>
      <c r="OS97" s="27">
        <f>MAX(OS96,PortfolioFrontier[[#This Row],[P102 Growth]])</f>
        <v>1.5985203886251573</v>
      </c>
      <c r="OT97" s="27">
        <f>PortfolioFrontier[[#This Row],[P102 Growth]]/PortfolioFrontier[[#This Row],[P102 HWM]]-1</f>
        <v>-6.2735579723977031E-3</v>
      </c>
      <c r="OU97" s="28">
        <f>SUMPRODUCT(INDEX(PortfolioRef[[SPY]:[PE]],MATCH(OU$1,PortfolioRef[Reference '#]),0),AssetMonthlyReturns[[#This Row],[SPY]:[PE]])</f>
        <v>1.1212583987282488E-2</v>
      </c>
      <c r="OV97" s="27">
        <f>IF(ISNUMBER(OV96),OV96*(1+PortfolioFrontier[[#This Row],[P103 Return]]),1+PortfolioFrontier[[#This Row],[P103 Return]])</f>
        <v>1.5817633524882009</v>
      </c>
      <c r="OW97" s="27">
        <f>MAX(OW96,PortfolioFrontier[[#This Row],[P103 Growth]])</f>
        <v>1.5817633524882009</v>
      </c>
      <c r="OX97" s="27">
        <f>PortfolioFrontier[[#This Row],[P103 Growth]]/PortfolioFrontier[[#This Row],[P103 HWM]]-1</f>
        <v>0</v>
      </c>
      <c r="OY97" s="28">
        <f>SUMPRODUCT(INDEX(PortfolioRef[[SPY]:[PE]],MATCH(OY$1,PortfolioRef[Reference '#]),0),AssetMonthlyReturns[[#This Row],[SPY]:[PE]])</f>
        <v>1.2402132987459001E-2</v>
      </c>
      <c r="OZ97" s="27">
        <f>IF(ISNUMBER(OZ96),OZ96*(1+PortfolioFrontier[[#This Row],[P104 Return]]),1+PortfolioFrontier[[#This Row],[P104 Return]])</f>
        <v>1.5823519067644267</v>
      </c>
      <c r="PA97" s="27">
        <f>MAX(PA96,PortfolioFrontier[[#This Row],[P104 Growth]])</f>
        <v>1.6176462594840681</v>
      </c>
      <c r="PB97" s="27">
        <f>PortfolioFrontier[[#This Row],[P104 Growth]]/PortfolioFrontier[[#This Row],[P104 HWM]]-1</f>
        <v>-2.1818337917029029E-2</v>
      </c>
      <c r="PC97" s="28">
        <f>SUMPRODUCT(INDEX(PortfolioRef[[SPY]:[PE]],MATCH(PC$1,PortfolioRef[Reference '#]),0),AssetMonthlyReturns[[#This Row],[SPY]:[PE]])</f>
        <v>1.1973797398463238E-2</v>
      </c>
      <c r="PD97" s="27">
        <f>IF(ISNUMBER(PD96),PD96*(1+PortfolioFrontier[[#This Row],[P105 Return]]),1+PortfolioFrontier[[#This Row],[P105 Return]])</f>
        <v>1.5765599343907759</v>
      </c>
      <c r="PE97" s="27">
        <f>MAX(PE96,PortfolioFrontier[[#This Row],[P105 Growth]])</f>
        <v>1.5867085542337835</v>
      </c>
      <c r="PF97" s="27">
        <f>PortfolioFrontier[[#This Row],[P105 Growth]]/PortfolioFrontier[[#This Row],[P105 HWM]]-1</f>
        <v>-6.3960201234992686E-3</v>
      </c>
      <c r="PG97" s="28">
        <f>SUMPRODUCT(INDEX(PortfolioRef[[SPY]:[PE]],MATCH(PG$1,PortfolioRef[Reference '#]),0),AssetMonthlyReturns[[#This Row],[SPY]:[PE]])</f>
        <v>1.1545461809467472E-2</v>
      </c>
      <c r="PH97" s="27">
        <f>IF(ISNUMBER(PH96),PH96*(1+PortfolioFrontier[[#This Row],[P106 Return]]),1+PortfolioFrontier[[#This Row],[P106 Return]])</f>
        <v>1.5695919806618439</v>
      </c>
      <c r="PI97" s="27">
        <f>MAX(PI96,PortfolioFrontier[[#This Row],[P106 Growth]])</f>
        <v>1.5695919806618439</v>
      </c>
      <c r="PJ97" s="27">
        <f>PortfolioFrontier[[#This Row],[P106 Growth]]/PortfolioFrontier[[#This Row],[P106 HWM]]-1</f>
        <v>0</v>
      </c>
      <c r="PK97" s="28">
        <f>SUMPRODUCT(INDEX(PortfolioRef[[SPY]:[PE]],MATCH(PK$1,PortfolioRef[Reference '#]),0),AssetMonthlyReturns[[#This Row],[SPY]:[PE]])</f>
        <v>1.2752044837141117E-2</v>
      </c>
      <c r="PL97" s="27">
        <f>IF(ISNUMBER(PL96),PL96*(1+PortfolioFrontier[[#This Row],[P107 Return]]),1+PortfolioFrontier[[#This Row],[P107 Return]])</f>
        <v>1.6203011458933652</v>
      </c>
      <c r="PM97" s="27">
        <f>MAX(PM96,PortfolioFrontier[[#This Row],[P107 Growth]])</f>
        <v>1.6203011458933652</v>
      </c>
      <c r="PN97" s="27">
        <f>PortfolioFrontier[[#This Row],[P107 Growth]]/PortfolioFrontier[[#This Row],[P107 HWM]]-1</f>
        <v>0</v>
      </c>
      <c r="PO97" s="28">
        <f>SUMPRODUCT(INDEX(PortfolioRef[[SPY]:[PE]],MATCH(PO$1,PortfolioRef[Reference '#]),0),AssetMonthlyReturns[[#This Row],[SPY]:[PE]])</f>
        <v>1.2323709248145354E-2</v>
      </c>
      <c r="PP97" s="27">
        <f>IF(ISNUMBER(PP96),PP96*(1+PortfolioFrontier[[#This Row],[P108 Return]]),1+PortfolioFrontier[[#This Row],[P108 Return]])</f>
        <v>1.6134596081385038</v>
      </c>
      <c r="PQ97" s="27">
        <f>MAX(PQ96,PortfolioFrontier[[#This Row],[P108 Growth]])</f>
        <v>1.6134596081385038</v>
      </c>
      <c r="PR97" s="27">
        <f>PortfolioFrontier[[#This Row],[P108 Growth]]/PortfolioFrontier[[#This Row],[P108 HWM]]-1</f>
        <v>0</v>
      </c>
      <c r="PS97" s="28">
        <f>SUMPRODUCT(INDEX(PortfolioRef[[SPY]:[PE]],MATCH(PS$1,PortfolioRef[Reference '#]),0),AssetMonthlyReturns[[#This Row],[SPY]:[PE]])</f>
        <v>1.3513258248321868E-2</v>
      </c>
      <c r="PT97" s="27">
        <f>IF(ISNUMBER(PT96),PT96*(1+PortfolioFrontier[[#This Row],[P109 Return]]),1+PortfolioFrontier[[#This Row],[P109 Return]])</f>
        <v>1.6144546471062851</v>
      </c>
      <c r="PU97" s="27">
        <f>MAX(PU96,PortfolioFrontier[[#This Row],[P109 Growth]])</f>
        <v>1.6327835279326679</v>
      </c>
      <c r="PV97" s="27">
        <f>PortfolioFrontier[[#This Row],[P109 Growth]]/PortfolioFrontier[[#This Row],[P109 HWM]]-1</f>
        <v>-1.1225542463421223E-2</v>
      </c>
      <c r="PW97" s="28">
        <f>SUMPRODUCT(INDEX(PortfolioRef[[SPY]:[PE]],MATCH(PW$1,PortfolioRef[Reference '#]),0),AssetMonthlyReturns[[#This Row],[SPY]:[PE]])</f>
        <v>1.3084922659326105E-2</v>
      </c>
      <c r="PX97" s="27">
        <f>IF(ISNUMBER(PX96),PX96*(1+PortfolioFrontier[[#This Row],[P110 Return]]),1+PortfolioFrontier[[#This Row],[P110 Return]])</f>
        <v>1.6085667185690855</v>
      </c>
      <c r="PY97" s="27">
        <f>MAX(PY96,PortfolioFrontier[[#This Row],[P110 Growth]])</f>
        <v>1.6085667185690855</v>
      </c>
      <c r="PZ97" s="27">
        <f>PortfolioFrontier[[#This Row],[P110 Growth]]/PortfolioFrontier[[#This Row],[P110 HWM]]-1</f>
        <v>0</v>
      </c>
      <c r="QA97" s="28">
        <f>SUMPRODUCT(INDEX(PortfolioRef[[SPY]:[PE]],MATCH(QA$1,PortfolioRef[Reference '#]),0),AssetMonthlyReturns[[#This Row],[SPY]:[PE]])</f>
        <v>1.2656587070330339E-2</v>
      </c>
      <c r="QB97" s="27">
        <f>IF(ISNUMBER(QB96),QB96*(1+PortfolioFrontier[[#This Row],[P111 Return]]),1+PortfolioFrontier[[#This Row],[P111 Return]])</f>
        <v>1.6014793169241883</v>
      </c>
      <c r="QC97" s="27">
        <f>MAX(QC96,PortfolioFrontier[[#This Row],[P111 Growth]])</f>
        <v>1.6014793169241883</v>
      </c>
      <c r="QD97" s="27">
        <f>PortfolioFrontier[[#This Row],[P111 Growth]]/PortfolioFrontier[[#This Row],[P111 HWM]]-1</f>
        <v>0</v>
      </c>
      <c r="QE97" s="28">
        <f>SUMPRODUCT(INDEX(PortfolioRef[[SPY]:[PE]],MATCH(QE$1,PortfolioRef[Reference '#]),0),AssetMonthlyReturns[[#This Row],[SPY]:[PE]])</f>
        <v>1.4274471659502618E-2</v>
      </c>
      <c r="QF97" s="27">
        <f>IF(ISNUMBER(QF96),QF96*(1+PortfolioFrontier[[#This Row],[P112 Return]]),1+PortfolioFrontier[[#This Row],[P112 Return]])</f>
        <v>1.6073548253537255</v>
      </c>
      <c r="QG97" s="27">
        <f>MAX(QG96,PortfolioFrontier[[#This Row],[P112 Growth]])</f>
        <v>1.6517386955477045</v>
      </c>
      <c r="QH97" s="27">
        <f>PortfolioFrontier[[#This Row],[P112 Growth]]/PortfolioFrontier[[#This Row],[P112 HWM]]-1</f>
        <v>-2.6870999821955288E-2</v>
      </c>
      <c r="QI97" s="28">
        <f>SUMPRODUCT(INDEX(PortfolioRef[[SPY]:[PE]],MATCH(QI$1,PortfolioRef[Reference '#]),0),AssetMonthlyReturns[[#This Row],[SPY]:[PE]])</f>
        <v>1.3846136070506854E-2</v>
      </c>
      <c r="QJ97" s="27">
        <f>IF(ISNUMBER(QJ96),QJ96*(1+PortfolioFrontier[[#This Row],[P113 Return]]),1+PortfolioFrontier[[#This Row],[P113 Return]])</f>
        <v>1.6024220191053069</v>
      </c>
      <c r="QK97" s="27">
        <f>MAX(QK96,PortfolioFrontier[[#This Row],[P113 Growth]])</f>
        <v>1.6207454292109018</v>
      </c>
      <c r="QL97" s="27">
        <f>PortfolioFrontier[[#This Row],[P113 Growth]]/PortfolioFrontier[[#This Row],[P113 HWM]]-1</f>
        <v>-1.1305544828539849E-2</v>
      </c>
      <c r="QM97" s="28">
        <f>SUMPRODUCT(INDEX(PortfolioRef[[SPY]:[PE]],MATCH(QM$1,PortfolioRef[Reference '#]),0),AssetMonthlyReturns[[#This Row],[SPY]:[PE]])</f>
        <v>1.3417800481511089E-2</v>
      </c>
      <c r="QN97" s="27">
        <f>IF(ISNUMBER(QN96),QN96*(1+PortfolioFrontier[[#This Row],[P114 Return]]),1+PortfolioFrontier[[#This Row],[P114 Return]])</f>
        <v>1.5962834729143638</v>
      </c>
      <c r="QO97" s="27">
        <f>MAX(QO96,PortfolioFrontier[[#This Row],[P114 Growth]])</f>
        <v>1.5962834729143638</v>
      </c>
      <c r="QP97" s="27">
        <f>PortfolioFrontier[[#This Row],[P114 Growth]]/PortfolioFrontier[[#This Row],[P114 HWM]]-1</f>
        <v>0</v>
      </c>
      <c r="QQ97" s="28">
        <f>SUMPRODUCT(INDEX(PortfolioRef[[SPY]:[PE]],MATCH(QQ$1,PortfolioRef[Reference '#]),0),AssetMonthlyReturns[[#This Row],[SPY]:[PE]])</f>
        <v>1.4624383509184734E-2</v>
      </c>
      <c r="QR97" s="27">
        <f>IF(ISNUMBER(QR96),QR96*(1+PortfolioFrontier[[#This Row],[P115 Return]]),1+PortfolioFrontier[[#This Row],[P115 Return]])</f>
        <v>1.6467573302439538</v>
      </c>
      <c r="QS97" s="27">
        <f>MAX(QS96,PortfolioFrontier[[#This Row],[P115 Growth]])</f>
        <v>1.6477351477866757</v>
      </c>
      <c r="QT97" s="27">
        <f>PortfolioFrontier[[#This Row],[P115 Growth]]/PortfolioFrontier[[#This Row],[P115 HWM]]-1</f>
        <v>-5.9343125867983293E-4</v>
      </c>
      <c r="QU97" s="28">
        <f>SUMPRODUCT(INDEX(PortfolioRef[[SPY]:[PE]],MATCH(QU$1,PortfolioRef[Reference '#]),0),AssetMonthlyReturns[[#This Row],[SPY]:[PE]])</f>
        <v>1.419604792018897E-2</v>
      </c>
      <c r="QV97" s="27">
        <f>IF(ISNUMBER(QV96),QV96*(1+PortfolioFrontier[[#This Row],[P116 Return]]),1+PortfolioFrontier[[#This Row],[P116 Return]])</f>
        <v>1.64077335934506</v>
      </c>
      <c r="QW97" s="27">
        <f>MAX(QW96,PortfolioFrontier[[#This Row],[P116 Growth]])</f>
        <v>1.64077335934506</v>
      </c>
      <c r="QX97" s="27">
        <f>PortfolioFrontier[[#This Row],[P116 Growth]]/PortfolioFrontier[[#This Row],[P116 HWM]]-1</f>
        <v>0</v>
      </c>
      <c r="QY97" s="28">
        <f>SUMPRODUCT(INDEX(PortfolioRef[[SPY]:[PE]],MATCH(QY$1,PortfolioRef[Reference '#]),0),AssetMonthlyReturns[[#This Row],[SPY]:[PE]])</f>
        <v>1.3767712331193204E-2</v>
      </c>
      <c r="QZ97" s="27">
        <f>IF(ISNUMBER(QZ96),QZ96*(1+PortfolioFrontier[[#This Row],[P117 Return]]),1+PortfolioFrontier[[#This Row],[P117 Return]])</f>
        <v>1.6335662772580042</v>
      </c>
      <c r="RA97" s="27">
        <f>MAX(RA96,PortfolioFrontier[[#This Row],[P117 Growth]])</f>
        <v>1.6335662772580042</v>
      </c>
      <c r="RB97" s="27">
        <f>PortfolioFrontier[[#This Row],[P117 Growth]]/PortfolioFrontier[[#This Row],[P117 HWM]]-1</f>
        <v>0</v>
      </c>
      <c r="RC97" s="28">
        <f>SUMPRODUCT(INDEX(PortfolioRef[[SPY]:[PE]],MATCH(RC$1,PortfolioRef[Reference '#]),0),AssetMonthlyReturns[[#This Row],[SPY]:[PE]])</f>
        <v>1.5385596920365485E-2</v>
      </c>
      <c r="RD97" s="27">
        <f>IF(ISNUMBER(RD96),RD96*(1+PortfolioFrontier[[#This Row],[P118 Return]]),1+PortfolioFrontier[[#This Row],[P118 Return]])</f>
        <v>1.639938474737004</v>
      </c>
      <c r="RE97" s="27">
        <f>MAX(RE96,PortfolioFrontier[[#This Row],[P118 Growth]])</f>
        <v>1.667155293527623</v>
      </c>
      <c r="RF97" s="27">
        <f>PortfolioFrontier[[#This Row],[P118 Growth]]/PortfolioFrontier[[#This Row],[P118 HWM]]-1</f>
        <v>-1.632530508482477E-2</v>
      </c>
      <c r="RG97" s="28">
        <f>SUMPRODUCT(INDEX(PortfolioRef[[SPY]:[PE]],MATCH(RG$1,PortfolioRef[Reference '#]),0),AssetMonthlyReturns[[#This Row],[SPY]:[PE]])</f>
        <v>1.4957261331369721E-2</v>
      </c>
      <c r="RH97" s="27">
        <f>IF(ISNUMBER(RH96),RH96*(1+PortfolioFrontier[[#This Row],[P119 Return]]),1+PortfolioFrontier[[#This Row],[P119 Return]])</f>
        <v>1.6349271369251279</v>
      </c>
      <c r="RI97" s="27">
        <f>MAX(RI96,PortfolioFrontier[[#This Row],[P119 Growth]])</f>
        <v>1.6359359857167841</v>
      </c>
      <c r="RJ97" s="27">
        <f>PortfolioFrontier[[#This Row],[P119 Growth]]/PortfolioFrontier[[#This Row],[P119 HWM]]-1</f>
        <v>-6.1667987040103789E-4</v>
      </c>
      <c r="RK97" s="28">
        <f>SUMPRODUCT(INDEX(PortfolioRef[[SPY]:[PE]],MATCH(RK$1,PortfolioRef[Reference '#]),0),AssetMonthlyReturns[[#This Row],[SPY]:[PE]])</f>
        <v>1.4528925742373956E-2</v>
      </c>
      <c r="RL97" s="27">
        <f>IF(ISNUMBER(RL96),RL96*(1+PortfolioFrontier[[#This Row],[P120 Return]]),1+PortfolioFrontier[[#This Row],[P120 Return]])</f>
        <v>1.6286860183872607</v>
      </c>
      <c r="RM97" s="27">
        <f>MAX(RM96,PortfolioFrontier[[#This Row],[P120 Growth]])</f>
        <v>1.6286860183872607</v>
      </c>
      <c r="RN97" s="27">
        <f>PortfolioFrontier[[#This Row],[P120 Growth]]/PortfolioFrontier[[#This Row],[P120 HWM]]-1</f>
        <v>0</v>
      </c>
      <c r="RO97" s="28">
        <f>SUMPRODUCT(INDEX(PortfolioRef[[SPY]:[PE]],MATCH(RO$1,PortfolioRef[Reference '#]),0),AssetMonthlyReturns[[#This Row],[SPY]:[PE]])</f>
        <v>1.6146810331546236E-2</v>
      </c>
      <c r="RP97" s="27">
        <f>IF(ISNUMBER(RP96),RP96*(1+PortfolioFrontier[[#This Row],[P121 Return]]),1+PortfolioFrontier[[#This Row],[P121 Return]])</f>
        <v>1.6318503737509344</v>
      </c>
      <c r="RQ97" s="27">
        <f>MAX(RQ96,PortfolioFrontier[[#This Row],[P121 Growth]])</f>
        <v>1.6859132740659151</v>
      </c>
      <c r="RR97" s="27">
        <f>PortfolioFrontier[[#This Row],[P121 Growth]]/PortfolioFrontier[[#This Row],[P121 HWM]]-1</f>
        <v>-3.2067426685951195E-2</v>
      </c>
      <c r="RS97" s="28">
        <f>SUMPRODUCT(INDEX(PortfolioRef[[SPY]:[PE]],MATCH(RS$1,PortfolioRef[Reference '#]),0),AssetMonthlyReturns[[#This Row],[SPY]:[PE]])</f>
        <v>1.5718474742550469E-2</v>
      </c>
      <c r="RT97" s="27">
        <f>IF(ISNUMBER(RT96),RT96*(1+PortfolioFrontier[[#This Row],[P122 Return]]),1+PortfolioFrontier[[#This Row],[P122 Return]])</f>
        <v>1.6278116012123738</v>
      </c>
      <c r="RU97" s="27">
        <f>MAX(RU96,PortfolioFrontier[[#This Row],[P122 Growth]])</f>
        <v>1.6548910536150563</v>
      </c>
      <c r="RV97" s="27">
        <f>PortfolioFrontier[[#This Row],[P122 Growth]]/PortfolioFrontier[[#This Row],[P122 HWM]]-1</f>
        <v>-1.6363284062433148E-2</v>
      </c>
      <c r="RW97" s="28">
        <f>SUMPRODUCT(INDEX(PortfolioRef[[SPY]:[PE]],MATCH(RW$1,PortfolioRef[Reference '#]),0),AssetMonthlyReturns[[#This Row],[SPY]:[PE]])</f>
        <v>1.5290139153554705E-2</v>
      </c>
      <c r="RX97" s="27">
        <f>IF(ISNUMBER(RX96),RX96*(1+PortfolioFrontier[[#This Row],[P123 Return]]),1+PortfolioFrontier[[#This Row],[P123 Return]])</f>
        <v>1.6225382581261667</v>
      </c>
      <c r="RY97" s="27">
        <f>MAX(RY96,PortfolioFrontier[[#This Row],[P123 Growth]])</f>
        <v>1.6237298558231279</v>
      </c>
      <c r="RZ97" s="27">
        <f>PortfolioFrontier[[#This Row],[P123 Growth]]/PortfolioFrontier[[#This Row],[P123 HWM]]-1</f>
        <v>-7.338644988806875E-4</v>
      </c>
      <c r="SA97" s="28">
        <f>SUMPRODUCT(INDEX(PortfolioRef[[SPY]:[PE]],MATCH(SA$1,PortfolioRef[Reference '#]),0),AssetMonthlyReturns[[#This Row],[SPY]:[PE]])</f>
        <v>1.649672218122835E-2</v>
      </c>
      <c r="SB97" s="27">
        <f>IF(ISNUMBER(SB96),SB96*(1+PortfolioFrontier[[#This Row],[P124 Return]]),1+PortfolioFrontier[[#This Row],[P124 Return]])</f>
        <v>1.6727246884633915</v>
      </c>
      <c r="SC97" s="27">
        <f>MAX(SC96,PortfolioFrontier[[#This Row],[P124 Growth]])</f>
        <v>1.6823821965094672</v>
      </c>
      <c r="SD97" s="27">
        <f>PortfolioFrontier[[#This Row],[P124 Growth]]/PortfolioFrontier[[#This Row],[P124 HWM]]-1</f>
        <v>-5.7403769881259059E-3</v>
      </c>
      <c r="SE97" s="28">
        <f>SUMPRODUCT(INDEX(PortfolioRef[[SPY]:[PE]],MATCH(SE$1,PortfolioRef[Reference '#]),0),AssetMonthlyReturns[[#This Row],[SPY]:[PE]])</f>
        <v>1.6068386592232586E-2</v>
      </c>
      <c r="SF97" s="27">
        <f>IF(ISNUMBER(SF96),SF96*(1+PortfolioFrontier[[#This Row],[P125 Return]]),1+PortfolioFrontier[[#This Row],[P125 Return]])</f>
        <v>1.667634846526393</v>
      </c>
      <c r="SG97" s="27">
        <f>MAX(SG96,PortfolioFrontier[[#This Row],[P125 Growth]])</f>
        <v>1.667634846526393</v>
      </c>
      <c r="SH97" s="27">
        <f>PortfolioFrontier[[#This Row],[P125 Growth]]/PortfolioFrontier[[#This Row],[P125 HWM]]-1</f>
        <v>0</v>
      </c>
      <c r="SI97" s="28">
        <f>SUMPRODUCT(INDEX(PortfolioRef[[SPY]:[PE]],MATCH(SI$1,PortfolioRef[Reference '#]),0),AssetMonthlyReturns[[#This Row],[SPY]:[PE]])</f>
        <v>1.5640051003236819E-2</v>
      </c>
      <c r="SJ97" s="27">
        <f>IF(ISNUMBER(SJ96),SJ96*(1+PortfolioFrontier[[#This Row],[P126 Return]]),1+PortfolioFrontier[[#This Row],[P126 Return]])</f>
        <v>1.6612910342778398</v>
      </c>
      <c r="SK97" s="27">
        <f>MAX(SK96,PortfolioFrontier[[#This Row],[P126 Growth]])</f>
        <v>1.6612910342778398</v>
      </c>
      <c r="SL97" s="27">
        <f>PortfolioFrontier[[#This Row],[P126 Growth]]/PortfolioFrontier[[#This Row],[P126 HWM]]-1</f>
        <v>0</v>
      </c>
      <c r="SM97" s="28">
        <f>SUMPRODUCT(INDEX(PortfolioRef[[SPY]:[PE]],MATCH(SM$1,PortfolioRef[Reference '#]),0),AssetMonthlyReturns[[#This Row],[SPY]:[PE]])</f>
        <v>1.7257935592409099E-2</v>
      </c>
      <c r="SN97" s="27">
        <f>IF(ISNUMBER(SN96),SN96*(1+PortfolioFrontier[[#This Row],[P127 Return]]),1+PortfolioFrontier[[#This Row],[P127 Return]])</f>
        <v>1.664904281061709</v>
      </c>
      <c r="SO97" s="27">
        <f>MAX(SO96,PortfolioFrontier[[#This Row],[P127 Growth]])</f>
        <v>1.7016086575400751</v>
      </c>
      <c r="SP97" s="27">
        <f>PortfolioFrontier[[#This Row],[P127 Growth]]/PortfolioFrontier[[#This Row],[P127 HWM]]-1</f>
        <v>-2.1570398290890025E-2</v>
      </c>
      <c r="SQ97" s="28">
        <f>SUMPRODUCT(INDEX(PortfolioRef[[SPY]:[PE]],MATCH(SQ$1,PortfolioRef[Reference '#]),0),AssetMonthlyReturns[[#This Row],[SPY]:[PE]])</f>
        <v>1.6829600003413336E-2</v>
      </c>
      <c r="SR97" s="27">
        <f>IF(ISNUMBER(SR96),SR96*(1+PortfolioFrontier[[#This Row],[P128 Return]]),1+PortfolioFrontier[[#This Row],[P128 Return]])</f>
        <v>1.6608050580903686</v>
      </c>
      <c r="SS97" s="27">
        <f>MAX(SS96,PortfolioFrontier[[#This Row],[P128 Growth]])</f>
        <v>1.6703618996398835</v>
      </c>
      <c r="ST97" s="27">
        <f>PortfolioFrontier[[#This Row],[P128 Growth]]/PortfolioFrontier[[#This Row],[P128 HWM]]-1</f>
        <v>-5.7214197423774982E-3</v>
      </c>
      <c r="SU97" s="28">
        <f>SUMPRODUCT(INDEX(PortfolioRef[[SPY]:[PE]],MATCH(SU$1,PortfolioRef[Reference '#]),0),AssetMonthlyReturns[[#This Row],[SPY]:[PE]])</f>
        <v>1.6401264414417572E-2</v>
      </c>
      <c r="SV97" s="27">
        <f>IF(ISNUMBER(SV96),SV96*(1+PortfolioFrontier[[#This Row],[P129 Return]]),1+PortfolioFrontier[[#This Row],[P129 Return]])</f>
        <v>1.6554466942771831</v>
      </c>
      <c r="SW97" s="27">
        <f>MAX(SW96,PortfolioFrontier[[#This Row],[P129 Growth]])</f>
        <v>1.6554466942771831</v>
      </c>
      <c r="SX97" s="27">
        <f>PortfolioFrontier[[#This Row],[P129 Growth]]/PortfolioFrontier[[#This Row],[P129 HWM]]-1</f>
        <v>0</v>
      </c>
      <c r="SY97" s="28">
        <f>SUMPRODUCT(INDEX(PortfolioRef[[SPY]:[PE]],MATCH(SY$1,PortfolioRef[Reference '#]),0),AssetMonthlyReturns[[#This Row],[SPY]:[PE]])</f>
        <v>1.8019149003589849E-2</v>
      </c>
      <c r="SZ97" s="27">
        <f>IF(ISNUMBER(SZ96),SZ96*(1+PortfolioFrontier[[#This Row],[P130 Return]]),1+PortfolioFrontier[[#This Row],[P130 Return]])</f>
        <v>1.6558000180224555</v>
      </c>
      <c r="TA97" s="27">
        <f>MAX(TA96,PortfolioFrontier[[#This Row],[P130 Growth]])</f>
        <v>1.720142179322633</v>
      </c>
      <c r="TB97" s="27">
        <f>PortfolioFrontier[[#This Row],[P130 Growth]]/PortfolioFrontier[[#This Row],[P130 HWM]]-1</f>
        <v>-3.7405141315419943E-2</v>
      </c>
      <c r="TC97" s="28">
        <f>SUMPRODUCT(INDEX(PortfolioRef[[SPY]:[PE]],MATCH(TC$1,PortfolioRef[Reference '#]),0),AssetMonthlyReturns[[#This Row],[SPY]:[PE]])</f>
        <v>1.7590813414594089E-2</v>
      </c>
      <c r="TD97" s="27">
        <f>IF(ISNUMBER(TD96),TD96*(1+PortfolioFrontier[[#This Row],[P131 Return]]),1+PortfolioFrontier[[#This Row],[P131 Return]])</f>
        <v>1.6526897058679977</v>
      </c>
      <c r="TE97" s="27">
        <f>MAX(TE96,PortfolioFrontier[[#This Row],[P131 Growth]])</f>
        <v>1.6891185966988822</v>
      </c>
      <c r="TF97" s="27">
        <f>PortfolioFrontier[[#This Row],[P131 Growth]]/PortfolioFrontier[[#This Row],[P131 HWM]]-1</f>
        <v>-2.156680466491756E-2</v>
      </c>
      <c r="TG97" s="28">
        <f>SUMPRODUCT(INDEX(PortfolioRef[[SPY]:[PE]],MATCH(TG$1,PortfolioRef[Reference '#]),0),AssetMonthlyReturns[[#This Row],[SPY]:[PE]])</f>
        <v>1.7162477825598321E-2</v>
      </c>
      <c r="TH97" s="27">
        <f>IF(ISNUMBER(TH96),TH96*(1+PortfolioFrontier[[#This Row],[P132 Return]]),1+PortfolioFrontier[[#This Row],[P132 Return]])</f>
        <v>1.6483170063885602</v>
      </c>
      <c r="TI97" s="27">
        <f>MAX(TI96,PortfolioFrontier[[#This Row],[P132 Growth]])</f>
        <v>1.6579261593145806</v>
      </c>
      <c r="TJ97" s="27">
        <f>PortfolioFrontier[[#This Row],[P132 Growth]]/PortfolioFrontier[[#This Row],[P132 HWM]]-1</f>
        <v>-5.7958871521714972E-3</v>
      </c>
      <c r="TK97" s="28">
        <f>SUMPRODUCT(INDEX(PortfolioRef[[SPY]:[PE]],MATCH(TK$1,PortfolioRef[Reference '#]),0),AssetMonthlyReturns[[#This Row],[SPY]:[PE]])</f>
        <v>1.8369060853271967E-2</v>
      </c>
      <c r="TL97" s="27">
        <f>IF(ISNUMBER(TL96),TL96*(1+PortfolioFrontier[[#This Row],[P133 Return]]),1+PortfolioFrontier[[#This Row],[P133 Return]])</f>
        <v>1.6981633016638533</v>
      </c>
      <c r="TM97" s="27">
        <f>MAX(TM96,PortfolioFrontier[[#This Row],[P133 Growth]])</f>
        <v>1.7171102853087914</v>
      </c>
      <c r="TN97" s="27">
        <f>PortfolioFrontier[[#This Row],[P133 Growth]]/PortfolioFrontier[[#This Row],[P133 HWM]]-1</f>
        <v>-1.1034226401789193E-2</v>
      </c>
      <c r="TO97" s="28">
        <f>SUMPRODUCT(INDEX(PortfolioRef[[SPY]:[PE]],MATCH(TO$1,PortfolioRef[Reference '#]),0),AssetMonthlyReturns[[#This Row],[SPY]:[PE]])</f>
        <v>1.7940725264276203E-2</v>
      </c>
      <c r="TP97" s="27">
        <f>IF(ISNUMBER(TP96),TP96*(1+PortfolioFrontier[[#This Row],[P134 Return]]),1+PortfolioFrontier[[#This Row],[P134 Return]])</f>
        <v>1.6940037726755048</v>
      </c>
      <c r="TQ97" s="27">
        <f>MAX(TQ96,PortfolioFrontier[[#This Row],[P134 Growth]])</f>
        <v>1.6940037726755048</v>
      </c>
      <c r="TR97" s="27">
        <f>PortfolioFrontier[[#This Row],[P134 Growth]]/PortfolioFrontier[[#This Row],[P134 HWM]]-1</f>
        <v>0</v>
      </c>
      <c r="TS97" s="28">
        <f>SUMPRODUCT(INDEX(PortfolioRef[[SPY]:[PE]],MATCH(TS$1,PortfolioRef[Reference '#]),0),AssetMonthlyReturns[[#This Row],[SPY]:[PE]])</f>
        <v>1.7512389675280435E-2</v>
      </c>
      <c r="TT97" s="27">
        <f>IF(ISNUMBER(TT96),TT96*(1+PortfolioFrontier[[#This Row],[P135 Return]]),1+PortfolioFrontier[[#This Row],[P135 Return]])</f>
        <v>1.6885603814247836</v>
      </c>
      <c r="TU97" s="27">
        <f>MAX(TU96,PortfolioFrontier[[#This Row],[P135 Growth]])</f>
        <v>1.6885603814247836</v>
      </c>
      <c r="TV97" s="27">
        <f>PortfolioFrontier[[#This Row],[P135 Growth]]/PortfolioFrontier[[#This Row],[P135 HWM]]-1</f>
        <v>0</v>
      </c>
      <c r="TW97" s="28">
        <f>SUMPRODUCT(INDEX(PortfolioRef[[SPY]:[PE]],MATCH(TW$1,PortfolioRef[Reference '#]),0),AssetMonthlyReturns[[#This Row],[SPY]:[PE]])</f>
        <v>1.9130274264452716E-2</v>
      </c>
      <c r="TX97" s="27">
        <f>IF(ISNUMBER(TX96),TX96*(1+PortfolioFrontier[[#This Row],[P136 Return]]),1+PortfolioFrontier[[#This Row],[P136 Return]])</f>
        <v>1.6893127974814479</v>
      </c>
      <c r="TY97" s="27">
        <f>MAX(TY96,PortfolioFrontier[[#This Row],[P136 Growth]])</f>
        <v>1.7361155602147582</v>
      </c>
      <c r="TZ97" s="27">
        <f>PortfolioFrontier[[#This Row],[P136 Growth]]/PortfolioFrontier[[#This Row],[P136 HWM]]-1</f>
        <v>-2.6958322248733735E-2</v>
      </c>
      <c r="UA97" s="28">
        <f>SUMPRODUCT(INDEX(PortfolioRef[[SPY]:[PE]],MATCH(UA$1,PortfolioRef[Reference '#]),0),AssetMonthlyReturns[[#This Row],[SPY]:[PE]])</f>
        <v>1.8701938675456952E-2</v>
      </c>
      <c r="UB97" s="27">
        <f>IF(ISNUMBER(UB96),UB96*(1+PortfolioFrontier[[#This Row],[P137 Return]]),1+PortfolioFrontier[[#This Row],[P137 Return]])</f>
        <v>1.6861607623391208</v>
      </c>
      <c r="UC97" s="27">
        <f>MAX(UC96,PortfolioFrontier[[#This Row],[P137 Growth]])</f>
        <v>1.7048691873265751</v>
      </c>
      <c r="UD97" s="27">
        <f>PortfolioFrontier[[#This Row],[P137 Growth]]/PortfolioFrontier[[#This Row],[P137 HWM]]-1</f>
        <v>-1.0973525198605505E-2</v>
      </c>
      <c r="UE97" s="28">
        <f>SUMPRODUCT(INDEX(PortfolioRef[[SPY]:[PE]],MATCH(UE$1,PortfolioRef[Reference '#]),0),AssetMonthlyReturns[[#This Row],[SPY]:[PE]])</f>
        <v>1.8273603086461185E-2</v>
      </c>
      <c r="UF97" s="27">
        <f>IF(ISNUMBER(UF96),UF96*(1+PortfolioFrontier[[#This Row],[P138 Return]]),1+PortfolioFrontier[[#This Row],[P138 Return]])</f>
        <v>1.681721261190916</v>
      </c>
      <c r="UG97" s="27">
        <f>MAX(UG96,PortfolioFrontier[[#This Row],[P138 Growth]])</f>
        <v>1.681721261190916</v>
      </c>
      <c r="UH97" s="27">
        <f>PortfolioFrontier[[#This Row],[P138 Growth]]/PortfolioFrontier[[#This Row],[P138 HWM]]-1</f>
        <v>0</v>
      </c>
      <c r="UI97" s="28">
        <f>SUMPRODUCT(INDEX(PortfolioRef[[SPY]:[PE]],MATCH(UI$1,PortfolioRef[Reference '#]),0),AssetMonthlyReturns[[#This Row],[SPY]:[PE]])</f>
        <v>1.9891487675633469E-2</v>
      </c>
      <c r="UJ97" s="27">
        <f>IF(ISNUMBER(UJ96),UJ96*(1+PortfolioFrontier[[#This Row],[P139 Return]]),1+PortfolioFrontier[[#This Row],[P139 Return]])</f>
        <v>1.6791652101358554</v>
      </c>
      <c r="UK97" s="27">
        <f>MAX(UK96,PortfolioFrontier[[#This Row],[P139 Growth]])</f>
        <v>1.7543965710992384</v>
      </c>
      <c r="UL97" s="27">
        <f>PortfolioFrontier[[#This Row],[P139 Growth]]/PortfolioFrontier[[#This Row],[P139 HWM]]-1</f>
        <v>-4.2881616507176479E-2</v>
      </c>
      <c r="UM97" s="28">
        <f>SUMPRODUCT(INDEX(PortfolioRef[[SPY]:[PE]],MATCH(UM$1,PortfolioRef[Reference '#]),0),AssetMonthlyReturns[[#This Row],[SPY]:[PE]])</f>
        <v>1.9463152086637701E-2</v>
      </c>
      <c r="UN97" s="27">
        <f>IF(ISNUMBER(UN96),UN96*(1+PortfolioFrontier[[#This Row],[P140 Return]]),1+PortfolioFrontier[[#This Row],[P140 Return]])</f>
        <v>1.6770172626783759</v>
      </c>
      <c r="UO97" s="27">
        <f>MAX(UO96,PortfolioFrontier[[#This Row],[P140 Growth]])</f>
        <v>1.7234002022793458</v>
      </c>
      <c r="UP97" s="27">
        <f>PortfolioFrontier[[#This Row],[P140 Growth]]/PortfolioFrontier[[#This Row],[P140 HWM]]-1</f>
        <v>-2.6913620840721908E-2</v>
      </c>
      <c r="UQ97" s="28">
        <f>SUMPRODUCT(INDEX(PortfolioRef[[SPY]:[PE]],MATCH(UQ$1,PortfolioRef[Reference '#]),0),AssetMonthlyReturns[[#This Row],[SPY]:[PE]])</f>
        <v>1.9034816497641938E-2</v>
      </c>
      <c r="UR97" s="27">
        <f>IF(ISNUMBER(UR96),UR96*(1+PortfolioFrontier[[#This Row],[P141 Return]]),1+PortfolioFrontier[[#This Row],[P141 Return]])</f>
        <v>1.6735802109656586</v>
      </c>
      <c r="US97" s="27">
        <f>MAX(US96,PortfolioFrontier[[#This Row],[P141 Growth]])</f>
        <v>1.6922041432386774</v>
      </c>
      <c r="UT97" s="27">
        <f>PortfolioFrontier[[#This Row],[P141 Growth]]/PortfolioFrontier[[#This Row],[P141 HWM]]-1</f>
        <v>-1.1005724307810105E-2</v>
      </c>
    </row>
    <row r="98" spans="2:566" x14ac:dyDescent="0.2">
      <c r="B98" s="41">
        <f>AssetMonthlyReturns[[#This Row],[Date]]</f>
        <v>45352</v>
      </c>
      <c r="C98" s="28">
        <f>SUMPRODUCT(INDEX(PortfolioRef[[SPY]:[PE]],MATCH(C$1,PortfolioRef[Reference '#]),0),AssetMonthlyReturns[[#This Row],[SPY]:[PE]])</f>
        <v>2.7948014761352447E-2</v>
      </c>
      <c r="D98" s="29">
        <f>IF(ISNUMBER(D97),D97*(1+PortfolioFrontier[[#This Row],[P1 Return]]),1+PortfolioFrontier[[#This Row],[P1 Return]])</f>
        <v>2.1091627896942549</v>
      </c>
      <c r="E98" s="29">
        <f>MAX(E97,PortfolioFrontier[[#This Row],[P1 Growth]])</f>
        <v>2.1091627896942549</v>
      </c>
      <c r="F98" s="29">
        <f>PortfolioFrontier[[#This Row],[P1 Growth]]/PortfolioFrontier[[#This Row],[P1 HWM]]-1</f>
        <v>0</v>
      </c>
      <c r="G98" s="28">
        <f>SUMPRODUCT(INDEX(PortfolioRef[[SPY]:[PE]],MATCH(G$1,PortfolioRef[Reference '#]),0),AssetMonthlyReturns[[#This Row],[SPY]:[PE]])</f>
        <v>2.6925139915030247E-2</v>
      </c>
      <c r="H98" s="27">
        <f>IF(ISNUMBER(H97),H97*(1+PortfolioFrontier[[#This Row],[P2 Return]]),1+PortfolioFrontier[[#This Row],[P2 Return]])</f>
        <v>2.0090473207633037</v>
      </c>
      <c r="I98" s="27">
        <f>MAX(I97,PortfolioFrontier[[#This Row],[P2 Growth]])</f>
        <v>2.0090473207633037</v>
      </c>
      <c r="J98" s="27">
        <f>PortfolioFrontier[[#This Row],[P2 Growth]]/PortfolioFrontier[[#This Row],[P2 HWM]]-1</f>
        <v>0</v>
      </c>
      <c r="K98" s="28">
        <f>SUMPRODUCT(INDEX(PortfolioRef[[SPY]:[PE]],MATCH(K$1,PortfolioRef[Reference '#]),0),AssetMonthlyReturns[[#This Row],[SPY]:[PE]])</f>
        <v>3.0807104411513971E-2</v>
      </c>
      <c r="L98" s="27">
        <f>IF(ISNUMBER(L97),L97*(1+PortfolioFrontier[[#This Row],[P3 Return]]),1+PortfolioFrontier[[#This Row],[P3 Return]])</f>
        <v>2.0575665694015157</v>
      </c>
      <c r="M98" s="27">
        <f>MAX(M97,PortfolioFrontier[[#This Row],[P3 Growth]])</f>
        <v>2.0575665694015157</v>
      </c>
      <c r="N98" s="27">
        <f>PortfolioFrontier[[#This Row],[P3 Growth]]/PortfolioFrontier[[#This Row],[P3 HWM]]-1</f>
        <v>0</v>
      </c>
      <c r="O98" s="28">
        <f>SUMPRODUCT(INDEX(PortfolioRef[[SPY]:[PE]],MATCH(O$1,PortfolioRef[Reference '#]),0),AssetMonthlyReturns[[#This Row],[SPY]:[PE]])</f>
        <v>2.7016480989222928E-2</v>
      </c>
      <c r="P98" s="27">
        <f>IF(ISNUMBER(P97),P97*(1+PortfolioFrontier[[#This Row],[P4 Return]]),1+PortfolioFrontier[[#This Row],[P4 Return]])</f>
        <v>2.0392675667108948</v>
      </c>
      <c r="Q98" s="27">
        <f>MAX(Q97,PortfolioFrontier[[#This Row],[P4 Growth]])</f>
        <v>2.0392675667108948</v>
      </c>
      <c r="R98" s="27">
        <f>PortfolioFrontier[[#This Row],[P4 Growth]]/PortfolioFrontier[[#This Row],[P4 HWM]]-1</f>
        <v>0</v>
      </c>
      <c r="S98" s="28">
        <f>SUMPRODUCT(INDEX(PortfolioRef[[SPY]:[PE]],MATCH(S$1,PortfolioRef[Reference '#]),0),AssetMonthlyReturns[[#This Row],[SPY]:[PE]])</f>
        <v>2.6778055976303387E-2</v>
      </c>
      <c r="T98" s="27">
        <f>IF(ISNUMBER(T97),T97*(1+PortfolioFrontier[[#This Row],[P5 Return]]),1+PortfolioFrontier[[#This Row],[P5 Return]])</f>
        <v>2.0339261196131089</v>
      </c>
      <c r="U98" s="27">
        <f>MAX(U97,PortfolioFrontier[[#This Row],[P5 Growth]])</f>
        <v>2.0339261196131089</v>
      </c>
      <c r="V98" s="27">
        <f>PortfolioFrontier[[#This Row],[P5 Growth]]/PortfolioFrontier[[#This Row],[P5 HWM]]-1</f>
        <v>0</v>
      </c>
      <c r="W98" s="28">
        <f>SUMPRODUCT(INDEX(PortfolioRef[[SPY]:[PE]],MATCH(W$1,PortfolioRef[Reference '#]),0),AssetMonthlyReturns[[#This Row],[SPY]:[PE]])</f>
        <v>2.590226506870805E-2</v>
      </c>
      <c r="X98" s="27">
        <f>IF(ISNUMBER(X97),X97*(1+PortfolioFrontier[[#This Row],[P6 Return]]),1+PortfolioFrontier[[#This Row],[P6 Return]])</f>
        <v>1.9127879304305306</v>
      </c>
      <c r="Y98" s="27">
        <f>MAX(Y97,PortfolioFrontier[[#This Row],[P6 Growth]])</f>
        <v>1.9127879304305306</v>
      </c>
      <c r="Z98" s="27">
        <f>PortfolioFrontier[[#This Row],[P6 Growth]]/PortfolioFrontier[[#This Row],[P6 HWM]]-1</f>
        <v>0</v>
      </c>
      <c r="AA98" s="28">
        <f>SUMPRODUCT(INDEX(PortfolioRef[[SPY]:[PE]],MATCH(AA$1,PortfolioRef[Reference '#]),0),AssetMonthlyReturns[[#This Row],[SPY]:[PE]])</f>
        <v>2.9784229565191774E-2</v>
      </c>
      <c r="AB98" s="27">
        <f>IF(ISNUMBER(AB97),AB97*(1+PortfolioFrontier[[#This Row],[P7 Return]]),1+PortfolioFrontier[[#This Row],[P7 Return]])</f>
        <v>1.958999444824447</v>
      </c>
      <c r="AC98" s="27">
        <f>MAX(AC97,PortfolioFrontier[[#This Row],[P7 Growth]])</f>
        <v>1.958999444824447</v>
      </c>
      <c r="AD98" s="27">
        <f>PortfolioFrontier[[#This Row],[P7 Growth]]/PortfolioFrontier[[#This Row],[P7 HWM]]-1</f>
        <v>0</v>
      </c>
      <c r="AE98" s="28">
        <f>SUMPRODUCT(INDEX(PortfolioRef[[SPY]:[PE]],MATCH(AE$1,PortfolioRef[Reference '#]),0),AssetMonthlyReturns[[#This Row],[SPY]:[PE]])</f>
        <v>2.5993606142900728E-2</v>
      </c>
      <c r="AF98" s="27">
        <f>IF(ISNUMBER(AF97),AF97*(1+PortfolioFrontier[[#This Row],[P8 Return]]),1+PortfolioFrontier[[#This Row],[P8 Return]])</f>
        <v>1.942314804771565</v>
      </c>
      <c r="AG98" s="27">
        <f>MAX(AG97,PortfolioFrontier[[#This Row],[P8 Growth]])</f>
        <v>1.942314804771565</v>
      </c>
      <c r="AH98" s="27">
        <f>PortfolioFrontier[[#This Row],[P8 Growth]]/PortfolioFrontier[[#This Row],[P8 HWM]]-1</f>
        <v>0</v>
      </c>
      <c r="AI98" s="28">
        <f>SUMPRODUCT(INDEX(PortfolioRef[[SPY]:[PE]],MATCH(AI$1,PortfolioRef[Reference '#]),0),AssetMonthlyReturns[[#This Row],[SPY]:[PE]])</f>
        <v>2.5755181129981188E-2</v>
      </c>
      <c r="AJ98" s="27">
        <f>IF(ISNUMBER(AJ97),AJ97*(1+PortfolioFrontier[[#This Row],[P9 Return]]),1+PortfolioFrontier[[#This Row],[P9 Return]])</f>
        <v>1.9365007691608995</v>
      </c>
      <c r="AK98" s="27">
        <f>MAX(AK97,PortfolioFrontier[[#This Row],[P9 Growth]])</f>
        <v>1.9365007691608995</v>
      </c>
      <c r="AL98" s="27">
        <f>PortfolioFrontier[[#This Row],[P9 Growth]]/PortfolioFrontier[[#This Row],[P9 HWM]]-1</f>
        <v>0</v>
      </c>
      <c r="AM98" s="28">
        <f>SUMPRODUCT(INDEX(PortfolioRef[[SPY]:[PE]],MATCH(AM$1,PortfolioRef[Reference '#]),0),AssetMonthlyReturns[[#This Row],[SPY]:[PE]])</f>
        <v>3.3666194061675501E-2</v>
      </c>
      <c r="AN98" s="27">
        <f>IF(ISNUMBER(AN97),AN97*(1+PortfolioFrontier[[#This Row],[P10 Return]]),1+PortfolioFrontier[[#This Row],[P10 Return]])</f>
        <v>2.0057519694776764</v>
      </c>
      <c r="AO98" s="27">
        <f>MAX(AO97,PortfolioFrontier[[#This Row],[P10 Growth]])</f>
        <v>2.0057519694776764</v>
      </c>
      <c r="AP98" s="27">
        <f>PortfolioFrontier[[#This Row],[P10 Growth]]/PortfolioFrontier[[#This Row],[P10 HWM]]-1</f>
        <v>0</v>
      </c>
      <c r="AQ98" s="28">
        <f>SUMPRODUCT(INDEX(PortfolioRef[[SPY]:[PE]],MATCH(AQ$1,PortfolioRef[Reference '#]),0),AssetMonthlyReturns[[#This Row],[SPY]:[PE]])</f>
        <v>2.9875570639384452E-2</v>
      </c>
      <c r="AR98" s="27">
        <f>IF(ISNUMBER(AR97),AR97*(1+PortfolioFrontier[[#This Row],[P11 Return]]),1+PortfolioFrontier[[#This Row],[P11 Return]])</f>
        <v>1.9892073345927346</v>
      </c>
      <c r="AS98" s="27">
        <f>MAX(AS97,PortfolioFrontier[[#This Row],[P11 Growth]])</f>
        <v>1.9892073345927346</v>
      </c>
      <c r="AT98" s="27">
        <f>PortfolioFrontier[[#This Row],[P11 Growth]]/PortfolioFrontier[[#This Row],[P11 HWM]]-1</f>
        <v>0</v>
      </c>
      <c r="AU98" s="28">
        <f>SUMPRODUCT(INDEX(PortfolioRef[[SPY]:[PE]],MATCH(AU$1,PortfolioRef[Reference '#]),0),AssetMonthlyReturns[[#This Row],[SPY]:[PE]])</f>
        <v>2.9637145626464911E-2</v>
      </c>
      <c r="AV98" s="27">
        <f>IF(ISNUMBER(AV97),AV97*(1+PortfolioFrontier[[#This Row],[P12 Return]]),1+PortfolioFrontier[[#This Row],[P12 Return]])</f>
        <v>1.9832802456862726</v>
      </c>
      <c r="AW98" s="27">
        <f>MAX(AW97,PortfolioFrontier[[#This Row],[P12 Growth]])</f>
        <v>1.9832802456862726</v>
      </c>
      <c r="AX98" s="27">
        <f>PortfolioFrontier[[#This Row],[P12 Growth]]/PortfolioFrontier[[#This Row],[P12 HWM]]-1</f>
        <v>0</v>
      </c>
      <c r="AY98" s="28">
        <f>SUMPRODUCT(INDEX(PortfolioRef[[SPY]:[PE]],MATCH(AY$1,PortfolioRef[Reference '#]),0),AssetMonthlyReturns[[#This Row],[SPY]:[PE]])</f>
        <v>2.60849472170934E-2</v>
      </c>
      <c r="AZ98" s="27">
        <f>IF(ISNUMBER(AZ97),AZ97*(1+PortfolioFrontier[[#This Row],[P13 Return]]),1+PortfolioFrontier[[#This Row],[P13 Return]])</f>
        <v>1.9712061317488148</v>
      </c>
      <c r="BA98" s="27">
        <f>MAX(BA97,PortfolioFrontier[[#This Row],[P13 Growth]])</f>
        <v>1.9712061317488148</v>
      </c>
      <c r="BB98" s="27">
        <f>PortfolioFrontier[[#This Row],[P13 Growth]]/PortfolioFrontier[[#This Row],[P13 HWM]]-1</f>
        <v>0</v>
      </c>
      <c r="BC98" s="28">
        <f>SUMPRODUCT(INDEX(PortfolioRef[[SPY]:[PE]],MATCH(BC$1,PortfolioRef[Reference '#]),0),AssetMonthlyReturns[[#This Row],[SPY]:[PE]])</f>
        <v>2.5846522204173862E-2</v>
      </c>
      <c r="BD98" s="27">
        <f>IF(ISNUMBER(BD97),BD97*(1+PortfolioFrontier[[#This Row],[P14 Return]]),1+PortfolioFrontier[[#This Row],[P14 Return]])</f>
        <v>1.9664774029147818</v>
      </c>
      <c r="BE98" s="27">
        <f>MAX(BE97,PortfolioFrontier[[#This Row],[P14 Growth]])</f>
        <v>1.9664774029147818</v>
      </c>
      <c r="BF98" s="27">
        <f>PortfolioFrontier[[#This Row],[P14 Growth]]/PortfolioFrontier[[#This Row],[P14 HWM]]-1</f>
        <v>0</v>
      </c>
      <c r="BG98" s="28">
        <f>SUMPRODUCT(INDEX(PortfolioRef[[SPY]:[PE]],MATCH(BG$1,PortfolioRef[Reference '#]),0),AssetMonthlyReturns[[#This Row],[SPY]:[PE]])</f>
        <v>2.5608097191254318E-2</v>
      </c>
      <c r="BH98" s="27">
        <f>IF(ISNUMBER(BH97),BH97*(1+PortfolioFrontier[[#This Row],[P15 Return]]),1+PortfolioFrontier[[#This Row],[P15 Return]])</f>
        <v>1.960255546952691</v>
      </c>
      <c r="BI98" s="27">
        <f>MAX(BI97,PortfolioFrontier[[#This Row],[P15 Growth]])</f>
        <v>1.960255546952691</v>
      </c>
      <c r="BJ98" s="27">
        <f>PortfolioFrontier[[#This Row],[P15 Growth]]/PortfolioFrontier[[#This Row],[P15 HWM]]-1</f>
        <v>0</v>
      </c>
      <c r="BK98" s="28">
        <f>SUMPRODUCT(INDEX(PortfolioRef[[SPY]:[PE]],MATCH(BK$1,PortfolioRef[Reference '#]),0),AssetMonthlyReturns[[#This Row],[SPY]:[PE]])</f>
        <v>2.4879390222385854E-2</v>
      </c>
      <c r="BL98" s="27">
        <f>IF(ISNUMBER(BL97),BL97*(1+PortfolioFrontier[[#This Row],[P16 Return]]),1+PortfolioFrontier[[#This Row],[P16 Return]])</f>
        <v>1.8202879054925236</v>
      </c>
      <c r="BM98" s="27">
        <f>MAX(BM97,PortfolioFrontier[[#This Row],[P16 Growth]])</f>
        <v>1.8202879054925236</v>
      </c>
      <c r="BN98" s="27">
        <f>PortfolioFrontier[[#This Row],[P16 Growth]]/PortfolioFrontier[[#This Row],[P16 HWM]]-1</f>
        <v>0</v>
      </c>
      <c r="BO98" s="28">
        <f>SUMPRODUCT(INDEX(PortfolioRef[[SPY]:[PE]],MATCH(BO$1,PortfolioRef[Reference '#]),0),AssetMonthlyReturns[[#This Row],[SPY]:[PE]])</f>
        <v>2.8761354718869578E-2</v>
      </c>
      <c r="BP98" s="27">
        <f>IF(ISNUMBER(BP97),BP97*(1+PortfolioFrontier[[#This Row],[P17 Return]]),1+PortfolioFrontier[[#This Row],[P17 Return]])</f>
        <v>1.8642814138134847</v>
      </c>
      <c r="BQ98" s="27">
        <f>MAX(BQ97,PortfolioFrontier[[#This Row],[P17 Growth]])</f>
        <v>1.8642814138134847</v>
      </c>
      <c r="BR98" s="27">
        <f>PortfolioFrontier[[#This Row],[P17 Growth]]/PortfolioFrontier[[#This Row],[P17 HWM]]-1</f>
        <v>0</v>
      </c>
      <c r="BS98" s="28">
        <f>SUMPRODUCT(INDEX(PortfolioRef[[SPY]:[PE]],MATCH(BS$1,PortfolioRef[Reference '#]),0),AssetMonthlyReturns[[#This Row],[SPY]:[PE]])</f>
        <v>2.4970731296578532E-2</v>
      </c>
      <c r="BT98" s="27">
        <f>IF(ISNUMBER(BT97),BT97*(1+PortfolioFrontier[[#This Row],[P18 Return]]),1+PortfolioFrontier[[#This Row],[P18 Return]])</f>
        <v>1.8491040372018939</v>
      </c>
      <c r="BU98" s="27">
        <f>MAX(BU97,PortfolioFrontier[[#This Row],[P18 Growth]])</f>
        <v>1.8491040372018939</v>
      </c>
      <c r="BV98" s="27">
        <f>PortfolioFrontier[[#This Row],[P18 Growth]]/PortfolioFrontier[[#This Row],[P18 HWM]]-1</f>
        <v>0</v>
      </c>
      <c r="BW98" s="28">
        <f>SUMPRODUCT(INDEX(PortfolioRef[[SPY]:[PE]],MATCH(BW$1,PortfolioRef[Reference '#]),0),AssetMonthlyReturns[[#This Row],[SPY]:[PE]])</f>
        <v>2.4732306283658991E-2</v>
      </c>
      <c r="BX98" s="27">
        <f>IF(ISNUMBER(BX97),BX97*(1+PortfolioFrontier[[#This Row],[P19 Return]]),1+PortfolioFrontier[[#This Row],[P19 Return]])</f>
        <v>1.8428788688087092</v>
      </c>
      <c r="BY98" s="27">
        <f>MAX(BY97,PortfolioFrontier[[#This Row],[P19 Growth]])</f>
        <v>1.8428788688087092</v>
      </c>
      <c r="BZ98" s="27">
        <f>PortfolioFrontier[[#This Row],[P19 Growth]]/PortfolioFrontier[[#This Row],[P19 HWM]]-1</f>
        <v>0</v>
      </c>
      <c r="CA98" s="28">
        <f>SUMPRODUCT(INDEX(PortfolioRef[[SPY]:[PE]],MATCH(CA$1,PortfolioRef[Reference '#]),0),AssetMonthlyReturns[[#This Row],[SPY]:[PE]])</f>
        <v>3.2643319215353309E-2</v>
      </c>
      <c r="CB98" s="27">
        <f>IF(ISNUMBER(CB97),CB97*(1+PortfolioFrontier[[#This Row],[P20 Return]]),1+PortfolioFrontier[[#This Row],[P20 Return]])</f>
        <v>1.9087895572079152</v>
      </c>
      <c r="CC98" s="27">
        <f>MAX(CC97,PortfolioFrontier[[#This Row],[P20 Growth]])</f>
        <v>1.9087895572079152</v>
      </c>
      <c r="CD98" s="27">
        <f>PortfolioFrontier[[#This Row],[P20 Growth]]/PortfolioFrontier[[#This Row],[P20 HWM]]-1</f>
        <v>0</v>
      </c>
      <c r="CE98" s="28">
        <f>SUMPRODUCT(INDEX(PortfolioRef[[SPY]:[PE]],MATCH(CE$1,PortfolioRef[Reference '#]),0),AssetMonthlyReturns[[#This Row],[SPY]:[PE]])</f>
        <v>2.8852695793062256E-2</v>
      </c>
      <c r="CF98" s="27">
        <f>IF(ISNUMBER(CF97),CF97*(1+PortfolioFrontier[[#This Row],[P21 Return]]),1+PortfolioFrontier[[#This Row],[P21 Return]])</f>
        <v>1.8937628782640568</v>
      </c>
      <c r="CG98" s="27">
        <f>MAX(CG97,PortfolioFrontier[[#This Row],[P21 Growth]])</f>
        <v>1.8937628782640568</v>
      </c>
      <c r="CH98" s="27">
        <f>PortfolioFrontier[[#This Row],[P21 Growth]]/PortfolioFrontier[[#This Row],[P21 HWM]]-1</f>
        <v>0</v>
      </c>
      <c r="CI98" s="28">
        <f>SUMPRODUCT(INDEX(PortfolioRef[[SPY]:[PE]],MATCH(CI$1,PortfolioRef[Reference '#]),0),AssetMonthlyReturns[[#This Row],[SPY]:[PE]])</f>
        <v>2.8614270780142715E-2</v>
      </c>
      <c r="CJ98" s="27">
        <f>IF(ISNUMBER(CJ97),CJ97*(1+PortfolioFrontier[[#This Row],[P22 Return]]),1+PortfolioFrontier[[#This Row],[P22 Return]])</f>
        <v>1.8874137230960788</v>
      </c>
      <c r="CK98" s="27">
        <f>MAX(CK97,PortfolioFrontier[[#This Row],[P22 Growth]])</f>
        <v>1.8874137230960788</v>
      </c>
      <c r="CL98" s="27">
        <f>PortfolioFrontier[[#This Row],[P22 Growth]]/PortfolioFrontier[[#This Row],[P22 HWM]]-1</f>
        <v>0</v>
      </c>
      <c r="CM98" s="28">
        <f>SUMPRODUCT(INDEX(PortfolioRef[[SPY]:[PE]],MATCH(CM$1,PortfolioRef[Reference '#]),0),AssetMonthlyReturns[[#This Row],[SPY]:[PE]])</f>
        <v>2.5062072370771207E-2</v>
      </c>
      <c r="CN98" s="27">
        <f>IF(ISNUMBER(CN97),CN97*(1+PortfolioFrontier[[#This Row],[P23 Return]]),1+PortfolioFrontier[[#This Row],[P23 Return]])</f>
        <v>1.8773392579135058</v>
      </c>
      <c r="CO98" s="27">
        <f>MAX(CO97,PortfolioFrontier[[#This Row],[P23 Growth]])</f>
        <v>1.8773392579135058</v>
      </c>
      <c r="CP98" s="27">
        <f>PortfolioFrontier[[#This Row],[P23 Growth]]/PortfolioFrontier[[#This Row],[P23 HWM]]-1</f>
        <v>0</v>
      </c>
      <c r="CQ98" s="28">
        <f>SUMPRODUCT(INDEX(PortfolioRef[[SPY]:[PE]],MATCH(CQ$1,PortfolioRef[Reference '#]),0),AssetMonthlyReturns[[#This Row],[SPY]:[PE]])</f>
        <v>2.4823647357851669E-2</v>
      </c>
      <c r="CR98" s="27">
        <f>IF(ISNUMBER(CR97),CR97*(1+PortfolioFrontier[[#This Row],[P24 Return]]),1+PortfolioFrontier[[#This Row],[P24 Return]])</f>
        <v>1.872132293435262</v>
      </c>
      <c r="CS98" s="27">
        <f>MAX(CS97,PortfolioFrontier[[#This Row],[P24 Growth]])</f>
        <v>1.872132293435262</v>
      </c>
      <c r="CT98" s="27">
        <f>PortfolioFrontier[[#This Row],[P24 Growth]]/PortfolioFrontier[[#This Row],[P24 HWM]]-1</f>
        <v>0</v>
      </c>
      <c r="CU98" s="28">
        <f>SUMPRODUCT(INDEX(PortfolioRef[[SPY]:[PE]],MATCH(CU$1,PortfolioRef[Reference '#]),0),AssetMonthlyReturns[[#This Row],[SPY]:[PE]])</f>
        <v>2.4585222344932125E-2</v>
      </c>
      <c r="CV98" s="27">
        <f>IF(ISNUMBER(CV97),CV97*(1+PortfolioFrontier[[#This Row],[P25 Return]]),1+PortfolioFrontier[[#This Row],[P25 Return]])</f>
        <v>1.8655103829986961</v>
      </c>
      <c r="CW98" s="27">
        <f>MAX(CW97,PortfolioFrontier[[#This Row],[P25 Growth]])</f>
        <v>1.8655103829986961</v>
      </c>
      <c r="CX98" s="27">
        <f>PortfolioFrontier[[#This Row],[P25 Growth]]/PortfolioFrontier[[#This Row],[P25 HWM]]-1</f>
        <v>0</v>
      </c>
      <c r="CY98" s="28">
        <f>SUMPRODUCT(INDEX(PortfolioRef[[SPY]:[PE]],MATCH(CY$1,PortfolioRef[Reference '#]),0),AssetMonthlyReturns[[#This Row],[SPY]:[PE]])</f>
        <v>3.2734660289545983E-2</v>
      </c>
      <c r="CZ98" s="27">
        <f>IF(ISNUMBER(CZ97),CZ97*(1+PortfolioFrontier[[#This Row],[P26 Return]]),1+PortfolioFrontier[[#This Row],[P26 Return]])</f>
        <v>1.9389436152958361</v>
      </c>
      <c r="DA98" s="27">
        <f>MAX(DA97,PortfolioFrontier[[#This Row],[P26 Growth]])</f>
        <v>1.9389436152958361</v>
      </c>
      <c r="DB98" s="27">
        <f>PortfolioFrontier[[#This Row],[P26 Growth]]/PortfolioFrontier[[#This Row],[P26 HWM]]-1</f>
        <v>0</v>
      </c>
      <c r="DC98" s="28">
        <f>SUMPRODUCT(INDEX(PortfolioRef[[SPY]:[PE]],MATCH(DC$1,PortfolioRef[Reference '#]),0),AssetMonthlyReturns[[#This Row],[SPY]:[PE]])</f>
        <v>3.2496235276626442E-2</v>
      </c>
      <c r="DD98" s="27">
        <f>IF(ISNUMBER(DD97),DD97*(1+PortfolioFrontier[[#This Row],[P27 Return]]),1+PortfolioFrontier[[#This Row],[P27 Return]])</f>
        <v>1.9324697189649047</v>
      </c>
      <c r="DE98" s="27">
        <f>MAX(DE97,PortfolioFrontier[[#This Row],[P27 Growth]])</f>
        <v>1.9324697189649047</v>
      </c>
      <c r="DF98" s="27">
        <f>PortfolioFrontier[[#This Row],[P27 Growth]]/PortfolioFrontier[[#This Row],[P27 HWM]]-1</f>
        <v>0</v>
      </c>
      <c r="DG98" s="28">
        <f>SUMPRODUCT(INDEX(PortfolioRef[[SPY]:[PE]],MATCH(DG$1,PortfolioRef[Reference '#]),0),AssetMonthlyReturns[[#This Row],[SPY]:[PE]])</f>
        <v>2.894403686725493E-2</v>
      </c>
      <c r="DH98" s="27">
        <f>IF(ISNUMBER(DH97),DH97*(1+PortfolioFrontier[[#This Row],[P28 Return]]),1+PortfolioFrontier[[#This Row],[P28 Return]])</f>
        <v>1.9226489610147115</v>
      </c>
      <c r="DI98" s="27">
        <f>MAX(DI97,PortfolioFrontier[[#This Row],[P28 Growth]])</f>
        <v>1.9226489610147115</v>
      </c>
      <c r="DJ98" s="27">
        <f>PortfolioFrontier[[#This Row],[P28 Growth]]/PortfolioFrontier[[#This Row],[P28 HWM]]-1</f>
        <v>0</v>
      </c>
      <c r="DK98" s="28">
        <f>SUMPRODUCT(INDEX(PortfolioRef[[SPY]:[PE]],MATCH(DK$1,PortfolioRef[Reference '#]),0),AssetMonthlyReturns[[#This Row],[SPY]:[PE]])</f>
        <v>2.8705611854335393E-2</v>
      </c>
      <c r="DL98" s="27">
        <f>IF(ISNUMBER(DL97),DL97*(1+PortfolioFrontier[[#This Row],[P29 Return]]),1+PortfolioFrontier[[#This Row],[P29 Return]])</f>
        <v>1.9173425847768093</v>
      </c>
      <c r="DM98" s="27">
        <f>MAX(DM97,PortfolioFrontier[[#This Row],[P29 Growth]])</f>
        <v>1.9173425847768093</v>
      </c>
      <c r="DN98" s="27">
        <f>PortfolioFrontier[[#This Row],[P29 Growth]]/PortfolioFrontier[[#This Row],[P29 HWM]]-1</f>
        <v>0</v>
      </c>
      <c r="DO98" s="28">
        <f>SUMPRODUCT(INDEX(PortfolioRef[[SPY]:[PE]],MATCH(DO$1,PortfolioRef[Reference '#]),0),AssetMonthlyReturns[[#This Row],[SPY]:[PE]])</f>
        <v>2.8467186841415849E-2</v>
      </c>
      <c r="DP98" s="27">
        <f>IF(ISNUMBER(DP97),DP97*(1+PortfolioFrontier[[#This Row],[P30 Return]]),1+PortfolioFrontier[[#This Row],[P30 Return]])</f>
        <v>1.9105875960285703</v>
      </c>
      <c r="DQ98" s="27">
        <f>MAX(DQ97,PortfolioFrontier[[#This Row],[P30 Growth]])</f>
        <v>1.9105875960285703</v>
      </c>
      <c r="DR98" s="27">
        <f>PortfolioFrontier[[#This Row],[P30 Growth]]/PortfolioFrontier[[#This Row],[P30 HWM]]-1</f>
        <v>0</v>
      </c>
      <c r="DS98" s="28">
        <f>SUMPRODUCT(INDEX(PortfolioRef[[SPY]:[PE]],MATCH(DS$1,PortfolioRef[Reference '#]),0),AssetMonthlyReturns[[#This Row],[SPY]:[PE]])</f>
        <v>2.5153413444963878E-2</v>
      </c>
      <c r="DT98" s="27">
        <f>IF(ISNUMBER(DT97),DT97*(1+PortfolioFrontier[[#This Row],[P31 Return]]),1+PortfolioFrontier[[#This Row],[P31 Return]])</f>
        <v>1.9049492233405136</v>
      </c>
      <c r="DU98" s="27">
        <f>MAX(DU97,PortfolioFrontier[[#This Row],[P31 Growth]])</f>
        <v>1.9049492233405136</v>
      </c>
      <c r="DV98" s="27">
        <f>PortfolioFrontier[[#This Row],[P31 Growth]]/PortfolioFrontier[[#This Row],[P31 HWM]]-1</f>
        <v>0</v>
      </c>
      <c r="DW98" s="28">
        <f>SUMPRODUCT(INDEX(PortfolioRef[[SPY]:[PE]],MATCH(DW$1,PortfolioRef[Reference '#]),0),AssetMonthlyReturns[[#This Row],[SPY]:[PE]])</f>
        <v>2.491498843204434E-2</v>
      </c>
      <c r="DX98" s="27">
        <f>IF(ISNUMBER(DX97),DX97*(1+PortfolioFrontier[[#This Row],[P32 Return]]),1+PortfolioFrontier[[#This Row],[P32 Return]])</f>
        <v>1.9008002582008434</v>
      </c>
      <c r="DY98" s="27">
        <f>MAX(DY97,PortfolioFrontier[[#This Row],[P32 Growth]])</f>
        <v>1.9008002582008434</v>
      </c>
      <c r="DZ98" s="27">
        <f>PortfolioFrontier[[#This Row],[P32 Growth]]/PortfolioFrontier[[#This Row],[P32 HWM]]-1</f>
        <v>0</v>
      </c>
      <c r="EA98" s="28">
        <f>SUMPRODUCT(INDEX(PortfolioRef[[SPY]:[PE]],MATCH(EA$1,PortfolioRef[Reference '#]),0),AssetMonthlyReturns[[#This Row],[SPY]:[PE]])</f>
        <v>2.4676563419124799E-2</v>
      </c>
      <c r="EB98" s="27">
        <f>IF(ISNUMBER(EB97),EB97*(1+PortfolioFrontier[[#This Row],[P33 Return]]),1+PortfolioFrontier[[#This Row],[P33 Return]])</f>
        <v>1.8952037301437012</v>
      </c>
      <c r="EC98" s="27">
        <f>MAX(EC97,PortfolioFrontier[[#This Row],[P33 Growth]])</f>
        <v>1.8952037301437012</v>
      </c>
      <c r="ED98" s="27">
        <f>PortfolioFrontier[[#This Row],[P33 Growth]]/PortfolioFrontier[[#This Row],[P33 HWM]]-1</f>
        <v>0</v>
      </c>
      <c r="EE98" s="28">
        <f>SUMPRODUCT(INDEX(PortfolioRef[[SPY]:[PE]],MATCH(EE$1,PortfolioRef[Reference '#]),0),AssetMonthlyReturns[[#This Row],[SPY]:[PE]])</f>
        <v>2.3856515376063654E-2</v>
      </c>
      <c r="EF98" s="27">
        <f>IF(ISNUMBER(EF97),EF97*(1+PortfolioFrontier[[#This Row],[P34 Return]]),1+PortfolioFrontier[[#This Row],[P34 Return]])</f>
        <v>1.7314499427192236</v>
      </c>
      <c r="EG98" s="27">
        <f>MAX(EG97,PortfolioFrontier[[#This Row],[P34 Growth]])</f>
        <v>1.7314499427192236</v>
      </c>
      <c r="EH98" s="27">
        <f>PortfolioFrontier[[#This Row],[P34 Growth]]/PortfolioFrontier[[#This Row],[P34 HWM]]-1</f>
        <v>0</v>
      </c>
      <c r="EI98" s="28">
        <f>SUMPRODUCT(INDEX(PortfolioRef[[SPY]:[PE]],MATCH(EI$1,PortfolioRef[Reference '#]),0),AssetMonthlyReturns[[#This Row],[SPY]:[PE]])</f>
        <v>2.7738479872547378E-2</v>
      </c>
      <c r="EJ98" s="27">
        <f>IF(ISNUMBER(EJ97),EJ97*(1+PortfolioFrontier[[#This Row],[P35 Return]]),1+PortfolioFrontier[[#This Row],[P35 Return]])</f>
        <v>1.7733128350836878</v>
      </c>
      <c r="EK98" s="27">
        <f>MAX(EK97,PortfolioFrontier[[#This Row],[P35 Growth]])</f>
        <v>1.7733128350836878</v>
      </c>
      <c r="EL98" s="27">
        <f>PortfolioFrontier[[#This Row],[P35 Growth]]/PortfolioFrontier[[#This Row],[P35 HWM]]-1</f>
        <v>0</v>
      </c>
      <c r="EM98" s="28">
        <f>SUMPRODUCT(INDEX(PortfolioRef[[SPY]:[PE]],MATCH(EM$1,PortfolioRef[Reference '#]),0),AssetMonthlyReturns[[#This Row],[SPY]:[PE]])</f>
        <v>2.3947856450256332E-2</v>
      </c>
      <c r="EN98" s="27">
        <f>IF(ISNUMBER(EN97),EN97*(1+PortfolioFrontier[[#This Row],[P36 Return]]),1+PortfolioFrontier[[#This Row],[P36 Return]])</f>
        <v>1.7595410507158049</v>
      </c>
      <c r="EO98" s="27">
        <f>MAX(EO97,PortfolioFrontier[[#This Row],[P36 Growth]])</f>
        <v>1.7595410507158049</v>
      </c>
      <c r="EP98" s="27">
        <f>PortfolioFrontier[[#This Row],[P36 Growth]]/PortfolioFrontier[[#This Row],[P36 HWM]]-1</f>
        <v>0</v>
      </c>
      <c r="EQ98" s="28">
        <f>SUMPRODUCT(INDEX(PortfolioRef[[SPY]:[PE]],MATCH(EQ$1,PortfolioRef[Reference '#]),0),AssetMonthlyReturns[[#This Row],[SPY]:[PE]])</f>
        <v>2.3709431437336791E-2</v>
      </c>
      <c r="ER98" s="27">
        <f>IF(ISNUMBER(ER97),ER97*(1+PortfolioFrontier[[#This Row],[P37 Return]]),1+PortfolioFrontier[[#This Row],[P37 Return]])</f>
        <v>1.7529620565390971</v>
      </c>
      <c r="ES98" s="27">
        <f>MAX(ES97,PortfolioFrontier[[#This Row],[P37 Growth]])</f>
        <v>1.7529620565390971</v>
      </c>
      <c r="ET98" s="27">
        <f>PortfolioFrontier[[#This Row],[P37 Growth]]/PortfolioFrontier[[#This Row],[P37 HWM]]-1</f>
        <v>0</v>
      </c>
      <c r="EU98" s="28">
        <f>SUMPRODUCT(INDEX(PortfolioRef[[SPY]:[PE]],MATCH(EU$1,PortfolioRef[Reference '#]),0),AssetMonthlyReturns[[#This Row],[SPY]:[PE]])</f>
        <v>3.1620444369031109E-2</v>
      </c>
      <c r="EV98" s="27">
        <f>IF(ISNUMBER(EV97),EV97*(1+PortfolioFrontier[[#This Row],[P38 Return]]),1+PortfolioFrontier[[#This Row],[P38 Return]])</f>
        <v>1.8156650563925745</v>
      </c>
      <c r="EW98" s="27">
        <f>MAX(EW97,PortfolioFrontier[[#This Row],[P38 Growth]])</f>
        <v>1.8156650563925745</v>
      </c>
      <c r="EX98" s="27">
        <f>PortfolioFrontier[[#This Row],[P38 Growth]]/PortfolioFrontier[[#This Row],[P38 HWM]]-1</f>
        <v>0</v>
      </c>
      <c r="EY98" s="28">
        <f>SUMPRODUCT(INDEX(PortfolioRef[[SPY]:[PE]],MATCH(EY$1,PortfolioRef[Reference '#]),0),AssetMonthlyReturns[[#This Row],[SPY]:[PE]])</f>
        <v>2.7829820946740056E-2</v>
      </c>
      <c r="EZ98" s="27">
        <f>IF(ISNUMBER(EZ97),EZ97*(1+PortfolioFrontier[[#This Row],[P39 Return]]),1+PortfolioFrontier[[#This Row],[P39 Return]])</f>
        <v>1.8020532165685654</v>
      </c>
      <c r="FA98" s="27">
        <f>MAX(FA97,PortfolioFrontier[[#This Row],[P39 Growth]])</f>
        <v>1.8020532165685654</v>
      </c>
      <c r="FB98" s="27">
        <f>PortfolioFrontier[[#This Row],[P39 Growth]]/PortfolioFrontier[[#This Row],[P39 HWM]]-1</f>
        <v>0</v>
      </c>
      <c r="FC98" s="28">
        <f>SUMPRODUCT(INDEX(PortfolioRef[[SPY]:[PE]],MATCH(FC$1,PortfolioRef[Reference '#]),0),AssetMonthlyReturns[[#This Row],[SPY]:[PE]])</f>
        <v>2.7591395933820515E-2</v>
      </c>
      <c r="FD98" s="27">
        <f>IF(ISNUMBER(FD97),FD97*(1+PortfolioFrontier[[#This Row],[P40 Return]]),1+PortfolioFrontier[[#This Row],[P40 Return]])</f>
        <v>1.7953406926891808</v>
      </c>
      <c r="FE98" s="27">
        <f>MAX(FE97,PortfolioFrontier[[#This Row],[P40 Growth]])</f>
        <v>1.7953406926891808</v>
      </c>
      <c r="FF98" s="27">
        <f>PortfolioFrontier[[#This Row],[P40 Growth]]/PortfolioFrontier[[#This Row],[P40 HWM]]-1</f>
        <v>0</v>
      </c>
      <c r="FG98" s="28">
        <f>SUMPRODUCT(INDEX(PortfolioRef[[SPY]:[PE]],MATCH(FG$1,PortfolioRef[Reference '#]),0),AssetMonthlyReturns[[#This Row],[SPY]:[PE]])</f>
        <v>2.4039197524449007E-2</v>
      </c>
      <c r="FH98" s="27">
        <f>IF(ISNUMBER(FH97),FH97*(1+PortfolioFrontier[[#This Row],[P41 Return]]),1+PortfolioFrontier[[#This Row],[P41 Return]])</f>
        <v>1.7871027450780388</v>
      </c>
      <c r="FI98" s="27">
        <f>MAX(FI97,PortfolioFrontier[[#This Row],[P41 Growth]])</f>
        <v>1.7871027450780388</v>
      </c>
      <c r="FJ98" s="27">
        <f>PortfolioFrontier[[#This Row],[P41 Growth]]/PortfolioFrontier[[#This Row],[P41 HWM]]-1</f>
        <v>0</v>
      </c>
      <c r="FK98" s="28">
        <f>SUMPRODUCT(INDEX(PortfolioRef[[SPY]:[PE]],MATCH(FK$1,PortfolioRef[Reference '#]),0),AssetMonthlyReturns[[#This Row],[SPY]:[PE]])</f>
        <v>2.3800772511529469E-2</v>
      </c>
      <c r="FL98" s="27">
        <f>IF(ISNUMBER(FL97),FL97*(1+PortfolioFrontier[[#This Row],[P42 Return]]),1+PortfolioFrontier[[#This Row],[P42 Return]])</f>
        <v>1.781477955857059</v>
      </c>
      <c r="FM98" s="27">
        <f>MAX(FM97,PortfolioFrontier[[#This Row],[P42 Growth]])</f>
        <v>1.781477955857059</v>
      </c>
      <c r="FN98" s="27">
        <f>PortfolioFrontier[[#This Row],[P42 Growth]]/PortfolioFrontier[[#This Row],[P42 HWM]]-1</f>
        <v>0</v>
      </c>
      <c r="FO98" s="28">
        <f>SUMPRODUCT(INDEX(PortfolioRef[[SPY]:[PE]],MATCH(FO$1,PortfolioRef[Reference '#]),0),AssetMonthlyReturns[[#This Row],[SPY]:[PE]])</f>
        <v>2.3562347498609925E-2</v>
      </c>
      <c r="FP98" s="27">
        <f>IF(ISNUMBER(FP97),FP97*(1+PortfolioFrontier[[#This Row],[P43 Return]]),1+PortfolioFrontier[[#This Row],[P43 Return]])</f>
        <v>1.7745133449459358</v>
      </c>
      <c r="FQ98" s="27">
        <f>MAX(FQ97,PortfolioFrontier[[#This Row],[P43 Growth]])</f>
        <v>1.7745133449459358</v>
      </c>
      <c r="FR98" s="27">
        <f>PortfolioFrontier[[#This Row],[P43 Growth]]/PortfolioFrontier[[#This Row],[P43 HWM]]-1</f>
        <v>0</v>
      </c>
      <c r="FS98" s="28">
        <f>SUMPRODUCT(INDEX(PortfolioRef[[SPY]:[PE]],MATCH(FS$1,PortfolioRef[Reference '#]),0),AssetMonthlyReturns[[#This Row],[SPY]:[PE]])</f>
        <v>3.1711785443223783E-2</v>
      </c>
      <c r="FT98" s="27">
        <f>IF(ISNUMBER(FT97),FT97*(1+PortfolioFrontier[[#This Row],[P44 Return]]),1+PortfolioFrontier[[#This Row],[P44 Return]])</f>
        <v>1.8450618009973447</v>
      </c>
      <c r="FU98" s="27">
        <f>MAX(FU97,PortfolioFrontier[[#This Row],[P44 Growth]])</f>
        <v>1.8450618009973447</v>
      </c>
      <c r="FV98" s="27">
        <f>PortfolioFrontier[[#This Row],[P44 Growth]]/PortfolioFrontier[[#This Row],[P44 HWM]]-1</f>
        <v>0</v>
      </c>
      <c r="FW98" s="28">
        <f>SUMPRODUCT(INDEX(PortfolioRef[[SPY]:[PE]],MATCH(FW$1,PortfolioRef[Reference '#]),0),AssetMonthlyReturns[[#This Row],[SPY]:[PE]])</f>
        <v>3.1473360430304242E-2</v>
      </c>
      <c r="FX98" s="27">
        <f>IF(ISNUMBER(FX97),FX97*(1+PortfolioFrontier[[#This Row],[P45 Return]]),1+PortfolioFrontier[[#This Row],[P45 Return]])</f>
        <v>1.8382148540142156</v>
      </c>
      <c r="FY98" s="27">
        <f>MAX(FY97,PortfolioFrontier[[#This Row],[P45 Growth]])</f>
        <v>1.8382148540142156</v>
      </c>
      <c r="FZ98" s="27">
        <f>PortfolioFrontier[[#This Row],[P45 Growth]]/PortfolioFrontier[[#This Row],[P45 HWM]]-1</f>
        <v>0</v>
      </c>
      <c r="GA98" s="28">
        <f>SUMPRODUCT(INDEX(PortfolioRef[[SPY]:[PE]],MATCH(GA$1,PortfolioRef[Reference '#]),0),AssetMonthlyReturns[[#This Row],[SPY]:[PE]])</f>
        <v>2.7921162020932731E-2</v>
      </c>
      <c r="GB98" s="27">
        <f>IF(ISNUMBER(GB97),GB97*(1+PortfolioFrontier[[#This Row],[P46 Return]]),1+PortfolioFrontier[[#This Row],[P46 Return]])</f>
        <v>1.8302509395427895</v>
      </c>
      <c r="GC98" s="27">
        <f>MAX(GC97,PortfolioFrontier[[#This Row],[P46 Growth]])</f>
        <v>1.8302509395427895</v>
      </c>
      <c r="GD98" s="27">
        <f>PortfolioFrontier[[#This Row],[P46 Growth]]/PortfolioFrontier[[#This Row],[P46 HWM]]-1</f>
        <v>0</v>
      </c>
      <c r="GE98" s="28">
        <f>SUMPRODUCT(INDEX(PortfolioRef[[SPY]:[PE]],MATCH(GE$1,PortfolioRef[Reference '#]),0),AssetMonthlyReturns[[#This Row],[SPY]:[PE]])</f>
        <v>2.7682737008013193E-2</v>
      </c>
      <c r="GF98" s="27">
        <f>IF(ISNUMBER(GF97),GF97*(1+PortfolioFrontier[[#This Row],[P47 Return]]),1+PortfolioFrontier[[#This Row],[P47 Return]])</f>
        <v>1.8245156884230678</v>
      </c>
      <c r="GG98" s="27">
        <f>MAX(GG97,PortfolioFrontier[[#This Row],[P47 Growth]])</f>
        <v>1.8245156884230678</v>
      </c>
      <c r="GH98" s="27">
        <f>PortfolioFrontier[[#This Row],[P47 Growth]]/PortfolioFrontier[[#This Row],[P47 HWM]]-1</f>
        <v>0</v>
      </c>
      <c r="GI98" s="28">
        <f>SUMPRODUCT(INDEX(PortfolioRef[[SPY]:[PE]],MATCH(GI$1,PortfolioRef[Reference '#]),0),AssetMonthlyReturns[[#This Row],[SPY]:[PE]])</f>
        <v>2.7444311995093649E-2</v>
      </c>
      <c r="GJ98" s="27">
        <f>IF(ISNUMBER(GJ97),GJ97*(1+PortfolioFrontier[[#This Row],[P48 Return]]),1+PortfolioFrontier[[#This Row],[P48 Return]])</f>
        <v>1.8174087036026021</v>
      </c>
      <c r="GK98" s="27">
        <f>MAX(GK97,PortfolioFrontier[[#This Row],[P48 Growth]])</f>
        <v>1.8174087036026021</v>
      </c>
      <c r="GL98" s="27">
        <f>PortfolioFrontier[[#This Row],[P48 Growth]]/PortfolioFrontier[[#This Row],[P48 HWM]]-1</f>
        <v>0</v>
      </c>
      <c r="GM98" s="28">
        <f>SUMPRODUCT(INDEX(PortfolioRef[[SPY]:[PE]],MATCH(GM$1,PortfolioRef[Reference '#]),0),AssetMonthlyReturns[[#This Row],[SPY]:[PE]])</f>
        <v>2.4130538598641681E-2</v>
      </c>
      <c r="GN98" s="27">
        <f>IF(ISNUMBER(GN97),GN97*(1+PortfolioFrontier[[#This Row],[P49 Return]]),1+PortfolioFrontier[[#This Row],[P49 Return]])</f>
        <v>1.814092402713763</v>
      </c>
      <c r="GO98" s="27">
        <f>MAX(GO97,PortfolioFrontier[[#This Row],[P49 Growth]])</f>
        <v>1.814092402713763</v>
      </c>
      <c r="GP98" s="27">
        <f>PortfolioFrontier[[#This Row],[P49 Growth]]/PortfolioFrontier[[#This Row],[P49 HWM]]-1</f>
        <v>0</v>
      </c>
      <c r="GQ98" s="28">
        <f>SUMPRODUCT(INDEX(PortfolioRef[[SPY]:[PE]],MATCH(GQ$1,PortfolioRef[Reference '#]),0),AssetMonthlyReturns[[#This Row],[SPY]:[PE]])</f>
        <v>2.3892113585722144E-2</v>
      </c>
      <c r="GR98" s="27">
        <f>IF(ISNUMBER(GR97),GR97*(1+PortfolioFrontier[[#This Row],[P50 Return]]),1+PortfolioFrontier[[#This Row],[P50 Return]])</f>
        <v>1.8094604489400044</v>
      </c>
      <c r="GS98" s="27">
        <f>MAX(GS97,PortfolioFrontier[[#This Row],[P50 Growth]])</f>
        <v>1.8094604489400044</v>
      </c>
      <c r="GT98" s="27">
        <f>PortfolioFrontier[[#This Row],[P50 Growth]]/PortfolioFrontier[[#This Row],[P50 HWM]]-1</f>
        <v>0</v>
      </c>
      <c r="GU98" s="28">
        <f>SUMPRODUCT(INDEX(PortfolioRef[[SPY]:[PE]],MATCH(GU$1,PortfolioRef[Reference '#]),0),AssetMonthlyReturns[[#This Row],[SPY]:[PE]])</f>
        <v>2.3653688572802603E-2</v>
      </c>
      <c r="GV98" s="27">
        <f>IF(ISNUMBER(GV97),GV97*(1+PortfolioFrontier[[#This Row],[P51 Return]]),1+PortfolioFrontier[[#This Row],[P51 Return]])</f>
        <v>1.8034565711702857</v>
      </c>
      <c r="GW98" s="27">
        <f>MAX(GW97,PortfolioFrontier[[#This Row],[P51 Growth]])</f>
        <v>1.8034565711702857</v>
      </c>
      <c r="GX98" s="27">
        <f>PortfolioFrontier[[#This Row],[P51 Growth]]/PortfolioFrontier[[#This Row],[P51 HWM]]-1</f>
        <v>0</v>
      </c>
      <c r="GY98" s="28">
        <f>SUMPRODUCT(INDEX(PortfolioRef[[SPY]:[PE]],MATCH(GY$1,PortfolioRef[Reference '#]),0),AssetMonthlyReturns[[#This Row],[SPY]:[PE]])</f>
        <v>3.1803126517416458E-2</v>
      </c>
      <c r="GZ98" s="27">
        <f>IF(ISNUMBER(GZ97),GZ97*(1+PortfolioFrontier[[#This Row],[P52 Return]]),1+PortfolioFrontier[[#This Row],[P52 Return]])</f>
        <v>1.8739024786289642</v>
      </c>
      <c r="HA98" s="27">
        <f>MAX(HA97,PortfolioFrontier[[#This Row],[P52 Growth]])</f>
        <v>1.8739024786289642</v>
      </c>
      <c r="HB98" s="27">
        <f>PortfolioFrontier[[#This Row],[P52 Growth]]/PortfolioFrontier[[#This Row],[P52 HWM]]-1</f>
        <v>0</v>
      </c>
      <c r="HC98" s="28">
        <f>SUMPRODUCT(INDEX(PortfolioRef[[SPY]:[PE]],MATCH(HC$1,PortfolioRef[Reference '#]),0),AssetMonthlyReturns[[#This Row],[SPY]:[PE]])</f>
        <v>3.1564701504496917E-2</v>
      </c>
      <c r="HD98" s="27">
        <f>IF(ISNUMBER(HD97),HD97*(1+PortfolioFrontier[[#This Row],[P53 Return]]),1+PortfolioFrontier[[#This Row],[P53 Return]])</f>
        <v>1.8680561477362796</v>
      </c>
      <c r="HE98" s="27">
        <f>MAX(HE97,PortfolioFrontier[[#This Row],[P53 Growth]])</f>
        <v>1.8680561477362796</v>
      </c>
      <c r="HF98" s="27">
        <f>PortfolioFrontier[[#This Row],[P53 Growth]]/PortfolioFrontier[[#This Row],[P53 HWM]]-1</f>
        <v>0</v>
      </c>
      <c r="HG98" s="28">
        <f>SUMPRODUCT(INDEX(PortfolioRef[[SPY]:[PE]],MATCH(HG$1,PortfolioRef[Reference '#]),0),AssetMonthlyReturns[[#This Row],[SPY]:[PE]])</f>
        <v>3.1326276491577376E-2</v>
      </c>
      <c r="HH98" s="27">
        <f>IF(ISNUMBER(HH97),HH97*(1+PortfolioFrontier[[#This Row],[P54 Return]]),1+PortfolioFrontier[[#This Row],[P54 Return]])</f>
        <v>1.8608058004182642</v>
      </c>
      <c r="HI98" s="27">
        <f>MAX(HI97,PortfolioFrontier[[#This Row],[P54 Growth]])</f>
        <v>1.8608058004182642</v>
      </c>
      <c r="HJ98" s="27">
        <f>PortfolioFrontier[[#This Row],[P54 Growth]]/PortfolioFrontier[[#This Row],[P54 HWM]]-1</f>
        <v>0</v>
      </c>
      <c r="HK98" s="28">
        <f>SUMPRODUCT(INDEX(PortfolioRef[[SPY]:[PE]],MATCH(HK$1,PortfolioRef[Reference '#]),0),AssetMonthlyReturns[[#This Row],[SPY]:[PE]])</f>
        <v>2.8012503095125402E-2</v>
      </c>
      <c r="HL98" s="27">
        <f>IF(ISNUMBER(HL97),HL97*(1+PortfolioFrontier[[#This Row],[P55 Return]]),1+PortfolioFrontier[[#This Row],[P55 Return]])</f>
        <v>1.8578624024091202</v>
      </c>
      <c r="HM98" s="27">
        <f>MAX(HM97,PortfolioFrontier[[#This Row],[P55 Growth]])</f>
        <v>1.8578624024091202</v>
      </c>
      <c r="HN98" s="27">
        <f>PortfolioFrontier[[#This Row],[P55 Growth]]/PortfolioFrontier[[#This Row],[P55 HWM]]-1</f>
        <v>0</v>
      </c>
      <c r="HO98" s="28">
        <f>SUMPRODUCT(INDEX(PortfolioRef[[SPY]:[PE]],MATCH(HO$1,PortfolioRef[Reference '#]),0),AssetMonthlyReturns[[#This Row],[SPY]:[PE]])</f>
        <v>2.7774078082205864E-2</v>
      </c>
      <c r="HP98" s="27">
        <f>IF(ISNUMBER(HP97),HP97*(1+PortfolioFrontier[[#This Row],[P56 Return]]),1+PortfolioFrontier[[#This Row],[P56 Return]])</f>
        <v>1.8531439300168542</v>
      </c>
      <c r="HQ98" s="27">
        <f>MAX(HQ97,PortfolioFrontier[[#This Row],[P56 Growth]])</f>
        <v>1.8531439300168542</v>
      </c>
      <c r="HR98" s="27">
        <f>PortfolioFrontier[[#This Row],[P56 Growth]]/PortfolioFrontier[[#This Row],[P56 HWM]]-1</f>
        <v>0</v>
      </c>
      <c r="HS98" s="28">
        <f>SUMPRODUCT(INDEX(PortfolioRef[[SPY]:[PE]],MATCH(HS$1,PortfolioRef[Reference '#]),0),AssetMonthlyReturns[[#This Row],[SPY]:[PE]])</f>
        <v>2.7535653069286323E-2</v>
      </c>
      <c r="HT98" s="27">
        <f>IF(ISNUMBER(HT97),HT97*(1+PortfolioFrontier[[#This Row],[P57 Return]]),1+PortfolioFrontier[[#This Row],[P57 Return]])</f>
        <v>1.8470209098233621</v>
      </c>
      <c r="HU98" s="27">
        <f>MAX(HU97,PortfolioFrontier[[#This Row],[P57 Growth]])</f>
        <v>1.8470209098233621</v>
      </c>
      <c r="HV98" s="27">
        <f>PortfolioFrontier[[#This Row],[P57 Growth]]/PortfolioFrontier[[#This Row],[P57 HWM]]-1</f>
        <v>0</v>
      </c>
      <c r="HW98" s="28">
        <f>SUMPRODUCT(INDEX(PortfolioRef[[SPY]:[PE]],MATCH(HW$1,PortfolioRef[Reference '#]),0),AssetMonthlyReturns[[#This Row],[SPY]:[PE]])</f>
        <v>2.4221879672834356E-2</v>
      </c>
      <c r="HX98" s="27">
        <f>IF(ISNUMBER(HX97),HX97*(1+PortfolioFrontier[[#This Row],[P58 Return]]),1+PortfolioFrontier[[#This Row],[P58 Return]])</f>
        <v>1.8404673197393298</v>
      </c>
      <c r="HY98" s="27">
        <f>MAX(HY97,PortfolioFrontier[[#This Row],[P58 Growth]])</f>
        <v>1.8404673197393298</v>
      </c>
      <c r="HZ98" s="27">
        <f>PortfolioFrontier[[#This Row],[P58 Growth]]/PortfolioFrontier[[#This Row],[P58 HWM]]-1</f>
        <v>0</v>
      </c>
      <c r="IA98" s="28">
        <f>SUMPRODUCT(INDEX(PortfolioRef[[SPY]:[PE]],MATCH(IA$1,PortfolioRef[Reference '#]),0),AssetMonthlyReturns[[#This Row],[SPY]:[PE]])</f>
        <v>2.3983454659914819E-2</v>
      </c>
      <c r="IB98" s="27">
        <f>IF(ISNUMBER(IB97),IB97*(1+PortfolioFrontier[[#This Row],[P59 Return]]),1+PortfolioFrontier[[#This Row],[P59 Return]])</f>
        <v>1.8368663336040691</v>
      </c>
      <c r="IC98" s="27">
        <f>MAX(IC97,PortfolioFrontier[[#This Row],[P59 Growth]])</f>
        <v>1.8368663336040691</v>
      </c>
      <c r="ID98" s="27">
        <f>PortfolioFrontier[[#This Row],[P59 Growth]]/PortfolioFrontier[[#This Row],[P59 HWM]]-1</f>
        <v>0</v>
      </c>
      <c r="IE98" s="28">
        <f>SUMPRODUCT(INDEX(PortfolioRef[[SPY]:[PE]],MATCH(IE$1,PortfolioRef[Reference '#]),0),AssetMonthlyReturns[[#This Row],[SPY]:[PE]])</f>
        <v>2.3745029646995278E-2</v>
      </c>
      <c r="IF98" s="27">
        <f>IF(ISNUMBER(IF97),IF97*(1+PortfolioFrontier[[#This Row],[P60 Return]]),1+PortfolioFrontier[[#This Row],[P60 Return]])</f>
        <v>1.8318624474376162</v>
      </c>
      <c r="IG98" s="27">
        <f>MAX(IG97,PortfolioFrontier[[#This Row],[P60 Growth]])</f>
        <v>1.8318624474376162</v>
      </c>
      <c r="IH98" s="27">
        <f>PortfolioFrontier[[#This Row],[P60 Growth]]/PortfolioFrontier[[#This Row],[P60 HWM]]-1</f>
        <v>0</v>
      </c>
      <c r="II98" s="28">
        <f>SUMPRODUCT(INDEX(PortfolioRef[[SPY]:[PE]],MATCH(II$1,PortfolioRef[Reference '#]),0),AssetMonthlyReturns[[#This Row],[SPY]:[PE]])</f>
        <v>2.2833640529741461E-2</v>
      </c>
      <c r="IJ98" s="27">
        <f>IF(ISNUMBER(IJ97),IJ97*(1+PortfolioFrontier[[#This Row],[P61 Return]]),1+PortfolioFrontier[[#This Row],[P61 Return]])</f>
        <v>1.6461763728277712</v>
      </c>
      <c r="IK98" s="27">
        <f>MAX(IK97,PortfolioFrontier[[#This Row],[P61 Growth]])</f>
        <v>1.6461763728277712</v>
      </c>
      <c r="IL98" s="27">
        <f>PortfolioFrontier[[#This Row],[P61 Growth]]/PortfolioFrontier[[#This Row],[P61 HWM]]-1</f>
        <v>0</v>
      </c>
      <c r="IM98" s="28">
        <f>SUMPRODUCT(INDEX(PortfolioRef[[SPY]:[PE]],MATCH(IM$1,PortfolioRef[Reference '#]),0),AssetMonthlyReturns[[#This Row],[SPY]:[PE]])</f>
        <v>2.6715605026225185E-2</v>
      </c>
      <c r="IN98" s="27">
        <f>IF(ISNUMBER(IN97),IN97*(1+PortfolioFrontier[[#This Row],[P62 Return]]),1+PortfolioFrontier[[#This Row],[P62 Return]])</f>
        <v>1.6859936960801178</v>
      </c>
      <c r="IO98" s="27">
        <f>MAX(IO97,PortfolioFrontier[[#This Row],[P62 Growth]])</f>
        <v>1.6859936960801178</v>
      </c>
      <c r="IP98" s="27">
        <f>PortfolioFrontier[[#This Row],[P62 Growth]]/PortfolioFrontier[[#This Row],[P62 HWM]]-1</f>
        <v>0</v>
      </c>
      <c r="IQ98" s="28">
        <f>SUMPRODUCT(INDEX(PortfolioRef[[SPY]:[PE]],MATCH(IQ$1,PortfolioRef[Reference '#]),0),AssetMonthlyReturns[[#This Row],[SPY]:[PE]])</f>
        <v>2.2924981603934136E-2</v>
      </c>
      <c r="IR98" s="27">
        <f>IF(ISNUMBER(IR97),IR97*(1+PortfolioFrontier[[#This Row],[P63 Return]]),1+PortfolioFrontier[[#This Row],[P63 Return]])</f>
        <v>1.6735310783220008</v>
      </c>
      <c r="IS98" s="27">
        <f>MAX(IS97,PortfolioFrontier[[#This Row],[P63 Growth]])</f>
        <v>1.6735310783220008</v>
      </c>
      <c r="IT98" s="27">
        <f>PortfolioFrontier[[#This Row],[P63 Growth]]/PortfolioFrontier[[#This Row],[P63 HWM]]-1</f>
        <v>0</v>
      </c>
      <c r="IU98" s="28">
        <f>SUMPRODUCT(INDEX(PortfolioRef[[SPY]:[PE]],MATCH(IU$1,PortfolioRef[Reference '#]),0),AssetMonthlyReturns[[#This Row],[SPY]:[PE]])</f>
        <v>2.2686556591014595E-2</v>
      </c>
      <c r="IV98" s="27">
        <f>IF(ISNUMBER(IV97),IV97*(1+PortfolioFrontier[[#This Row],[P64 Return]]),1+PortfolioFrontier[[#This Row],[P64 Return]])</f>
        <v>1.6666515942058002</v>
      </c>
      <c r="IW98" s="27">
        <f>MAX(IW97,PortfolioFrontier[[#This Row],[P64 Growth]])</f>
        <v>1.6666515942058002</v>
      </c>
      <c r="IX98" s="27">
        <f>PortfolioFrontier[[#This Row],[P64 Growth]]/PortfolioFrontier[[#This Row],[P64 HWM]]-1</f>
        <v>0</v>
      </c>
      <c r="IY98" s="28">
        <f>SUMPRODUCT(INDEX(PortfolioRef[[SPY]:[PE]],MATCH(IY$1,PortfolioRef[Reference '#]),0),AssetMonthlyReturns[[#This Row],[SPY]:[PE]])</f>
        <v>3.0597569522708909E-2</v>
      </c>
      <c r="IZ98" s="27">
        <f>IF(ISNUMBER(IZ97),IZ97*(1+PortfolioFrontier[[#This Row],[P65 Return]]),1+PortfolioFrontier[[#This Row],[P65 Return]])</f>
        <v>1.7262760803588544</v>
      </c>
      <c r="JA98" s="27">
        <f>MAX(JA97,PortfolioFrontier[[#This Row],[P65 Growth]])</f>
        <v>1.7262760803588544</v>
      </c>
      <c r="JB98" s="27">
        <f>PortfolioFrontier[[#This Row],[P65 Growth]]/PortfolioFrontier[[#This Row],[P65 HWM]]-1</f>
        <v>0</v>
      </c>
      <c r="JC98" s="28">
        <f>SUMPRODUCT(INDEX(PortfolioRef[[SPY]:[PE]],MATCH(JC$1,PortfolioRef[Reference '#]),0),AssetMonthlyReturns[[#This Row],[SPY]:[PE]])</f>
        <v>2.680694610041786E-2</v>
      </c>
      <c r="JD98" s="27">
        <f>IF(ISNUMBER(JD97),JD97*(1+PortfolioFrontier[[#This Row],[P66 Return]]),1+PortfolioFrontier[[#This Row],[P66 Return]])</f>
        <v>1.7139813076549344</v>
      </c>
      <c r="JE98" s="27">
        <f>MAX(JE97,PortfolioFrontier[[#This Row],[P66 Growth]])</f>
        <v>1.7139813076549344</v>
      </c>
      <c r="JF98" s="27">
        <f>PortfolioFrontier[[#This Row],[P66 Growth]]/PortfolioFrontier[[#This Row],[P66 HWM]]-1</f>
        <v>0</v>
      </c>
      <c r="JG98" s="28">
        <f>SUMPRODUCT(INDEX(PortfolioRef[[SPY]:[PE]],MATCH(JG$1,PortfolioRef[Reference '#]),0),AssetMonthlyReturns[[#This Row],[SPY]:[PE]])</f>
        <v>2.6568521087498319E-2</v>
      </c>
      <c r="JH98" s="27">
        <f>IF(ISNUMBER(JH97),JH97*(1+PortfolioFrontier[[#This Row],[P67 Return]]),1+PortfolioFrontier[[#This Row],[P67 Return]])</f>
        <v>1.7069600477358873</v>
      </c>
      <c r="JI98" s="27">
        <f>MAX(JI97,PortfolioFrontier[[#This Row],[P67 Growth]])</f>
        <v>1.7069600477358873</v>
      </c>
      <c r="JJ98" s="27">
        <f>PortfolioFrontier[[#This Row],[P67 Growth]]/PortfolioFrontier[[#This Row],[P67 HWM]]-1</f>
        <v>0</v>
      </c>
      <c r="JK98" s="28">
        <f>SUMPRODUCT(INDEX(PortfolioRef[[SPY]:[PE]],MATCH(JK$1,PortfolioRef[Reference '#]),0),AssetMonthlyReturns[[#This Row],[SPY]:[PE]])</f>
        <v>2.301632267812681E-2</v>
      </c>
      <c r="JL98" s="27">
        <f>IF(ISNUMBER(JL97),JL97*(1+PortfolioFrontier[[#This Row],[P68 Return]]),1+PortfolioFrontier[[#This Row],[P68 Return]])</f>
        <v>1.7004048426372562</v>
      </c>
      <c r="JM98" s="27">
        <f>MAX(JM97,PortfolioFrontier[[#This Row],[P68 Growth]])</f>
        <v>1.7004048426372562</v>
      </c>
      <c r="JN98" s="27">
        <f>PortfolioFrontier[[#This Row],[P68 Growth]]/PortfolioFrontier[[#This Row],[P68 HWM]]-1</f>
        <v>0</v>
      </c>
      <c r="JO98" s="28">
        <f>SUMPRODUCT(INDEX(PortfolioRef[[SPY]:[PE]],MATCH(JO$1,PortfolioRef[Reference '#]),0),AssetMonthlyReturns[[#This Row],[SPY]:[PE]])</f>
        <v>2.2777897665207273E-2</v>
      </c>
      <c r="JP98" s="27">
        <f>IF(ISNUMBER(JP97),JP97*(1+PortfolioFrontier[[#This Row],[P69 Return]]),1+PortfolioFrontier[[#This Row],[P69 Return]])</f>
        <v>1.6944185854823652</v>
      </c>
      <c r="JQ98" s="27">
        <f>MAX(JQ97,PortfolioFrontier[[#This Row],[P69 Growth]])</f>
        <v>1.6944185854823652</v>
      </c>
      <c r="JR98" s="27">
        <f>PortfolioFrontier[[#This Row],[P69 Growth]]/PortfolioFrontier[[#This Row],[P69 HWM]]-1</f>
        <v>0</v>
      </c>
      <c r="JS98" s="28">
        <f>SUMPRODUCT(INDEX(PortfolioRef[[SPY]:[PE]],MATCH(JS$1,PortfolioRef[Reference '#]),0),AssetMonthlyReturns[[#This Row],[SPY]:[PE]])</f>
        <v>2.2539472652287729E-2</v>
      </c>
      <c r="JT98" s="27">
        <f>IF(ISNUMBER(JT97),JT97*(1+PortfolioFrontier[[#This Row],[P70 Return]]),1+PortfolioFrontier[[#This Row],[P70 Return]])</f>
        <v>1.6871646284217272</v>
      </c>
      <c r="JU98" s="27">
        <f>MAX(JU97,PortfolioFrontier[[#This Row],[P70 Growth]])</f>
        <v>1.6871646284217272</v>
      </c>
      <c r="JV98" s="27">
        <f>PortfolioFrontier[[#This Row],[P70 Growth]]/PortfolioFrontier[[#This Row],[P70 HWM]]-1</f>
        <v>0</v>
      </c>
      <c r="JW98" s="28">
        <f>SUMPRODUCT(INDEX(PortfolioRef[[SPY]:[PE]],MATCH(JW$1,PortfolioRef[Reference '#]),0),AssetMonthlyReturns[[#This Row],[SPY]:[PE]])</f>
        <v>3.068891059690159E-2</v>
      </c>
      <c r="JX98" s="27">
        <f>IF(ISNUMBER(JX97),JX97*(1+PortfolioFrontier[[#This Row],[P71 Return]]),1+PortfolioFrontier[[#This Row],[P71 Return]])</f>
        <v>1.7549035125434367</v>
      </c>
      <c r="JY98" s="27">
        <f>MAX(JY97,PortfolioFrontier[[#This Row],[P71 Growth]])</f>
        <v>1.7549035125434367</v>
      </c>
      <c r="JZ98" s="27">
        <f>PortfolioFrontier[[#This Row],[P71 Growth]]/PortfolioFrontier[[#This Row],[P71 HWM]]-1</f>
        <v>0</v>
      </c>
      <c r="KA98" s="28">
        <f>SUMPRODUCT(INDEX(PortfolioRef[[SPY]:[PE]],MATCH(KA$1,PortfolioRef[Reference '#]),0),AssetMonthlyReturns[[#This Row],[SPY]:[PE]])</f>
        <v>3.045048558398205E-2</v>
      </c>
      <c r="KB98" s="27">
        <f>IF(ISNUMBER(KB97),KB97*(1+PortfolioFrontier[[#This Row],[P72 Return]]),1+PortfolioFrontier[[#This Row],[P72 Return]])</f>
        <v>1.7477394604644694</v>
      </c>
      <c r="KC98" s="27">
        <f>MAX(KC97,PortfolioFrontier[[#This Row],[P72 Growth]])</f>
        <v>1.7477394604644694</v>
      </c>
      <c r="KD98" s="27">
        <f>PortfolioFrontier[[#This Row],[P72 Growth]]/PortfolioFrontier[[#This Row],[P72 HWM]]-1</f>
        <v>0</v>
      </c>
      <c r="KE98" s="28">
        <f>SUMPRODUCT(INDEX(PortfolioRef[[SPY]:[PE]],MATCH(KE$1,PortfolioRef[Reference '#]),0),AssetMonthlyReturns[[#This Row],[SPY]:[PE]])</f>
        <v>2.6898287174610534E-2</v>
      </c>
      <c r="KF98" s="27">
        <f>IF(ISNUMBER(KF97),KF97*(1+PortfolioFrontier[[#This Row],[P73 Return]]),1+PortfolioFrontier[[#This Row],[P73 Return]])</f>
        <v>1.7414758889556132</v>
      </c>
      <c r="KG98" s="27">
        <f>MAX(KG97,PortfolioFrontier[[#This Row],[P73 Growth]])</f>
        <v>1.7414758889556132</v>
      </c>
      <c r="KH98" s="27">
        <f>PortfolioFrontier[[#This Row],[P73 Growth]]/PortfolioFrontier[[#This Row],[P73 HWM]]-1</f>
        <v>0</v>
      </c>
      <c r="KI98" s="28">
        <f>SUMPRODUCT(INDEX(PortfolioRef[[SPY]:[PE]],MATCH(KI$1,PortfolioRef[Reference '#]),0),AssetMonthlyReturns[[#This Row],[SPY]:[PE]])</f>
        <v>2.6659862161690997E-2</v>
      </c>
      <c r="KJ98" s="27">
        <f>IF(ISNUMBER(KJ97),KJ97*(1+PortfolioFrontier[[#This Row],[P74 Return]]),1+PortfolioFrontier[[#This Row],[P74 Return]])</f>
        <v>1.7353694861644564</v>
      </c>
      <c r="KK98" s="27">
        <f>MAX(KK97,PortfolioFrontier[[#This Row],[P74 Growth]])</f>
        <v>1.7353694861644564</v>
      </c>
      <c r="KL98" s="27">
        <f>PortfolioFrontier[[#This Row],[P74 Growth]]/PortfolioFrontier[[#This Row],[P74 HWM]]-1</f>
        <v>0</v>
      </c>
      <c r="KM98" s="28">
        <f>SUMPRODUCT(INDEX(PortfolioRef[[SPY]:[PE]],MATCH(KM$1,PortfolioRef[Reference '#]),0),AssetMonthlyReturns[[#This Row],[SPY]:[PE]])</f>
        <v>2.6421437148771452E-2</v>
      </c>
      <c r="KN98" s="27">
        <f>IF(ISNUMBER(KN97),KN97*(1+PortfolioFrontier[[#This Row],[P75 Return]]),1+PortfolioFrontier[[#This Row],[P75 Return]])</f>
        <v>1.7279651572930561</v>
      </c>
      <c r="KO98" s="27">
        <f>MAX(KO97,PortfolioFrontier[[#This Row],[P75 Growth]])</f>
        <v>1.7279651572930561</v>
      </c>
      <c r="KP98" s="27">
        <f>PortfolioFrontier[[#This Row],[P75 Growth]]/PortfolioFrontier[[#This Row],[P75 HWM]]-1</f>
        <v>0</v>
      </c>
      <c r="KQ98" s="28">
        <f>SUMPRODUCT(INDEX(PortfolioRef[[SPY]:[PE]],MATCH(KQ$1,PortfolioRef[Reference '#]),0),AssetMonthlyReturns[[#This Row],[SPY]:[PE]])</f>
        <v>2.3107663752319485E-2</v>
      </c>
      <c r="KR98" s="27">
        <f>IF(ISNUMBER(KR97),KR97*(1+PortfolioFrontier[[#This Row],[P76 Return]]),1+PortfolioFrontier[[#This Row],[P76 Return]])</f>
        <v>1.7267567426154209</v>
      </c>
      <c r="KS98" s="27">
        <f>MAX(KS97,PortfolioFrontier[[#This Row],[P76 Growth]])</f>
        <v>1.7267567426154209</v>
      </c>
      <c r="KT98" s="27">
        <f>PortfolioFrontier[[#This Row],[P76 Growth]]/PortfolioFrontier[[#This Row],[P76 HWM]]-1</f>
        <v>0</v>
      </c>
      <c r="KU98" s="28">
        <f>SUMPRODUCT(INDEX(PortfolioRef[[SPY]:[PE]],MATCH(KU$1,PortfolioRef[Reference '#]),0),AssetMonthlyReturns[[#This Row],[SPY]:[PE]])</f>
        <v>2.2869238739399948E-2</v>
      </c>
      <c r="KV98" s="27">
        <f>IF(ISNUMBER(KV97),KV97*(1+PortfolioFrontier[[#This Row],[P77 Return]]),1+PortfolioFrontier[[#This Row],[P77 Return]])</f>
        <v>1.7217011628964656</v>
      </c>
      <c r="KW98" s="27">
        <f>MAX(KW97,PortfolioFrontier[[#This Row],[P77 Growth]])</f>
        <v>1.7217011628964656</v>
      </c>
      <c r="KX98" s="27">
        <f>PortfolioFrontier[[#This Row],[P77 Growth]]/PortfolioFrontier[[#This Row],[P77 HWM]]-1</f>
        <v>0</v>
      </c>
      <c r="KY98" s="28">
        <f>SUMPRODUCT(INDEX(PortfolioRef[[SPY]:[PE]],MATCH(KY$1,PortfolioRef[Reference '#]),0),AssetMonthlyReturns[[#This Row],[SPY]:[PE]])</f>
        <v>2.2630813726480407E-2</v>
      </c>
      <c r="KZ98" s="27">
        <f>IF(ISNUMBER(KZ97),KZ97*(1+PortfolioFrontier[[#This Row],[P78 Return]]),1+PortfolioFrontier[[#This Row],[P78 Return]])</f>
        <v>1.715346349128803</v>
      </c>
      <c r="LA98" s="27">
        <f>MAX(LA97,PortfolioFrontier[[#This Row],[P78 Growth]])</f>
        <v>1.715346349128803</v>
      </c>
      <c r="LB98" s="27">
        <f>PortfolioFrontier[[#This Row],[P78 Growth]]/PortfolioFrontier[[#This Row],[P78 HWM]]-1</f>
        <v>0</v>
      </c>
      <c r="LC98" s="28">
        <f>SUMPRODUCT(INDEX(PortfolioRef[[SPY]:[PE]],MATCH(LC$1,PortfolioRef[Reference '#]),0),AssetMonthlyReturns[[#This Row],[SPY]:[PE]])</f>
        <v>3.0780251671094262E-2</v>
      </c>
      <c r="LD98" s="27">
        <f>IF(ISNUMBER(LD97),LD97*(1+PortfolioFrontier[[#This Row],[P79 Return]]),1+PortfolioFrontier[[#This Row],[P79 Return]])</f>
        <v>1.7830256752762876</v>
      </c>
      <c r="LE98" s="27">
        <f>MAX(LE97,PortfolioFrontier[[#This Row],[P79 Growth]])</f>
        <v>1.7830256752762876</v>
      </c>
      <c r="LF98" s="27">
        <f>PortfolioFrontier[[#This Row],[P79 Growth]]/PortfolioFrontier[[#This Row],[P79 HWM]]-1</f>
        <v>0</v>
      </c>
      <c r="LG98" s="28">
        <f>SUMPRODUCT(INDEX(PortfolioRef[[SPY]:[PE]],MATCH(LG$1,PortfolioRef[Reference '#]),0),AssetMonthlyReturns[[#This Row],[SPY]:[PE]])</f>
        <v>3.0541826658174724E-2</v>
      </c>
      <c r="LH98" s="27">
        <f>IF(ISNUMBER(LH97),LH97*(1+PortfolioFrontier[[#This Row],[P80 Return]]),1+PortfolioFrontier[[#This Row],[P80 Return]])</f>
        <v>1.7767983693300844</v>
      </c>
      <c r="LI98" s="27">
        <f>MAX(LI97,PortfolioFrontier[[#This Row],[P80 Growth]])</f>
        <v>1.7767983693300844</v>
      </c>
      <c r="LJ98" s="27">
        <f>PortfolioFrontier[[#This Row],[P80 Growth]]/PortfolioFrontier[[#This Row],[P80 HWM]]-1</f>
        <v>0</v>
      </c>
      <c r="LK98" s="28">
        <f>SUMPRODUCT(INDEX(PortfolioRef[[SPY]:[PE]],MATCH(LK$1,PortfolioRef[Reference '#]),0),AssetMonthlyReturns[[#This Row],[SPY]:[PE]])</f>
        <v>3.030340164525518E-2</v>
      </c>
      <c r="LL98" s="27">
        <f>IF(ISNUMBER(LL97),LL97*(1+PortfolioFrontier[[#This Row],[P81 Return]]),1+PortfolioFrontier[[#This Row],[P81 Return]])</f>
        <v>1.7692425596725341</v>
      </c>
      <c r="LM98" s="27">
        <f>MAX(LM97,PortfolioFrontier[[#This Row],[P81 Growth]])</f>
        <v>1.7692425596725341</v>
      </c>
      <c r="LN98" s="27">
        <f>PortfolioFrontier[[#This Row],[P81 Growth]]/PortfolioFrontier[[#This Row],[P81 HWM]]-1</f>
        <v>0</v>
      </c>
      <c r="LO98" s="28">
        <f>SUMPRODUCT(INDEX(PortfolioRef[[SPY]:[PE]],MATCH(LO$1,PortfolioRef[Reference '#]),0),AssetMonthlyReturns[[#This Row],[SPY]:[PE]])</f>
        <v>2.6989628248803209E-2</v>
      </c>
      <c r="LP98" s="27">
        <f>IF(ISNUMBER(LP97),LP97*(1+PortfolioFrontier[[#This Row],[P82 Return]]),1+PortfolioFrontier[[#This Row],[P82 Return]])</f>
        <v>1.7684355759480177</v>
      </c>
      <c r="LQ98" s="27">
        <f>MAX(LQ97,PortfolioFrontier[[#This Row],[P82 Growth]])</f>
        <v>1.7684355759480177</v>
      </c>
      <c r="LR98" s="27">
        <f>PortfolioFrontier[[#This Row],[P82 Growth]]/PortfolioFrontier[[#This Row],[P82 HWM]]-1</f>
        <v>0</v>
      </c>
      <c r="LS98" s="28">
        <f>SUMPRODUCT(INDEX(PortfolioRef[[SPY]:[PE]],MATCH(LS$1,PortfolioRef[Reference '#]),0),AssetMonthlyReturns[[#This Row],[SPY]:[PE]])</f>
        <v>2.6751203235883671E-2</v>
      </c>
      <c r="LT98" s="27">
        <f>IF(ISNUMBER(LT97),LT97*(1+PortfolioFrontier[[#This Row],[P83 Return]]),1+PortfolioFrontier[[#This Row],[P83 Return]])</f>
        <v>1.763282330928692</v>
      </c>
      <c r="LU98" s="27">
        <f>MAX(LU97,PortfolioFrontier[[#This Row],[P83 Growth]])</f>
        <v>1.763282330928692</v>
      </c>
      <c r="LV98" s="27">
        <f>PortfolioFrontier[[#This Row],[P83 Growth]]/PortfolioFrontier[[#This Row],[P83 HWM]]-1</f>
        <v>0</v>
      </c>
      <c r="LW98" s="28">
        <f>SUMPRODUCT(INDEX(PortfolioRef[[SPY]:[PE]],MATCH(LW$1,PortfolioRef[Reference '#]),0),AssetMonthlyReturns[[#This Row],[SPY]:[PE]])</f>
        <v>2.6512778222964131E-2</v>
      </c>
      <c r="LX98" s="27">
        <f>IF(ISNUMBER(LX97),LX97*(1+PortfolioFrontier[[#This Row],[P84 Return]]),1+PortfolioFrontier[[#This Row],[P84 Return]])</f>
        <v>1.7567989246922742</v>
      </c>
      <c r="LY98" s="27">
        <f>MAX(LY97,PortfolioFrontier[[#This Row],[P84 Growth]])</f>
        <v>1.7567989246922742</v>
      </c>
      <c r="LZ98" s="27">
        <f>PortfolioFrontier[[#This Row],[P84 Growth]]/PortfolioFrontier[[#This Row],[P84 HWM]]-1</f>
        <v>0</v>
      </c>
      <c r="MA98" s="28">
        <f>SUMPRODUCT(INDEX(PortfolioRef[[SPY]:[PE]],MATCH(MA$1,PortfolioRef[Reference '#]),0),AssetMonthlyReturns[[#This Row],[SPY]:[PE]])</f>
        <v>2.319900482651216E-2</v>
      </c>
      <c r="MB98" s="27">
        <f>IF(ISNUMBER(MB97),MB97*(1+PortfolioFrontier[[#This Row],[P85 Return]]),1+PortfolioFrontier[[#This Row],[P85 Return]])</f>
        <v>1.7525457228779266</v>
      </c>
      <c r="MC98" s="27">
        <f>MAX(MC97,PortfolioFrontier[[#This Row],[P85 Growth]])</f>
        <v>1.7525457228779266</v>
      </c>
      <c r="MD98" s="27">
        <f>PortfolioFrontier[[#This Row],[P85 Growth]]/PortfolioFrontier[[#This Row],[P85 HWM]]-1</f>
        <v>0</v>
      </c>
      <c r="ME98" s="28">
        <f>SUMPRODUCT(INDEX(PortfolioRef[[SPY]:[PE]],MATCH(ME$1,PortfolioRef[Reference '#]),0),AssetMonthlyReturns[[#This Row],[SPY]:[PE]])</f>
        <v>2.2960579813592622E-2</v>
      </c>
      <c r="MF98" s="27">
        <f>IF(ISNUMBER(MF97),MF97*(1+PortfolioFrontier[[#This Row],[P86 Return]]),1+PortfolioFrontier[[#This Row],[P86 Return]])</f>
        <v>1.7484578498600691</v>
      </c>
      <c r="MG98" s="27">
        <f>MAX(MG97,PortfolioFrontier[[#This Row],[P86 Growth]])</f>
        <v>1.7484578498600691</v>
      </c>
      <c r="MH98" s="27">
        <f>PortfolioFrontier[[#This Row],[P86 Growth]]/PortfolioFrontier[[#This Row],[P86 HWM]]-1</f>
        <v>0</v>
      </c>
      <c r="MI98" s="28">
        <f>SUMPRODUCT(INDEX(PortfolioRef[[SPY]:[PE]],MATCH(MI$1,PortfolioRef[Reference '#]),0),AssetMonthlyReturns[[#This Row],[SPY]:[PE]])</f>
        <v>2.2722154800673081E-2</v>
      </c>
      <c r="MJ98" s="27">
        <f>IF(ISNUMBER(MJ97),MJ97*(1+PortfolioFrontier[[#This Row],[P87 Return]]),1+PortfolioFrontier[[#This Row],[P87 Return]])</f>
        <v>1.7430402317492979</v>
      </c>
      <c r="MK98" s="27">
        <f>MAX(MK97,PortfolioFrontier[[#This Row],[P87 Growth]])</f>
        <v>1.7430402317492979</v>
      </c>
      <c r="ML98" s="27">
        <f>PortfolioFrontier[[#This Row],[P87 Growth]]/PortfolioFrontier[[#This Row],[P87 HWM]]-1</f>
        <v>0</v>
      </c>
      <c r="MM98" s="28">
        <f>SUMPRODUCT(INDEX(PortfolioRef[[SPY]:[PE]],MATCH(MM$1,PortfolioRef[Reference '#]),0),AssetMonthlyReturns[[#This Row],[SPY]:[PE]])</f>
        <v>3.0871592745286936E-2</v>
      </c>
      <c r="MN98" s="27">
        <f>IF(ISNUMBER(MN97),MN97*(1+PortfolioFrontier[[#This Row],[P88 Return]]),1+PortfolioFrontier[[#This Row],[P88 Return]])</f>
        <v>1.8105997534330611</v>
      </c>
      <c r="MO98" s="27">
        <f>MAX(MO97,PortfolioFrontier[[#This Row],[P88 Growth]])</f>
        <v>1.8105997534330611</v>
      </c>
      <c r="MP98" s="27">
        <f>PortfolioFrontier[[#This Row],[P88 Growth]]/PortfolioFrontier[[#This Row],[P88 HWM]]-1</f>
        <v>0</v>
      </c>
      <c r="MQ98" s="28">
        <f>SUMPRODUCT(INDEX(PortfolioRef[[SPY]:[PE]],MATCH(MQ$1,PortfolioRef[Reference '#]),0),AssetMonthlyReturns[[#This Row],[SPY]:[PE]])</f>
        <v>3.0633167732367399E-2</v>
      </c>
      <c r="MR98" s="27">
        <f>IF(ISNUMBER(MR97),MR97*(1+PortfolioFrontier[[#This Row],[P89 Return]]),1+PortfolioFrontier[[#This Row],[P89 Return]])</f>
        <v>1.8053483534107861</v>
      </c>
      <c r="MS98" s="27">
        <f>MAX(MS97,PortfolioFrontier[[#This Row],[P89 Growth]])</f>
        <v>1.8053483534107861</v>
      </c>
      <c r="MT98" s="27">
        <f>PortfolioFrontier[[#This Row],[P89 Growth]]/PortfolioFrontier[[#This Row],[P89 HWM]]-1</f>
        <v>0</v>
      </c>
      <c r="MU98" s="28">
        <f>SUMPRODUCT(INDEX(PortfolioRef[[SPY]:[PE]],MATCH(MU$1,PortfolioRef[Reference '#]),0),AssetMonthlyReturns[[#This Row],[SPY]:[PE]])</f>
        <v>3.0394742719447858E-2</v>
      </c>
      <c r="MV98" s="27">
        <f>IF(ISNUMBER(MV97),MV97*(1+PortfolioFrontier[[#This Row],[P90 Return]]),1+PortfolioFrontier[[#This Row],[P90 Return]])</f>
        <v>1.7987355065880988</v>
      </c>
      <c r="MW98" s="27">
        <f>MAX(MW97,PortfolioFrontier[[#This Row],[P90 Growth]])</f>
        <v>1.7987355065880988</v>
      </c>
      <c r="MX98" s="27">
        <f>PortfolioFrontier[[#This Row],[P90 Growth]]/PortfolioFrontier[[#This Row],[P90 HWM]]-1</f>
        <v>0</v>
      </c>
      <c r="MY98" s="28">
        <f>SUMPRODUCT(INDEX(PortfolioRef[[SPY]:[PE]],MATCH(MY$1,PortfolioRef[Reference '#]),0),AssetMonthlyReturns[[#This Row],[SPY]:[PE]])</f>
        <v>2.708096932299588E-2</v>
      </c>
      <c r="MZ98" s="27">
        <f>IF(ISNUMBER(MZ97),MZ97*(1+PortfolioFrontier[[#This Row],[P91 Return]]),1+PortfolioFrontier[[#This Row],[P91 Return]])</f>
        <v>1.794818371333033</v>
      </c>
      <c r="NA98" s="27">
        <f>MAX(NA97,PortfolioFrontier[[#This Row],[P91 Growth]])</f>
        <v>1.794818371333033</v>
      </c>
      <c r="NB98" s="27">
        <f>PortfolioFrontier[[#This Row],[P91 Growth]]/PortfolioFrontier[[#This Row],[P91 HWM]]-1</f>
        <v>0</v>
      </c>
      <c r="NC98" s="28">
        <f>SUMPRODUCT(INDEX(PortfolioRef[[SPY]:[PE]],MATCH(NC$1,PortfolioRef[Reference '#]),0),AssetMonthlyReturns[[#This Row],[SPY]:[PE]])</f>
        <v>2.6842544310076343E-2</v>
      </c>
      <c r="ND98" s="27">
        <f>IF(ISNUMBER(ND97),ND97*(1+PortfolioFrontier[[#This Row],[P92 Return]]),1+PortfolioFrontier[[#This Row],[P92 Return]])</f>
        <v>1.7906561518493085</v>
      </c>
      <c r="NE98" s="27">
        <f>MAX(NE97,PortfolioFrontier[[#This Row],[P92 Growth]])</f>
        <v>1.7906561518493085</v>
      </c>
      <c r="NF98" s="27">
        <f>PortfolioFrontier[[#This Row],[P92 Growth]]/PortfolioFrontier[[#This Row],[P92 HWM]]-1</f>
        <v>0</v>
      </c>
      <c r="NG98" s="28">
        <f>SUMPRODUCT(INDEX(PortfolioRef[[SPY]:[PE]],MATCH(NG$1,PortfolioRef[Reference '#]),0),AssetMonthlyReturns[[#This Row],[SPY]:[PE]])</f>
        <v>2.6604119297156802E-2</v>
      </c>
      <c r="NH98" s="27">
        <f>IF(ISNUMBER(NH97),NH97*(1+PortfolioFrontier[[#This Row],[P93 Return]]),1+PortfolioFrontier[[#This Row],[P93 Return]])</f>
        <v>1.7851325845964556</v>
      </c>
      <c r="NI98" s="27">
        <f>MAX(NI97,PortfolioFrontier[[#This Row],[P93 Growth]])</f>
        <v>1.7851325845964556</v>
      </c>
      <c r="NJ98" s="27">
        <f>PortfolioFrontier[[#This Row],[P93 Growth]]/PortfolioFrontier[[#This Row],[P93 HWM]]-1</f>
        <v>0</v>
      </c>
      <c r="NK98" s="28">
        <f>SUMPRODUCT(INDEX(PortfolioRef[[SPY]:[PE]],MATCH(NK$1,PortfolioRef[Reference '#]),0),AssetMonthlyReturns[[#This Row],[SPY]:[PE]])</f>
        <v>2.3290345900704834E-2</v>
      </c>
      <c r="NL98" s="27">
        <f>IF(ISNUMBER(NL97),NL97*(1+PortfolioFrontier[[#This Row],[P94 Return]]),1+PortfolioFrontier[[#This Row],[P94 Return]])</f>
        <v>1.7777306742512513</v>
      </c>
      <c r="NM98" s="27">
        <f>MAX(NM97,PortfolioFrontier[[#This Row],[P94 Growth]])</f>
        <v>1.7868313973018393</v>
      </c>
      <c r="NN98" s="27">
        <f>PortfolioFrontier[[#This Row],[P94 Growth]]/PortfolioFrontier[[#This Row],[P94 HWM]]-1</f>
        <v>-5.0932186799103052E-3</v>
      </c>
      <c r="NO98" s="28">
        <f>SUMPRODUCT(INDEX(PortfolioRef[[SPY]:[PE]],MATCH(NO$1,PortfolioRef[Reference '#]),0),AssetMonthlyReturns[[#This Row],[SPY]:[PE]])</f>
        <v>2.3051920887785297E-2</v>
      </c>
      <c r="NP98" s="27">
        <f>IF(ISNUMBER(NP97),NP97*(1+PortfolioFrontier[[#This Row],[P95 Return]]),1+PortfolioFrontier[[#This Row],[P95 Return]])</f>
        <v>1.7746470297326191</v>
      </c>
      <c r="NQ98" s="27">
        <f>MAX(NQ97,PortfolioFrontier[[#This Row],[P95 Growth]])</f>
        <v>1.7746470297326191</v>
      </c>
      <c r="NR98" s="27">
        <f>PortfolioFrontier[[#This Row],[P95 Growth]]/PortfolioFrontier[[#This Row],[P95 HWM]]-1</f>
        <v>0</v>
      </c>
      <c r="NS98" s="28">
        <f>SUMPRODUCT(INDEX(PortfolioRef[[SPY]:[PE]],MATCH(NS$1,PortfolioRef[Reference '#]),0),AssetMonthlyReturns[[#This Row],[SPY]:[PE]])</f>
        <v>2.2813495874865756E-2</v>
      </c>
      <c r="NT98" s="27">
        <f>IF(ISNUMBER(NT97),NT97*(1+PortfolioFrontier[[#This Row],[P96 Return]]),1+PortfolioFrontier[[#This Row],[P96 Return]])</f>
        <v>1.7702042439973227</v>
      </c>
      <c r="NU98" s="27">
        <f>MAX(NU97,PortfolioFrontier[[#This Row],[P96 Growth]])</f>
        <v>1.7702042439973227</v>
      </c>
      <c r="NV98" s="27">
        <f>PortfolioFrontier[[#This Row],[P96 Growth]]/PortfolioFrontier[[#This Row],[P96 HWM]]-1</f>
        <v>0</v>
      </c>
      <c r="NW98" s="28">
        <f>SUMPRODUCT(INDEX(PortfolioRef[[SPY]:[PE]],MATCH(NW$1,PortfolioRef[Reference '#]),0),AssetMonthlyReturns[[#This Row],[SPY]:[PE]])</f>
        <v>2.1810765683419261E-2</v>
      </c>
      <c r="NX98" s="27">
        <f>IF(ISNUMBER(NX97),NX97*(1+PortfolioFrontier[[#This Row],[P97 Return]]),1+PortfolioFrontier[[#This Row],[P97 Return]])</f>
        <v>1.5643693725502228</v>
      </c>
      <c r="NY98" s="27">
        <f>MAX(NY97,PortfolioFrontier[[#This Row],[P97 Growth]])</f>
        <v>1.5643693725502228</v>
      </c>
      <c r="NZ98" s="27">
        <f>PortfolioFrontier[[#This Row],[P97 Growth]]/PortfolioFrontier[[#This Row],[P97 HWM]]-1</f>
        <v>0</v>
      </c>
      <c r="OA98" s="28">
        <f>SUMPRODUCT(INDEX(PortfolioRef[[SPY]:[PE]],MATCH(OA$1,PortfolioRef[Reference '#]),0),AssetMonthlyReturns[[#This Row],[SPY]:[PE]])</f>
        <v>2.5692730179902985E-2</v>
      </c>
      <c r="OB98" s="27">
        <f>IF(ISNUMBER(OB97),OB97*(1+PortfolioFrontier[[#This Row],[P98 Return]]),1+PortfolioFrontier[[#This Row],[P98 Return]])</f>
        <v>1.602223829800913</v>
      </c>
      <c r="OC98" s="27">
        <f>MAX(OC97,PortfolioFrontier[[#This Row],[P98 Growth]])</f>
        <v>1.602223829800913</v>
      </c>
      <c r="OD98" s="27">
        <f>PortfolioFrontier[[#This Row],[P98 Growth]]/PortfolioFrontier[[#This Row],[P98 HWM]]-1</f>
        <v>0</v>
      </c>
      <c r="OE98" s="28">
        <f>SUMPRODUCT(INDEX(PortfolioRef[[SPY]:[PE]],MATCH(OE$1,PortfolioRef[Reference '#]),0),AssetMonthlyReturns[[#This Row],[SPY]:[PE]])</f>
        <v>2.190210675761194E-2</v>
      </c>
      <c r="OF98" s="27">
        <f>IF(ISNUMBER(OF97),OF97*(1+PortfolioFrontier[[#This Row],[P99 Return]]),1+PortfolioFrontier[[#This Row],[P99 Return]])</f>
        <v>1.5909790166744495</v>
      </c>
      <c r="OG98" s="27">
        <f>MAX(OG97,PortfolioFrontier[[#This Row],[P99 Growth]])</f>
        <v>1.5909790166744495</v>
      </c>
      <c r="OH98" s="27">
        <f>PortfolioFrontier[[#This Row],[P99 Growth]]/PortfolioFrontier[[#This Row],[P99 HWM]]-1</f>
        <v>0</v>
      </c>
      <c r="OI98" s="28">
        <f>SUMPRODUCT(INDEX(PortfolioRef[[SPY]:[PE]],MATCH(OI$1,PortfolioRef[Reference '#]),0),AssetMonthlyReturns[[#This Row],[SPY]:[PE]])</f>
        <v>2.1663681744692399E-2</v>
      </c>
      <c r="OJ98" s="27">
        <f>IF(ISNUMBER(OJ97),OJ97*(1+PortfolioFrontier[[#This Row],[P100 Return]]),1+PortfolioFrontier[[#This Row],[P100 Return]])</f>
        <v>1.5838485822797399</v>
      </c>
      <c r="OK98" s="27">
        <f>MAX(OK97,PortfolioFrontier[[#This Row],[P100 Growth]])</f>
        <v>1.5838485822797399</v>
      </c>
      <c r="OL98" s="27">
        <f>PortfolioFrontier[[#This Row],[P100 Growth]]/PortfolioFrontier[[#This Row],[P100 HWM]]-1</f>
        <v>0</v>
      </c>
      <c r="OM98" s="28">
        <f>SUMPRODUCT(INDEX(PortfolioRef[[SPY]:[PE]],MATCH(OM$1,PortfolioRef[Reference '#]),0),AssetMonthlyReturns[[#This Row],[SPY]:[PE]])</f>
        <v>2.9574694676386716E-2</v>
      </c>
      <c r="ON98" s="27">
        <f>IF(ISNUMBER(ON97),ON97*(1+PortfolioFrontier[[#This Row],[P101 Return]]),1+PortfolioFrontier[[#This Row],[P101 Return]])</f>
        <v>1.6405200877045623</v>
      </c>
      <c r="OO98" s="27">
        <f>MAX(OO97,PortfolioFrontier[[#This Row],[P101 Growth]])</f>
        <v>1.6405200877045623</v>
      </c>
      <c r="OP98" s="27">
        <f>PortfolioFrontier[[#This Row],[P101 Growth]]/PortfolioFrontier[[#This Row],[P101 HWM]]-1</f>
        <v>0</v>
      </c>
      <c r="OQ98" s="28">
        <f>SUMPRODUCT(INDEX(PortfolioRef[[SPY]:[PE]],MATCH(OQ$1,PortfolioRef[Reference '#]),0),AssetMonthlyReturns[[#This Row],[SPY]:[PE]])</f>
        <v>2.5784071254095663E-2</v>
      </c>
      <c r="OR98" s="27">
        <f>IF(ISNUMBER(OR97),OR97*(1+PortfolioFrontier[[#This Row],[P102 Return]]),1+PortfolioFrontier[[#This Row],[P102 Return]])</f>
        <v>1.6294497686520286</v>
      </c>
      <c r="OS98" s="27">
        <f>MAX(OS97,PortfolioFrontier[[#This Row],[P102 Growth]])</f>
        <v>1.6294497686520286</v>
      </c>
      <c r="OT98" s="27">
        <f>PortfolioFrontier[[#This Row],[P102 Growth]]/PortfolioFrontier[[#This Row],[P102 HWM]]-1</f>
        <v>0</v>
      </c>
      <c r="OU98" s="28">
        <f>SUMPRODUCT(INDEX(PortfolioRef[[SPY]:[PE]],MATCH(OU$1,PortfolioRef[Reference '#]),0),AssetMonthlyReturns[[#This Row],[SPY]:[PE]])</f>
        <v>2.5545646241176122E-2</v>
      </c>
      <c r="OV98" s="27">
        <f>IF(ISNUMBER(OV97),OV97*(1+PortfolioFrontier[[#This Row],[P103 Return]]),1+PortfolioFrontier[[#This Row],[P103 Return]])</f>
        <v>1.6221705195281211</v>
      </c>
      <c r="OW98" s="27">
        <f>MAX(OW97,PortfolioFrontier[[#This Row],[P103 Growth]])</f>
        <v>1.6221705195281211</v>
      </c>
      <c r="OX98" s="27">
        <f>PortfolioFrontier[[#This Row],[P103 Growth]]/PortfolioFrontier[[#This Row],[P103 HWM]]-1</f>
        <v>0</v>
      </c>
      <c r="OY98" s="28">
        <f>SUMPRODUCT(INDEX(PortfolioRef[[SPY]:[PE]],MATCH(OY$1,PortfolioRef[Reference '#]),0),AssetMonthlyReturns[[#This Row],[SPY]:[PE]])</f>
        <v>2.1993447831804614E-2</v>
      </c>
      <c r="OZ98" s="27">
        <f>IF(ISNUMBER(OZ97),OZ97*(1+PortfolioFrontier[[#This Row],[P104 Return]]),1+PortfolioFrontier[[#This Row],[P104 Return]])</f>
        <v>1.6171532808774067</v>
      </c>
      <c r="PA98" s="27">
        <f>MAX(PA97,PortfolioFrontier[[#This Row],[P104 Growth]])</f>
        <v>1.6176462594840681</v>
      </c>
      <c r="PB98" s="27">
        <f>PortfolioFrontier[[#This Row],[P104 Growth]]/PortfolioFrontier[[#This Row],[P104 HWM]]-1</f>
        <v>-3.0475056197931671E-4</v>
      </c>
      <c r="PC98" s="28">
        <f>SUMPRODUCT(INDEX(PortfolioRef[[SPY]:[PE]],MATCH(PC$1,PortfolioRef[Reference '#]),0),AssetMonthlyReturns[[#This Row],[SPY]:[PE]])</f>
        <v>2.1755022818885077E-2</v>
      </c>
      <c r="PD98" s="27">
        <f>IF(ISNUMBER(PD97),PD97*(1+PortfolioFrontier[[#This Row],[P105 Return]]),1+PortfolioFrontier[[#This Row],[P105 Return]])</f>
        <v>1.6108580317387871</v>
      </c>
      <c r="PE98" s="27">
        <f>MAX(PE97,PortfolioFrontier[[#This Row],[P105 Growth]])</f>
        <v>1.6108580317387871</v>
      </c>
      <c r="PF98" s="27">
        <f>PortfolioFrontier[[#This Row],[P105 Growth]]/PortfolioFrontier[[#This Row],[P105 HWM]]-1</f>
        <v>0</v>
      </c>
      <c r="PG98" s="28">
        <f>SUMPRODUCT(INDEX(PortfolioRef[[SPY]:[PE]],MATCH(PG$1,PortfolioRef[Reference '#]),0),AssetMonthlyReturns[[#This Row],[SPY]:[PE]])</f>
        <v>2.1516597805965532E-2</v>
      </c>
      <c r="PH98" s="27">
        <f>IF(ISNUMBER(PH97),PH97*(1+PortfolioFrontier[[#This Row],[P106 Return]]),1+PortfolioFrontier[[#This Row],[P106 Return]])</f>
        <v>1.6033642600292135</v>
      </c>
      <c r="PI98" s="27">
        <f>MAX(PI97,PortfolioFrontier[[#This Row],[P106 Growth]])</f>
        <v>1.6033642600292135</v>
      </c>
      <c r="PJ98" s="27">
        <f>PortfolioFrontier[[#This Row],[P106 Growth]]/PortfolioFrontier[[#This Row],[P106 HWM]]-1</f>
        <v>0</v>
      </c>
      <c r="PK98" s="28">
        <f>SUMPRODUCT(INDEX(PortfolioRef[[SPY]:[PE]],MATCH(PK$1,PortfolioRef[Reference '#]),0),AssetMonthlyReturns[[#This Row],[SPY]:[PE]])</f>
        <v>2.9666035750579391E-2</v>
      </c>
      <c r="PL98" s="27">
        <f>IF(ISNUMBER(PL97),PL97*(1+PortfolioFrontier[[#This Row],[P107 Return]]),1+PortfolioFrontier[[#This Row],[P107 Return]])</f>
        <v>1.6683690576141423</v>
      </c>
      <c r="PM98" s="27">
        <f>MAX(PM97,PortfolioFrontier[[#This Row],[P107 Growth]])</f>
        <v>1.6683690576141423</v>
      </c>
      <c r="PN98" s="27">
        <f>PortfolioFrontier[[#This Row],[P107 Growth]]/PortfolioFrontier[[#This Row],[P107 HWM]]-1</f>
        <v>0</v>
      </c>
      <c r="PO98" s="28">
        <f>SUMPRODUCT(INDEX(PortfolioRef[[SPY]:[PE]],MATCH(PO$1,PortfolioRef[Reference '#]),0),AssetMonthlyReturns[[#This Row],[SPY]:[PE]])</f>
        <v>2.942761073765985E-2</v>
      </c>
      <c r="PP98" s="27">
        <f>IF(ISNUMBER(PP97),PP97*(1+PortfolioFrontier[[#This Row],[P108 Return]]),1+PortfolioFrontier[[#This Row],[P108 Return]])</f>
        <v>1.6609398694277409</v>
      </c>
      <c r="PQ98" s="27">
        <f>MAX(PQ97,PortfolioFrontier[[#This Row],[P108 Growth]])</f>
        <v>1.6609398694277409</v>
      </c>
      <c r="PR98" s="27">
        <f>PortfolioFrontier[[#This Row],[P108 Growth]]/PortfolioFrontier[[#This Row],[P108 HWM]]-1</f>
        <v>0</v>
      </c>
      <c r="PS98" s="28">
        <f>SUMPRODUCT(INDEX(PortfolioRef[[SPY]:[PE]],MATCH(PS$1,PortfolioRef[Reference '#]),0),AssetMonthlyReturns[[#This Row],[SPY]:[PE]])</f>
        <v>2.5875412328288338E-2</v>
      </c>
      <c r="PT98" s="27">
        <f>IF(ISNUMBER(PT97),PT97*(1+PortfolioFrontier[[#This Row],[P109 Return]]),1+PortfolioFrontier[[#This Row],[P109 Return]])</f>
        <v>1.6562293267854813</v>
      </c>
      <c r="PU98" s="27">
        <f>MAX(PU97,PortfolioFrontier[[#This Row],[P109 Growth]])</f>
        <v>1.6562293267854813</v>
      </c>
      <c r="PV98" s="27">
        <f>PortfolioFrontier[[#This Row],[P109 Growth]]/PortfolioFrontier[[#This Row],[P109 HWM]]-1</f>
        <v>0</v>
      </c>
      <c r="PW98" s="28">
        <f>SUMPRODUCT(INDEX(PortfolioRef[[SPY]:[PE]],MATCH(PW$1,PortfolioRef[Reference '#]),0),AssetMonthlyReturns[[#This Row],[SPY]:[PE]])</f>
        <v>2.56369873153688E-2</v>
      </c>
      <c r="PX98" s="27">
        <f>IF(ISNUMBER(PX97),PX97*(1+PortfolioFrontier[[#This Row],[P110 Return]]),1+PortfolioFrontier[[#This Row],[P110 Return]])</f>
        <v>1.6498055231289654</v>
      </c>
      <c r="PY98" s="27">
        <f>MAX(PY97,PortfolioFrontier[[#This Row],[P110 Growth]])</f>
        <v>1.6498055231289654</v>
      </c>
      <c r="PZ98" s="27">
        <f>PortfolioFrontier[[#This Row],[P110 Growth]]/PortfolioFrontier[[#This Row],[P110 HWM]]-1</f>
        <v>0</v>
      </c>
      <c r="QA98" s="28">
        <f>SUMPRODUCT(INDEX(PortfolioRef[[SPY]:[PE]],MATCH(QA$1,PortfolioRef[Reference '#]),0),AssetMonthlyReturns[[#This Row],[SPY]:[PE]])</f>
        <v>2.5398562302449256E-2</v>
      </c>
      <c r="QB98" s="27">
        <f>IF(ISNUMBER(QB97),QB97*(1+PortfolioFrontier[[#This Row],[P111 Return]]),1+PortfolioFrontier[[#This Row],[P111 Return]])</f>
        <v>1.6421545891311713</v>
      </c>
      <c r="QC98" s="27">
        <f>MAX(QC97,PortfolioFrontier[[#This Row],[P111 Growth]])</f>
        <v>1.6421545891311713</v>
      </c>
      <c r="QD98" s="27">
        <f>PortfolioFrontier[[#This Row],[P111 Growth]]/PortfolioFrontier[[#This Row],[P111 HWM]]-1</f>
        <v>0</v>
      </c>
      <c r="QE98" s="28">
        <f>SUMPRODUCT(INDEX(PortfolioRef[[SPY]:[PE]],MATCH(QE$1,PortfolioRef[Reference '#]),0),AssetMonthlyReturns[[#This Row],[SPY]:[PE]])</f>
        <v>2.2084788905997285E-2</v>
      </c>
      <c r="QF98" s="27">
        <f>IF(ISNUMBER(QF97),QF97*(1+PortfolioFrontier[[#This Row],[P112 Return]]),1+PortfolioFrontier[[#This Row],[P112 Return]])</f>
        <v>1.6428529173686985</v>
      </c>
      <c r="QG98" s="27">
        <f>MAX(QG97,PortfolioFrontier[[#This Row],[P112 Growth]])</f>
        <v>1.6517386955477045</v>
      </c>
      <c r="QH98" s="27">
        <f>PortfolioFrontier[[#This Row],[P112 Growth]]/PortfolioFrontier[[#This Row],[P112 HWM]]-1</f>
        <v>-5.3796512747190661E-3</v>
      </c>
      <c r="QI98" s="28">
        <f>SUMPRODUCT(INDEX(PortfolioRef[[SPY]:[PE]],MATCH(QI$1,PortfolioRef[Reference '#]),0),AssetMonthlyReturns[[#This Row],[SPY]:[PE]])</f>
        <v>2.1846363893077748E-2</v>
      </c>
      <c r="QJ98" s="27">
        <f>IF(ISNUMBER(QJ97),QJ97*(1+PortfolioFrontier[[#This Row],[P113 Return]]),1+PortfolioFrontier[[#This Row],[P113 Return]])</f>
        <v>1.6374291136449617</v>
      </c>
      <c r="QK98" s="27">
        <f>MAX(QK97,PortfolioFrontier[[#This Row],[P113 Growth]])</f>
        <v>1.6374291136449617</v>
      </c>
      <c r="QL98" s="27">
        <f>PortfolioFrontier[[#This Row],[P113 Growth]]/PortfolioFrontier[[#This Row],[P113 HWM]]-1</f>
        <v>0</v>
      </c>
      <c r="QM98" s="28">
        <f>SUMPRODUCT(INDEX(PortfolioRef[[SPY]:[PE]],MATCH(QM$1,PortfolioRef[Reference '#]),0),AssetMonthlyReturns[[#This Row],[SPY]:[PE]])</f>
        <v>2.1607938880158207E-2</v>
      </c>
      <c r="QN98" s="27">
        <f>IF(ISNUMBER(QN97),QN97*(1+PortfolioFrontier[[#This Row],[P114 Return]]),1+PortfolioFrontier[[#This Row],[P114 Return]])</f>
        <v>1.630775868632504</v>
      </c>
      <c r="QO98" s="27">
        <f>MAX(QO97,PortfolioFrontier[[#This Row],[P114 Growth]])</f>
        <v>1.630775868632504</v>
      </c>
      <c r="QP98" s="27">
        <f>PortfolioFrontier[[#This Row],[P114 Growth]]/PortfolioFrontier[[#This Row],[P114 HWM]]-1</f>
        <v>0</v>
      </c>
      <c r="QQ98" s="28">
        <f>SUMPRODUCT(INDEX(PortfolioRef[[SPY]:[PE]],MATCH(QQ$1,PortfolioRef[Reference '#]),0),AssetMonthlyReturns[[#This Row],[SPY]:[PE]])</f>
        <v>2.9757376824772065E-2</v>
      </c>
      <c r="QR98" s="27">
        <f>IF(ISNUMBER(QR97),QR97*(1+PortfolioFrontier[[#This Row],[P115 Return]]),1+PortfolioFrontier[[#This Row],[P115 Return]])</f>
        <v>1.6957605086589786</v>
      </c>
      <c r="QS98" s="27">
        <f>MAX(QS97,PortfolioFrontier[[#This Row],[P115 Growth]])</f>
        <v>1.6957605086589786</v>
      </c>
      <c r="QT98" s="27">
        <f>PortfolioFrontier[[#This Row],[P115 Growth]]/PortfolioFrontier[[#This Row],[P115 HWM]]-1</f>
        <v>0</v>
      </c>
      <c r="QU98" s="28">
        <f>SUMPRODUCT(INDEX(PortfolioRef[[SPY]:[PE]],MATCH(QU$1,PortfolioRef[Reference '#]),0),AssetMonthlyReturns[[#This Row],[SPY]:[PE]])</f>
        <v>2.9518951811852528E-2</v>
      </c>
      <c r="QV98" s="27">
        <f>IF(ISNUMBER(QV97),QV97*(1+PortfolioFrontier[[#This Row],[P116 Return]]),1+PortfolioFrontier[[#This Row],[P116 Return]])</f>
        <v>1.6892072690737383</v>
      </c>
      <c r="QW98" s="27">
        <f>MAX(QW97,PortfolioFrontier[[#This Row],[P116 Growth]])</f>
        <v>1.6892072690737383</v>
      </c>
      <c r="QX98" s="27">
        <f>PortfolioFrontier[[#This Row],[P116 Growth]]/PortfolioFrontier[[#This Row],[P116 HWM]]-1</f>
        <v>0</v>
      </c>
      <c r="QY98" s="28">
        <f>SUMPRODUCT(INDEX(PortfolioRef[[SPY]:[PE]],MATCH(QY$1,PortfolioRef[Reference '#]),0),AssetMonthlyReturns[[#This Row],[SPY]:[PE]])</f>
        <v>2.9280526798932983E-2</v>
      </c>
      <c r="QZ98" s="27">
        <f>IF(ISNUMBER(QZ97),QZ97*(1+PortfolioFrontier[[#This Row],[P117 Return]]),1+PortfolioFrontier[[#This Row],[P117 Return]])</f>
        <v>1.6813979584170902</v>
      </c>
      <c r="RA98" s="27">
        <f>MAX(RA97,PortfolioFrontier[[#This Row],[P117 Growth]])</f>
        <v>1.6813979584170902</v>
      </c>
      <c r="RB98" s="27">
        <f>PortfolioFrontier[[#This Row],[P117 Growth]]/PortfolioFrontier[[#This Row],[P117 HWM]]-1</f>
        <v>0</v>
      </c>
      <c r="RC98" s="28">
        <f>SUMPRODUCT(INDEX(PortfolioRef[[SPY]:[PE]],MATCH(RC$1,PortfolioRef[Reference '#]),0),AssetMonthlyReturns[[#This Row],[SPY]:[PE]])</f>
        <v>2.5966753402481009E-2</v>
      </c>
      <c r="RD98" s="27">
        <f>IF(ISNUMBER(RD97),RD97*(1+PortfolioFrontier[[#This Row],[P118 Return]]),1+PortfolioFrontier[[#This Row],[P118 Return]])</f>
        <v>1.6825223527057407</v>
      </c>
      <c r="RE98" s="27">
        <f>MAX(RE97,PortfolioFrontier[[#This Row],[P118 Growth]])</f>
        <v>1.6825223527057407</v>
      </c>
      <c r="RF98" s="27">
        <f>PortfolioFrontier[[#This Row],[P118 Growth]]/PortfolioFrontier[[#This Row],[P118 HWM]]-1</f>
        <v>0</v>
      </c>
      <c r="RG98" s="28">
        <f>SUMPRODUCT(INDEX(PortfolioRef[[SPY]:[PE]],MATCH(RG$1,PortfolioRef[Reference '#]),0),AssetMonthlyReturns[[#This Row],[SPY]:[PE]])</f>
        <v>2.5728328389561472E-2</v>
      </c>
      <c r="RH98" s="27">
        <f>IF(ISNUMBER(RH97),RH97*(1+PortfolioFrontier[[#This Row],[P119 Return]]),1+PortfolioFrontier[[#This Row],[P119 Return]])</f>
        <v>1.6769910791969431</v>
      </c>
      <c r="RI98" s="27">
        <f>MAX(RI97,PortfolioFrontier[[#This Row],[P119 Growth]])</f>
        <v>1.6769910791969431</v>
      </c>
      <c r="RJ98" s="27">
        <f>PortfolioFrontier[[#This Row],[P119 Growth]]/PortfolioFrontier[[#This Row],[P119 HWM]]-1</f>
        <v>0</v>
      </c>
      <c r="RK98" s="28">
        <f>SUMPRODUCT(INDEX(PortfolioRef[[SPY]:[PE]],MATCH(RK$1,PortfolioRef[Reference '#]),0),AssetMonthlyReturns[[#This Row],[SPY]:[PE]])</f>
        <v>2.5489903376641931E-2</v>
      </c>
      <c r="RL98" s="27">
        <f>IF(ISNUMBER(RL97),RL97*(1+PortfolioFrontier[[#This Row],[P120 Return]]),1+PortfolioFrontier[[#This Row],[P120 Return]])</f>
        <v>1.6702010676268397</v>
      </c>
      <c r="RM98" s="27">
        <f>MAX(RM97,PortfolioFrontier[[#This Row],[P120 Growth]])</f>
        <v>1.6702010676268397</v>
      </c>
      <c r="RN98" s="27">
        <f>PortfolioFrontier[[#This Row],[P120 Growth]]/PortfolioFrontier[[#This Row],[P120 HWM]]-1</f>
        <v>0</v>
      </c>
      <c r="RO98" s="28">
        <f>SUMPRODUCT(INDEX(PortfolioRef[[SPY]:[PE]],MATCH(RO$1,PortfolioRef[Reference '#]),0),AssetMonthlyReturns[[#This Row],[SPY]:[PE]])</f>
        <v>2.2176129980189963E-2</v>
      </c>
      <c r="RP98" s="27">
        <f>IF(ISNUMBER(RP97),RP97*(1+PortfolioFrontier[[#This Row],[P121 Return]]),1+PortfolioFrontier[[#This Row],[P121 Return]])</f>
        <v>1.6680384997474567</v>
      </c>
      <c r="RQ98" s="27">
        <f>MAX(RQ97,PortfolioFrontier[[#This Row],[P121 Growth]])</f>
        <v>1.6859132740659151</v>
      </c>
      <c r="RR98" s="27">
        <f>PortfolioFrontier[[#This Row],[P121 Growth]]/PortfolioFrontier[[#This Row],[P121 HWM]]-1</f>
        <v>-1.06024281280791E-2</v>
      </c>
      <c r="RS98" s="28">
        <f>SUMPRODUCT(INDEX(PortfolioRef[[SPY]:[PE]],MATCH(RS$1,PortfolioRef[Reference '#]),0),AssetMonthlyReturns[[#This Row],[SPY]:[PE]])</f>
        <v>2.1937704967270426E-2</v>
      </c>
      <c r="RT98" s="27">
        <f>IF(ISNUMBER(RT97),RT97*(1+PortfolioFrontier[[#This Row],[P122 Return]]),1+PortfolioFrontier[[#This Row],[P122 Return]])</f>
        <v>1.6635220518620708</v>
      </c>
      <c r="RU98" s="27">
        <f>MAX(RU97,PortfolioFrontier[[#This Row],[P122 Growth]])</f>
        <v>1.6635220518620708</v>
      </c>
      <c r="RV98" s="27">
        <f>PortfolioFrontier[[#This Row],[P122 Growth]]/PortfolioFrontier[[#This Row],[P122 HWM]]-1</f>
        <v>0</v>
      </c>
      <c r="RW98" s="28">
        <f>SUMPRODUCT(INDEX(PortfolioRef[[SPY]:[PE]],MATCH(RW$1,PortfolioRef[Reference '#]),0),AssetMonthlyReturns[[#This Row],[SPY]:[PE]])</f>
        <v>2.1699279954350885E-2</v>
      </c>
      <c r="RX98" s="27">
        <f>IF(ISNUMBER(RX97),RX97*(1+PortfolioFrontier[[#This Row],[P123 Return]]),1+PortfolioFrontier[[#This Row],[P123 Return]])</f>
        <v>1.6577461700258913</v>
      </c>
      <c r="RY98" s="27">
        <f>MAX(RY97,PortfolioFrontier[[#This Row],[P123 Growth]])</f>
        <v>1.6577461700258913</v>
      </c>
      <c r="RZ98" s="27">
        <f>PortfolioFrontier[[#This Row],[P123 Growth]]/PortfolioFrontier[[#This Row],[P123 HWM]]-1</f>
        <v>0</v>
      </c>
      <c r="SA98" s="28">
        <f>SUMPRODUCT(INDEX(PortfolioRef[[SPY]:[PE]],MATCH(SA$1,PortfolioRef[Reference '#]),0),AssetMonthlyReturns[[#This Row],[SPY]:[PE]])</f>
        <v>2.984871789896474E-2</v>
      </c>
      <c r="SB98" s="27">
        <f>IF(ISNUMBER(SB97),SB97*(1+PortfolioFrontier[[#This Row],[P124 Return]]),1+PortfolioFrontier[[#This Row],[P124 Return]])</f>
        <v>1.7226533758119691</v>
      </c>
      <c r="SC98" s="27">
        <f>MAX(SC97,PortfolioFrontier[[#This Row],[P124 Growth]])</f>
        <v>1.7226533758119691</v>
      </c>
      <c r="SD98" s="27">
        <f>PortfolioFrontier[[#This Row],[P124 Growth]]/PortfolioFrontier[[#This Row],[P124 HWM]]-1</f>
        <v>0</v>
      </c>
      <c r="SE98" s="28">
        <f>SUMPRODUCT(INDEX(PortfolioRef[[SPY]:[PE]],MATCH(SE$1,PortfolioRef[Reference '#]),0),AssetMonthlyReturns[[#This Row],[SPY]:[PE]])</f>
        <v>2.9610292886045202E-2</v>
      </c>
      <c r="SF98" s="27">
        <f>IF(ISNUMBER(SF97),SF97*(1+PortfolioFrontier[[#This Row],[P125 Return]]),1+PortfolioFrontier[[#This Row],[P125 Return]])</f>
        <v>1.7170140027590144</v>
      </c>
      <c r="SG98" s="27">
        <f>MAX(SG97,PortfolioFrontier[[#This Row],[P125 Growth]])</f>
        <v>1.7170140027590144</v>
      </c>
      <c r="SH98" s="27">
        <f>PortfolioFrontier[[#This Row],[P125 Growth]]/PortfolioFrontier[[#This Row],[P125 HWM]]-1</f>
        <v>0</v>
      </c>
      <c r="SI98" s="28">
        <f>SUMPRODUCT(INDEX(PortfolioRef[[SPY]:[PE]],MATCH(SI$1,PortfolioRef[Reference '#]),0),AssetMonthlyReturns[[#This Row],[SPY]:[PE]])</f>
        <v>2.9371867873125661E-2</v>
      </c>
      <c r="SJ98" s="27">
        <f>IF(ISNUMBER(SJ97),SJ97*(1+PortfolioFrontier[[#This Row],[P126 Return]]),1+PortfolioFrontier[[#This Row],[P126 Return]])</f>
        <v>1.7100862550354567</v>
      </c>
      <c r="SK98" s="27">
        <f>MAX(SK97,PortfolioFrontier[[#This Row],[P126 Growth]])</f>
        <v>1.7100862550354567</v>
      </c>
      <c r="SL98" s="27">
        <f>PortfolioFrontier[[#This Row],[P126 Growth]]/PortfolioFrontier[[#This Row],[P126 HWM]]-1</f>
        <v>0</v>
      </c>
      <c r="SM98" s="28">
        <f>SUMPRODUCT(INDEX(PortfolioRef[[SPY]:[PE]],MATCH(SM$1,PortfolioRef[Reference '#]),0),AssetMonthlyReturns[[#This Row],[SPY]:[PE]])</f>
        <v>2.6058094476673687E-2</v>
      </c>
      <c r="SN98" s="27">
        <f>IF(ISNUMBER(SN97),SN97*(1+PortfolioFrontier[[#This Row],[P127 Return]]),1+PortfolioFrontier[[#This Row],[P127 Return]])</f>
        <v>1.7082885141122335</v>
      </c>
      <c r="SO98" s="27">
        <f>MAX(SO97,PortfolioFrontier[[#This Row],[P127 Growth]])</f>
        <v>1.7082885141122335</v>
      </c>
      <c r="SP98" s="27">
        <f>PortfolioFrontier[[#This Row],[P127 Growth]]/PortfolioFrontier[[#This Row],[P127 HWM]]-1</f>
        <v>0</v>
      </c>
      <c r="SQ98" s="28">
        <f>SUMPRODUCT(INDEX(PortfolioRef[[SPY]:[PE]],MATCH(SQ$1,PortfolioRef[Reference '#]),0),AssetMonthlyReturns[[#This Row],[SPY]:[PE]])</f>
        <v>2.581966946375415E-2</v>
      </c>
      <c r="SR98" s="27">
        <f>IF(ISNUMBER(SR97),SR97*(1+PortfolioFrontier[[#This Row],[P128 Return]]),1+PortfolioFrontier[[#This Row],[P128 Return]])</f>
        <v>1.703686495733993</v>
      </c>
      <c r="SS98" s="27">
        <f>MAX(SS97,PortfolioFrontier[[#This Row],[P128 Growth]])</f>
        <v>1.703686495733993</v>
      </c>
      <c r="ST98" s="27">
        <f>PortfolioFrontier[[#This Row],[P128 Growth]]/PortfolioFrontier[[#This Row],[P128 HWM]]-1</f>
        <v>0</v>
      </c>
      <c r="SU98" s="28">
        <f>SUMPRODUCT(INDEX(PortfolioRef[[SPY]:[PE]],MATCH(SU$1,PortfolioRef[Reference '#]),0),AssetMonthlyReturns[[#This Row],[SPY]:[PE]])</f>
        <v>2.5581244450834609E-2</v>
      </c>
      <c r="SV98" s="27">
        <f>IF(ISNUMBER(SV97),SV97*(1+PortfolioFrontier[[#This Row],[P129 Return]]),1+PortfolioFrontier[[#This Row],[P129 Return]])</f>
        <v>1.6977950808388136</v>
      </c>
      <c r="SW98" s="27">
        <f>MAX(SW97,PortfolioFrontier[[#This Row],[P129 Growth]])</f>
        <v>1.6977950808388136</v>
      </c>
      <c r="SX98" s="27">
        <f>PortfolioFrontier[[#This Row],[P129 Growth]]/PortfolioFrontier[[#This Row],[P129 HWM]]-1</f>
        <v>0</v>
      </c>
      <c r="SY98" s="28">
        <f>SUMPRODUCT(INDEX(PortfolioRef[[SPY]:[PE]],MATCH(SY$1,PortfolioRef[Reference '#]),0),AssetMonthlyReturns[[#This Row],[SPY]:[PE]])</f>
        <v>2.2267471054382634E-2</v>
      </c>
      <c r="SZ98" s="27">
        <f>IF(ISNUMBER(SZ97),SZ97*(1+PortfolioFrontier[[#This Row],[P130 Return]]),1+PortfolioFrontier[[#This Row],[P130 Return]])</f>
        <v>1.6926704969956168</v>
      </c>
      <c r="TA98" s="27">
        <f>MAX(TA97,PortfolioFrontier[[#This Row],[P130 Growth]])</f>
        <v>1.720142179322633</v>
      </c>
      <c r="TB98" s="27">
        <f>PortfolioFrontier[[#This Row],[P130 Growth]]/PortfolioFrontier[[#This Row],[P130 HWM]]-1</f>
        <v>-1.597058816256347E-2</v>
      </c>
      <c r="TC98" s="28">
        <f>SUMPRODUCT(INDEX(PortfolioRef[[SPY]:[PE]],MATCH(TC$1,PortfolioRef[Reference '#]),0),AssetMonthlyReturns[[#This Row],[SPY]:[PE]])</f>
        <v>2.2029046041463097E-2</v>
      </c>
      <c r="TD98" s="27">
        <f>IF(ISNUMBER(TD97),TD97*(1+PortfolioFrontier[[#This Row],[P131 Return]]),1+PortfolioFrontier[[#This Row],[P131 Return]])</f>
        <v>1.689096883490816</v>
      </c>
      <c r="TE98" s="27">
        <f>MAX(TE97,PortfolioFrontier[[#This Row],[P131 Growth]])</f>
        <v>1.6891185966988822</v>
      </c>
      <c r="TF98" s="27">
        <f>PortfolioFrontier[[#This Row],[P131 Growth]]/PortfolioFrontier[[#This Row],[P131 HWM]]-1</f>
        <v>-1.2854756385127786E-5</v>
      </c>
      <c r="TG98" s="28">
        <f>SUMPRODUCT(INDEX(PortfolioRef[[SPY]:[PE]],MATCH(TG$1,PortfolioRef[Reference '#]),0),AssetMonthlyReturns[[#This Row],[SPY]:[PE]])</f>
        <v>2.1790621028543556E-2</v>
      </c>
      <c r="TH98" s="27">
        <f>IF(ISNUMBER(TH97),TH97*(1+PortfolioFrontier[[#This Row],[P132 Return]]),1+PortfolioFrontier[[#This Row],[P132 Return]])</f>
        <v>1.6842348576096766</v>
      </c>
      <c r="TI98" s="27">
        <f>MAX(TI97,PortfolioFrontier[[#This Row],[P132 Growth]])</f>
        <v>1.6842348576096766</v>
      </c>
      <c r="TJ98" s="27">
        <f>PortfolioFrontier[[#This Row],[P132 Growth]]/PortfolioFrontier[[#This Row],[P132 HWM]]-1</f>
        <v>0</v>
      </c>
      <c r="TK98" s="28">
        <f>SUMPRODUCT(INDEX(PortfolioRef[[SPY]:[PE]],MATCH(TK$1,PortfolioRef[Reference '#]),0),AssetMonthlyReturns[[#This Row],[SPY]:[PE]])</f>
        <v>2.9940058973157411E-2</v>
      </c>
      <c r="TL98" s="27">
        <f>IF(ISNUMBER(TL97),TL97*(1+PortfolioFrontier[[#This Row],[P133 Return]]),1+PortfolioFrontier[[#This Row],[P133 Return]])</f>
        <v>1.7490064110617207</v>
      </c>
      <c r="TM98" s="27">
        <f>MAX(TM97,PortfolioFrontier[[#This Row],[P133 Growth]])</f>
        <v>1.7490064110617207</v>
      </c>
      <c r="TN98" s="27">
        <f>PortfolioFrontier[[#This Row],[P133 Growth]]/PortfolioFrontier[[#This Row],[P133 HWM]]-1</f>
        <v>0</v>
      </c>
      <c r="TO98" s="28">
        <f>SUMPRODUCT(INDEX(PortfolioRef[[SPY]:[PE]],MATCH(TO$1,PortfolioRef[Reference '#]),0),AssetMonthlyReturns[[#This Row],[SPY]:[PE]])</f>
        <v>2.9701633960237873E-2</v>
      </c>
      <c r="TP98" s="27">
        <f>IF(ISNUMBER(TP97),TP97*(1+PortfolioFrontier[[#This Row],[P134 Return]]),1+PortfolioFrontier[[#This Row],[P134 Return]])</f>
        <v>1.7443184526587747</v>
      </c>
      <c r="TQ98" s="27">
        <f>MAX(TQ97,PortfolioFrontier[[#This Row],[P134 Growth]])</f>
        <v>1.7443184526587747</v>
      </c>
      <c r="TR98" s="27">
        <f>PortfolioFrontier[[#This Row],[P134 Growth]]/PortfolioFrontier[[#This Row],[P134 HWM]]-1</f>
        <v>0</v>
      </c>
      <c r="TS98" s="28">
        <f>SUMPRODUCT(INDEX(PortfolioRef[[SPY]:[PE]],MATCH(TS$1,PortfolioRef[Reference '#]),0),AssetMonthlyReturns[[#This Row],[SPY]:[PE]])</f>
        <v>2.9463208947318333E-2</v>
      </c>
      <c r="TT98" s="27">
        <f>IF(ISNUMBER(TT97),TT97*(1+PortfolioFrontier[[#This Row],[P135 Return]]),1+PortfolioFrontier[[#This Row],[P135 Return]])</f>
        <v>1.7383107887628655</v>
      </c>
      <c r="TU98" s="27">
        <f>MAX(TU97,PortfolioFrontier[[#This Row],[P135 Growth]])</f>
        <v>1.7383107887628655</v>
      </c>
      <c r="TV98" s="27">
        <f>PortfolioFrontier[[#This Row],[P135 Growth]]/PortfolioFrontier[[#This Row],[P135 HWM]]-1</f>
        <v>0</v>
      </c>
      <c r="TW98" s="28">
        <f>SUMPRODUCT(INDEX(PortfolioRef[[SPY]:[PE]],MATCH(TW$1,PortfolioRef[Reference '#]),0),AssetMonthlyReturns[[#This Row],[SPY]:[PE]])</f>
        <v>2.6149435550866358E-2</v>
      </c>
      <c r="TX98" s="27">
        <f>IF(ISNUMBER(TX97),TX97*(1+PortfolioFrontier[[#This Row],[P136 Return]]),1+PortfolioFrontier[[#This Row],[P136 Return]])</f>
        <v>1.7334873736044429</v>
      </c>
      <c r="TY98" s="27">
        <f>MAX(TY97,PortfolioFrontier[[#This Row],[P136 Growth]])</f>
        <v>1.7361155602147582</v>
      </c>
      <c r="TZ98" s="27">
        <f>PortfolioFrontier[[#This Row],[P136 Growth]]/PortfolioFrontier[[#This Row],[P136 HWM]]-1</f>
        <v>-1.5138316080700598E-3</v>
      </c>
      <c r="UA98" s="28">
        <f>SUMPRODUCT(INDEX(PortfolioRef[[SPY]:[PE]],MATCH(UA$1,PortfolioRef[Reference '#]),0),AssetMonthlyReturns[[#This Row],[SPY]:[PE]])</f>
        <v>2.5911010537946821E-2</v>
      </c>
      <c r="UB98" s="27">
        <f>IF(ISNUMBER(UB97),UB97*(1+PortfolioFrontier[[#This Row],[P137 Return]]),1+PortfolioFrontier[[#This Row],[P137 Return]])</f>
        <v>1.7298508916207622</v>
      </c>
      <c r="UC98" s="27">
        <f>MAX(UC97,PortfolioFrontier[[#This Row],[P137 Growth]])</f>
        <v>1.7298508916207622</v>
      </c>
      <c r="UD98" s="27">
        <f>PortfolioFrontier[[#This Row],[P137 Growth]]/PortfolioFrontier[[#This Row],[P137 HWM]]-1</f>
        <v>0</v>
      </c>
      <c r="UE98" s="28">
        <f>SUMPRODUCT(INDEX(PortfolioRef[[SPY]:[PE]],MATCH(UE$1,PortfolioRef[Reference '#]),0),AssetMonthlyReturns[[#This Row],[SPY]:[PE]])</f>
        <v>2.567258552502728E-2</v>
      </c>
      <c r="UF98" s="27">
        <f>IF(ISNUMBER(UF97),UF97*(1+PortfolioFrontier[[#This Row],[P138 Return]]),1+PortfolioFrontier[[#This Row],[P138 Return]])</f>
        <v>1.7248953940980964</v>
      </c>
      <c r="UG98" s="27">
        <f>MAX(UG97,PortfolioFrontier[[#This Row],[P138 Growth]])</f>
        <v>1.7248953940980964</v>
      </c>
      <c r="UH98" s="27">
        <f>PortfolioFrontier[[#This Row],[P138 Growth]]/PortfolioFrontier[[#This Row],[P138 HWM]]-1</f>
        <v>0</v>
      </c>
      <c r="UI98" s="28">
        <f>SUMPRODUCT(INDEX(PortfolioRef[[SPY]:[PE]],MATCH(UI$1,PortfolioRef[Reference '#]),0),AssetMonthlyReturns[[#This Row],[SPY]:[PE]])</f>
        <v>2.2358812128575312E-2</v>
      </c>
      <c r="UJ98" s="27">
        <f>IF(ISNUMBER(UJ97),UJ97*(1+PortfolioFrontier[[#This Row],[P139 Return]]),1+PortfolioFrontier[[#This Row],[P139 Return]])</f>
        <v>1.7167093496021228</v>
      </c>
      <c r="UK98" s="27">
        <f>MAX(UK97,PortfolioFrontier[[#This Row],[P139 Growth]])</f>
        <v>1.7543965710992384</v>
      </c>
      <c r="UL98" s="27">
        <f>PortfolioFrontier[[#This Row],[P139 Growth]]/PortfolioFrontier[[#This Row],[P139 HWM]]-1</f>
        <v>-2.1481586385854734E-2</v>
      </c>
      <c r="UM98" s="28">
        <f>SUMPRODUCT(INDEX(PortfolioRef[[SPY]:[PE]],MATCH(UM$1,PortfolioRef[Reference '#]),0),AssetMonthlyReturns[[#This Row],[SPY]:[PE]])</f>
        <v>2.2120387115655771E-2</v>
      </c>
      <c r="UN98" s="27">
        <f>IF(ISNUMBER(UN97),UN97*(1+PortfolioFrontier[[#This Row],[P140 Return]]),1+PortfolioFrontier[[#This Row],[P140 Return]])</f>
        <v>1.7141135337284588</v>
      </c>
      <c r="UO98" s="27">
        <f>MAX(UO97,PortfolioFrontier[[#This Row],[P140 Growth]])</f>
        <v>1.7234002022793458</v>
      </c>
      <c r="UP98" s="27">
        <f>PortfolioFrontier[[#This Row],[P140 Growth]]/PortfolioFrontier[[#This Row],[P140 HWM]]-1</f>
        <v>-5.388573436747035E-3</v>
      </c>
      <c r="UQ98" s="28">
        <f>SUMPRODUCT(INDEX(PortfolioRef[[SPY]:[PE]],MATCH(UQ$1,PortfolioRef[Reference '#]),0),AssetMonthlyReturns[[#This Row],[SPY]:[PE]])</f>
        <v>2.1881962102736231E-2</v>
      </c>
      <c r="UR98" s="27">
        <f>IF(ISNUMBER(UR97),UR97*(1+PortfolioFrontier[[#This Row],[P141 Return]]),1+PortfolioFrontier[[#This Row],[P141 Return]])</f>
        <v>1.7102014297178982</v>
      </c>
      <c r="US98" s="27">
        <f>MAX(US97,PortfolioFrontier[[#This Row],[P141 Growth]])</f>
        <v>1.7102014297178982</v>
      </c>
      <c r="UT98" s="27">
        <f>PortfolioFrontier[[#This Row],[P141 Growth]]/PortfolioFrontier[[#This Row],[P141 HWM]]-1</f>
        <v>0</v>
      </c>
    </row>
    <row r="99" spans="2:566" x14ac:dyDescent="0.2">
      <c r="B99" s="41">
        <f>AssetMonthlyReturns[[#This Row],[Date]]</f>
        <v>45383</v>
      </c>
      <c r="C99" s="28">
        <f>SUMPRODUCT(INDEX(PortfolioRef[[SPY]:[PE]],MATCH(C$1,PortfolioRef[Reference '#]),0),AssetMonthlyReturns[[#This Row],[SPY]:[PE]])</f>
        <v>-2.8292615844097712E-2</v>
      </c>
      <c r="D99" s="29">
        <f>IF(ISNUMBER(D98),D98*(1+PortfolioFrontier[[#This Row],[P1 Return]]),1+PortfolioFrontier[[#This Row],[P1 Return]])</f>
        <v>2.04948905713277</v>
      </c>
      <c r="E99" s="29">
        <f>MAX(E98,PortfolioFrontier[[#This Row],[P1 Growth]])</f>
        <v>2.1091627896942549</v>
      </c>
      <c r="F99" s="29">
        <f>PortfolioFrontier[[#This Row],[P1 Growth]]/PortfolioFrontier[[#This Row],[P1 HWM]]-1</f>
        <v>-2.8292615844097702E-2</v>
      </c>
      <c r="G99" s="28">
        <f>SUMPRODUCT(INDEX(PortfolioRef[[SPY]:[PE]],MATCH(G$1,PortfolioRef[Reference '#]),0),AssetMonthlyReturns[[#This Row],[SPY]:[PE]])</f>
        <v>-2.7666039727228666E-2</v>
      </c>
      <c r="H99" s="27">
        <f>IF(ISNUMBER(H98),H98*(1+PortfolioFrontier[[#This Row],[P2 Return]]),1+PortfolioFrontier[[#This Row],[P2 Return]])</f>
        <v>1.9534649377731839</v>
      </c>
      <c r="I99" s="27">
        <f>MAX(I98,PortfolioFrontier[[#This Row],[P2 Growth]])</f>
        <v>2.0090473207633037</v>
      </c>
      <c r="J99" s="27">
        <f>PortfolioFrontier[[#This Row],[P2 Growth]]/PortfolioFrontier[[#This Row],[P2 HWM]]-1</f>
        <v>-2.7666039727228697E-2</v>
      </c>
      <c r="K99" s="28">
        <f>SUMPRODUCT(INDEX(PortfolioRef[[SPY]:[PE]],MATCH(K$1,PortfolioRef[Reference '#]),0),AssetMonthlyReturns[[#This Row],[SPY]:[PE]])</f>
        <v>-2.4931052753879E-2</v>
      </c>
      <c r="L99" s="27">
        <f>IF(ISNUMBER(L98),L98*(1+PortfolioFrontier[[#This Row],[P3 Return]]),1+PortfolioFrontier[[#This Row],[P3 Return]])</f>
        <v>2.0062692687151489</v>
      </c>
      <c r="M99" s="27">
        <f>MAX(M98,PortfolioFrontier[[#This Row],[P3 Growth]])</f>
        <v>2.0575665694015157</v>
      </c>
      <c r="N99" s="27">
        <f>PortfolioFrontier[[#This Row],[P3 Growth]]/PortfolioFrontier[[#This Row],[P3 HWM]]-1</f>
        <v>-2.4931052753878857E-2</v>
      </c>
      <c r="O99" s="28">
        <f>SUMPRODUCT(INDEX(PortfolioRef[[SPY]:[PE]],MATCH(O$1,PortfolioRef[Reference '#]),0),AssetMonthlyReturns[[#This Row],[SPY]:[PE]])</f>
        <v>-3.0004433991370552E-2</v>
      </c>
      <c r="P99" s="27">
        <f>IF(ISNUMBER(P98),P98*(1+PortfolioFrontier[[#This Row],[P4 Return]]),1+PortfolioFrontier[[#This Row],[P4 Return]])</f>
        <v>1.978080497614775</v>
      </c>
      <c r="Q99" s="27">
        <f>MAX(Q98,PortfolioFrontier[[#This Row],[P4 Growth]])</f>
        <v>2.0392675667108948</v>
      </c>
      <c r="R99" s="27">
        <f>PortfolioFrontier[[#This Row],[P4 Growth]]/PortfolioFrontier[[#This Row],[P4 HWM]]-1</f>
        <v>-3.0004433991370538E-2</v>
      </c>
      <c r="S99" s="28">
        <f>SUMPRODUCT(INDEX(PortfolioRef[[SPY]:[PE]],MATCH(S$1,PortfolioRef[Reference '#]),0),AssetMonthlyReturns[[#This Row],[SPY]:[PE]])</f>
        <v>-2.636038852733345E-2</v>
      </c>
      <c r="T99" s="27">
        <f>IF(ISNUMBER(T98),T98*(1+PortfolioFrontier[[#This Row],[P5 Return]]),1+PortfolioFrontier[[#This Row],[P5 Return]])</f>
        <v>1.9803110368642156</v>
      </c>
      <c r="U99" s="27">
        <f>MAX(U98,PortfolioFrontier[[#This Row],[P5 Growth]])</f>
        <v>2.0339261196131089</v>
      </c>
      <c r="V99" s="27">
        <f>PortfolioFrontier[[#This Row],[P5 Growth]]/PortfolioFrontier[[#This Row],[P5 HWM]]-1</f>
        <v>-2.6360388527333467E-2</v>
      </c>
      <c r="W99" s="28">
        <f>SUMPRODUCT(INDEX(PortfolioRef[[SPY]:[PE]],MATCH(W$1,PortfolioRef[Reference '#]),0),AssetMonthlyReturns[[#This Row],[SPY]:[PE]])</f>
        <v>-2.7039463610359624E-2</v>
      </c>
      <c r="X99" s="27">
        <f>IF(ISNUMBER(X98),X98*(1+PortfolioFrontier[[#This Row],[P6 Return]]),1+PortfolioFrontier[[#This Row],[P6 Return]])</f>
        <v>1.8610671707913193</v>
      </c>
      <c r="Y99" s="27">
        <f>MAX(Y98,PortfolioFrontier[[#This Row],[P6 Growth]])</f>
        <v>1.9127879304305306</v>
      </c>
      <c r="Z99" s="27">
        <f>PortfolioFrontier[[#This Row],[P6 Growth]]/PortfolioFrontier[[#This Row],[P6 HWM]]-1</f>
        <v>-2.7039463610359582E-2</v>
      </c>
      <c r="AA99" s="28">
        <f>SUMPRODUCT(INDEX(PortfolioRef[[SPY]:[PE]],MATCH(AA$1,PortfolioRef[Reference '#]),0),AssetMonthlyReturns[[#This Row],[SPY]:[PE]])</f>
        <v>-2.4304476637009957E-2</v>
      </c>
      <c r="AB99" s="27">
        <f>IF(ISNUMBER(AB98),AB98*(1+PortfolioFrontier[[#This Row],[P7 Return]]),1+PortfolioFrontier[[#This Row],[P7 Return]])</f>
        <v>1.9113869885857957</v>
      </c>
      <c r="AC99" s="27">
        <f>MAX(AC98,PortfolioFrontier[[#This Row],[P7 Growth]])</f>
        <v>1.958999444824447</v>
      </c>
      <c r="AD99" s="27">
        <f>PortfolioFrontier[[#This Row],[P7 Growth]]/PortfolioFrontier[[#This Row],[P7 HWM]]-1</f>
        <v>-2.4304476637009964E-2</v>
      </c>
      <c r="AE99" s="28">
        <f>SUMPRODUCT(INDEX(PortfolioRef[[SPY]:[PE]],MATCH(AE$1,PortfolioRef[Reference '#]),0),AssetMonthlyReturns[[#This Row],[SPY]:[PE]])</f>
        <v>-2.9377857874501506E-2</v>
      </c>
      <c r="AF99" s="27">
        <f>IF(ISNUMBER(AF98),AF98*(1+PortfolioFrontier[[#This Row],[P8 Return]]),1+PortfolioFrontier[[#This Row],[P8 Return]])</f>
        <v>1.8852537564894458</v>
      </c>
      <c r="AG99" s="27">
        <f>MAX(AG98,PortfolioFrontier[[#This Row],[P8 Growth]])</f>
        <v>1.942314804771565</v>
      </c>
      <c r="AH99" s="27">
        <f>PortfolioFrontier[[#This Row],[P8 Growth]]/PortfolioFrontier[[#This Row],[P8 HWM]]-1</f>
        <v>-2.9377857874501534E-2</v>
      </c>
      <c r="AI99" s="28">
        <f>SUMPRODUCT(INDEX(PortfolioRef[[SPY]:[PE]],MATCH(AI$1,PortfolioRef[Reference '#]),0),AssetMonthlyReturns[[#This Row],[SPY]:[PE]])</f>
        <v>-2.5733812410464407E-2</v>
      </c>
      <c r="AJ99" s="27">
        <f>IF(ISNUMBER(AJ98),AJ98*(1+PortfolioFrontier[[#This Row],[P9 Return]]),1+PortfolioFrontier[[#This Row],[P9 Return]])</f>
        <v>1.8866672216345928</v>
      </c>
      <c r="AK99" s="27">
        <f>MAX(AK98,PortfolioFrontier[[#This Row],[P9 Growth]])</f>
        <v>1.9365007691608995</v>
      </c>
      <c r="AL99" s="27">
        <f>PortfolioFrontier[[#This Row],[P9 Growth]]/PortfolioFrontier[[#This Row],[P9 HWM]]-1</f>
        <v>-2.5733812410464463E-2</v>
      </c>
      <c r="AM99" s="28">
        <f>SUMPRODUCT(INDEX(PortfolioRef[[SPY]:[PE]],MATCH(AM$1,PortfolioRef[Reference '#]),0),AssetMonthlyReturns[[#This Row],[SPY]:[PE]])</f>
        <v>-2.1569489663660287E-2</v>
      </c>
      <c r="AN99" s="27">
        <f>IF(ISNUMBER(AN98),AN98*(1+PortfolioFrontier[[#This Row],[P10 Return]]),1+PortfolioFrontier[[#This Row],[P10 Return]])</f>
        <v>1.9624889231041616</v>
      </c>
      <c r="AO99" s="27">
        <f>MAX(AO98,PortfolioFrontier[[#This Row],[P10 Growth]])</f>
        <v>2.0057519694776764</v>
      </c>
      <c r="AP99" s="27">
        <f>PortfolioFrontier[[#This Row],[P10 Growth]]/PortfolioFrontier[[#This Row],[P10 HWM]]-1</f>
        <v>-2.1569489663660235E-2</v>
      </c>
      <c r="AQ99" s="28">
        <f>SUMPRODUCT(INDEX(PortfolioRef[[SPY]:[PE]],MATCH(AQ$1,PortfolioRef[Reference '#]),0),AssetMonthlyReturns[[#This Row],[SPY]:[PE]])</f>
        <v>-2.664287090115184E-2</v>
      </c>
      <c r="AR99" s="27">
        <f>IF(ISNUMBER(AR98),AR98*(1+PortfolioFrontier[[#This Row],[P11 Return]]),1+PortfolioFrontier[[#This Row],[P11 Return]])</f>
        <v>1.936209140381556</v>
      </c>
      <c r="AS99" s="27">
        <f>MAX(AS98,PortfolioFrontier[[#This Row],[P11 Growth]])</f>
        <v>1.9892073345927346</v>
      </c>
      <c r="AT99" s="27">
        <f>PortfolioFrontier[[#This Row],[P11 Growth]]/PortfolioFrontier[[#This Row],[P11 HWM]]-1</f>
        <v>-2.6642870901151805E-2</v>
      </c>
      <c r="AU99" s="28">
        <f>SUMPRODUCT(INDEX(PortfolioRef[[SPY]:[PE]],MATCH(AU$1,PortfolioRef[Reference '#]),0),AssetMonthlyReturns[[#This Row],[SPY]:[PE]])</f>
        <v>-2.2998825437114741E-2</v>
      </c>
      <c r="AV99" s="27">
        <f>IF(ISNUMBER(AV98),AV98*(1+PortfolioFrontier[[#This Row],[P12 Return]]),1+PortfolioFrontier[[#This Row],[P12 Return]])</f>
        <v>1.937667129522856</v>
      </c>
      <c r="AW99" s="27">
        <f>MAX(AW98,PortfolioFrontier[[#This Row],[P12 Growth]])</f>
        <v>1.9832802456862726</v>
      </c>
      <c r="AX99" s="27">
        <f>PortfolioFrontier[[#This Row],[P12 Growth]]/PortfolioFrontier[[#This Row],[P12 HWM]]-1</f>
        <v>-2.2998825437114734E-2</v>
      </c>
      <c r="AY99" s="28">
        <f>SUMPRODUCT(INDEX(PortfolioRef[[SPY]:[PE]],MATCH(AY$1,PortfolioRef[Reference '#]),0),AssetMonthlyReturns[[#This Row],[SPY]:[PE]])</f>
        <v>-3.1716252138643396E-2</v>
      </c>
      <c r="AZ99" s="27">
        <f>IF(ISNUMBER(AZ98),AZ98*(1+PortfolioFrontier[[#This Row],[P13 Return]]),1+PortfolioFrontier[[#This Row],[P13 Return]])</f>
        <v>1.9086868610570296</v>
      </c>
      <c r="BA99" s="27">
        <f>MAX(BA98,PortfolioFrontier[[#This Row],[P13 Growth]])</f>
        <v>1.9712061317488148</v>
      </c>
      <c r="BB99" s="27">
        <f>PortfolioFrontier[[#This Row],[P13 Growth]]/PortfolioFrontier[[#This Row],[P13 HWM]]-1</f>
        <v>-3.1716252138643375E-2</v>
      </c>
      <c r="BC99" s="28">
        <f>SUMPRODUCT(INDEX(PortfolioRef[[SPY]:[PE]],MATCH(BC$1,PortfolioRef[Reference '#]),0),AssetMonthlyReturns[[#This Row],[SPY]:[PE]])</f>
        <v>-2.807220667460629E-2</v>
      </c>
      <c r="BD99" s="27">
        <f>IF(ISNUMBER(BD98),BD98*(1+PortfolioFrontier[[#This Row],[P14 Return]]),1+PortfolioFrontier[[#This Row],[P14 Return]])</f>
        <v>1.911274042839215</v>
      </c>
      <c r="BE99" s="27">
        <f>MAX(BE98,PortfolioFrontier[[#This Row],[P14 Growth]])</f>
        <v>1.9664774029147818</v>
      </c>
      <c r="BF99" s="27">
        <f>PortfolioFrontier[[#This Row],[P14 Growth]]/PortfolioFrontier[[#This Row],[P14 HWM]]-1</f>
        <v>-2.8072206674606304E-2</v>
      </c>
      <c r="BG99" s="28">
        <f>SUMPRODUCT(INDEX(PortfolioRef[[SPY]:[PE]],MATCH(BG$1,PortfolioRef[Reference '#]),0),AssetMonthlyReturns[[#This Row],[SPY]:[PE]])</f>
        <v>-2.4428161210569194E-2</v>
      </c>
      <c r="BH99" s="27">
        <f>IF(ISNUMBER(BH98),BH98*(1+PortfolioFrontier[[#This Row],[P15 Return]]),1+PortfolioFrontier[[#This Row],[P15 Return]])</f>
        <v>1.9123701084378182</v>
      </c>
      <c r="BI99" s="27">
        <f>MAX(BI98,PortfolioFrontier[[#This Row],[P15 Growth]])</f>
        <v>1.960255546952691</v>
      </c>
      <c r="BJ99" s="27">
        <f>PortfolioFrontier[[#This Row],[P15 Growth]]/PortfolioFrontier[[#This Row],[P15 HWM]]-1</f>
        <v>-2.4428161210569233E-2</v>
      </c>
      <c r="BK99" s="28">
        <f>SUMPRODUCT(INDEX(PortfolioRef[[SPY]:[PE]],MATCH(BK$1,PortfolioRef[Reference '#]),0),AssetMonthlyReturns[[#This Row],[SPY]:[PE]])</f>
        <v>-2.6412887493490581E-2</v>
      </c>
      <c r="BL99" s="27">
        <f>IF(ISNUMBER(BL98),BL98*(1+PortfolioFrontier[[#This Row],[P16 Return]]),1+PortfolioFrontier[[#This Row],[P16 Return]])</f>
        <v>1.772208845838988</v>
      </c>
      <c r="BM99" s="27">
        <f>MAX(BM98,PortfolioFrontier[[#This Row],[P16 Growth]])</f>
        <v>1.8202879054925236</v>
      </c>
      <c r="BN99" s="27">
        <f>PortfolioFrontier[[#This Row],[P16 Growth]]/PortfolioFrontier[[#This Row],[P16 HWM]]-1</f>
        <v>-2.6412887493490578E-2</v>
      </c>
      <c r="BO99" s="28">
        <f>SUMPRODUCT(INDEX(PortfolioRef[[SPY]:[PE]],MATCH(BO$1,PortfolioRef[Reference '#]),0),AssetMonthlyReturns[[#This Row],[SPY]:[PE]])</f>
        <v>-2.3677900520140915E-2</v>
      </c>
      <c r="BP99" s="27">
        <f>IF(ISNUMBER(BP98),BP98*(1+PortfolioFrontier[[#This Row],[P17 Return]]),1+PortfolioFrontier[[#This Row],[P17 Return]])</f>
        <v>1.8201391439556613</v>
      </c>
      <c r="BQ99" s="27">
        <f>MAX(BQ98,PortfolioFrontier[[#This Row],[P17 Growth]])</f>
        <v>1.8642814138134847</v>
      </c>
      <c r="BR99" s="27">
        <f>PortfolioFrontier[[#This Row],[P17 Growth]]/PortfolioFrontier[[#This Row],[P17 HWM]]-1</f>
        <v>-2.3677900520140849E-2</v>
      </c>
      <c r="BS99" s="28">
        <f>SUMPRODUCT(INDEX(PortfolioRef[[SPY]:[PE]],MATCH(BS$1,PortfolioRef[Reference '#]),0),AssetMonthlyReturns[[#This Row],[SPY]:[PE]])</f>
        <v>-2.8751281757632467E-2</v>
      </c>
      <c r="BT99" s="27">
        <f>IF(ISNUMBER(BT98),BT98*(1+PortfolioFrontier[[#This Row],[P18 Return]]),1+PortfolioFrontier[[#This Row],[P18 Return]])</f>
        <v>1.7959399260291267</v>
      </c>
      <c r="BU99" s="27">
        <f>MAX(BU98,PortfolioFrontier[[#This Row],[P18 Growth]])</f>
        <v>1.8491040372018939</v>
      </c>
      <c r="BV99" s="27">
        <f>PortfolioFrontier[[#This Row],[P18 Growth]]/PortfolioFrontier[[#This Row],[P18 HWM]]-1</f>
        <v>-2.8751281757632419E-2</v>
      </c>
      <c r="BW99" s="28">
        <f>SUMPRODUCT(INDEX(PortfolioRef[[SPY]:[PE]],MATCH(BW$1,PortfolioRef[Reference '#]),0),AssetMonthlyReturns[[#This Row],[SPY]:[PE]])</f>
        <v>-2.5107236293595365E-2</v>
      </c>
      <c r="BX99" s="27">
        <f>IF(ISNUMBER(BX98),BX98*(1+PortfolioFrontier[[#This Row],[P19 Return]]),1+PortfolioFrontier[[#This Row],[P19 Return]])</f>
        <v>1.7966092735890553</v>
      </c>
      <c r="BY99" s="27">
        <f>MAX(BY98,PortfolioFrontier[[#This Row],[P19 Growth]])</f>
        <v>1.8428788688087092</v>
      </c>
      <c r="BZ99" s="27">
        <f>PortfolioFrontier[[#This Row],[P19 Growth]]/PortfolioFrontier[[#This Row],[P19 HWM]]-1</f>
        <v>-2.5107236293595347E-2</v>
      </c>
      <c r="CA99" s="28">
        <f>SUMPRODUCT(INDEX(PortfolioRef[[SPY]:[PE]],MATCH(CA$1,PortfolioRef[Reference '#]),0),AssetMonthlyReturns[[#This Row],[SPY]:[PE]])</f>
        <v>-2.0942913546791245E-2</v>
      </c>
      <c r="CB99" s="27">
        <f>IF(ISNUMBER(CB98),CB98*(1+PortfolioFrontier[[#This Row],[P20 Return]]),1+PortfolioFrontier[[#This Row],[P20 Return]])</f>
        <v>1.8688139425322918</v>
      </c>
      <c r="CC99" s="27">
        <f>MAX(CC98,PortfolioFrontier[[#This Row],[P20 Growth]])</f>
        <v>1.9087895572079152</v>
      </c>
      <c r="CD99" s="27">
        <f>PortfolioFrontier[[#This Row],[P20 Growth]]/PortfolioFrontier[[#This Row],[P20 HWM]]-1</f>
        <v>-2.0942913546791231E-2</v>
      </c>
      <c r="CE99" s="28">
        <f>SUMPRODUCT(INDEX(PortfolioRef[[SPY]:[PE]],MATCH(CE$1,PortfolioRef[Reference '#]),0),AssetMonthlyReturns[[#This Row],[SPY]:[PE]])</f>
        <v>-2.6016294784282801E-2</v>
      </c>
      <c r="CF99" s="27">
        <f>IF(ISNUMBER(CF98),CF98*(1+PortfolioFrontier[[#This Row],[P21 Return]]),1+PortfolioFrontier[[#This Row],[P21 Return]])</f>
        <v>1.8444941849716072</v>
      </c>
      <c r="CG99" s="27">
        <f>MAX(CG98,PortfolioFrontier[[#This Row],[P21 Growth]])</f>
        <v>1.8937628782640568</v>
      </c>
      <c r="CH99" s="27">
        <f>PortfolioFrontier[[#This Row],[P21 Growth]]/PortfolioFrontier[[#This Row],[P21 HWM]]-1</f>
        <v>-2.6016294784282801E-2</v>
      </c>
      <c r="CI99" s="28">
        <f>SUMPRODUCT(INDEX(PortfolioRef[[SPY]:[PE]],MATCH(CI$1,PortfolioRef[Reference '#]),0),AssetMonthlyReturns[[#This Row],[SPY]:[PE]])</f>
        <v>-2.2372249320245698E-2</v>
      </c>
      <c r="CJ99" s="27">
        <f>IF(ISNUMBER(CJ98),CJ98*(1+PortfolioFrontier[[#This Row],[P22 Return]]),1+PortfolioFrontier[[#This Row],[P22 Return]])</f>
        <v>1.8451880327125201</v>
      </c>
      <c r="CK99" s="27">
        <f>MAX(CK98,PortfolioFrontier[[#This Row],[P22 Growth]])</f>
        <v>1.8874137230960788</v>
      </c>
      <c r="CL99" s="27">
        <f>PortfolioFrontier[[#This Row],[P22 Growth]]/PortfolioFrontier[[#This Row],[P22 HWM]]-1</f>
        <v>-2.237224932024573E-2</v>
      </c>
      <c r="CM99" s="28">
        <f>SUMPRODUCT(INDEX(PortfolioRef[[SPY]:[PE]],MATCH(CM$1,PortfolioRef[Reference '#]),0),AssetMonthlyReturns[[#This Row],[SPY]:[PE]])</f>
        <v>-3.108967602177435E-2</v>
      </c>
      <c r="CN99" s="27">
        <f>IF(ISNUMBER(CN98),CN98*(1+PortfolioFrontier[[#This Row],[P23 Return]]),1+PortfolioFrontier[[#This Row],[P23 Return]])</f>
        <v>1.8189733886020165</v>
      </c>
      <c r="CO99" s="27">
        <f>MAX(CO98,PortfolioFrontier[[#This Row],[P23 Growth]])</f>
        <v>1.8773392579135058</v>
      </c>
      <c r="CP99" s="27">
        <f>PortfolioFrontier[[#This Row],[P23 Growth]]/PortfolioFrontier[[#This Row],[P23 HWM]]-1</f>
        <v>-3.1089676021774371E-2</v>
      </c>
      <c r="CQ99" s="28">
        <f>SUMPRODUCT(INDEX(PortfolioRef[[SPY]:[PE]],MATCH(CQ$1,PortfolioRef[Reference '#]),0),AssetMonthlyReturns[[#This Row],[SPY]:[PE]])</f>
        <v>-2.7445630557737251E-2</v>
      </c>
      <c r="CR99" s="27">
        <f>IF(ISNUMBER(CR98),CR98*(1+PortfolioFrontier[[#This Row],[P24 Return]]),1+PortfolioFrontier[[#This Row],[P24 Return]])</f>
        <v>1.8207504421544283</v>
      </c>
      <c r="CS99" s="27">
        <f>MAX(CS98,PortfolioFrontier[[#This Row],[P24 Growth]])</f>
        <v>1.872132293435262</v>
      </c>
      <c r="CT99" s="27">
        <f>PortfolioFrontier[[#This Row],[P24 Growth]]/PortfolioFrontier[[#This Row],[P24 HWM]]-1</f>
        <v>-2.7445630557737299E-2</v>
      </c>
      <c r="CU99" s="28">
        <f>SUMPRODUCT(INDEX(PortfolioRef[[SPY]:[PE]],MATCH(CU$1,PortfolioRef[Reference '#]),0),AssetMonthlyReturns[[#This Row],[SPY]:[PE]])</f>
        <v>-2.3801585093700152E-2</v>
      </c>
      <c r="CV99" s="27">
        <f>IF(ISNUMBER(CV98),CV98*(1+PortfolioFrontier[[#This Row],[P25 Return]]),1+PortfolioFrontier[[#This Row],[P25 Return]])</f>
        <v>1.8211082788745716</v>
      </c>
      <c r="CW99" s="27">
        <f>MAX(CW98,PortfolioFrontier[[#This Row],[P25 Growth]])</f>
        <v>1.8655103829986961</v>
      </c>
      <c r="CX99" s="27">
        <f>PortfolioFrontier[[#This Row],[P25 Growth]]/PortfolioFrontier[[#This Row],[P25 HWM]]-1</f>
        <v>-2.3801585093700117E-2</v>
      </c>
      <c r="CY99" s="28">
        <f>SUMPRODUCT(INDEX(PortfolioRef[[SPY]:[PE]],MATCH(CY$1,PortfolioRef[Reference '#]),0),AssetMonthlyReturns[[#This Row],[SPY]:[PE]])</f>
        <v>-2.3281307810933127E-2</v>
      </c>
      <c r="CZ99" s="27">
        <f>IF(ISNUMBER(CZ98),CZ98*(1+PortfolioFrontier[[#This Row],[P26 Return]]),1+PortfolioFrontier[[#This Row],[P26 Return]])</f>
        <v>1.8938024721600903</v>
      </c>
      <c r="DA99" s="27">
        <f>MAX(DA98,PortfolioFrontier[[#This Row],[P26 Growth]])</f>
        <v>1.9389436152958361</v>
      </c>
      <c r="DB99" s="27">
        <f>PortfolioFrontier[[#This Row],[P26 Growth]]/PortfolioFrontier[[#This Row],[P26 HWM]]-1</f>
        <v>-2.3281307810933072E-2</v>
      </c>
      <c r="DC99" s="28">
        <f>SUMPRODUCT(INDEX(PortfolioRef[[SPY]:[PE]],MATCH(DC$1,PortfolioRef[Reference '#]),0),AssetMonthlyReturns[[#This Row],[SPY]:[PE]])</f>
        <v>-1.9637262346896028E-2</v>
      </c>
      <c r="DD99" s="27">
        <f>IF(ISNUMBER(DD98),DD98*(1+PortfolioFrontier[[#This Row],[P27 Return]]),1+PortfolioFrontier[[#This Row],[P27 Return]])</f>
        <v>1.8945213041161586</v>
      </c>
      <c r="DE99" s="27">
        <f>MAX(DE98,PortfolioFrontier[[#This Row],[P27 Growth]])</f>
        <v>1.9324697189649047</v>
      </c>
      <c r="DF99" s="27">
        <f>PortfolioFrontier[[#This Row],[P27 Growth]]/PortfolioFrontier[[#This Row],[P27 HWM]]-1</f>
        <v>-1.9637262346896001E-2</v>
      </c>
      <c r="DG99" s="28">
        <f>SUMPRODUCT(INDEX(PortfolioRef[[SPY]:[PE]],MATCH(DG$1,PortfolioRef[Reference '#]),0),AssetMonthlyReturns[[#This Row],[SPY]:[PE]])</f>
        <v>-2.8354689048424683E-2</v>
      </c>
      <c r="DH99" s="27">
        <f>IF(ISNUMBER(DH98),DH98*(1+PortfolioFrontier[[#This Row],[P28 Return]]),1+PortfolioFrontier[[#This Row],[P28 Return]])</f>
        <v>1.8681328475758627</v>
      </c>
      <c r="DI99" s="27">
        <f>MAX(DI98,PortfolioFrontier[[#This Row],[P28 Growth]])</f>
        <v>1.9226489610147115</v>
      </c>
      <c r="DJ99" s="27">
        <f>PortfolioFrontier[[#This Row],[P28 Growth]]/PortfolioFrontier[[#This Row],[P28 HWM]]-1</f>
        <v>-2.8354689048424642E-2</v>
      </c>
      <c r="DK99" s="28">
        <f>SUMPRODUCT(INDEX(PortfolioRef[[SPY]:[PE]],MATCH(DK$1,PortfolioRef[Reference '#]),0),AssetMonthlyReturns[[#This Row],[SPY]:[PE]])</f>
        <v>-2.4710643584387584E-2</v>
      </c>
      <c r="DL99" s="27">
        <f>IF(ISNUMBER(DL98),DL98*(1+PortfolioFrontier[[#This Row],[P29 Return]]),1+PortfolioFrontier[[#This Row],[P29 Return]])</f>
        <v>1.8699638155352212</v>
      </c>
      <c r="DM99" s="27">
        <f>MAX(DM98,PortfolioFrontier[[#This Row],[P29 Growth]])</f>
        <v>1.9173425847768093</v>
      </c>
      <c r="DN99" s="27">
        <f>PortfolioFrontier[[#This Row],[P29 Growth]]/PortfolioFrontier[[#This Row],[P29 HWM]]-1</f>
        <v>-2.471064358438757E-2</v>
      </c>
      <c r="DO99" s="28">
        <f>SUMPRODUCT(INDEX(PortfolioRef[[SPY]:[PE]],MATCH(DO$1,PortfolioRef[Reference '#]),0),AssetMonthlyReturns[[#This Row],[SPY]:[PE]])</f>
        <v>-2.1066598120350485E-2</v>
      </c>
      <c r="DP99" s="27">
        <f>IF(ISNUMBER(DP98),DP98*(1+PortfolioFrontier[[#This Row],[P30 Return]]),1+PortfolioFrontier[[#This Row],[P30 Return]])</f>
        <v>1.8703380149693098</v>
      </c>
      <c r="DQ99" s="27">
        <f>MAX(DQ98,PortfolioFrontier[[#This Row],[P30 Growth]])</f>
        <v>1.9105875960285703</v>
      </c>
      <c r="DR99" s="27">
        <f>PortfolioFrontier[[#This Row],[P30 Growth]]/PortfolioFrontier[[#This Row],[P30 HWM]]-1</f>
        <v>-2.1066598120350499E-2</v>
      </c>
      <c r="DS99" s="28">
        <f>SUMPRODUCT(INDEX(PortfolioRef[[SPY]:[PE]],MATCH(DS$1,PortfolioRef[Reference '#]),0),AssetMonthlyReturns[[#This Row],[SPY]:[PE]])</f>
        <v>-3.3428070285916232E-2</v>
      </c>
      <c r="DT99" s="27">
        <f>IF(ISNUMBER(DT98),DT98*(1+PortfolioFrontier[[#This Row],[P31 Return]]),1+PortfolioFrontier[[#This Row],[P31 Return]])</f>
        <v>1.8412704468115855</v>
      </c>
      <c r="DU99" s="27">
        <f>MAX(DU98,PortfolioFrontier[[#This Row],[P31 Growth]])</f>
        <v>1.9049492233405136</v>
      </c>
      <c r="DV99" s="27">
        <f>PortfolioFrontier[[#This Row],[P31 Growth]]/PortfolioFrontier[[#This Row],[P31 HWM]]-1</f>
        <v>-3.3428070285916212E-2</v>
      </c>
      <c r="DW99" s="28">
        <f>SUMPRODUCT(INDEX(PortfolioRef[[SPY]:[PE]],MATCH(DW$1,PortfolioRef[Reference '#]),0),AssetMonthlyReturns[[#This Row],[SPY]:[PE]])</f>
        <v>-2.9784024821879133E-2</v>
      </c>
      <c r="DX99" s="27">
        <f>IF(ISNUMBER(DX98),DX98*(1+PortfolioFrontier[[#This Row],[P32 Return]]),1+PortfolioFrontier[[#This Row],[P32 Return]])</f>
        <v>1.8441867761291553</v>
      </c>
      <c r="DY99" s="27">
        <f>MAX(DY98,PortfolioFrontier[[#This Row],[P32 Growth]])</f>
        <v>1.9008002582008434</v>
      </c>
      <c r="DZ99" s="27">
        <f>PortfolioFrontier[[#This Row],[P32 Growth]]/PortfolioFrontier[[#This Row],[P32 HWM]]-1</f>
        <v>-2.978402482187914E-2</v>
      </c>
      <c r="EA99" s="28">
        <f>SUMPRODUCT(INDEX(PortfolioRef[[SPY]:[PE]],MATCH(EA$1,PortfolioRef[Reference '#]),0),AssetMonthlyReturns[[#This Row],[SPY]:[PE]])</f>
        <v>-2.6139979357842038E-2</v>
      </c>
      <c r="EB99" s="27">
        <f>IF(ISNUMBER(EB98),EB98*(1+PortfolioFrontier[[#This Row],[P33 Return]]),1+PortfolioFrontier[[#This Row],[P33 Return]])</f>
        <v>1.8456631437588396</v>
      </c>
      <c r="EC99" s="27">
        <f>MAX(EC98,PortfolioFrontier[[#This Row],[P33 Growth]])</f>
        <v>1.8952037301437012</v>
      </c>
      <c r="ED99" s="27">
        <f>PortfolioFrontier[[#This Row],[P33 Growth]]/PortfolioFrontier[[#This Row],[P33 HWM]]-1</f>
        <v>-2.6139979357842069E-2</v>
      </c>
      <c r="EE99" s="28">
        <f>SUMPRODUCT(INDEX(PortfolioRef[[SPY]:[PE]],MATCH(EE$1,PortfolioRef[Reference '#]),0),AssetMonthlyReturns[[#This Row],[SPY]:[PE]])</f>
        <v>-2.5786311376621535E-2</v>
      </c>
      <c r="EF99" s="27">
        <f>IF(ISNUMBER(EF98),EF98*(1+PortfolioFrontier[[#This Row],[P34 Return]]),1+PortfolioFrontier[[#This Row],[P34 Return]])</f>
        <v>1.6868022353632321</v>
      </c>
      <c r="EG99" s="27">
        <f>MAX(EG98,PortfolioFrontier[[#This Row],[P34 Growth]])</f>
        <v>1.7314499427192236</v>
      </c>
      <c r="EH99" s="27">
        <f>PortfolioFrontier[[#This Row],[P34 Growth]]/PortfolioFrontier[[#This Row],[P34 HWM]]-1</f>
        <v>-2.5786311376621573E-2</v>
      </c>
      <c r="EI99" s="28">
        <f>SUMPRODUCT(INDEX(PortfolioRef[[SPY]:[PE]],MATCH(EI$1,PortfolioRef[Reference '#]),0),AssetMonthlyReturns[[#This Row],[SPY]:[PE]])</f>
        <v>-2.3051324403271869E-2</v>
      </c>
      <c r="EJ99" s="27">
        <f>IF(ISNUMBER(EJ98),EJ98*(1+PortfolioFrontier[[#This Row],[P35 Return]]),1+PortfolioFrontier[[#This Row],[P35 Return]])</f>
        <v>1.7324356256536879</v>
      </c>
      <c r="EK99" s="27">
        <f>MAX(EK98,PortfolioFrontier[[#This Row],[P35 Growth]])</f>
        <v>1.7733128350836878</v>
      </c>
      <c r="EL99" s="27">
        <f>PortfolioFrontier[[#This Row],[P35 Growth]]/PortfolioFrontier[[#This Row],[P35 HWM]]-1</f>
        <v>-2.3051324403271845E-2</v>
      </c>
      <c r="EM99" s="28">
        <f>SUMPRODUCT(INDEX(PortfolioRef[[SPY]:[PE]],MATCH(EM$1,PortfolioRef[Reference '#]),0),AssetMonthlyReturns[[#This Row],[SPY]:[PE]])</f>
        <v>-2.8124705640763421E-2</v>
      </c>
      <c r="EN99" s="27">
        <f>IF(ISNUMBER(EN98),EN98*(1+PortfolioFrontier[[#This Row],[P36 Return]]),1+PortfolioFrontier[[#This Row],[P36 Return]])</f>
        <v>1.7100544766015833</v>
      </c>
      <c r="EO99" s="27">
        <f>MAX(EO98,PortfolioFrontier[[#This Row],[P36 Growth]])</f>
        <v>1.7595410507158049</v>
      </c>
      <c r="EP99" s="27">
        <f>PortfolioFrontier[[#This Row],[P36 Growth]]/PortfolioFrontier[[#This Row],[P36 HWM]]-1</f>
        <v>-2.8124705640763414E-2</v>
      </c>
      <c r="EQ99" s="28">
        <f>SUMPRODUCT(INDEX(PortfolioRef[[SPY]:[PE]],MATCH(EQ$1,PortfolioRef[Reference '#]),0),AssetMonthlyReturns[[#This Row],[SPY]:[PE]])</f>
        <v>-2.4480660176726319E-2</v>
      </c>
      <c r="ER99" s="27">
        <f>IF(ISNUMBER(ER98),ER98*(1+PortfolioFrontier[[#This Row],[P37 Return]]),1+PortfolioFrontier[[#This Row],[P37 Return]])</f>
        <v>1.7100483881302682</v>
      </c>
      <c r="ES99" s="27">
        <f>MAX(ES98,PortfolioFrontier[[#This Row],[P37 Growth]])</f>
        <v>1.7529620565390971</v>
      </c>
      <c r="ET99" s="27">
        <f>PortfolioFrontier[[#This Row],[P37 Growth]]/PortfolioFrontier[[#This Row],[P37 HWM]]-1</f>
        <v>-2.4480660176726343E-2</v>
      </c>
      <c r="EU99" s="28">
        <f>SUMPRODUCT(INDEX(PortfolioRef[[SPY]:[PE]],MATCH(EU$1,PortfolioRef[Reference '#]),0),AssetMonthlyReturns[[#This Row],[SPY]:[PE]])</f>
        <v>-2.0316337429922199E-2</v>
      </c>
      <c r="EV99" s="27">
        <f>IF(ISNUMBER(EV98),EV98*(1+PortfolioFrontier[[#This Row],[P38 Return]]),1+PortfolioFrontier[[#This Row],[P38 Return]])</f>
        <v>1.7787773924471841</v>
      </c>
      <c r="EW99" s="27">
        <f>MAX(EW98,PortfolioFrontier[[#This Row],[P38 Growth]])</f>
        <v>1.8156650563925745</v>
      </c>
      <c r="EX99" s="27">
        <f>PortfolioFrontier[[#This Row],[P38 Growth]]/PortfolioFrontier[[#This Row],[P38 HWM]]-1</f>
        <v>-2.0316337429922227E-2</v>
      </c>
      <c r="EY99" s="28">
        <f>SUMPRODUCT(INDEX(PortfolioRef[[SPY]:[PE]],MATCH(EY$1,PortfolioRef[Reference '#]),0),AssetMonthlyReturns[[#This Row],[SPY]:[PE]])</f>
        <v>-2.5389718667413755E-2</v>
      </c>
      <c r="EZ99" s="27">
        <f>IF(ISNUMBER(EZ98),EZ98*(1+PortfolioFrontier[[#This Row],[P39 Return]]),1+PortfolioFrontier[[#This Row],[P39 Return]])</f>
        <v>1.7562995923761815</v>
      </c>
      <c r="FA99" s="27">
        <f>MAX(FA98,PortfolioFrontier[[#This Row],[P39 Growth]])</f>
        <v>1.8020532165685654</v>
      </c>
      <c r="FB99" s="27">
        <f>PortfolioFrontier[[#This Row],[P39 Growth]]/PortfolioFrontier[[#This Row],[P39 HWM]]-1</f>
        <v>-2.5389718667413796E-2</v>
      </c>
      <c r="FC99" s="28">
        <f>SUMPRODUCT(INDEX(PortfolioRef[[SPY]:[PE]],MATCH(FC$1,PortfolioRef[Reference '#]),0),AssetMonthlyReturns[[#This Row],[SPY]:[PE]])</f>
        <v>-2.1745673203376652E-2</v>
      </c>
      <c r="FD99" s="27">
        <f>IF(ISNUMBER(FD98),FD98*(1+PortfolioFrontier[[#This Row],[P40 Return]]),1+PortfolioFrontier[[#This Row],[P40 Return]])</f>
        <v>1.7562998006972381</v>
      </c>
      <c r="FE99" s="27">
        <f>MAX(FE98,PortfolioFrontier[[#This Row],[P40 Growth]])</f>
        <v>1.7953406926891808</v>
      </c>
      <c r="FF99" s="27">
        <f>PortfolioFrontier[[#This Row],[P40 Growth]]/PortfolioFrontier[[#This Row],[P40 HWM]]-1</f>
        <v>-2.1745673203376614E-2</v>
      </c>
      <c r="FG99" s="28">
        <f>SUMPRODUCT(INDEX(PortfolioRef[[SPY]:[PE]],MATCH(FG$1,PortfolioRef[Reference '#]),0),AssetMonthlyReturns[[#This Row],[SPY]:[PE]])</f>
        <v>-3.0463099904905304E-2</v>
      </c>
      <c r="FH99" s="27">
        <f>IF(ISNUMBER(FH98),FH98*(1+PortfolioFrontier[[#This Row],[P41 Return]]),1+PortfolioFrontier[[#This Row],[P41 Return]])</f>
        <v>1.7326620556143961</v>
      </c>
      <c r="FI99" s="27">
        <f>MAX(FI98,PortfolioFrontier[[#This Row],[P41 Growth]])</f>
        <v>1.7871027450780388</v>
      </c>
      <c r="FJ99" s="27">
        <f>PortfolioFrontier[[#This Row],[P41 Growth]]/PortfolioFrontier[[#This Row],[P41 HWM]]-1</f>
        <v>-3.0463099904905255E-2</v>
      </c>
      <c r="FK99" s="28">
        <f>SUMPRODUCT(INDEX(PortfolioRef[[SPY]:[PE]],MATCH(FK$1,PortfolioRef[Reference '#]),0),AssetMonthlyReturns[[#This Row],[SPY]:[PE]])</f>
        <v>-2.6819054440868205E-2</v>
      </c>
      <c r="FL99" s="27">
        <f>IF(ISNUMBER(FL98),FL98*(1+PortfolioFrontier[[#This Row],[P42 Return]]),1+PortfolioFrontier[[#This Row],[P42 Return]])</f>
        <v>1.7337004015737221</v>
      </c>
      <c r="FM99" s="27">
        <f>MAX(FM98,PortfolioFrontier[[#This Row],[P42 Growth]])</f>
        <v>1.781477955857059</v>
      </c>
      <c r="FN99" s="27">
        <f>PortfolioFrontier[[#This Row],[P42 Growth]]/PortfolioFrontier[[#This Row],[P42 HWM]]-1</f>
        <v>-2.6819054440868184E-2</v>
      </c>
      <c r="FO99" s="28">
        <f>SUMPRODUCT(INDEX(PortfolioRef[[SPY]:[PE]],MATCH(FO$1,PortfolioRef[Reference '#]),0),AssetMonthlyReturns[[#This Row],[SPY]:[PE]])</f>
        <v>-2.3175008976831106E-2</v>
      </c>
      <c r="FP99" s="27">
        <f>IF(ISNUMBER(FP98),FP98*(1+PortfolioFrontier[[#This Row],[P43 Return]]),1+PortfolioFrontier[[#This Row],[P43 Return]])</f>
        <v>1.7333889822473072</v>
      </c>
      <c r="FQ99" s="27">
        <f>MAX(FQ98,PortfolioFrontier[[#This Row],[P43 Growth]])</f>
        <v>1.7745133449459358</v>
      </c>
      <c r="FR99" s="27">
        <f>PortfolioFrontier[[#This Row],[P43 Growth]]/PortfolioFrontier[[#This Row],[P43 HWM]]-1</f>
        <v>-2.3175008976831113E-2</v>
      </c>
      <c r="FS99" s="28">
        <f>SUMPRODUCT(INDEX(PortfolioRef[[SPY]:[PE]],MATCH(FS$1,PortfolioRef[Reference '#]),0),AssetMonthlyReturns[[#This Row],[SPY]:[PE]])</f>
        <v>-2.2654731694064081E-2</v>
      </c>
      <c r="FT99" s="27">
        <f>IF(ISNUMBER(FT98),FT98*(1+PortfolioFrontier[[#This Row],[P44 Return]]),1+PortfolioFrontier[[#This Row],[P44 Return]])</f>
        <v>1.8032624209367834</v>
      </c>
      <c r="FU99" s="27">
        <f>MAX(FU98,PortfolioFrontier[[#This Row],[P44 Growth]])</f>
        <v>1.8450618009973447</v>
      </c>
      <c r="FV99" s="27">
        <f>PortfolioFrontier[[#This Row],[P44 Growth]]/PortfolioFrontier[[#This Row],[P44 HWM]]-1</f>
        <v>-2.2654731694064068E-2</v>
      </c>
      <c r="FW99" s="28">
        <f>SUMPRODUCT(INDEX(PortfolioRef[[SPY]:[PE]],MATCH(FW$1,PortfolioRef[Reference '#]),0),AssetMonthlyReturns[[#This Row],[SPY]:[PE]])</f>
        <v>-1.9010686230026982E-2</v>
      </c>
      <c r="FX99" s="27">
        <f>IF(ISNUMBER(FX98),FX98*(1+PortfolioFrontier[[#This Row],[P45 Return]]),1+PortfolioFrontier[[#This Row],[P45 Return]])</f>
        <v>1.8032691282011764</v>
      </c>
      <c r="FY99" s="27">
        <f>MAX(FY98,PortfolioFrontier[[#This Row],[P45 Growth]])</f>
        <v>1.8382148540142156</v>
      </c>
      <c r="FZ99" s="27">
        <f>PortfolioFrontier[[#This Row],[P45 Growth]]/PortfolioFrontier[[#This Row],[P45 HWM]]-1</f>
        <v>-1.9010686230026996E-2</v>
      </c>
      <c r="GA99" s="28">
        <f>SUMPRODUCT(INDEX(PortfolioRef[[SPY]:[PE]],MATCH(GA$1,PortfolioRef[Reference '#]),0),AssetMonthlyReturns[[#This Row],[SPY]:[PE]])</f>
        <v>-2.7728112931555637E-2</v>
      </c>
      <c r="GB99" s="27">
        <f>IF(ISNUMBER(GB98),GB98*(1+PortfolioFrontier[[#This Row],[P46 Return]]),1+PortfolioFrontier[[#This Row],[P46 Return]])</f>
        <v>1.7795015347980612</v>
      </c>
      <c r="GC99" s="27">
        <f>MAX(GC98,PortfolioFrontier[[#This Row],[P46 Growth]])</f>
        <v>1.8302509395427895</v>
      </c>
      <c r="GD99" s="27">
        <f>PortfolioFrontier[[#This Row],[P46 Growth]]/PortfolioFrontier[[#This Row],[P46 HWM]]-1</f>
        <v>-2.7728112931555637E-2</v>
      </c>
      <c r="GE99" s="28">
        <f>SUMPRODUCT(INDEX(PortfolioRef[[SPY]:[PE]],MATCH(GE$1,PortfolioRef[Reference '#]),0),AssetMonthlyReturns[[#This Row],[SPY]:[PE]])</f>
        <v>-2.4084067467518538E-2</v>
      </c>
      <c r="GF99" s="27">
        <f>IF(ISNUMBER(GF98),GF98*(1+PortfolioFrontier[[#This Row],[P47 Return]]),1+PortfolioFrontier[[#This Row],[P47 Return]])</f>
        <v>1.7805739294875405</v>
      </c>
      <c r="GG99" s="27">
        <f>MAX(GG98,PortfolioFrontier[[#This Row],[P47 Growth]])</f>
        <v>1.8245156884230678</v>
      </c>
      <c r="GH99" s="27">
        <f>PortfolioFrontier[[#This Row],[P47 Growth]]/PortfolioFrontier[[#This Row],[P47 HWM]]-1</f>
        <v>-2.4084067467518566E-2</v>
      </c>
      <c r="GI99" s="28">
        <f>SUMPRODUCT(INDEX(PortfolioRef[[SPY]:[PE]],MATCH(GI$1,PortfolioRef[Reference '#]),0),AssetMonthlyReturns[[#This Row],[SPY]:[PE]])</f>
        <v>-2.0440022003481439E-2</v>
      </c>
      <c r="GJ99" s="27">
        <f>IF(ISNUMBER(GJ98),GJ98*(1+PortfolioFrontier[[#This Row],[P48 Return]]),1+PortfolioFrontier[[#This Row],[P48 Return]])</f>
        <v>1.7802608297116462</v>
      </c>
      <c r="GK99" s="27">
        <f>MAX(GK98,PortfolioFrontier[[#This Row],[P48 Growth]])</f>
        <v>1.8174087036026021</v>
      </c>
      <c r="GL99" s="27">
        <f>PortfolioFrontier[[#This Row],[P48 Growth]]/PortfolioFrontier[[#This Row],[P48 HWM]]-1</f>
        <v>-2.0440022003481384E-2</v>
      </c>
      <c r="GM99" s="28">
        <f>SUMPRODUCT(INDEX(PortfolioRef[[SPY]:[PE]],MATCH(GM$1,PortfolioRef[Reference '#]),0),AssetMonthlyReturns[[#This Row],[SPY]:[PE]])</f>
        <v>-3.2801494169047186E-2</v>
      </c>
      <c r="GN99" s="27">
        <f>IF(ISNUMBER(GN98),GN98*(1+PortfolioFrontier[[#This Row],[P49 Return]]),1+PortfolioFrontier[[#This Row],[P49 Return]])</f>
        <v>1.7545874613440346</v>
      </c>
      <c r="GO99" s="27">
        <f>MAX(GO98,PortfolioFrontier[[#This Row],[P49 Growth]])</f>
        <v>1.814092402713763</v>
      </c>
      <c r="GP99" s="27">
        <f>PortfolioFrontier[[#This Row],[P49 Growth]]/PortfolioFrontier[[#This Row],[P49 HWM]]-1</f>
        <v>-3.2801494169047207E-2</v>
      </c>
      <c r="GQ99" s="28">
        <f>SUMPRODUCT(INDEX(PortfolioRef[[SPY]:[PE]],MATCH(GQ$1,PortfolioRef[Reference '#]),0),AssetMonthlyReturns[[#This Row],[SPY]:[PE]])</f>
        <v>-2.9157448705010088E-2</v>
      </c>
      <c r="GR99" s="27">
        <f>IF(ISNUMBER(GR98),GR98*(1+PortfolioFrontier[[#This Row],[P50 Return]]),1+PortfolioFrontier[[#This Row],[P50 Return]])</f>
        <v>1.7567011987162915</v>
      </c>
      <c r="GS99" s="27">
        <f>MAX(GS98,PortfolioFrontier[[#This Row],[P50 Growth]])</f>
        <v>1.8094604489400044</v>
      </c>
      <c r="GT99" s="27">
        <f>PortfolioFrontier[[#This Row],[P50 Growth]]/PortfolioFrontier[[#This Row],[P50 HWM]]-1</f>
        <v>-2.9157448705010136E-2</v>
      </c>
      <c r="GU99" s="28">
        <f>SUMPRODUCT(INDEX(PortfolioRef[[SPY]:[PE]],MATCH(GU$1,PortfolioRef[Reference '#]),0),AssetMonthlyReturns[[#This Row],[SPY]:[PE]])</f>
        <v>-2.5513403240972992E-2</v>
      </c>
      <c r="GV99" s="27">
        <f>IF(ISNUMBER(GV98),GV98*(1+PortfolioFrontier[[#This Row],[P51 Return]]),1+PortfolioFrontier[[#This Row],[P51 Return]])</f>
        <v>1.7574442564424357</v>
      </c>
      <c r="GW99" s="27">
        <f>MAX(GW98,PortfolioFrontier[[#This Row],[P51 Growth]])</f>
        <v>1.8034565711702857</v>
      </c>
      <c r="GX99" s="27">
        <f>PortfolioFrontier[[#This Row],[P51 Growth]]/PortfolioFrontier[[#This Row],[P51 HWM]]-1</f>
        <v>-2.5513403240972954E-2</v>
      </c>
      <c r="GY99" s="28">
        <f>SUMPRODUCT(INDEX(PortfolioRef[[SPY]:[PE]],MATCH(GY$1,PortfolioRef[Reference '#]),0),AssetMonthlyReturns[[#This Row],[SPY]:[PE]])</f>
        <v>-2.4993125958205971E-2</v>
      </c>
      <c r="GZ99" s="27">
        <f>IF(ISNUMBER(GZ98),GZ98*(1+PortfolioFrontier[[#This Row],[P52 Return]]),1+PortfolioFrontier[[#This Row],[P52 Return]])</f>
        <v>1.8270677979471961</v>
      </c>
      <c r="HA99" s="27">
        <f>MAX(HA98,PortfolioFrontier[[#This Row],[P52 Growth]])</f>
        <v>1.8739024786289642</v>
      </c>
      <c r="HB99" s="27">
        <f>PortfolioFrontier[[#This Row],[P52 Growth]]/PortfolioFrontier[[#This Row],[P52 HWM]]-1</f>
        <v>-2.4993125958206019E-2</v>
      </c>
      <c r="HC99" s="28">
        <f>SUMPRODUCT(INDEX(PortfolioRef[[SPY]:[PE]],MATCH(HC$1,PortfolioRef[Reference '#]),0),AssetMonthlyReturns[[#This Row],[SPY]:[PE]])</f>
        <v>-2.1349080494168865E-2</v>
      </c>
      <c r="HD99" s="27">
        <f>IF(ISNUMBER(HD98),HD98*(1+PortfolioFrontier[[#This Row],[P53 Return]]),1+PortfolioFrontier[[#This Row],[P53 Return]])</f>
        <v>1.8281748666706308</v>
      </c>
      <c r="HE99" s="27">
        <f>MAX(HE98,PortfolioFrontier[[#This Row],[P53 Growth]])</f>
        <v>1.8680561477362796</v>
      </c>
      <c r="HF99" s="27">
        <f>PortfolioFrontier[[#This Row],[P53 Growth]]/PortfolioFrontier[[#This Row],[P53 HWM]]-1</f>
        <v>-2.1349080494168837E-2</v>
      </c>
      <c r="HG99" s="28">
        <f>SUMPRODUCT(INDEX(PortfolioRef[[SPY]:[PE]],MATCH(HG$1,PortfolioRef[Reference '#]),0),AssetMonthlyReturns[[#This Row],[SPY]:[PE]])</f>
        <v>-1.770503503013177E-2</v>
      </c>
      <c r="HH99" s="27">
        <f>IF(ISNUMBER(HH98),HH98*(1+PortfolioFrontier[[#This Row],[P54 Return]]),1+PortfolioFrontier[[#This Row],[P54 Return]])</f>
        <v>1.8278601685375864</v>
      </c>
      <c r="HI99" s="27">
        <f>MAX(HI98,PortfolioFrontier[[#This Row],[P54 Growth]])</f>
        <v>1.8608058004182642</v>
      </c>
      <c r="HJ99" s="27">
        <f>PortfolioFrontier[[#This Row],[P54 Growth]]/PortfolioFrontier[[#This Row],[P54 HWM]]-1</f>
        <v>-1.7705035030131766E-2</v>
      </c>
      <c r="HK99" s="28">
        <f>SUMPRODUCT(INDEX(PortfolioRef[[SPY]:[PE]],MATCH(HK$1,PortfolioRef[Reference '#]),0),AssetMonthlyReturns[[#This Row],[SPY]:[PE]])</f>
        <v>-3.0066507195697523E-2</v>
      </c>
      <c r="HL99" s="27">
        <f>IF(ISNUMBER(HL98),HL98*(1+PortfolioFrontier[[#This Row],[P55 Return]]),1+PortfolioFrontier[[#This Row],[P55 Return]])</f>
        <v>1.8020029691184705</v>
      </c>
      <c r="HM99" s="27">
        <f>MAX(HM98,PortfolioFrontier[[#This Row],[P55 Growth]])</f>
        <v>1.8578624024091202</v>
      </c>
      <c r="HN99" s="27">
        <f>PortfolioFrontier[[#This Row],[P55 Growth]]/PortfolioFrontier[[#This Row],[P55 HWM]]-1</f>
        <v>-3.0066507195697478E-2</v>
      </c>
      <c r="HO99" s="28">
        <f>SUMPRODUCT(INDEX(PortfolioRef[[SPY]:[PE]],MATCH(HO$1,PortfolioRef[Reference '#]),0),AssetMonthlyReturns[[#This Row],[SPY]:[PE]])</f>
        <v>-2.6422461731660421E-2</v>
      </c>
      <c r="HP99" s="27">
        <f>IF(ISNUMBER(HP98),HP98*(1+PortfolioFrontier[[#This Row],[P56 Return]]),1+PortfolioFrontier[[#This Row],[P56 Return]])</f>
        <v>1.8041793054427251</v>
      </c>
      <c r="HQ99" s="27">
        <f>MAX(HQ98,PortfolioFrontier[[#This Row],[P56 Growth]])</f>
        <v>1.8531439300168542</v>
      </c>
      <c r="HR99" s="27">
        <f>PortfolioFrontier[[#This Row],[P56 Growth]]/PortfolioFrontier[[#This Row],[P56 HWM]]-1</f>
        <v>-2.6422461731660407E-2</v>
      </c>
      <c r="HS99" s="28">
        <f>SUMPRODUCT(INDEX(PortfolioRef[[SPY]:[PE]],MATCH(HS$1,PortfolioRef[Reference '#]),0),AssetMonthlyReturns[[#This Row],[SPY]:[PE]])</f>
        <v>-2.2778416267623326E-2</v>
      </c>
      <c r="HT99" s="27">
        <f>IF(ISNUMBER(HT98),HT98*(1+PortfolioFrontier[[#This Row],[P57 Return]]),1+PortfolioFrontier[[#This Row],[P57 Return]])</f>
        <v>1.8049486986844012</v>
      </c>
      <c r="HU99" s="27">
        <f>MAX(HU98,PortfolioFrontier[[#This Row],[P57 Growth]])</f>
        <v>1.8470209098233621</v>
      </c>
      <c r="HV99" s="27">
        <f>PortfolioFrontier[[#This Row],[P57 Growth]]/PortfolioFrontier[[#This Row],[P57 HWM]]-1</f>
        <v>-2.2778416267623336E-2</v>
      </c>
      <c r="HW99" s="28">
        <f>SUMPRODUCT(INDEX(PortfolioRef[[SPY]:[PE]],MATCH(HW$1,PortfolioRef[Reference '#]),0),AssetMonthlyReturns[[#This Row],[SPY]:[PE]])</f>
        <v>-3.5139888433189076E-2</v>
      </c>
      <c r="HX99" s="27">
        <f>IF(ISNUMBER(HX98),HX98*(1+PortfolioFrontier[[#This Row],[P58 Return]]),1+PortfolioFrontier[[#This Row],[P58 Return]])</f>
        <v>1.7757935034587593</v>
      </c>
      <c r="HY99" s="27">
        <f>MAX(HY98,PortfolioFrontier[[#This Row],[P58 Growth]])</f>
        <v>1.8404673197393298</v>
      </c>
      <c r="HZ99" s="27">
        <f>PortfolioFrontier[[#This Row],[P58 Growth]]/PortfolioFrontier[[#This Row],[P58 HWM]]-1</f>
        <v>-3.5139888433189048E-2</v>
      </c>
      <c r="IA99" s="28">
        <f>SUMPRODUCT(INDEX(PortfolioRef[[SPY]:[PE]],MATCH(IA$1,PortfolioRef[Reference '#]),0),AssetMonthlyReturns[[#This Row],[SPY]:[PE]])</f>
        <v>-3.149584296915197E-2</v>
      </c>
      <c r="IB99" s="27">
        <f>IF(ISNUMBER(IB98),IB98*(1+PortfolioFrontier[[#This Row],[P59 Return]]),1+PortfolioFrontier[[#This Row],[P59 Return]])</f>
        <v>1.7790126800055535</v>
      </c>
      <c r="IC99" s="27">
        <f>MAX(IC98,PortfolioFrontier[[#This Row],[P59 Growth]])</f>
        <v>1.8368663336040691</v>
      </c>
      <c r="ID99" s="27">
        <f>PortfolioFrontier[[#This Row],[P59 Growth]]/PortfolioFrontier[[#This Row],[P59 HWM]]-1</f>
        <v>-3.1495842969151977E-2</v>
      </c>
      <c r="IE99" s="28">
        <f>SUMPRODUCT(INDEX(PortfolioRef[[SPY]:[PE]],MATCH(IE$1,PortfolioRef[Reference '#]),0),AssetMonthlyReturns[[#This Row],[SPY]:[PE]])</f>
        <v>-2.7851797505114875E-2</v>
      </c>
      <c r="IF99" s="27">
        <f>IF(ISNUMBER(IF98),IF98*(1+PortfolioFrontier[[#This Row],[P60 Return]]),1+PortfolioFrontier[[#This Row],[P60 Return]])</f>
        <v>1.7808417854943595</v>
      </c>
      <c r="IG99" s="27">
        <f>MAX(IG98,PortfolioFrontier[[#This Row],[P60 Growth]])</f>
        <v>1.8318624474376162</v>
      </c>
      <c r="IH99" s="27">
        <f>PortfolioFrontier[[#This Row],[P60 Growth]]/PortfolioFrontier[[#This Row],[P60 HWM]]-1</f>
        <v>-2.7851797505114906E-2</v>
      </c>
      <c r="II99" s="28">
        <f>SUMPRODUCT(INDEX(PortfolioRef[[SPY]:[PE]],MATCH(II$1,PortfolioRef[Reference '#]),0),AssetMonthlyReturns[[#This Row],[SPY]:[PE]])</f>
        <v>-2.5159735259752493E-2</v>
      </c>
      <c r="IJ99" s="27">
        <f>IF(ISNUMBER(IJ98),IJ98*(1+PortfolioFrontier[[#This Row],[P61 Return]]),1+PortfolioFrontier[[#This Row],[P61 Return]])</f>
        <v>1.6047590110965648</v>
      </c>
      <c r="IK99" s="27">
        <f>MAX(IK98,PortfolioFrontier[[#This Row],[P61 Growth]])</f>
        <v>1.6461763728277712</v>
      </c>
      <c r="IL99" s="27">
        <f>PortfolioFrontier[[#This Row],[P61 Growth]]/PortfolioFrontier[[#This Row],[P61 HWM]]-1</f>
        <v>-2.5159735259752458E-2</v>
      </c>
      <c r="IM99" s="28">
        <f>SUMPRODUCT(INDEX(PortfolioRef[[SPY]:[PE]],MATCH(IM$1,PortfolioRef[Reference '#]),0),AssetMonthlyReturns[[#This Row],[SPY]:[PE]])</f>
        <v>-2.2424748286402826E-2</v>
      </c>
      <c r="IN99" s="27">
        <f>IF(ISNUMBER(IN98),IN98*(1+PortfolioFrontier[[#This Row],[P62 Return]]),1+PortfolioFrontier[[#This Row],[P62 Return]])</f>
        <v>1.6481857118330592</v>
      </c>
      <c r="IO99" s="27">
        <f>MAX(IO98,PortfolioFrontier[[#This Row],[P62 Growth]])</f>
        <v>1.6859936960801178</v>
      </c>
      <c r="IP99" s="27">
        <f>PortfolioFrontier[[#This Row],[P62 Growth]]/PortfolioFrontier[[#This Row],[P62 HWM]]-1</f>
        <v>-2.242474828640284E-2</v>
      </c>
      <c r="IQ99" s="28">
        <f>SUMPRODUCT(INDEX(PortfolioRef[[SPY]:[PE]],MATCH(IQ$1,PortfolioRef[Reference '#]),0),AssetMonthlyReturns[[#This Row],[SPY]:[PE]])</f>
        <v>-2.7498129523894375E-2</v>
      </c>
      <c r="IR99" s="27">
        <f>IF(ISNUMBER(IR98),IR98*(1+PortfolioFrontier[[#This Row],[P63 Return]]),1+PortfolioFrontier[[#This Row],[P63 Return]])</f>
        <v>1.6275121039680398</v>
      </c>
      <c r="IS99" s="27">
        <f>MAX(IS98,PortfolioFrontier[[#This Row],[P63 Growth]])</f>
        <v>1.6735310783220008</v>
      </c>
      <c r="IT99" s="27">
        <f>PortfolioFrontier[[#This Row],[P63 Growth]]/PortfolioFrontier[[#This Row],[P63 HWM]]-1</f>
        <v>-2.7498129523894299E-2</v>
      </c>
      <c r="IU99" s="28">
        <f>SUMPRODUCT(INDEX(PortfolioRef[[SPY]:[PE]],MATCH(IU$1,PortfolioRef[Reference '#]),0),AssetMonthlyReturns[[#This Row],[SPY]:[PE]])</f>
        <v>-2.3854084059857276E-2</v>
      </c>
      <c r="IV99" s="27">
        <f>IF(ISNUMBER(IV98),IV98*(1+PortfolioFrontier[[#This Row],[P64 Return]]),1+PortfolioFrontier[[#This Row],[P64 Return]])</f>
        <v>1.62689514697912</v>
      </c>
      <c r="IW99" s="27">
        <f>MAX(IW98,PortfolioFrontier[[#This Row],[P64 Growth]])</f>
        <v>1.6666515942058002</v>
      </c>
      <c r="IX99" s="27">
        <f>PortfolioFrontier[[#This Row],[P64 Growth]]/PortfolioFrontier[[#This Row],[P64 HWM]]-1</f>
        <v>-2.3854084059857228E-2</v>
      </c>
      <c r="IY99" s="28">
        <f>SUMPRODUCT(INDEX(PortfolioRef[[SPY]:[PE]],MATCH(IY$1,PortfolioRef[Reference '#]),0),AssetMonthlyReturns[[#This Row],[SPY]:[PE]])</f>
        <v>-1.9689761313053156E-2</v>
      </c>
      <c r="IZ99" s="27">
        <f>IF(ISNUMBER(IZ98),IZ98*(1+PortfolioFrontier[[#This Row],[P65 Return]]),1+PortfolioFrontier[[#This Row],[P65 Return]])</f>
        <v>1.6922861163761556</v>
      </c>
      <c r="JA99" s="27">
        <f>MAX(JA98,PortfolioFrontier[[#This Row],[P65 Growth]])</f>
        <v>1.7262760803588544</v>
      </c>
      <c r="JB99" s="27">
        <f>PortfolioFrontier[[#This Row],[P65 Growth]]/PortfolioFrontier[[#This Row],[P65 HWM]]-1</f>
        <v>-1.9689761313053111E-2</v>
      </c>
      <c r="JC99" s="28">
        <f>SUMPRODUCT(INDEX(PortfolioRef[[SPY]:[PE]],MATCH(JC$1,PortfolioRef[Reference '#]),0),AssetMonthlyReturns[[#This Row],[SPY]:[PE]])</f>
        <v>-2.4763142550544709E-2</v>
      </c>
      <c r="JD99" s="27">
        <f>IF(ISNUMBER(JD98),JD98*(1+PortfolioFrontier[[#This Row],[P66 Return]]),1+PortfolioFrontier[[#This Row],[P66 Return]])</f>
        <v>1.6715377442045063</v>
      </c>
      <c r="JE99" s="27">
        <f>MAX(JE98,PortfolioFrontier[[#This Row],[P66 Growth]])</f>
        <v>1.7139813076549344</v>
      </c>
      <c r="JF99" s="27">
        <f>PortfolioFrontier[[#This Row],[P66 Growth]]/PortfolioFrontier[[#This Row],[P66 HWM]]-1</f>
        <v>-2.4763142550544681E-2</v>
      </c>
      <c r="JG99" s="28">
        <f>SUMPRODUCT(INDEX(PortfolioRef[[SPY]:[PE]],MATCH(JG$1,PortfolioRef[Reference '#]),0),AssetMonthlyReturns[[#This Row],[SPY]:[PE]])</f>
        <v>-2.111909708650761E-2</v>
      </c>
      <c r="JH99" s="27">
        <f>IF(ISNUMBER(JH98),JH98*(1+PortfolioFrontier[[#This Row],[P67 Return]]),1+PortfolioFrontier[[#This Row],[P67 Return]])</f>
        <v>1.6709105927649635</v>
      </c>
      <c r="JI99" s="27">
        <f>MAX(JI98,PortfolioFrontier[[#This Row],[P67 Growth]])</f>
        <v>1.7069600477358873</v>
      </c>
      <c r="JJ99" s="27">
        <f>PortfolioFrontier[[#This Row],[P67 Growth]]/PortfolioFrontier[[#This Row],[P67 HWM]]-1</f>
        <v>-2.111909708650761E-2</v>
      </c>
      <c r="JK99" s="28">
        <f>SUMPRODUCT(INDEX(PortfolioRef[[SPY]:[PE]],MATCH(JK$1,PortfolioRef[Reference '#]),0),AssetMonthlyReturns[[#This Row],[SPY]:[PE]])</f>
        <v>-2.9836523788036265E-2</v>
      </c>
      <c r="JL99" s="27">
        <f>IF(ISNUMBER(JL98),JL98*(1+PortfolioFrontier[[#This Row],[P68 Return]]),1+PortfolioFrontier[[#This Row],[P68 Return]])</f>
        <v>1.6496706731006177</v>
      </c>
      <c r="JM99" s="27">
        <f>MAX(JM98,PortfolioFrontier[[#This Row],[P68 Growth]])</f>
        <v>1.7004048426372562</v>
      </c>
      <c r="JN99" s="27">
        <f>PortfolioFrontier[[#This Row],[P68 Growth]]/PortfolioFrontier[[#This Row],[P68 HWM]]-1</f>
        <v>-2.9836523788036251E-2</v>
      </c>
      <c r="JO99" s="28">
        <f>SUMPRODUCT(INDEX(PortfolioRef[[SPY]:[PE]],MATCH(JO$1,PortfolioRef[Reference '#]),0),AssetMonthlyReturns[[#This Row],[SPY]:[PE]])</f>
        <v>-2.6192478323999159E-2</v>
      </c>
      <c r="JP99" s="27">
        <f>IF(ISNUMBER(JP98),JP98*(1+PortfolioFrontier[[#This Row],[P69 Return]]),1+PortfolioFrontier[[#This Row],[P69 Return]])</f>
        <v>1.650037563410337</v>
      </c>
      <c r="JQ99" s="27">
        <f>MAX(JQ98,PortfolioFrontier[[#This Row],[P69 Growth]])</f>
        <v>1.6944185854823652</v>
      </c>
      <c r="JR99" s="27">
        <f>PortfolioFrontier[[#This Row],[P69 Growth]]/PortfolioFrontier[[#This Row],[P69 HWM]]-1</f>
        <v>-2.619247832399918E-2</v>
      </c>
      <c r="JS99" s="28">
        <f>SUMPRODUCT(INDEX(PortfolioRef[[SPY]:[PE]],MATCH(JS$1,PortfolioRef[Reference '#]),0),AssetMonthlyReturns[[#This Row],[SPY]:[PE]])</f>
        <v>-2.2548432859962064E-2</v>
      </c>
      <c r="JT99" s="27">
        <f>IF(ISNUMBER(JT98),JT98*(1+PortfolioFrontier[[#This Row],[P70 Return]]),1+PortfolioFrontier[[#This Row],[P70 Return]])</f>
        <v>1.6491217100740569</v>
      </c>
      <c r="JU99" s="27">
        <f>MAX(JU98,PortfolioFrontier[[#This Row],[P70 Growth]])</f>
        <v>1.6871646284217272</v>
      </c>
      <c r="JV99" s="27">
        <f>PortfolioFrontier[[#This Row],[P70 Growth]]/PortfolioFrontier[[#This Row],[P70 HWM]]-1</f>
        <v>-2.2548432859962109E-2</v>
      </c>
      <c r="JW99" s="28">
        <f>SUMPRODUCT(INDEX(PortfolioRef[[SPY]:[PE]],MATCH(JW$1,PortfolioRef[Reference '#]),0),AssetMonthlyReturns[[#This Row],[SPY]:[PE]])</f>
        <v>-2.2028155577195042E-2</v>
      </c>
      <c r="JX99" s="27">
        <f>IF(ISNUMBER(JX98),JX98*(1+PortfolioFrontier[[#This Row],[P71 Return]]),1+PortfolioFrontier[[#This Row],[P71 Return]])</f>
        <v>1.7162462249461639</v>
      </c>
      <c r="JY99" s="27">
        <f>MAX(JY98,PortfolioFrontier[[#This Row],[P71 Growth]])</f>
        <v>1.7549035125434367</v>
      </c>
      <c r="JZ99" s="27">
        <f>PortfolioFrontier[[#This Row],[P71 Growth]]/PortfolioFrontier[[#This Row],[P71 HWM]]-1</f>
        <v>-2.2028155577195063E-2</v>
      </c>
      <c r="KA99" s="28">
        <f>SUMPRODUCT(INDEX(PortfolioRef[[SPY]:[PE]],MATCH(KA$1,PortfolioRef[Reference '#]),0),AssetMonthlyReturns[[#This Row],[SPY]:[PE]])</f>
        <v>-1.838411011315794E-2</v>
      </c>
      <c r="KB99" s="27">
        <f>IF(ISNUMBER(KB98),KB98*(1+PortfolioFrontier[[#This Row],[P72 Return]]),1+PortfolioFrontier[[#This Row],[P72 Return]])</f>
        <v>1.7156088257741793</v>
      </c>
      <c r="KC99" s="27">
        <f>MAX(KC98,PortfolioFrontier[[#This Row],[P72 Growth]])</f>
        <v>1.7477394604644694</v>
      </c>
      <c r="KD99" s="27">
        <f>PortfolioFrontier[[#This Row],[P72 Growth]]/PortfolioFrontier[[#This Row],[P72 HWM]]-1</f>
        <v>-1.8384110113157992E-2</v>
      </c>
      <c r="KE99" s="28">
        <f>SUMPRODUCT(INDEX(PortfolioRef[[SPY]:[PE]],MATCH(KE$1,PortfolioRef[Reference '#]),0),AssetMonthlyReturns[[#This Row],[SPY]:[PE]])</f>
        <v>-2.7101536814686598E-2</v>
      </c>
      <c r="KF99" s="27">
        <f>IF(ISNUMBER(KF98),KF98*(1+PortfolioFrontier[[#This Row],[P73 Return]]),1+PortfolioFrontier[[#This Row],[P73 Return]])</f>
        <v>1.6942792160391935</v>
      </c>
      <c r="KG99" s="27">
        <f>MAX(KG98,PortfolioFrontier[[#This Row],[P73 Growth]])</f>
        <v>1.7414758889556132</v>
      </c>
      <c r="KH99" s="27">
        <f>PortfolioFrontier[[#This Row],[P73 Growth]]/PortfolioFrontier[[#This Row],[P73 HWM]]-1</f>
        <v>-2.7101536814686633E-2</v>
      </c>
      <c r="KI99" s="28">
        <f>SUMPRODUCT(INDEX(PortfolioRef[[SPY]:[PE]],MATCH(KI$1,PortfolioRef[Reference '#]),0),AssetMonthlyReturns[[#This Row],[SPY]:[PE]])</f>
        <v>-2.3457491350649493E-2</v>
      </c>
      <c r="KJ99" s="27">
        <f>IF(ISNUMBER(KJ98),KJ98*(1+PortfolioFrontier[[#This Row],[P74 Return]]),1+PortfolioFrontier[[#This Row],[P74 Return]])</f>
        <v>1.6946620714525726</v>
      </c>
      <c r="KK99" s="27">
        <f>MAX(KK98,PortfolioFrontier[[#This Row],[P74 Growth]])</f>
        <v>1.7353694861644564</v>
      </c>
      <c r="KL99" s="27">
        <f>PortfolioFrontier[[#This Row],[P74 Growth]]/PortfolioFrontier[[#This Row],[P74 HWM]]-1</f>
        <v>-2.3457491350649451E-2</v>
      </c>
      <c r="KM99" s="28">
        <f>SUMPRODUCT(INDEX(PortfolioRef[[SPY]:[PE]],MATCH(KM$1,PortfolioRef[Reference '#]),0),AssetMonthlyReturns[[#This Row],[SPY]:[PE]])</f>
        <v>-1.9813445886612397E-2</v>
      </c>
      <c r="KN99" s="27">
        <f>IF(ISNUMBER(KN98),KN98*(1+PortfolioFrontier[[#This Row],[P75 Return]]),1+PortfolioFrontier[[#This Row],[P75 Return]])</f>
        <v>1.6937282131550786</v>
      </c>
      <c r="KO99" s="27">
        <f>MAX(KO98,PortfolioFrontier[[#This Row],[P75 Growth]])</f>
        <v>1.7279651572930561</v>
      </c>
      <c r="KP99" s="27">
        <f>PortfolioFrontier[[#This Row],[P75 Growth]]/PortfolioFrontier[[#This Row],[P75 HWM]]-1</f>
        <v>-1.9813445886612269E-2</v>
      </c>
      <c r="KQ99" s="28">
        <f>SUMPRODUCT(INDEX(PortfolioRef[[SPY]:[PE]],MATCH(KQ$1,PortfolioRef[Reference '#]),0),AssetMonthlyReturns[[#This Row],[SPY]:[PE]])</f>
        <v>-3.2174918052178147E-2</v>
      </c>
      <c r="KR99" s="27">
        <f>IF(ISNUMBER(KR98),KR98*(1+PortfolioFrontier[[#This Row],[P76 Return]]),1+PortfolioFrontier[[#This Row],[P76 Return]])</f>
        <v>1.6711984859257236</v>
      </c>
      <c r="KS99" s="27">
        <f>MAX(KS98,PortfolioFrontier[[#This Row],[P76 Growth]])</f>
        <v>1.7267567426154209</v>
      </c>
      <c r="KT99" s="27">
        <f>PortfolioFrontier[[#This Row],[P76 Growth]]/PortfolioFrontier[[#This Row],[P76 HWM]]-1</f>
        <v>-3.2174918052178203E-2</v>
      </c>
      <c r="KU99" s="28">
        <f>SUMPRODUCT(INDEX(PortfolioRef[[SPY]:[PE]],MATCH(KU$1,PortfolioRef[Reference '#]),0),AssetMonthlyReturns[[#This Row],[SPY]:[PE]])</f>
        <v>-2.8530872588141049E-2</v>
      </c>
      <c r="KV99" s="27">
        <f>IF(ISNUMBER(KV98),KV98*(1+PortfolioFrontier[[#This Row],[P77 Return]]),1+PortfolioFrontier[[#This Row],[P77 Return]])</f>
        <v>1.6725795263830123</v>
      </c>
      <c r="KW99" s="27">
        <f>MAX(KW98,PortfolioFrontier[[#This Row],[P77 Growth]])</f>
        <v>1.7217011628964656</v>
      </c>
      <c r="KX99" s="27">
        <f>PortfolioFrontier[[#This Row],[P77 Growth]]/PortfolioFrontier[[#This Row],[P77 HWM]]-1</f>
        <v>-2.8530872588141021E-2</v>
      </c>
      <c r="KY99" s="28">
        <f>SUMPRODUCT(INDEX(PortfolioRef[[SPY]:[PE]],MATCH(KY$1,PortfolioRef[Reference '#]),0),AssetMonthlyReturns[[#This Row],[SPY]:[PE]])</f>
        <v>-2.4886827124103946E-2</v>
      </c>
      <c r="KZ99" s="27">
        <f>IF(ISNUMBER(KZ98),KZ98*(1+PortfolioFrontier[[#This Row],[P78 Return]]),1+PortfolioFrontier[[#This Row],[P78 Return]])</f>
        <v>1.6726568210800716</v>
      </c>
      <c r="LA99" s="27">
        <f>MAX(LA98,PortfolioFrontier[[#This Row],[P78 Growth]])</f>
        <v>1.715346349128803</v>
      </c>
      <c r="LB99" s="27">
        <f>PortfolioFrontier[[#This Row],[P78 Growth]]/PortfolioFrontier[[#This Row],[P78 HWM]]-1</f>
        <v>-2.488682712410395E-2</v>
      </c>
      <c r="LC99" s="28">
        <f>SUMPRODUCT(INDEX(PortfolioRef[[SPY]:[PE]],MATCH(LC$1,PortfolioRef[Reference '#]),0),AssetMonthlyReturns[[#This Row],[SPY]:[PE]])</f>
        <v>-2.4366549841336925E-2</v>
      </c>
      <c r="LD99" s="27">
        <f>IF(ISNUMBER(LD98),LD98*(1+PortfolioFrontier[[#This Row],[P79 Return]]),1+PortfolioFrontier[[#This Row],[P79 Return]])</f>
        <v>1.7395794912912845</v>
      </c>
      <c r="LE99" s="27">
        <f>MAX(LE98,PortfolioFrontier[[#This Row],[P79 Growth]])</f>
        <v>1.7830256752762876</v>
      </c>
      <c r="LF99" s="27">
        <f>PortfolioFrontier[[#This Row],[P79 Growth]]/PortfolioFrontier[[#This Row],[P79 HWM]]-1</f>
        <v>-2.4366549841336904E-2</v>
      </c>
      <c r="LG99" s="28">
        <f>SUMPRODUCT(INDEX(PortfolioRef[[SPY]:[PE]],MATCH(LG$1,PortfolioRef[Reference '#]),0),AssetMonthlyReturns[[#This Row],[SPY]:[PE]])</f>
        <v>-2.0722504377299826E-2</v>
      </c>
      <c r="LH99" s="27">
        <f>IF(ISNUMBER(LH98),LH98*(1+PortfolioFrontier[[#This Row],[P80 Return]]),1+PortfolioFrontier[[#This Row],[P80 Return]])</f>
        <v>1.7399786573440625</v>
      </c>
      <c r="LI99" s="27">
        <f>MAX(LI98,PortfolioFrontier[[#This Row],[P80 Growth]])</f>
        <v>1.7767983693300844</v>
      </c>
      <c r="LJ99" s="27">
        <f>PortfolioFrontier[[#This Row],[P80 Growth]]/PortfolioFrontier[[#This Row],[P80 HWM]]-1</f>
        <v>-2.0722504377299833E-2</v>
      </c>
      <c r="LK99" s="28">
        <f>SUMPRODUCT(INDEX(PortfolioRef[[SPY]:[PE]],MATCH(LK$1,PortfolioRef[Reference '#]),0),AssetMonthlyReturns[[#This Row],[SPY]:[PE]])</f>
        <v>-1.7078458913262727E-2</v>
      </c>
      <c r="LL99" s="27">
        <f>IF(ISNUMBER(LL98),LL98*(1+PortfolioFrontier[[#This Row],[P81 Return]]),1+PortfolioFrontier[[#This Row],[P81 Return]])</f>
        <v>1.7390266233095708</v>
      </c>
      <c r="LM99" s="27">
        <f>MAX(LM98,PortfolioFrontier[[#This Row],[P81 Growth]])</f>
        <v>1.7692425596725341</v>
      </c>
      <c r="LN99" s="27">
        <f>PortfolioFrontier[[#This Row],[P81 Growth]]/PortfolioFrontier[[#This Row],[P81 HWM]]-1</f>
        <v>-1.7078458913262762E-2</v>
      </c>
      <c r="LO99" s="28">
        <f>SUMPRODUCT(INDEX(PortfolioRef[[SPY]:[PE]],MATCH(LO$1,PortfolioRef[Reference '#]),0),AssetMonthlyReturns[[#This Row],[SPY]:[PE]])</f>
        <v>-2.9439931078828481E-2</v>
      </c>
      <c r="LP99" s="27">
        <f>IF(ISNUMBER(LP98),LP98*(1+PortfolioFrontier[[#This Row],[P82 Return]]),1+PortfolioFrontier[[#This Row],[P82 Return]])</f>
        <v>1.7163729544747597</v>
      </c>
      <c r="LQ99" s="27">
        <f>MAX(LQ98,PortfolioFrontier[[#This Row],[P82 Growth]])</f>
        <v>1.7684355759480177</v>
      </c>
      <c r="LR99" s="27">
        <f>PortfolioFrontier[[#This Row],[P82 Growth]]/PortfolioFrontier[[#This Row],[P82 HWM]]-1</f>
        <v>-2.9439931078828474E-2</v>
      </c>
      <c r="LS99" s="28">
        <f>SUMPRODUCT(INDEX(PortfolioRef[[SPY]:[PE]],MATCH(LS$1,PortfolioRef[Reference '#]),0),AssetMonthlyReturns[[#This Row],[SPY]:[PE]])</f>
        <v>-2.5795885614791382E-2</v>
      </c>
      <c r="LT99" s="27">
        <f>IF(ISNUMBER(LT98),LT98*(1+PortfolioFrontier[[#This Row],[P83 Return]]),1+PortfolioFrontier[[#This Row],[P83 Return]])</f>
        <v>1.7177969016134726</v>
      </c>
      <c r="LU99" s="27">
        <f>MAX(LU98,PortfolioFrontier[[#This Row],[P83 Growth]])</f>
        <v>1.763282330928692</v>
      </c>
      <c r="LV99" s="27">
        <f>PortfolioFrontier[[#This Row],[P83 Growth]]/PortfolioFrontier[[#This Row],[P83 HWM]]-1</f>
        <v>-2.5795885614791403E-2</v>
      </c>
      <c r="LW99" s="28">
        <f>SUMPRODUCT(INDEX(PortfolioRef[[SPY]:[PE]],MATCH(LW$1,PortfolioRef[Reference '#]),0),AssetMonthlyReturns[[#This Row],[SPY]:[PE]])</f>
        <v>-2.215184015075428E-2</v>
      </c>
      <c r="LX99" s="27">
        <f>IF(ISNUMBER(LX98),LX98*(1+PortfolioFrontier[[#This Row],[P84 Return]]),1+PortfolioFrontier[[#This Row],[P84 Return]])</f>
        <v>1.7178825957354737</v>
      </c>
      <c r="LY99" s="27">
        <f>MAX(LY98,PortfolioFrontier[[#This Row],[P84 Growth]])</f>
        <v>1.7567989246922742</v>
      </c>
      <c r="LZ99" s="27">
        <f>PortfolioFrontier[[#This Row],[P84 Growth]]/PortfolioFrontier[[#This Row],[P84 HWM]]-1</f>
        <v>-2.2151840150754332E-2</v>
      </c>
      <c r="MA99" s="28">
        <f>SUMPRODUCT(INDEX(PortfolioRef[[SPY]:[PE]],MATCH(MA$1,PortfolioRef[Reference '#]),0),AssetMonthlyReturns[[#This Row],[SPY]:[PE]])</f>
        <v>-3.4513312316320037E-2</v>
      </c>
      <c r="MB99" s="27">
        <f>IF(ISNUMBER(MB98),MB98*(1+PortfolioFrontier[[#This Row],[P85 Return]]),1+PortfolioFrontier[[#This Row],[P85 Return]])</f>
        <v>1.6920595649956098</v>
      </c>
      <c r="MC99" s="27">
        <f>MAX(MC98,PortfolioFrontier[[#This Row],[P85 Growth]])</f>
        <v>1.7525457228779266</v>
      </c>
      <c r="MD99" s="27">
        <f>PortfolioFrontier[[#This Row],[P85 Growth]]/PortfolioFrontier[[#This Row],[P85 HWM]]-1</f>
        <v>-3.4513312316320044E-2</v>
      </c>
      <c r="ME99" s="28">
        <f>SUMPRODUCT(INDEX(PortfolioRef[[SPY]:[PE]],MATCH(ME$1,PortfolioRef[Reference '#]),0),AssetMonthlyReturns[[#This Row],[SPY]:[PE]])</f>
        <v>-3.0869266852282931E-2</v>
      </c>
      <c r="MF99" s="27">
        <f>IF(ISNUMBER(MF98),MF98*(1+PortfolioFrontier[[#This Row],[P86 Return]]),1+PortfolioFrontier[[#This Row],[P86 Return]])</f>
        <v>1.6944842379127698</v>
      </c>
      <c r="MG99" s="27">
        <f>MAX(MG98,PortfolioFrontier[[#This Row],[P86 Growth]])</f>
        <v>1.7484578498600691</v>
      </c>
      <c r="MH99" s="27">
        <f>PortfolioFrontier[[#This Row],[P86 Growth]]/PortfolioFrontier[[#This Row],[P86 HWM]]-1</f>
        <v>-3.0869266852282973E-2</v>
      </c>
      <c r="MI99" s="28">
        <f>SUMPRODUCT(INDEX(PortfolioRef[[SPY]:[PE]],MATCH(MI$1,PortfolioRef[Reference '#]),0),AssetMonthlyReturns[[#This Row],[SPY]:[PE]])</f>
        <v>-2.7225221388245836E-2</v>
      </c>
      <c r="MJ99" s="27">
        <f>IF(ISNUMBER(MJ98),MJ98*(1+PortfolioFrontier[[#This Row],[P87 Return]]),1+PortfolioFrontier[[#This Row],[P87 Return]])</f>
        <v>1.6955855755513041</v>
      </c>
      <c r="MK99" s="27">
        <f>MAX(MK98,PortfolioFrontier[[#This Row],[P87 Growth]])</f>
        <v>1.7430402317492979</v>
      </c>
      <c r="ML99" s="27">
        <f>PortfolioFrontier[[#This Row],[P87 Growth]]/PortfolioFrontier[[#This Row],[P87 HWM]]-1</f>
        <v>-2.7225221388245791E-2</v>
      </c>
      <c r="MM99" s="28">
        <f>SUMPRODUCT(INDEX(PortfolioRef[[SPY]:[PE]],MATCH(MM$1,PortfolioRef[Reference '#]),0),AssetMonthlyReturns[[#This Row],[SPY]:[PE]])</f>
        <v>-2.6704944105478811E-2</v>
      </c>
      <c r="MN99" s="27">
        <f>IF(ISNUMBER(MN98),MN98*(1+PortfolioFrontier[[#This Row],[P88 Return]]),1+PortfolioFrontier[[#This Row],[P88 Return]])</f>
        <v>1.7622477882202374</v>
      </c>
      <c r="MO99" s="27">
        <f>MAX(MO98,PortfolioFrontier[[#This Row],[P88 Growth]])</f>
        <v>1.8105997534330611</v>
      </c>
      <c r="MP99" s="27">
        <f>PortfolioFrontier[[#This Row],[P88 Growth]]/PortfolioFrontier[[#This Row],[P88 HWM]]-1</f>
        <v>-2.6704944105478856E-2</v>
      </c>
      <c r="MQ99" s="28">
        <f>SUMPRODUCT(INDEX(PortfolioRef[[SPY]:[PE]],MATCH(MQ$1,PortfolioRef[Reference '#]),0),AssetMonthlyReturns[[#This Row],[SPY]:[PE]])</f>
        <v>-2.3060898641441709E-2</v>
      </c>
      <c r="MR99" s="27">
        <f>IF(ISNUMBER(MR98),MR98*(1+PortfolioFrontier[[#This Row],[P89 Return]]),1+PortfolioFrontier[[#This Row],[P89 Return]])</f>
        <v>1.7637153980202864</v>
      </c>
      <c r="MS99" s="27">
        <f>MAX(MS98,PortfolioFrontier[[#This Row],[P89 Growth]])</f>
        <v>1.8053483534107861</v>
      </c>
      <c r="MT99" s="27">
        <f>PortfolioFrontier[[#This Row],[P89 Growth]]/PortfolioFrontier[[#This Row],[P89 HWM]]-1</f>
        <v>-2.3060898641441674E-2</v>
      </c>
      <c r="MU99" s="28">
        <f>SUMPRODUCT(INDEX(PortfolioRef[[SPY]:[PE]],MATCH(MU$1,PortfolioRef[Reference '#]),0),AssetMonthlyReturns[[#This Row],[SPY]:[PE]])</f>
        <v>-1.9416853177404613E-2</v>
      </c>
      <c r="MV99" s="27">
        <f>IF(ISNUMBER(MV98),MV98*(1+PortfolioFrontier[[#This Row],[P90 Return]]),1+PortfolioFrontier[[#This Row],[P90 Return]])</f>
        <v>1.7638097233516932</v>
      </c>
      <c r="MW99" s="27">
        <f>MAX(MW98,PortfolioFrontier[[#This Row],[P90 Growth]])</f>
        <v>1.7987355065880988</v>
      </c>
      <c r="MX99" s="27">
        <f>PortfolioFrontier[[#This Row],[P90 Growth]]/PortfolioFrontier[[#This Row],[P90 HWM]]-1</f>
        <v>-1.9416853177404603E-2</v>
      </c>
      <c r="MY99" s="28">
        <f>SUMPRODUCT(INDEX(PortfolioRef[[SPY]:[PE]],MATCH(MY$1,PortfolioRef[Reference '#]),0),AssetMonthlyReturns[[#This Row],[SPY]:[PE]])</f>
        <v>-3.1778325342970364E-2</v>
      </c>
      <c r="MZ99" s="27">
        <f>IF(ISNUMBER(MZ98),MZ98*(1+PortfolioFrontier[[#This Row],[P91 Return]]),1+PortfolioFrontier[[#This Row],[P91 Return]])</f>
        <v>1.7377820491972717</v>
      </c>
      <c r="NA99" s="27">
        <f>MAX(NA98,PortfolioFrontier[[#This Row],[P91 Growth]])</f>
        <v>1.794818371333033</v>
      </c>
      <c r="NB99" s="27">
        <f>PortfolioFrontier[[#This Row],[P91 Growth]]/PortfolioFrontier[[#This Row],[P91 HWM]]-1</f>
        <v>-3.1778325342970315E-2</v>
      </c>
      <c r="NC99" s="28">
        <f>SUMPRODUCT(INDEX(PortfolioRef[[SPY]:[PE]],MATCH(NC$1,PortfolioRef[Reference '#]),0),AssetMonthlyReturns[[#This Row],[SPY]:[PE]])</f>
        <v>-2.8134279878933265E-2</v>
      </c>
      <c r="ND99" s="27">
        <f>IF(ISNUMBER(ND98),ND98*(1+PortfolioFrontier[[#This Row],[P92 Return]]),1+PortfolioFrontier[[#This Row],[P92 Return]])</f>
        <v>1.7402773305062464</v>
      </c>
      <c r="NE99" s="27">
        <f>MAX(NE98,PortfolioFrontier[[#This Row],[P92 Growth]])</f>
        <v>1.7906561518493085</v>
      </c>
      <c r="NF99" s="27">
        <f>PortfolioFrontier[[#This Row],[P92 Growth]]/PortfolioFrontier[[#This Row],[P92 HWM]]-1</f>
        <v>-2.8134279878933244E-2</v>
      </c>
      <c r="NG99" s="28">
        <f>SUMPRODUCT(INDEX(PortfolioRef[[SPY]:[PE]],MATCH(NG$1,PortfolioRef[Reference '#]),0),AssetMonthlyReturns[[#This Row],[SPY]:[PE]])</f>
        <v>-2.4490234414896169E-2</v>
      </c>
      <c r="NH99" s="27">
        <f>IF(ISNUMBER(NH98),NH98*(1+PortfolioFrontier[[#This Row],[P93 Return]]),1+PortfolioFrontier[[#This Row],[P93 Return]])</f>
        <v>1.741414269138019</v>
      </c>
      <c r="NI99" s="27">
        <f>MAX(NI98,PortfolioFrontier[[#This Row],[P93 Growth]])</f>
        <v>1.7851325845964556</v>
      </c>
      <c r="NJ99" s="27">
        <f>PortfolioFrontier[[#This Row],[P93 Growth]]/PortfolioFrontier[[#This Row],[P93 HWM]]-1</f>
        <v>-2.4490234414896173E-2</v>
      </c>
      <c r="NK99" s="28">
        <f>SUMPRODUCT(INDEX(PortfolioRef[[SPY]:[PE]],MATCH(NK$1,PortfolioRef[Reference '#]),0),AssetMonthlyReturns[[#This Row],[SPY]:[PE]])</f>
        <v>-3.685170658046192E-2</v>
      </c>
      <c r="NL99" s="27">
        <f>IF(ISNUMBER(NL98),NL98*(1+PortfolioFrontier[[#This Row],[P94 Return]]),1+PortfolioFrontier[[#This Row],[P94 Return]])</f>
        <v>1.7122182650646576</v>
      </c>
      <c r="NM99" s="27">
        <f>MAX(NM98,PortfolioFrontier[[#This Row],[P94 Growth]])</f>
        <v>1.7868313973018393</v>
      </c>
      <c r="NN99" s="27">
        <f>PortfolioFrontier[[#This Row],[P94 Growth]]/PortfolioFrontier[[#This Row],[P94 HWM]]-1</f>
        <v>-4.1757231460029964E-2</v>
      </c>
      <c r="NO99" s="28">
        <f>SUMPRODUCT(INDEX(PortfolioRef[[SPY]:[PE]],MATCH(NO$1,PortfolioRef[Reference '#]),0),AssetMonthlyReturns[[#This Row],[SPY]:[PE]])</f>
        <v>-3.3207661116424821E-2</v>
      </c>
      <c r="NP99" s="27">
        <f>IF(ISNUMBER(NP98),NP98*(1+PortfolioFrontier[[#This Row],[P95 Return]]),1+PortfolioFrontier[[#This Row],[P95 Return]])</f>
        <v>1.7157151525679883</v>
      </c>
      <c r="NQ99" s="27">
        <f>MAX(NQ98,PortfolioFrontier[[#This Row],[P95 Growth]])</f>
        <v>1.7746470297326191</v>
      </c>
      <c r="NR99" s="27">
        <f>PortfolioFrontier[[#This Row],[P95 Growth]]/PortfolioFrontier[[#This Row],[P95 HWM]]-1</f>
        <v>-3.3207661116424814E-2</v>
      </c>
      <c r="NS99" s="28">
        <f>SUMPRODUCT(INDEX(PortfolioRef[[SPY]:[PE]],MATCH(NS$1,PortfolioRef[Reference '#]),0),AssetMonthlyReturns[[#This Row],[SPY]:[PE]])</f>
        <v>-2.9563615652387718E-2</v>
      </c>
      <c r="NT99" s="27">
        <f>IF(ISNUMBER(NT98),NT98*(1+PortfolioFrontier[[#This Row],[P96 Return]]),1+PortfolioFrontier[[#This Row],[P96 Return]])</f>
        <v>1.7178706061015603</v>
      </c>
      <c r="NU99" s="27">
        <f>MAX(NU98,PortfolioFrontier[[#This Row],[P96 Growth]])</f>
        <v>1.7702042439973227</v>
      </c>
      <c r="NV99" s="27">
        <f>PortfolioFrontier[[#This Row],[P96 Growth]]/PortfolioFrontier[[#This Row],[P96 HWM]]-1</f>
        <v>-2.9563615652387742E-2</v>
      </c>
      <c r="NW99" s="28">
        <f>SUMPRODUCT(INDEX(PortfolioRef[[SPY]:[PE]],MATCH(NW$1,PortfolioRef[Reference '#]),0),AssetMonthlyReturns[[#This Row],[SPY]:[PE]])</f>
        <v>-2.453315914288345E-2</v>
      </c>
      <c r="NX99" s="27">
        <f>IF(ISNUMBER(NX98),NX98*(1+PortfolioFrontier[[#This Row],[P97 Return]]),1+PortfolioFrontier[[#This Row],[P97 Return]])</f>
        <v>1.5259904497751955</v>
      </c>
      <c r="NY99" s="27">
        <f>MAX(NY98,PortfolioFrontier[[#This Row],[P97 Growth]])</f>
        <v>1.5643693725502228</v>
      </c>
      <c r="NZ99" s="27">
        <f>PortfolioFrontier[[#This Row],[P97 Growth]]/PortfolioFrontier[[#This Row],[P97 HWM]]-1</f>
        <v>-2.4533159142883454E-2</v>
      </c>
      <c r="OA99" s="28">
        <f>SUMPRODUCT(INDEX(PortfolioRef[[SPY]:[PE]],MATCH(OA$1,PortfolioRef[Reference '#]),0),AssetMonthlyReturns[[#This Row],[SPY]:[PE]])</f>
        <v>-2.1798172169533784E-2</v>
      </c>
      <c r="OB99" s="27">
        <f>IF(ISNUMBER(OB98),OB98*(1+PortfolioFrontier[[#This Row],[P98 Return]]),1+PortfolioFrontier[[#This Row],[P98 Return]])</f>
        <v>1.5672982789047829</v>
      </c>
      <c r="OC99" s="27">
        <f>MAX(OC98,PortfolioFrontier[[#This Row],[P98 Growth]])</f>
        <v>1.602223829800913</v>
      </c>
      <c r="OD99" s="27">
        <f>PortfolioFrontier[[#This Row],[P98 Growth]]/PortfolioFrontier[[#This Row],[P98 HWM]]-1</f>
        <v>-2.1798172169533836E-2</v>
      </c>
      <c r="OE99" s="28">
        <f>SUMPRODUCT(INDEX(PortfolioRef[[SPY]:[PE]],MATCH(OE$1,PortfolioRef[Reference '#]),0),AssetMonthlyReturns[[#This Row],[SPY]:[PE]])</f>
        <v>-2.6871553407025336E-2</v>
      </c>
      <c r="OF99" s="27">
        <f>IF(ISNUMBER(OF98),OF98*(1+PortfolioFrontier[[#This Row],[P99 Return]]),1+PortfolioFrontier[[#This Row],[P99 Return]])</f>
        <v>1.5482269390584256</v>
      </c>
      <c r="OG99" s="27">
        <f>MAX(OG98,PortfolioFrontier[[#This Row],[P99 Growth]])</f>
        <v>1.5909790166744495</v>
      </c>
      <c r="OH99" s="27">
        <f>PortfolioFrontier[[#This Row],[P99 Growth]]/PortfolioFrontier[[#This Row],[P99 HWM]]-1</f>
        <v>-2.6871553407025184E-2</v>
      </c>
      <c r="OI99" s="28">
        <f>SUMPRODUCT(INDEX(PortfolioRef[[SPY]:[PE]],MATCH(OI$1,PortfolioRef[Reference '#]),0),AssetMonthlyReturns[[#This Row],[SPY]:[PE]])</f>
        <v>-2.3227507942988234E-2</v>
      </c>
      <c r="OJ99" s="27">
        <f>IF(ISNUMBER(OJ98),OJ98*(1+PortfolioFrontier[[#This Row],[P100 Return]]),1+PortfolioFrontier[[#This Row],[P100 Return]])</f>
        <v>1.5470597267543467</v>
      </c>
      <c r="OK99" s="27">
        <f>MAX(OK98,PortfolioFrontier[[#This Row],[P100 Growth]])</f>
        <v>1.5838485822797399</v>
      </c>
      <c r="OL99" s="27">
        <f>PortfolioFrontier[[#This Row],[P100 Growth]]/PortfolioFrontier[[#This Row],[P100 HWM]]-1</f>
        <v>-2.3227507942988224E-2</v>
      </c>
      <c r="OM99" s="28">
        <f>SUMPRODUCT(INDEX(PortfolioRef[[SPY]:[PE]],MATCH(OM$1,PortfolioRef[Reference '#]),0),AssetMonthlyReturns[[#This Row],[SPY]:[PE]])</f>
        <v>-1.9063185196184114E-2</v>
      </c>
      <c r="ON99" s="27">
        <f>IF(ISNUMBER(ON98),ON98*(1+PortfolioFrontier[[#This Row],[P101 Return]]),1+PortfolioFrontier[[#This Row],[P101 Return]])</f>
        <v>1.60924654945459</v>
      </c>
      <c r="OO99" s="27">
        <f>MAX(OO98,PortfolioFrontier[[#This Row],[P101 Growth]])</f>
        <v>1.6405200877045623</v>
      </c>
      <c r="OP99" s="27">
        <f>PortfolioFrontier[[#This Row],[P101 Growth]]/PortfolioFrontier[[#This Row],[P101 HWM]]-1</f>
        <v>-1.9063185196184107E-2</v>
      </c>
      <c r="OQ99" s="28">
        <f>SUMPRODUCT(INDEX(PortfolioRef[[SPY]:[PE]],MATCH(OQ$1,PortfolioRef[Reference '#]),0),AssetMonthlyReturns[[#This Row],[SPY]:[PE]])</f>
        <v>-2.413656643367567E-2</v>
      </c>
      <c r="OR99" s="27">
        <f>IF(ISNUMBER(OR98),OR98*(1+PortfolioFrontier[[#This Row],[P102 Return]]),1+PortfolioFrontier[[#This Row],[P102 Return]])</f>
        <v>1.5901204460606215</v>
      </c>
      <c r="OS99" s="27">
        <f>MAX(OS98,PortfolioFrontier[[#This Row],[P102 Growth]])</f>
        <v>1.6294497686520286</v>
      </c>
      <c r="OT99" s="27">
        <f>PortfolioFrontier[[#This Row],[P102 Growth]]/PortfolioFrontier[[#This Row],[P102 HWM]]-1</f>
        <v>-2.4136566433675677E-2</v>
      </c>
      <c r="OU99" s="28">
        <f>SUMPRODUCT(INDEX(PortfolioRef[[SPY]:[PE]],MATCH(OU$1,PortfolioRef[Reference '#]),0),AssetMonthlyReturns[[#This Row],[SPY]:[PE]])</f>
        <v>-2.0492520969638568E-2</v>
      </c>
      <c r="OV99" s="27">
        <f>IF(ISNUMBER(OV98),OV98*(1+PortfolioFrontier[[#This Row],[P103 Return]]),1+PortfolioFrontier[[#This Row],[P103 Return]])</f>
        <v>1.5889281561403614</v>
      </c>
      <c r="OW99" s="27">
        <f>MAX(OW98,PortfolioFrontier[[#This Row],[P103 Growth]])</f>
        <v>1.6221705195281211</v>
      </c>
      <c r="OX99" s="27">
        <f>PortfolioFrontier[[#This Row],[P103 Growth]]/PortfolioFrontier[[#This Row],[P103 HWM]]-1</f>
        <v>-2.0492520969638606E-2</v>
      </c>
      <c r="OY99" s="28">
        <f>SUMPRODUCT(INDEX(PortfolioRef[[SPY]:[PE]],MATCH(OY$1,PortfolioRef[Reference '#]),0),AssetMonthlyReturns[[#This Row],[SPY]:[PE]])</f>
        <v>-2.9209947671167219E-2</v>
      </c>
      <c r="OZ99" s="27">
        <f>IF(ISNUMBER(OZ98),OZ98*(1+PortfolioFrontier[[#This Row],[P104 Return]]),1+PortfolioFrontier[[#This Row],[P104 Return]])</f>
        <v>1.5699163181667213</v>
      </c>
      <c r="PA99" s="27">
        <f>MAX(PA98,PortfolioFrontier[[#This Row],[P104 Growth]])</f>
        <v>1.6176462594840681</v>
      </c>
      <c r="PB99" s="27">
        <f>PortfolioFrontier[[#This Row],[P104 Growth]]/PortfolioFrontier[[#This Row],[P104 HWM]]-1</f>
        <v>-2.9505796485178371E-2</v>
      </c>
      <c r="PC99" s="28">
        <f>SUMPRODUCT(INDEX(PortfolioRef[[SPY]:[PE]],MATCH(PC$1,PortfolioRef[Reference '#]),0),AssetMonthlyReturns[[#This Row],[SPY]:[PE]])</f>
        <v>-2.556590220713012E-2</v>
      </c>
      <c r="PD99" s="27">
        <f>IF(ISNUMBER(PD98),PD98*(1+PortfolioFrontier[[#This Row],[P105 Return]]),1+PortfolioFrontier[[#This Row],[P105 Return]])</f>
        <v>1.5696749928297831</v>
      </c>
      <c r="PE99" s="27">
        <f>MAX(PE98,PortfolioFrontier[[#This Row],[P105 Growth]])</f>
        <v>1.6108580317387871</v>
      </c>
      <c r="PF99" s="27">
        <f>PortfolioFrontier[[#This Row],[P105 Growth]]/PortfolioFrontier[[#This Row],[P105 HWM]]-1</f>
        <v>-2.5565902207130176E-2</v>
      </c>
      <c r="PG99" s="28">
        <f>SUMPRODUCT(INDEX(PortfolioRef[[SPY]:[PE]],MATCH(PG$1,PortfolioRef[Reference '#]),0),AssetMonthlyReturns[[#This Row],[SPY]:[PE]])</f>
        <v>-2.1921856743093021E-2</v>
      </c>
      <c r="PH99" s="27">
        <f>IF(ISNUMBER(PH98),PH98*(1+PortfolioFrontier[[#This Row],[P106 Return]]),1+PortfolioFrontier[[#This Row],[P106 Return]])</f>
        <v>1.5682155384138579</v>
      </c>
      <c r="PI99" s="27">
        <f>MAX(PI98,PortfolioFrontier[[#This Row],[P106 Growth]])</f>
        <v>1.6033642600292135</v>
      </c>
      <c r="PJ99" s="27">
        <f>PortfolioFrontier[[#This Row],[P106 Growth]]/PortfolioFrontier[[#This Row],[P106 HWM]]-1</f>
        <v>-2.1921856743092993E-2</v>
      </c>
      <c r="PK99" s="28">
        <f>SUMPRODUCT(INDEX(PortfolioRef[[SPY]:[PE]],MATCH(PK$1,PortfolioRef[Reference '#]),0),AssetMonthlyReturns[[#This Row],[SPY]:[PE]])</f>
        <v>-2.1401579460325997E-2</v>
      </c>
      <c r="PL99" s="27">
        <f>IF(ISNUMBER(PL98),PL98*(1+PortfolioFrontier[[#This Row],[P107 Return]]),1+PortfolioFrontier[[#This Row],[P107 Return]])</f>
        <v>1.6326633246584641</v>
      </c>
      <c r="PM99" s="27">
        <f>MAX(PM98,PortfolioFrontier[[#This Row],[P107 Growth]])</f>
        <v>1.6683690576141423</v>
      </c>
      <c r="PN99" s="27">
        <f>PortfolioFrontier[[#This Row],[P107 Growth]]/PortfolioFrontier[[#This Row],[P107 HWM]]-1</f>
        <v>-2.1401579460325948E-2</v>
      </c>
      <c r="PO99" s="28">
        <f>SUMPRODUCT(INDEX(PortfolioRef[[SPY]:[PE]],MATCH(PO$1,PortfolioRef[Reference '#]),0),AssetMonthlyReturns[[#This Row],[SPY]:[PE]])</f>
        <v>-1.7757533996288898E-2</v>
      </c>
      <c r="PP99" s="27">
        <f>IF(ISNUMBER(PP98),PP98*(1+PortfolioFrontier[[#This Row],[P108 Return]]),1+PortfolioFrontier[[#This Row],[P108 Return]])</f>
        <v>1.6314456732305862</v>
      </c>
      <c r="PQ99" s="27">
        <f>MAX(PQ98,PortfolioFrontier[[#This Row],[P108 Growth]])</f>
        <v>1.6609398694277409</v>
      </c>
      <c r="PR99" s="27">
        <f>PortfolioFrontier[[#This Row],[P108 Growth]]/PortfolioFrontier[[#This Row],[P108 HWM]]-1</f>
        <v>-1.7757533996288877E-2</v>
      </c>
      <c r="PS99" s="28">
        <f>SUMPRODUCT(INDEX(PortfolioRef[[SPY]:[PE]],MATCH(PS$1,PortfolioRef[Reference '#]),0),AssetMonthlyReturns[[#This Row],[SPY]:[PE]])</f>
        <v>-2.6474960697817553E-2</v>
      </c>
      <c r="PT99" s="27">
        <f>IF(ISNUMBER(PT98),PT98*(1+PortfolioFrontier[[#This Row],[P109 Return]]),1+PortfolioFrontier[[#This Row],[P109 Return]])</f>
        <v>1.6123807204522629</v>
      </c>
      <c r="PU99" s="27">
        <f>MAX(PU98,PortfolioFrontier[[#This Row],[P109 Growth]])</f>
        <v>1.6562293267854813</v>
      </c>
      <c r="PV99" s="27">
        <f>PortfolioFrontier[[#This Row],[P109 Growth]]/PortfolioFrontier[[#This Row],[P109 HWM]]-1</f>
        <v>-2.6474960697817518E-2</v>
      </c>
      <c r="PW99" s="28">
        <f>SUMPRODUCT(INDEX(PortfolioRef[[SPY]:[PE]],MATCH(PW$1,PortfolioRef[Reference '#]),0),AssetMonthlyReturns[[#This Row],[SPY]:[PE]])</f>
        <v>-2.2830915233780454E-2</v>
      </c>
      <c r="PX99" s="27">
        <f>IF(ISNUMBER(PX98),PX98*(1+PortfolioFrontier[[#This Row],[P110 Return]]),1+PortfolioFrontier[[#This Row],[P110 Return]])</f>
        <v>1.6121389530781853</v>
      </c>
      <c r="PY99" s="27">
        <f>MAX(PY98,PortfolioFrontier[[#This Row],[P110 Growth]])</f>
        <v>1.6498055231289654</v>
      </c>
      <c r="PZ99" s="27">
        <f>PortfolioFrontier[[#This Row],[P110 Growth]]/PortfolioFrontier[[#This Row],[P110 HWM]]-1</f>
        <v>-2.2830915233780336E-2</v>
      </c>
      <c r="QA99" s="28">
        <f>SUMPRODUCT(INDEX(PortfolioRef[[SPY]:[PE]],MATCH(QA$1,PortfolioRef[Reference '#]),0),AssetMonthlyReturns[[#This Row],[SPY]:[PE]])</f>
        <v>-1.9186869769743355E-2</v>
      </c>
      <c r="QB99" s="27">
        <f>IF(ISNUMBER(QB98),QB98*(1+PortfolioFrontier[[#This Row],[P111 Return]]),1+PortfolioFrontier[[#This Row],[P111 Return]])</f>
        <v>1.6106467828877251</v>
      </c>
      <c r="QC99" s="27">
        <f>MAX(QC98,PortfolioFrontier[[#This Row],[P111 Growth]])</f>
        <v>1.6421545891311713</v>
      </c>
      <c r="QD99" s="27">
        <f>PortfolioFrontier[[#This Row],[P111 Growth]]/PortfolioFrontier[[#This Row],[P111 HWM]]-1</f>
        <v>-1.9186869769743375E-2</v>
      </c>
      <c r="QE99" s="28">
        <f>SUMPRODUCT(INDEX(PortfolioRef[[SPY]:[PE]],MATCH(QE$1,PortfolioRef[Reference '#]),0),AssetMonthlyReturns[[#This Row],[SPY]:[PE]])</f>
        <v>-3.1548341935309109E-2</v>
      </c>
      <c r="QF99" s="27">
        <f>IF(ISNUMBER(QF98),QF98*(1+PortfolioFrontier[[#This Row],[P112 Return]]),1+PortfolioFrontier[[#This Row],[P112 Return]])</f>
        <v>1.5910236317821307</v>
      </c>
      <c r="QG99" s="27">
        <f>MAX(QG98,PortfolioFrontier[[#This Row],[P112 Growth]])</f>
        <v>1.6517386955477045</v>
      </c>
      <c r="QH99" s="27">
        <f>PortfolioFrontier[[#This Row],[P112 Growth]]/PortfolioFrontier[[#This Row],[P112 HWM]]-1</f>
        <v>-3.6758274132120627E-2</v>
      </c>
      <c r="QI99" s="28">
        <f>SUMPRODUCT(INDEX(PortfolioRef[[SPY]:[PE]],MATCH(QI$1,PortfolioRef[Reference '#]),0),AssetMonthlyReturns[[#This Row],[SPY]:[PE]])</f>
        <v>-2.7904296471272003E-2</v>
      </c>
      <c r="QJ99" s="27">
        <f>IF(ISNUMBER(QJ98),QJ98*(1+PortfolioFrontier[[#This Row],[P113 Return]]),1+PortfolioFrontier[[#This Row],[P113 Return]])</f>
        <v>1.5917378062071206</v>
      </c>
      <c r="QK99" s="27">
        <f>MAX(QK98,PortfolioFrontier[[#This Row],[P113 Growth]])</f>
        <v>1.6374291136449617</v>
      </c>
      <c r="QL99" s="27">
        <f>PortfolioFrontier[[#This Row],[P113 Growth]]/PortfolioFrontier[[#This Row],[P113 HWM]]-1</f>
        <v>-2.7904296471272017E-2</v>
      </c>
      <c r="QM99" s="28">
        <f>SUMPRODUCT(INDEX(PortfolioRef[[SPY]:[PE]],MATCH(QM$1,PortfolioRef[Reference '#]),0),AssetMonthlyReturns[[#This Row],[SPY]:[PE]])</f>
        <v>-2.4260251007234907E-2</v>
      </c>
      <c r="QN99" s="27">
        <f>IF(ISNUMBER(QN98),QN98*(1+PortfolioFrontier[[#This Row],[P114 Return]]),1+PortfolioFrontier[[#This Row],[P114 Return]])</f>
        <v>1.5912128367229379</v>
      </c>
      <c r="QO99" s="27">
        <f>MAX(QO98,PortfolioFrontier[[#This Row],[P114 Growth]])</f>
        <v>1.630775868632504</v>
      </c>
      <c r="QP99" s="27">
        <f>PortfolioFrontier[[#This Row],[P114 Growth]]/PortfolioFrontier[[#This Row],[P114 HWM]]-1</f>
        <v>-2.4260251007234945E-2</v>
      </c>
      <c r="QQ99" s="28">
        <f>SUMPRODUCT(INDEX(PortfolioRef[[SPY]:[PE]],MATCH(QQ$1,PortfolioRef[Reference '#]),0),AssetMonthlyReturns[[#This Row],[SPY]:[PE]])</f>
        <v>-2.3739973724467886E-2</v>
      </c>
      <c r="QR99" s="27">
        <f>IF(ISNUMBER(QR98),QR98*(1+PortfolioFrontier[[#This Row],[P115 Return]]),1+PortfolioFrontier[[#This Row],[P115 Return]])</f>
        <v>1.6555031987404241</v>
      </c>
      <c r="QS99" s="27">
        <f>MAX(QS98,PortfolioFrontier[[#This Row],[P115 Growth]])</f>
        <v>1.6957605086589786</v>
      </c>
      <c r="QT99" s="27">
        <f>PortfolioFrontier[[#This Row],[P115 Growth]]/PortfolioFrontier[[#This Row],[P115 HWM]]-1</f>
        <v>-2.3739973724468011E-2</v>
      </c>
      <c r="QU99" s="28">
        <f>SUMPRODUCT(INDEX(PortfolioRef[[SPY]:[PE]],MATCH(QU$1,PortfolioRef[Reference '#]),0),AssetMonthlyReturns[[#This Row],[SPY]:[PE]])</f>
        <v>-2.009592826043078E-2</v>
      </c>
      <c r="QV99" s="27">
        <f>IF(ISNUMBER(QV98),QV98*(1+PortfolioFrontier[[#This Row],[P116 Return]]),1+PortfolioFrontier[[#This Row],[P116 Return]])</f>
        <v>1.6552610809774342</v>
      </c>
      <c r="QW99" s="27">
        <f>MAX(QW98,PortfolioFrontier[[#This Row],[P116 Growth]])</f>
        <v>1.6892072690737383</v>
      </c>
      <c r="QX99" s="27">
        <f>PortfolioFrontier[[#This Row],[P116 Growth]]/PortfolioFrontier[[#This Row],[P116 HWM]]-1</f>
        <v>-2.0095928260430829E-2</v>
      </c>
      <c r="QY99" s="28">
        <f>SUMPRODUCT(INDEX(PortfolioRef[[SPY]:[PE]],MATCH(QY$1,PortfolioRef[Reference '#]),0),AssetMonthlyReturns[[#This Row],[SPY]:[PE]])</f>
        <v>-1.6451882796393685E-2</v>
      </c>
      <c r="QZ99" s="27">
        <f>IF(ISNUMBER(QZ98),QZ98*(1+PortfolioFrontier[[#This Row],[P117 Return]]),1+PortfolioFrontier[[#This Row],[P117 Return]])</f>
        <v>1.6537357962711166</v>
      </c>
      <c r="RA99" s="27">
        <f>MAX(RA98,PortfolioFrontier[[#This Row],[P117 Growth]])</f>
        <v>1.6813979584170902</v>
      </c>
      <c r="RB99" s="27">
        <f>PortfolioFrontier[[#This Row],[P117 Growth]]/PortfolioFrontier[[#This Row],[P117 HWM]]-1</f>
        <v>-1.6451882796393646E-2</v>
      </c>
      <c r="RC99" s="28">
        <f>SUMPRODUCT(INDEX(PortfolioRef[[SPY]:[PE]],MATCH(RC$1,PortfolioRef[Reference '#]),0),AssetMonthlyReturns[[#This Row],[SPY]:[PE]])</f>
        <v>-2.8813354961959439E-2</v>
      </c>
      <c r="RD99" s="27">
        <f>IF(ISNUMBER(RD98),RD98*(1+PortfolioFrontier[[#This Row],[P118 Return]]),1+PortfolioFrontier[[#This Row],[P118 Return]])</f>
        <v>1.6340432389257991</v>
      </c>
      <c r="RE99" s="27">
        <f>MAX(RE98,PortfolioFrontier[[#This Row],[P118 Growth]])</f>
        <v>1.6825223527057407</v>
      </c>
      <c r="RF99" s="27">
        <f>PortfolioFrontier[[#This Row],[P118 Growth]]/PortfolioFrontier[[#This Row],[P118 HWM]]-1</f>
        <v>-2.881335496195947E-2</v>
      </c>
      <c r="RG99" s="28">
        <f>SUMPRODUCT(INDEX(PortfolioRef[[SPY]:[PE]],MATCH(RG$1,PortfolioRef[Reference '#]),0),AssetMonthlyReturns[[#This Row],[SPY]:[PE]])</f>
        <v>-2.5169309497922336E-2</v>
      </c>
      <c r="RH99" s="27">
        <f>IF(ISNUMBER(RH98),RH98*(1+PortfolioFrontier[[#This Row],[P119 Return]]),1+PortfolioFrontier[[#This Row],[P119 Return]])</f>
        <v>1.6347823716993806</v>
      </c>
      <c r="RI99" s="27">
        <f>MAX(RI98,PortfolioFrontier[[#This Row],[P119 Growth]])</f>
        <v>1.6769910791969431</v>
      </c>
      <c r="RJ99" s="27">
        <f>PortfolioFrontier[[#This Row],[P119 Growth]]/PortfolioFrontier[[#This Row],[P119 HWM]]-1</f>
        <v>-2.5169309497922288E-2</v>
      </c>
      <c r="RK99" s="28">
        <f>SUMPRODUCT(INDEX(PortfolioRef[[SPY]:[PE]],MATCH(RK$1,PortfolioRef[Reference '#]),0),AssetMonthlyReturns[[#This Row],[SPY]:[PE]])</f>
        <v>-2.1525264033885241E-2</v>
      </c>
      <c r="RL99" s="27">
        <f>IF(ISNUMBER(RL98),RL98*(1+PortfolioFrontier[[#This Row],[P120 Return]]),1+PortfolioFrontier[[#This Row],[P120 Return]])</f>
        <v>1.634249548656495</v>
      </c>
      <c r="RM99" s="27">
        <f>MAX(RM98,PortfolioFrontier[[#This Row],[P120 Growth]])</f>
        <v>1.6702010676268397</v>
      </c>
      <c r="RN99" s="27">
        <f>PortfolioFrontier[[#This Row],[P120 Growth]]/PortfolioFrontier[[#This Row],[P120 HWM]]-1</f>
        <v>-2.1525264033885216E-2</v>
      </c>
      <c r="RO99" s="28">
        <f>SUMPRODUCT(INDEX(PortfolioRef[[SPY]:[PE]],MATCH(RO$1,PortfolioRef[Reference '#]),0),AssetMonthlyReturns[[#This Row],[SPY]:[PE]])</f>
        <v>-3.3886736199450991E-2</v>
      </c>
      <c r="RP99" s="27">
        <f>IF(ISNUMBER(RP98),RP98*(1+PortfolioFrontier[[#This Row],[P121 Return]]),1+PortfolioFrontier[[#This Row],[P121 Return]])</f>
        <v>1.6115141191359865</v>
      </c>
      <c r="RQ99" s="27">
        <f>MAX(RQ98,PortfolioFrontier[[#This Row],[P121 Growth]])</f>
        <v>1.6859132740659151</v>
      </c>
      <c r="RR99" s="27">
        <f>PortfolioFrontier[[#This Row],[P121 Growth]]/PortfolioFrontier[[#This Row],[P121 HWM]]-1</f>
        <v>-4.41298826424803E-2</v>
      </c>
      <c r="RS99" s="28">
        <f>SUMPRODUCT(INDEX(PortfolioRef[[SPY]:[PE]],MATCH(RS$1,PortfolioRef[Reference '#]),0),AssetMonthlyReturns[[#This Row],[SPY]:[PE]])</f>
        <v>-3.0242690735413889E-2</v>
      </c>
      <c r="RT99" s="27">
        <f>IF(ISNUMBER(RT98),RT98*(1+PortfolioFrontier[[#This Row],[P122 Return]]),1+PortfolioFrontier[[#This Row],[P122 Return]])</f>
        <v>1.6132126689160651</v>
      </c>
      <c r="RU99" s="27">
        <f>MAX(RU98,PortfolioFrontier[[#This Row],[P122 Growth]])</f>
        <v>1.6635220518620708</v>
      </c>
      <c r="RV99" s="27">
        <f>PortfolioFrontier[[#This Row],[P122 Growth]]/PortfolioFrontier[[#This Row],[P122 HWM]]-1</f>
        <v>-3.0242690735413857E-2</v>
      </c>
      <c r="RW99" s="28">
        <f>SUMPRODUCT(INDEX(PortfolioRef[[SPY]:[PE]],MATCH(RW$1,PortfolioRef[Reference '#]),0),AssetMonthlyReturns[[#This Row],[SPY]:[PE]])</f>
        <v>-2.659864527137679E-2</v>
      </c>
      <c r="RX99" s="27">
        <f>IF(ISNUMBER(RX98),RX98*(1+PortfolioFrontier[[#This Row],[P123 Return]]),1+PortfolioFrontier[[#This Row],[P123 Return]])</f>
        <v>1.6136523676993892</v>
      </c>
      <c r="RY99" s="27">
        <f>MAX(RY98,PortfolioFrontier[[#This Row],[P123 Growth]])</f>
        <v>1.6577461700258913</v>
      </c>
      <c r="RZ99" s="27">
        <f>PortfolioFrontier[[#This Row],[P123 Growth]]/PortfolioFrontier[[#This Row],[P123 HWM]]-1</f>
        <v>-2.6598645271376786E-2</v>
      </c>
      <c r="SA99" s="28">
        <f>SUMPRODUCT(INDEX(PortfolioRef[[SPY]:[PE]],MATCH(SA$1,PortfolioRef[Reference '#]),0),AssetMonthlyReturns[[#This Row],[SPY]:[PE]])</f>
        <v>-2.6078367988609769E-2</v>
      </c>
      <c r="SB99" s="27">
        <f>IF(ISNUMBER(SB98),SB98*(1+PortfolioFrontier[[#This Row],[P124 Return]]),1+PortfolioFrontier[[#This Row],[P124 Return]])</f>
        <v>1.6777293871607237</v>
      </c>
      <c r="SC99" s="27">
        <f>MAX(SC98,PortfolioFrontier[[#This Row],[P124 Growth]])</f>
        <v>1.7226533758119691</v>
      </c>
      <c r="SD99" s="27">
        <f>PortfolioFrontier[[#This Row],[P124 Growth]]/PortfolioFrontier[[#This Row],[P124 HWM]]-1</f>
        <v>-2.6078367988609741E-2</v>
      </c>
      <c r="SE99" s="28">
        <f>SUMPRODUCT(INDEX(PortfolioRef[[SPY]:[PE]],MATCH(SE$1,PortfolioRef[Reference '#]),0),AssetMonthlyReturns[[#This Row],[SPY]:[PE]])</f>
        <v>-2.243432252457267E-2</v>
      </c>
      <c r="SF99" s="27">
        <f>IF(ISNUMBER(SF98),SF98*(1+PortfolioFrontier[[#This Row],[P125 Return]]),1+PortfolioFrontier[[#This Row],[P125 Return]])</f>
        <v>1.6784939568419111</v>
      </c>
      <c r="SG99" s="27">
        <f>MAX(SG98,PortfolioFrontier[[#This Row],[P125 Growth]])</f>
        <v>1.7170140027590144</v>
      </c>
      <c r="SH99" s="27">
        <f>PortfolioFrontier[[#This Row],[P125 Growth]]/PortfolioFrontier[[#This Row],[P125 HWM]]-1</f>
        <v>-2.2434322524572781E-2</v>
      </c>
      <c r="SI99" s="28">
        <f>SUMPRODUCT(INDEX(PortfolioRef[[SPY]:[PE]],MATCH(SI$1,PortfolioRef[Reference '#]),0),AssetMonthlyReturns[[#This Row],[SPY]:[PE]])</f>
        <v>-1.8790277060535567E-2</v>
      </c>
      <c r="SJ99" s="27">
        <f>IF(ISNUMBER(SJ98),SJ98*(1+PortfolioFrontier[[#This Row],[P126 Return]]),1+PortfolioFrontier[[#This Row],[P126 Return]])</f>
        <v>1.6779532605059269</v>
      </c>
      <c r="SK99" s="27">
        <f>MAX(SK98,PortfolioFrontier[[#This Row],[P126 Growth]])</f>
        <v>1.7100862550354567</v>
      </c>
      <c r="SL99" s="27">
        <f>PortfolioFrontier[[#This Row],[P126 Growth]]/PortfolioFrontier[[#This Row],[P126 HWM]]-1</f>
        <v>-1.8790277060535598E-2</v>
      </c>
      <c r="SM99" s="28">
        <f>SUMPRODUCT(INDEX(PortfolioRef[[SPY]:[PE]],MATCH(SM$1,PortfolioRef[Reference '#]),0),AssetMonthlyReturns[[#This Row],[SPY]:[PE]])</f>
        <v>-3.1151749226101325E-2</v>
      </c>
      <c r="SN99" s="27">
        <f>IF(ISNUMBER(SN98),SN98*(1+PortfolioFrontier[[#This Row],[P127 Return]]),1+PortfolioFrontier[[#This Row],[P127 Return]])</f>
        <v>1.6550723387147799</v>
      </c>
      <c r="SO99" s="27">
        <f>MAX(SO98,PortfolioFrontier[[#This Row],[P127 Growth]])</f>
        <v>1.7082885141122335</v>
      </c>
      <c r="SP99" s="27">
        <f>PortfolioFrontier[[#This Row],[P127 Growth]]/PortfolioFrontier[[#This Row],[P127 HWM]]-1</f>
        <v>-3.1151749226101311E-2</v>
      </c>
      <c r="SQ99" s="28">
        <f>SUMPRODUCT(INDEX(PortfolioRef[[SPY]:[PE]],MATCH(SQ$1,PortfolioRef[Reference '#]),0),AssetMonthlyReturns[[#This Row],[SPY]:[PE]])</f>
        <v>-2.7507703762064222E-2</v>
      </c>
      <c r="SR99" s="27">
        <f>IF(ISNUMBER(SR98),SR98*(1+PortfolioFrontier[[#This Row],[P128 Return]]),1+PortfolioFrontier[[#This Row],[P128 Return]])</f>
        <v>1.6568219923059131</v>
      </c>
      <c r="SS99" s="27">
        <f>MAX(SS98,PortfolioFrontier[[#This Row],[P128 Growth]])</f>
        <v>1.703686495733993</v>
      </c>
      <c r="ST99" s="27">
        <f>PortfolioFrontier[[#This Row],[P128 Growth]]/PortfolioFrontier[[#This Row],[P128 HWM]]-1</f>
        <v>-2.750770376206424E-2</v>
      </c>
      <c r="SU99" s="28">
        <f>SUMPRODUCT(INDEX(PortfolioRef[[SPY]:[PE]],MATCH(SU$1,PortfolioRef[Reference '#]),0),AssetMonthlyReturns[[#This Row],[SPY]:[PE]])</f>
        <v>-2.3863658298027123E-2</v>
      </c>
      <c r="SV99" s="27">
        <f>IF(ISNUMBER(SV98),SV98*(1+PortfolioFrontier[[#This Row],[P129 Return]]),1+PortfolioFrontier[[#This Row],[P129 Return]])</f>
        <v>1.6572794791696048</v>
      </c>
      <c r="SW99" s="27">
        <f>MAX(SW98,PortfolioFrontier[[#This Row],[P129 Growth]])</f>
        <v>1.6977950808388136</v>
      </c>
      <c r="SX99" s="27">
        <f>PortfolioFrontier[[#This Row],[P129 Growth]]/PortfolioFrontier[[#This Row],[P129 HWM]]-1</f>
        <v>-2.3863658298027057E-2</v>
      </c>
      <c r="SY99" s="28">
        <f>SUMPRODUCT(INDEX(PortfolioRef[[SPY]:[PE]],MATCH(SY$1,PortfolioRef[Reference '#]),0),AssetMonthlyReturns[[#This Row],[SPY]:[PE]])</f>
        <v>-3.6225130463592874E-2</v>
      </c>
      <c r="SZ99" s="27">
        <f>IF(ISNUMBER(SZ98),SZ98*(1+PortfolioFrontier[[#This Row],[P130 Return]]),1+PortfolioFrontier[[#This Row],[P130 Return]])</f>
        <v>1.631353287410076</v>
      </c>
      <c r="TA99" s="27">
        <f>MAX(TA98,PortfolioFrontier[[#This Row],[P130 Growth]])</f>
        <v>1.720142179322633</v>
      </c>
      <c r="TB99" s="27">
        <f>PortfolioFrontier[[#This Row],[P130 Growth]]/PortfolioFrontier[[#This Row],[P130 HWM]]-1</f>
        <v>-5.1617181986387206E-2</v>
      </c>
      <c r="TC99" s="28">
        <f>SUMPRODUCT(INDEX(PortfolioRef[[SPY]:[PE]],MATCH(TC$1,PortfolioRef[Reference '#]),0),AssetMonthlyReturns[[#This Row],[SPY]:[PE]])</f>
        <v>-3.2581084999555775E-2</v>
      </c>
      <c r="TD99" s="27">
        <f>IF(ISNUMBER(TD98),TD98*(1+PortfolioFrontier[[#This Row],[P131 Return]]),1+PortfolioFrontier[[#This Row],[P131 Return]])</f>
        <v>1.6340642743573168</v>
      </c>
      <c r="TE99" s="27">
        <f>MAX(TE98,PortfolioFrontier[[#This Row],[P131 Growth]])</f>
        <v>1.6891185966988822</v>
      </c>
      <c r="TF99" s="27">
        <f>PortfolioFrontier[[#This Row],[P131 Growth]]/PortfolioFrontier[[#This Row],[P131 HWM]]-1</f>
        <v>-3.2593520934030562E-2</v>
      </c>
      <c r="TG99" s="28">
        <f>SUMPRODUCT(INDEX(PortfolioRef[[SPY]:[PE]],MATCH(TG$1,PortfolioRef[Reference '#]),0),AssetMonthlyReturns[[#This Row],[SPY]:[PE]])</f>
        <v>-2.8937039535518676E-2</v>
      </c>
      <c r="TH99" s="27">
        <f>IF(ISNUMBER(TH98),TH98*(1+PortfolioFrontier[[#This Row],[P132 Return]]),1+PortfolioFrontier[[#This Row],[P132 Return]])</f>
        <v>1.6354980869479268</v>
      </c>
      <c r="TI99" s="27">
        <f>MAX(TI98,PortfolioFrontier[[#This Row],[P132 Growth]])</f>
        <v>1.6842348576096766</v>
      </c>
      <c r="TJ99" s="27">
        <f>PortfolioFrontier[[#This Row],[P132 Growth]]/PortfolioFrontier[[#This Row],[P132 HWM]]-1</f>
        <v>-2.8937039535518627E-2</v>
      </c>
      <c r="TK99" s="28">
        <f>SUMPRODUCT(INDEX(PortfolioRef[[SPY]:[PE]],MATCH(TK$1,PortfolioRef[Reference '#]),0),AssetMonthlyReturns[[#This Row],[SPY]:[PE]])</f>
        <v>-2.8416762252751655E-2</v>
      </c>
      <c r="TL99" s="27">
        <f>IF(ISNUMBER(TL98),TL98*(1+PortfolioFrontier[[#This Row],[P133 Return]]),1+PortfolioFrontier[[#This Row],[P133 Return]])</f>
        <v>1.6993053117000414</v>
      </c>
      <c r="TM99" s="27">
        <f>MAX(TM98,PortfolioFrontier[[#This Row],[P133 Growth]])</f>
        <v>1.7490064110617207</v>
      </c>
      <c r="TN99" s="27">
        <f>PortfolioFrontier[[#This Row],[P133 Growth]]/PortfolioFrontier[[#This Row],[P133 HWM]]-1</f>
        <v>-2.8416762252751693E-2</v>
      </c>
      <c r="TO99" s="28">
        <f>SUMPRODUCT(INDEX(PortfolioRef[[SPY]:[PE]],MATCH(TO$1,PortfolioRef[Reference '#]),0),AssetMonthlyReturns[[#This Row],[SPY]:[PE]])</f>
        <v>-2.4772716788714552E-2</v>
      </c>
      <c r="TP99" s="27">
        <f>IF(ISNUMBER(TP98),TP98*(1+PortfolioFrontier[[#This Row],[P134 Return]]),1+PortfolioFrontier[[#This Row],[P134 Return]])</f>
        <v>1.7011069456417303</v>
      </c>
      <c r="TQ99" s="27">
        <f>MAX(TQ98,PortfolioFrontier[[#This Row],[P134 Growth]])</f>
        <v>1.7443184526587747</v>
      </c>
      <c r="TR99" s="27">
        <f>PortfolioFrontier[[#This Row],[P134 Growth]]/PortfolioFrontier[[#This Row],[P134 HWM]]-1</f>
        <v>-2.4772716788714511E-2</v>
      </c>
      <c r="TS99" s="28">
        <f>SUMPRODUCT(INDEX(PortfolioRef[[SPY]:[PE]],MATCH(TS$1,PortfolioRef[Reference '#]),0),AssetMonthlyReturns[[#This Row],[SPY]:[PE]])</f>
        <v>-2.1128671324677457E-2</v>
      </c>
      <c r="TT99" s="27">
        <f>IF(ISNUMBER(TT98),TT98*(1+PortfolioFrontier[[#This Row],[P135 Return]]),1+PortfolioFrontier[[#This Row],[P135 Return]])</f>
        <v>1.701582591446954</v>
      </c>
      <c r="TU99" s="27">
        <f>MAX(TU98,PortfolioFrontier[[#This Row],[P135 Growth]])</f>
        <v>1.7383107887628655</v>
      </c>
      <c r="TV99" s="27">
        <f>PortfolioFrontier[[#This Row],[P135 Growth]]/PortfolioFrontier[[#This Row],[P135 HWM]]-1</f>
        <v>-2.112867132467755E-2</v>
      </c>
      <c r="TW99" s="28">
        <f>SUMPRODUCT(INDEX(PortfolioRef[[SPY]:[PE]],MATCH(TW$1,PortfolioRef[Reference '#]),0),AssetMonthlyReturns[[#This Row],[SPY]:[PE]])</f>
        <v>-3.3490143490243207E-2</v>
      </c>
      <c r="TX99" s="27">
        <f>IF(ISNUMBER(TX98),TX98*(1+PortfolioFrontier[[#This Row],[P136 Return]]),1+PortfolioFrontier[[#This Row],[P136 Return]])</f>
        <v>1.6754326327239053</v>
      </c>
      <c r="TY99" s="27">
        <f>MAX(TY98,PortfolioFrontier[[#This Row],[P136 Growth]])</f>
        <v>1.7361155602147582</v>
      </c>
      <c r="TZ99" s="27">
        <f>PortfolioFrontier[[#This Row],[P136 Growth]]/PortfolioFrontier[[#This Row],[P136 HWM]]-1</f>
        <v>-3.4953276660538934E-2</v>
      </c>
      <c r="UA99" s="28">
        <f>SUMPRODUCT(INDEX(PortfolioRef[[SPY]:[PE]],MATCH(UA$1,PortfolioRef[Reference '#]),0),AssetMonthlyReturns[[#This Row],[SPY]:[PE]])</f>
        <v>-2.9846098026206108E-2</v>
      </c>
      <c r="UB99" s="27">
        <f>IF(ISNUMBER(UB98),UB98*(1+PortfolioFrontier[[#This Row],[P137 Return]]),1+PortfolioFrontier[[#This Row],[P137 Return]])</f>
        <v>1.6782215923387289</v>
      </c>
      <c r="UC99" s="27">
        <f>MAX(UC98,PortfolioFrontier[[#This Row],[P137 Growth]])</f>
        <v>1.7298508916207622</v>
      </c>
      <c r="UD99" s="27">
        <f>PortfolioFrontier[[#This Row],[P137 Growth]]/PortfolioFrontier[[#This Row],[P137 HWM]]-1</f>
        <v>-2.984609802620608E-2</v>
      </c>
      <c r="UE99" s="28">
        <f>SUMPRODUCT(INDEX(PortfolioRef[[SPY]:[PE]],MATCH(UE$1,PortfolioRef[Reference '#]),0),AssetMonthlyReturns[[#This Row],[SPY]:[PE]])</f>
        <v>-2.6202052562169009E-2</v>
      </c>
      <c r="UF99" s="27">
        <f>IF(ISNUMBER(UF98),UF98*(1+PortfolioFrontier[[#This Row],[P138 Return]]),1+PortfolioFrontier[[#This Row],[P138 Return]])</f>
        <v>1.6796995943176949</v>
      </c>
      <c r="UG99" s="27">
        <f>MAX(UG98,PortfolioFrontier[[#This Row],[P138 Growth]])</f>
        <v>1.7248953940980964</v>
      </c>
      <c r="UH99" s="27">
        <f>PortfolioFrontier[[#This Row],[P138 Growth]]/PortfolioFrontier[[#This Row],[P138 HWM]]-1</f>
        <v>-2.6202052562169009E-2</v>
      </c>
      <c r="UI99" s="28">
        <f>SUMPRODUCT(INDEX(PortfolioRef[[SPY]:[PE]],MATCH(UI$1,PortfolioRef[Reference '#]),0),AssetMonthlyReturns[[#This Row],[SPY]:[PE]])</f>
        <v>-3.8563524727734763E-2</v>
      </c>
      <c r="UJ99" s="27">
        <f>IF(ISNUMBER(UJ98),UJ98*(1+PortfolioFrontier[[#This Row],[P139 Return]]),1+PortfolioFrontier[[#This Row],[P139 Return]])</f>
        <v>1.6505069861484081</v>
      </c>
      <c r="UK99" s="27">
        <f>MAX(UK98,PortfolioFrontier[[#This Row],[P139 Growth]])</f>
        <v>1.7543965710992384</v>
      </c>
      <c r="UL99" s="27">
        <f>PortfolioFrontier[[#This Row],[P139 Growth]]/PortfolioFrontier[[#This Row],[P139 HWM]]-1</f>
        <v>-5.9216705425807481E-2</v>
      </c>
      <c r="UM99" s="28">
        <f>SUMPRODUCT(INDEX(PortfolioRef[[SPY]:[PE]],MATCH(UM$1,PortfolioRef[Reference '#]),0),AssetMonthlyReturns[[#This Row],[SPY]:[PE]])</f>
        <v>-3.4919479263697657E-2</v>
      </c>
      <c r="UN99" s="27">
        <f>IF(ISNUMBER(UN98),UN98*(1+PortfolioFrontier[[#This Row],[P140 Return]]),1+PortfolioFrontier[[#This Row],[P140 Return]])</f>
        <v>1.6542575817318044</v>
      </c>
      <c r="UO99" s="27">
        <f>MAX(UO98,PortfolioFrontier[[#This Row],[P140 Growth]])</f>
        <v>1.7234002022793458</v>
      </c>
      <c r="UP99" s="27">
        <f>PortfolioFrontier[[#This Row],[P140 Growth]]/PortfolioFrontier[[#This Row],[P140 HWM]]-1</f>
        <v>-4.0119886522059334E-2</v>
      </c>
      <c r="UQ99" s="28">
        <f>SUMPRODUCT(INDEX(PortfolioRef[[SPY]:[PE]],MATCH(UQ$1,PortfolioRef[Reference '#]),0),AssetMonthlyReturns[[#This Row],[SPY]:[PE]])</f>
        <v>-3.1275433799660565E-2</v>
      </c>
      <c r="UR99" s="27">
        <f>IF(ISNUMBER(UR98),UR98*(1+PortfolioFrontier[[#This Row],[P141 Return]]),1+PortfolioFrontier[[#This Row],[P141 Return]])</f>
        <v>1.6567141381186712</v>
      </c>
      <c r="US99" s="27">
        <f>MAX(US98,PortfolioFrontier[[#This Row],[P141 Growth]])</f>
        <v>1.7102014297178982</v>
      </c>
      <c r="UT99" s="27">
        <f>PortfolioFrontier[[#This Row],[P141 Growth]]/PortfolioFrontier[[#This Row],[P141 HWM]]-1</f>
        <v>-3.1275433799660579E-2</v>
      </c>
    </row>
    <row r="100" spans="2:566" x14ac:dyDescent="0.2">
      <c r="B100" s="41">
        <f>AssetMonthlyReturns[[#This Row],[Date]]</f>
        <v>45413</v>
      </c>
      <c r="C100" s="28">
        <f>SUMPRODUCT(INDEX(PortfolioRef[[SPY]:[PE]],MATCH(C$1,PortfolioRef[Reference '#]),0),AssetMonthlyReturns[[#This Row],[SPY]:[PE]])</f>
        <v>3.4249730624316674E-2</v>
      </c>
      <c r="D100" s="29">
        <f>IF(ISNUMBER(D99),D99*(1+PortfolioFrontier[[#This Row],[P1 Return]]),1+PortfolioFrontier[[#This Row],[P1 Return]])</f>
        <v>2.119683505257052</v>
      </c>
      <c r="E100" s="29">
        <f>MAX(E99,PortfolioFrontier[[#This Row],[P1 Growth]])</f>
        <v>2.119683505257052</v>
      </c>
      <c r="F100" s="29">
        <f>PortfolioFrontier[[#This Row],[P1 Growth]]/PortfolioFrontier[[#This Row],[P1 HWM]]-1</f>
        <v>0</v>
      </c>
      <c r="G100" s="28">
        <f>SUMPRODUCT(INDEX(PortfolioRef[[SPY]:[PE]],MATCH(G$1,PortfolioRef[Reference '#]),0),AssetMonthlyReturns[[#This Row],[SPY]:[PE]])</f>
        <v>3.2548578764674423E-2</v>
      </c>
      <c r="H100" s="27">
        <f>IF(ISNUMBER(H99),H99*(1+PortfolioFrontier[[#This Row],[P2 Return]]),1+PortfolioFrontier[[#This Row],[P2 Return]])</f>
        <v>2.0170474451643243</v>
      </c>
      <c r="I100" s="27">
        <f>MAX(I99,PortfolioFrontier[[#This Row],[P2 Growth]])</f>
        <v>2.0170474451643243</v>
      </c>
      <c r="J100" s="27">
        <f>PortfolioFrontier[[#This Row],[P2 Growth]]/PortfolioFrontier[[#This Row],[P2 HWM]]-1</f>
        <v>0</v>
      </c>
      <c r="K100" s="28">
        <f>SUMPRODUCT(INDEX(PortfolioRef[[SPY]:[PE]],MATCH(K$1,PortfolioRef[Reference '#]),0),AssetMonthlyReturns[[#This Row],[SPY]:[PE]])</f>
        <v>3.2530242114083764E-2</v>
      </c>
      <c r="L100" s="27">
        <f>IF(ISNUMBER(L99),L99*(1+PortfolioFrontier[[#This Row],[P3 Return]]),1+PortfolioFrontier[[#This Row],[P3 Return]])</f>
        <v>2.0715336937724986</v>
      </c>
      <c r="M100" s="27">
        <f>MAX(M99,PortfolioFrontier[[#This Row],[P3 Growth]])</f>
        <v>2.0715336937724986</v>
      </c>
      <c r="N100" s="27">
        <f>PortfolioFrontier[[#This Row],[P3 Growth]]/PortfolioFrontier[[#This Row],[P3 HWM]]-1</f>
        <v>0</v>
      </c>
      <c r="O100" s="28">
        <f>SUMPRODUCT(INDEX(PortfolioRef[[SPY]:[PE]],MATCH(O$1,PortfolioRef[Reference '#]),0),AssetMonthlyReturns[[#This Row],[SPY]:[PE]])</f>
        <v>3.4000641562153752E-2</v>
      </c>
      <c r="P100" s="27">
        <f>IF(ISNUMBER(P99),P99*(1+PortfolioFrontier[[#This Row],[P4 Return]]),1+PortfolioFrontier[[#This Row],[P4 Return]])</f>
        <v>2.0453365035952613</v>
      </c>
      <c r="Q100" s="27">
        <f>MAX(Q99,PortfolioFrontier[[#This Row],[P4 Growth]])</f>
        <v>2.0453365035952613</v>
      </c>
      <c r="R100" s="27">
        <f>PortfolioFrontier[[#This Row],[P4 Growth]]/PortfolioFrontier[[#This Row],[P4 HWM]]-1</f>
        <v>0</v>
      </c>
      <c r="S100" s="28">
        <f>SUMPRODUCT(INDEX(PortfolioRef[[SPY]:[PE]],MATCH(S$1,PortfolioRef[Reference '#]),0),AssetMonthlyReturns[[#This Row],[SPY]:[PE]])</f>
        <v>3.0605410826374836E-2</v>
      </c>
      <c r="T100" s="27">
        <f>IF(ISNUMBER(T99),T99*(1+PortfolioFrontier[[#This Row],[P5 Return]]),1+PortfolioFrontier[[#This Row],[P5 Return]])</f>
        <v>2.0409192697114493</v>
      </c>
      <c r="U100" s="27">
        <f>MAX(U99,PortfolioFrontier[[#This Row],[P5 Growth]])</f>
        <v>2.0409192697114493</v>
      </c>
      <c r="V100" s="27">
        <f>PortfolioFrontier[[#This Row],[P5 Growth]]/PortfolioFrontier[[#This Row],[P5 HWM]]-1</f>
        <v>0</v>
      </c>
      <c r="W100" s="28">
        <f>SUMPRODUCT(INDEX(PortfolioRef[[SPY]:[PE]],MATCH(W$1,PortfolioRef[Reference '#]),0),AssetMonthlyReturns[[#This Row],[SPY]:[PE]])</f>
        <v>3.0847426905032178E-2</v>
      </c>
      <c r="X100" s="27">
        <f>IF(ISNUMBER(X99),X99*(1+PortfolioFrontier[[#This Row],[P6 Return]]),1+PortfolioFrontier[[#This Row],[P6 Return]])</f>
        <v>1.9184763043076598</v>
      </c>
      <c r="Y100" s="27">
        <f>MAX(Y99,PortfolioFrontier[[#This Row],[P6 Growth]])</f>
        <v>1.9184763043076598</v>
      </c>
      <c r="Z100" s="27">
        <f>PortfolioFrontier[[#This Row],[P6 Growth]]/PortfolioFrontier[[#This Row],[P6 HWM]]-1</f>
        <v>0</v>
      </c>
      <c r="AA100" s="28">
        <f>SUMPRODUCT(INDEX(PortfolioRef[[SPY]:[PE]],MATCH(AA$1,PortfolioRef[Reference '#]),0),AssetMonthlyReturns[[#This Row],[SPY]:[PE]])</f>
        <v>3.0829090254441513E-2</v>
      </c>
      <c r="AB100" s="27">
        <f>IF(ISNUMBER(AB99),AB99*(1+PortfolioFrontier[[#This Row],[P7 Return]]),1+PortfolioFrontier[[#This Row],[P7 Return]])</f>
        <v>1.9703133105680724</v>
      </c>
      <c r="AC100" s="27">
        <f>MAX(AC99,PortfolioFrontier[[#This Row],[P7 Growth]])</f>
        <v>1.9703133105680724</v>
      </c>
      <c r="AD100" s="27">
        <f>PortfolioFrontier[[#This Row],[P7 Growth]]/PortfolioFrontier[[#This Row],[P7 HWM]]-1</f>
        <v>0</v>
      </c>
      <c r="AE100" s="28">
        <f>SUMPRODUCT(INDEX(PortfolioRef[[SPY]:[PE]],MATCH(AE$1,PortfolioRef[Reference '#]),0),AssetMonthlyReturns[[#This Row],[SPY]:[PE]])</f>
        <v>3.2299489702511508E-2</v>
      </c>
      <c r="AF100" s="27">
        <f>IF(ISNUMBER(AF99),AF99*(1+PortfolioFrontier[[#This Row],[P8 Return]]),1+PortfolioFrontier[[#This Row],[P8 Return]])</f>
        <v>1.9461464907837978</v>
      </c>
      <c r="AG100" s="27">
        <f>MAX(AG99,PortfolioFrontier[[#This Row],[P8 Growth]])</f>
        <v>1.9461464907837978</v>
      </c>
      <c r="AH100" s="27">
        <f>PortfolioFrontier[[#This Row],[P8 Growth]]/PortfolioFrontier[[#This Row],[P8 HWM]]-1</f>
        <v>0</v>
      </c>
      <c r="AI100" s="28">
        <f>SUMPRODUCT(INDEX(PortfolioRef[[SPY]:[PE]],MATCH(AI$1,PortfolioRef[Reference '#]),0),AssetMonthlyReturns[[#This Row],[SPY]:[PE]])</f>
        <v>2.8904258966732585E-2</v>
      </c>
      <c r="AJ100" s="27">
        <f>IF(ISNUMBER(AJ99),AJ99*(1+PortfolioFrontier[[#This Row],[P9 Return]]),1+PortfolioFrontier[[#This Row],[P9 Return]])</f>
        <v>1.9411999395927648</v>
      </c>
      <c r="AK100" s="27">
        <f>MAX(AK99,PortfolioFrontier[[#This Row],[P9 Growth]])</f>
        <v>1.9411999395927648</v>
      </c>
      <c r="AL100" s="27">
        <f>PortfolioFrontier[[#This Row],[P9 Growth]]/PortfolioFrontier[[#This Row],[P9 HWM]]-1</f>
        <v>0</v>
      </c>
      <c r="AM100" s="28">
        <f>SUMPRODUCT(INDEX(PortfolioRef[[SPY]:[PE]],MATCH(AM$1,PortfolioRef[Reference '#]),0),AssetMonthlyReturns[[#This Row],[SPY]:[PE]])</f>
        <v>3.0810753603850848E-2</v>
      </c>
      <c r="AN100" s="27">
        <f>IF(ISNUMBER(AN99),AN99*(1+PortfolioFrontier[[#This Row],[P10 Return]]),1+PortfolioFrontier[[#This Row],[P10 Return]])</f>
        <v>2.0229546857642107</v>
      </c>
      <c r="AO100" s="27">
        <f>MAX(AO99,PortfolioFrontier[[#This Row],[P10 Growth]])</f>
        <v>2.0229546857642107</v>
      </c>
      <c r="AP100" s="27">
        <f>PortfolioFrontier[[#This Row],[P10 Growth]]/PortfolioFrontier[[#This Row],[P10 HWM]]-1</f>
        <v>0</v>
      </c>
      <c r="AQ100" s="28">
        <f>SUMPRODUCT(INDEX(PortfolioRef[[SPY]:[PE]],MATCH(AQ$1,PortfolioRef[Reference '#]),0),AssetMonthlyReturns[[#This Row],[SPY]:[PE]])</f>
        <v>3.2281153051920843E-2</v>
      </c>
      <c r="AR100" s="27">
        <f>IF(ISNUMBER(AR99),AR99*(1+PortfolioFrontier[[#This Row],[P11 Return]]),1+PortfolioFrontier[[#This Row],[P11 Return]])</f>
        <v>1.9987122039827412</v>
      </c>
      <c r="AS100" s="27">
        <f>MAX(AS99,PortfolioFrontier[[#This Row],[P11 Growth]])</f>
        <v>1.9987122039827412</v>
      </c>
      <c r="AT100" s="27">
        <f>PortfolioFrontier[[#This Row],[P11 Growth]]/PortfolioFrontier[[#This Row],[P11 HWM]]-1</f>
        <v>0</v>
      </c>
      <c r="AU100" s="28">
        <f>SUMPRODUCT(INDEX(PortfolioRef[[SPY]:[PE]],MATCH(AU$1,PortfolioRef[Reference '#]),0),AssetMonthlyReturns[[#This Row],[SPY]:[PE]])</f>
        <v>2.8885922316141927E-2</v>
      </c>
      <c r="AV100" s="27">
        <f>IF(ISNUMBER(AV99),AV99*(1+PortfolioFrontier[[#This Row],[P12 Return]]),1+PortfolioFrontier[[#This Row],[P12 Return]])</f>
        <v>1.9936384317007949</v>
      </c>
      <c r="AW100" s="27">
        <f>MAX(AW99,PortfolioFrontier[[#This Row],[P12 Growth]])</f>
        <v>1.9936384317007949</v>
      </c>
      <c r="AX100" s="27">
        <f>PortfolioFrontier[[#This Row],[P12 Growth]]/PortfolioFrontier[[#This Row],[P12 HWM]]-1</f>
        <v>0</v>
      </c>
      <c r="AY100" s="28">
        <f>SUMPRODUCT(INDEX(PortfolioRef[[SPY]:[PE]],MATCH(AY$1,PortfolioRef[Reference '#]),0),AssetMonthlyReturns[[#This Row],[SPY]:[PE]])</f>
        <v>3.3751552499990831E-2</v>
      </c>
      <c r="AZ100" s="27">
        <f>IF(ISNUMBER(AZ99),AZ99*(1+PortfolioFrontier[[#This Row],[P13 Return]]),1+PortfolioFrontier[[#This Row],[P13 Return]])</f>
        <v>1.9731080058540384</v>
      </c>
      <c r="BA100" s="27">
        <f>MAX(BA99,PortfolioFrontier[[#This Row],[P13 Growth]])</f>
        <v>1.9731080058540384</v>
      </c>
      <c r="BB100" s="27">
        <f>PortfolioFrontier[[#This Row],[P13 Growth]]/PortfolioFrontier[[#This Row],[P13 HWM]]-1</f>
        <v>0</v>
      </c>
      <c r="BC100" s="28">
        <f>SUMPRODUCT(INDEX(PortfolioRef[[SPY]:[PE]],MATCH(BC$1,PortfolioRef[Reference '#]),0),AssetMonthlyReturns[[#This Row],[SPY]:[PE]])</f>
        <v>3.0356321764211915E-2</v>
      </c>
      <c r="BD100" s="27">
        <f>IF(ISNUMBER(BD99),BD99*(1+PortfolioFrontier[[#This Row],[P14 Return]]),1+PortfolioFrontier[[#This Row],[P14 Return]])</f>
        <v>1.9692932926632285</v>
      </c>
      <c r="BE100" s="27">
        <f>MAX(BE99,PortfolioFrontier[[#This Row],[P14 Growth]])</f>
        <v>1.9692932926632285</v>
      </c>
      <c r="BF100" s="27">
        <f>PortfolioFrontier[[#This Row],[P14 Growth]]/PortfolioFrontier[[#This Row],[P14 HWM]]-1</f>
        <v>0</v>
      </c>
      <c r="BG100" s="28">
        <f>SUMPRODUCT(INDEX(PortfolioRef[[SPY]:[PE]],MATCH(BG$1,PortfolioRef[Reference '#]),0),AssetMonthlyReturns[[#This Row],[SPY]:[PE]])</f>
        <v>2.6961091028432995E-2</v>
      </c>
      <c r="BH100" s="27">
        <f>IF(ISNUMBER(BH99),BH99*(1+PortfolioFrontier[[#This Row],[P15 Return]]),1+PortfolioFrontier[[#This Row],[P15 Return]])</f>
        <v>1.9639296930114645</v>
      </c>
      <c r="BI100" s="27">
        <f>MAX(BI99,PortfolioFrontier[[#This Row],[P15 Growth]])</f>
        <v>1.9639296930114645</v>
      </c>
      <c r="BJ100" s="27">
        <f>PortfolioFrontier[[#This Row],[P15 Growth]]/PortfolioFrontier[[#This Row],[P15 HWM]]-1</f>
        <v>0</v>
      </c>
      <c r="BK100" s="28">
        <f>SUMPRODUCT(INDEX(PortfolioRef[[SPY]:[PE]],MATCH(BK$1,PortfolioRef[Reference '#]),0),AssetMonthlyReturns[[#This Row],[SPY]:[PE]])</f>
        <v>2.9146275045389934E-2</v>
      </c>
      <c r="BL100" s="27">
        <f>IF(ISNUMBER(BL99),BL99*(1+PortfolioFrontier[[#This Row],[P16 Return]]),1+PortfolioFrontier[[#This Row],[P16 Return]])</f>
        <v>1.823862132297684</v>
      </c>
      <c r="BM100" s="27">
        <f>MAX(BM99,PortfolioFrontier[[#This Row],[P16 Growth]])</f>
        <v>1.823862132297684</v>
      </c>
      <c r="BN100" s="27">
        <f>PortfolioFrontier[[#This Row],[P16 Growth]]/PortfolioFrontier[[#This Row],[P16 HWM]]-1</f>
        <v>0</v>
      </c>
      <c r="BO100" s="28">
        <f>SUMPRODUCT(INDEX(PortfolioRef[[SPY]:[PE]],MATCH(BO$1,PortfolioRef[Reference '#]),0),AssetMonthlyReturns[[#This Row],[SPY]:[PE]])</f>
        <v>2.9127938394799269E-2</v>
      </c>
      <c r="BP100" s="27">
        <f>IF(ISNUMBER(BP99),BP99*(1+PortfolioFrontier[[#This Row],[P17 Return]]),1+PortfolioFrontier[[#This Row],[P17 Return]])</f>
        <v>1.8731560448107647</v>
      </c>
      <c r="BQ100" s="27">
        <f>MAX(BQ99,PortfolioFrontier[[#This Row],[P17 Growth]])</f>
        <v>1.8731560448107647</v>
      </c>
      <c r="BR100" s="27">
        <f>PortfolioFrontier[[#This Row],[P17 Growth]]/PortfolioFrontier[[#This Row],[P17 HWM]]-1</f>
        <v>0</v>
      </c>
      <c r="BS100" s="28">
        <f>SUMPRODUCT(INDEX(PortfolioRef[[SPY]:[PE]],MATCH(BS$1,PortfolioRef[Reference '#]),0),AssetMonthlyReturns[[#This Row],[SPY]:[PE]])</f>
        <v>3.0598337842869264E-2</v>
      </c>
      <c r="BT100" s="27">
        <f>IF(ISNUMBER(BT99),BT99*(1+PortfolioFrontier[[#This Row],[P18 Return]]),1+PortfolioFrontier[[#This Row],[P18 Return]])</f>
        <v>1.8508927026312636</v>
      </c>
      <c r="BU100" s="27">
        <f>MAX(BU99,PortfolioFrontier[[#This Row],[P18 Growth]])</f>
        <v>1.8508927026312636</v>
      </c>
      <c r="BV100" s="27">
        <f>PortfolioFrontier[[#This Row],[P18 Growth]]/PortfolioFrontier[[#This Row],[P18 HWM]]-1</f>
        <v>0</v>
      </c>
      <c r="BW100" s="28">
        <f>SUMPRODUCT(INDEX(PortfolioRef[[SPY]:[PE]],MATCH(BW$1,PortfolioRef[Reference '#]),0),AssetMonthlyReturns[[#This Row],[SPY]:[PE]])</f>
        <v>2.7203107107090344E-2</v>
      </c>
      <c r="BX100" s="27">
        <f>IF(ISNUMBER(BX99),BX99*(1+PortfolioFrontier[[#This Row],[P19 Return]]),1+PortfolioFrontier[[#This Row],[P19 Return]])</f>
        <v>1.8454826280880903</v>
      </c>
      <c r="BY100" s="27">
        <f>MAX(BY99,PortfolioFrontier[[#This Row],[P19 Growth]])</f>
        <v>1.8454826280880903</v>
      </c>
      <c r="BZ100" s="27">
        <f>PortfolioFrontier[[#This Row],[P19 Growth]]/PortfolioFrontier[[#This Row],[P19 HWM]]-1</f>
        <v>0</v>
      </c>
      <c r="CA100" s="28">
        <f>SUMPRODUCT(INDEX(PortfolioRef[[SPY]:[PE]],MATCH(CA$1,PortfolioRef[Reference '#]),0),AssetMonthlyReturns[[#This Row],[SPY]:[PE]])</f>
        <v>2.9109601744208603E-2</v>
      </c>
      <c r="CB100" s="27">
        <f>IF(ISNUMBER(CB99),CB99*(1+PortfolioFrontier[[#This Row],[P20 Return]]),1+PortfolioFrontier[[#This Row],[P20 Return]])</f>
        <v>1.9232143721334309</v>
      </c>
      <c r="CC100" s="27">
        <f>MAX(CC99,PortfolioFrontier[[#This Row],[P20 Growth]])</f>
        <v>1.9232143721334309</v>
      </c>
      <c r="CD100" s="27">
        <f>PortfolioFrontier[[#This Row],[P20 Growth]]/PortfolioFrontier[[#This Row],[P20 HWM]]-1</f>
        <v>0</v>
      </c>
      <c r="CE100" s="28">
        <f>SUMPRODUCT(INDEX(PortfolioRef[[SPY]:[PE]],MATCH(CE$1,PortfolioRef[Reference '#]),0),AssetMonthlyReturns[[#This Row],[SPY]:[PE]])</f>
        <v>3.0580001192278598E-2</v>
      </c>
      <c r="CF100" s="27">
        <f>IF(ISNUMBER(CF99),CF99*(1+PortfolioFrontier[[#This Row],[P21 Return]]),1+PortfolioFrontier[[#This Row],[P21 Return]])</f>
        <v>1.9008988193471898</v>
      </c>
      <c r="CG100" s="27">
        <f>MAX(CG99,PortfolioFrontier[[#This Row],[P21 Growth]])</f>
        <v>1.9008988193471898</v>
      </c>
      <c r="CH100" s="27">
        <f>PortfolioFrontier[[#This Row],[P21 Growth]]/PortfolioFrontier[[#This Row],[P21 HWM]]-1</f>
        <v>0</v>
      </c>
      <c r="CI100" s="28">
        <f>SUMPRODUCT(INDEX(PortfolioRef[[SPY]:[PE]],MATCH(CI$1,PortfolioRef[Reference '#]),0),AssetMonthlyReturns[[#This Row],[SPY]:[PE]])</f>
        <v>2.7184770456499679E-2</v>
      </c>
      <c r="CJ100" s="27">
        <f>IF(ISNUMBER(CJ99),CJ99*(1+PortfolioFrontier[[#This Row],[P22 Return]]),1+PortfolioFrontier[[#This Row],[P22 Return]])</f>
        <v>1.8953490458308899</v>
      </c>
      <c r="CK100" s="27">
        <f>MAX(CK99,PortfolioFrontier[[#This Row],[P22 Growth]])</f>
        <v>1.8953490458308899</v>
      </c>
      <c r="CL100" s="27">
        <f>PortfolioFrontier[[#This Row],[P22 Growth]]/PortfolioFrontier[[#This Row],[P22 HWM]]-1</f>
        <v>0</v>
      </c>
      <c r="CM100" s="28">
        <f>SUMPRODUCT(INDEX(PortfolioRef[[SPY]:[PE]],MATCH(CM$1,PortfolioRef[Reference '#]),0),AssetMonthlyReturns[[#This Row],[SPY]:[PE]])</f>
        <v>3.2050400640348586E-2</v>
      </c>
      <c r="CN100" s="27">
        <f>IF(ISNUMBER(CN99),CN99*(1+PortfolioFrontier[[#This Row],[P23 Return]]),1+PortfolioFrontier[[#This Row],[P23 Return]])</f>
        <v>1.8772722144608436</v>
      </c>
      <c r="CO100" s="27">
        <f>MAX(CO99,PortfolioFrontier[[#This Row],[P23 Growth]])</f>
        <v>1.8773392579135058</v>
      </c>
      <c r="CP100" s="27">
        <f>PortfolioFrontier[[#This Row],[P23 Growth]]/PortfolioFrontier[[#This Row],[P23 HWM]]-1</f>
        <v>-3.5711953702333155E-5</v>
      </c>
      <c r="CQ100" s="28">
        <f>SUMPRODUCT(INDEX(PortfolioRef[[SPY]:[PE]],MATCH(CQ$1,PortfolioRef[Reference '#]),0),AssetMonthlyReturns[[#This Row],[SPY]:[PE]])</f>
        <v>2.865516990456967E-2</v>
      </c>
      <c r="CR100" s="27">
        <f>IF(ISNUMBER(CR99),CR99*(1+PortfolioFrontier[[#This Row],[P24 Return]]),1+PortfolioFrontier[[#This Row],[P24 Return]])</f>
        <v>1.8729243554281836</v>
      </c>
      <c r="CS100" s="27">
        <f>MAX(CS99,PortfolioFrontier[[#This Row],[P24 Growth]])</f>
        <v>1.8729243554281836</v>
      </c>
      <c r="CT100" s="27">
        <f>PortfolioFrontier[[#This Row],[P24 Growth]]/PortfolioFrontier[[#This Row],[P24 HWM]]-1</f>
        <v>0</v>
      </c>
      <c r="CU100" s="28">
        <f>SUMPRODUCT(INDEX(PortfolioRef[[SPY]:[PE]],MATCH(CU$1,PortfolioRef[Reference '#]),0),AssetMonthlyReturns[[#This Row],[SPY]:[PE]])</f>
        <v>2.5259939168790747E-2</v>
      </c>
      <c r="CV100" s="27">
        <f>IF(ISNUMBER(CV99),CV99*(1+PortfolioFrontier[[#This Row],[P25 Return]]),1+PortfolioFrontier[[#This Row],[P25 Return]])</f>
        <v>1.8671093632187243</v>
      </c>
      <c r="CW100" s="27">
        <f>MAX(CW99,PortfolioFrontier[[#This Row],[P25 Growth]])</f>
        <v>1.8671093632187243</v>
      </c>
      <c r="CX100" s="27">
        <f>PortfolioFrontier[[#This Row],[P25 Growth]]/PortfolioFrontier[[#This Row],[P25 HWM]]-1</f>
        <v>0</v>
      </c>
      <c r="CY100" s="28">
        <f>SUMPRODUCT(INDEX(PortfolioRef[[SPY]:[PE]],MATCH(CY$1,PortfolioRef[Reference '#]),0),AssetMonthlyReturns[[#This Row],[SPY]:[PE]])</f>
        <v>3.0561664541687933E-2</v>
      </c>
      <c r="CZ100" s="27">
        <f>IF(ISNUMBER(CZ99),CZ99*(1+PortfolioFrontier[[#This Row],[P26 Return]]),1+PortfolioFrontier[[#This Row],[P26 Return]])</f>
        <v>1.9516802280224663</v>
      </c>
      <c r="DA100" s="27">
        <f>MAX(DA99,PortfolioFrontier[[#This Row],[P26 Growth]])</f>
        <v>1.9516802280224663</v>
      </c>
      <c r="DB100" s="27">
        <f>PortfolioFrontier[[#This Row],[P26 Growth]]/PortfolioFrontier[[#This Row],[P26 HWM]]-1</f>
        <v>0</v>
      </c>
      <c r="DC100" s="28">
        <f>SUMPRODUCT(INDEX(PortfolioRef[[SPY]:[PE]],MATCH(DC$1,PortfolioRef[Reference '#]),0),AssetMonthlyReturns[[#This Row],[SPY]:[PE]])</f>
        <v>2.7166433805909013E-2</v>
      </c>
      <c r="DD100" s="27">
        <f>IF(ISNUMBER(DD99),DD99*(1+PortfolioFrontier[[#This Row],[P27 Return]]),1+PortfolioFrontier[[#This Row],[P27 Return]])</f>
        <v>1.9459886917183147</v>
      </c>
      <c r="DE100" s="27">
        <f>MAX(DE99,PortfolioFrontier[[#This Row],[P27 Growth]])</f>
        <v>1.9459886917183147</v>
      </c>
      <c r="DF100" s="27">
        <f>PortfolioFrontier[[#This Row],[P27 Growth]]/PortfolioFrontier[[#This Row],[P27 HWM]]-1</f>
        <v>0</v>
      </c>
      <c r="DG100" s="28">
        <f>SUMPRODUCT(INDEX(PortfolioRef[[SPY]:[PE]],MATCH(DG$1,PortfolioRef[Reference '#]),0),AssetMonthlyReturns[[#This Row],[SPY]:[PE]])</f>
        <v>3.2032063989757921E-2</v>
      </c>
      <c r="DH100" s="27">
        <f>IF(ISNUMBER(DH99),DH99*(1+PortfolioFrontier[[#This Row],[P28 Return]]),1+PortfolioFrontier[[#This Row],[P28 Return]])</f>
        <v>1.9279729984907816</v>
      </c>
      <c r="DI100" s="27">
        <f>MAX(DI99,PortfolioFrontier[[#This Row],[P28 Growth]])</f>
        <v>1.9279729984907816</v>
      </c>
      <c r="DJ100" s="27">
        <f>PortfolioFrontier[[#This Row],[P28 Growth]]/PortfolioFrontier[[#This Row],[P28 HWM]]-1</f>
        <v>0</v>
      </c>
      <c r="DK100" s="28">
        <f>SUMPRODUCT(INDEX(PortfolioRef[[SPY]:[PE]],MATCH(DK$1,PortfolioRef[Reference '#]),0),AssetMonthlyReturns[[#This Row],[SPY]:[PE]])</f>
        <v>2.8636833253979005E-2</v>
      </c>
      <c r="DL100" s="27">
        <f>IF(ISNUMBER(DL99),DL99*(1+PortfolioFrontier[[#This Row],[P29 Return]]),1+PortfolioFrontier[[#This Row],[P29 Return]])</f>
        <v>1.9235136575116778</v>
      </c>
      <c r="DM100" s="27">
        <f>MAX(DM99,PortfolioFrontier[[#This Row],[P29 Growth]])</f>
        <v>1.9235136575116778</v>
      </c>
      <c r="DN100" s="27">
        <f>PortfolioFrontier[[#This Row],[P29 Growth]]/PortfolioFrontier[[#This Row],[P29 HWM]]-1</f>
        <v>0</v>
      </c>
      <c r="DO100" s="28">
        <f>SUMPRODUCT(INDEX(PortfolioRef[[SPY]:[PE]],MATCH(DO$1,PortfolioRef[Reference '#]),0),AssetMonthlyReturns[[#This Row],[SPY]:[PE]])</f>
        <v>2.5241602518200085E-2</v>
      </c>
      <c r="DP100" s="27">
        <f>IF(ISNUMBER(DP99),DP99*(1+PortfolioFrontier[[#This Row],[P30 Return]]),1+PortfolioFrontier[[#This Row],[P30 Return]])</f>
        <v>1.9175483437178444</v>
      </c>
      <c r="DQ100" s="27">
        <f>MAX(DQ99,PortfolioFrontier[[#This Row],[P30 Growth]])</f>
        <v>1.9175483437178444</v>
      </c>
      <c r="DR100" s="27">
        <f>PortfolioFrontier[[#This Row],[P30 Growth]]/PortfolioFrontier[[#This Row],[P30 HWM]]-1</f>
        <v>0</v>
      </c>
      <c r="DS100" s="28">
        <f>SUMPRODUCT(INDEX(PortfolioRef[[SPY]:[PE]],MATCH(DS$1,PortfolioRef[Reference '#]),0),AssetMonthlyReturns[[#This Row],[SPY]:[PE]])</f>
        <v>3.3502463437827916E-2</v>
      </c>
      <c r="DT100" s="27">
        <f>IF(ISNUMBER(DT99),DT99*(1+PortfolioFrontier[[#This Row],[P31 Return]]),1+PortfolioFrontier[[#This Row],[P31 Return]])</f>
        <v>1.9029575426350436</v>
      </c>
      <c r="DU100" s="27">
        <f>MAX(DU99,PortfolioFrontier[[#This Row],[P31 Growth]])</f>
        <v>1.9049492233405136</v>
      </c>
      <c r="DV100" s="27">
        <f>PortfolioFrontier[[#This Row],[P31 Growth]]/PortfolioFrontier[[#This Row],[P31 HWM]]-1</f>
        <v>-1.0455295506394124E-3</v>
      </c>
      <c r="DW100" s="28">
        <f>SUMPRODUCT(INDEX(PortfolioRef[[SPY]:[PE]],MATCH(DW$1,PortfolioRef[Reference '#]),0),AssetMonthlyReturns[[#This Row],[SPY]:[PE]])</f>
        <v>3.0107232702048993E-2</v>
      </c>
      <c r="DX100" s="27">
        <f>IF(ISNUMBER(DX99),DX99*(1+PortfolioFrontier[[#This Row],[P32 Return]]),1+PortfolioFrontier[[#This Row],[P32 Return]])</f>
        <v>1.8997101365441174</v>
      </c>
      <c r="DY100" s="27">
        <f>MAX(DY99,PortfolioFrontier[[#This Row],[P32 Growth]])</f>
        <v>1.9008002582008434</v>
      </c>
      <c r="DZ100" s="27">
        <f>PortfolioFrontier[[#This Row],[P32 Growth]]/PortfolioFrontier[[#This Row],[P32 HWM]]-1</f>
        <v>-5.7350668594602361E-4</v>
      </c>
      <c r="EA100" s="28">
        <f>SUMPRODUCT(INDEX(PortfolioRef[[SPY]:[PE]],MATCH(EA$1,PortfolioRef[Reference '#]),0),AssetMonthlyReturns[[#This Row],[SPY]:[PE]])</f>
        <v>2.6712001966270073E-2</v>
      </c>
      <c r="EB100" s="27">
        <f>IF(ISNUMBER(EB99),EB99*(1+PortfolioFrontier[[#This Row],[P33 Return]]),1+PortfolioFrontier[[#This Row],[P33 Return]])</f>
        <v>1.894964501283998</v>
      </c>
      <c r="EC100" s="27">
        <f>MAX(EC99,PortfolioFrontier[[#This Row],[P33 Growth]])</f>
        <v>1.8952037301437012</v>
      </c>
      <c r="ED100" s="27">
        <f>PortfolioFrontier[[#This Row],[P33 Growth]]/PortfolioFrontier[[#This Row],[P33 HWM]]-1</f>
        <v>-1.2622857157695844E-4</v>
      </c>
      <c r="EE100" s="28">
        <f>SUMPRODUCT(INDEX(PortfolioRef[[SPY]:[PE]],MATCH(EE$1,PortfolioRef[Reference '#]),0),AssetMonthlyReturns[[#This Row],[SPY]:[PE]])</f>
        <v>2.7445123185747683E-2</v>
      </c>
      <c r="EF100" s="27">
        <f>IF(ISNUMBER(EF99),EF99*(1+PortfolioFrontier[[#This Row],[P34 Return]]),1+PortfolioFrontier[[#This Row],[P34 Return]])</f>
        <v>1.7330967305027707</v>
      </c>
      <c r="EG100" s="27">
        <f>MAX(EG99,PortfolioFrontier[[#This Row],[P34 Growth]])</f>
        <v>1.7330967305027707</v>
      </c>
      <c r="EH100" s="27">
        <f>PortfolioFrontier[[#This Row],[P34 Growth]]/PortfolioFrontier[[#This Row],[P34 HWM]]-1</f>
        <v>0</v>
      </c>
      <c r="EI100" s="28">
        <f>SUMPRODUCT(INDEX(PortfolioRef[[SPY]:[PE]],MATCH(EI$1,PortfolioRef[Reference '#]),0),AssetMonthlyReturns[[#This Row],[SPY]:[PE]])</f>
        <v>2.7426786535157021E-2</v>
      </c>
      <c r="EJ100" s="27">
        <f>IF(ISNUMBER(EJ99),EJ99*(1+PortfolioFrontier[[#This Row],[P35 Return]]),1+PortfolioFrontier[[#This Row],[P35 Return]])</f>
        <v>1.7799507677443926</v>
      </c>
      <c r="EK100" s="27">
        <f>MAX(EK99,PortfolioFrontier[[#This Row],[P35 Growth]])</f>
        <v>1.7799507677443926</v>
      </c>
      <c r="EL100" s="27">
        <f>PortfolioFrontier[[#This Row],[P35 Growth]]/PortfolioFrontier[[#This Row],[P35 HWM]]-1</f>
        <v>0</v>
      </c>
      <c r="EM100" s="28">
        <f>SUMPRODUCT(INDEX(PortfolioRef[[SPY]:[PE]],MATCH(EM$1,PortfolioRef[Reference '#]),0),AssetMonthlyReturns[[#This Row],[SPY]:[PE]])</f>
        <v>2.8897185983227009E-2</v>
      </c>
      <c r="EN100" s="27">
        <f>IF(ISNUMBER(EN99),EN99*(1+PortfolioFrontier[[#This Row],[P36 Return]]),1+PortfolioFrontier[[#This Row],[P36 Return]])</f>
        <v>1.7594702388533892</v>
      </c>
      <c r="EO100" s="27">
        <f>MAX(EO99,PortfolioFrontier[[#This Row],[P36 Growth]])</f>
        <v>1.7595410507158049</v>
      </c>
      <c r="EP100" s="27">
        <f>PortfolioFrontier[[#This Row],[P36 Growth]]/PortfolioFrontier[[#This Row],[P36 HWM]]-1</f>
        <v>-4.0244507161113496E-5</v>
      </c>
      <c r="EQ100" s="28">
        <f>SUMPRODUCT(INDEX(PortfolioRef[[SPY]:[PE]],MATCH(EQ$1,PortfolioRef[Reference '#]),0),AssetMonthlyReturns[[#This Row],[SPY]:[PE]])</f>
        <v>2.5501955247448093E-2</v>
      </c>
      <c r="ER100" s="27">
        <f>IF(ISNUMBER(ER99),ER99*(1+PortfolioFrontier[[#This Row],[P37 Return]]),1+PortfolioFrontier[[#This Row],[P37 Return]])</f>
        <v>1.7536579655953368</v>
      </c>
      <c r="ES100" s="27">
        <f>MAX(ES99,PortfolioFrontier[[#This Row],[P37 Growth]])</f>
        <v>1.7536579655953368</v>
      </c>
      <c r="ET100" s="27">
        <f>PortfolioFrontier[[#This Row],[P37 Growth]]/PortfolioFrontier[[#This Row],[P37 HWM]]-1</f>
        <v>0</v>
      </c>
      <c r="EU100" s="28">
        <f>SUMPRODUCT(INDEX(PortfolioRef[[SPY]:[PE]],MATCH(EU$1,PortfolioRef[Reference '#]),0),AssetMonthlyReturns[[#This Row],[SPY]:[PE]])</f>
        <v>2.7408449884566352E-2</v>
      </c>
      <c r="EV100" s="27">
        <f>IF(ISNUMBER(EV99),EV99*(1+PortfolioFrontier[[#This Row],[P38 Return]]),1+PortfolioFrontier[[#This Row],[P38 Return]])</f>
        <v>1.8275309234638724</v>
      </c>
      <c r="EW100" s="27">
        <f>MAX(EW99,PortfolioFrontier[[#This Row],[P38 Growth]])</f>
        <v>1.8275309234638724</v>
      </c>
      <c r="EX100" s="27">
        <f>PortfolioFrontier[[#This Row],[P38 Growth]]/PortfolioFrontier[[#This Row],[P38 HWM]]-1</f>
        <v>0</v>
      </c>
      <c r="EY100" s="28">
        <f>SUMPRODUCT(INDEX(PortfolioRef[[SPY]:[PE]],MATCH(EY$1,PortfolioRef[Reference '#]),0),AssetMonthlyReturns[[#This Row],[SPY]:[PE]])</f>
        <v>2.8878849332636344E-2</v>
      </c>
      <c r="EZ100" s="27">
        <f>IF(ISNUMBER(EZ99),EZ99*(1+PortfolioFrontier[[#This Row],[P39 Return]]),1+PortfolioFrontier[[#This Row],[P39 Return]])</f>
        <v>1.807019503687384</v>
      </c>
      <c r="FA100" s="27">
        <f>MAX(FA99,PortfolioFrontier[[#This Row],[P39 Growth]])</f>
        <v>1.807019503687384</v>
      </c>
      <c r="FB100" s="27">
        <f>PortfolioFrontier[[#This Row],[P39 Growth]]/PortfolioFrontier[[#This Row],[P39 HWM]]-1</f>
        <v>0</v>
      </c>
      <c r="FC100" s="28">
        <f>SUMPRODUCT(INDEX(PortfolioRef[[SPY]:[PE]],MATCH(FC$1,PortfolioRef[Reference '#]),0),AssetMonthlyReturns[[#This Row],[SPY]:[PE]])</f>
        <v>2.5483618596857428E-2</v>
      </c>
      <c r="FD100" s="27">
        <f>IF(ISNUMBER(FD99),FD99*(1+PortfolioFrontier[[#This Row],[P40 Return]]),1+PortfolioFrontier[[#This Row],[P40 Return]])</f>
        <v>1.8010566749599433</v>
      </c>
      <c r="FE100" s="27">
        <f>MAX(FE99,PortfolioFrontier[[#This Row],[P40 Growth]])</f>
        <v>1.8010566749599433</v>
      </c>
      <c r="FF100" s="27">
        <f>PortfolioFrontier[[#This Row],[P40 Growth]]/PortfolioFrontier[[#This Row],[P40 HWM]]-1</f>
        <v>0</v>
      </c>
      <c r="FG100" s="28">
        <f>SUMPRODUCT(INDEX(PortfolioRef[[SPY]:[PE]],MATCH(FG$1,PortfolioRef[Reference '#]),0),AssetMonthlyReturns[[#This Row],[SPY]:[PE]])</f>
        <v>3.0349248780706335E-2</v>
      </c>
      <c r="FH100" s="27">
        <f>IF(ISNUMBER(FH99),FH99*(1+PortfolioFrontier[[#This Row],[P41 Return]]),1+PortfolioFrontier[[#This Row],[P41 Return]])</f>
        <v>1.7852470473931277</v>
      </c>
      <c r="FI100" s="27">
        <f>MAX(FI99,PortfolioFrontier[[#This Row],[P41 Growth]])</f>
        <v>1.7871027450780388</v>
      </c>
      <c r="FJ100" s="27">
        <f>PortfolioFrontier[[#This Row],[P41 Growth]]/PortfolioFrontier[[#This Row],[P41 HWM]]-1</f>
        <v>-1.0383833218442495E-3</v>
      </c>
      <c r="FK100" s="28">
        <f>SUMPRODUCT(INDEX(PortfolioRef[[SPY]:[PE]],MATCH(FK$1,PortfolioRef[Reference '#]),0),AssetMonthlyReturns[[#This Row],[SPY]:[PE]])</f>
        <v>2.6954018044927416E-2</v>
      </c>
      <c r="FL100" s="27">
        <f>IF(ISNUMBER(FL99),FL99*(1+PortfolioFrontier[[#This Row],[P42 Return]]),1+PortfolioFrontier[[#This Row],[P42 Return]])</f>
        <v>1.7804305934822382</v>
      </c>
      <c r="FM100" s="27">
        <f>MAX(FM99,PortfolioFrontier[[#This Row],[P42 Growth]])</f>
        <v>1.781477955857059</v>
      </c>
      <c r="FN100" s="27">
        <f>PortfolioFrontier[[#This Row],[P42 Growth]]/PortfolioFrontier[[#This Row],[P42 HWM]]-1</f>
        <v>-5.8791767328769673E-4</v>
      </c>
      <c r="FO100" s="28">
        <f>SUMPRODUCT(INDEX(PortfolioRef[[SPY]:[PE]],MATCH(FO$1,PortfolioRef[Reference '#]),0),AssetMonthlyReturns[[#This Row],[SPY]:[PE]])</f>
        <v>2.3558787309148496E-2</v>
      </c>
      <c r="FP100" s="27">
        <f>IF(ISNUMBER(FP99),FP99*(1+PortfolioFrontier[[#This Row],[P43 Return]]),1+PortfolioFrontier[[#This Row],[P43 Return]])</f>
        <v>1.774225524604093</v>
      </c>
      <c r="FQ100" s="27">
        <f>MAX(FQ99,PortfolioFrontier[[#This Row],[P43 Growth]])</f>
        <v>1.7745133449459358</v>
      </c>
      <c r="FR100" s="27">
        <f>PortfolioFrontier[[#This Row],[P43 Growth]]/PortfolioFrontier[[#This Row],[P43 HWM]]-1</f>
        <v>-1.6219677505535657E-4</v>
      </c>
      <c r="FS100" s="28">
        <f>SUMPRODUCT(INDEX(PortfolioRef[[SPY]:[PE]],MATCH(FS$1,PortfolioRef[Reference '#]),0),AssetMonthlyReturns[[#This Row],[SPY]:[PE]])</f>
        <v>2.8860512682045675E-2</v>
      </c>
      <c r="FT100" s="27">
        <f>IF(ISNUMBER(FT99),FT99*(1+PortfolioFrontier[[#This Row],[P44 Return]]),1+PortfolioFrontier[[#This Row],[P44 Return]])</f>
        <v>1.8553054989052857</v>
      </c>
      <c r="FU100" s="27">
        <f>MAX(FU99,PortfolioFrontier[[#This Row],[P44 Growth]])</f>
        <v>1.8553054989052857</v>
      </c>
      <c r="FV100" s="27">
        <f>PortfolioFrontier[[#This Row],[P44 Growth]]/PortfolioFrontier[[#This Row],[P44 HWM]]-1</f>
        <v>0</v>
      </c>
      <c r="FW100" s="28">
        <f>SUMPRODUCT(INDEX(PortfolioRef[[SPY]:[PE]],MATCH(FW$1,PortfolioRef[Reference '#]),0),AssetMonthlyReturns[[#This Row],[SPY]:[PE]])</f>
        <v>2.5465281946266759E-2</v>
      </c>
      <c r="FX100" s="27">
        <f>IF(ISNUMBER(FX99),FX99*(1+PortfolioFrontier[[#This Row],[P45 Return]]),1+PortfolioFrontier[[#This Row],[P45 Return]])</f>
        <v>1.8491898849758182</v>
      </c>
      <c r="FY100" s="27">
        <f>MAX(FY99,PortfolioFrontier[[#This Row],[P45 Growth]])</f>
        <v>1.8491898849758182</v>
      </c>
      <c r="FZ100" s="27">
        <f>PortfolioFrontier[[#This Row],[P45 Growth]]/PortfolioFrontier[[#This Row],[P45 HWM]]-1</f>
        <v>0</v>
      </c>
      <c r="GA100" s="28">
        <f>SUMPRODUCT(INDEX(PortfolioRef[[SPY]:[PE]],MATCH(GA$1,PortfolioRef[Reference '#]),0),AssetMonthlyReturns[[#This Row],[SPY]:[PE]])</f>
        <v>3.033091213011567E-2</v>
      </c>
      <c r="GB100" s="27">
        <f>IF(ISNUMBER(GB99),GB99*(1+PortfolioFrontier[[#This Row],[P46 Return]]),1+PortfolioFrontier[[#This Row],[P46 Return]])</f>
        <v>1.8334754394854271</v>
      </c>
      <c r="GC100" s="27">
        <f>MAX(GC99,PortfolioFrontier[[#This Row],[P46 Growth]])</f>
        <v>1.8334754394854271</v>
      </c>
      <c r="GD100" s="27">
        <f>PortfolioFrontier[[#This Row],[P46 Growth]]/PortfolioFrontier[[#This Row],[P46 HWM]]-1</f>
        <v>0</v>
      </c>
      <c r="GE100" s="28">
        <f>SUMPRODUCT(INDEX(PortfolioRef[[SPY]:[PE]],MATCH(GE$1,PortfolioRef[Reference '#]),0),AssetMonthlyReturns[[#This Row],[SPY]:[PE]])</f>
        <v>2.693568139433675E-2</v>
      </c>
      <c r="GF100" s="27">
        <f>IF(ISNUMBER(GF99),GF99*(1+PortfolioFrontier[[#This Row],[P47 Return]]),1+PortfolioFrontier[[#This Row],[P47 Return]])</f>
        <v>1.8285349015512788</v>
      </c>
      <c r="GG100" s="27">
        <f>MAX(GG99,PortfolioFrontier[[#This Row],[P47 Growth]])</f>
        <v>1.8285349015512788</v>
      </c>
      <c r="GH100" s="27">
        <f>PortfolioFrontier[[#This Row],[P47 Growth]]/PortfolioFrontier[[#This Row],[P47 HWM]]-1</f>
        <v>0</v>
      </c>
      <c r="GI100" s="28">
        <f>SUMPRODUCT(INDEX(PortfolioRef[[SPY]:[PE]],MATCH(GI$1,PortfolioRef[Reference '#]),0),AssetMonthlyReturns[[#This Row],[SPY]:[PE]])</f>
        <v>2.3540450658557831E-2</v>
      </c>
      <c r="GJ100" s="27">
        <f>IF(ISNUMBER(GJ99),GJ99*(1+PortfolioFrontier[[#This Row],[P48 Return]]),1+PortfolioFrontier[[#This Row],[P48 Return]])</f>
        <v>1.8221689719328367</v>
      </c>
      <c r="GK100" s="27">
        <f>MAX(GK99,PortfolioFrontier[[#This Row],[P48 Growth]])</f>
        <v>1.8221689719328367</v>
      </c>
      <c r="GL100" s="27">
        <f>PortfolioFrontier[[#This Row],[P48 Growth]]/PortfolioFrontier[[#This Row],[P48 HWM]]-1</f>
        <v>0</v>
      </c>
      <c r="GM100" s="28">
        <f>SUMPRODUCT(INDEX(PortfolioRef[[SPY]:[PE]],MATCH(GM$1,PortfolioRef[Reference '#]),0),AssetMonthlyReturns[[#This Row],[SPY]:[PE]])</f>
        <v>3.1801311578185658E-2</v>
      </c>
      <c r="GN100" s="27">
        <f>IF(ISNUMBER(GN99),GN99*(1+PortfolioFrontier[[#This Row],[P49 Return]]),1+PortfolioFrontier[[#This Row],[P49 Return]])</f>
        <v>1.8103856438934141</v>
      </c>
      <c r="GO100" s="27">
        <f>MAX(GO99,PortfolioFrontier[[#This Row],[P49 Growth]])</f>
        <v>1.814092402713763</v>
      </c>
      <c r="GP100" s="27">
        <f>PortfolioFrontier[[#This Row],[P49 Growth]]/PortfolioFrontier[[#This Row],[P49 HWM]]-1</f>
        <v>-2.0433131271615501E-3</v>
      </c>
      <c r="GQ100" s="28">
        <f>SUMPRODUCT(INDEX(PortfolioRef[[SPY]:[PE]],MATCH(GQ$1,PortfolioRef[Reference '#]),0),AssetMonthlyReturns[[#This Row],[SPY]:[PE]])</f>
        <v>2.8406080842406742E-2</v>
      </c>
      <c r="GR100" s="27">
        <f>IF(ISNUMBER(GR99),GR99*(1+PortfolioFrontier[[#This Row],[P50 Return]]),1+PortfolioFrontier[[#This Row],[P50 Return]])</f>
        <v>1.8066021949829791</v>
      </c>
      <c r="GS100" s="27">
        <f>MAX(GS99,PortfolioFrontier[[#This Row],[P50 Growth]])</f>
        <v>1.8094604489400044</v>
      </c>
      <c r="GT100" s="27">
        <f>PortfolioFrontier[[#This Row],[P50 Growth]]/PortfolioFrontier[[#This Row],[P50 HWM]]-1</f>
        <v>-1.5796167076763679E-3</v>
      </c>
      <c r="GU100" s="28">
        <f>SUMPRODUCT(INDEX(PortfolioRef[[SPY]:[PE]],MATCH(GU$1,PortfolioRef[Reference '#]),0),AssetMonthlyReturns[[#This Row],[SPY]:[PE]])</f>
        <v>2.5010850106627819E-2</v>
      </c>
      <c r="GV100" s="27">
        <f>IF(ISNUMBER(GV99),GV99*(1+PortfolioFrontier[[#This Row],[P51 Return]]),1+PortfolioFrontier[[#This Row],[P51 Return]])</f>
        <v>1.8013994313110713</v>
      </c>
      <c r="GW100" s="27">
        <f>MAX(GW99,PortfolioFrontier[[#This Row],[P51 Growth]])</f>
        <v>1.8034565711702857</v>
      </c>
      <c r="GX100" s="27">
        <f>PortfolioFrontier[[#This Row],[P51 Growth]]/PortfolioFrontier[[#This Row],[P51 HWM]]-1</f>
        <v>-1.1406650385151762E-3</v>
      </c>
      <c r="GY100" s="28">
        <f>SUMPRODUCT(INDEX(PortfolioRef[[SPY]:[PE]],MATCH(GY$1,PortfolioRef[Reference '#]),0),AssetMonthlyReturns[[#This Row],[SPY]:[PE]])</f>
        <v>3.0312575479525004E-2</v>
      </c>
      <c r="GZ100" s="27">
        <f>IF(ISNUMBER(GZ99),GZ99*(1+PortfolioFrontier[[#This Row],[P52 Return]]),1+PortfolioFrontier[[#This Row],[P52 Return]])</f>
        <v>1.8824509284786801</v>
      </c>
      <c r="HA100" s="27">
        <f>MAX(HA99,PortfolioFrontier[[#This Row],[P52 Growth]])</f>
        <v>1.8824509284786801</v>
      </c>
      <c r="HB100" s="27">
        <f>PortfolioFrontier[[#This Row],[P52 Growth]]/PortfolioFrontier[[#This Row],[P52 HWM]]-1</f>
        <v>0</v>
      </c>
      <c r="HC100" s="28">
        <f>SUMPRODUCT(INDEX(PortfolioRef[[SPY]:[PE]],MATCH(HC$1,PortfolioRef[Reference '#]),0),AssetMonthlyReturns[[#This Row],[SPY]:[PE]])</f>
        <v>2.6917344743746085E-2</v>
      </c>
      <c r="HD100" s="27">
        <f>IF(ISNUMBER(HD99),HD99*(1+PortfolioFrontier[[#This Row],[P53 Return]]),1+PortfolioFrontier[[#This Row],[P53 Return]])</f>
        <v>1.8773844798086561</v>
      </c>
      <c r="HE100" s="27">
        <f>MAX(HE99,PortfolioFrontier[[#This Row],[P53 Growth]])</f>
        <v>1.8773844798086561</v>
      </c>
      <c r="HF100" s="27">
        <f>PortfolioFrontier[[#This Row],[P53 Growth]]/PortfolioFrontier[[#This Row],[P53 HWM]]-1</f>
        <v>0</v>
      </c>
      <c r="HG100" s="28">
        <f>SUMPRODUCT(INDEX(PortfolioRef[[SPY]:[PE]],MATCH(HG$1,PortfolioRef[Reference '#]),0),AssetMonthlyReturns[[#This Row],[SPY]:[PE]])</f>
        <v>2.3522114007967165E-2</v>
      </c>
      <c r="HH100" s="27">
        <f>IF(ISNUMBER(HH99),HH99*(1+PortfolioFrontier[[#This Row],[P54 Return]]),1+PortfolioFrontier[[#This Row],[P54 Return]])</f>
        <v>1.8708553038125495</v>
      </c>
      <c r="HI100" s="27">
        <f>MAX(HI99,PortfolioFrontier[[#This Row],[P54 Growth]])</f>
        <v>1.8708553038125495</v>
      </c>
      <c r="HJ100" s="27">
        <f>PortfolioFrontier[[#This Row],[P54 Growth]]/PortfolioFrontier[[#This Row],[P54 HWM]]-1</f>
        <v>0</v>
      </c>
      <c r="HK100" s="28">
        <f>SUMPRODUCT(INDEX(PortfolioRef[[SPY]:[PE]],MATCH(HK$1,PortfolioRef[Reference '#]),0),AssetMonthlyReturns[[#This Row],[SPY]:[PE]])</f>
        <v>3.1782974927594999E-2</v>
      </c>
      <c r="HL100" s="27">
        <f>IF(ISNUMBER(HL99),HL99*(1+PortfolioFrontier[[#This Row],[P55 Return]]),1+PortfolioFrontier[[#This Row],[P55 Return]])</f>
        <v>1.8592759843054147</v>
      </c>
      <c r="HM100" s="27">
        <f>MAX(HM99,PortfolioFrontier[[#This Row],[P55 Growth]])</f>
        <v>1.8592759843054147</v>
      </c>
      <c r="HN100" s="27">
        <f>PortfolioFrontier[[#This Row],[P55 Growth]]/PortfolioFrontier[[#This Row],[P55 HWM]]-1</f>
        <v>0</v>
      </c>
      <c r="HO100" s="28">
        <f>SUMPRODUCT(INDEX(PortfolioRef[[SPY]:[PE]],MATCH(HO$1,PortfolioRef[Reference '#]),0),AssetMonthlyReturns[[#This Row],[SPY]:[PE]])</f>
        <v>2.8387744191816076E-2</v>
      </c>
      <c r="HP100" s="27">
        <f>IF(ISNUMBER(HP99),HP99*(1+PortfolioFrontier[[#This Row],[P56 Return]]),1+PortfolioFrontier[[#This Row],[P56 Return]])</f>
        <v>1.8553958860418016</v>
      </c>
      <c r="HQ100" s="27">
        <f>MAX(HQ99,PortfolioFrontier[[#This Row],[P56 Growth]])</f>
        <v>1.8553958860418016</v>
      </c>
      <c r="HR100" s="27">
        <f>PortfolioFrontier[[#This Row],[P56 Growth]]/PortfolioFrontier[[#This Row],[P56 HWM]]-1</f>
        <v>0</v>
      </c>
      <c r="HS100" s="28">
        <f>SUMPRODUCT(INDEX(PortfolioRef[[SPY]:[PE]],MATCH(HS$1,PortfolioRef[Reference '#]),0),AssetMonthlyReturns[[#This Row],[SPY]:[PE]])</f>
        <v>2.4992513456037157E-2</v>
      </c>
      <c r="HT100" s="27">
        <f>IF(ISNUMBER(HT99),HT99*(1+PortfolioFrontier[[#This Row],[P57 Return]]),1+PortfolioFrontier[[#This Row],[P57 Return]])</f>
        <v>1.8500589033237278</v>
      </c>
      <c r="HU100" s="27">
        <f>MAX(HU99,PortfolioFrontier[[#This Row],[P57 Growth]])</f>
        <v>1.8500589033237278</v>
      </c>
      <c r="HV100" s="27">
        <f>PortfolioFrontier[[#This Row],[P57 Growth]]/PortfolioFrontier[[#This Row],[P57 HWM]]-1</f>
        <v>0</v>
      </c>
      <c r="HW100" s="28">
        <f>SUMPRODUCT(INDEX(PortfolioRef[[SPY]:[PE]],MATCH(HW$1,PortfolioRef[Reference '#]),0),AssetMonthlyReturns[[#This Row],[SPY]:[PE]])</f>
        <v>3.3253374375664987E-2</v>
      </c>
      <c r="HX100" s="27">
        <f>IF(ISNUMBER(HX99),HX99*(1+PortfolioFrontier[[#This Row],[P58 Return]]),1+PortfolioFrontier[[#This Row],[P58 Return]])</f>
        <v>1.8348446296431471</v>
      </c>
      <c r="HY100" s="27">
        <f>MAX(HY99,PortfolioFrontier[[#This Row],[P58 Growth]])</f>
        <v>1.8404673197393298</v>
      </c>
      <c r="HZ100" s="27">
        <f>PortfolioFrontier[[#This Row],[P58 Growth]]/PortfolioFrontier[[#This Row],[P58 HWM]]-1</f>
        <v>-3.055033923112016E-3</v>
      </c>
      <c r="IA100" s="28">
        <f>SUMPRODUCT(INDEX(PortfolioRef[[SPY]:[PE]],MATCH(IA$1,PortfolioRef[Reference '#]),0),AssetMonthlyReturns[[#This Row],[SPY]:[PE]])</f>
        <v>2.9858143639886071E-2</v>
      </c>
      <c r="IB100" s="27">
        <f>IF(ISNUMBER(IB99),IB99*(1+PortfolioFrontier[[#This Row],[P59 Return]]),1+PortfolioFrontier[[#This Row],[P59 Return]])</f>
        <v>1.832130696142338</v>
      </c>
      <c r="IC100" s="27">
        <f>MAX(IC99,PortfolioFrontier[[#This Row],[P59 Growth]])</f>
        <v>1.8368663336040691</v>
      </c>
      <c r="ID100" s="27">
        <f>PortfolioFrontier[[#This Row],[P59 Growth]]/PortfolioFrontier[[#This Row],[P59 HWM]]-1</f>
        <v>-2.5781067326980933E-3</v>
      </c>
      <c r="IE100" s="28">
        <f>SUMPRODUCT(INDEX(PortfolioRef[[SPY]:[PE]],MATCH(IE$1,PortfolioRef[Reference '#]),0),AssetMonthlyReturns[[#This Row],[SPY]:[PE]])</f>
        <v>2.6462912904107145E-2</v>
      </c>
      <c r="IF100" s="27">
        <f>IF(ISNUMBER(IF99),IF99*(1+PortfolioFrontier[[#This Row],[P60 Return]]),1+PortfolioFrontier[[#This Row],[P60 Return]])</f>
        <v>1.8279680465598913</v>
      </c>
      <c r="IG100" s="27">
        <f>MAX(IG99,PortfolioFrontier[[#This Row],[P60 Growth]])</f>
        <v>1.8318624474376162</v>
      </c>
      <c r="IH100" s="27">
        <f>PortfolioFrontier[[#This Row],[P60 Growth]]/PortfolioFrontier[[#This Row],[P60 HWM]]-1</f>
        <v>-2.1259242926084942E-3</v>
      </c>
      <c r="II100" s="28">
        <f>SUMPRODUCT(INDEX(PortfolioRef[[SPY]:[PE]],MATCH(II$1,PortfolioRef[Reference '#]),0),AssetMonthlyReturns[[#This Row],[SPY]:[PE]])</f>
        <v>2.5743971326105439E-2</v>
      </c>
      <c r="IJ100" s="27">
        <f>IF(ISNUMBER(IJ99),IJ99*(1+PortfolioFrontier[[#This Row],[P61 Return]]),1+PortfolioFrontier[[#This Row],[P61 Return]])</f>
        <v>1.646071881063544</v>
      </c>
      <c r="IK100" s="27">
        <f>MAX(IK99,PortfolioFrontier[[#This Row],[P61 Growth]])</f>
        <v>1.6461763728277712</v>
      </c>
      <c r="IL100" s="27">
        <f>PortfolioFrontier[[#This Row],[P61 Growth]]/PortfolioFrontier[[#This Row],[P61 HWM]]-1</f>
        <v>-6.3475436746673886E-5</v>
      </c>
      <c r="IM100" s="28">
        <f>SUMPRODUCT(INDEX(PortfolioRef[[SPY]:[PE]],MATCH(IM$1,PortfolioRef[Reference '#]),0),AssetMonthlyReturns[[#This Row],[SPY]:[PE]])</f>
        <v>2.5725634675514773E-2</v>
      </c>
      <c r="IN100" s="27">
        <f>IF(ISNUMBER(IN99),IN99*(1+PortfolioFrontier[[#This Row],[P62 Return]]),1+PortfolioFrontier[[#This Row],[P62 Return]])</f>
        <v>1.6905863353330797</v>
      </c>
      <c r="IO100" s="27">
        <f>MAX(IO99,PortfolioFrontier[[#This Row],[P62 Growth]])</f>
        <v>1.6905863353330797</v>
      </c>
      <c r="IP100" s="27">
        <f>PortfolioFrontier[[#This Row],[P62 Growth]]/PortfolioFrontier[[#This Row],[P62 HWM]]-1</f>
        <v>0</v>
      </c>
      <c r="IQ100" s="28">
        <f>SUMPRODUCT(INDEX(PortfolioRef[[SPY]:[PE]],MATCH(IQ$1,PortfolioRef[Reference '#]),0),AssetMonthlyReturns[[#This Row],[SPY]:[PE]])</f>
        <v>2.7196034123584761E-2</v>
      </c>
      <c r="IR100" s="27">
        <f>IF(ISNUMBER(IR99),IR99*(1+PortfolioFrontier[[#This Row],[P63 Return]]),1+PortfolioFrontier[[#This Row],[P63 Return]])</f>
        <v>1.6717739786841019</v>
      </c>
      <c r="IS100" s="27">
        <f>MAX(IS99,PortfolioFrontier[[#This Row],[P63 Growth]])</f>
        <v>1.6735310783220008</v>
      </c>
      <c r="IT100" s="27">
        <f>PortfolioFrontier[[#This Row],[P63 Growth]]/PortfolioFrontier[[#This Row],[P63 HWM]]-1</f>
        <v>-1.0499354691760887E-3</v>
      </c>
      <c r="IU100" s="28">
        <f>SUMPRODUCT(INDEX(PortfolioRef[[SPY]:[PE]],MATCH(IU$1,PortfolioRef[Reference '#]),0),AssetMonthlyReturns[[#This Row],[SPY]:[PE]])</f>
        <v>2.3800803387805845E-2</v>
      </c>
      <c r="IV100" s="27">
        <f>IF(ISNUMBER(IV99),IV99*(1+PortfolioFrontier[[#This Row],[P64 Return]]),1+PortfolioFrontier[[#This Row],[P64 Return]])</f>
        <v>1.6656165585049456</v>
      </c>
      <c r="IW100" s="27">
        <f>MAX(IW99,PortfolioFrontier[[#This Row],[P64 Growth]])</f>
        <v>1.6666515942058002</v>
      </c>
      <c r="IX100" s="27">
        <f>PortfolioFrontier[[#This Row],[P64 Growth]]/PortfolioFrontier[[#This Row],[P64 HWM]]-1</f>
        <v>-6.210270367561499E-4</v>
      </c>
      <c r="IY100" s="28">
        <f>SUMPRODUCT(INDEX(PortfolioRef[[SPY]:[PE]],MATCH(IY$1,PortfolioRef[Reference '#]),0),AssetMonthlyReturns[[#This Row],[SPY]:[PE]])</f>
        <v>2.5707298024924108E-2</v>
      </c>
      <c r="IZ100" s="27">
        <f>IF(ISNUMBER(IZ99),IZ99*(1+PortfolioFrontier[[#This Row],[P65 Return]]),1+PortfolioFrontier[[#This Row],[P65 Return]])</f>
        <v>1.7357902199132786</v>
      </c>
      <c r="JA100" s="27">
        <f>MAX(JA99,PortfolioFrontier[[#This Row],[P65 Growth]])</f>
        <v>1.7357902199132786</v>
      </c>
      <c r="JB100" s="27">
        <f>PortfolioFrontier[[#This Row],[P65 Growth]]/PortfolioFrontier[[#This Row],[P65 HWM]]-1</f>
        <v>0</v>
      </c>
      <c r="JC100" s="28">
        <f>SUMPRODUCT(INDEX(PortfolioRef[[SPY]:[PE]],MATCH(JC$1,PortfolioRef[Reference '#]),0),AssetMonthlyReturns[[#This Row],[SPY]:[PE]])</f>
        <v>2.7177697472994099E-2</v>
      </c>
      <c r="JD100" s="27">
        <f>IF(ISNUMBER(JD99),JD99*(1+PortfolioFrontier[[#This Row],[P66 Return]]),1+PortfolioFrontier[[#This Row],[P66 Return]])</f>
        <v>1.7169662913311872</v>
      </c>
      <c r="JE100" s="27">
        <f>MAX(JE99,PortfolioFrontier[[#This Row],[P66 Growth]])</f>
        <v>1.7169662913311872</v>
      </c>
      <c r="JF100" s="27">
        <f>PortfolioFrontier[[#This Row],[P66 Growth]]/PortfolioFrontier[[#This Row],[P66 HWM]]-1</f>
        <v>0</v>
      </c>
      <c r="JG100" s="28">
        <f>SUMPRODUCT(INDEX(PortfolioRef[[SPY]:[PE]],MATCH(JG$1,PortfolioRef[Reference '#]),0),AssetMonthlyReturns[[#This Row],[SPY]:[PE]])</f>
        <v>2.3782466737215183E-2</v>
      </c>
      <c r="JH100" s="27">
        <f>IF(ISNUMBER(JH99),JH99*(1+PortfolioFrontier[[#This Row],[P67 Return]]),1+PortfolioFrontier[[#This Row],[P67 Return]])</f>
        <v>1.7106489683582569</v>
      </c>
      <c r="JI100" s="27">
        <f>MAX(JI99,PortfolioFrontier[[#This Row],[P67 Growth]])</f>
        <v>1.7106489683582569</v>
      </c>
      <c r="JJ100" s="27">
        <f>PortfolioFrontier[[#This Row],[P67 Growth]]/PortfolioFrontier[[#This Row],[P67 HWM]]-1</f>
        <v>0</v>
      </c>
      <c r="JK100" s="28">
        <f>SUMPRODUCT(INDEX(PortfolioRef[[SPY]:[PE]],MATCH(JK$1,PortfolioRef[Reference '#]),0),AssetMonthlyReturns[[#This Row],[SPY]:[PE]])</f>
        <v>2.8648096921064091E-2</v>
      </c>
      <c r="JL100" s="27">
        <f>IF(ISNUMBER(JL99),JL99*(1+PortfolioFrontier[[#This Row],[P68 Return]]),1+PortfolioFrontier[[#This Row],[P68 Return]])</f>
        <v>1.6969305984314411</v>
      </c>
      <c r="JM100" s="27">
        <f>MAX(JM99,PortfolioFrontier[[#This Row],[P68 Growth]])</f>
        <v>1.7004048426372562</v>
      </c>
      <c r="JN100" s="27">
        <f>PortfolioFrontier[[#This Row],[P68 Growth]]/PortfolioFrontier[[#This Row],[P68 HWM]]-1</f>
        <v>-2.0431864922395571E-3</v>
      </c>
      <c r="JO100" s="28">
        <f>SUMPRODUCT(INDEX(PortfolioRef[[SPY]:[PE]],MATCH(JO$1,PortfolioRef[Reference '#]),0),AssetMonthlyReturns[[#This Row],[SPY]:[PE]])</f>
        <v>2.5252866185285171E-2</v>
      </c>
      <c r="JP100" s="27">
        <f>IF(ISNUMBER(JP99),JP99*(1+PortfolioFrontier[[#This Row],[P69 Return]]),1+PortfolioFrontier[[#This Row],[P69 Return]])</f>
        <v>1.6917057411998322</v>
      </c>
      <c r="JQ100" s="27">
        <f>MAX(JQ99,PortfolioFrontier[[#This Row],[P69 Growth]])</f>
        <v>1.6944185854823652</v>
      </c>
      <c r="JR100" s="27">
        <f>PortfolioFrontier[[#This Row],[P69 Growth]]/PortfolioFrontier[[#This Row],[P69 HWM]]-1</f>
        <v>-1.6010472888909888E-3</v>
      </c>
      <c r="JS100" s="28">
        <f>SUMPRODUCT(INDEX(PortfolioRef[[SPY]:[PE]],MATCH(JS$1,PortfolioRef[Reference '#]),0),AssetMonthlyReturns[[#This Row],[SPY]:[PE]])</f>
        <v>2.1857635449506252E-2</v>
      </c>
      <c r="JT100" s="27">
        <f>IF(ISNUMBER(JT99),JT99*(1+PortfolioFrontier[[#This Row],[P70 Return]]),1+PortfolioFrontier[[#This Row],[P70 Return]])</f>
        <v>1.6851676112247218</v>
      </c>
      <c r="JU100" s="27">
        <f>MAX(JU99,PortfolioFrontier[[#This Row],[P70 Growth]])</f>
        <v>1.6871646284217272</v>
      </c>
      <c r="JV100" s="27">
        <f>PortfolioFrontier[[#This Row],[P70 Growth]]/PortfolioFrontier[[#This Row],[P70 HWM]]-1</f>
        <v>-1.1836528358667442E-3</v>
      </c>
      <c r="JW100" s="28">
        <f>SUMPRODUCT(INDEX(PortfolioRef[[SPY]:[PE]],MATCH(JW$1,PortfolioRef[Reference '#]),0),AssetMonthlyReturns[[#This Row],[SPY]:[PE]])</f>
        <v>2.7159360822403431E-2</v>
      </c>
      <c r="JX100" s="27">
        <f>IF(ISNUMBER(JX99),JX99*(1+PortfolioFrontier[[#This Row],[P71 Return]]),1+PortfolioFrontier[[#This Row],[P71 Return]])</f>
        <v>1.7628583754295646</v>
      </c>
      <c r="JY100" s="27">
        <f>MAX(JY99,PortfolioFrontier[[#This Row],[P71 Growth]])</f>
        <v>1.7628583754295646</v>
      </c>
      <c r="JZ100" s="27">
        <f>PortfolioFrontier[[#This Row],[P71 Growth]]/PortfolioFrontier[[#This Row],[P71 HWM]]-1</f>
        <v>0</v>
      </c>
      <c r="KA100" s="28">
        <f>SUMPRODUCT(INDEX(PortfolioRef[[SPY]:[PE]],MATCH(KA$1,PortfolioRef[Reference '#]),0),AssetMonthlyReturns[[#This Row],[SPY]:[PE]])</f>
        <v>2.3764130086624514E-2</v>
      </c>
      <c r="KB100" s="27">
        <f>IF(ISNUMBER(KB99),KB99*(1+PortfolioFrontier[[#This Row],[P72 Return]]),1+PortfolioFrontier[[#This Row],[P72 Return]])</f>
        <v>1.756378777087638</v>
      </c>
      <c r="KC100" s="27">
        <f>MAX(KC99,PortfolioFrontier[[#This Row],[P72 Growth]])</f>
        <v>1.756378777087638</v>
      </c>
      <c r="KD100" s="27">
        <f>PortfolioFrontier[[#This Row],[P72 Growth]]/PortfolioFrontier[[#This Row],[P72 HWM]]-1</f>
        <v>0</v>
      </c>
      <c r="KE100" s="28">
        <f>SUMPRODUCT(INDEX(PortfolioRef[[SPY]:[PE]],MATCH(KE$1,PortfolioRef[Reference '#]),0),AssetMonthlyReturns[[#This Row],[SPY]:[PE]])</f>
        <v>2.8629760270473426E-2</v>
      </c>
      <c r="KF100" s="27">
        <f>IF(ISNUMBER(KF99),KF99*(1+PortfolioFrontier[[#This Row],[P73 Return]]),1+PortfolioFrontier[[#This Row],[P73 Return]])</f>
        <v>1.7427860238256414</v>
      </c>
      <c r="KG100" s="27">
        <f>MAX(KG99,PortfolioFrontier[[#This Row],[P73 Growth]])</f>
        <v>1.7427860238256414</v>
      </c>
      <c r="KH100" s="27">
        <f>PortfolioFrontier[[#This Row],[P73 Growth]]/PortfolioFrontier[[#This Row],[P73 HWM]]-1</f>
        <v>0</v>
      </c>
      <c r="KI100" s="28">
        <f>SUMPRODUCT(INDEX(PortfolioRef[[SPY]:[PE]],MATCH(KI$1,PortfolioRef[Reference '#]),0),AssetMonthlyReturns[[#This Row],[SPY]:[PE]])</f>
        <v>2.5234529534694506E-2</v>
      </c>
      <c r="KJ100" s="27">
        <f>IF(ISNUMBER(KJ99),KJ99*(1+PortfolioFrontier[[#This Row],[P74 Return]]),1+PortfolioFrontier[[#This Row],[P74 Return]])</f>
        <v>1.7374260715459691</v>
      </c>
      <c r="KK100" s="27">
        <f>MAX(KK99,PortfolioFrontier[[#This Row],[P74 Growth]])</f>
        <v>1.7374260715459691</v>
      </c>
      <c r="KL100" s="27">
        <f>PortfolioFrontier[[#This Row],[P74 Growth]]/PortfolioFrontier[[#This Row],[P74 HWM]]-1</f>
        <v>0</v>
      </c>
      <c r="KM100" s="28">
        <f>SUMPRODUCT(INDEX(PortfolioRef[[SPY]:[PE]],MATCH(KM$1,PortfolioRef[Reference '#]),0),AssetMonthlyReturns[[#This Row],[SPY]:[PE]])</f>
        <v>2.1839298798915587E-2</v>
      </c>
      <c r="KN100" s="27">
        <f>IF(ISNUMBER(KN99),KN99*(1+PortfolioFrontier[[#This Row],[P75 Return]]),1+PortfolioFrontier[[#This Row],[P75 Return]])</f>
        <v>1.7307180496863257</v>
      </c>
      <c r="KO100" s="27">
        <f>MAX(KO99,PortfolioFrontier[[#This Row],[P75 Growth]])</f>
        <v>1.7307180496863257</v>
      </c>
      <c r="KP100" s="27">
        <f>PortfolioFrontier[[#This Row],[P75 Growth]]/PortfolioFrontier[[#This Row],[P75 HWM]]-1</f>
        <v>0</v>
      </c>
      <c r="KQ100" s="28">
        <f>SUMPRODUCT(INDEX(PortfolioRef[[SPY]:[PE]],MATCH(KQ$1,PortfolioRef[Reference '#]),0),AssetMonthlyReturns[[#This Row],[SPY]:[PE]])</f>
        <v>3.0100159718543414E-2</v>
      </c>
      <c r="KR100" s="27">
        <f>IF(ISNUMBER(KR99),KR99*(1+PortfolioFrontier[[#This Row],[P76 Return]]),1+PortfolioFrontier[[#This Row],[P76 Return]])</f>
        <v>1.7215018272734759</v>
      </c>
      <c r="KS100" s="27">
        <f>MAX(KS99,PortfolioFrontier[[#This Row],[P76 Growth]])</f>
        <v>1.7267567426154209</v>
      </c>
      <c r="KT100" s="27">
        <f>PortfolioFrontier[[#This Row],[P76 Growth]]/PortfolioFrontier[[#This Row],[P76 HWM]]-1</f>
        <v>-3.0432285059363018E-3</v>
      </c>
      <c r="KU100" s="28">
        <f>SUMPRODUCT(INDEX(PortfolioRef[[SPY]:[PE]],MATCH(KU$1,PortfolioRef[Reference '#]),0),AssetMonthlyReturns[[#This Row],[SPY]:[PE]])</f>
        <v>2.6704928982764498E-2</v>
      </c>
      <c r="KV100" s="27">
        <f>IF(ISNUMBER(KV99),KV99*(1+PortfolioFrontier[[#This Row],[P77 Return]]),1+PortfolioFrontier[[#This Row],[P77 Return]])</f>
        <v>1.7172456438530967</v>
      </c>
      <c r="KW100" s="27">
        <f>MAX(KW99,PortfolioFrontier[[#This Row],[P77 Growth]])</f>
        <v>1.7217011628964656</v>
      </c>
      <c r="KX100" s="27">
        <f>PortfolioFrontier[[#This Row],[P77 Growth]]/PortfolioFrontier[[#This Row],[P77 HWM]]-1</f>
        <v>-2.587858531658993E-3</v>
      </c>
      <c r="KY100" s="28">
        <f>SUMPRODUCT(INDEX(PortfolioRef[[SPY]:[PE]],MATCH(KY$1,PortfolioRef[Reference '#]),0),AssetMonthlyReturns[[#This Row],[SPY]:[PE]])</f>
        <v>2.3309698246985575E-2</v>
      </c>
      <c r="KZ100" s="27">
        <f>IF(ISNUMBER(KZ99),KZ99*(1+PortfolioFrontier[[#This Row],[P78 Return]]),1+PortfolioFrontier[[#This Row],[P78 Return]])</f>
        <v>1.7116459468502103</v>
      </c>
      <c r="LA100" s="27">
        <f>MAX(LA99,PortfolioFrontier[[#This Row],[P78 Growth]])</f>
        <v>1.715346349128803</v>
      </c>
      <c r="LB100" s="27">
        <f>PortfolioFrontier[[#This Row],[P78 Growth]]/PortfolioFrontier[[#This Row],[P78 HWM]]-1</f>
        <v>-2.157233307706119E-3</v>
      </c>
      <c r="LC100" s="28">
        <f>SUMPRODUCT(INDEX(PortfolioRef[[SPY]:[PE]],MATCH(LC$1,PortfolioRef[Reference '#]),0),AssetMonthlyReturns[[#This Row],[SPY]:[PE]])</f>
        <v>2.8611423619882753E-2</v>
      </c>
      <c r="LD100" s="27">
        <f>IF(ISNUMBER(LD99),LD99*(1+PortfolioFrontier[[#This Row],[P79 Return]]),1+PortfolioFrontier[[#This Row],[P79 Return]])</f>
        <v>1.7893513370370795</v>
      </c>
      <c r="LE100" s="27">
        <f>MAX(LE99,PortfolioFrontier[[#This Row],[P79 Growth]])</f>
        <v>1.7893513370370795</v>
      </c>
      <c r="LF100" s="27">
        <f>PortfolioFrontier[[#This Row],[P79 Growth]]/PortfolioFrontier[[#This Row],[P79 HWM]]-1</f>
        <v>0</v>
      </c>
      <c r="LG100" s="28">
        <f>SUMPRODUCT(INDEX(PortfolioRef[[SPY]:[PE]],MATCH(LG$1,PortfolioRef[Reference '#]),0),AssetMonthlyReturns[[#This Row],[SPY]:[PE]])</f>
        <v>2.5216192884103837E-2</v>
      </c>
      <c r="LH100" s="27">
        <f>IF(ISNUMBER(LH99),LH99*(1+PortfolioFrontier[[#This Row],[P80 Return]]),1+PortfolioFrontier[[#This Row],[P80 Return]])</f>
        <v>1.7838542947818745</v>
      </c>
      <c r="LI100" s="27">
        <f>MAX(LI99,PortfolioFrontier[[#This Row],[P80 Growth]])</f>
        <v>1.7838542947818745</v>
      </c>
      <c r="LJ100" s="27">
        <f>PortfolioFrontier[[#This Row],[P80 Growth]]/PortfolioFrontier[[#This Row],[P80 HWM]]-1</f>
        <v>0</v>
      </c>
      <c r="LK100" s="28">
        <f>SUMPRODUCT(INDEX(PortfolioRef[[SPY]:[PE]],MATCH(LK$1,PortfolioRef[Reference '#]),0),AssetMonthlyReturns[[#This Row],[SPY]:[PE]])</f>
        <v>2.1820962148324918E-2</v>
      </c>
      <c r="LL100" s="27">
        <f>IF(ISNUMBER(LL99),LL99*(1+PortfolioFrontier[[#This Row],[P81 Return]]),1+PortfolioFrontier[[#This Row],[P81 Return]])</f>
        <v>1.7769738574317384</v>
      </c>
      <c r="LM100" s="27">
        <f>MAX(LM99,PortfolioFrontier[[#This Row],[P81 Growth]])</f>
        <v>1.7769738574317384</v>
      </c>
      <c r="LN100" s="27">
        <f>PortfolioFrontier[[#This Row],[P81 Growth]]/PortfolioFrontier[[#This Row],[P81 HWM]]-1</f>
        <v>0</v>
      </c>
      <c r="LO100" s="28">
        <f>SUMPRODUCT(INDEX(PortfolioRef[[SPY]:[PE]],MATCH(LO$1,PortfolioRef[Reference '#]),0),AssetMonthlyReturns[[#This Row],[SPY]:[PE]])</f>
        <v>3.0081823067952748E-2</v>
      </c>
      <c r="LP100" s="27">
        <f>IF(ISNUMBER(LP99),LP99*(1+PortfolioFrontier[[#This Row],[P82 Return]]),1+PortfolioFrontier[[#This Row],[P82 Return]])</f>
        <v>1.7680045820098886</v>
      </c>
      <c r="LQ100" s="27">
        <f>MAX(LQ99,PortfolioFrontier[[#This Row],[P82 Growth]])</f>
        <v>1.7684355759480177</v>
      </c>
      <c r="LR100" s="27">
        <f>PortfolioFrontier[[#This Row],[P82 Growth]]/PortfolioFrontier[[#This Row],[P82 HWM]]-1</f>
        <v>-2.4371480872187323E-4</v>
      </c>
      <c r="LS100" s="28">
        <f>SUMPRODUCT(INDEX(PortfolioRef[[SPY]:[PE]],MATCH(LS$1,PortfolioRef[Reference '#]),0),AssetMonthlyReturns[[#This Row],[SPY]:[PE]])</f>
        <v>2.6686592332173832E-2</v>
      </c>
      <c r="LT100" s="27">
        <f>IF(ISNUMBER(LT99),LT99*(1+PortfolioFrontier[[#This Row],[P83 Return]]),1+PortfolioFrontier[[#This Row],[P83 Return]])</f>
        <v>1.7636390472363026</v>
      </c>
      <c r="LU100" s="27">
        <f>MAX(LU99,PortfolioFrontier[[#This Row],[P83 Growth]])</f>
        <v>1.7636390472363026</v>
      </c>
      <c r="LV100" s="27">
        <f>PortfolioFrontier[[#This Row],[P83 Growth]]/PortfolioFrontier[[#This Row],[P83 HWM]]-1</f>
        <v>0</v>
      </c>
      <c r="LW100" s="28">
        <f>SUMPRODUCT(INDEX(PortfolioRef[[SPY]:[PE]],MATCH(LW$1,PortfolioRef[Reference '#]),0),AssetMonthlyReturns[[#This Row],[SPY]:[PE]])</f>
        <v>2.3291361596394909E-2</v>
      </c>
      <c r="LX100" s="27">
        <f>IF(ISNUMBER(LX99),LX99*(1+PortfolioFrontier[[#This Row],[P84 Return]]),1+PortfolioFrontier[[#This Row],[P84 Return]])</f>
        <v>1.7578944204529023</v>
      </c>
      <c r="LY100" s="27">
        <f>MAX(LY99,PortfolioFrontier[[#This Row],[P84 Growth]])</f>
        <v>1.7578944204529023</v>
      </c>
      <c r="LZ100" s="27">
        <f>PortfolioFrontier[[#This Row],[P84 Growth]]/PortfolioFrontier[[#This Row],[P84 HWM]]-1</f>
        <v>0</v>
      </c>
      <c r="MA100" s="28">
        <f>SUMPRODUCT(INDEX(PortfolioRef[[SPY]:[PE]],MATCH(MA$1,PortfolioRef[Reference '#]),0),AssetMonthlyReturns[[#This Row],[SPY]:[PE]])</f>
        <v>3.1552222516022736E-2</v>
      </c>
      <c r="MB100" s="27">
        <f>IF(ISNUMBER(MB99),MB99*(1+PortfolioFrontier[[#This Row],[P85 Return]]),1+PortfolioFrontier[[#This Row],[P85 Return]])</f>
        <v>1.745447804900716</v>
      </c>
      <c r="MC100" s="27">
        <f>MAX(MC99,PortfolioFrontier[[#This Row],[P85 Growth]])</f>
        <v>1.7525457228779266</v>
      </c>
      <c r="MD100" s="27">
        <f>PortfolioFrontier[[#This Row],[P85 Growth]]/PortfolioFrontier[[#This Row],[P85 HWM]]-1</f>
        <v>-4.050061510266767E-3</v>
      </c>
      <c r="ME100" s="28">
        <f>SUMPRODUCT(INDEX(PortfolioRef[[SPY]:[PE]],MATCH(ME$1,PortfolioRef[Reference '#]),0),AssetMonthlyReturns[[#This Row],[SPY]:[PE]])</f>
        <v>2.815699178024382E-2</v>
      </c>
      <c r="MF100" s="27">
        <f>IF(ISNUMBER(MF99),MF99*(1+PortfolioFrontier[[#This Row],[P86 Return]]),1+PortfolioFrontier[[#This Row],[P86 Return]])</f>
        <v>1.7421958166714324</v>
      </c>
      <c r="MG100" s="27">
        <f>MAX(MG99,PortfolioFrontier[[#This Row],[P86 Growth]])</f>
        <v>1.7484578498600691</v>
      </c>
      <c r="MH100" s="27">
        <f>PortfolioFrontier[[#This Row],[P86 Growth]]/PortfolioFrontier[[#This Row],[P86 HWM]]-1</f>
        <v>-3.5814607650609398E-3</v>
      </c>
      <c r="MI100" s="28">
        <f>SUMPRODUCT(INDEX(PortfolioRef[[SPY]:[PE]],MATCH(MI$1,PortfolioRef[Reference '#]),0),AssetMonthlyReturns[[#This Row],[SPY]:[PE]])</f>
        <v>2.4761761044464901E-2</v>
      </c>
      <c r="MJ100" s="27">
        <f>IF(ISNUMBER(MJ99),MJ99*(1+PortfolioFrontier[[#This Row],[P87 Return]]),1+PortfolioFrontier[[#This Row],[P87 Return]])</f>
        <v>1.7375712604035467</v>
      </c>
      <c r="MK100" s="27">
        <f>MAX(MK99,PortfolioFrontier[[#This Row],[P87 Growth]])</f>
        <v>1.7430402317492979</v>
      </c>
      <c r="ML100" s="27">
        <f>PortfolioFrontier[[#This Row],[P87 Growth]]/PortfolioFrontier[[#This Row],[P87 HWM]]-1</f>
        <v>-3.1376047701794363E-3</v>
      </c>
      <c r="MM100" s="28">
        <f>SUMPRODUCT(INDEX(PortfolioRef[[SPY]:[PE]],MATCH(MM$1,PortfolioRef[Reference '#]),0),AssetMonthlyReturns[[#This Row],[SPY]:[PE]])</f>
        <v>3.0063486417362083E-2</v>
      </c>
      <c r="MN100" s="27">
        <f>IF(ISNUMBER(MN99),MN99*(1+PortfolioFrontier[[#This Row],[P88 Return]]),1+PortfolioFrontier[[#This Row],[P88 Return]])</f>
        <v>1.815227100665423</v>
      </c>
      <c r="MO100" s="27">
        <f>MAX(MO99,PortfolioFrontier[[#This Row],[P88 Growth]])</f>
        <v>1.815227100665423</v>
      </c>
      <c r="MP100" s="27">
        <f>PortfolioFrontier[[#This Row],[P88 Growth]]/PortfolioFrontier[[#This Row],[P88 HWM]]-1</f>
        <v>0</v>
      </c>
      <c r="MQ100" s="28">
        <f>SUMPRODUCT(INDEX(PortfolioRef[[SPY]:[PE]],MATCH(MQ$1,PortfolioRef[Reference '#]),0),AssetMonthlyReturns[[#This Row],[SPY]:[PE]])</f>
        <v>2.6668255681583167E-2</v>
      </c>
      <c r="MR100" s="27">
        <f>IF(ISNUMBER(MR99),MR99*(1+PortfolioFrontier[[#This Row],[P89 Return]]),1+PortfolioFrontier[[#This Row],[P89 Return]])</f>
        <v>1.8107506112042366</v>
      </c>
      <c r="MS100" s="27">
        <f>MAX(MS99,PortfolioFrontier[[#This Row],[P89 Growth]])</f>
        <v>1.8107506112042366</v>
      </c>
      <c r="MT100" s="27">
        <f>PortfolioFrontier[[#This Row],[P89 Growth]]/PortfolioFrontier[[#This Row],[P89 HWM]]-1</f>
        <v>0</v>
      </c>
      <c r="MU100" s="28">
        <f>SUMPRODUCT(INDEX(PortfolioRef[[SPY]:[PE]],MATCH(MU$1,PortfolioRef[Reference '#]),0),AssetMonthlyReturns[[#This Row],[SPY]:[PE]])</f>
        <v>2.3273024945804244E-2</v>
      </c>
      <c r="MV100" s="27">
        <f>IF(ISNUMBER(MV99),MV99*(1+PortfolioFrontier[[#This Row],[P90 Return]]),1+PortfolioFrontier[[#This Row],[P90 Return]])</f>
        <v>1.8048589110429092</v>
      </c>
      <c r="MW100" s="27">
        <f>MAX(MW99,PortfolioFrontier[[#This Row],[P90 Growth]])</f>
        <v>1.8048589110429092</v>
      </c>
      <c r="MX100" s="27">
        <f>PortfolioFrontier[[#This Row],[P90 Growth]]/PortfolioFrontier[[#This Row],[P90 HWM]]-1</f>
        <v>0</v>
      </c>
      <c r="MY100" s="28">
        <f>SUMPRODUCT(INDEX(PortfolioRef[[SPY]:[PE]],MATCH(MY$1,PortfolioRef[Reference '#]),0),AssetMonthlyReturns[[#This Row],[SPY]:[PE]])</f>
        <v>3.1533885865432078E-2</v>
      </c>
      <c r="MZ100" s="27">
        <f>IF(ISNUMBER(MZ99),MZ99*(1+PortfolioFrontier[[#This Row],[P91 Return]]),1+PortfolioFrontier[[#This Row],[P91 Return]])</f>
        <v>1.7925810699956553</v>
      </c>
      <c r="NA100" s="27">
        <f>MAX(NA99,PortfolioFrontier[[#This Row],[P91 Growth]])</f>
        <v>1.794818371333033</v>
      </c>
      <c r="NB100" s="27">
        <f>PortfolioFrontier[[#This Row],[P91 Growth]]/PortfolioFrontier[[#This Row],[P91 HWM]]-1</f>
        <v>-1.2465335618979667E-3</v>
      </c>
      <c r="NC100" s="28">
        <f>SUMPRODUCT(INDEX(PortfolioRef[[SPY]:[PE]],MATCH(NC$1,PortfolioRef[Reference '#]),0),AssetMonthlyReturns[[#This Row],[SPY]:[PE]])</f>
        <v>2.8138655129653155E-2</v>
      </c>
      <c r="ND100" s="27">
        <f>IF(ISNUMBER(ND99),ND99*(1+PortfolioFrontier[[#This Row],[P92 Return]]),1+PortfolioFrontier[[#This Row],[P92 Return]])</f>
        <v>1.7892463941393153</v>
      </c>
      <c r="NE100" s="27">
        <f>MAX(NE99,PortfolioFrontier[[#This Row],[P92 Growth]])</f>
        <v>1.7906561518493085</v>
      </c>
      <c r="NF100" s="27">
        <f>PortfolioFrontier[[#This Row],[P92 Growth]]/PortfolioFrontier[[#This Row],[P92 HWM]]-1</f>
        <v>-7.8728554811446916E-4</v>
      </c>
      <c r="NG100" s="28">
        <f>SUMPRODUCT(INDEX(PortfolioRef[[SPY]:[PE]],MATCH(NG$1,PortfolioRef[Reference '#]),0),AssetMonthlyReturns[[#This Row],[SPY]:[PE]])</f>
        <v>2.4743424393874235E-2</v>
      </c>
      <c r="NH100" s="27">
        <f>IF(ISNUMBER(NH99),NH99*(1+PortfolioFrontier[[#This Row],[P93 Return]]),1+PortfolioFrontier[[#This Row],[P93 Return]])</f>
        <v>1.7845028214448493</v>
      </c>
      <c r="NI100" s="27">
        <f>MAX(NI99,PortfolioFrontier[[#This Row],[P93 Growth]])</f>
        <v>1.7851325845964556</v>
      </c>
      <c r="NJ100" s="27">
        <f>PortfolioFrontier[[#This Row],[P93 Growth]]/PortfolioFrontier[[#This Row],[P93 HWM]]-1</f>
        <v>-3.5278228465518424E-4</v>
      </c>
      <c r="NK100" s="28">
        <f>SUMPRODUCT(INDEX(PortfolioRef[[SPY]:[PE]],MATCH(NK$1,PortfolioRef[Reference '#]),0),AssetMonthlyReturns[[#This Row],[SPY]:[PE]])</f>
        <v>3.3004285313502066E-2</v>
      </c>
      <c r="NL100" s="27">
        <f>IF(ISNUMBER(NL99),NL99*(1+PortfolioFrontier[[#This Row],[P94 Return]]),1+PortfolioFrontier[[#This Row],[P94 Return]])</f>
        <v>1.7687288052038408</v>
      </c>
      <c r="NM100" s="27">
        <f>MAX(NM99,PortfolioFrontier[[#This Row],[P94 Growth]])</f>
        <v>1.7868313973018393</v>
      </c>
      <c r="NN100" s="27">
        <f>PortfolioFrontier[[#This Row],[P94 Growth]]/PortfolioFrontier[[#This Row],[P94 HWM]]-1</f>
        <v>-1.0131113727536833E-2</v>
      </c>
      <c r="NO100" s="28">
        <f>SUMPRODUCT(INDEX(PortfolioRef[[SPY]:[PE]],MATCH(NO$1,PortfolioRef[Reference '#]),0),AssetMonthlyReturns[[#This Row],[SPY]:[PE]])</f>
        <v>2.960905457772315E-2</v>
      </c>
      <c r="NP100" s="27">
        <f>IF(ISNUMBER(NP99),NP99*(1+PortfolioFrontier[[#This Row],[P95 Return]]),1+PortfolioFrontier[[#This Row],[P95 Return]])</f>
        <v>1.7665158561602006</v>
      </c>
      <c r="NQ100" s="27">
        <f>MAX(NQ99,PortfolioFrontier[[#This Row],[P95 Growth]])</f>
        <v>1.7746470297326191</v>
      </c>
      <c r="NR100" s="27">
        <f>PortfolioFrontier[[#This Row],[P95 Growth]]/PortfolioFrontier[[#This Row],[P95 HWM]]-1</f>
        <v>-4.581853989096385E-3</v>
      </c>
      <c r="NS100" s="28">
        <f>SUMPRODUCT(INDEX(PortfolioRef[[SPY]:[PE]],MATCH(NS$1,PortfolioRef[Reference '#]),0),AssetMonthlyReturns[[#This Row],[SPY]:[PE]])</f>
        <v>2.6213823841944227E-2</v>
      </c>
      <c r="NT100" s="27">
        <f>IF(ISNUMBER(NT99),NT99*(1+PortfolioFrontier[[#This Row],[P96 Return]]),1+PortfolioFrontier[[#This Row],[P96 Return]])</f>
        <v>1.7629025635531606</v>
      </c>
      <c r="NU100" s="27">
        <f>MAX(NU99,PortfolioFrontier[[#This Row],[P96 Growth]])</f>
        <v>1.7702042439973227</v>
      </c>
      <c r="NV100" s="27">
        <f>PortfolioFrontier[[#This Row],[P96 Growth]]/PortfolioFrontier[[#This Row],[P96 HWM]]-1</f>
        <v>-4.124767223286141E-3</v>
      </c>
      <c r="NW100" s="28">
        <f>SUMPRODUCT(INDEX(PortfolioRef[[SPY]:[PE]],MATCH(NW$1,PortfolioRef[Reference '#]),0),AssetMonthlyReturns[[#This Row],[SPY]:[PE]])</f>
        <v>2.4042819466463191E-2</v>
      </c>
      <c r="NX100" s="27">
        <f>IF(ISNUMBER(NX99),NX99*(1+PortfolioFrontier[[#This Row],[P97 Return]]),1+PortfolioFrontier[[#This Row],[P97 Return]])</f>
        <v>1.5626795626666876</v>
      </c>
      <c r="NY100" s="27">
        <f>MAX(NY99,PortfolioFrontier[[#This Row],[P97 Growth]])</f>
        <v>1.5643693725502228</v>
      </c>
      <c r="NZ100" s="27">
        <f>PortfolioFrontier[[#This Row],[P97 Growth]]/PortfolioFrontier[[#This Row],[P97 HWM]]-1</f>
        <v>-1.0801859926344859E-3</v>
      </c>
      <c r="OA100" s="28">
        <f>SUMPRODUCT(INDEX(PortfolioRef[[SPY]:[PE]],MATCH(OA$1,PortfolioRef[Reference '#]),0),AssetMonthlyReturns[[#This Row],[SPY]:[PE]])</f>
        <v>2.4024482815872529E-2</v>
      </c>
      <c r="OB100" s="27">
        <f>IF(ISNUMBER(OB99),OB99*(1+PortfolioFrontier[[#This Row],[P98 Return]]),1+PortfolioFrontier[[#This Row],[P98 Return]])</f>
        <v>1.6049518094736772</v>
      </c>
      <c r="OC100" s="27">
        <f>MAX(OC99,PortfolioFrontier[[#This Row],[P98 Growth]])</f>
        <v>1.6049518094736772</v>
      </c>
      <c r="OD100" s="27">
        <f>PortfolioFrontier[[#This Row],[P98 Growth]]/PortfolioFrontier[[#This Row],[P98 HWM]]-1</f>
        <v>0</v>
      </c>
      <c r="OE100" s="28">
        <f>SUMPRODUCT(INDEX(PortfolioRef[[SPY]:[PE]],MATCH(OE$1,PortfolioRef[Reference '#]),0),AssetMonthlyReturns[[#This Row],[SPY]:[PE]])</f>
        <v>2.5494882263942517E-2</v>
      </c>
      <c r="OF100" s="27">
        <f>IF(ISNUMBER(OF99),OF99*(1+PortfolioFrontier[[#This Row],[P99 Return]]),1+PortfolioFrontier[[#This Row],[P99 Return]])</f>
        <v>1.5876988025875842</v>
      </c>
      <c r="OG100" s="27">
        <f>MAX(OG99,PortfolioFrontier[[#This Row],[P99 Growth]])</f>
        <v>1.5909790166744495</v>
      </c>
      <c r="OH100" s="27">
        <f>PortfolioFrontier[[#This Row],[P99 Growth]]/PortfolioFrontier[[#This Row],[P99 HWM]]-1</f>
        <v>-2.061758233444122E-3</v>
      </c>
      <c r="OI100" s="28">
        <f>SUMPRODUCT(INDEX(PortfolioRef[[SPY]:[PE]],MATCH(OI$1,PortfolioRef[Reference '#]),0),AssetMonthlyReturns[[#This Row],[SPY]:[PE]])</f>
        <v>2.2099651528163601E-2</v>
      </c>
      <c r="OJ100" s="27">
        <f>IF(ISNUMBER(OJ99),OJ99*(1+PortfolioFrontier[[#This Row],[P100 Return]]),1+PortfolioFrontier[[#This Row],[P100 Return]])</f>
        <v>1.5812492076088736</v>
      </c>
      <c r="OK100" s="27">
        <f>MAX(OK99,PortfolioFrontier[[#This Row],[P100 Growth]])</f>
        <v>1.5838485822797399</v>
      </c>
      <c r="OL100" s="27">
        <f>PortfolioFrontier[[#This Row],[P100 Growth]]/PortfolioFrontier[[#This Row],[P100 HWM]]-1</f>
        <v>-1.6411762462323898E-3</v>
      </c>
      <c r="OM100" s="28">
        <f>SUMPRODUCT(INDEX(PortfolioRef[[SPY]:[PE]],MATCH(OM$1,PortfolioRef[Reference '#]),0),AssetMonthlyReturns[[#This Row],[SPY]:[PE]])</f>
        <v>2.400614616528186E-2</v>
      </c>
      <c r="ON100" s="27">
        <f>IF(ISNUMBER(ON99),ON99*(1+PortfolioFrontier[[#This Row],[P101 Return]]),1+PortfolioFrontier[[#This Row],[P101 Return]])</f>
        <v>1.6478783573367723</v>
      </c>
      <c r="OO100" s="27">
        <f>MAX(OO99,PortfolioFrontier[[#This Row],[P101 Growth]])</f>
        <v>1.6478783573367723</v>
      </c>
      <c r="OP100" s="27">
        <f>PortfolioFrontier[[#This Row],[P101 Growth]]/PortfolioFrontier[[#This Row],[P101 HWM]]-1</f>
        <v>0</v>
      </c>
      <c r="OQ100" s="28">
        <f>SUMPRODUCT(INDEX(PortfolioRef[[SPY]:[PE]],MATCH(OQ$1,PortfolioRef[Reference '#]),0),AssetMonthlyReturns[[#This Row],[SPY]:[PE]])</f>
        <v>2.5476545613351852E-2</v>
      </c>
      <c r="OR100" s="27">
        <f>IF(ISNUMBER(OR99),OR99*(1+PortfolioFrontier[[#This Row],[P102 Return]]),1+PortfolioFrontier[[#This Row],[P102 Return]])</f>
        <v>1.6306312221354085</v>
      </c>
      <c r="OS100" s="27">
        <f>MAX(OS99,PortfolioFrontier[[#This Row],[P102 Growth]])</f>
        <v>1.6306312221354085</v>
      </c>
      <c r="OT100" s="27">
        <f>PortfolioFrontier[[#This Row],[P102 Growth]]/PortfolioFrontier[[#This Row],[P102 HWM]]-1</f>
        <v>0</v>
      </c>
      <c r="OU100" s="28">
        <f>SUMPRODUCT(INDEX(PortfolioRef[[SPY]:[PE]],MATCH(OU$1,PortfolioRef[Reference '#]),0),AssetMonthlyReturns[[#This Row],[SPY]:[PE]])</f>
        <v>2.2081314877572936E-2</v>
      </c>
      <c r="OV100" s="27">
        <f>IF(ISNUMBER(OV99),OV99*(1+PortfolioFrontier[[#This Row],[P103 Return]]),1+PortfolioFrontier[[#This Row],[P103 Return]])</f>
        <v>1.6240137790739382</v>
      </c>
      <c r="OW100" s="27">
        <f>MAX(OW99,PortfolioFrontier[[#This Row],[P103 Growth]])</f>
        <v>1.6240137790739382</v>
      </c>
      <c r="OX100" s="27">
        <f>PortfolioFrontier[[#This Row],[P103 Growth]]/PortfolioFrontier[[#This Row],[P103 HWM]]-1</f>
        <v>0</v>
      </c>
      <c r="OY100" s="28">
        <f>SUMPRODUCT(INDEX(PortfolioRef[[SPY]:[PE]],MATCH(OY$1,PortfolioRef[Reference '#]),0),AssetMonthlyReturns[[#This Row],[SPY]:[PE]])</f>
        <v>2.694694506142184E-2</v>
      </c>
      <c r="OZ100" s="27">
        <f>IF(ISNUMBER(OZ99),OZ99*(1+PortfolioFrontier[[#This Row],[P104 Return]]),1+PortfolioFrontier[[#This Row],[P104 Return]])</f>
        <v>1.6122207669433897</v>
      </c>
      <c r="PA100" s="27">
        <f>MAX(PA99,PortfolioFrontier[[#This Row],[P104 Growth]])</f>
        <v>1.6176462594840681</v>
      </c>
      <c r="PB100" s="27">
        <f>PortfolioFrontier[[#This Row],[P104 Growth]]/PortfolioFrontier[[#This Row],[P104 HWM]]-1</f>
        <v>-3.3539425006360313E-3</v>
      </c>
      <c r="PC100" s="28">
        <f>SUMPRODUCT(INDEX(PortfolioRef[[SPY]:[PE]],MATCH(PC$1,PortfolioRef[Reference '#]),0),AssetMonthlyReturns[[#This Row],[SPY]:[PE]])</f>
        <v>2.3551714325642924E-2</v>
      </c>
      <c r="PD100" s="27">
        <f>IF(ISNUMBER(PD99),PD99*(1+PortfolioFrontier[[#This Row],[P105 Return]]),1+PortfolioFrontier[[#This Row],[P105 Return]])</f>
        <v>1.6066435298450157</v>
      </c>
      <c r="PE100" s="27">
        <f>MAX(PE99,PortfolioFrontier[[#This Row],[P105 Growth]])</f>
        <v>1.6108580317387871</v>
      </c>
      <c r="PF100" s="27">
        <f>PortfolioFrontier[[#This Row],[P105 Growth]]/PortfolioFrontier[[#This Row],[P105 HWM]]-1</f>
        <v>-2.6163087067468949E-3</v>
      </c>
      <c r="PG100" s="28">
        <f>SUMPRODUCT(INDEX(PortfolioRef[[SPY]:[PE]],MATCH(PG$1,PortfolioRef[Reference '#]),0),AssetMonthlyReturns[[#This Row],[SPY]:[PE]])</f>
        <v>2.0156483589864004E-2</v>
      </c>
      <c r="PH100" s="27">
        <f>IF(ISNUMBER(PH99),PH99*(1+PortfolioFrontier[[#This Row],[P106 Return]]),1+PortfolioFrontier[[#This Row],[P106 Return]])</f>
        <v>1.5998252491792666</v>
      </c>
      <c r="PI100" s="27">
        <f>MAX(PI99,PortfolioFrontier[[#This Row],[P106 Growth]])</f>
        <v>1.6033642600292135</v>
      </c>
      <c r="PJ100" s="27">
        <f>PortfolioFrontier[[#This Row],[P106 Growth]]/PortfolioFrontier[[#This Row],[P106 HWM]]-1</f>
        <v>-2.2072406989304127E-3</v>
      </c>
      <c r="PK100" s="28">
        <f>SUMPRODUCT(INDEX(PortfolioRef[[SPY]:[PE]],MATCH(PK$1,PortfolioRef[Reference '#]),0),AssetMonthlyReturns[[#This Row],[SPY]:[PE]])</f>
        <v>2.5458208962761186E-2</v>
      </c>
      <c r="PL100" s="27">
        <f>IF(ISNUMBER(PL99),PL99*(1+PortfolioFrontier[[#This Row],[P107 Return]]),1+PortfolioFrontier[[#This Row],[P107 Return]])</f>
        <v>1.6742280087434558</v>
      </c>
      <c r="PM100" s="27">
        <f>MAX(PM99,PortfolioFrontier[[#This Row],[P107 Growth]])</f>
        <v>1.6742280087434558</v>
      </c>
      <c r="PN100" s="27">
        <f>PortfolioFrontier[[#This Row],[P107 Growth]]/PortfolioFrontier[[#This Row],[P107 HWM]]-1</f>
        <v>0</v>
      </c>
      <c r="PO100" s="28">
        <f>SUMPRODUCT(INDEX(PortfolioRef[[SPY]:[PE]],MATCH(PO$1,PortfolioRef[Reference '#]),0),AssetMonthlyReturns[[#This Row],[SPY]:[PE]])</f>
        <v>2.206297822698227E-2</v>
      </c>
      <c r="PP100" s="27">
        <f>IF(ISNUMBER(PP99),PP99*(1+PortfolioFrontier[[#This Row],[P108 Return]]),1+PortfolioFrontier[[#This Row],[P108 Return]])</f>
        <v>1.6674402235975772</v>
      </c>
      <c r="PQ100" s="27">
        <f>MAX(PQ99,PortfolioFrontier[[#This Row],[P108 Growth]])</f>
        <v>1.6674402235975772</v>
      </c>
      <c r="PR100" s="27">
        <f>PortfolioFrontier[[#This Row],[P108 Growth]]/PortfolioFrontier[[#This Row],[P108 HWM]]-1</f>
        <v>0</v>
      </c>
      <c r="PS100" s="28">
        <f>SUMPRODUCT(INDEX(PortfolioRef[[SPY]:[PE]],MATCH(PS$1,PortfolioRef[Reference '#]),0),AssetMonthlyReturns[[#This Row],[SPY]:[PE]])</f>
        <v>2.6928608410831181E-2</v>
      </c>
      <c r="PT100" s="27">
        <f>IF(ISNUMBER(PT99),PT99*(1+PortfolioFrontier[[#This Row],[P109 Return]]),1+PortfolioFrontier[[#This Row],[P109 Return]])</f>
        <v>1.6557998894824957</v>
      </c>
      <c r="PU100" s="27">
        <f>MAX(PU99,PortfolioFrontier[[#This Row],[P109 Growth]])</f>
        <v>1.6562293267854813</v>
      </c>
      <c r="PV100" s="27">
        <f>PortfolioFrontier[[#This Row],[P109 Growth]]/PortfolioFrontier[[#This Row],[P109 HWM]]-1</f>
        <v>-2.5928613631009956E-4</v>
      </c>
      <c r="PW100" s="28">
        <f>SUMPRODUCT(INDEX(PortfolioRef[[SPY]:[PE]],MATCH(PW$1,PortfolioRef[Reference '#]),0),AssetMonthlyReturns[[#This Row],[SPY]:[PE]])</f>
        <v>2.3533377675052262E-2</v>
      </c>
      <c r="PX100" s="27">
        <f>IF(ISNUMBER(PX99),PX99*(1+PortfolioFrontier[[#This Row],[P110 Return]]),1+PortfolioFrontier[[#This Row],[P110 Return]])</f>
        <v>1.6500780279256377</v>
      </c>
      <c r="PY100" s="27">
        <f>MAX(PY99,PortfolioFrontier[[#This Row],[P110 Growth]])</f>
        <v>1.6500780279256377</v>
      </c>
      <c r="PZ100" s="27">
        <f>PortfolioFrontier[[#This Row],[P110 Growth]]/PortfolioFrontier[[#This Row],[P110 HWM]]-1</f>
        <v>0</v>
      </c>
      <c r="QA100" s="28">
        <f>SUMPRODUCT(INDEX(PortfolioRef[[SPY]:[PE]],MATCH(QA$1,PortfolioRef[Reference '#]),0),AssetMonthlyReturns[[#This Row],[SPY]:[PE]])</f>
        <v>2.0138146939273342E-2</v>
      </c>
      <c r="QB100" s="27">
        <f>IF(ISNUMBER(QB99),QB99*(1+PortfolioFrontier[[#This Row],[P111 Return]]),1+PortfolioFrontier[[#This Row],[P111 Return]])</f>
        <v>1.6430822244687862</v>
      </c>
      <c r="QC100" s="27">
        <f>MAX(QC99,PortfolioFrontier[[#This Row],[P111 Growth]])</f>
        <v>1.6430822244687862</v>
      </c>
      <c r="QD100" s="27">
        <f>PortfolioFrontier[[#This Row],[P111 Growth]]/PortfolioFrontier[[#This Row],[P111 HWM]]-1</f>
        <v>0</v>
      </c>
      <c r="QE100" s="28">
        <f>SUMPRODUCT(INDEX(PortfolioRef[[SPY]:[PE]],MATCH(QE$1,PortfolioRef[Reference '#]),0),AssetMonthlyReturns[[#This Row],[SPY]:[PE]])</f>
        <v>2.8399007858901169E-2</v>
      </c>
      <c r="QF100" s="27">
        <f>IF(ISNUMBER(QF99),QF99*(1+PortfolioFrontier[[#This Row],[P112 Return]]),1+PortfolioFrontier[[#This Row],[P112 Return]])</f>
        <v>1.6362071244048089</v>
      </c>
      <c r="QG100" s="27">
        <f>MAX(QG99,PortfolioFrontier[[#This Row],[P112 Growth]])</f>
        <v>1.6517386955477045</v>
      </c>
      <c r="QH100" s="27">
        <f>PortfolioFrontier[[#This Row],[P112 Growth]]/PortfolioFrontier[[#This Row],[P112 HWM]]-1</f>
        <v>-9.4031647891771319E-3</v>
      </c>
      <c r="QI100" s="28">
        <f>SUMPRODUCT(INDEX(PortfolioRef[[SPY]:[PE]],MATCH(QI$1,PortfolioRef[Reference '#]),0),AssetMonthlyReturns[[#This Row],[SPY]:[PE]])</f>
        <v>2.5003777123122253E-2</v>
      </c>
      <c r="QJ100" s="27">
        <f>IF(ISNUMBER(QJ99),QJ99*(1+PortfolioFrontier[[#This Row],[P113 Return]]),1+PortfolioFrontier[[#This Row],[P113 Return]])</f>
        <v>1.6315372635519709</v>
      </c>
      <c r="QK100" s="27">
        <f>MAX(QK99,PortfolioFrontier[[#This Row],[P113 Growth]])</f>
        <v>1.6374291136449617</v>
      </c>
      <c r="QL100" s="27">
        <f>PortfolioFrontier[[#This Row],[P113 Growth]]/PortfolioFrontier[[#This Row],[P113 HWM]]-1</f>
        <v>-3.5982321578950094E-3</v>
      </c>
      <c r="QM100" s="28">
        <f>SUMPRODUCT(INDEX(PortfolioRef[[SPY]:[PE]],MATCH(QM$1,PortfolioRef[Reference '#]),0),AssetMonthlyReturns[[#This Row],[SPY]:[PE]])</f>
        <v>2.160854638734333E-2</v>
      </c>
      <c r="QN100" s="27">
        <f>IF(ISNUMBER(QN99),QN99*(1+PortfolioFrontier[[#This Row],[P114 Return]]),1+PortfolioFrontier[[#This Row],[P114 Return]])</f>
        <v>1.6255966331174019</v>
      </c>
      <c r="QO100" s="27">
        <f>MAX(QO99,PortfolioFrontier[[#This Row],[P114 Growth]])</f>
        <v>1.630775868632504</v>
      </c>
      <c r="QP100" s="27">
        <f>PortfolioFrontier[[#This Row],[P114 Growth]]/PortfolioFrontier[[#This Row],[P114 HWM]]-1</f>
        <v>-3.1759333791498978E-3</v>
      </c>
      <c r="QQ100" s="28">
        <f>SUMPRODUCT(INDEX(PortfolioRef[[SPY]:[PE]],MATCH(QQ$1,PortfolioRef[Reference '#]),0),AssetMonthlyReturns[[#This Row],[SPY]:[PE]])</f>
        <v>2.6910271760240509E-2</v>
      </c>
      <c r="QR100" s="27">
        <f>IF(ISNUMBER(QR99),QR99*(1+PortfolioFrontier[[#This Row],[P115 Return]]),1+PortfolioFrontier[[#This Row],[P115 Return]])</f>
        <v>1.7000532397184764</v>
      </c>
      <c r="QS100" s="27">
        <f>MAX(QS99,PortfolioFrontier[[#This Row],[P115 Growth]])</f>
        <v>1.7000532397184764</v>
      </c>
      <c r="QT100" s="27">
        <f>PortfolioFrontier[[#This Row],[P115 Growth]]/PortfolioFrontier[[#This Row],[P115 HWM]]-1</f>
        <v>0</v>
      </c>
      <c r="QU100" s="28">
        <f>SUMPRODUCT(INDEX(PortfolioRef[[SPY]:[PE]],MATCH(QU$1,PortfolioRef[Reference '#]),0),AssetMonthlyReturns[[#This Row],[SPY]:[PE]])</f>
        <v>2.3515041024461593E-2</v>
      </c>
      <c r="QV100" s="27">
        <f>IF(ISNUMBER(QV99),QV99*(1+PortfolioFrontier[[#This Row],[P116 Return]]),1+PortfolioFrontier[[#This Row],[P116 Return]])</f>
        <v>1.6941846132028131</v>
      </c>
      <c r="QW100" s="27">
        <f>MAX(QW99,PortfolioFrontier[[#This Row],[P116 Growth]])</f>
        <v>1.6941846132028131</v>
      </c>
      <c r="QX100" s="27">
        <f>PortfolioFrontier[[#This Row],[P116 Growth]]/PortfolioFrontier[[#This Row],[P116 HWM]]-1</f>
        <v>0</v>
      </c>
      <c r="QY100" s="28">
        <f>SUMPRODUCT(INDEX(PortfolioRef[[SPY]:[PE]],MATCH(QY$1,PortfolioRef[Reference '#]),0),AssetMonthlyReturns[[#This Row],[SPY]:[PE]])</f>
        <v>2.0119810288682673E-2</v>
      </c>
      <c r="QZ100" s="27">
        <f>IF(ISNUMBER(QZ99),QZ99*(1+PortfolioFrontier[[#This Row],[P117 Return]]),1+PortfolioFrontier[[#This Row],[P117 Return]])</f>
        <v>1.687008646759695</v>
      </c>
      <c r="RA100" s="27">
        <f>MAX(RA99,PortfolioFrontier[[#This Row],[P117 Growth]])</f>
        <v>1.687008646759695</v>
      </c>
      <c r="RB100" s="27">
        <f>PortfolioFrontier[[#This Row],[P117 Growth]]/PortfolioFrontier[[#This Row],[P117 HWM]]-1</f>
        <v>0</v>
      </c>
      <c r="RC100" s="28">
        <f>SUMPRODUCT(INDEX(PortfolioRef[[SPY]:[PE]],MATCH(RC$1,PortfolioRef[Reference '#]),0),AssetMonthlyReturns[[#This Row],[SPY]:[PE]])</f>
        <v>2.8380671208310504E-2</v>
      </c>
      <c r="RD100" s="27">
        <f>IF(ISNUMBER(RD99),RD99*(1+PortfolioFrontier[[#This Row],[P118 Return]]),1+PortfolioFrontier[[#This Row],[P118 Return]])</f>
        <v>1.6804184828299149</v>
      </c>
      <c r="RE100" s="27">
        <f>MAX(RE99,PortfolioFrontier[[#This Row],[P118 Growth]])</f>
        <v>1.6825223527057407</v>
      </c>
      <c r="RF100" s="27">
        <f>PortfolioFrontier[[#This Row],[P118 Growth]]/PortfolioFrontier[[#This Row],[P118 HWM]]-1</f>
        <v>-1.2504261072326939E-3</v>
      </c>
      <c r="RG100" s="28">
        <f>SUMPRODUCT(INDEX(PortfolioRef[[SPY]:[PE]],MATCH(RG$1,PortfolioRef[Reference '#]),0),AssetMonthlyReturns[[#This Row],[SPY]:[PE]])</f>
        <v>2.4985440472531588E-2</v>
      </c>
      <c r="RH100" s="27">
        <f>IF(ISNUMBER(RH99),RH99*(1+PortfolioFrontier[[#This Row],[P119 Return]]),1+PortfolioFrontier[[#This Row],[P119 Return]])</f>
        <v>1.6756281293330195</v>
      </c>
      <c r="RI100" s="27">
        <f>MAX(RI99,PortfolioFrontier[[#This Row],[P119 Growth]])</f>
        <v>1.6769910791969431</v>
      </c>
      <c r="RJ100" s="27">
        <f>PortfolioFrontier[[#This Row],[P119 Growth]]/PortfolioFrontier[[#This Row],[P119 HWM]]-1</f>
        <v>-8.1273530958569928E-4</v>
      </c>
      <c r="RK100" s="28">
        <f>SUMPRODUCT(INDEX(PortfolioRef[[SPY]:[PE]],MATCH(RK$1,PortfolioRef[Reference '#]),0),AssetMonthlyReturns[[#This Row],[SPY]:[PE]])</f>
        <v>2.1590209736752665E-2</v>
      </c>
      <c r="RL100" s="27">
        <f>IF(ISNUMBER(RL99),RL99*(1+PortfolioFrontier[[#This Row],[P120 Return]]),1+PortfolioFrontier[[#This Row],[P120 Return]])</f>
        <v>1.669533339174182</v>
      </c>
      <c r="RM100" s="27">
        <f>MAX(RM99,PortfolioFrontier[[#This Row],[P120 Growth]])</f>
        <v>1.6702010676268397</v>
      </c>
      <c r="RN100" s="27">
        <f>PortfolioFrontier[[#This Row],[P120 Growth]]/PortfolioFrontier[[#This Row],[P120 HWM]]-1</f>
        <v>-3.9978926226313938E-4</v>
      </c>
      <c r="RO100" s="28">
        <f>SUMPRODUCT(INDEX(PortfolioRef[[SPY]:[PE]],MATCH(RO$1,PortfolioRef[Reference '#]),0),AssetMonthlyReturns[[#This Row],[SPY]:[PE]])</f>
        <v>2.9851070656380492E-2</v>
      </c>
      <c r="RP100" s="27">
        <f>IF(ISNUMBER(RP99),RP99*(1+PortfolioFrontier[[#This Row],[P121 Return]]),1+PortfolioFrontier[[#This Row],[P121 Return]])</f>
        <v>1.6596195409700698</v>
      </c>
      <c r="RQ100" s="27">
        <f>MAX(RQ99,PortfolioFrontier[[#This Row],[P121 Growth]])</f>
        <v>1.6859132740659151</v>
      </c>
      <c r="RR100" s="27">
        <f>PortfolioFrontier[[#This Row],[P121 Growth]]/PortfolioFrontier[[#This Row],[P121 HWM]]-1</f>
        <v>-1.5596136230918156E-2</v>
      </c>
      <c r="RS100" s="28">
        <f>SUMPRODUCT(INDEX(PortfolioRef[[SPY]:[PE]],MATCH(RS$1,PortfolioRef[Reference '#]),0),AssetMonthlyReturns[[#This Row],[SPY]:[PE]])</f>
        <v>2.6455839920601576E-2</v>
      </c>
      <c r="RT100" s="27">
        <f>IF(ISNUMBER(RT99),RT99*(1+PortfolioFrontier[[#This Row],[P122 Return]]),1+PortfolioFrontier[[#This Row],[P122 Return]])</f>
        <v>1.655891565042795</v>
      </c>
      <c r="RU100" s="27">
        <f>MAX(RU99,PortfolioFrontier[[#This Row],[P122 Growth]])</f>
        <v>1.6635220518620708</v>
      </c>
      <c r="RV100" s="27">
        <f>PortfolioFrontier[[#This Row],[P122 Growth]]/PortfolioFrontier[[#This Row],[P122 HWM]]-1</f>
        <v>-4.5869465996766223E-3</v>
      </c>
      <c r="RW100" s="28">
        <f>SUMPRODUCT(INDEX(PortfolioRef[[SPY]:[PE]],MATCH(RW$1,PortfolioRef[Reference '#]),0),AssetMonthlyReturns[[#This Row],[SPY]:[PE]])</f>
        <v>2.3060609184822656E-2</v>
      </c>
      <c r="RX100" s="27">
        <f>IF(ISNUMBER(RX99),RX99*(1+PortfolioFrontier[[#This Row],[P123 Return]]),1+PortfolioFrontier[[#This Row],[P123 Return]])</f>
        <v>1.6508641743110686</v>
      </c>
      <c r="RY100" s="27">
        <f>MAX(RY99,PortfolioFrontier[[#This Row],[P123 Growth]])</f>
        <v>1.6577461700258913</v>
      </c>
      <c r="RZ100" s="27">
        <f>PortfolioFrontier[[#This Row],[P123 Growth]]/PortfolioFrontier[[#This Row],[P123 HWM]]-1</f>
        <v>-4.1514170500029923E-3</v>
      </c>
      <c r="SA100" s="28">
        <f>SUMPRODUCT(INDEX(PortfolioRef[[SPY]:[PE]],MATCH(SA$1,PortfolioRef[Reference '#]),0),AssetMonthlyReturns[[#This Row],[SPY]:[PE]])</f>
        <v>2.8362334557719835E-2</v>
      </c>
      <c r="SB100" s="27">
        <f>IF(ISNUMBER(SB99),SB99*(1+PortfolioFrontier[[#This Row],[P124 Return]]),1+PortfolioFrontier[[#This Row],[P124 Return]])</f>
        <v>1.7253137093366944</v>
      </c>
      <c r="SC100" s="27">
        <f>MAX(SC99,PortfolioFrontier[[#This Row],[P124 Growth]])</f>
        <v>1.7253137093366944</v>
      </c>
      <c r="SD100" s="27">
        <f>PortfolioFrontier[[#This Row],[P124 Growth]]/PortfolioFrontier[[#This Row],[P124 HWM]]-1</f>
        <v>0</v>
      </c>
      <c r="SE100" s="28">
        <f>SUMPRODUCT(INDEX(PortfolioRef[[SPY]:[PE]],MATCH(SE$1,PortfolioRef[Reference '#]),0),AssetMonthlyReturns[[#This Row],[SPY]:[PE]])</f>
        <v>2.4967103821940916E-2</v>
      </c>
      <c r="SF100" s="27">
        <f>IF(ISNUMBER(SF99),SF99*(1+PortfolioFrontier[[#This Row],[P125 Return]]),1+PortfolioFrontier[[#This Row],[P125 Return]])</f>
        <v>1.7204010897268835</v>
      </c>
      <c r="SG100" s="27">
        <f>MAX(SG99,PortfolioFrontier[[#This Row],[P125 Growth]])</f>
        <v>1.7204010897268835</v>
      </c>
      <c r="SH100" s="27">
        <f>PortfolioFrontier[[#This Row],[P125 Growth]]/PortfolioFrontier[[#This Row],[P125 HWM]]-1</f>
        <v>0</v>
      </c>
      <c r="SI100" s="28">
        <f>SUMPRODUCT(INDEX(PortfolioRef[[SPY]:[PE]],MATCH(SI$1,PortfolioRef[Reference '#]),0),AssetMonthlyReturns[[#This Row],[SPY]:[PE]])</f>
        <v>2.1571873086161996E-2</v>
      </c>
      <c r="SJ100" s="27">
        <f>IF(ISNUMBER(SJ99),SJ99*(1+PortfolioFrontier[[#This Row],[P126 Return]]),1+PortfolioFrontier[[#This Row],[P126 Return]])</f>
        <v>1.7141498552860726</v>
      </c>
      <c r="SK100" s="27">
        <f>MAX(SK99,PortfolioFrontier[[#This Row],[P126 Growth]])</f>
        <v>1.7141498552860726</v>
      </c>
      <c r="SL100" s="27">
        <f>PortfolioFrontier[[#This Row],[P126 Growth]]/PortfolioFrontier[[#This Row],[P126 HWM]]-1</f>
        <v>0</v>
      </c>
      <c r="SM100" s="28">
        <f>SUMPRODUCT(INDEX(PortfolioRef[[SPY]:[PE]],MATCH(SM$1,PortfolioRef[Reference '#]),0),AssetMonthlyReturns[[#This Row],[SPY]:[PE]])</f>
        <v>2.9832734005789827E-2</v>
      </c>
      <c r="SN100" s="27">
        <f>IF(ISNUMBER(SN99),SN99*(1+PortfolioFrontier[[#This Row],[P127 Return]]),1+PortfolioFrontier[[#This Row],[P127 Return]])</f>
        <v>1.7044476715559984</v>
      </c>
      <c r="SO100" s="27">
        <f>MAX(SO99,PortfolioFrontier[[#This Row],[P127 Growth]])</f>
        <v>1.7082885141122335</v>
      </c>
      <c r="SP100" s="27">
        <f>PortfolioFrontier[[#This Row],[P127 Growth]]/PortfolioFrontier[[#This Row],[P127 HWM]]-1</f>
        <v>-2.2483570687888976E-3</v>
      </c>
      <c r="SQ100" s="28">
        <f>SUMPRODUCT(INDEX(PortfolioRef[[SPY]:[PE]],MATCH(SQ$1,PortfolioRef[Reference '#]),0),AssetMonthlyReturns[[#This Row],[SPY]:[PE]])</f>
        <v>2.6437503270010911E-2</v>
      </c>
      <c r="SR100" s="27">
        <f>IF(ISNUMBER(SR99),SR99*(1+PortfolioFrontier[[#This Row],[P128 Return]]),1+PortfolioFrontier[[#This Row],[P128 Return]])</f>
        <v>1.7006242291453264</v>
      </c>
      <c r="SS100" s="27">
        <f>MAX(SS99,PortfolioFrontier[[#This Row],[P128 Growth]])</f>
        <v>1.703686495733993</v>
      </c>
      <c r="ST100" s="27">
        <f>PortfolioFrontier[[#This Row],[P128 Growth]]/PortfolioFrontier[[#This Row],[P128 HWM]]-1</f>
        <v>-1.7974355002134956E-3</v>
      </c>
      <c r="SU100" s="28">
        <f>SUMPRODUCT(INDEX(PortfolioRef[[SPY]:[PE]],MATCH(SU$1,PortfolioRef[Reference '#]),0),AssetMonthlyReturns[[#This Row],[SPY]:[PE]])</f>
        <v>2.3042272534231991E-2</v>
      </c>
      <c r="SV100" s="27">
        <f>IF(ISNUMBER(SV99),SV99*(1+PortfolioFrontier[[#This Row],[P129 Return]]),1+PortfolioFrontier[[#This Row],[P129 Return]])</f>
        <v>1.695466964594021</v>
      </c>
      <c r="SW100" s="27">
        <f>MAX(SW99,PortfolioFrontier[[#This Row],[P129 Growth]])</f>
        <v>1.6977950808388136</v>
      </c>
      <c r="SX100" s="27">
        <f>PortfolioFrontier[[#This Row],[P129 Growth]]/PortfolioFrontier[[#This Row],[P129 HWM]]-1</f>
        <v>-1.3712586819619732E-3</v>
      </c>
      <c r="SY100" s="28">
        <f>SUMPRODUCT(INDEX(PortfolioRef[[SPY]:[PE]],MATCH(SY$1,PortfolioRef[Reference '#]),0),AssetMonthlyReturns[[#This Row],[SPY]:[PE]])</f>
        <v>3.1303133453859815E-2</v>
      </c>
      <c r="SZ100" s="27">
        <f>IF(ISNUMBER(SZ99),SZ99*(1+PortfolioFrontier[[#This Row],[P130 Return]]),1+PortfolioFrontier[[#This Row],[P130 Return]])</f>
        <v>1.6824197570762665</v>
      </c>
      <c r="TA100" s="27">
        <f>MAX(TA99,PortfolioFrontier[[#This Row],[P130 Growth]])</f>
        <v>1.720142179322633</v>
      </c>
      <c r="TB100" s="27">
        <f>PortfolioFrontier[[#This Row],[P130 Growth]]/PortfolioFrontier[[#This Row],[P130 HWM]]-1</f>
        <v>-2.1929828068759427E-2</v>
      </c>
      <c r="TC100" s="28">
        <f>SUMPRODUCT(INDEX(PortfolioRef[[SPY]:[PE]],MATCH(TC$1,PortfolioRef[Reference '#]),0),AssetMonthlyReturns[[#This Row],[SPY]:[PE]])</f>
        <v>2.7907902718080899E-2</v>
      </c>
      <c r="TD100" s="27">
        <f>IF(ISNUMBER(TD99),TD99*(1+PortfolioFrontier[[#This Row],[P131 Return]]),1+PortfolioFrontier[[#This Row],[P131 Return]])</f>
        <v>1.6796675811611723</v>
      </c>
      <c r="TE100" s="27">
        <f>MAX(TE99,PortfolioFrontier[[#This Row],[P131 Growth]])</f>
        <v>1.6891185966988822</v>
      </c>
      <c r="TF100" s="27">
        <f>PortfolioFrontier[[#This Row],[P131 Growth]]/PortfolioFrontier[[#This Row],[P131 HWM]]-1</f>
        <v>-5.5952350274163232E-3</v>
      </c>
      <c r="TG100" s="28">
        <f>SUMPRODUCT(INDEX(PortfolioRef[[SPY]:[PE]],MATCH(TG$1,PortfolioRef[Reference '#]),0),AssetMonthlyReturns[[#This Row],[SPY]:[PE]])</f>
        <v>2.4512671982301979E-2</v>
      </c>
      <c r="TH100" s="27">
        <f>IF(ISNUMBER(TH99),TH99*(1+PortfolioFrontier[[#This Row],[P132 Return]]),1+PortfolioFrontier[[#This Row],[P132 Return]])</f>
        <v>1.6755885150809635</v>
      </c>
      <c r="TI100" s="27">
        <f>MAX(TI99,PortfolioFrontier[[#This Row],[P132 Growth]])</f>
        <v>1.6842348576096766</v>
      </c>
      <c r="TJ100" s="27">
        <f>PortfolioFrontier[[#This Row],[P132 Growth]]/PortfolioFrontier[[#This Row],[P132 HWM]]-1</f>
        <v>-5.1336917114898073E-3</v>
      </c>
      <c r="TK100" s="28">
        <f>SUMPRODUCT(INDEX(PortfolioRef[[SPY]:[PE]],MATCH(TK$1,PortfolioRef[Reference '#]),0),AssetMonthlyReturns[[#This Row],[SPY]:[PE]])</f>
        <v>2.9814397355199161E-2</v>
      </c>
      <c r="TL100" s="27">
        <f>IF(ISNUMBER(TL99),TL99*(1+PortfolioFrontier[[#This Row],[P133 Return]]),1+PortfolioFrontier[[#This Row],[P133 Return]])</f>
        <v>1.749969075490867</v>
      </c>
      <c r="TM100" s="27">
        <f>MAX(TM99,PortfolioFrontier[[#This Row],[P133 Growth]])</f>
        <v>1.749969075490867</v>
      </c>
      <c r="TN100" s="27">
        <f>PortfolioFrontier[[#This Row],[P133 Growth]]/PortfolioFrontier[[#This Row],[P133 HWM]]-1</f>
        <v>0</v>
      </c>
      <c r="TO100" s="28">
        <f>SUMPRODUCT(INDEX(PortfolioRef[[SPY]:[PE]],MATCH(TO$1,PortfolioRef[Reference '#]),0),AssetMonthlyReturns[[#This Row],[SPY]:[PE]])</f>
        <v>2.6419166619420245E-2</v>
      </c>
      <c r="TP100" s="27">
        <f>IF(ISNUMBER(TP99),TP99*(1+PortfolioFrontier[[#This Row],[P134 Return]]),1+PortfolioFrontier[[#This Row],[P134 Return]])</f>
        <v>1.7460487734760921</v>
      </c>
      <c r="TQ100" s="27">
        <f>MAX(TQ99,PortfolioFrontier[[#This Row],[P134 Growth]])</f>
        <v>1.7460487734760921</v>
      </c>
      <c r="TR100" s="27">
        <f>PortfolioFrontier[[#This Row],[P134 Growth]]/PortfolioFrontier[[#This Row],[P134 HWM]]-1</f>
        <v>0</v>
      </c>
      <c r="TS100" s="28">
        <f>SUMPRODUCT(INDEX(PortfolioRef[[SPY]:[PE]],MATCH(TS$1,PortfolioRef[Reference '#]),0),AssetMonthlyReturns[[#This Row],[SPY]:[PE]])</f>
        <v>2.3023935883641326E-2</v>
      </c>
      <c r="TT100" s="27">
        <f>IF(ISNUMBER(TT99),TT99*(1+PortfolioFrontier[[#This Row],[P135 Return]]),1+PortfolioFrontier[[#This Row],[P135 Return]])</f>
        <v>1.7407597199331488</v>
      </c>
      <c r="TU100" s="27">
        <f>MAX(TU99,PortfolioFrontier[[#This Row],[P135 Growth]])</f>
        <v>1.7407597199331488</v>
      </c>
      <c r="TV100" s="27">
        <f>PortfolioFrontier[[#This Row],[P135 Growth]]/PortfolioFrontier[[#This Row],[P135 HWM]]-1</f>
        <v>0</v>
      </c>
      <c r="TW100" s="28">
        <f>SUMPRODUCT(INDEX(PortfolioRef[[SPY]:[PE]],MATCH(TW$1,PortfolioRef[Reference '#]),0),AssetMonthlyReturns[[#This Row],[SPY]:[PE]])</f>
        <v>3.1284796803269156E-2</v>
      </c>
      <c r="TX100" s="27">
        <f>IF(ISNUMBER(TX99),TX99*(1+PortfolioFrontier[[#This Row],[P136 Return]]),1+PortfolioFrontier[[#This Row],[P136 Return]])</f>
        <v>1.7278482021962391</v>
      </c>
      <c r="TY100" s="27">
        <f>MAX(TY99,PortfolioFrontier[[#This Row],[P136 Growth]])</f>
        <v>1.7361155602147582</v>
      </c>
      <c r="TZ100" s="27">
        <f>PortfolioFrontier[[#This Row],[P136 Growth]]/PortfolioFrontier[[#This Row],[P136 HWM]]-1</f>
        <v>-4.7619860152030569E-3</v>
      </c>
      <c r="UA100" s="28">
        <f>SUMPRODUCT(INDEX(PortfolioRef[[SPY]:[PE]],MATCH(UA$1,PortfolioRef[Reference '#]),0),AssetMonthlyReturns[[#This Row],[SPY]:[PE]])</f>
        <v>2.788956606749024E-2</v>
      </c>
      <c r="UB100" s="27">
        <f>IF(ISNUMBER(UB99),UB99*(1+PortfolioFrontier[[#This Row],[P137 Return]]),1+PortfolioFrontier[[#This Row],[P137 Return]])</f>
        <v>1.7250264643141486</v>
      </c>
      <c r="UC100" s="27">
        <f>MAX(UC99,PortfolioFrontier[[#This Row],[P137 Growth]])</f>
        <v>1.7298508916207622</v>
      </c>
      <c r="UD100" s="27">
        <f>PortfolioFrontier[[#This Row],[P137 Growth]]/PortfolioFrontier[[#This Row],[P137 HWM]]-1</f>
        <v>-2.7889266814744573E-3</v>
      </c>
      <c r="UE100" s="28">
        <f>SUMPRODUCT(INDEX(PortfolioRef[[SPY]:[PE]],MATCH(UE$1,PortfolioRef[Reference '#]),0),AssetMonthlyReturns[[#This Row],[SPY]:[PE]])</f>
        <v>2.4494335331711317E-2</v>
      </c>
      <c r="UF100" s="27">
        <f>IF(ISNUMBER(UF99),UF99*(1+PortfolioFrontier[[#This Row],[P138 Return]]),1+PortfolioFrontier[[#This Row],[P138 Return]])</f>
        <v>1.720842719437452</v>
      </c>
      <c r="UG100" s="27">
        <f>MAX(UG99,PortfolioFrontier[[#This Row],[P138 Growth]])</f>
        <v>1.7248953940980964</v>
      </c>
      <c r="UH100" s="27">
        <f>PortfolioFrontier[[#This Row],[P138 Growth]]/PortfolioFrontier[[#This Row],[P138 HWM]]-1</f>
        <v>-2.3495190922945275E-3</v>
      </c>
      <c r="UI100" s="28">
        <f>SUMPRODUCT(INDEX(PortfolioRef[[SPY]:[PE]],MATCH(UI$1,PortfolioRef[Reference '#]),0),AssetMonthlyReturns[[#This Row],[SPY]:[PE]])</f>
        <v>3.2755196251339144E-2</v>
      </c>
      <c r="UJ100" s="27">
        <f>IF(ISNUMBER(UJ99),UJ99*(1+PortfolioFrontier[[#This Row],[P139 Return]]),1+PortfolioFrontier[[#This Row],[P139 Return]])</f>
        <v>1.7045696663939054</v>
      </c>
      <c r="UK100" s="27">
        <f>MAX(UK99,PortfolioFrontier[[#This Row],[P139 Growth]])</f>
        <v>1.7543965710992384</v>
      </c>
      <c r="UL100" s="27">
        <f>PortfolioFrontier[[#This Row],[P139 Growth]]/PortfolioFrontier[[#This Row],[P139 HWM]]-1</f>
        <v>-2.8401163982048505E-2</v>
      </c>
      <c r="UM100" s="28">
        <f>SUMPRODUCT(INDEX(PortfolioRef[[SPY]:[PE]],MATCH(UM$1,PortfolioRef[Reference '#]),0),AssetMonthlyReturns[[#This Row],[SPY]:[PE]])</f>
        <v>2.9359965515560228E-2</v>
      </c>
      <c r="UN100" s="27">
        <f>IF(ISNUMBER(UN99),UN99*(1+PortfolioFrontier[[#This Row],[P140 Return]]),1+PortfolioFrontier[[#This Row],[P140 Return]])</f>
        <v>1.7028265272853043</v>
      </c>
      <c r="UO100" s="27">
        <f>MAX(UO99,PortfolioFrontier[[#This Row],[P140 Growth]])</f>
        <v>1.7234002022793458</v>
      </c>
      <c r="UP100" s="27">
        <f>PortfolioFrontier[[#This Row],[P140 Growth]]/PortfolioFrontier[[#This Row],[P140 HWM]]-1</f>
        <v>-1.1937839491274915E-2</v>
      </c>
      <c r="UQ100" s="28">
        <f>SUMPRODUCT(INDEX(PortfolioRef[[SPY]:[PE]],MATCH(UQ$1,PortfolioRef[Reference '#]),0),AssetMonthlyReturns[[#This Row],[SPY]:[PE]])</f>
        <v>2.5964734779781309E-2</v>
      </c>
      <c r="UR100" s="27">
        <f>IF(ISNUMBER(UR99),UR99*(1+PortfolioFrontier[[#This Row],[P141 Return]]),1+PortfolioFrontier[[#This Row],[P141 Return]])</f>
        <v>1.6997302813208366</v>
      </c>
      <c r="US100" s="27">
        <f>MAX(US99,PortfolioFrontier[[#This Row],[P141 Growth]])</f>
        <v>1.7102014297178982</v>
      </c>
      <c r="UT100" s="27">
        <f>PortfolioFrontier[[#This Row],[P141 Growth]]/PortfolioFrontier[[#This Row],[P141 HWM]]-1</f>
        <v>-6.1227573636100097E-3</v>
      </c>
    </row>
    <row r="101" spans="2:566" x14ac:dyDescent="0.2">
      <c r="B101" s="41">
        <f>AssetMonthlyReturns[[#This Row],[Date]]</f>
        <v>45444</v>
      </c>
      <c r="C101" s="28">
        <f>SUMPRODUCT(INDEX(PortfolioRef[[SPY]:[PE]],MATCH(C$1,PortfolioRef[Reference '#]),0),AssetMonthlyReturns[[#This Row],[SPY]:[PE]])</f>
        <v>1.9145653990958557E-2</v>
      </c>
      <c r="D101" s="29">
        <f>IF(ISNUMBER(D100),D100*(1+PortfolioFrontier[[#This Row],[P1 Return]]),1+PortfolioFrontier[[#This Row],[P1 Return]])</f>
        <v>2.1602662322190453</v>
      </c>
      <c r="E101" s="29">
        <f>MAX(E100,PortfolioFrontier[[#This Row],[P1 Growth]])</f>
        <v>2.1602662322190453</v>
      </c>
      <c r="F101" s="29">
        <f>PortfolioFrontier[[#This Row],[P1 Growth]]/PortfolioFrontier[[#This Row],[P1 HWM]]-1</f>
        <v>0</v>
      </c>
      <c r="G101" s="28">
        <f>SUMPRODUCT(INDEX(PortfolioRef[[SPY]:[PE]],MATCH(G$1,PortfolioRef[Reference '#]),0),AssetMonthlyReturns[[#This Row],[SPY]:[PE]])</f>
        <v>1.7989238449166233E-2</v>
      </c>
      <c r="H101" s="27">
        <f>IF(ISNUMBER(H100),H100*(1+PortfolioFrontier[[#This Row],[P2 Return]]),1+PortfolioFrontier[[#This Row],[P2 Return]])</f>
        <v>2.0533325926186667</v>
      </c>
      <c r="I101" s="27">
        <f>MAX(I100,PortfolioFrontier[[#This Row],[P2 Growth]])</f>
        <v>2.0533325926186667</v>
      </c>
      <c r="J101" s="27">
        <f>PortfolioFrontier[[#This Row],[P2 Growth]]/PortfolioFrontier[[#This Row],[P2 HWM]]-1</f>
        <v>0</v>
      </c>
      <c r="K101" s="28">
        <f>SUMPRODUCT(INDEX(PortfolioRef[[SPY]:[PE]],MATCH(K$1,PortfolioRef[Reference '#]),0),AssetMonthlyReturns[[#This Row],[SPY]:[PE]])</f>
        <v>1.7480720392716309E-2</v>
      </c>
      <c r="L101" s="27">
        <f>IF(ISNUMBER(L100),L100*(1+PortfolioFrontier[[#This Row],[P3 Return]]),1+PortfolioFrontier[[#This Row],[P3 Return]])</f>
        <v>2.1077455950574264</v>
      </c>
      <c r="M101" s="27">
        <f>MAX(M100,PortfolioFrontier[[#This Row],[P3 Growth]])</f>
        <v>2.1077455950574264</v>
      </c>
      <c r="N101" s="27">
        <f>PortfolioFrontier[[#This Row],[P3 Growth]]/PortfolioFrontier[[#This Row],[P3 HWM]]-1</f>
        <v>0</v>
      </c>
      <c r="O101" s="28">
        <f>SUMPRODUCT(INDEX(PortfolioRef[[SPY]:[PE]],MATCH(O$1,PortfolioRef[Reference '#]),0),AssetMonthlyReturns[[#This Row],[SPY]:[PE]])</f>
        <v>1.786042979606637E-2</v>
      </c>
      <c r="P101" s="27">
        <f>IF(ISNUMBER(P100),P100*(1+PortfolioFrontier[[#This Row],[P4 Return]]),1+PortfolioFrontier[[#This Row],[P4 Return]])</f>
        <v>2.0818670926270562</v>
      </c>
      <c r="Q101" s="27">
        <f>MAX(Q100,PortfolioFrontier[[#This Row],[P4 Growth]])</f>
        <v>2.0818670926270562</v>
      </c>
      <c r="R101" s="27">
        <f>PortfolioFrontier[[#This Row],[P4 Growth]]/PortfolioFrontier[[#This Row],[P4 HWM]]-1</f>
        <v>0</v>
      </c>
      <c r="S101" s="28">
        <f>SUMPRODUCT(INDEX(PortfolioRef[[SPY]:[PE]],MATCH(S$1,PortfolioRef[Reference '#]),0),AssetMonthlyReturns[[#This Row],[SPY]:[PE]])</f>
        <v>1.7427424938970433E-2</v>
      </c>
      <c r="T101" s="27">
        <f>IF(ISNUMBER(T100),T100*(1+PortfolioFrontier[[#This Row],[P5 Return]]),1+PortfolioFrontier[[#This Row],[P5 Return]])</f>
        <v>2.076487237090844</v>
      </c>
      <c r="U101" s="27">
        <f>MAX(U100,PortfolioFrontier[[#This Row],[P5 Growth]])</f>
        <v>2.076487237090844</v>
      </c>
      <c r="V101" s="27">
        <f>PortfolioFrontier[[#This Row],[P5 Growth]]/PortfolioFrontier[[#This Row],[P5 HWM]]-1</f>
        <v>0</v>
      </c>
      <c r="W101" s="28">
        <f>SUMPRODUCT(INDEX(PortfolioRef[[SPY]:[PE]],MATCH(W$1,PortfolioRef[Reference '#]),0),AssetMonthlyReturns[[#This Row],[SPY]:[PE]])</f>
        <v>1.6832822907373913E-2</v>
      </c>
      <c r="X101" s="27">
        <f>IF(ISNUMBER(X100),X100*(1+PortfolioFrontier[[#This Row],[P6 Return]]),1+PortfolioFrontier[[#This Row],[P6 Return]])</f>
        <v>1.9507696761900639</v>
      </c>
      <c r="Y101" s="27">
        <f>MAX(Y100,PortfolioFrontier[[#This Row],[P6 Growth]])</f>
        <v>1.9507696761900639</v>
      </c>
      <c r="Z101" s="27">
        <f>PortfolioFrontier[[#This Row],[P6 Growth]]/PortfolioFrontier[[#This Row],[P6 HWM]]-1</f>
        <v>0</v>
      </c>
      <c r="AA101" s="28">
        <f>SUMPRODUCT(INDEX(PortfolioRef[[SPY]:[PE]],MATCH(AA$1,PortfolioRef[Reference '#]),0),AssetMonthlyReturns[[#This Row],[SPY]:[PE]])</f>
        <v>1.6324304850923985E-2</v>
      </c>
      <c r="AB101" s="27">
        <f>IF(ISNUMBER(AB100),AB100*(1+PortfolioFrontier[[#This Row],[P7 Return]]),1+PortfolioFrontier[[#This Row],[P7 Return]])</f>
        <v>2.002477305701619</v>
      </c>
      <c r="AC101" s="27">
        <f>MAX(AC100,PortfolioFrontier[[#This Row],[P7 Growth]])</f>
        <v>2.002477305701619</v>
      </c>
      <c r="AD101" s="27">
        <f>PortfolioFrontier[[#This Row],[P7 Growth]]/PortfolioFrontier[[#This Row],[P7 HWM]]-1</f>
        <v>0</v>
      </c>
      <c r="AE101" s="28">
        <f>SUMPRODUCT(INDEX(PortfolioRef[[SPY]:[PE]],MATCH(AE$1,PortfolioRef[Reference '#]),0),AssetMonthlyReturns[[#This Row],[SPY]:[PE]])</f>
        <v>1.6704014254274046E-2</v>
      </c>
      <c r="AF101" s="27">
        <f>IF(ISNUMBER(AF100),AF100*(1+PortfolioFrontier[[#This Row],[P8 Return]]),1+PortfolioFrontier[[#This Row],[P8 Return]])</f>
        <v>1.9786549495067558</v>
      </c>
      <c r="AG101" s="27">
        <f>MAX(AG100,PortfolioFrontier[[#This Row],[P8 Growth]])</f>
        <v>1.9786549495067558</v>
      </c>
      <c r="AH101" s="27">
        <f>PortfolioFrontier[[#This Row],[P8 Growth]]/PortfolioFrontier[[#This Row],[P8 HWM]]-1</f>
        <v>0</v>
      </c>
      <c r="AI101" s="28">
        <f>SUMPRODUCT(INDEX(PortfolioRef[[SPY]:[PE]],MATCH(AI$1,PortfolioRef[Reference '#]),0),AssetMonthlyReturns[[#This Row],[SPY]:[PE]])</f>
        <v>1.6271009397178109E-2</v>
      </c>
      <c r="AJ101" s="27">
        <f>IF(ISNUMBER(AJ100),AJ100*(1+PortfolioFrontier[[#This Row],[P9 Return]]),1+PortfolioFrontier[[#This Row],[P9 Return]])</f>
        <v>1.9727852220516802</v>
      </c>
      <c r="AK101" s="27">
        <f>MAX(AK100,PortfolioFrontier[[#This Row],[P9 Growth]])</f>
        <v>1.9727852220516802</v>
      </c>
      <c r="AL101" s="27">
        <f>PortfolioFrontier[[#This Row],[P9 Growth]]/PortfolioFrontier[[#This Row],[P9 HWM]]-1</f>
        <v>0</v>
      </c>
      <c r="AM101" s="28">
        <f>SUMPRODUCT(INDEX(PortfolioRef[[SPY]:[PE]],MATCH(AM$1,PortfolioRef[Reference '#]),0),AssetMonthlyReturns[[#This Row],[SPY]:[PE]])</f>
        <v>1.5815786794474061E-2</v>
      </c>
      <c r="AN101" s="27">
        <f>IF(ISNUMBER(AN100),AN100*(1+PortfolioFrontier[[#This Row],[P10 Return]]),1+PortfolioFrontier[[#This Row],[P10 Return]])</f>
        <v>2.0549493057691399</v>
      </c>
      <c r="AO101" s="27">
        <f>MAX(AO100,PortfolioFrontier[[#This Row],[P10 Growth]])</f>
        <v>2.0549493057691399</v>
      </c>
      <c r="AP101" s="27">
        <f>PortfolioFrontier[[#This Row],[P10 Growth]]/PortfolioFrontier[[#This Row],[P10 HWM]]-1</f>
        <v>0</v>
      </c>
      <c r="AQ101" s="28">
        <f>SUMPRODUCT(INDEX(PortfolioRef[[SPY]:[PE]],MATCH(AQ$1,PortfolioRef[Reference '#]),0),AssetMonthlyReturns[[#This Row],[SPY]:[PE]])</f>
        <v>1.6195496197824122E-2</v>
      </c>
      <c r="AR101" s="27">
        <f>IF(ISNUMBER(AR100),AR100*(1+PortfolioFrontier[[#This Row],[P11 Return]]),1+PortfolioFrontier[[#This Row],[P11 Return]])</f>
        <v>2.0310823398828886</v>
      </c>
      <c r="AS101" s="27">
        <f>MAX(AS100,PortfolioFrontier[[#This Row],[P11 Growth]])</f>
        <v>2.0310823398828886</v>
      </c>
      <c r="AT101" s="27">
        <f>PortfolioFrontier[[#This Row],[P11 Growth]]/PortfolioFrontier[[#This Row],[P11 HWM]]-1</f>
        <v>0</v>
      </c>
      <c r="AU101" s="28">
        <f>SUMPRODUCT(INDEX(PortfolioRef[[SPY]:[PE]],MATCH(AU$1,PortfolioRef[Reference '#]),0),AssetMonthlyReturns[[#This Row],[SPY]:[PE]])</f>
        <v>1.5762491340728185E-2</v>
      </c>
      <c r="AV101" s="27">
        <f>IF(ISNUMBER(AV100),AV100*(1+PortfolioFrontier[[#This Row],[P12 Return]]),1+PortfolioFrontier[[#This Row],[P12 Return]])</f>
        <v>2.0250631402170214</v>
      </c>
      <c r="AW101" s="27">
        <f>MAX(AW100,PortfolioFrontier[[#This Row],[P12 Growth]])</f>
        <v>2.0250631402170214</v>
      </c>
      <c r="AX101" s="27">
        <f>PortfolioFrontier[[#This Row],[P12 Growth]]/PortfolioFrontier[[#This Row],[P12 HWM]]-1</f>
        <v>0</v>
      </c>
      <c r="AY101" s="28">
        <f>SUMPRODUCT(INDEX(PortfolioRef[[SPY]:[PE]],MATCH(AY$1,PortfolioRef[Reference '#]),0),AssetMonthlyReturns[[#This Row],[SPY]:[PE]])</f>
        <v>1.6575205601174182E-2</v>
      </c>
      <c r="AZ101" s="27">
        <f>IF(ISNUMBER(AZ100),AZ100*(1+PortfolioFrontier[[#This Row],[P13 Return]]),1+PortfolioFrontier[[#This Row],[P13 Return]])</f>
        <v>2.0058126767243918</v>
      </c>
      <c r="BA101" s="27">
        <f>MAX(BA100,PortfolioFrontier[[#This Row],[P13 Growth]])</f>
        <v>2.0058126767243918</v>
      </c>
      <c r="BB101" s="27">
        <f>PortfolioFrontier[[#This Row],[P13 Growth]]/PortfolioFrontier[[#This Row],[P13 HWM]]-1</f>
        <v>0</v>
      </c>
      <c r="BC101" s="28">
        <f>SUMPRODUCT(INDEX(PortfolioRef[[SPY]:[PE]],MATCH(BC$1,PortfolioRef[Reference '#]),0),AssetMonthlyReturns[[#This Row],[SPY]:[PE]])</f>
        <v>1.6142200744078246E-2</v>
      </c>
      <c r="BD101" s="27">
        <f>IF(ISNUMBER(BD100),BD100*(1+PortfolioFrontier[[#This Row],[P14 Return]]),1+PortfolioFrontier[[#This Row],[P14 Return]])</f>
        <v>2.0010820203173654</v>
      </c>
      <c r="BE101" s="27">
        <f>MAX(BE100,PortfolioFrontier[[#This Row],[P14 Growth]])</f>
        <v>2.0010820203173654</v>
      </c>
      <c r="BF101" s="27">
        <f>PortfolioFrontier[[#This Row],[P14 Growth]]/PortfolioFrontier[[#This Row],[P14 HWM]]-1</f>
        <v>0</v>
      </c>
      <c r="BG101" s="28">
        <f>SUMPRODUCT(INDEX(PortfolioRef[[SPY]:[PE]],MATCH(BG$1,PortfolioRef[Reference '#]),0),AssetMonthlyReturns[[#This Row],[SPY]:[PE]])</f>
        <v>1.5709195886982309E-2</v>
      </c>
      <c r="BH101" s="27">
        <f>IF(ISNUMBER(BH100),BH100*(1+PortfolioFrontier[[#This Row],[P15 Return]]),1+PortfolioFrontier[[#This Row],[P15 Return]])</f>
        <v>1.9947814492672427</v>
      </c>
      <c r="BI101" s="27">
        <f>MAX(BI100,PortfolioFrontier[[#This Row],[P15 Growth]])</f>
        <v>1.9947814492672427</v>
      </c>
      <c r="BJ101" s="27">
        <f>PortfolioFrontier[[#This Row],[P15 Growth]]/PortfolioFrontier[[#This Row],[P15 HWM]]-1</f>
        <v>0</v>
      </c>
      <c r="BK101" s="28">
        <f>SUMPRODUCT(INDEX(PortfolioRef[[SPY]:[PE]],MATCH(BK$1,PortfolioRef[Reference '#]),0),AssetMonthlyReturns[[#This Row],[SPY]:[PE]])</f>
        <v>1.5676407365581589E-2</v>
      </c>
      <c r="BL101" s="27">
        <f>IF(ISNUMBER(BL100),BL100*(1+PortfolioFrontier[[#This Row],[P16 Return]]),1+PortfolioFrontier[[#This Row],[P16 Return]])</f>
        <v>1.8524537380622406</v>
      </c>
      <c r="BM101" s="27">
        <f>MAX(BM100,PortfolioFrontier[[#This Row],[P16 Growth]])</f>
        <v>1.8524537380622406</v>
      </c>
      <c r="BN101" s="27">
        <f>PortfolioFrontier[[#This Row],[P16 Growth]]/PortfolioFrontier[[#This Row],[P16 HWM]]-1</f>
        <v>0</v>
      </c>
      <c r="BO101" s="28">
        <f>SUMPRODUCT(INDEX(PortfolioRef[[SPY]:[PE]],MATCH(BO$1,PortfolioRef[Reference '#]),0),AssetMonthlyReturns[[#This Row],[SPY]:[PE]])</f>
        <v>1.5167889309131665E-2</v>
      </c>
      <c r="BP101" s="27">
        <f>IF(ISNUMBER(BP100),BP100*(1+PortfolioFrontier[[#This Row],[P17 Return]]),1+PortfolioFrontier[[#This Row],[P17 Return]])</f>
        <v>1.9015678683571851</v>
      </c>
      <c r="BQ101" s="27">
        <f>MAX(BQ100,PortfolioFrontier[[#This Row],[P17 Growth]])</f>
        <v>1.9015678683571851</v>
      </c>
      <c r="BR101" s="27">
        <f>PortfolioFrontier[[#This Row],[P17 Growth]]/PortfolioFrontier[[#This Row],[P17 HWM]]-1</f>
        <v>0</v>
      </c>
      <c r="BS101" s="28">
        <f>SUMPRODUCT(INDEX(PortfolioRef[[SPY]:[PE]],MATCH(BS$1,PortfolioRef[Reference '#]),0),AssetMonthlyReturns[[#This Row],[SPY]:[PE]])</f>
        <v>1.5547598712481726E-2</v>
      </c>
      <c r="BT101" s="27">
        <f>IF(ISNUMBER(BT100),BT100*(1+PortfolioFrontier[[#This Row],[P18 Return]]),1+PortfolioFrontier[[#This Row],[P18 Return]])</f>
        <v>1.8796696396316355</v>
      </c>
      <c r="BU101" s="27">
        <f>MAX(BU100,PortfolioFrontier[[#This Row],[P18 Growth]])</f>
        <v>1.8796696396316355</v>
      </c>
      <c r="BV101" s="27">
        <f>PortfolioFrontier[[#This Row],[P18 Growth]]/PortfolioFrontier[[#This Row],[P18 HWM]]-1</f>
        <v>0</v>
      </c>
      <c r="BW101" s="28">
        <f>SUMPRODUCT(INDEX(PortfolioRef[[SPY]:[PE]],MATCH(BW$1,PortfolioRef[Reference '#]),0),AssetMonthlyReturns[[#This Row],[SPY]:[PE]])</f>
        <v>1.5114593855385789E-2</v>
      </c>
      <c r="BX101" s="27">
        <f>IF(ISNUMBER(BX100),BX100*(1+PortfolioFrontier[[#This Row],[P19 Return]]),1+PortfolioFrontier[[#This Row],[P19 Return]])</f>
        <v>1.8733763484788117</v>
      </c>
      <c r="BY101" s="27">
        <f>MAX(BY100,PortfolioFrontier[[#This Row],[P19 Growth]])</f>
        <v>1.8733763484788117</v>
      </c>
      <c r="BZ101" s="27">
        <f>PortfolioFrontier[[#This Row],[P19 Growth]]/PortfolioFrontier[[#This Row],[P19 HWM]]-1</f>
        <v>0</v>
      </c>
      <c r="CA101" s="28">
        <f>SUMPRODUCT(INDEX(PortfolioRef[[SPY]:[PE]],MATCH(CA$1,PortfolioRef[Reference '#]),0),AssetMonthlyReturns[[#This Row],[SPY]:[PE]])</f>
        <v>1.4659371252681741E-2</v>
      </c>
      <c r="CB101" s="27">
        <f>IF(ISNUMBER(CB100),CB100*(1+PortfolioFrontier[[#This Row],[P20 Return]]),1+PortfolioFrontier[[#This Row],[P20 Return]])</f>
        <v>1.9514074856130279</v>
      </c>
      <c r="CC101" s="27">
        <f>MAX(CC100,PortfolioFrontier[[#This Row],[P20 Growth]])</f>
        <v>1.9514074856130279</v>
      </c>
      <c r="CD101" s="27">
        <f>PortfolioFrontier[[#This Row],[P20 Growth]]/PortfolioFrontier[[#This Row],[P20 HWM]]-1</f>
        <v>0</v>
      </c>
      <c r="CE101" s="28">
        <f>SUMPRODUCT(INDEX(PortfolioRef[[SPY]:[PE]],MATCH(CE$1,PortfolioRef[Reference '#]),0),AssetMonthlyReturns[[#This Row],[SPY]:[PE]])</f>
        <v>1.50390806560318E-2</v>
      </c>
      <c r="CF101" s="27">
        <f>IF(ISNUMBER(CF100),CF100*(1+PortfolioFrontier[[#This Row],[P21 Return]]),1+PortfolioFrontier[[#This Row],[P21 Return]])</f>
        <v>1.929486590010308</v>
      </c>
      <c r="CG101" s="27">
        <f>MAX(CG100,PortfolioFrontier[[#This Row],[P21 Growth]])</f>
        <v>1.929486590010308</v>
      </c>
      <c r="CH101" s="27">
        <f>PortfolioFrontier[[#This Row],[P21 Growth]]/PortfolioFrontier[[#This Row],[P21 HWM]]-1</f>
        <v>0</v>
      </c>
      <c r="CI101" s="28">
        <f>SUMPRODUCT(INDEX(PortfolioRef[[SPY]:[PE]],MATCH(CI$1,PortfolioRef[Reference '#]),0),AssetMonthlyReturns[[#This Row],[SPY]:[PE]])</f>
        <v>1.4606075798935863E-2</v>
      </c>
      <c r="CJ101" s="27">
        <f>IF(ISNUMBER(CJ100),CJ100*(1+PortfolioFrontier[[#This Row],[P22 Return]]),1+PortfolioFrontier[[#This Row],[P22 Return]])</f>
        <v>1.9230326576597367</v>
      </c>
      <c r="CK101" s="27">
        <f>MAX(CK100,PortfolioFrontier[[#This Row],[P22 Growth]])</f>
        <v>1.9230326576597367</v>
      </c>
      <c r="CL101" s="27">
        <f>PortfolioFrontier[[#This Row],[P22 Growth]]/PortfolioFrontier[[#This Row],[P22 HWM]]-1</f>
        <v>0</v>
      </c>
      <c r="CM101" s="28">
        <f>SUMPRODUCT(INDEX(PortfolioRef[[SPY]:[PE]],MATCH(CM$1,PortfolioRef[Reference '#]),0),AssetMonthlyReturns[[#This Row],[SPY]:[PE]])</f>
        <v>1.5418790059381862E-2</v>
      </c>
      <c r="CN101" s="27">
        <f>IF(ISNUMBER(CN100),CN100*(1+PortfolioFrontier[[#This Row],[P23 Return]]),1+PortfolioFrontier[[#This Row],[P23 Return]])</f>
        <v>1.9062174806199261</v>
      </c>
      <c r="CO101" s="27">
        <f>MAX(CO100,PortfolioFrontier[[#This Row],[P23 Growth]])</f>
        <v>1.9062174806199261</v>
      </c>
      <c r="CP101" s="27">
        <f>PortfolioFrontier[[#This Row],[P23 Growth]]/PortfolioFrontier[[#This Row],[P23 HWM]]-1</f>
        <v>0</v>
      </c>
      <c r="CQ101" s="28">
        <f>SUMPRODUCT(INDEX(PortfolioRef[[SPY]:[PE]],MATCH(CQ$1,PortfolioRef[Reference '#]),0),AssetMonthlyReturns[[#This Row],[SPY]:[PE]])</f>
        <v>1.4985785202285924E-2</v>
      </c>
      <c r="CR101" s="27">
        <f>IF(ISNUMBER(CR100),CR100*(1+PortfolioFrontier[[#This Row],[P24 Return]]),1+PortfolioFrontier[[#This Row],[P24 Return]])</f>
        <v>1.9009915975187601</v>
      </c>
      <c r="CS101" s="27">
        <f>MAX(CS100,PortfolioFrontier[[#This Row],[P24 Growth]])</f>
        <v>1.9009915975187601</v>
      </c>
      <c r="CT101" s="27">
        <f>PortfolioFrontier[[#This Row],[P24 Growth]]/PortfolioFrontier[[#This Row],[P24 HWM]]-1</f>
        <v>0</v>
      </c>
      <c r="CU101" s="28">
        <f>SUMPRODUCT(INDEX(PortfolioRef[[SPY]:[PE]],MATCH(CU$1,PortfolioRef[Reference '#]),0),AssetMonthlyReturns[[#This Row],[SPY]:[PE]])</f>
        <v>1.4552780345189987E-2</v>
      </c>
      <c r="CV101" s="27">
        <f>IF(ISNUMBER(CV100),CV100*(1+PortfolioFrontier[[#This Row],[P25 Return]]),1+PortfolioFrontier[[#This Row],[P25 Return]])</f>
        <v>1.8942809956620938</v>
      </c>
      <c r="CW101" s="27">
        <f>MAX(CW100,PortfolioFrontier[[#This Row],[P25 Growth]])</f>
        <v>1.8942809956620938</v>
      </c>
      <c r="CX101" s="27">
        <f>PortfolioFrontier[[#This Row],[P25 Growth]]/PortfolioFrontier[[#This Row],[P25 HWM]]-1</f>
        <v>0</v>
      </c>
      <c r="CY101" s="28">
        <f>SUMPRODUCT(INDEX(PortfolioRef[[SPY]:[PE]],MATCH(CY$1,PortfolioRef[Reference '#]),0),AssetMonthlyReturns[[#This Row],[SPY]:[PE]])</f>
        <v>1.4530562599581876E-2</v>
      </c>
      <c r="CZ101" s="27">
        <f>IF(ISNUMBER(CZ100),CZ100*(1+PortfolioFrontier[[#This Row],[P26 Return]]),1+PortfolioFrontier[[#This Row],[P26 Return]])</f>
        <v>1.9800392397501132</v>
      </c>
      <c r="DA101" s="27">
        <f>MAX(DA100,PortfolioFrontier[[#This Row],[P26 Growth]])</f>
        <v>1.9800392397501132</v>
      </c>
      <c r="DB101" s="27">
        <f>PortfolioFrontier[[#This Row],[P26 Growth]]/PortfolioFrontier[[#This Row],[P26 HWM]]-1</f>
        <v>0</v>
      </c>
      <c r="DC101" s="28">
        <f>SUMPRODUCT(INDEX(PortfolioRef[[SPY]:[PE]],MATCH(DC$1,PortfolioRef[Reference '#]),0),AssetMonthlyReturns[[#This Row],[SPY]:[PE]])</f>
        <v>1.4097557742485939E-2</v>
      </c>
      <c r="DD101" s="27">
        <f>IF(ISNUMBER(DD100),DD100*(1+PortfolioFrontier[[#This Row],[P27 Return]]),1+PortfolioFrontier[[#This Row],[P27 Return]])</f>
        <v>1.9734223796660384</v>
      </c>
      <c r="DE101" s="27">
        <f>MAX(DE100,PortfolioFrontier[[#This Row],[P27 Growth]])</f>
        <v>1.9734223796660384</v>
      </c>
      <c r="DF101" s="27">
        <f>PortfolioFrontier[[#This Row],[P27 Growth]]/PortfolioFrontier[[#This Row],[P27 HWM]]-1</f>
        <v>0</v>
      </c>
      <c r="DG101" s="28">
        <f>SUMPRODUCT(INDEX(PortfolioRef[[SPY]:[PE]],MATCH(DG$1,PortfolioRef[Reference '#]),0),AssetMonthlyReturns[[#This Row],[SPY]:[PE]])</f>
        <v>1.4910272002931935E-2</v>
      </c>
      <c r="DH101" s="27">
        <f>IF(ISNUMBER(DH100),DH100*(1+PortfolioFrontier[[#This Row],[P28 Return]]),1+PortfolioFrontier[[#This Row],[P28 Return]])</f>
        <v>1.9567196003125875</v>
      </c>
      <c r="DI101" s="27">
        <f>MAX(DI100,PortfolioFrontier[[#This Row],[P28 Growth]])</f>
        <v>1.9567196003125875</v>
      </c>
      <c r="DJ101" s="27">
        <f>PortfolioFrontier[[#This Row],[P28 Growth]]/PortfolioFrontier[[#This Row],[P28 HWM]]-1</f>
        <v>0</v>
      </c>
      <c r="DK101" s="28">
        <f>SUMPRODUCT(INDEX(PortfolioRef[[SPY]:[PE]],MATCH(DK$1,PortfolioRef[Reference '#]),0),AssetMonthlyReturns[[#This Row],[SPY]:[PE]])</f>
        <v>1.4477267145835998E-2</v>
      </c>
      <c r="DL101" s="27">
        <f>IF(ISNUMBER(DL100),DL100*(1+PortfolioFrontier[[#This Row],[P29 Return]]),1+PortfolioFrontier[[#This Row],[P29 Return]])</f>
        <v>1.9513608785901384</v>
      </c>
      <c r="DM101" s="27">
        <f>MAX(DM100,PortfolioFrontier[[#This Row],[P29 Growth]])</f>
        <v>1.9513608785901384</v>
      </c>
      <c r="DN101" s="27">
        <f>PortfolioFrontier[[#This Row],[P29 Growth]]/PortfolioFrontier[[#This Row],[P29 HWM]]-1</f>
        <v>0</v>
      </c>
      <c r="DO101" s="28">
        <f>SUMPRODUCT(INDEX(PortfolioRef[[SPY]:[PE]],MATCH(DO$1,PortfolioRef[Reference '#]),0),AssetMonthlyReturns[[#This Row],[SPY]:[PE]])</f>
        <v>1.4044262288740061E-2</v>
      </c>
      <c r="DP101" s="27">
        <f>IF(ISNUMBER(DP100),DP100*(1+PortfolioFrontier[[#This Row],[P30 Return]]),1+PortfolioFrontier[[#This Row],[P30 Return]])</f>
        <v>1.9444788956083567</v>
      </c>
      <c r="DQ101" s="27">
        <f>MAX(DQ100,PortfolioFrontier[[#This Row],[P30 Growth]])</f>
        <v>1.9444788956083567</v>
      </c>
      <c r="DR101" s="27">
        <f>PortfolioFrontier[[#This Row],[P30 Growth]]/PortfolioFrontier[[#This Row],[P30 HWM]]-1</f>
        <v>0</v>
      </c>
      <c r="DS101" s="28">
        <f>SUMPRODUCT(INDEX(PortfolioRef[[SPY]:[PE]],MATCH(DS$1,PortfolioRef[Reference '#]),0),AssetMonthlyReturns[[#This Row],[SPY]:[PE]])</f>
        <v>1.5289981406281995E-2</v>
      </c>
      <c r="DT101" s="27">
        <f>IF(ISNUMBER(DT100),DT100*(1+PortfolioFrontier[[#This Row],[P31 Return]]),1+PortfolioFrontier[[#This Row],[P31 Return]])</f>
        <v>1.9320537280788772</v>
      </c>
      <c r="DU101" s="27">
        <f>MAX(DU100,PortfolioFrontier[[#This Row],[P31 Growth]])</f>
        <v>1.9320537280788772</v>
      </c>
      <c r="DV101" s="27">
        <f>PortfolioFrontier[[#This Row],[P31 Growth]]/PortfolioFrontier[[#This Row],[P31 HWM]]-1</f>
        <v>0</v>
      </c>
      <c r="DW101" s="28">
        <f>SUMPRODUCT(INDEX(PortfolioRef[[SPY]:[PE]],MATCH(DW$1,PortfolioRef[Reference '#]),0),AssetMonthlyReturns[[#This Row],[SPY]:[PE]])</f>
        <v>1.4856976549186059E-2</v>
      </c>
      <c r="DX101" s="27">
        <f>IF(ISNUMBER(DX100),DX100*(1+PortfolioFrontier[[#This Row],[P32 Return]]),1+PortfolioFrontier[[#This Row],[P32 Return]])</f>
        <v>1.9279340854930045</v>
      </c>
      <c r="DY101" s="27">
        <f>MAX(DY100,PortfolioFrontier[[#This Row],[P32 Growth]])</f>
        <v>1.9279340854930045</v>
      </c>
      <c r="DZ101" s="27">
        <f>PortfolioFrontier[[#This Row],[P32 Growth]]/PortfolioFrontier[[#This Row],[P32 HWM]]-1</f>
        <v>0</v>
      </c>
      <c r="EA101" s="28">
        <f>SUMPRODUCT(INDEX(PortfolioRef[[SPY]:[PE]],MATCH(EA$1,PortfolioRef[Reference '#]),0),AssetMonthlyReturns[[#This Row],[SPY]:[PE]])</f>
        <v>1.4423971692090122E-2</v>
      </c>
      <c r="EB101" s="27">
        <f>IF(ISNUMBER(EB100),EB100*(1+PortfolioFrontier[[#This Row],[P33 Return]]),1+PortfolioFrontier[[#This Row],[P33 Return]])</f>
        <v>1.9222974156080341</v>
      </c>
      <c r="EC101" s="27">
        <f>MAX(EC100,PortfolioFrontier[[#This Row],[P33 Growth]])</f>
        <v>1.9222974156080341</v>
      </c>
      <c r="ED101" s="27">
        <f>PortfolioFrontier[[#This Row],[P33 Growth]]/PortfolioFrontier[[#This Row],[P33 HWM]]-1</f>
        <v>0</v>
      </c>
      <c r="EE101" s="28">
        <f>SUMPRODUCT(INDEX(PortfolioRef[[SPY]:[PE]],MATCH(EE$1,PortfolioRef[Reference '#]),0),AssetMonthlyReturns[[#This Row],[SPY]:[PE]])</f>
        <v>1.4519991823789269E-2</v>
      </c>
      <c r="EF101" s="27">
        <f>IF(ISNUMBER(EF100),EF100*(1+PortfolioFrontier[[#This Row],[P34 Return]]),1+PortfolioFrontier[[#This Row],[P34 Return]])</f>
        <v>1.7582612808595068</v>
      </c>
      <c r="EG101" s="27">
        <f>MAX(EG100,PortfolioFrontier[[#This Row],[P34 Growth]])</f>
        <v>1.7582612808595068</v>
      </c>
      <c r="EH101" s="27">
        <f>PortfolioFrontier[[#This Row],[P34 Growth]]/PortfolioFrontier[[#This Row],[P34 HWM]]-1</f>
        <v>0</v>
      </c>
      <c r="EI101" s="28">
        <f>SUMPRODUCT(INDEX(PortfolioRef[[SPY]:[PE]],MATCH(EI$1,PortfolioRef[Reference '#]),0),AssetMonthlyReturns[[#This Row],[SPY]:[PE]])</f>
        <v>1.4011473767339343E-2</v>
      </c>
      <c r="EJ101" s="27">
        <f>IF(ISNUMBER(EJ100),EJ100*(1+PortfolioFrontier[[#This Row],[P35 Return]]),1+PortfolioFrontier[[#This Row],[P35 Return]])</f>
        <v>1.8048905012337988</v>
      </c>
      <c r="EK101" s="27">
        <f>MAX(EK100,PortfolioFrontier[[#This Row],[P35 Growth]])</f>
        <v>1.8048905012337988</v>
      </c>
      <c r="EL101" s="27">
        <f>PortfolioFrontier[[#This Row],[P35 Growth]]/PortfolioFrontier[[#This Row],[P35 HWM]]-1</f>
        <v>0</v>
      </c>
      <c r="EM101" s="28">
        <f>SUMPRODUCT(INDEX(PortfolioRef[[SPY]:[PE]],MATCH(EM$1,PortfolioRef[Reference '#]),0),AssetMonthlyReturns[[#This Row],[SPY]:[PE]])</f>
        <v>1.4391183170689404E-2</v>
      </c>
      <c r="EN101" s="27">
        <f>IF(ISNUMBER(EN100),EN100*(1+PortfolioFrontier[[#This Row],[P36 Return]]),1+PortfolioFrontier[[#This Row],[P36 Return]])</f>
        <v>1.7847910973441048</v>
      </c>
      <c r="EO101" s="27">
        <f>MAX(EO100,PortfolioFrontier[[#This Row],[P36 Growth]])</f>
        <v>1.7847910973441048</v>
      </c>
      <c r="EP101" s="27">
        <f>PortfolioFrontier[[#This Row],[P36 Growth]]/PortfolioFrontier[[#This Row],[P36 HWM]]-1</f>
        <v>0</v>
      </c>
      <c r="EQ101" s="28">
        <f>SUMPRODUCT(INDEX(PortfolioRef[[SPY]:[PE]],MATCH(EQ$1,PortfolioRef[Reference '#]),0),AssetMonthlyReturns[[#This Row],[SPY]:[PE]])</f>
        <v>1.3958178313593467E-2</v>
      </c>
      <c r="ER101" s="27">
        <f>IF(ISNUMBER(ER100),ER100*(1+PortfolioFrontier[[#This Row],[P37 Return]]),1+PortfolioFrontier[[#This Row],[P37 Return]])</f>
        <v>1.7781358361801698</v>
      </c>
      <c r="ES101" s="27">
        <f>MAX(ES100,PortfolioFrontier[[#This Row],[P37 Growth]])</f>
        <v>1.7781358361801698</v>
      </c>
      <c r="ET101" s="27">
        <f>PortfolioFrontier[[#This Row],[P37 Growth]]/PortfolioFrontier[[#This Row],[P37 HWM]]-1</f>
        <v>0</v>
      </c>
      <c r="EU101" s="28">
        <f>SUMPRODUCT(INDEX(PortfolioRef[[SPY]:[PE]],MATCH(EU$1,PortfolioRef[Reference '#]),0),AssetMonthlyReturns[[#This Row],[SPY]:[PE]])</f>
        <v>1.3502955710889419E-2</v>
      </c>
      <c r="EV101" s="27">
        <f>IF(ISNUMBER(EV100),EV100*(1+PortfolioFrontier[[#This Row],[P38 Return]]),1+PortfolioFrontier[[#This Row],[P38 Return]])</f>
        <v>1.8522079925836858</v>
      </c>
      <c r="EW101" s="27">
        <f>MAX(EW100,PortfolioFrontier[[#This Row],[P38 Growth]])</f>
        <v>1.8522079925836858</v>
      </c>
      <c r="EX101" s="27">
        <f>PortfolioFrontier[[#This Row],[P38 Growth]]/PortfolioFrontier[[#This Row],[P38 HWM]]-1</f>
        <v>0</v>
      </c>
      <c r="EY101" s="28">
        <f>SUMPRODUCT(INDEX(PortfolioRef[[SPY]:[PE]],MATCH(EY$1,PortfolioRef[Reference '#]),0),AssetMonthlyReturns[[#This Row],[SPY]:[PE]])</f>
        <v>1.3882665114239478E-2</v>
      </c>
      <c r="EZ101" s="27">
        <f>IF(ISNUMBER(EZ100),EZ100*(1+PortfolioFrontier[[#This Row],[P39 Return]]),1+PortfolioFrontier[[#This Row],[P39 Return]])</f>
        <v>1.8321057503119751</v>
      </c>
      <c r="FA101" s="27">
        <f>MAX(FA100,PortfolioFrontier[[#This Row],[P39 Growth]])</f>
        <v>1.8321057503119751</v>
      </c>
      <c r="FB101" s="27">
        <f>PortfolioFrontier[[#This Row],[P39 Growth]]/PortfolioFrontier[[#This Row],[P39 HWM]]-1</f>
        <v>0</v>
      </c>
      <c r="FC101" s="28">
        <f>SUMPRODUCT(INDEX(PortfolioRef[[SPY]:[PE]],MATCH(FC$1,PortfolioRef[Reference '#]),0),AssetMonthlyReturns[[#This Row],[SPY]:[PE]])</f>
        <v>1.3449660257143541E-2</v>
      </c>
      <c r="FD101" s="27">
        <f>IF(ISNUMBER(FD100),FD100*(1+PortfolioFrontier[[#This Row],[P40 Return]]),1+PortfolioFrontier[[#This Row],[P40 Return]])</f>
        <v>1.825280275342015</v>
      </c>
      <c r="FE101" s="27">
        <f>MAX(FE100,PortfolioFrontier[[#This Row],[P40 Growth]])</f>
        <v>1.825280275342015</v>
      </c>
      <c r="FF101" s="27">
        <f>PortfolioFrontier[[#This Row],[P40 Growth]]/PortfolioFrontier[[#This Row],[P40 HWM]]-1</f>
        <v>0</v>
      </c>
      <c r="FG101" s="28">
        <f>SUMPRODUCT(INDEX(PortfolioRef[[SPY]:[PE]],MATCH(FG$1,PortfolioRef[Reference '#]),0),AssetMonthlyReturns[[#This Row],[SPY]:[PE]])</f>
        <v>1.4262374517589538E-2</v>
      </c>
      <c r="FH101" s="27">
        <f>IF(ISNUMBER(FH100),FH100*(1+PortfolioFrontier[[#This Row],[P41 Return]]),1+PortfolioFrontier[[#This Row],[P41 Return]])</f>
        <v>1.8107089093894695</v>
      </c>
      <c r="FI101" s="27">
        <f>MAX(FI100,PortfolioFrontier[[#This Row],[P41 Growth]])</f>
        <v>1.8107089093894695</v>
      </c>
      <c r="FJ101" s="27">
        <f>PortfolioFrontier[[#This Row],[P41 Growth]]/PortfolioFrontier[[#This Row],[P41 HWM]]-1</f>
        <v>0</v>
      </c>
      <c r="FK101" s="28">
        <f>SUMPRODUCT(INDEX(PortfolioRef[[SPY]:[PE]],MATCH(FK$1,PortfolioRef[Reference '#]),0),AssetMonthlyReturns[[#This Row],[SPY]:[PE]])</f>
        <v>1.3829369660493602E-2</v>
      </c>
      <c r="FL101" s="27">
        <f>IF(ISNUMBER(FL100),FL100*(1+PortfolioFrontier[[#This Row],[P42 Return]]),1+PortfolioFrontier[[#This Row],[P42 Return]])</f>
        <v>1.8050528263143562</v>
      </c>
      <c r="FM101" s="27">
        <f>MAX(FM100,PortfolioFrontier[[#This Row],[P42 Growth]])</f>
        <v>1.8050528263143562</v>
      </c>
      <c r="FN101" s="27">
        <f>PortfolioFrontier[[#This Row],[P42 Growth]]/PortfolioFrontier[[#This Row],[P42 HWM]]-1</f>
        <v>0</v>
      </c>
      <c r="FO101" s="28">
        <f>SUMPRODUCT(INDEX(PortfolioRef[[SPY]:[PE]],MATCH(FO$1,PortfolioRef[Reference '#]),0),AssetMonthlyReturns[[#This Row],[SPY]:[PE]])</f>
        <v>1.3396364803397665E-2</v>
      </c>
      <c r="FP101" s="27">
        <f>IF(ISNUMBER(FP100),FP100*(1+PortfolioFrontier[[#This Row],[P43 Return]]),1+PortfolioFrontier[[#This Row],[P43 Return]])</f>
        <v>1.7979936969751891</v>
      </c>
      <c r="FQ101" s="27">
        <f>MAX(FQ100,PortfolioFrontier[[#This Row],[P43 Growth]])</f>
        <v>1.7979936969751891</v>
      </c>
      <c r="FR101" s="27">
        <f>PortfolioFrontier[[#This Row],[P43 Growth]]/PortfolioFrontier[[#This Row],[P43 HWM]]-1</f>
        <v>0</v>
      </c>
      <c r="FS101" s="28">
        <f>SUMPRODUCT(INDEX(PortfolioRef[[SPY]:[PE]],MATCH(FS$1,PortfolioRef[Reference '#]),0),AssetMonthlyReturns[[#This Row],[SPY]:[PE]])</f>
        <v>1.3374147057789554E-2</v>
      </c>
      <c r="FT101" s="27">
        <f>IF(ISNUMBER(FT100),FT100*(1+PortfolioFrontier[[#This Row],[P44 Return]]),1+PortfolioFrontier[[#This Row],[P44 Return]])</f>
        <v>1.8801186274847705</v>
      </c>
      <c r="FU101" s="27">
        <f>MAX(FU100,PortfolioFrontier[[#This Row],[P44 Growth]])</f>
        <v>1.8801186274847705</v>
      </c>
      <c r="FV101" s="27">
        <f>PortfolioFrontier[[#This Row],[P44 Growth]]/PortfolioFrontier[[#This Row],[P44 HWM]]-1</f>
        <v>0</v>
      </c>
      <c r="FW101" s="28">
        <f>SUMPRODUCT(INDEX(PortfolioRef[[SPY]:[PE]],MATCH(FW$1,PortfolioRef[Reference '#]),0),AssetMonthlyReturns[[#This Row],[SPY]:[PE]])</f>
        <v>1.2941142200693617E-2</v>
      </c>
      <c r="FX101" s="27">
        <f>IF(ISNUMBER(FX100),FX100*(1+PortfolioFrontier[[#This Row],[P45 Return]]),1+PortfolioFrontier[[#This Row],[P45 Return]])</f>
        <v>1.8731205142333744</v>
      </c>
      <c r="FY101" s="27">
        <f>MAX(FY100,PortfolioFrontier[[#This Row],[P45 Growth]])</f>
        <v>1.8731205142333744</v>
      </c>
      <c r="FZ101" s="27">
        <f>PortfolioFrontier[[#This Row],[P45 Growth]]/PortfolioFrontier[[#This Row],[P45 HWM]]-1</f>
        <v>0</v>
      </c>
      <c r="GA101" s="28">
        <f>SUMPRODUCT(INDEX(PortfolioRef[[SPY]:[PE]],MATCH(GA$1,PortfolioRef[Reference '#]),0),AssetMonthlyReturns[[#This Row],[SPY]:[PE]])</f>
        <v>1.3753856461139613E-2</v>
      </c>
      <c r="GB101" s="27">
        <f>IF(ISNUMBER(GB100),GB100*(1+PortfolioFrontier[[#This Row],[P46 Return]]),1+PortfolioFrontier[[#This Row],[P46 Return]])</f>
        <v>1.8586927975051346</v>
      </c>
      <c r="GC101" s="27">
        <f>MAX(GC100,PortfolioFrontier[[#This Row],[P46 Growth]])</f>
        <v>1.8586927975051346</v>
      </c>
      <c r="GD101" s="27">
        <f>PortfolioFrontier[[#This Row],[P46 Growth]]/PortfolioFrontier[[#This Row],[P46 HWM]]-1</f>
        <v>0</v>
      </c>
      <c r="GE101" s="28">
        <f>SUMPRODUCT(INDEX(PortfolioRef[[SPY]:[PE]],MATCH(GE$1,PortfolioRef[Reference '#]),0),AssetMonthlyReturns[[#This Row],[SPY]:[PE]])</f>
        <v>1.3320851604043676E-2</v>
      </c>
      <c r="GF101" s="27">
        <f>IF(ISNUMBER(GF100),GF100*(1+PortfolioFrontier[[#This Row],[P47 Return]]),1+PortfolioFrontier[[#This Row],[P47 Return]])</f>
        <v>1.8528925436276582</v>
      </c>
      <c r="GG101" s="27">
        <f>MAX(GG100,PortfolioFrontier[[#This Row],[P47 Growth]])</f>
        <v>1.8528925436276582</v>
      </c>
      <c r="GH101" s="27">
        <f>PortfolioFrontier[[#This Row],[P47 Growth]]/PortfolioFrontier[[#This Row],[P47 HWM]]-1</f>
        <v>0</v>
      </c>
      <c r="GI101" s="28">
        <f>SUMPRODUCT(INDEX(PortfolioRef[[SPY]:[PE]],MATCH(GI$1,PortfolioRef[Reference '#]),0),AssetMonthlyReturns[[#This Row],[SPY]:[PE]])</f>
        <v>1.2887846746947739E-2</v>
      </c>
      <c r="GJ101" s="27">
        <f>IF(ISNUMBER(GJ100),GJ100*(1+PortfolioFrontier[[#This Row],[P48 Return]]),1+PortfolioFrontier[[#This Row],[P48 Return]])</f>
        <v>1.8456528063901505</v>
      </c>
      <c r="GK101" s="27">
        <f>MAX(GK100,PortfolioFrontier[[#This Row],[P48 Growth]])</f>
        <v>1.8456528063901505</v>
      </c>
      <c r="GL101" s="27">
        <f>PortfolioFrontier[[#This Row],[P48 Growth]]/PortfolioFrontier[[#This Row],[P48 HWM]]-1</f>
        <v>0</v>
      </c>
      <c r="GM101" s="28">
        <f>SUMPRODUCT(INDEX(PortfolioRef[[SPY]:[PE]],MATCH(GM$1,PortfolioRef[Reference '#]),0),AssetMonthlyReturns[[#This Row],[SPY]:[PE]])</f>
        <v>1.4133565864489673E-2</v>
      </c>
      <c r="GN101" s="27">
        <f>IF(ISNUMBER(GN100),GN100*(1+PortfolioFrontier[[#This Row],[P49 Return]]),1+PortfolioFrontier[[#This Row],[P49 Return]])</f>
        <v>1.8359728486315081</v>
      </c>
      <c r="GO101" s="27">
        <f>MAX(GO100,PortfolioFrontier[[#This Row],[P49 Growth]])</f>
        <v>1.8359728486315081</v>
      </c>
      <c r="GP101" s="27">
        <f>PortfolioFrontier[[#This Row],[P49 Growth]]/PortfolioFrontier[[#This Row],[P49 HWM]]-1</f>
        <v>0</v>
      </c>
      <c r="GQ101" s="28">
        <f>SUMPRODUCT(INDEX(PortfolioRef[[SPY]:[PE]],MATCH(GQ$1,PortfolioRef[Reference '#]),0),AssetMonthlyReturns[[#This Row],[SPY]:[PE]])</f>
        <v>1.3700561007393737E-2</v>
      </c>
      <c r="GR101" s="27">
        <f>IF(ISNUMBER(GR100),GR100*(1+PortfolioFrontier[[#This Row],[P50 Return]]),1+PortfolioFrontier[[#This Row],[P50 Return]])</f>
        <v>1.8313536585714347</v>
      </c>
      <c r="GS101" s="27">
        <f>MAX(GS100,PortfolioFrontier[[#This Row],[P50 Growth]])</f>
        <v>1.8313536585714347</v>
      </c>
      <c r="GT101" s="27">
        <f>PortfolioFrontier[[#This Row],[P50 Growth]]/PortfolioFrontier[[#This Row],[P50 HWM]]-1</f>
        <v>0</v>
      </c>
      <c r="GU101" s="28">
        <f>SUMPRODUCT(INDEX(PortfolioRef[[SPY]:[PE]],MATCH(GU$1,PortfolioRef[Reference '#]),0),AssetMonthlyReturns[[#This Row],[SPY]:[PE]])</f>
        <v>1.32675561502978E-2</v>
      </c>
      <c r="GV101" s="27">
        <f>IF(ISNUMBER(GV100),GV100*(1+PortfolioFrontier[[#This Row],[P51 Return]]),1+PortfolioFrontier[[#This Row],[P51 Return]])</f>
        <v>1.8252995994151053</v>
      </c>
      <c r="GW101" s="27">
        <f>MAX(GW100,PortfolioFrontier[[#This Row],[P51 Growth]])</f>
        <v>1.8252995994151053</v>
      </c>
      <c r="GX101" s="27">
        <f>PortfolioFrontier[[#This Row],[P51 Growth]]/PortfolioFrontier[[#This Row],[P51 HWM]]-1</f>
        <v>0</v>
      </c>
      <c r="GY101" s="28">
        <f>SUMPRODUCT(INDEX(PortfolioRef[[SPY]:[PE]],MATCH(GY$1,PortfolioRef[Reference '#]),0),AssetMonthlyReturns[[#This Row],[SPY]:[PE]])</f>
        <v>1.3245338404689689E-2</v>
      </c>
      <c r="GZ101" s="27">
        <f>IF(ISNUMBER(GZ100),GZ100*(1+PortfolioFrontier[[#This Row],[P52 Return]]),1+PortfolioFrontier[[#This Row],[P52 Return]])</f>
        <v>1.9073846280566027</v>
      </c>
      <c r="HA101" s="27">
        <f>MAX(HA100,PortfolioFrontier[[#This Row],[P52 Growth]])</f>
        <v>1.9073846280566027</v>
      </c>
      <c r="HB101" s="27">
        <f>PortfolioFrontier[[#This Row],[P52 Growth]]/PortfolioFrontier[[#This Row],[P52 HWM]]-1</f>
        <v>0</v>
      </c>
      <c r="HC101" s="28">
        <f>SUMPRODUCT(INDEX(PortfolioRef[[SPY]:[PE]],MATCH(HC$1,PortfolioRef[Reference '#]),0),AssetMonthlyReturns[[#This Row],[SPY]:[PE]])</f>
        <v>1.2812333547593752E-2</v>
      </c>
      <c r="HD101" s="27">
        <f>IF(ISNUMBER(HD100),HD100*(1+PortfolioFrontier[[#This Row],[P53 Return]]),1+PortfolioFrontier[[#This Row],[P53 Return]])</f>
        <v>1.9014381559610405</v>
      </c>
      <c r="HE101" s="27">
        <f>MAX(HE100,PortfolioFrontier[[#This Row],[P53 Growth]])</f>
        <v>1.9014381559610405</v>
      </c>
      <c r="HF101" s="27">
        <f>PortfolioFrontier[[#This Row],[P53 Growth]]/PortfolioFrontier[[#This Row],[P53 HWM]]-1</f>
        <v>0</v>
      </c>
      <c r="HG101" s="28">
        <f>SUMPRODUCT(INDEX(PortfolioRef[[SPY]:[PE]],MATCH(HG$1,PortfolioRef[Reference '#]),0),AssetMonthlyReturns[[#This Row],[SPY]:[PE]])</f>
        <v>1.2379328690497815E-2</v>
      </c>
      <c r="HH101" s="27">
        <f>IF(ISNUMBER(HH100),HH100*(1+PortfolioFrontier[[#This Row],[P54 Return]]),1+PortfolioFrontier[[#This Row],[P54 Return]])</f>
        <v>1.8940152365508063</v>
      </c>
      <c r="HI101" s="27">
        <f>MAX(HI100,PortfolioFrontier[[#This Row],[P54 Growth]])</f>
        <v>1.8940152365508063</v>
      </c>
      <c r="HJ101" s="27">
        <f>PortfolioFrontier[[#This Row],[P54 Growth]]/PortfolioFrontier[[#This Row],[P54 HWM]]-1</f>
        <v>0</v>
      </c>
      <c r="HK101" s="28">
        <f>SUMPRODUCT(INDEX(PortfolioRef[[SPY]:[PE]],MATCH(HK$1,PortfolioRef[Reference '#]),0),AssetMonthlyReturns[[#This Row],[SPY]:[PE]])</f>
        <v>1.3625047808039747E-2</v>
      </c>
      <c r="HL101" s="27">
        <f>IF(ISNUMBER(HL100),HL100*(1+PortfolioFrontier[[#This Row],[P55 Return]]),1+PortfolioFrontier[[#This Row],[P55 Return]])</f>
        <v>1.8846087084799161</v>
      </c>
      <c r="HM101" s="27">
        <f>MAX(HM100,PortfolioFrontier[[#This Row],[P55 Growth]])</f>
        <v>1.8846087084799161</v>
      </c>
      <c r="HN101" s="27">
        <f>PortfolioFrontier[[#This Row],[P55 Growth]]/PortfolioFrontier[[#This Row],[P55 HWM]]-1</f>
        <v>0</v>
      </c>
      <c r="HO101" s="28">
        <f>SUMPRODUCT(INDEX(PortfolioRef[[SPY]:[PE]],MATCH(HO$1,PortfolioRef[Reference '#]),0),AssetMonthlyReturns[[#This Row],[SPY]:[PE]])</f>
        <v>1.3192042950943811E-2</v>
      </c>
      <c r="HP101" s="27">
        <f>IF(ISNUMBER(HP100),HP100*(1+PortfolioFrontier[[#This Row],[P56 Return]]),1+PortfolioFrontier[[#This Row],[P56 Return]])</f>
        <v>1.8798723482614694</v>
      </c>
      <c r="HQ101" s="27">
        <f>MAX(HQ100,PortfolioFrontier[[#This Row],[P56 Growth]])</f>
        <v>1.8798723482614694</v>
      </c>
      <c r="HR101" s="27">
        <f>PortfolioFrontier[[#This Row],[P56 Growth]]/PortfolioFrontier[[#This Row],[P56 HWM]]-1</f>
        <v>0</v>
      </c>
      <c r="HS101" s="28">
        <f>SUMPRODUCT(INDEX(PortfolioRef[[SPY]:[PE]],MATCH(HS$1,PortfolioRef[Reference '#]),0),AssetMonthlyReturns[[#This Row],[SPY]:[PE]])</f>
        <v>1.2759038093847874E-2</v>
      </c>
      <c r="HT101" s="27">
        <f>IF(ISNUMBER(HT100),HT100*(1+PortfolioFrontier[[#This Row],[P57 Return]]),1+PortfolioFrontier[[#This Row],[P57 Return]])</f>
        <v>1.8736638753470976</v>
      </c>
      <c r="HU101" s="27">
        <f>MAX(HU100,PortfolioFrontier[[#This Row],[P57 Growth]])</f>
        <v>1.8736638753470976</v>
      </c>
      <c r="HV101" s="27">
        <f>PortfolioFrontier[[#This Row],[P57 Growth]]/PortfolioFrontier[[#This Row],[P57 HWM]]-1</f>
        <v>0</v>
      </c>
      <c r="HW101" s="28">
        <f>SUMPRODUCT(INDEX(PortfolioRef[[SPY]:[PE]],MATCH(HW$1,PortfolioRef[Reference '#]),0),AssetMonthlyReturns[[#This Row],[SPY]:[PE]])</f>
        <v>1.4004757211389808E-2</v>
      </c>
      <c r="HX101" s="27">
        <f>IF(ISNUMBER(HX100),HX100*(1+PortfolioFrontier[[#This Row],[P58 Return]]),1+PortfolioFrontier[[#This Row],[P58 Return]])</f>
        <v>1.8605411832019216</v>
      </c>
      <c r="HY101" s="27">
        <f>MAX(HY100,PortfolioFrontier[[#This Row],[P58 Growth]])</f>
        <v>1.8605411832019216</v>
      </c>
      <c r="HZ101" s="27">
        <f>PortfolioFrontier[[#This Row],[P58 Growth]]/PortfolioFrontier[[#This Row],[P58 HWM]]-1</f>
        <v>0</v>
      </c>
      <c r="IA101" s="28">
        <f>SUMPRODUCT(INDEX(PortfolioRef[[SPY]:[PE]],MATCH(IA$1,PortfolioRef[Reference '#]),0),AssetMonthlyReturns[[#This Row],[SPY]:[PE]])</f>
        <v>1.3571752354293871E-2</v>
      </c>
      <c r="IB101" s="27">
        <f>IF(ISNUMBER(IB100),IB100*(1+PortfolioFrontier[[#This Row],[P59 Return]]),1+PortfolioFrontier[[#This Row],[P59 Return]])</f>
        <v>1.8569959202310822</v>
      </c>
      <c r="IC101" s="27">
        <f>MAX(IC100,PortfolioFrontier[[#This Row],[P59 Growth]])</f>
        <v>1.8569959202310822</v>
      </c>
      <c r="ID101" s="27">
        <f>PortfolioFrontier[[#This Row],[P59 Growth]]/PortfolioFrontier[[#This Row],[P59 HWM]]-1</f>
        <v>0</v>
      </c>
      <c r="IE101" s="28">
        <f>SUMPRODUCT(INDEX(PortfolioRef[[SPY]:[PE]],MATCH(IE$1,PortfolioRef[Reference '#]),0),AssetMonthlyReturns[[#This Row],[SPY]:[PE]])</f>
        <v>1.3138747497197935E-2</v>
      </c>
      <c r="IF101" s="27">
        <f>IF(ISNUMBER(IF100),IF100*(1+PortfolioFrontier[[#This Row],[P60 Return]]),1+PortfolioFrontier[[#This Row],[P60 Return]])</f>
        <v>1.851985257156588</v>
      </c>
      <c r="IG101" s="27">
        <f>MAX(IG100,PortfolioFrontier[[#This Row],[P60 Growth]])</f>
        <v>1.851985257156588</v>
      </c>
      <c r="IH101" s="27">
        <f>PortfolioFrontier[[#This Row],[P60 Growth]]/PortfolioFrontier[[#This Row],[P60 HWM]]-1</f>
        <v>0</v>
      </c>
      <c r="II101" s="28">
        <f>SUMPRODUCT(INDEX(PortfolioRef[[SPY]:[PE]],MATCH(II$1,PortfolioRef[Reference '#]),0),AssetMonthlyReturns[[#This Row],[SPY]:[PE]])</f>
        <v>1.3363576281996949E-2</v>
      </c>
      <c r="IJ101" s="27">
        <f>IF(ISNUMBER(IJ100),IJ100*(1+PortfolioFrontier[[#This Row],[P61 Return]]),1+PortfolioFrontier[[#This Row],[P61 Return]])</f>
        <v>1.6680692882117869</v>
      </c>
      <c r="IK101" s="27">
        <f>MAX(IK100,PortfolioFrontier[[#This Row],[P61 Growth]])</f>
        <v>1.6680692882117869</v>
      </c>
      <c r="IL101" s="27">
        <f>PortfolioFrontier[[#This Row],[P61 Growth]]/PortfolioFrontier[[#This Row],[P61 HWM]]-1</f>
        <v>0</v>
      </c>
      <c r="IM101" s="28">
        <f>SUMPRODUCT(INDEX(PortfolioRef[[SPY]:[PE]],MATCH(IM$1,PortfolioRef[Reference '#]),0),AssetMonthlyReturns[[#This Row],[SPY]:[PE]])</f>
        <v>1.2855058225547021E-2</v>
      </c>
      <c r="IN101" s="27">
        <f>IF(ISNUMBER(IN100),IN100*(1+PortfolioFrontier[[#This Row],[P62 Return]]),1+PortfolioFrontier[[#This Row],[P62 Return]])</f>
        <v>1.7123189211091008</v>
      </c>
      <c r="IO101" s="27">
        <f>MAX(IO100,PortfolioFrontier[[#This Row],[P62 Growth]])</f>
        <v>1.7123189211091008</v>
      </c>
      <c r="IP101" s="27">
        <f>PortfolioFrontier[[#This Row],[P62 Growth]]/PortfolioFrontier[[#This Row],[P62 HWM]]-1</f>
        <v>0</v>
      </c>
      <c r="IQ101" s="28">
        <f>SUMPRODUCT(INDEX(PortfolioRef[[SPY]:[PE]],MATCH(IQ$1,PortfolioRef[Reference '#]),0),AssetMonthlyReturns[[#This Row],[SPY]:[PE]])</f>
        <v>1.3234767628897082E-2</v>
      </c>
      <c r="IR101" s="27">
        <f>IF(ISNUMBER(IR100),IR100*(1+PortfolioFrontier[[#This Row],[P63 Return]]),1+PortfolioFrontier[[#This Row],[P63 Return]])</f>
        <v>1.6938995188200228</v>
      </c>
      <c r="IS101" s="27">
        <f>MAX(IS100,PortfolioFrontier[[#This Row],[P63 Growth]])</f>
        <v>1.6938995188200228</v>
      </c>
      <c r="IT101" s="27">
        <f>PortfolioFrontier[[#This Row],[P63 Growth]]/PortfolioFrontier[[#This Row],[P63 HWM]]-1</f>
        <v>0</v>
      </c>
      <c r="IU101" s="28">
        <f>SUMPRODUCT(INDEX(PortfolioRef[[SPY]:[PE]],MATCH(IU$1,PortfolioRef[Reference '#]),0),AssetMonthlyReturns[[#This Row],[SPY]:[PE]])</f>
        <v>1.2801762771801145E-2</v>
      </c>
      <c r="IV101" s="27">
        <f>IF(ISNUMBER(IV100),IV100*(1+PortfolioFrontier[[#This Row],[P64 Return]]),1+PortfolioFrontier[[#This Row],[P64 Return]])</f>
        <v>1.6869393865557096</v>
      </c>
      <c r="IW101" s="27">
        <f>MAX(IW100,PortfolioFrontier[[#This Row],[P64 Growth]])</f>
        <v>1.6869393865557096</v>
      </c>
      <c r="IX101" s="27">
        <f>PortfolioFrontier[[#This Row],[P64 Growth]]/PortfolioFrontier[[#This Row],[P64 HWM]]-1</f>
        <v>0</v>
      </c>
      <c r="IY101" s="28">
        <f>SUMPRODUCT(INDEX(PortfolioRef[[SPY]:[PE]],MATCH(IY$1,PortfolioRef[Reference '#]),0),AssetMonthlyReturns[[#This Row],[SPY]:[PE]])</f>
        <v>1.2346540169097097E-2</v>
      </c>
      <c r="IZ101" s="27">
        <f>IF(ISNUMBER(IZ100),IZ100*(1+PortfolioFrontier[[#This Row],[P65 Return]]),1+PortfolioFrontier[[#This Row],[P65 Return]])</f>
        <v>1.757221223588564</v>
      </c>
      <c r="JA101" s="27">
        <f>MAX(JA100,PortfolioFrontier[[#This Row],[P65 Growth]])</f>
        <v>1.757221223588564</v>
      </c>
      <c r="JB101" s="27">
        <f>PortfolioFrontier[[#This Row],[P65 Growth]]/PortfolioFrontier[[#This Row],[P65 HWM]]-1</f>
        <v>0</v>
      </c>
      <c r="JC101" s="28">
        <f>SUMPRODUCT(INDEX(PortfolioRef[[SPY]:[PE]],MATCH(JC$1,PortfolioRef[Reference '#]),0),AssetMonthlyReturns[[#This Row],[SPY]:[PE]])</f>
        <v>1.2726249572447156E-2</v>
      </c>
      <c r="JD101" s="27">
        <f>IF(ISNUMBER(JD100),JD100*(1+PortfolioFrontier[[#This Row],[P66 Return]]),1+PortfolioFrontier[[#This Row],[P66 Return]])</f>
        <v>1.7388168328621469</v>
      </c>
      <c r="JE101" s="27">
        <f>MAX(JE100,PortfolioFrontier[[#This Row],[P66 Growth]])</f>
        <v>1.7388168328621469</v>
      </c>
      <c r="JF101" s="27">
        <f>PortfolioFrontier[[#This Row],[P66 Growth]]/PortfolioFrontier[[#This Row],[P66 HWM]]-1</f>
        <v>0</v>
      </c>
      <c r="JG101" s="28">
        <f>SUMPRODUCT(INDEX(PortfolioRef[[SPY]:[PE]],MATCH(JG$1,PortfolioRef[Reference '#]),0),AssetMonthlyReturns[[#This Row],[SPY]:[PE]])</f>
        <v>1.2293244715351219E-2</v>
      </c>
      <c r="JH101" s="27">
        <f>IF(ISNUMBER(JH100),JH100*(1+PortfolioFrontier[[#This Row],[P67 Return]]),1+PortfolioFrontier[[#This Row],[P67 Return]])</f>
        <v>1.7316783947483481</v>
      </c>
      <c r="JI101" s="27">
        <f>MAX(JI100,PortfolioFrontier[[#This Row],[P67 Growth]])</f>
        <v>1.7316783947483481</v>
      </c>
      <c r="JJ101" s="27">
        <f>PortfolioFrontier[[#This Row],[P67 Growth]]/PortfolioFrontier[[#This Row],[P67 HWM]]-1</f>
        <v>0</v>
      </c>
      <c r="JK101" s="28">
        <f>SUMPRODUCT(INDEX(PortfolioRef[[SPY]:[PE]],MATCH(JK$1,PortfolioRef[Reference '#]),0),AssetMonthlyReturns[[#This Row],[SPY]:[PE]])</f>
        <v>1.3105958975797216E-2</v>
      </c>
      <c r="JL101" s="27">
        <f>IF(ISNUMBER(JL100),JL100*(1+PortfolioFrontier[[#This Row],[P68 Return]]),1+PortfolioFrontier[[#This Row],[P68 Return]])</f>
        <v>1.7191705012392584</v>
      </c>
      <c r="JM101" s="27">
        <f>MAX(JM100,PortfolioFrontier[[#This Row],[P68 Growth]])</f>
        <v>1.7191705012392584</v>
      </c>
      <c r="JN101" s="27">
        <f>PortfolioFrontier[[#This Row],[P68 Growth]]/PortfolioFrontier[[#This Row],[P68 HWM]]-1</f>
        <v>0</v>
      </c>
      <c r="JO101" s="28">
        <f>SUMPRODUCT(INDEX(PortfolioRef[[SPY]:[PE]],MATCH(JO$1,PortfolioRef[Reference '#]),0),AssetMonthlyReturns[[#This Row],[SPY]:[PE]])</f>
        <v>1.267295411870128E-2</v>
      </c>
      <c r="JP101" s="27">
        <f>IF(ISNUMBER(JP100),JP100*(1+PortfolioFrontier[[#This Row],[P69 Return]]),1+PortfolioFrontier[[#This Row],[P69 Return]])</f>
        <v>1.7131446504404011</v>
      </c>
      <c r="JQ101" s="27">
        <f>MAX(JQ100,PortfolioFrontier[[#This Row],[P69 Growth]])</f>
        <v>1.7131446504404011</v>
      </c>
      <c r="JR101" s="27">
        <f>PortfolioFrontier[[#This Row],[P69 Growth]]/PortfolioFrontier[[#This Row],[P69 HWM]]-1</f>
        <v>0</v>
      </c>
      <c r="JS101" s="28">
        <f>SUMPRODUCT(INDEX(PortfolioRef[[SPY]:[PE]],MATCH(JS$1,PortfolioRef[Reference '#]),0),AssetMonthlyReturns[[#This Row],[SPY]:[PE]])</f>
        <v>1.2239949261605343E-2</v>
      </c>
      <c r="JT101" s="27">
        <f>IF(ISNUMBER(JT100),JT100*(1+PortfolioFrontier[[#This Row],[P70 Return]]),1+PortfolioFrontier[[#This Row],[P70 Return]])</f>
        <v>1.7057939772834132</v>
      </c>
      <c r="JU101" s="27">
        <f>MAX(JU100,PortfolioFrontier[[#This Row],[P70 Growth]])</f>
        <v>1.7057939772834132</v>
      </c>
      <c r="JV101" s="27">
        <f>PortfolioFrontier[[#This Row],[P70 Growth]]/PortfolioFrontier[[#This Row],[P70 HWM]]-1</f>
        <v>0</v>
      </c>
      <c r="JW101" s="28">
        <f>SUMPRODUCT(INDEX(PortfolioRef[[SPY]:[PE]],MATCH(JW$1,PortfolioRef[Reference '#]),0),AssetMonthlyReturns[[#This Row],[SPY]:[PE]])</f>
        <v>1.2217731515997232E-2</v>
      </c>
      <c r="JX101" s="27">
        <f>IF(ISNUMBER(JX100),JX100*(1+PortfolioFrontier[[#This Row],[P71 Return]]),1+PortfolioFrontier[[#This Row],[P71 Return]])</f>
        <v>1.7843965057612901</v>
      </c>
      <c r="JY101" s="27">
        <f>MAX(JY100,PortfolioFrontier[[#This Row],[P71 Growth]])</f>
        <v>1.7843965057612901</v>
      </c>
      <c r="JZ101" s="27">
        <f>PortfolioFrontier[[#This Row],[P71 Growth]]/PortfolioFrontier[[#This Row],[P71 HWM]]-1</f>
        <v>0</v>
      </c>
      <c r="KA101" s="28">
        <f>SUMPRODUCT(INDEX(PortfolioRef[[SPY]:[PE]],MATCH(KA$1,PortfolioRef[Reference '#]),0),AssetMonthlyReturns[[#This Row],[SPY]:[PE]])</f>
        <v>1.1784726658901295E-2</v>
      </c>
      <c r="KB101" s="27">
        <f>IF(ISNUMBER(KB100),KB100*(1+PortfolioFrontier[[#This Row],[P72 Return]]),1+PortfolioFrontier[[#This Row],[P72 Return]])</f>
        <v>1.7770772208851111</v>
      </c>
      <c r="KC101" s="27">
        <f>MAX(KC100,PortfolioFrontier[[#This Row],[P72 Growth]])</f>
        <v>1.7770772208851111</v>
      </c>
      <c r="KD101" s="27">
        <f>PortfolioFrontier[[#This Row],[P72 Growth]]/PortfolioFrontier[[#This Row],[P72 HWM]]-1</f>
        <v>0</v>
      </c>
      <c r="KE101" s="28">
        <f>SUMPRODUCT(INDEX(PortfolioRef[[SPY]:[PE]],MATCH(KE$1,PortfolioRef[Reference '#]),0),AssetMonthlyReturns[[#This Row],[SPY]:[PE]])</f>
        <v>1.2597440919347291E-2</v>
      </c>
      <c r="KF101" s="27">
        <f>IF(ISNUMBER(KF100),KF100*(1+PortfolioFrontier[[#This Row],[P73 Return]]),1+PortfolioFrontier[[#This Row],[P73 Return]])</f>
        <v>1.764740667795849</v>
      </c>
      <c r="KG101" s="27">
        <f>MAX(KG100,PortfolioFrontier[[#This Row],[P73 Growth]])</f>
        <v>1.764740667795849</v>
      </c>
      <c r="KH101" s="27">
        <f>PortfolioFrontier[[#This Row],[P73 Growth]]/PortfolioFrontier[[#This Row],[P73 HWM]]-1</f>
        <v>0</v>
      </c>
      <c r="KI101" s="28">
        <f>SUMPRODUCT(INDEX(PortfolioRef[[SPY]:[PE]],MATCH(KI$1,PortfolioRef[Reference '#]),0),AssetMonthlyReturns[[#This Row],[SPY]:[PE]])</f>
        <v>1.2164436062251354E-2</v>
      </c>
      <c r="KJ101" s="27">
        <f>IF(ISNUMBER(KJ100),KJ100*(1+PortfolioFrontier[[#This Row],[P74 Return]]),1+PortfolioFrontier[[#This Row],[P74 Return]])</f>
        <v>1.7585608799061785</v>
      </c>
      <c r="KK101" s="27">
        <f>MAX(KK100,PortfolioFrontier[[#This Row],[P74 Growth]])</f>
        <v>1.7585608799061785</v>
      </c>
      <c r="KL101" s="27">
        <f>PortfolioFrontier[[#This Row],[P74 Growth]]/PortfolioFrontier[[#This Row],[P74 HWM]]-1</f>
        <v>0</v>
      </c>
      <c r="KM101" s="28">
        <f>SUMPRODUCT(INDEX(PortfolioRef[[SPY]:[PE]],MATCH(KM$1,PortfolioRef[Reference '#]),0),AssetMonthlyReturns[[#This Row],[SPY]:[PE]])</f>
        <v>1.1731431205155417E-2</v>
      </c>
      <c r="KN101" s="27">
        <f>IF(ISNUMBER(KN100),KN100*(1+PortfolioFrontier[[#This Row],[P75 Return]]),1+PortfolioFrontier[[#This Row],[P75 Return]])</f>
        <v>1.7510218494217418</v>
      </c>
      <c r="KO101" s="27">
        <f>MAX(KO100,PortfolioFrontier[[#This Row],[P75 Growth]])</f>
        <v>1.7510218494217418</v>
      </c>
      <c r="KP101" s="27">
        <f>PortfolioFrontier[[#This Row],[P75 Growth]]/PortfolioFrontier[[#This Row],[P75 HWM]]-1</f>
        <v>0</v>
      </c>
      <c r="KQ101" s="28">
        <f>SUMPRODUCT(INDEX(PortfolioRef[[SPY]:[PE]],MATCH(KQ$1,PortfolioRef[Reference '#]),0),AssetMonthlyReturns[[#This Row],[SPY]:[PE]])</f>
        <v>1.2977150322697351E-2</v>
      </c>
      <c r="KR101" s="27">
        <f>IF(ISNUMBER(KR100),KR100*(1+PortfolioFrontier[[#This Row],[P76 Return]]),1+PortfolioFrontier[[#This Row],[P76 Return]])</f>
        <v>1.7438420152668022</v>
      </c>
      <c r="KS101" s="27">
        <f>MAX(KS100,PortfolioFrontier[[#This Row],[P76 Growth]])</f>
        <v>1.7438420152668022</v>
      </c>
      <c r="KT101" s="27">
        <f>PortfolioFrontier[[#This Row],[P76 Growth]]/PortfolioFrontier[[#This Row],[P76 HWM]]-1</f>
        <v>0</v>
      </c>
      <c r="KU101" s="28">
        <f>SUMPRODUCT(INDEX(PortfolioRef[[SPY]:[PE]],MATCH(KU$1,PortfolioRef[Reference '#]),0),AssetMonthlyReturns[[#This Row],[SPY]:[PE]])</f>
        <v>1.2544145465601415E-2</v>
      </c>
      <c r="KV101" s="27">
        <f>IF(ISNUMBER(KV100),KV100*(1+PortfolioFrontier[[#This Row],[P77 Return]]),1+PortfolioFrontier[[#This Row],[P77 Return]])</f>
        <v>1.7387870230097604</v>
      </c>
      <c r="KW101" s="27">
        <f>MAX(KW100,PortfolioFrontier[[#This Row],[P77 Growth]])</f>
        <v>1.7387870230097604</v>
      </c>
      <c r="KX101" s="27">
        <f>PortfolioFrontier[[#This Row],[P77 Growth]]/PortfolioFrontier[[#This Row],[P77 HWM]]-1</f>
        <v>0</v>
      </c>
      <c r="KY101" s="28">
        <f>SUMPRODUCT(INDEX(PortfolioRef[[SPY]:[PE]],MATCH(KY$1,PortfolioRef[Reference '#]),0),AssetMonthlyReturns[[#This Row],[SPY]:[PE]])</f>
        <v>1.2111140608505478E-2</v>
      </c>
      <c r="KZ101" s="27">
        <f>IF(ISNUMBER(KZ100),KZ100*(1+PortfolioFrontier[[#This Row],[P78 Return]]),1+PortfolioFrontier[[#This Row],[P78 Return]])</f>
        <v>1.7323759315844918</v>
      </c>
      <c r="LA101" s="27">
        <f>MAX(LA100,PortfolioFrontier[[#This Row],[P78 Growth]])</f>
        <v>1.7323759315844918</v>
      </c>
      <c r="LB101" s="27">
        <f>PortfolioFrontier[[#This Row],[P78 Growth]]/PortfolioFrontier[[#This Row],[P78 HWM]]-1</f>
        <v>0</v>
      </c>
      <c r="LC101" s="28">
        <f>SUMPRODUCT(INDEX(PortfolioRef[[SPY]:[PE]],MATCH(LC$1,PortfolioRef[Reference '#]),0),AssetMonthlyReturns[[#This Row],[SPY]:[PE]])</f>
        <v>1.2088922862897367E-2</v>
      </c>
      <c r="LD101" s="27">
        <f>IF(ISNUMBER(LD100),LD100*(1+PortfolioFrontier[[#This Row],[P79 Return]]),1+PortfolioFrontier[[#This Row],[P79 Return]])</f>
        <v>1.810982667325143</v>
      </c>
      <c r="LE101" s="27">
        <f>MAX(LE100,PortfolioFrontier[[#This Row],[P79 Growth]])</f>
        <v>1.810982667325143</v>
      </c>
      <c r="LF101" s="27">
        <f>PortfolioFrontier[[#This Row],[P79 Growth]]/PortfolioFrontier[[#This Row],[P79 HWM]]-1</f>
        <v>0</v>
      </c>
      <c r="LG101" s="28">
        <f>SUMPRODUCT(INDEX(PortfolioRef[[SPY]:[PE]],MATCH(LG$1,PortfolioRef[Reference '#]),0),AssetMonthlyReturns[[#This Row],[SPY]:[PE]])</f>
        <v>1.165591800580143E-2</v>
      </c>
      <c r="LH101" s="27">
        <f>IF(ISNUMBER(LH100),LH100*(1+PortfolioFrontier[[#This Row],[P80 Return]]),1+PortfolioFrontier[[#This Row],[P80 Return]])</f>
        <v>1.8046467541761486</v>
      </c>
      <c r="LI101" s="27">
        <f>MAX(LI100,PortfolioFrontier[[#This Row],[P80 Growth]])</f>
        <v>1.8046467541761486</v>
      </c>
      <c r="LJ101" s="27">
        <f>PortfolioFrontier[[#This Row],[P80 Growth]]/PortfolioFrontier[[#This Row],[P80 HWM]]-1</f>
        <v>0</v>
      </c>
      <c r="LK101" s="28">
        <f>SUMPRODUCT(INDEX(PortfolioRef[[SPY]:[PE]],MATCH(LK$1,PortfolioRef[Reference '#]),0),AssetMonthlyReturns[[#This Row],[SPY]:[PE]])</f>
        <v>1.1222913148705493E-2</v>
      </c>
      <c r="LL101" s="27">
        <f>IF(ISNUMBER(LL100),LL100*(1+PortfolioFrontier[[#This Row],[P81 Return]]),1+PortfolioFrontier[[#This Row],[P81 Return]])</f>
        <v>1.7969166807012151</v>
      </c>
      <c r="LM101" s="27">
        <f>MAX(LM100,PortfolioFrontier[[#This Row],[P81 Growth]])</f>
        <v>1.7969166807012151</v>
      </c>
      <c r="LN101" s="27">
        <f>PortfolioFrontier[[#This Row],[P81 Growth]]/PortfolioFrontier[[#This Row],[P81 HWM]]-1</f>
        <v>0</v>
      </c>
      <c r="LO101" s="28">
        <f>SUMPRODUCT(INDEX(PortfolioRef[[SPY]:[PE]],MATCH(LO$1,PortfolioRef[Reference '#]),0),AssetMonthlyReturns[[#This Row],[SPY]:[PE]])</f>
        <v>1.2468632266247425E-2</v>
      </c>
      <c r="LP101" s="27">
        <f>IF(ISNUMBER(LP100),LP100*(1+PortfolioFrontier[[#This Row],[P82 Return]]),1+PortfolioFrontier[[#This Row],[P82 Return]])</f>
        <v>1.7900491809880106</v>
      </c>
      <c r="LQ101" s="27">
        <f>MAX(LQ100,PortfolioFrontier[[#This Row],[P82 Growth]])</f>
        <v>1.7900491809880106</v>
      </c>
      <c r="LR101" s="27">
        <f>PortfolioFrontier[[#This Row],[P82 Growth]]/PortfolioFrontier[[#This Row],[P82 HWM]]-1</f>
        <v>0</v>
      </c>
      <c r="LS101" s="28">
        <f>SUMPRODUCT(INDEX(PortfolioRef[[SPY]:[PE]],MATCH(LS$1,PortfolioRef[Reference '#]),0),AssetMonthlyReturns[[#This Row],[SPY]:[PE]])</f>
        <v>1.2035627409151489E-2</v>
      </c>
      <c r="LT101" s="27">
        <f>IF(ISNUMBER(LT100),LT100*(1+PortfolioFrontier[[#This Row],[P83 Return]]),1+PortfolioFrontier[[#This Row],[P83 Return]])</f>
        <v>1.7848655496930697</v>
      </c>
      <c r="LU101" s="27">
        <f>MAX(LU100,PortfolioFrontier[[#This Row],[P83 Growth]])</f>
        <v>1.7848655496930697</v>
      </c>
      <c r="LV101" s="27">
        <f>PortfolioFrontier[[#This Row],[P83 Growth]]/PortfolioFrontier[[#This Row],[P83 HWM]]-1</f>
        <v>0</v>
      </c>
      <c r="LW101" s="28">
        <f>SUMPRODUCT(INDEX(PortfolioRef[[SPY]:[PE]],MATCH(LW$1,PortfolioRef[Reference '#]),0),AssetMonthlyReturns[[#This Row],[SPY]:[PE]])</f>
        <v>1.1602622552055552E-2</v>
      </c>
      <c r="LX101" s="27">
        <f>IF(ISNUMBER(LX100),LX100*(1+PortfolioFrontier[[#This Row],[P84 Return]]),1+PortfolioFrontier[[#This Row],[P84 Return]])</f>
        <v>1.7782906058997818</v>
      </c>
      <c r="LY101" s="27">
        <f>MAX(LY100,PortfolioFrontier[[#This Row],[P84 Growth]])</f>
        <v>1.7782906058997818</v>
      </c>
      <c r="LZ101" s="27">
        <f>PortfolioFrontier[[#This Row],[P84 Growth]]/PortfolioFrontier[[#This Row],[P84 HWM]]-1</f>
        <v>0</v>
      </c>
      <c r="MA101" s="28">
        <f>SUMPRODUCT(INDEX(PortfolioRef[[SPY]:[PE]],MATCH(MA$1,PortfolioRef[Reference '#]),0),AssetMonthlyReturns[[#This Row],[SPY]:[PE]])</f>
        <v>1.2848341669597486E-2</v>
      </c>
      <c r="MB101" s="27">
        <f>IF(ISNUMBER(MB100),MB100*(1+PortfolioFrontier[[#This Row],[P85 Return]]),1+PortfolioFrontier[[#This Row],[P85 Return]])</f>
        <v>1.7678739146645293</v>
      </c>
      <c r="MC101" s="27">
        <f>MAX(MC100,PortfolioFrontier[[#This Row],[P85 Growth]])</f>
        <v>1.7678739146645293</v>
      </c>
      <c r="MD101" s="27">
        <f>PortfolioFrontier[[#This Row],[P85 Growth]]/PortfolioFrontier[[#This Row],[P85 HWM]]-1</f>
        <v>0</v>
      </c>
      <c r="ME101" s="28">
        <f>SUMPRODUCT(INDEX(PortfolioRef[[SPY]:[PE]],MATCH(ME$1,PortfolioRef[Reference '#]),0),AssetMonthlyReturns[[#This Row],[SPY]:[PE]])</f>
        <v>1.2415336812501549E-2</v>
      </c>
      <c r="MF101" s="27">
        <f>IF(ISNUMBER(MF100),MF100*(1+PortfolioFrontier[[#This Row],[P86 Return]]),1+PortfolioFrontier[[#This Row],[P86 Return]])</f>
        <v>1.7638257645287394</v>
      </c>
      <c r="MG101" s="27">
        <f>MAX(MG100,PortfolioFrontier[[#This Row],[P86 Growth]])</f>
        <v>1.7638257645287394</v>
      </c>
      <c r="MH101" s="27">
        <f>PortfolioFrontier[[#This Row],[P86 Growth]]/PortfolioFrontier[[#This Row],[P86 HWM]]-1</f>
        <v>0</v>
      </c>
      <c r="MI101" s="28">
        <f>SUMPRODUCT(INDEX(PortfolioRef[[SPY]:[PE]],MATCH(MI$1,PortfolioRef[Reference '#]),0),AssetMonthlyReturns[[#This Row],[SPY]:[PE]])</f>
        <v>1.1982331955405613E-2</v>
      </c>
      <c r="MJ101" s="27">
        <f>IF(ISNUMBER(MJ100),MJ100*(1+PortfolioFrontier[[#This Row],[P87 Return]]),1+PortfolioFrontier[[#This Row],[P87 Return]])</f>
        <v>1.7583914160418743</v>
      </c>
      <c r="MK101" s="27">
        <f>MAX(MK100,PortfolioFrontier[[#This Row],[P87 Growth]])</f>
        <v>1.7583914160418743</v>
      </c>
      <c r="ML101" s="27">
        <f>PortfolioFrontier[[#This Row],[P87 Growth]]/PortfolioFrontier[[#This Row],[P87 HWM]]-1</f>
        <v>0</v>
      </c>
      <c r="MM101" s="28">
        <f>SUMPRODUCT(INDEX(PortfolioRef[[SPY]:[PE]],MATCH(MM$1,PortfolioRef[Reference '#]),0),AssetMonthlyReturns[[#This Row],[SPY]:[PE]])</f>
        <v>1.1960114209797501E-2</v>
      </c>
      <c r="MN101" s="27">
        <f>IF(ISNUMBER(MN100),MN100*(1+PortfolioFrontier[[#This Row],[P88 Return]]),1+PortfolioFrontier[[#This Row],[P88 Return]])</f>
        <v>1.8369374241061012</v>
      </c>
      <c r="MO101" s="27">
        <f>MAX(MO100,PortfolioFrontier[[#This Row],[P88 Growth]])</f>
        <v>1.8369374241061012</v>
      </c>
      <c r="MP101" s="27">
        <f>PortfolioFrontier[[#This Row],[P88 Growth]]/PortfolioFrontier[[#This Row],[P88 HWM]]-1</f>
        <v>0</v>
      </c>
      <c r="MQ101" s="28">
        <f>SUMPRODUCT(INDEX(PortfolioRef[[SPY]:[PE]],MATCH(MQ$1,PortfolioRef[Reference '#]),0),AssetMonthlyReturns[[#This Row],[SPY]:[PE]])</f>
        <v>1.1527109352701565E-2</v>
      </c>
      <c r="MR101" s="27">
        <f>IF(ISNUMBER(MR100),MR100*(1+PortfolioFrontier[[#This Row],[P89 Return]]),1+PortfolioFrontier[[#This Row],[P89 Return]])</f>
        <v>1.8316233315100592</v>
      </c>
      <c r="MS101" s="27">
        <f>MAX(MS100,PortfolioFrontier[[#This Row],[P89 Growth]])</f>
        <v>1.8316233315100592</v>
      </c>
      <c r="MT101" s="27">
        <f>PortfolioFrontier[[#This Row],[P89 Growth]]/PortfolioFrontier[[#This Row],[P89 HWM]]-1</f>
        <v>0</v>
      </c>
      <c r="MU101" s="28">
        <f>SUMPRODUCT(INDEX(PortfolioRef[[SPY]:[PE]],MATCH(MU$1,PortfolioRef[Reference '#]),0),AssetMonthlyReturns[[#This Row],[SPY]:[PE]])</f>
        <v>1.1094104495605628E-2</v>
      </c>
      <c r="MV101" s="27">
        <f>IF(ISNUMBER(MV100),MV100*(1+PortfolioFrontier[[#This Row],[P90 Return]]),1+PortfolioFrontier[[#This Row],[P90 Return]])</f>
        <v>1.8248822044018442</v>
      </c>
      <c r="MW101" s="27">
        <f>MAX(MW100,PortfolioFrontier[[#This Row],[P90 Growth]])</f>
        <v>1.8248822044018442</v>
      </c>
      <c r="MX101" s="27">
        <f>PortfolioFrontier[[#This Row],[P90 Growth]]/PortfolioFrontier[[#This Row],[P90 HWM]]-1</f>
        <v>0</v>
      </c>
      <c r="MY101" s="28">
        <f>SUMPRODUCT(INDEX(PortfolioRef[[SPY]:[PE]],MATCH(MY$1,PortfolioRef[Reference '#]),0),AssetMonthlyReturns[[#This Row],[SPY]:[PE]])</f>
        <v>1.233982361314756E-2</v>
      </c>
      <c r="MZ101" s="27">
        <f>IF(ISNUMBER(MZ100),MZ100*(1+PortfolioFrontier[[#This Row],[P91 Return]]),1+PortfolioFrontier[[#This Row],[P91 Return]])</f>
        <v>1.814701204211669</v>
      </c>
      <c r="NA101" s="27">
        <f>MAX(NA100,PortfolioFrontier[[#This Row],[P91 Growth]])</f>
        <v>1.814701204211669</v>
      </c>
      <c r="NB101" s="27">
        <f>PortfolioFrontier[[#This Row],[P91 Growth]]/PortfolioFrontier[[#This Row],[P91 HWM]]-1</f>
        <v>0</v>
      </c>
      <c r="NC101" s="28">
        <f>SUMPRODUCT(INDEX(PortfolioRef[[SPY]:[PE]],MATCH(NC$1,PortfolioRef[Reference '#]),0),AssetMonthlyReturns[[#This Row],[SPY]:[PE]])</f>
        <v>1.1906818756051624E-2</v>
      </c>
      <c r="ND101" s="27">
        <f>IF(ISNUMBER(ND100),ND100*(1+PortfolioFrontier[[#This Row],[P92 Return]]),1+PortfolioFrontier[[#This Row],[P92 Return]])</f>
        <v>1.810550626664251</v>
      </c>
      <c r="NE101" s="27">
        <f>MAX(NE100,PortfolioFrontier[[#This Row],[P92 Growth]])</f>
        <v>1.810550626664251</v>
      </c>
      <c r="NF101" s="27">
        <f>PortfolioFrontier[[#This Row],[P92 Growth]]/PortfolioFrontier[[#This Row],[P92 HWM]]-1</f>
        <v>0</v>
      </c>
      <c r="NG101" s="28">
        <f>SUMPRODUCT(INDEX(PortfolioRef[[SPY]:[PE]],MATCH(NG$1,PortfolioRef[Reference '#]),0),AssetMonthlyReturns[[#This Row],[SPY]:[PE]])</f>
        <v>1.1473813898955687E-2</v>
      </c>
      <c r="NH101" s="27">
        <f>IF(ISNUMBER(NH100),NH100*(1+PortfolioFrontier[[#This Row],[P93 Return]]),1+PortfolioFrontier[[#This Row],[P93 Return]])</f>
        <v>1.8049778747202687</v>
      </c>
      <c r="NI101" s="27">
        <f>MAX(NI100,PortfolioFrontier[[#This Row],[P93 Growth]])</f>
        <v>1.8049778747202687</v>
      </c>
      <c r="NJ101" s="27">
        <f>PortfolioFrontier[[#This Row],[P93 Growth]]/PortfolioFrontier[[#This Row],[P93 HWM]]-1</f>
        <v>0</v>
      </c>
      <c r="NK101" s="28">
        <f>SUMPRODUCT(INDEX(PortfolioRef[[SPY]:[PE]],MATCH(NK$1,PortfolioRef[Reference '#]),0),AssetMonthlyReturns[[#This Row],[SPY]:[PE]])</f>
        <v>1.2719533016497621E-2</v>
      </c>
      <c r="NL101" s="27">
        <f>IF(ISNUMBER(NL100),NL100*(1+PortfolioFrontier[[#This Row],[P94 Return]]),1+PortfolioFrontier[[#This Row],[P94 Return]])</f>
        <v>1.7912262096388614</v>
      </c>
      <c r="NM101" s="27">
        <f>MAX(NM100,PortfolioFrontier[[#This Row],[P94 Growth]])</f>
        <v>1.7912262096388614</v>
      </c>
      <c r="NN101" s="27">
        <f>PortfolioFrontier[[#This Row],[P94 Growth]]/PortfolioFrontier[[#This Row],[P94 HWM]]-1</f>
        <v>0</v>
      </c>
      <c r="NO101" s="28">
        <f>SUMPRODUCT(INDEX(PortfolioRef[[SPY]:[PE]],MATCH(NO$1,PortfolioRef[Reference '#]),0),AssetMonthlyReturns[[#This Row],[SPY]:[PE]])</f>
        <v>1.2286528159401684E-2</v>
      </c>
      <c r="NP101" s="27">
        <f>IF(ISNUMBER(NP100),NP100*(1+PortfolioFrontier[[#This Row],[P95 Return]]),1+PortfolioFrontier[[#This Row],[P95 Return]])</f>
        <v>1.7882202029709426</v>
      </c>
      <c r="NQ101" s="27">
        <f>MAX(NQ100,PortfolioFrontier[[#This Row],[P95 Growth]])</f>
        <v>1.7882202029709426</v>
      </c>
      <c r="NR101" s="27">
        <f>PortfolioFrontier[[#This Row],[P95 Growth]]/PortfolioFrontier[[#This Row],[P95 HWM]]-1</f>
        <v>0</v>
      </c>
      <c r="NS101" s="28">
        <f>SUMPRODUCT(INDEX(PortfolioRef[[SPY]:[PE]],MATCH(NS$1,PortfolioRef[Reference '#]),0),AssetMonthlyReturns[[#This Row],[SPY]:[PE]])</f>
        <v>1.1853523302305748E-2</v>
      </c>
      <c r="NT101" s="27">
        <f>IF(ISNUMBER(NT100),NT100*(1+PortfolioFrontier[[#This Row],[P96 Return]]),1+PortfolioFrontier[[#This Row],[P96 Return]])</f>
        <v>1.7837991701699327</v>
      </c>
      <c r="NU101" s="27">
        <f>MAX(NU100,PortfolioFrontier[[#This Row],[P96 Growth]])</f>
        <v>1.7837991701699327</v>
      </c>
      <c r="NV101" s="27">
        <f>PortfolioFrontier[[#This Row],[P96 Growth]]/PortfolioFrontier[[#This Row],[P96 HWM]]-1</f>
        <v>0</v>
      </c>
      <c r="NW101" s="28">
        <f>SUMPRODUCT(INDEX(PortfolioRef[[SPY]:[PE]],MATCH(NW$1,PortfolioRef[Reference '#]),0),AssetMonthlyReturns[[#This Row],[SPY]:[PE]])</f>
        <v>1.2207160740204627E-2</v>
      </c>
      <c r="NX101" s="27">
        <f>IF(ISNUMBER(NX100),NX100*(1+PortfolioFrontier[[#This Row],[P97 Return]]),1+PortfolioFrontier[[#This Row],[P97 Return]])</f>
        <v>1.5817554432735925</v>
      </c>
      <c r="NY101" s="27">
        <f>MAX(NY100,PortfolioFrontier[[#This Row],[P97 Growth]])</f>
        <v>1.5817554432735925</v>
      </c>
      <c r="NZ101" s="27">
        <f>PortfolioFrontier[[#This Row],[P97 Growth]]/PortfolioFrontier[[#This Row],[P97 HWM]]-1</f>
        <v>0</v>
      </c>
      <c r="OA101" s="28">
        <f>SUMPRODUCT(INDEX(PortfolioRef[[SPY]:[PE]],MATCH(OA$1,PortfolioRef[Reference '#]),0),AssetMonthlyReturns[[#This Row],[SPY]:[PE]])</f>
        <v>1.1698642683754701E-2</v>
      </c>
      <c r="OB101" s="27">
        <f>IF(ISNUMBER(OB100),OB100*(1+PortfolioFrontier[[#This Row],[P98 Return]]),1+PortfolioFrontier[[#This Row],[P98 Return]])</f>
        <v>1.6237275672173552</v>
      </c>
      <c r="OC101" s="27">
        <f>MAX(OC100,PortfolioFrontier[[#This Row],[P98 Growth]])</f>
        <v>1.6237275672173552</v>
      </c>
      <c r="OD101" s="27">
        <f>PortfolioFrontier[[#This Row],[P98 Growth]]/PortfolioFrontier[[#This Row],[P98 HWM]]-1</f>
        <v>0</v>
      </c>
      <c r="OE101" s="28">
        <f>SUMPRODUCT(INDEX(PortfolioRef[[SPY]:[PE]],MATCH(OE$1,PortfolioRef[Reference '#]),0),AssetMonthlyReturns[[#This Row],[SPY]:[PE]])</f>
        <v>1.2078352087104761E-2</v>
      </c>
      <c r="OF101" s="27">
        <f>IF(ISNUMBER(OF100),OF100*(1+PortfolioFrontier[[#This Row],[P99 Return]]),1+PortfolioFrontier[[#This Row],[P99 Return]])</f>
        <v>1.6068755877335119</v>
      </c>
      <c r="OG101" s="27">
        <f>MAX(OG100,PortfolioFrontier[[#This Row],[P99 Growth]])</f>
        <v>1.6068755877335119</v>
      </c>
      <c r="OH101" s="27">
        <f>PortfolioFrontier[[#This Row],[P99 Growth]]/PortfolioFrontier[[#This Row],[P99 HWM]]-1</f>
        <v>0</v>
      </c>
      <c r="OI101" s="28">
        <f>SUMPRODUCT(INDEX(PortfolioRef[[SPY]:[PE]],MATCH(OI$1,PortfolioRef[Reference '#]),0),AssetMonthlyReturns[[#This Row],[SPY]:[PE]])</f>
        <v>1.1645347230008825E-2</v>
      </c>
      <c r="OJ101" s="27">
        <f>IF(ISNUMBER(OJ100),OJ100*(1+PortfolioFrontier[[#This Row],[P100 Return]]),1+PortfolioFrontier[[#This Row],[P100 Return]])</f>
        <v>1.5996634036886552</v>
      </c>
      <c r="OK101" s="27">
        <f>MAX(OK100,PortfolioFrontier[[#This Row],[P100 Growth]])</f>
        <v>1.5996634036886552</v>
      </c>
      <c r="OL101" s="27">
        <f>PortfolioFrontier[[#This Row],[P100 Growth]]/PortfolioFrontier[[#This Row],[P100 HWM]]-1</f>
        <v>0</v>
      </c>
      <c r="OM101" s="28">
        <f>SUMPRODUCT(INDEX(PortfolioRef[[SPY]:[PE]],MATCH(OM$1,PortfolioRef[Reference '#]),0),AssetMonthlyReturns[[#This Row],[SPY]:[PE]])</f>
        <v>1.1190124627304775E-2</v>
      </c>
      <c r="ON101" s="27">
        <f>IF(ISNUMBER(ON100),ON100*(1+PortfolioFrontier[[#This Row],[P101 Return]]),1+PortfolioFrontier[[#This Row],[P101 Return]])</f>
        <v>1.6663183215260091</v>
      </c>
      <c r="OO101" s="27">
        <f>MAX(OO100,PortfolioFrontier[[#This Row],[P101 Growth]])</f>
        <v>1.6663183215260091</v>
      </c>
      <c r="OP101" s="27">
        <f>PortfolioFrontier[[#This Row],[P101 Growth]]/PortfolioFrontier[[#This Row],[P101 HWM]]-1</f>
        <v>0</v>
      </c>
      <c r="OQ101" s="28">
        <f>SUMPRODUCT(INDEX(PortfolioRef[[SPY]:[PE]],MATCH(OQ$1,PortfolioRef[Reference '#]),0),AssetMonthlyReturns[[#This Row],[SPY]:[PE]])</f>
        <v>1.1569834030654834E-2</v>
      </c>
      <c r="OR101" s="27">
        <f>IF(ISNUMBER(OR100),OR100*(1+PortfolioFrontier[[#This Row],[P102 Return]]),1+PortfolioFrontier[[#This Row],[P102 Return]])</f>
        <v>1.6494973547407192</v>
      </c>
      <c r="OS101" s="27">
        <f>MAX(OS100,PortfolioFrontier[[#This Row],[P102 Growth]])</f>
        <v>1.6494973547407192</v>
      </c>
      <c r="OT101" s="27">
        <f>PortfolioFrontier[[#This Row],[P102 Growth]]/PortfolioFrontier[[#This Row],[P102 HWM]]-1</f>
        <v>0</v>
      </c>
      <c r="OU101" s="28">
        <f>SUMPRODUCT(INDEX(PortfolioRef[[SPY]:[PE]],MATCH(OU$1,PortfolioRef[Reference '#]),0),AssetMonthlyReturns[[#This Row],[SPY]:[PE]])</f>
        <v>1.1136829173558897E-2</v>
      </c>
      <c r="OV101" s="27">
        <f>IF(ISNUMBER(OV100),OV100*(1+PortfolioFrontier[[#This Row],[P103 Return]]),1+PortfolioFrontier[[#This Row],[P103 Return]])</f>
        <v>1.6421001431069906</v>
      </c>
      <c r="OW101" s="27">
        <f>MAX(OW100,PortfolioFrontier[[#This Row],[P103 Growth]])</f>
        <v>1.6421001431069906</v>
      </c>
      <c r="OX101" s="27">
        <f>PortfolioFrontier[[#This Row],[P103 Growth]]/PortfolioFrontier[[#This Row],[P103 HWM]]-1</f>
        <v>0</v>
      </c>
      <c r="OY101" s="28">
        <f>SUMPRODUCT(INDEX(PortfolioRef[[SPY]:[PE]],MATCH(OY$1,PortfolioRef[Reference '#]),0),AssetMonthlyReturns[[#This Row],[SPY]:[PE]])</f>
        <v>1.1949543434004894E-2</v>
      </c>
      <c r="OZ101" s="27">
        <f>IF(ISNUMBER(OZ100),OZ100*(1+PortfolioFrontier[[#This Row],[P104 Return]]),1+PortfolioFrontier[[#This Row],[P104 Return]])</f>
        <v>1.6314860690231845</v>
      </c>
      <c r="PA101" s="27">
        <f>MAX(PA100,PortfolioFrontier[[#This Row],[P104 Growth]])</f>
        <v>1.6314860690231845</v>
      </c>
      <c r="PB101" s="27">
        <f>PortfolioFrontier[[#This Row],[P104 Growth]]/PortfolioFrontier[[#This Row],[P104 HWM]]-1</f>
        <v>0</v>
      </c>
      <c r="PC101" s="28">
        <f>SUMPRODUCT(INDEX(PortfolioRef[[SPY]:[PE]],MATCH(PC$1,PortfolioRef[Reference '#]),0),AssetMonthlyReturns[[#This Row],[SPY]:[PE]])</f>
        <v>1.1516538576908958E-2</v>
      </c>
      <c r="PD101" s="27">
        <f>IF(ISNUMBER(PD100),PD100*(1+PortfolioFrontier[[#This Row],[P105 Return]]),1+PortfolioFrontier[[#This Row],[P105 Return]])</f>
        <v>1.6251465020358169</v>
      </c>
      <c r="PE101" s="27">
        <f>MAX(PE100,PortfolioFrontier[[#This Row],[P105 Growth]])</f>
        <v>1.6251465020358169</v>
      </c>
      <c r="PF101" s="27">
        <f>PortfolioFrontier[[#This Row],[P105 Growth]]/PortfolioFrontier[[#This Row],[P105 HWM]]-1</f>
        <v>0</v>
      </c>
      <c r="PG101" s="28">
        <f>SUMPRODUCT(INDEX(PortfolioRef[[SPY]:[PE]],MATCH(PG$1,PortfolioRef[Reference '#]),0),AssetMonthlyReturns[[#This Row],[SPY]:[PE]])</f>
        <v>1.1083533719813021E-2</v>
      </c>
      <c r="PH101" s="27">
        <f>IF(ISNUMBER(PH100),PH100*(1+PortfolioFrontier[[#This Row],[P106 Return]]),1+PortfolioFrontier[[#This Row],[P106 Return]])</f>
        <v>1.6175569662743532</v>
      </c>
      <c r="PI101" s="27">
        <f>MAX(PI100,PortfolioFrontier[[#This Row],[P106 Growth]])</f>
        <v>1.6175569662743532</v>
      </c>
      <c r="PJ101" s="27">
        <f>PortfolioFrontier[[#This Row],[P106 Growth]]/PortfolioFrontier[[#This Row],[P106 HWM]]-1</f>
        <v>0</v>
      </c>
      <c r="PK101" s="28">
        <f>SUMPRODUCT(INDEX(PortfolioRef[[SPY]:[PE]],MATCH(PK$1,PortfolioRef[Reference '#]),0),AssetMonthlyReturns[[#This Row],[SPY]:[PE]])</f>
        <v>1.106131597420491E-2</v>
      </c>
      <c r="PL101" s="27">
        <f>IF(ISNUMBER(PL100),PL100*(1+PortfolioFrontier[[#This Row],[P107 Return]]),1+PortfolioFrontier[[#This Row],[P107 Return]])</f>
        <v>1.6927471737610311</v>
      </c>
      <c r="PM101" s="27">
        <f>MAX(PM100,PortfolioFrontier[[#This Row],[P107 Growth]])</f>
        <v>1.6927471737610311</v>
      </c>
      <c r="PN101" s="27">
        <f>PortfolioFrontier[[#This Row],[P107 Growth]]/PortfolioFrontier[[#This Row],[P107 HWM]]-1</f>
        <v>0</v>
      </c>
      <c r="PO101" s="28">
        <f>SUMPRODUCT(INDEX(PortfolioRef[[SPY]:[PE]],MATCH(PO$1,PortfolioRef[Reference '#]),0),AssetMonthlyReturns[[#This Row],[SPY]:[PE]])</f>
        <v>1.0628311117108973E-2</v>
      </c>
      <c r="PP101" s="27">
        <f>IF(ISNUMBER(PP100),PP100*(1+PortfolioFrontier[[#This Row],[P108 Return]]),1+PortfolioFrontier[[#This Row],[P108 Return]])</f>
        <v>1.6851622970631541</v>
      </c>
      <c r="PQ101" s="27">
        <f>MAX(PQ100,PortfolioFrontier[[#This Row],[P108 Growth]])</f>
        <v>1.6851622970631541</v>
      </c>
      <c r="PR101" s="27">
        <f>PortfolioFrontier[[#This Row],[P108 Growth]]/PortfolioFrontier[[#This Row],[P108 HWM]]-1</f>
        <v>0</v>
      </c>
      <c r="PS101" s="28">
        <f>SUMPRODUCT(INDEX(PortfolioRef[[SPY]:[PE]],MATCH(PS$1,PortfolioRef[Reference '#]),0),AssetMonthlyReturns[[#This Row],[SPY]:[PE]])</f>
        <v>1.1441025377554969E-2</v>
      </c>
      <c r="PT101" s="27">
        <f>IF(ISNUMBER(PT100),PT100*(1+PortfolioFrontier[[#This Row],[P109 Return]]),1+PortfolioFrontier[[#This Row],[P109 Return]])</f>
        <v>1.6747439380382176</v>
      </c>
      <c r="PU101" s="27">
        <f>MAX(PU100,PortfolioFrontier[[#This Row],[P109 Growth]])</f>
        <v>1.6747439380382176</v>
      </c>
      <c r="PV101" s="27">
        <f>PortfolioFrontier[[#This Row],[P109 Growth]]/PortfolioFrontier[[#This Row],[P109 HWM]]-1</f>
        <v>0</v>
      </c>
      <c r="PW101" s="28">
        <f>SUMPRODUCT(INDEX(PortfolioRef[[SPY]:[PE]],MATCH(PW$1,PortfolioRef[Reference '#]),0),AssetMonthlyReturns[[#This Row],[SPY]:[PE]])</f>
        <v>1.1008020520459032E-2</v>
      </c>
      <c r="PX101" s="27">
        <f>IF(ISNUMBER(PX100),PX100*(1+PortfolioFrontier[[#This Row],[P110 Return]]),1+PortfolioFrontier[[#This Row],[P110 Return]])</f>
        <v>1.6682421207174016</v>
      </c>
      <c r="PY101" s="27">
        <f>MAX(PY100,PortfolioFrontier[[#This Row],[P110 Growth]])</f>
        <v>1.6682421207174016</v>
      </c>
      <c r="PZ101" s="27">
        <f>PortfolioFrontier[[#This Row],[P110 Growth]]/PortfolioFrontier[[#This Row],[P110 HWM]]-1</f>
        <v>0</v>
      </c>
      <c r="QA101" s="28">
        <f>SUMPRODUCT(INDEX(PortfolioRef[[SPY]:[PE]],MATCH(QA$1,PortfolioRef[Reference '#]),0),AssetMonthlyReturns[[#This Row],[SPY]:[PE]])</f>
        <v>1.0575015663363095E-2</v>
      </c>
      <c r="QB101" s="27">
        <f>IF(ISNUMBER(QB100),QB100*(1+PortfolioFrontier[[#This Row],[P111 Return]]),1+PortfolioFrontier[[#This Row],[P111 Return]])</f>
        <v>1.660457844728737</v>
      </c>
      <c r="QC101" s="27">
        <f>MAX(QC100,PortfolioFrontier[[#This Row],[P111 Growth]])</f>
        <v>1.660457844728737</v>
      </c>
      <c r="QD101" s="27">
        <f>PortfolioFrontier[[#This Row],[P111 Growth]]/PortfolioFrontier[[#This Row],[P111 HWM]]-1</f>
        <v>0</v>
      </c>
      <c r="QE101" s="28">
        <f>SUMPRODUCT(INDEX(PortfolioRef[[SPY]:[PE]],MATCH(QE$1,PortfolioRef[Reference '#]),0),AssetMonthlyReturns[[#This Row],[SPY]:[PE]])</f>
        <v>1.1820734780905029E-2</v>
      </c>
      <c r="QF101" s="27">
        <f>IF(ISNUMBER(QF100),QF100*(1+PortfolioFrontier[[#This Row],[P112 Return]]),1+PortfolioFrontier[[#This Row],[P112 Return]])</f>
        <v>1.6555482948690252</v>
      </c>
      <c r="QG101" s="27">
        <f>MAX(QG100,PortfolioFrontier[[#This Row],[P112 Growth]])</f>
        <v>1.6555482948690252</v>
      </c>
      <c r="QH101" s="27">
        <f>PortfolioFrontier[[#This Row],[P112 Growth]]/PortfolioFrontier[[#This Row],[P112 HWM]]-1</f>
        <v>0</v>
      </c>
      <c r="QI101" s="28">
        <f>SUMPRODUCT(INDEX(PortfolioRef[[SPY]:[PE]],MATCH(QI$1,PortfolioRef[Reference '#]),0),AssetMonthlyReturns[[#This Row],[SPY]:[PE]])</f>
        <v>1.1387729923809093E-2</v>
      </c>
      <c r="QJ101" s="27">
        <f>IF(ISNUMBER(QJ100),QJ100*(1+PortfolioFrontier[[#This Row],[P113 Return]]),1+PortfolioFrontier[[#This Row],[P113 Return]])</f>
        <v>1.6501167692699312</v>
      </c>
      <c r="QK101" s="27">
        <f>MAX(QK100,PortfolioFrontier[[#This Row],[P113 Growth]])</f>
        <v>1.6501167692699312</v>
      </c>
      <c r="QL101" s="27">
        <f>PortfolioFrontier[[#This Row],[P113 Growth]]/PortfolioFrontier[[#This Row],[P113 HWM]]-1</f>
        <v>0</v>
      </c>
      <c r="QM101" s="28">
        <f>SUMPRODUCT(INDEX(PortfolioRef[[SPY]:[PE]],MATCH(QM$1,PortfolioRef[Reference '#]),0),AssetMonthlyReturns[[#This Row],[SPY]:[PE]])</f>
        <v>1.0954725066713156E-2</v>
      </c>
      <c r="QN101" s="27">
        <f>IF(ISNUMBER(QN100),QN100*(1+PortfolioFrontier[[#This Row],[P114 Return]]),1+PortfolioFrontier[[#This Row],[P114 Return]])</f>
        <v>1.6434045973025777</v>
      </c>
      <c r="QO101" s="27">
        <f>MAX(QO100,PortfolioFrontier[[#This Row],[P114 Growth]])</f>
        <v>1.6434045973025777</v>
      </c>
      <c r="QP101" s="27">
        <f>PortfolioFrontier[[#This Row],[P114 Growth]]/PortfolioFrontier[[#This Row],[P114 HWM]]-1</f>
        <v>0</v>
      </c>
      <c r="QQ101" s="28">
        <f>SUMPRODUCT(INDEX(PortfolioRef[[SPY]:[PE]],MATCH(QQ$1,PortfolioRef[Reference '#]),0),AssetMonthlyReturns[[#This Row],[SPY]:[PE]])</f>
        <v>1.0932507321105045E-2</v>
      </c>
      <c r="QR101" s="27">
        <f>IF(ISNUMBER(QR100),QR100*(1+PortfolioFrontier[[#This Row],[P115 Return]]),1+PortfolioFrontier[[#This Row],[P115 Return]])</f>
        <v>1.7186390842079671</v>
      </c>
      <c r="QS101" s="27">
        <f>MAX(QS100,PortfolioFrontier[[#This Row],[P115 Growth]])</f>
        <v>1.7186390842079671</v>
      </c>
      <c r="QT101" s="27">
        <f>PortfolioFrontier[[#This Row],[P115 Growth]]/PortfolioFrontier[[#This Row],[P115 HWM]]-1</f>
        <v>0</v>
      </c>
      <c r="QU101" s="28">
        <f>SUMPRODUCT(INDEX(PortfolioRef[[SPY]:[PE]],MATCH(QU$1,PortfolioRef[Reference '#]),0),AssetMonthlyReturns[[#This Row],[SPY]:[PE]])</f>
        <v>1.0499502464009108E-2</v>
      </c>
      <c r="QV101" s="27">
        <f>IF(ISNUMBER(QV100),QV100*(1+PortfolioFrontier[[#This Row],[P116 Return]]),1+PortfolioFrontier[[#This Row],[P116 Return]])</f>
        <v>1.7119727087236223</v>
      </c>
      <c r="QW101" s="27">
        <f>MAX(QW100,PortfolioFrontier[[#This Row],[P116 Growth]])</f>
        <v>1.7119727087236223</v>
      </c>
      <c r="QX101" s="27">
        <f>PortfolioFrontier[[#This Row],[P116 Growth]]/PortfolioFrontier[[#This Row],[P116 HWM]]-1</f>
        <v>0</v>
      </c>
      <c r="QY101" s="28">
        <f>SUMPRODUCT(INDEX(PortfolioRef[[SPY]:[PE]],MATCH(QY$1,PortfolioRef[Reference '#]),0),AssetMonthlyReturns[[#This Row],[SPY]:[PE]])</f>
        <v>1.0066497606913171E-2</v>
      </c>
      <c r="QZ101" s="27">
        <f>IF(ISNUMBER(QZ100),QZ100*(1+PortfolioFrontier[[#This Row],[P117 Return]]),1+PortfolioFrontier[[#This Row],[P117 Return]])</f>
        <v>1.7039909152651431</v>
      </c>
      <c r="RA101" s="27">
        <f>MAX(RA100,PortfolioFrontier[[#This Row],[P117 Growth]])</f>
        <v>1.7039909152651431</v>
      </c>
      <c r="RB101" s="27">
        <f>PortfolioFrontier[[#This Row],[P117 Growth]]/PortfolioFrontier[[#This Row],[P117 HWM]]-1</f>
        <v>0</v>
      </c>
      <c r="RC101" s="28">
        <f>SUMPRODUCT(INDEX(PortfolioRef[[SPY]:[PE]],MATCH(RC$1,PortfolioRef[Reference '#]),0),AssetMonthlyReturns[[#This Row],[SPY]:[PE]])</f>
        <v>1.1312216724455103E-2</v>
      </c>
      <c r="RD101" s="27">
        <f>IF(ISNUMBER(RD100),RD100*(1+PortfolioFrontier[[#This Row],[P118 Return]]),1+PortfolioFrontier[[#This Row],[P118 Return]])</f>
        <v>1.6994277408954668</v>
      </c>
      <c r="RE101" s="27">
        <f>MAX(RE100,PortfolioFrontier[[#This Row],[P118 Growth]])</f>
        <v>1.6994277408954668</v>
      </c>
      <c r="RF101" s="27">
        <f>PortfolioFrontier[[#This Row],[P118 Growth]]/PortfolioFrontier[[#This Row],[P118 HWM]]-1</f>
        <v>0</v>
      </c>
      <c r="RG101" s="28">
        <f>SUMPRODUCT(INDEX(PortfolioRef[[SPY]:[PE]],MATCH(RG$1,PortfolioRef[Reference '#]),0),AssetMonthlyReturns[[#This Row],[SPY]:[PE]])</f>
        <v>1.0879211867359167E-2</v>
      </c>
      <c r="RH101" s="27">
        <f>IF(ISNUMBER(RH100),RH100*(1+PortfolioFrontier[[#This Row],[P119 Return]]),1+PortfolioFrontier[[#This Row],[P119 Return]])</f>
        <v>1.6938576427629399</v>
      </c>
      <c r="RI101" s="27">
        <f>MAX(RI100,PortfolioFrontier[[#This Row],[P119 Growth]])</f>
        <v>1.6938576427629399</v>
      </c>
      <c r="RJ101" s="27">
        <f>PortfolioFrontier[[#This Row],[P119 Growth]]/PortfolioFrontier[[#This Row],[P119 HWM]]-1</f>
        <v>0</v>
      </c>
      <c r="RK101" s="28">
        <f>SUMPRODUCT(INDEX(PortfolioRef[[SPY]:[PE]],MATCH(RK$1,PortfolioRef[Reference '#]),0),AssetMonthlyReturns[[#This Row],[SPY]:[PE]])</f>
        <v>1.044620701026323E-2</v>
      </c>
      <c r="RL101" s="27">
        <f>IF(ISNUMBER(RL100),RL100*(1+PortfolioFrontier[[#This Row],[P120 Return]]),1+PortfolioFrontier[[#This Row],[P120 Return]])</f>
        <v>1.6869736300457316</v>
      </c>
      <c r="RM101" s="27">
        <f>MAX(RM100,PortfolioFrontier[[#This Row],[P120 Growth]])</f>
        <v>1.6869736300457316</v>
      </c>
      <c r="RN101" s="27">
        <f>PortfolioFrontier[[#This Row],[P120 Growth]]/PortfolioFrontier[[#This Row],[P120 HWM]]-1</f>
        <v>0</v>
      </c>
      <c r="RO101" s="28">
        <f>SUMPRODUCT(INDEX(PortfolioRef[[SPY]:[PE]],MATCH(RO$1,PortfolioRef[Reference '#]),0),AssetMonthlyReturns[[#This Row],[SPY]:[PE]])</f>
        <v>1.1691926127805164E-2</v>
      </c>
      <c r="RP101" s="27">
        <f>IF(ISNUMBER(RP100),RP100*(1+PortfolioFrontier[[#This Row],[P121 Return]]),1+PortfolioFrontier[[#This Row],[P121 Return]])</f>
        <v>1.6790236900433539</v>
      </c>
      <c r="RQ101" s="27">
        <f>MAX(RQ100,PortfolioFrontier[[#This Row],[P121 Growth]])</f>
        <v>1.6859132740659151</v>
      </c>
      <c r="RR101" s="27">
        <f>PortfolioFrontier[[#This Row],[P121 Growth]]/PortfolioFrontier[[#This Row],[P121 HWM]]-1</f>
        <v>-4.0865589758040111E-3</v>
      </c>
      <c r="RS101" s="28">
        <f>SUMPRODUCT(INDEX(PortfolioRef[[SPY]:[PE]],MATCH(RS$1,PortfolioRef[Reference '#]),0),AssetMonthlyReturns[[#This Row],[SPY]:[PE]])</f>
        <v>1.1258921270709227E-2</v>
      </c>
      <c r="RT101" s="27">
        <f>IF(ISNUMBER(RT100),RT100*(1+PortfolioFrontier[[#This Row],[P122 Return]]),1+PortfolioFrontier[[#This Row],[P122 Return]])</f>
        <v>1.6745351178064434</v>
      </c>
      <c r="RU101" s="27">
        <f>MAX(RU100,PortfolioFrontier[[#This Row],[P122 Growth]])</f>
        <v>1.6745351178064434</v>
      </c>
      <c r="RV101" s="27">
        <f>PortfolioFrontier[[#This Row],[P122 Growth]]/PortfolioFrontier[[#This Row],[P122 HWM]]-1</f>
        <v>0</v>
      </c>
      <c r="RW101" s="28">
        <f>SUMPRODUCT(INDEX(PortfolioRef[[SPY]:[PE]],MATCH(RW$1,PortfolioRef[Reference '#]),0),AssetMonthlyReturns[[#This Row],[SPY]:[PE]])</f>
        <v>1.0825916413613291E-2</v>
      </c>
      <c r="RX101" s="27">
        <f>IF(ISNUMBER(RX100),RX100*(1+PortfolioFrontier[[#This Row],[P123 Return]]),1+PortfolioFrontier[[#This Row],[P123 Return]])</f>
        <v>1.6687362918723889</v>
      </c>
      <c r="RY101" s="27">
        <f>MAX(RY100,PortfolioFrontier[[#This Row],[P123 Growth]])</f>
        <v>1.6687362918723889</v>
      </c>
      <c r="RZ101" s="27">
        <f>PortfolioFrontier[[#This Row],[P123 Growth]]/PortfolioFrontier[[#This Row],[P123 HWM]]-1</f>
        <v>0</v>
      </c>
      <c r="SA101" s="28">
        <f>SUMPRODUCT(INDEX(PortfolioRef[[SPY]:[PE]],MATCH(SA$1,PortfolioRef[Reference '#]),0),AssetMonthlyReturns[[#This Row],[SPY]:[PE]])</f>
        <v>1.0803698668005179E-2</v>
      </c>
      <c r="SB101" s="27">
        <f>IF(ISNUMBER(SB100),SB100*(1+PortfolioFrontier[[#This Row],[P124 Return]]),1+PortfolioFrontier[[#This Row],[P124 Return]])</f>
        <v>1.7439534787601463</v>
      </c>
      <c r="SC101" s="27">
        <f>MAX(SC100,PortfolioFrontier[[#This Row],[P124 Growth]])</f>
        <v>1.7439534787601463</v>
      </c>
      <c r="SD101" s="27">
        <f>PortfolioFrontier[[#This Row],[P124 Growth]]/PortfolioFrontier[[#This Row],[P124 HWM]]-1</f>
        <v>0</v>
      </c>
      <c r="SE101" s="28">
        <f>SUMPRODUCT(INDEX(PortfolioRef[[SPY]:[PE]],MATCH(SE$1,PortfolioRef[Reference '#]),0),AssetMonthlyReturns[[#This Row],[SPY]:[PE]])</f>
        <v>1.0370693810909243E-2</v>
      </c>
      <c r="SF101" s="27">
        <f>IF(ISNUMBER(SF100),SF100*(1+PortfolioFrontier[[#This Row],[P125 Return]]),1+PortfolioFrontier[[#This Row],[P125 Return]])</f>
        <v>1.7382428426603955</v>
      </c>
      <c r="SG101" s="27">
        <f>MAX(SG100,PortfolioFrontier[[#This Row],[P125 Growth]])</f>
        <v>1.7382428426603955</v>
      </c>
      <c r="SH101" s="27">
        <f>PortfolioFrontier[[#This Row],[P125 Growth]]/PortfolioFrontier[[#This Row],[P125 HWM]]-1</f>
        <v>0</v>
      </c>
      <c r="SI101" s="28">
        <f>SUMPRODUCT(INDEX(PortfolioRef[[SPY]:[PE]],MATCH(SI$1,PortfolioRef[Reference '#]),0),AssetMonthlyReturns[[#This Row],[SPY]:[PE]])</f>
        <v>9.9376889538133062E-3</v>
      </c>
      <c r="SJ101" s="27">
        <f>IF(ISNUMBER(SJ100),SJ100*(1+PortfolioFrontier[[#This Row],[P126 Return]]),1+PortfolioFrontier[[#This Row],[P126 Return]])</f>
        <v>1.7311845433681299</v>
      </c>
      <c r="SK101" s="27">
        <f>MAX(SK100,PortfolioFrontier[[#This Row],[P126 Growth]])</f>
        <v>1.7311845433681299</v>
      </c>
      <c r="SL101" s="27">
        <f>PortfolioFrontier[[#This Row],[P126 Growth]]/PortfolioFrontier[[#This Row],[P126 HWM]]-1</f>
        <v>0</v>
      </c>
      <c r="SM101" s="28">
        <f>SUMPRODUCT(INDEX(PortfolioRef[[SPY]:[PE]],MATCH(SM$1,PortfolioRef[Reference '#]),0),AssetMonthlyReturns[[#This Row],[SPY]:[PE]])</f>
        <v>1.1183408071355238E-2</v>
      </c>
      <c r="SN101" s="27">
        <f>IF(ISNUMBER(SN100),SN100*(1+PortfolioFrontier[[#This Row],[P127 Return]]),1+PortfolioFrontier[[#This Row],[P127 Return]])</f>
        <v>1.7235092054032806</v>
      </c>
      <c r="SO101" s="27">
        <f>MAX(SO100,PortfolioFrontier[[#This Row],[P127 Growth]])</f>
        <v>1.7235092054032806</v>
      </c>
      <c r="SP101" s="27">
        <f>PortfolioFrontier[[#This Row],[P127 Growth]]/PortfolioFrontier[[#This Row],[P127 HWM]]-1</f>
        <v>0</v>
      </c>
      <c r="SQ101" s="28">
        <f>SUMPRODUCT(INDEX(PortfolioRef[[SPY]:[PE]],MATCH(SQ$1,PortfolioRef[Reference '#]),0),AssetMonthlyReturns[[#This Row],[SPY]:[PE]])</f>
        <v>1.0750403214259302E-2</v>
      </c>
      <c r="SR101" s="27">
        <f>IF(ISNUMBER(SR100),SR100*(1+PortfolioFrontier[[#This Row],[P128 Return]]),1+PortfolioFrontier[[#This Row],[P128 Return]])</f>
        <v>1.7189066253245777</v>
      </c>
      <c r="SS101" s="27">
        <f>MAX(SS100,PortfolioFrontier[[#This Row],[P128 Growth]])</f>
        <v>1.7189066253245777</v>
      </c>
      <c r="ST101" s="27">
        <f>PortfolioFrontier[[#This Row],[P128 Growth]]/PortfolioFrontier[[#This Row],[P128 HWM]]-1</f>
        <v>0</v>
      </c>
      <c r="SU101" s="28">
        <f>SUMPRODUCT(INDEX(PortfolioRef[[SPY]:[PE]],MATCH(SU$1,PortfolioRef[Reference '#]),0),AssetMonthlyReturns[[#This Row],[SPY]:[PE]])</f>
        <v>1.0317398357163365E-2</v>
      </c>
      <c r="SV101" s="27">
        <f>IF(ISNUMBER(SV100),SV100*(1+PortfolioFrontier[[#This Row],[P129 Return]]),1+PortfolioFrontier[[#This Row],[P129 Return]])</f>
        <v>1.7129597726691481</v>
      </c>
      <c r="SW101" s="27">
        <f>MAX(SW100,PortfolioFrontier[[#This Row],[P129 Growth]])</f>
        <v>1.7129597726691481</v>
      </c>
      <c r="SX101" s="27">
        <f>PortfolioFrontier[[#This Row],[P129 Growth]]/PortfolioFrontier[[#This Row],[P129 HWM]]-1</f>
        <v>0</v>
      </c>
      <c r="SY101" s="28">
        <f>SUMPRODUCT(INDEX(PortfolioRef[[SPY]:[PE]],MATCH(SY$1,PortfolioRef[Reference '#]),0),AssetMonthlyReturns[[#This Row],[SPY]:[PE]])</f>
        <v>1.1563117474705299E-2</v>
      </c>
      <c r="SZ101" s="27">
        <f>IF(ISNUMBER(SZ100),SZ100*(1+PortfolioFrontier[[#This Row],[P130 Return]]),1+PortfolioFrontier[[#This Row],[P130 Return]])</f>
        <v>1.7018737743691044</v>
      </c>
      <c r="TA101" s="27">
        <f>MAX(TA100,PortfolioFrontier[[#This Row],[P130 Growth]])</f>
        <v>1.720142179322633</v>
      </c>
      <c r="TB101" s="27">
        <f>PortfolioFrontier[[#This Row],[P130 Growth]]/PortfolioFrontier[[#This Row],[P130 HWM]]-1</f>
        <v>-1.0620287772213355E-2</v>
      </c>
      <c r="TC101" s="28">
        <f>SUMPRODUCT(INDEX(PortfolioRef[[SPY]:[PE]],MATCH(TC$1,PortfolioRef[Reference '#]),0),AssetMonthlyReturns[[#This Row],[SPY]:[PE]])</f>
        <v>1.1130112617609362E-2</v>
      </c>
      <c r="TD101" s="27">
        <f>IF(ISNUMBER(TD100),TD100*(1+PortfolioFrontier[[#This Row],[P131 Return]]),1+PortfolioFrontier[[#This Row],[P131 Return]])</f>
        <v>1.6983624704996436</v>
      </c>
      <c r="TE101" s="27">
        <f>MAX(TE100,PortfolioFrontier[[#This Row],[P131 Growth]])</f>
        <v>1.6983624704996436</v>
      </c>
      <c r="TF101" s="27">
        <f>PortfolioFrontier[[#This Row],[P131 Growth]]/PortfolioFrontier[[#This Row],[P131 HWM]]-1</f>
        <v>0</v>
      </c>
      <c r="TG101" s="28">
        <f>SUMPRODUCT(INDEX(PortfolioRef[[SPY]:[PE]],MATCH(TG$1,PortfolioRef[Reference '#]),0),AssetMonthlyReturns[[#This Row],[SPY]:[PE]])</f>
        <v>1.0697107760513426E-2</v>
      </c>
      <c r="TH101" s="27">
        <f>IF(ISNUMBER(TH100),TH100*(1+PortfolioFrontier[[#This Row],[P132 Return]]),1+PortfolioFrontier[[#This Row],[P132 Return]])</f>
        <v>1.6935124659890632</v>
      </c>
      <c r="TI101" s="27">
        <f>MAX(TI100,PortfolioFrontier[[#This Row],[P132 Growth]])</f>
        <v>1.6935124659890632</v>
      </c>
      <c r="TJ101" s="27">
        <f>PortfolioFrontier[[#This Row],[P132 Growth]]/PortfolioFrontier[[#This Row],[P132 HWM]]-1</f>
        <v>0</v>
      </c>
      <c r="TK101" s="28">
        <f>SUMPRODUCT(INDEX(PortfolioRef[[SPY]:[PE]],MATCH(TK$1,PortfolioRef[Reference '#]),0),AssetMonthlyReturns[[#This Row],[SPY]:[PE]])</f>
        <v>1.0674890014905314E-2</v>
      </c>
      <c r="TL101" s="27">
        <f>IF(ISNUMBER(TL100),TL100*(1+PortfolioFrontier[[#This Row],[P133 Return]]),1+PortfolioFrontier[[#This Row],[P133 Return]])</f>
        <v>1.7686498029012176</v>
      </c>
      <c r="TM101" s="27">
        <f>MAX(TM100,PortfolioFrontier[[#This Row],[P133 Growth]])</f>
        <v>1.7686498029012176</v>
      </c>
      <c r="TN101" s="27">
        <f>PortfolioFrontier[[#This Row],[P133 Growth]]/PortfolioFrontier[[#This Row],[P133 HWM]]-1</f>
        <v>0</v>
      </c>
      <c r="TO101" s="28">
        <f>SUMPRODUCT(INDEX(PortfolioRef[[SPY]:[PE]],MATCH(TO$1,PortfolioRef[Reference '#]),0),AssetMonthlyReturns[[#This Row],[SPY]:[PE]])</f>
        <v>1.0241885157809378E-2</v>
      </c>
      <c r="TP101" s="27">
        <f>IF(ISNUMBER(TP100),TP100*(1+PortfolioFrontier[[#This Row],[P134 Return]]),1+PortfolioFrontier[[#This Row],[P134 Return]])</f>
        <v>1.7639316044939684</v>
      </c>
      <c r="TQ101" s="27">
        <f>MAX(TQ100,PortfolioFrontier[[#This Row],[P134 Growth]])</f>
        <v>1.7639316044939684</v>
      </c>
      <c r="TR101" s="27">
        <f>PortfolioFrontier[[#This Row],[P134 Growth]]/PortfolioFrontier[[#This Row],[P134 HWM]]-1</f>
        <v>0</v>
      </c>
      <c r="TS101" s="28">
        <f>SUMPRODUCT(INDEX(PortfolioRef[[SPY]:[PE]],MATCH(TS$1,PortfolioRef[Reference '#]),0),AssetMonthlyReturns[[#This Row],[SPY]:[PE]])</f>
        <v>9.808880300713441E-3</v>
      </c>
      <c r="TT101" s="27">
        <f>IF(ISNUMBER(TT100),TT100*(1+PortfolioFrontier[[#This Row],[P135 Return]]),1+PortfolioFrontier[[#This Row],[P135 Return]])</f>
        <v>1.7578346236582767</v>
      </c>
      <c r="TU101" s="27">
        <f>MAX(TU100,PortfolioFrontier[[#This Row],[P135 Growth]])</f>
        <v>1.7578346236582767</v>
      </c>
      <c r="TV101" s="27">
        <f>PortfolioFrontier[[#This Row],[P135 Growth]]/PortfolioFrontier[[#This Row],[P135 HWM]]-1</f>
        <v>0</v>
      </c>
      <c r="TW101" s="28">
        <f>SUMPRODUCT(INDEX(PortfolioRef[[SPY]:[PE]],MATCH(TW$1,PortfolioRef[Reference '#]),0),AssetMonthlyReturns[[#This Row],[SPY]:[PE]])</f>
        <v>1.1054599418255373E-2</v>
      </c>
      <c r="TX101" s="27">
        <f>IF(ISNUMBER(TX100),TX100*(1+PortfolioFrontier[[#This Row],[P136 Return]]),1+PortfolioFrontier[[#This Row],[P136 Return]])</f>
        <v>1.7469488719270714</v>
      </c>
      <c r="TY101" s="27">
        <f>MAX(TY100,PortfolioFrontier[[#This Row],[P136 Growth]])</f>
        <v>1.7469488719270714</v>
      </c>
      <c r="TZ101" s="27">
        <f>PortfolioFrontier[[#This Row],[P136 Growth]]/PortfolioFrontier[[#This Row],[P136 HWM]]-1</f>
        <v>0</v>
      </c>
      <c r="UA101" s="28">
        <f>SUMPRODUCT(INDEX(PortfolioRef[[SPY]:[PE]],MATCH(UA$1,PortfolioRef[Reference '#]),0),AssetMonthlyReturns[[#This Row],[SPY]:[PE]])</f>
        <v>1.0621594561159436E-2</v>
      </c>
      <c r="UB101" s="27">
        <f>IF(ISNUMBER(UB100),UB100*(1+PortfolioFrontier[[#This Row],[P137 Return]]),1+PortfolioFrontier[[#This Row],[P137 Return]])</f>
        <v>1.7433489960253639</v>
      </c>
      <c r="UC101" s="27">
        <f>MAX(UC100,PortfolioFrontier[[#This Row],[P137 Growth]])</f>
        <v>1.7433489960253639</v>
      </c>
      <c r="UD101" s="27">
        <f>PortfolioFrontier[[#This Row],[P137 Growth]]/PortfolioFrontier[[#This Row],[P137 HWM]]-1</f>
        <v>0</v>
      </c>
      <c r="UE101" s="28">
        <f>SUMPRODUCT(INDEX(PortfolioRef[[SPY]:[PE]],MATCH(UE$1,PortfolioRef[Reference '#]),0),AssetMonthlyReturns[[#This Row],[SPY]:[PE]])</f>
        <v>1.01885897040635E-2</v>
      </c>
      <c r="UF101" s="27">
        <f>IF(ISNUMBER(UF100),UF100*(1+PortfolioFrontier[[#This Row],[P138 Return]]),1+PortfolioFrontier[[#This Row],[P138 Return]])</f>
        <v>1.738375679851025</v>
      </c>
      <c r="UG101" s="27">
        <f>MAX(UG100,PortfolioFrontier[[#This Row],[P138 Growth]])</f>
        <v>1.738375679851025</v>
      </c>
      <c r="UH101" s="27">
        <f>PortfolioFrontier[[#This Row],[P138 Growth]]/PortfolioFrontier[[#This Row],[P138 HWM]]-1</f>
        <v>0</v>
      </c>
      <c r="UI101" s="28">
        <f>SUMPRODUCT(INDEX(PortfolioRef[[SPY]:[PE]],MATCH(UI$1,PortfolioRef[Reference '#]),0),AssetMonthlyReturns[[#This Row],[SPY]:[PE]])</f>
        <v>1.1434308821605434E-2</v>
      </c>
      <c r="UJ101" s="27">
        <f>IF(ISNUMBER(UJ100),UJ100*(1+PortfolioFrontier[[#This Row],[P139 Return]]),1+PortfolioFrontier[[#This Row],[P139 Return]])</f>
        <v>1.7240602423673941</v>
      </c>
      <c r="UK101" s="27">
        <f>MAX(UK100,PortfolioFrontier[[#This Row],[P139 Growth]])</f>
        <v>1.7543965710992384</v>
      </c>
      <c r="UL101" s="27">
        <f>PortfolioFrontier[[#This Row],[P139 Growth]]/PortfolioFrontier[[#This Row],[P139 HWM]]-1</f>
        <v>-1.7291602840306952E-2</v>
      </c>
      <c r="UM101" s="28">
        <f>SUMPRODUCT(INDEX(PortfolioRef[[SPY]:[PE]],MATCH(UM$1,PortfolioRef[Reference '#]),0),AssetMonthlyReturns[[#This Row],[SPY]:[PE]])</f>
        <v>1.1001303964509497E-2</v>
      </c>
      <c r="UN101" s="27">
        <f>IF(ISNUMBER(UN100),UN100*(1+PortfolioFrontier[[#This Row],[P140 Return]]),1+PortfolioFrontier[[#This Row],[P140 Return]])</f>
        <v>1.7215598395108003</v>
      </c>
      <c r="UO101" s="27">
        <f>MAX(UO100,PortfolioFrontier[[#This Row],[P140 Growth]])</f>
        <v>1.7234002022793458</v>
      </c>
      <c r="UP101" s="27">
        <f>PortfolioFrontier[[#This Row],[P140 Growth]]/PortfolioFrontier[[#This Row],[P140 HWM]]-1</f>
        <v>-1.0678673276882655E-3</v>
      </c>
      <c r="UQ101" s="28">
        <f>SUMPRODUCT(INDEX(PortfolioRef[[SPY]:[PE]],MATCH(UQ$1,PortfolioRef[Reference '#]),0),AssetMonthlyReturns[[#This Row],[SPY]:[PE]])</f>
        <v>1.056829910741356E-2</v>
      </c>
      <c r="UR101" s="27">
        <f>IF(ISNUMBER(UR100),UR100*(1+PortfolioFrontier[[#This Row],[P141 Return]]),1+PortfolioFrontier[[#This Row],[P141 Return]])</f>
        <v>1.7176935393357635</v>
      </c>
      <c r="US101" s="27">
        <f>MAX(US100,PortfolioFrontier[[#This Row],[P141 Growth]])</f>
        <v>1.7176935393357635</v>
      </c>
      <c r="UT101" s="27">
        <f>PortfolioFrontier[[#This Row],[P141 Growth]]/PortfolioFrontier[[#This Row],[P141 HWM]]-1</f>
        <v>0</v>
      </c>
    </row>
    <row r="102" spans="2:566" x14ac:dyDescent="0.2">
      <c r="B102" s="41">
        <f>AssetMonthlyReturns[[#This Row],[Date]]</f>
        <v>45474</v>
      </c>
      <c r="C102" s="28">
        <f>SUMPRODUCT(INDEX(PortfolioRef[[SPY]:[PE]],MATCH(C$1,PortfolioRef[Reference '#]),0),AssetMonthlyReturns[[#This Row],[SPY]:[PE]])</f>
        <v>2.6651821890360097E-2</v>
      </c>
      <c r="D102" s="29">
        <f>IF(ISNUMBER(D101),D101*(1+PortfolioFrontier[[#This Row],[P1 Return]]),1+PortfolioFrontier[[#This Row],[P1 Return]])</f>
        <v>2.2178412630759068</v>
      </c>
      <c r="E102" s="29">
        <f>MAX(E101,PortfolioFrontier[[#This Row],[P1 Growth]])</f>
        <v>2.2178412630759068</v>
      </c>
      <c r="F102" s="29">
        <f>PortfolioFrontier[[#This Row],[P1 Growth]]/PortfolioFrontier[[#This Row],[P1 HWM]]-1</f>
        <v>0</v>
      </c>
      <c r="G102" s="28">
        <f>SUMPRODUCT(INDEX(PortfolioRef[[SPY]:[PE]],MATCH(G$1,PortfolioRef[Reference '#]),0),AssetMonthlyReturns[[#This Row],[SPY]:[PE]])</f>
        <v>2.7094124365165617E-2</v>
      </c>
      <c r="H102" s="27">
        <f>IF(ISNUMBER(H101),H101*(1+PortfolioFrontier[[#This Row],[P2 Return]]),1+PortfolioFrontier[[#This Row],[P2 Return]])</f>
        <v>2.1089658412461247</v>
      </c>
      <c r="I102" s="27">
        <f>MAX(I101,PortfolioFrontier[[#This Row],[P2 Growth]])</f>
        <v>2.1089658412461247</v>
      </c>
      <c r="J102" s="27">
        <f>PortfolioFrontier[[#This Row],[P2 Growth]]/PortfolioFrontier[[#This Row],[P2 HWM]]-1</f>
        <v>0</v>
      </c>
      <c r="K102" s="28">
        <f>SUMPRODUCT(INDEX(PortfolioRef[[SPY]:[PE]],MATCH(K$1,PortfolioRef[Reference '#]),0),AssetMonthlyReturns[[#This Row],[SPY]:[PE]])</f>
        <v>2.8566707040365694E-2</v>
      </c>
      <c r="L102" s="27">
        <f>IF(ISNUMBER(L101),L101*(1+PortfolioFrontier[[#This Row],[P3 Return]]),1+PortfolioFrontier[[#This Row],[P3 Return]])</f>
        <v>2.1679569459870534</v>
      </c>
      <c r="M102" s="27">
        <f>MAX(M101,PortfolioFrontier[[#This Row],[P3 Growth]])</f>
        <v>2.1679569459870534</v>
      </c>
      <c r="N102" s="27">
        <f>PortfolioFrontier[[#This Row],[P3 Growth]]/PortfolioFrontier[[#This Row],[P3 HWM]]-1</f>
        <v>0</v>
      </c>
      <c r="O102" s="28">
        <f>SUMPRODUCT(INDEX(PortfolioRef[[SPY]:[PE]],MATCH(O$1,PortfolioRef[Reference '#]),0),AssetMonthlyReturns[[#This Row],[SPY]:[PE]])</f>
        <v>3.0523691207236706E-2</v>
      </c>
      <c r="P102" s="27">
        <f>IF(ISNUMBER(P101),P101*(1+PortfolioFrontier[[#This Row],[P4 Return]]),1+PortfolioFrontier[[#This Row],[P4 Return]])</f>
        <v>2.1454133608969119</v>
      </c>
      <c r="Q102" s="27">
        <f>MAX(Q101,PortfolioFrontier[[#This Row],[P4 Growth]])</f>
        <v>2.1454133608969119</v>
      </c>
      <c r="R102" s="27">
        <f>PortfolioFrontier[[#This Row],[P4 Growth]]/PortfolioFrontier[[#This Row],[P4 HWM]]-1</f>
        <v>0</v>
      </c>
      <c r="S102" s="28">
        <f>SUMPRODUCT(INDEX(PortfolioRef[[SPY]:[PE]],MATCH(S$1,PortfolioRef[Reference '#]),0),AssetMonthlyReturns[[#This Row],[SPY]:[PE]])</f>
        <v>2.5840394352878389E-2</v>
      </c>
      <c r="T102" s="27">
        <f>IF(ISNUMBER(T101),T101*(1+PortfolioFrontier[[#This Row],[P5 Return]]),1+PortfolioFrontier[[#This Row],[P5 Return]])</f>
        <v>2.1301444861659906</v>
      </c>
      <c r="U102" s="27">
        <f>MAX(U101,PortfolioFrontier[[#This Row],[P5 Growth]])</f>
        <v>2.1301444861659906</v>
      </c>
      <c r="V102" s="27">
        <f>PortfolioFrontier[[#This Row],[P5 Growth]]/PortfolioFrontier[[#This Row],[P5 HWM]]-1</f>
        <v>0</v>
      </c>
      <c r="W102" s="28">
        <f>SUMPRODUCT(INDEX(PortfolioRef[[SPY]:[PE]],MATCH(W$1,PortfolioRef[Reference '#]),0),AssetMonthlyReturns[[#This Row],[SPY]:[PE]])</f>
        <v>2.7536426839971137E-2</v>
      </c>
      <c r="X102" s="27">
        <f>IF(ISNUMBER(X101),X101*(1+PortfolioFrontier[[#This Row],[P6 Return]]),1+PortfolioFrontier[[#This Row],[P6 Return]])</f>
        <v>2.0044869026601058</v>
      </c>
      <c r="Y102" s="27">
        <f>MAX(Y101,PortfolioFrontier[[#This Row],[P6 Growth]])</f>
        <v>2.0044869026601058</v>
      </c>
      <c r="Z102" s="27">
        <f>PortfolioFrontier[[#This Row],[P6 Growth]]/PortfolioFrontier[[#This Row],[P6 HWM]]-1</f>
        <v>0</v>
      </c>
      <c r="AA102" s="28">
        <f>SUMPRODUCT(INDEX(PortfolioRef[[SPY]:[PE]],MATCH(AA$1,PortfolioRef[Reference '#]),0),AssetMonthlyReturns[[#This Row],[SPY]:[PE]])</f>
        <v>2.9009009515171214E-2</v>
      </c>
      <c r="AB102" s="27">
        <f>IF(ISNUMBER(AB101),AB101*(1+PortfolioFrontier[[#This Row],[P7 Return]]),1+PortfolioFrontier[[#This Row],[P7 Return]])</f>
        <v>2.0605671889166315</v>
      </c>
      <c r="AC102" s="27">
        <f>MAX(AC101,PortfolioFrontier[[#This Row],[P7 Growth]])</f>
        <v>2.0605671889166315</v>
      </c>
      <c r="AD102" s="27">
        <f>PortfolioFrontier[[#This Row],[P7 Growth]]/PortfolioFrontier[[#This Row],[P7 HWM]]-1</f>
        <v>0</v>
      </c>
      <c r="AE102" s="28">
        <f>SUMPRODUCT(INDEX(PortfolioRef[[SPY]:[PE]],MATCH(AE$1,PortfolioRef[Reference '#]),0),AssetMonthlyReturns[[#This Row],[SPY]:[PE]])</f>
        <v>3.0965993682042225E-2</v>
      </c>
      <c r="AF102" s="27">
        <f>IF(ISNUMBER(AF101),AF101*(1+PortfolioFrontier[[#This Row],[P8 Return]]),1+PortfolioFrontier[[#This Row],[P8 Return]])</f>
        <v>2.0399259661721234</v>
      </c>
      <c r="AG102" s="27">
        <f>MAX(AG101,PortfolioFrontier[[#This Row],[P8 Growth]])</f>
        <v>2.0399259661721234</v>
      </c>
      <c r="AH102" s="27">
        <f>PortfolioFrontier[[#This Row],[P8 Growth]]/PortfolioFrontier[[#This Row],[P8 HWM]]-1</f>
        <v>0</v>
      </c>
      <c r="AI102" s="28">
        <f>SUMPRODUCT(INDEX(PortfolioRef[[SPY]:[PE]],MATCH(AI$1,PortfolioRef[Reference '#]),0),AssetMonthlyReturns[[#This Row],[SPY]:[PE]])</f>
        <v>2.6282696827683916E-2</v>
      </c>
      <c r="AJ102" s="27">
        <f>IF(ISNUMBER(AJ101),AJ101*(1+PortfolioFrontier[[#This Row],[P9 Return]]),1+PortfolioFrontier[[#This Row],[P9 Return]])</f>
        <v>2.0246353379489994</v>
      </c>
      <c r="AK102" s="27">
        <f>MAX(AK101,PortfolioFrontier[[#This Row],[P9 Growth]])</f>
        <v>2.0246353379489994</v>
      </c>
      <c r="AL102" s="27">
        <f>PortfolioFrontier[[#This Row],[P9 Growth]]/PortfolioFrontier[[#This Row],[P9 HWM]]-1</f>
        <v>0</v>
      </c>
      <c r="AM102" s="28">
        <f>SUMPRODUCT(INDEX(PortfolioRef[[SPY]:[PE]],MATCH(AM$1,PortfolioRef[Reference '#]),0),AssetMonthlyReturns[[#This Row],[SPY]:[PE]])</f>
        <v>3.048159219037129E-2</v>
      </c>
      <c r="AN102" s="27">
        <f>IF(ISNUMBER(AN101),AN101*(1+PortfolioFrontier[[#This Row],[P10 Return]]),1+PortfolioFrontier[[#This Row],[P10 Return]])</f>
        <v>2.1175874324794814</v>
      </c>
      <c r="AO102" s="27">
        <f>MAX(AO101,PortfolioFrontier[[#This Row],[P10 Growth]])</f>
        <v>2.1175874324794814</v>
      </c>
      <c r="AP102" s="27">
        <f>PortfolioFrontier[[#This Row],[P10 Growth]]/PortfolioFrontier[[#This Row],[P10 HWM]]-1</f>
        <v>0</v>
      </c>
      <c r="AQ102" s="28">
        <f>SUMPRODUCT(INDEX(PortfolioRef[[SPY]:[PE]],MATCH(AQ$1,PortfolioRef[Reference '#]),0),AssetMonthlyReturns[[#This Row],[SPY]:[PE]])</f>
        <v>3.2438576357242295E-2</v>
      </c>
      <c r="AR102" s="27">
        <f>IF(ISNUMBER(AR101),AR101*(1+PortfolioFrontier[[#This Row],[P11 Return]]),1+PortfolioFrontier[[#This Row],[P11 Return]])</f>
        <v>2.096967759453026</v>
      </c>
      <c r="AS102" s="27">
        <f>MAX(AS101,PortfolioFrontier[[#This Row],[P11 Growth]])</f>
        <v>2.096967759453026</v>
      </c>
      <c r="AT102" s="27">
        <f>PortfolioFrontier[[#This Row],[P11 Growth]]/PortfolioFrontier[[#This Row],[P11 HWM]]-1</f>
        <v>0</v>
      </c>
      <c r="AU102" s="28">
        <f>SUMPRODUCT(INDEX(PortfolioRef[[SPY]:[PE]],MATCH(AU$1,PortfolioRef[Reference '#]),0),AssetMonthlyReturns[[#This Row],[SPY]:[PE]])</f>
        <v>2.7755279502883985E-2</v>
      </c>
      <c r="AV102" s="27">
        <f>IF(ISNUMBER(AV101),AV101*(1+PortfolioFrontier[[#This Row],[P12 Return]]),1+PortfolioFrontier[[#This Row],[P12 Return]])</f>
        <v>2.0812693336847325</v>
      </c>
      <c r="AW102" s="27">
        <f>MAX(AW101,PortfolioFrontier[[#This Row],[P12 Growth]])</f>
        <v>2.0812693336847325</v>
      </c>
      <c r="AX102" s="27">
        <f>PortfolioFrontier[[#This Row],[P12 Growth]]/PortfolioFrontier[[#This Row],[P12 HWM]]-1</f>
        <v>0</v>
      </c>
      <c r="AY102" s="28">
        <f>SUMPRODUCT(INDEX(PortfolioRef[[SPY]:[PE]],MATCH(AY$1,PortfolioRef[Reference '#]),0),AssetMonthlyReturns[[#This Row],[SPY]:[PE]])</f>
        <v>3.4395560524113307E-2</v>
      </c>
      <c r="AZ102" s="27">
        <f>IF(ISNUMBER(AZ101),AZ101*(1+PortfolioFrontier[[#This Row],[P13 Return]]),1+PortfolioFrontier[[#This Row],[P13 Return]])</f>
        <v>2.0748037280466991</v>
      </c>
      <c r="BA102" s="27">
        <f>MAX(BA101,PortfolioFrontier[[#This Row],[P13 Growth]])</f>
        <v>2.0748037280466991</v>
      </c>
      <c r="BB102" s="27">
        <f>PortfolioFrontier[[#This Row],[P13 Growth]]/PortfolioFrontier[[#This Row],[P13 HWM]]-1</f>
        <v>0</v>
      </c>
      <c r="BC102" s="28">
        <f>SUMPRODUCT(INDEX(PortfolioRef[[SPY]:[PE]],MATCH(BC$1,PortfolioRef[Reference '#]),0),AssetMonthlyReturns[[#This Row],[SPY]:[PE]])</f>
        <v>2.9712263669754997E-2</v>
      </c>
      <c r="BD102" s="27">
        <f>IF(ISNUMBER(BD101),BD101*(1+PortfolioFrontier[[#This Row],[P14 Return]]),1+PortfolioFrontier[[#This Row],[P14 Return]])</f>
        <v>2.0605386969298412</v>
      </c>
      <c r="BE102" s="27">
        <f>MAX(BE101,PortfolioFrontier[[#This Row],[P14 Growth]])</f>
        <v>2.0605386969298412</v>
      </c>
      <c r="BF102" s="27">
        <f>PortfolioFrontier[[#This Row],[P14 Growth]]/PortfolioFrontier[[#This Row],[P14 HWM]]-1</f>
        <v>0</v>
      </c>
      <c r="BG102" s="28">
        <f>SUMPRODUCT(INDEX(PortfolioRef[[SPY]:[PE]],MATCH(BG$1,PortfolioRef[Reference '#]),0),AssetMonthlyReturns[[#This Row],[SPY]:[PE]])</f>
        <v>2.5028966815396684E-2</v>
      </c>
      <c r="BH102" s="27">
        <f>IF(ISNUMBER(BH101),BH101*(1+PortfolioFrontier[[#This Row],[P15 Return]]),1+PortfolioFrontier[[#This Row],[P15 Return]])</f>
        <v>2.0447087679649214</v>
      </c>
      <c r="BI102" s="27">
        <f>MAX(BI101,PortfolioFrontier[[#This Row],[P15 Growth]])</f>
        <v>2.0447087679649214</v>
      </c>
      <c r="BJ102" s="27">
        <f>PortfolioFrontier[[#This Row],[P15 Growth]]/PortfolioFrontier[[#This Row],[P15 HWM]]-1</f>
        <v>0</v>
      </c>
      <c r="BK102" s="28">
        <f>SUMPRODUCT(INDEX(PortfolioRef[[SPY]:[PE]],MATCH(BK$1,PortfolioRef[Reference '#]),0),AssetMonthlyReturns[[#This Row],[SPY]:[PE]])</f>
        <v>2.7978729314776664E-2</v>
      </c>
      <c r="BL102" s="27">
        <f>IF(ISNUMBER(BL101),BL101*(1+PortfolioFrontier[[#This Row],[P16 Return]]),1+PortfolioFrontier[[#This Row],[P16 Return]])</f>
        <v>1.90428303976763</v>
      </c>
      <c r="BM102" s="27">
        <f>MAX(BM101,PortfolioFrontier[[#This Row],[P16 Growth]])</f>
        <v>1.90428303976763</v>
      </c>
      <c r="BN102" s="27">
        <f>PortfolioFrontier[[#This Row],[P16 Growth]]/PortfolioFrontier[[#This Row],[P16 HWM]]-1</f>
        <v>0</v>
      </c>
      <c r="BO102" s="28">
        <f>SUMPRODUCT(INDEX(PortfolioRef[[SPY]:[PE]],MATCH(BO$1,PortfolioRef[Reference '#]),0),AssetMonthlyReturns[[#This Row],[SPY]:[PE]])</f>
        <v>2.9451311989976733E-2</v>
      </c>
      <c r="BP102" s="27">
        <f>IF(ISNUMBER(BP101),BP101*(1+PortfolioFrontier[[#This Row],[P17 Return]]),1+PortfolioFrontier[[#This Row],[P17 Return]])</f>
        <v>1.9575715369182873</v>
      </c>
      <c r="BQ102" s="27">
        <f>MAX(BQ101,PortfolioFrontier[[#This Row],[P17 Growth]])</f>
        <v>1.9575715369182873</v>
      </c>
      <c r="BR102" s="27">
        <f>PortfolioFrontier[[#This Row],[P17 Growth]]/PortfolioFrontier[[#This Row],[P17 HWM]]-1</f>
        <v>0</v>
      </c>
      <c r="BS102" s="28">
        <f>SUMPRODUCT(INDEX(PortfolioRef[[SPY]:[PE]],MATCH(BS$1,PortfolioRef[Reference '#]),0),AssetMonthlyReturns[[#This Row],[SPY]:[PE]])</f>
        <v>3.1408296156847745E-2</v>
      </c>
      <c r="BT102" s="27">
        <f>IF(ISNUMBER(BT101),BT101*(1+PortfolioFrontier[[#This Row],[P18 Return]]),1+PortfolioFrontier[[#This Row],[P18 Return]])</f>
        <v>1.9387068603502213</v>
      </c>
      <c r="BU102" s="27">
        <f>MAX(BU101,PortfolioFrontier[[#This Row],[P18 Growth]])</f>
        <v>1.9387068603502213</v>
      </c>
      <c r="BV102" s="27">
        <f>PortfolioFrontier[[#This Row],[P18 Growth]]/PortfolioFrontier[[#This Row],[P18 HWM]]-1</f>
        <v>0</v>
      </c>
      <c r="BW102" s="28">
        <f>SUMPRODUCT(INDEX(PortfolioRef[[SPY]:[PE]],MATCH(BW$1,PortfolioRef[Reference '#]),0),AssetMonthlyReturns[[#This Row],[SPY]:[PE]])</f>
        <v>2.6724999302489436E-2</v>
      </c>
      <c r="BX102" s="27">
        <f>IF(ISNUMBER(BX101),BX101*(1+PortfolioFrontier[[#This Row],[P19 Return]]),1+PortfolioFrontier[[#This Row],[P19 Return]])</f>
        <v>1.9234423300852082</v>
      </c>
      <c r="BY102" s="27">
        <f>MAX(BY101,PortfolioFrontier[[#This Row],[P19 Growth]])</f>
        <v>1.9234423300852082</v>
      </c>
      <c r="BZ102" s="27">
        <f>PortfolioFrontier[[#This Row],[P19 Growth]]/PortfolioFrontier[[#This Row],[P19 HWM]]-1</f>
        <v>0</v>
      </c>
      <c r="CA102" s="28">
        <f>SUMPRODUCT(INDEX(PortfolioRef[[SPY]:[PE]],MATCH(CA$1,PortfolioRef[Reference '#]),0),AssetMonthlyReturns[[#This Row],[SPY]:[PE]])</f>
        <v>3.092389466517681E-2</v>
      </c>
      <c r="CB102" s="27">
        <f>IF(ISNUMBER(CB101),CB101*(1+PortfolioFrontier[[#This Row],[P20 Return]]),1+PortfolioFrontier[[#This Row],[P20 Return]])</f>
        <v>2.0117526051469627</v>
      </c>
      <c r="CC102" s="27">
        <f>MAX(CC101,PortfolioFrontier[[#This Row],[P20 Growth]])</f>
        <v>2.0117526051469627</v>
      </c>
      <c r="CD102" s="27">
        <f>PortfolioFrontier[[#This Row],[P20 Growth]]/PortfolioFrontier[[#This Row],[P20 HWM]]-1</f>
        <v>0</v>
      </c>
      <c r="CE102" s="28">
        <f>SUMPRODUCT(INDEX(PortfolioRef[[SPY]:[PE]],MATCH(CE$1,PortfolioRef[Reference '#]),0),AssetMonthlyReturns[[#This Row],[SPY]:[PE]])</f>
        <v>3.2880878832047822E-2</v>
      </c>
      <c r="CF102" s="27">
        <f>IF(ISNUMBER(CF101),CF101*(1+PortfolioFrontier[[#This Row],[P21 Return]]),1+PortfolioFrontier[[#This Row],[P21 Return]])</f>
        <v>1.9929298047844981</v>
      </c>
      <c r="CG102" s="27">
        <f>MAX(CG101,PortfolioFrontier[[#This Row],[P21 Growth]])</f>
        <v>1.9929298047844981</v>
      </c>
      <c r="CH102" s="27">
        <f>PortfolioFrontier[[#This Row],[P21 Growth]]/PortfolioFrontier[[#This Row],[P21 HWM]]-1</f>
        <v>0</v>
      </c>
      <c r="CI102" s="28">
        <f>SUMPRODUCT(INDEX(PortfolioRef[[SPY]:[PE]],MATCH(CI$1,PortfolioRef[Reference '#]),0),AssetMonthlyReturns[[#This Row],[SPY]:[PE]])</f>
        <v>2.8197581977689512E-2</v>
      </c>
      <c r="CJ102" s="27">
        <f>IF(ISNUMBER(CJ101),CJ101*(1+PortfolioFrontier[[#This Row],[P22 Return]]),1+PortfolioFrontier[[#This Row],[P22 Return]])</f>
        <v>1.9772575286698715</v>
      </c>
      <c r="CK102" s="27">
        <f>MAX(CK101,PortfolioFrontier[[#This Row],[P22 Growth]])</f>
        <v>1.9772575286698715</v>
      </c>
      <c r="CL102" s="27">
        <f>PortfolioFrontier[[#This Row],[P22 Growth]]/PortfolioFrontier[[#This Row],[P22 HWM]]-1</f>
        <v>0</v>
      </c>
      <c r="CM102" s="28">
        <f>SUMPRODUCT(INDEX(PortfolioRef[[SPY]:[PE]],MATCH(CM$1,PortfolioRef[Reference '#]),0),AssetMonthlyReturns[[#This Row],[SPY]:[PE]])</f>
        <v>3.4837862998918834E-2</v>
      </c>
      <c r="CN102" s="27">
        <f>IF(ISNUMBER(CN101),CN101*(1+PortfolioFrontier[[#This Row],[P23 Return]]),1+PortfolioFrontier[[#This Row],[P23 Return]])</f>
        <v>1.9726260240559073</v>
      </c>
      <c r="CO102" s="27">
        <f>MAX(CO101,PortfolioFrontier[[#This Row],[P23 Growth]])</f>
        <v>1.9726260240559073</v>
      </c>
      <c r="CP102" s="27">
        <f>PortfolioFrontier[[#This Row],[P23 Growth]]/PortfolioFrontier[[#This Row],[P23 HWM]]-1</f>
        <v>0</v>
      </c>
      <c r="CQ102" s="28">
        <f>SUMPRODUCT(INDEX(PortfolioRef[[SPY]:[PE]],MATCH(CQ$1,PortfolioRef[Reference '#]),0),AssetMonthlyReturns[[#This Row],[SPY]:[PE]])</f>
        <v>3.0154566144560524E-2</v>
      </c>
      <c r="CR102" s="27">
        <f>IF(ISNUMBER(CR101),CR101*(1+PortfolioFrontier[[#This Row],[P24 Return]]),1+PortfolioFrontier[[#This Row],[P24 Return]])</f>
        <v>1.9583151743863934</v>
      </c>
      <c r="CS102" s="27">
        <f>MAX(CS101,PortfolioFrontier[[#This Row],[P24 Growth]])</f>
        <v>1.9583151743863934</v>
      </c>
      <c r="CT102" s="27">
        <f>PortfolioFrontier[[#This Row],[P24 Growth]]/PortfolioFrontier[[#This Row],[P24 HWM]]-1</f>
        <v>0</v>
      </c>
      <c r="CU102" s="28">
        <f>SUMPRODUCT(INDEX(PortfolioRef[[SPY]:[PE]],MATCH(CU$1,PortfolioRef[Reference '#]),0),AssetMonthlyReturns[[#This Row],[SPY]:[PE]])</f>
        <v>2.5471269290202204E-2</v>
      </c>
      <c r="CV102" s="27">
        <f>IF(ISNUMBER(CV101),CV101*(1+PortfolioFrontier[[#This Row],[P25 Return]]),1+PortfolioFrontier[[#This Row],[P25 Return]])</f>
        <v>1.9425307370139153</v>
      </c>
      <c r="CW102" s="27">
        <f>MAX(CW101,PortfolioFrontier[[#This Row],[P25 Growth]])</f>
        <v>1.9425307370139153</v>
      </c>
      <c r="CX102" s="27">
        <f>PortfolioFrontier[[#This Row],[P25 Growth]]/PortfolioFrontier[[#This Row],[P25 HWM]]-1</f>
        <v>0</v>
      </c>
      <c r="CY102" s="28">
        <f>SUMPRODUCT(INDEX(PortfolioRef[[SPY]:[PE]],MATCH(CY$1,PortfolioRef[Reference '#]),0),AssetMonthlyReturns[[#This Row],[SPY]:[PE]])</f>
        <v>3.4353461507247891E-2</v>
      </c>
      <c r="CZ102" s="27">
        <f>IF(ISNUMBER(CZ101),CZ101*(1+PortfolioFrontier[[#This Row],[P26 Return]]),1+PortfolioFrontier[[#This Row],[P26 Return]])</f>
        <v>2.0480604415557089</v>
      </c>
      <c r="DA102" s="27">
        <f>MAX(DA101,PortfolioFrontier[[#This Row],[P26 Growth]])</f>
        <v>2.0480604415557089</v>
      </c>
      <c r="DB102" s="27">
        <f>PortfolioFrontier[[#This Row],[P26 Growth]]/PortfolioFrontier[[#This Row],[P26 HWM]]-1</f>
        <v>0</v>
      </c>
      <c r="DC102" s="28">
        <f>SUMPRODUCT(INDEX(PortfolioRef[[SPY]:[PE]],MATCH(DC$1,PortfolioRef[Reference '#]),0),AssetMonthlyReturns[[#This Row],[SPY]:[PE]])</f>
        <v>2.9670164652889582E-2</v>
      </c>
      <c r="DD102" s="27">
        <f>IF(ISNUMBER(DD101),DD101*(1+PortfolioFrontier[[#This Row],[P27 Return]]),1+PortfolioFrontier[[#This Row],[P27 Return]])</f>
        <v>2.0319741466004269</v>
      </c>
      <c r="DE102" s="27">
        <f>MAX(DE101,PortfolioFrontier[[#This Row],[P27 Growth]])</f>
        <v>2.0319741466004269</v>
      </c>
      <c r="DF102" s="27">
        <f>PortfolioFrontier[[#This Row],[P27 Growth]]/PortfolioFrontier[[#This Row],[P27 HWM]]-1</f>
        <v>0</v>
      </c>
      <c r="DG102" s="28">
        <f>SUMPRODUCT(INDEX(PortfolioRef[[SPY]:[PE]],MATCH(DG$1,PortfolioRef[Reference '#]),0),AssetMonthlyReturns[[#This Row],[SPY]:[PE]])</f>
        <v>3.6310445674118903E-2</v>
      </c>
      <c r="DH102" s="27">
        <f>IF(ISNUMBER(DH101),DH101*(1+PortfolioFrontier[[#This Row],[P28 Return]]),1+PortfolioFrontier[[#This Row],[P28 Return]])</f>
        <v>2.0277689610592216</v>
      </c>
      <c r="DI102" s="27">
        <f>MAX(DI101,PortfolioFrontier[[#This Row],[P28 Growth]])</f>
        <v>2.0277689610592216</v>
      </c>
      <c r="DJ102" s="27">
        <f>PortfolioFrontier[[#This Row],[P28 Growth]]/PortfolioFrontier[[#This Row],[P28 HWM]]-1</f>
        <v>0</v>
      </c>
      <c r="DK102" s="28">
        <f>SUMPRODUCT(INDEX(PortfolioRef[[SPY]:[PE]],MATCH(DK$1,PortfolioRef[Reference '#]),0),AssetMonthlyReturns[[#This Row],[SPY]:[PE]])</f>
        <v>3.1627148819760594E-2</v>
      </c>
      <c r="DL102" s="27">
        <f>IF(ISNUMBER(DL101),DL101*(1+PortfolioFrontier[[#This Row],[P29 Return]]),1+PortfolioFrontier[[#This Row],[P29 Return]])</f>
        <v>2.0130768594983675</v>
      </c>
      <c r="DM102" s="27">
        <f>MAX(DM101,PortfolioFrontier[[#This Row],[P29 Growth]])</f>
        <v>2.0130768594983675</v>
      </c>
      <c r="DN102" s="27">
        <f>PortfolioFrontier[[#This Row],[P29 Growth]]/PortfolioFrontier[[#This Row],[P29 HWM]]-1</f>
        <v>0</v>
      </c>
      <c r="DO102" s="28">
        <f>SUMPRODUCT(INDEX(PortfolioRef[[SPY]:[PE]],MATCH(DO$1,PortfolioRef[Reference '#]),0),AssetMonthlyReturns[[#This Row],[SPY]:[PE]])</f>
        <v>2.694385196540228E-2</v>
      </c>
      <c r="DP102" s="27">
        <f>IF(ISNUMBER(DP101),DP101*(1+PortfolioFrontier[[#This Row],[P30 Return]]),1+PortfolioFrontier[[#This Row],[P30 Return]])</f>
        <v>1.9968706471214774</v>
      </c>
      <c r="DQ102" s="27">
        <f>MAX(DQ101,PortfolioFrontier[[#This Row],[P30 Growth]])</f>
        <v>1.9968706471214774</v>
      </c>
      <c r="DR102" s="27">
        <f>PortfolioFrontier[[#This Row],[P30 Growth]]/PortfolioFrontier[[#This Row],[P30 HWM]]-1</f>
        <v>0</v>
      </c>
      <c r="DS102" s="28">
        <f>SUMPRODUCT(INDEX(PortfolioRef[[SPY]:[PE]],MATCH(DS$1,PortfolioRef[Reference '#]),0),AssetMonthlyReturns[[#This Row],[SPY]:[PE]])</f>
        <v>3.8267429840989915E-2</v>
      </c>
      <c r="DT102" s="27">
        <f>IF(ISNUMBER(DT101),DT101*(1+PortfolioFrontier[[#This Row],[P31 Return]]),1+PortfolioFrontier[[#This Row],[P31 Return]])</f>
        <v>2.0059884585671588</v>
      </c>
      <c r="DU102" s="27">
        <f>MAX(DU101,PortfolioFrontier[[#This Row],[P31 Growth]])</f>
        <v>2.0059884585671588</v>
      </c>
      <c r="DV102" s="27">
        <f>PortfolioFrontier[[#This Row],[P31 Growth]]/PortfolioFrontier[[#This Row],[P31 HWM]]-1</f>
        <v>0</v>
      </c>
      <c r="DW102" s="28">
        <f>SUMPRODUCT(INDEX(PortfolioRef[[SPY]:[PE]],MATCH(DW$1,PortfolioRef[Reference '#]),0),AssetMonthlyReturns[[#This Row],[SPY]:[PE]])</f>
        <v>3.3584132986631605E-2</v>
      </c>
      <c r="DX102" s="27">
        <f>IF(ISNUMBER(DX101),DX101*(1+PortfolioFrontier[[#This Row],[P32 Return]]),1+PortfolioFrontier[[#This Row],[P32 Return]])</f>
        <v>1.9926820802096614</v>
      </c>
      <c r="DY102" s="27">
        <f>MAX(DY101,PortfolioFrontier[[#This Row],[P32 Growth]])</f>
        <v>1.9926820802096614</v>
      </c>
      <c r="DZ102" s="27">
        <f>PortfolioFrontier[[#This Row],[P32 Growth]]/PortfolioFrontier[[#This Row],[P32 HWM]]-1</f>
        <v>0</v>
      </c>
      <c r="EA102" s="28">
        <f>SUMPRODUCT(INDEX(PortfolioRef[[SPY]:[PE]],MATCH(EA$1,PortfolioRef[Reference '#]),0),AssetMonthlyReturns[[#This Row],[SPY]:[PE]])</f>
        <v>2.8900836132273292E-2</v>
      </c>
      <c r="EB102" s="27">
        <f>IF(ISNUMBER(EB101),EB101*(1+PortfolioFrontier[[#This Row],[P33 Return]]),1+PortfolioFrontier[[#This Row],[P33 Return]])</f>
        <v>1.9778534182140144</v>
      </c>
      <c r="EC102" s="27">
        <f>MAX(EC101,PortfolioFrontier[[#This Row],[P33 Growth]])</f>
        <v>1.9778534182140144</v>
      </c>
      <c r="ED102" s="27">
        <f>PortfolioFrontier[[#This Row],[P33 Growth]]/PortfolioFrontier[[#This Row],[P33 HWM]]-1</f>
        <v>0</v>
      </c>
      <c r="EE102" s="28">
        <f>SUMPRODUCT(INDEX(PortfolioRef[[SPY]:[PE]],MATCH(EE$1,PortfolioRef[Reference '#]),0),AssetMonthlyReturns[[#This Row],[SPY]:[PE]])</f>
        <v>2.8421031789582184E-2</v>
      </c>
      <c r="EF102" s="27">
        <f>IF(ISNUMBER(EF101),EF101*(1+PortfolioFrontier[[#This Row],[P34 Return]]),1+PortfolioFrontier[[#This Row],[P34 Return]])</f>
        <v>1.8082328806172063</v>
      </c>
      <c r="EG102" s="27">
        <f>MAX(EG101,PortfolioFrontier[[#This Row],[P34 Growth]])</f>
        <v>1.8082328806172063</v>
      </c>
      <c r="EH102" s="27">
        <f>PortfolioFrontier[[#This Row],[P34 Growth]]/PortfolioFrontier[[#This Row],[P34 HWM]]-1</f>
        <v>0</v>
      </c>
      <c r="EI102" s="28">
        <f>SUMPRODUCT(INDEX(PortfolioRef[[SPY]:[PE]],MATCH(EI$1,PortfolioRef[Reference '#]),0),AssetMonthlyReturns[[#This Row],[SPY]:[PE]])</f>
        <v>2.989361446478226E-2</v>
      </c>
      <c r="EJ102" s="27">
        <f>IF(ISNUMBER(EJ101),EJ101*(1+PortfolioFrontier[[#This Row],[P35 Return]]),1+PortfolioFrontier[[#This Row],[P35 Return]])</f>
        <v>1.8588452020288297</v>
      </c>
      <c r="EK102" s="27">
        <f>MAX(EK101,PortfolioFrontier[[#This Row],[P35 Growth]])</f>
        <v>1.8588452020288297</v>
      </c>
      <c r="EL102" s="27">
        <f>PortfolioFrontier[[#This Row],[P35 Growth]]/PortfolioFrontier[[#This Row],[P35 HWM]]-1</f>
        <v>0</v>
      </c>
      <c r="EM102" s="28">
        <f>SUMPRODUCT(INDEX(PortfolioRef[[SPY]:[PE]],MATCH(EM$1,PortfolioRef[Reference '#]),0),AssetMonthlyReturns[[#This Row],[SPY]:[PE]])</f>
        <v>3.1850598631653272E-2</v>
      </c>
      <c r="EN102" s="27">
        <f>IF(ISNUMBER(EN101),EN101*(1+PortfolioFrontier[[#This Row],[P36 Return]]),1+PortfolioFrontier[[#This Row],[P36 Return]])</f>
        <v>1.84163776222696</v>
      </c>
      <c r="EO102" s="27">
        <f>MAX(EO101,PortfolioFrontier[[#This Row],[P36 Growth]])</f>
        <v>1.84163776222696</v>
      </c>
      <c r="EP102" s="27">
        <f>PortfolioFrontier[[#This Row],[P36 Growth]]/PortfolioFrontier[[#This Row],[P36 HWM]]-1</f>
        <v>0</v>
      </c>
      <c r="EQ102" s="28">
        <f>SUMPRODUCT(INDEX(PortfolioRef[[SPY]:[PE]],MATCH(EQ$1,PortfolioRef[Reference '#]),0),AssetMonthlyReturns[[#This Row],[SPY]:[PE]])</f>
        <v>2.7167301777294955E-2</v>
      </c>
      <c r="ER102" s="27">
        <f>IF(ISNUMBER(ER101),ER101*(1+PortfolioFrontier[[#This Row],[P37 Return]]),1+PortfolioFrontier[[#This Row],[P37 Return]])</f>
        <v>1.826442989042699</v>
      </c>
      <c r="ES102" s="27">
        <f>MAX(ES101,PortfolioFrontier[[#This Row],[P37 Growth]])</f>
        <v>1.826442989042699</v>
      </c>
      <c r="ET102" s="27">
        <f>PortfolioFrontier[[#This Row],[P37 Growth]]/PortfolioFrontier[[#This Row],[P37 HWM]]-1</f>
        <v>0</v>
      </c>
      <c r="EU102" s="28">
        <f>SUMPRODUCT(INDEX(PortfolioRef[[SPY]:[PE]],MATCH(EU$1,PortfolioRef[Reference '#]),0),AssetMonthlyReturns[[#This Row],[SPY]:[PE]])</f>
        <v>3.136619713998233E-2</v>
      </c>
      <c r="EV102" s="27">
        <f>IF(ISNUMBER(EV101),EV101*(1+PortfolioFrontier[[#This Row],[P38 Return]]),1+PortfolioFrontier[[#This Row],[P38 Return]])</f>
        <v>1.9103047136233167</v>
      </c>
      <c r="EW102" s="27">
        <f>MAX(EW101,PortfolioFrontier[[#This Row],[P38 Growth]])</f>
        <v>1.9103047136233167</v>
      </c>
      <c r="EX102" s="27">
        <f>PortfolioFrontier[[#This Row],[P38 Growth]]/PortfolioFrontier[[#This Row],[P38 HWM]]-1</f>
        <v>0</v>
      </c>
      <c r="EY102" s="28">
        <f>SUMPRODUCT(INDEX(PortfolioRef[[SPY]:[PE]],MATCH(EY$1,PortfolioRef[Reference '#]),0),AssetMonthlyReturns[[#This Row],[SPY]:[PE]])</f>
        <v>3.3323181306853342E-2</v>
      </c>
      <c r="EZ102" s="27">
        <f>IF(ISNUMBER(EZ101),EZ101*(1+PortfolioFrontier[[#This Row],[P39 Return]]),1+PortfolioFrontier[[#This Row],[P39 Return]])</f>
        <v>1.8931573424029495</v>
      </c>
      <c r="FA102" s="27">
        <f>MAX(FA101,PortfolioFrontier[[#This Row],[P39 Growth]])</f>
        <v>1.8931573424029495</v>
      </c>
      <c r="FB102" s="27">
        <f>PortfolioFrontier[[#This Row],[P39 Growth]]/PortfolioFrontier[[#This Row],[P39 HWM]]-1</f>
        <v>0</v>
      </c>
      <c r="FC102" s="28">
        <f>SUMPRODUCT(INDEX(PortfolioRef[[SPY]:[PE]],MATCH(FC$1,PortfolioRef[Reference '#]),0),AssetMonthlyReturns[[#This Row],[SPY]:[PE]])</f>
        <v>2.8639884452495032E-2</v>
      </c>
      <c r="FD102" s="27">
        <f>IF(ISNUMBER(FD101),FD101*(1+PortfolioFrontier[[#This Row],[P40 Return]]),1+PortfolioFrontier[[#This Row],[P40 Return]])</f>
        <v>1.8775560915212288</v>
      </c>
      <c r="FE102" s="27">
        <f>MAX(FE101,PortfolioFrontier[[#This Row],[P40 Growth]])</f>
        <v>1.8775560915212288</v>
      </c>
      <c r="FF102" s="27">
        <f>PortfolioFrontier[[#This Row],[P40 Growth]]/PortfolioFrontier[[#This Row],[P40 HWM]]-1</f>
        <v>0</v>
      </c>
      <c r="FG102" s="28">
        <f>SUMPRODUCT(INDEX(PortfolioRef[[SPY]:[PE]],MATCH(FG$1,PortfolioRef[Reference '#]),0),AssetMonthlyReturns[[#This Row],[SPY]:[PE]])</f>
        <v>3.5280165473724354E-2</v>
      </c>
      <c r="FH102" s="27">
        <f>IF(ISNUMBER(FH101),FH101*(1+PortfolioFrontier[[#This Row],[P41 Return]]),1+PortfolioFrontier[[#This Row],[P41 Return]])</f>
        <v>1.8745910193374768</v>
      </c>
      <c r="FI102" s="27">
        <f>MAX(FI101,PortfolioFrontier[[#This Row],[P41 Growth]])</f>
        <v>1.8745910193374768</v>
      </c>
      <c r="FJ102" s="27">
        <f>PortfolioFrontier[[#This Row],[P41 Growth]]/PortfolioFrontier[[#This Row],[P41 HWM]]-1</f>
        <v>0</v>
      </c>
      <c r="FK102" s="28">
        <f>SUMPRODUCT(INDEX(PortfolioRef[[SPY]:[PE]],MATCH(FK$1,PortfolioRef[Reference '#]),0),AssetMonthlyReturns[[#This Row],[SPY]:[PE]])</f>
        <v>3.0596868619366044E-2</v>
      </c>
      <c r="FL102" s="27">
        <f>IF(ISNUMBER(FL101),FL101*(1+PortfolioFrontier[[#This Row],[P42 Return]]),1+PortfolioFrontier[[#This Row],[P42 Return]])</f>
        <v>1.8602817904921118</v>
      </c>
      <c r="FM102" s="27">
        <f>MAX(FM101,PortfolioFrontier[[#This Row],[P42 Growth]])</f>
        <v>1.8602817904921118</v>
      </c>
      <c r="FN102" s="27">
        <f>PortfolioFrontier[[#This Row],[P42 Growth]]/PortfolioFrontier[[#This Row],[P42 HWM]]-1</f>
        <v>0</v>
      </c>
      <c r="FO102" s="28">
        <f>SUMPRODUCT(INDEX(PortfolioRef[[SPY]:[PE]],MATCH(FO$1,PortfolioRef[Reference '#]),0),AssetMonthlyReturns[[#This Row],[SPY]:[PE]])</f>
        <v>2.5913571765007724E-2</v>
      </c>
      <c r="FP102" s="27">
        <f>IF(ISNUMBER(FP101),FP101*(1+PortfolioFrontier[[#This Row],[P43 Return]]),1+PortfolioFrontier[[#This Row],[P43 Return]])</f>
        <v>1.844586135674787</v>
      </c>
      <c r="FQ102" s="27">
        <f>MAX(FQ101,PortfolioFrontier[[#This Row],[P43 Growth]])</f>
        <v>1.844586135674787</v>
      </c>
      <c r="FR102" s="27">
        <f>PortfolioFrontier[[#This Row],[P43 Growth]]/PortfolioFrontier[[#This Row],[P43 HWM]]-1</f>
        <v>0</v>
      </c>
      <c r="FS102" s="28">
        <f>SUMPRODUCT(INDEX(PortfolioRef[[SPY]:[PE]],MATCH(FS$1,PortfolioRef[Reference '#]),0),AssetMonthlyReturns[[#This Row],[SPY]:[PE]])</f>
        <v>3.4795763982053418E-2</v>
      </c>
      <c r="FT102" s="27">
        <f>IF(ISNUMBER(FT101),FT101*(1+PortfolioFrontier[[#This Row],[P44 Return]]),1+PortfolioFrontier[[#This Row],[P44 Return]])</f>
        <v>1.9455387915049931</v>
      </c>
      <c r="FU102" s="27">
        <f>MAX(FU101,PortfolioFrontier[[#This Row],[P44 Growth]])</f>
        <v>1.9455387915049931</v>
      </c>
      <c r="FV102" s="27">
        <f>PortfolioFrontier[[#This Row],[P44 Growth]]/PortfolioFrontier[[#This Row],[P44 HWM]]-1</f>
        <v>0</v>
      </c>
      <c r="FW102" s="28">
        <f>SUMPRODUCT(INDEX(PortfolioRef[[SPY]:[PE]],MATCH(FW$1,PortfolioRef[Reference '#]),0),AssetMonthlyReturns[[#This Row],[SPY]:[PE]])</f>
        <v>3.0112467127695108E-2</v>
      </c>
      <c r="FX102" s="27">
        <f>IF(ISNUMBER(FX101),FX101*(1+PortfolioFrontier[[#This Row],[P45 Return]]),1+PortfolioFrontier[[#This Row],[P45 Return]])</f>
        <v>1.9295247941444382</v>
      </c>
      <c r="FY102" s="27">
        <f>MAX(FY101,PortfolioFrontier[[#This Row],[P45 Growth]])</f>
        <v>1.9295247941444382</v>
      </c>
      <c r="FZ102" s="27">
        <f>PortfolioFrontier[[#This Row],[P45 Growth]]/PortfolioFrontier[[#This Row],[P45 HWM]]-1</f>
        <v>0</v>
      </c>
      <c r="GA102" s="28">
        <f>SUMPRODUCT(INDEX(PortfolioRef[[SPY]:[PE]],MATCH(GA$1,PortfolioRef[Reference '#]),0),AssetMonthlyReturns[[#This Row],[SPY]:[PE]])</f>
        <v>3.6752748148924423E-2</v>
      </c>
      <c r="GB102" s="27">
        <f>IF(ISNUMBER(GB101),GB101*(1+PortfolioFrontier[[#This Row],[P46 Return]]),1+PortfolioFrontier[[#This Row],[P46 Return]])</f>
        <v>1.9270048657780607</v>
      </c>
      <c r="GC102" s="27">
        <f>MAX(GC101,PortfolioFrontier[[#This Row],[P46 Growth]])</f>
        <v>1.9270048657780607</v>
      </c>
      <c r="GD102" s="27">
        <f>PortfolioFrontier[[#This Row],[P46 Growth]]/PortfolioFrontier[[#This Row],[P46 HWM]]-1</f>
        <v>0</v>
      </c>
      <c r="GE102" s="28">
        <f>SUMPRODUCT(INDEX(PortfolioRef[[SPY]:[PE]],MATCH(GE$1,PortfolioRef[Reference '#]),0),AssetMonthlyReturns[[#This Row],[SPY]:[PE]])</f>
        <v>3.2069451294566113E-2</v>
      </c>
      <c r="GF102" s="27">
        <f>IF(ISNUMBER(GF101),GF101*(1+PortfolioFrontier[[#This Row],[P47 Return]]),1+PortfolioFrontier[[#This Row],[P47 Return]])</f>
        <v>1.91231379080959</v>
      </c>
      <c r="GG102" s="27">
        <f>MAX(GG101,PortfolioFrontier[[#This Row],[P47 Growth]])</f>
        <v>1.91231379080959</v>
      </c>
      <c r="GH102" s="27">
        <f>PortfolioFrontier[[#This Row],[P47 Growth]]/PortfolioFrontier[[#This Row],[P47 HWM]]-1</f>
        <v>0</v>
      </c>
      <c r="GI102" s="28">
        <f>SUMPRODUCT(INDEX(PortfolioRef[[SPY]:[PE]],MATCH(GI$1,PortfolioRef[Reference '#]),0),AssetMonthlyReturns[[#This Row],[SPY]:[PE]])</f>
        <v>2.73861544402078E-2</v>
      </c>
      <c r="GJ102" s="27">
        <f>IF(ISNUMBER(GJ101),GJ101*(1+PortfolioFrontier[[#This Row],[P48 Return]]),1+PortfolioFrontier[[#This Row],[P48 Return]])</f>
        <v>1.8961981391889542</v>
      </c>
      <c r="GK102" s="27">
        <f>MAX(GK101,PortfolioFrontier[[#This Row],[P48 Growth]])</f>
        <v>1.8961981391889542</v>
      </c>
      <c r="GL102" s="27">
        <f>PortfolioFrontier[[#This Row],[P48 Growth]]/PortfolioFrontier[[#This Row],[P48 HWM]]-1</f>
        <v>0</v>
      </c>
      <c r="GM102" s="28">
        <f>SUMPRODUCT(INDEX(PortfolioRef[[SPY]:[PE]],MATCH(GM$1,PortfolioRef[Reference '#]),0),AssetMonthlyReturns[[#This Row],[SPY]:[PE]])</f>
        <v>3.8709732315795442E-2</v>
      </c>
      <c r="GN102" s="27">
        <f>IF(ISNUMBER(GN101),GN101*(1+PortfolioFrontier[[#This Row],[P49 Return]]),1+PortfolioFrontier[[#This Row],[P49 Return]])</f>
        <v>1.9070428661411023</v>
      </c>
      <c r="GO102" s="27">
        <f>MAX(GO101,PortfolioFrontier[[#This Row],[P49 Growth]])</f>
        <v>1.9070428661411023</v>
      </c>
      <c r="GP102" s="27">
        <f>PortfolioFrontier[[#This Row],[P49 Growth]]/PortfolioFrontier[[#This Row],[P49 HWM]]-1</f>
        <v>0</v>
      </c>
      <c r="GQ102" s="28">
        <f>SUMPRODUCT(INDEX(PortfolioRef[[SPY]:[PE]],MATCH(GQ$1,PortfolioRef[Reference '#]),0),AssetMonthlyReturns[[#This Row],[SPY]:[PE]])</f>
        <v>3.4026435461437125E-2</v>
      </c>
      <c r="GR102" s="27">
        <f>IF(ISNUMBER(GR101),GR101*(1+PortfolioFrontier[[#This Row],[P50 Return]]),1+PortfolioFrontier[[#This Row],[P50 Return]])</f>
        <v>1.8936680956418823</v>
      </c>
      <c r="GS102" s="27">
        <f>MAX(GS101,PortfolioFrontier[[#This Row],[P50 Growth]])</f>
        <v>1.8936680956418823</v>
      </c>
      <c r="GT102" s="27">
        <f>PortfolioFrontier[[#This Row],[P50 Growth]]/PortfolioFrontier[[#This Row],[P50 HWM]]-1</f>
        <v>0</v>
      </c>
      <c r="GU102" s="28">
        <f>SUMPRODUCT(INDEX(PortfolioRef[[SPY]:[PE]],MATCH(GU$1,PortfolioRef[Reference '#]),0),AssetMonthlyReturns[[#This Row],[SPY]:[PE]])</f>
        <v>2.9343138607078812E-2</v>
      </c>
      <c r="GV102" s="27">
        <f>IF(ISNUMBER(GV101),GV101*(1+PortfolioFrontier[[#This Row],[P51 Return]]),1+PortfolioFrontier[[#This Row],[P51 Return]])</f>
        <v>1.8788596185601882</v>
      </c>
      <c r="GW102" s="27">
        <f>MAX(GW101,PortfolioFrontier[[#This Row],[P51 Growth]])</f>
        <v>1.8788596185601882</v>
      </c>
      <c r="GX102" s="27">
        <f>PortfolioFrontier[[#This Row],[P51 Growth]]/PortfolioFrontier[[#This Row],[P51 HWM]]-1</f>
        <v>0</v>
      </c>
      <c r="GY102" s="28">
        <f>SUMPRODUCT(INDEX(PortfolioRef[[SPY]:[PE]],MATCH(GY$1,PortfolioRef[Reference '#]),0),AssetMonthlyReturns[[#This Row],[SPY]:[PE]])</f>
        <v>3.82253308241245E-2</v>
      </c>
      <c r="GZ102" s="27">
        <f>IF(ISNUMBER(GZ101),GZ101*(1+PortfolioFrontier[[#This Row],[P52 Return]]),1+PortfolioFrontier[[#This Row],[P52 Return]])</f>
        <v>1.9802950364729159</v>
      </c>
      <c r="HA102" s="27">
        <f>MAX(HA101,PortfolioFrontier[[#This Row],[P52 Growth]])</f>
        <v>1.9802950364729159</v>
      </c>
      <c r="HB102" s="27">
        <f>PortfolioFrontier[[#This Row],[P52 Growth]]/PortfolioFrontier[[#This Row],[P52 HWM]]-1</f>
        <v>0</v>
      </c>
      <c r="HC102" s="28">
        <f>SUMPRODUCT(INDEX(PortfolioRef[[SPY]:[PE]],MATCH(HC$1,PortfolioRef[Reference '#]),0),AssetMonthlyReturns[[#This Row],[SPY]:[PE]])</f>
        <v>3.354203396976619E-2</v>
      </c>
      <c r="HD102" s="27">
        <f>IF(ISNUMBER(HD101),HD101*(1+PortfolioFrontier[[#This Row],[P53 Return]]),1+PortfolioFrontier[[#This Row],[P53 Return]])</f>
        <v>1.9652162591796956</v>
      </c>
      <c r="HE102" s="27">
        <f>MAX(HE101,PortfolioFrontier[[#This Row],[P53 Growth]])</f>
        <v>1.9652162591796956</v>
      </c>
      <c r="HF102" s="27">
        <f>PortfolioFrontier[[#This Row],[P53 Growth]]/PortfolioFrontier[[#This Row],[P53 HWM]]-1</f>
        <v>0</v>
      </c>
      <c r="HG102" s="28">
        <f>SUMPRODUCT(INDEX(PortfolioRef[[SPY]:[PE]],MATCH(HG$1,PortfolioRef[Reference '#]),0),AssetMonthlyReturns[[#This Row],[SPY]:[PE]])</f>
        <v>2.8858737115407877E-2</v>
      </c>
      <c r="HH102" s="27">
        <f>IF(ISNUMBER(HH101),HH101*(1+PortfolioFrontier[[#This Row],[P54 Return]]),1+PortfolioFrontier[[#This Row],[P54 Return]])</f>
        <v>1.948674124355003</v>
      </c>
      <c r="HI102" s="27">
        <f>MAX(HI101,PortfolioFrontier[[#This Row],[P54 Growth]])</f>
        <v>1.948674124355003</v>
      </c>
      <c r="HJ102" s="27">
        <f>PortfolioFrontier[[#This Row],[P54 Growth]]/PortfolioFrontier[[#This Row],[P54 HWM]]-1</f>
        <v>0</v>
      </c>
      <c r="HK102" s="28">
        <f>SUMPRODUCT(INDEX(PortfolioRef[[SPY]:[PE]],MATCH(HK$1,PortfolioRef[Reference '#]),0),AssetMonthlyReturns[[#This Row],[SPY]:[PE]])</f>
        <v>4.0182314990995512E-2</v>
      </c>
      <c r="HL102" s="27">
        <f>IF(ISNUMBER(HL101),HL101*(1+PortfolioFrontier[[#This Row],[P55 Return]]),1+PortfolioFrontier[[#This Row],[P55 Return]])</f>
        <v>1.9603366492388292</v>
      </c>
      <c r="HM102" s="27">
        <f>MAX(HM101,PortfolioFrontier[[#This Row],[P55 Growth]])</f>
        <v>1.9603366492388292</v>
      </c>
      <c r="HN102" s="27">
        <f>PortfolioFrontier[[#This Row],[P55 Growth]]/PortfolioFrontier[[#This Row],[P55 HWM]]-1</f>
        <v>0</v>
      </c>
      <c r="HO102" s="28">
        <f>SUMPRODUCT(INDEX(PortfolioRef[[SPY]:[PE]],MATCH(HO$1,PortfolioRef[Reference '#]),0),AssetMonthlyReturns[[#This Row],[SPY]:[PE]])</f>
        <v>3.5499018136637202E-2</v>
      </c>
      <c r="HP102" s="27">
        <f>IF(ISNUMBER(HP101),HP101*(1+PortfolioFrontier[[#This Row],[P56 Return]]),1+PortfolioFrontier[[#This Row],[P56 Return]])</f>
        <v>1.9466059708469663</v>
      </c>
      <c r="HQ102" s="27">
        <f>MAX(HQ101,PortfolioFrontier[[#This Row],[P56 Growth]])</f>
        <v>1.9466059708469663</v>
      </c>
      <c r="HR102" s="27">
        <f>PortfolioFrontier[[#This Row],[P56 Growth]]/PortfolioFrontier[[#This Row],[P56 HWM]]-1</f>
        <v>0</v>
      </c>
      <c r="HS102" s="28">
        <f>SUMPRODUCT(INDEX(PortfolioRef[[SPY]:[PE]],MATCH(HS$1,PortfolioRef[Reference '#]),0),AssetMonthlyReturns[[#This Row],[SPY]:[PE]])</f>
        <v>3.0815721282278882E-2</v>
      </c>
      <c r="HT102" s="27">
        <f>IF(ISNUMBER(HT101),HT101*(1+PortfolioFrontier[[#This Row],[P57 Return]]),1+PortfolioFrontier[[#This Row],[P57 Return]])</f>
        <v>1.9314021791064682</v>
      </c>
      <c r="HU102" s="27">
        <f>MAX(HU101,PortfolioFrontier[[#This Row],[P57 Growth]])</f>
        <v>1.9314021791064682</v>
      </c>
      <c r="HV102" s="27">
        <f>PortfolioFrontier[[#This Row],[P57 Growth]]/PortfolioFrontier[[#This Row],[P57 HWM]]-1</f>
        <v>0</v>
      </c>
      <c r="HW102" s="28">
        <f>SUMPRODUCT(INDEX(PortfolioRef[[SPY]:[PE]],MATCH(HW$1,PortfolioRef[Reference '#]),0),AssetMonthlyReturns[[#This Row],[SPY]:[PE]])</f>
        <v>4.2139299157866524E-2</v>
      </c>
      <c r="HX102" s="27">
        <f>IF(ISNUMBER(HX101),HX101*(1+PortfolioFrontier[[#This Row],[P58 Return]]),1+PortfolioFrontier[[#This Row],[P58 Return]])</f>
        <v>1.9389430847163986</v>
      </c>
      <c r="HY102" s="27">
        <f>MAX(HY101,PortfolioFrontier[[#This Row],[P58 Growth]])</f>
        <v>1.9389430847163986</v>
      </c>
      <c r="HZ102" s="27">
        <f>PortfolioFrontier[[#This Row],[P58 Growth]]/PortfolioFrontier[[#This Row],[P58 HWM]]-1</f>
        <v>0</v>
      </c>
      <c r="IA102" s="28">
        <f>SUMPRODUCT(INDEX(PortfolioRef[[SPY]:[PE]],MATCH(IA$1,PortfolioRef[Reference '#]),0),AssetMonthlyReturns[[#This Row],[SPY]:[PE]])</f>
        <v>3.7456002303508214E-2</v>
      </c>
      <c r="IB102" s="27">
        <f>IF(ISNUMBER(IB101),IB101*(1+PortfolioFrontier[[#This Row],[P59 Return]]),1+PortfolioFrontier[[#This Row],[P59 Return]])</f>
        <v>1.9265515636968629</v>
      </c>
      <c r="IC102" s="27">
        <f>MAX(IC101,PortfolioFrontier[[#This Row],[P59 Growth]])</f>
        <v>1.9265515636968629</v>
      </c>
      <c r="ID102" s="27">
        <f>PortfolioFrontier[[#This Row],[P59 Growth]]/PortfolioFrontier[[#This Row],[P59 HWM]]-1</f>
        <v>0</v>
      </c>
      <c r="IE102" s="28">
        <f>SUMPRODUCT(INDEX(PortfolioRef[[SPY]:[PE]],MATCH(IE$1,PortfolioRef[Reference '#]),0),AssetMonthlyReturns[[#This Row],[SPY]:[PE]])</f>
        <v>3.2772705449149897E-2</v>
      </c>
      <c r="IF102" s="27">
        <f>IF(ISNUMBER(IF101),IF101*(1+PortfolioFrontier[[#This Row],[P60 Return]]),1+PortfolioFrontier[[#This Row],[P60 Return]])</f>
        <v>1.9126798244855487</v>
      </c>
      <c r="IG102" s="27">
        <f>MAX(IG101,PortfolioFrontier[[#This Row],[P60 Growth]])</f>
        <v>1.9126798244855487</v>
      </c>
      <c r="IH102" s="27">
        <f>PortfolioFrontier[[#This Row],[P60 Growth]]/PortfolioFrontier[[#This Row],[P60 HWM]]-1</f>
        <v>0</v>
      </c>
      <c r="II102" s="28">
        <f>SUMPRODUCT(INDEX(PortfolioRef[[SPY]:[PE]],MATCH(II$1,PortfolioRef[Reference '#]),0),AssetMonthlyReturns[[#This Row],[SPY]:[PE]])</f>
        <v>2.8863334264387711E-2</v>
      </c>
      <c r="IJ102" s="27">
        <f>IF(ISNUMBER(IJ101),IJ101*(1+PortfolioFrontier[[#This Row],[P61 Return]]),1+PortfolioFrontier[[#This Row],[P61 Return]])</f>
        <v>1.7162153296536031</v>
      </c>
      <c r="IK102" s="27">
        <f>MAX(IK101,PortfolioFrontier[[#This Row],[P61 Growth]])</f>
        <v>1.7162153296536031</v>
      </c>
      <c r="IL102" s="27">
        <f>PortfolioFrontier[[#This Row],[P61 Growth]]/PortfolioFrontier[[#This Row],[P61 HWM]]-1</f>
        <v>0</v>
      </c>
      <c r="IM102" s="28">
        <f>SUMPRODUCT(INDEX(PortfolioRef[[SPY]:[PE]],MATCH(IM$1,PortfolioRef[Reference '#]),0),AssetMonthlyReturns[[#This Row],[SPY]:[PE]])</f>
        <v>3.033591693958778E-2</v>
      </c>
      <c r="IN102" s="27">
        <f>IF(ISNUMBER(IN101),IN101*(1+PortfolioFrontier[[#This Row],[P62 Return]]),1+PortfolioFrontier[[#This Row],[P62 Return]])</f>
        <v>1.7642636856739511</v>
      </c>
      <c r="IO102" s="27">
        <f>MAX(IO101,PortfolioFrontier[[#This Row],[P62 Growth]])</f>
        <v>1.7642636856739511</v>
      </c>
      <c r="IP102" s="27">
        <f>PortfolioFrontier[[#This Row],[P62 Growth]]/PortfolioFrontier[[#This Row],[P62 HWM]]-1</f>
        <v>0</v>
      </c>
      <c r="IQ102" s="28">
        <f>SUMPRODUCT(INDEX(PortfolioRef[[SPY]:[PE]],MATCH(IQ$1,PortfolioRef[Reference '#]),0),AssetMonthlyReturns[[#This Row],[SPY]:[PE]])</f>
        <v>3.2292901106458792E-2</v>
      </c>
      <c r="IR102" s="27">
        <f>IF(ISNUMBER(IR101),IR101*(1+PortfolioFrontier[[#This Row],[P63 Return]]),1+PortfolioFrontier[[#This Row],[P63 Return]])</f>
        <v>1.748600448465556</v>
      </c>
      <c r="IS102" s="27">
        <f>MAX(IS101,PortfolioFrontier[[#This Row],[P63 Growth]])</f>
        <v>1.748600448465556</v>
      </c>
      <c r="IT102" s="27">
        <f>PortfolioFrontier[[#This Row],[P63 Growth]]/PortfolioFrontier[[#This Row],[P63 HWM]]-1</f>
        <v>0</v>
      </c>
      <c r="IU102" s="28">
        <f>SUMPRODUCT(INDEX(PortfolioRef[[SPY]:[PE]],MATCH(IU$1,PortfolioRef[Reference '#]),0),AssetMonthlyReturns[[#This Row],[SPY]:[PE]])</f>
        <v>2.7609604252100482E-2</v>
      </c>
      <c r="IV102" s="27">
        <f>IF(ISNUMBER(IV101),IV101*(1+PortfolioFrontier[[#This Row],[P64 Return]]),1+PortfolioFrontier[[#This Row],[P64 Return]])</f>
        <v>1.7335151154157942</v>
      </c>
      <c r="IW102" s="27">
        <f>MAX(IW101,PortfolioFrontier[[#This Row],[P64 Growth]])</f>
        <v>1.7335151154157942</v>
      </c>
      <c r="IX102" s="27">
        <f>PortfolioFrontier[[#This Row],[P64 Growth]]/PortfolioFrontier[[#This Row],[P64 HWM]]-1</f>
        <v>0</v>
      </c>
      <c r="IY102" s="28">
        <f>SUMPRODUCT(INDEX(PortfolioRef[[SPY]:[PE]],MATCH(IY$1,PortfolioRef[Reference '#]),0),AssetMonthlyReturns[[#This Row],[SPY]:[PE]])</f>
        <v>3.1808499614787857E-2</v>
      </c>
      <c r="IZ102" s="27">
        <f>IF(ISNUMBER(IZ101),IZ101*(1+PortfolioFrontier[[#This Row],[P65 Return]]),1+PortfolioFrontier[[#This Row],[P65 Return]])</f>
        <v>1.8131157942021778</v>
      </c>
      <c r="JA102" s="27">
        <f>MAX(JA101,PortfolioFrontier[[#This Row],[P65 Growth]])</f>
        <v>1.8131157942021778</v>
      </c>
      <c r="JB102" s="27">
        <f>PortfolioFrontier[[#This Row],[P65 Growth]]/PortfolioFrontier[[#This Row],[P65 HWM]]-1</f>
        <v>0</v>
      </c>
      <c r="JC102" s="28">
        <f>SUMPRODUCT(INDEX(PortfolioRef[[SPY]:[PE]],MATCH(JC$1,PortfolioRef[Reference '#]),0),AssetMonthlyReturns[[#This Row],[SPY]:[PE]])</f>
        <v>3.3765483781658862E-2</v>
      </c>
      <c r="JD102" s="27">
        <f>IF(ISNUMBER(JD101),JD101*(1+PortfolioFrontier[[#This Row],[P66 Return]]),1+PortfolioFrontier[[#This Row],[P66 Return]])</f>
        <v>1.7975288244314291</v>
      </c>
      <c r="JE102" s="27">
        <f>MAX(JE101,PortfolioFrontier[[#This Row],[P66 Growth]])</f>
        <v>1.7975288244314291</v>
      </c>
      <c r="JF102" s="27">
        <f>PortfolioFrontier[[#This Row],[P66 Growth]]/PortfolioFrontier[[#This Row],[P66 HWM]]-1</f>
        <v>0</v>
      </c>
      <c r="JG102" s="28">
        <f>SUMPRODUCT(INDEX(PortfolioRef[[SPY]:[PE]],MATCH(JG$1,PortfolioRef[Reference '#]),0),AssetMonthlyReturns[[#This Row],[SPY]:[PE]])</f>
        <v>2.9082186927300552E-2</v>
      </c>
      <c r="JH102" s="27">
        <f>IF(ISNUMBER(JH101),JH101*(1+PortfolioFrontier[[#This Row],[P67 Return]]),1+PortfolioFrontier[[#This Row],[P67 Return]])</f>
        <v>1.7820393895223874</v>
      </c>
      <c r="JI102" s="27">
        <f>MAX(JI101,PortfolioFrontier[[#This Row],[P67 Growth]])</f>
        <v>1.7820393895223874</v>
      </c>
      <c r="JJ102" s="27">
        <f>PortfolioFrontier[[#This Row],[P67 Growth]]/PortfolioFrontier[[#This Row],[P67 HWM]]-1</f>
        <v>0</v>
      </c>
      <c r="JK102" s="28">
        <f>SUMPRODUCT(INDEX(PortfolioRef[[SPY]:[PE]],MATCH(JK$1,PortfolioRef[Reference '#]),0),AssetMonthlyReturns[[#This Row],[SPY]:[PE]])</f>
        <v>3.572246794852988E-2</v>
      </c>
      <c r="JL102" s="27">
        <f>IF(ISNUMBER(JL101),JL101*(1+PortfolioFrontier[[#This Row],[P68 Return]]),1+PortfolioFrontier[[#This Row],[P68 Return]])</f>
        <v>1.7805835143678359</v>
      </c>
      <c r="JM102" s="27">
        <f>MAX(JM101,PortfolioFrontier[[#This Row],[P68 Growth]])</f>
        <v>1.7805835143678359</v>
      </c>
      <c r="JN102" s="27">
        <f>PortfolioFrontier[[#This Row],[P68 Growth]]/PortfolioFrontier[[#This Row],[P68 HWM]]-1</f>
        <v>0</v>
      </c>
      <c r="JO102" s="28">
        <f>SUMPRODUCT(INDEX(PortfolioRef[[SPY]:[PE]],MATCH(JO$1,PortfolioRef[Reference '#]),0),AssetMonthlyReturns[[#This Row],[SPY]:[PE]])</f>
        <v>3.1039171094171564E-2</v>
      </c>
      <c r="JP102" s="27">
        <f>IF(ISNUMBER(JP101),JP101*(1+PortfolioFrontier[[#This Row],[P69 Return]]),1+PortfolioFrontier[[#This Row],[P69 Return]])</f>
        <v>1.7663192403544854</v>
      </c>
      <c r="JQ102" s="27">
        <f>MAX(JQ101,PortfolioFrontier[[#This Row],[P69 Growth]])</f>
        <v>1.7663192403544854</v>
      </c>
      <c r="JR102" s="27">
        <f>PortfolioFrontier[[#This Row],[P69 Growth]]/PortfolioFrontier[[#This Row],[P69 HWM]]-1</f>
        <v>0</v>
      </c>
      <c r="JS102" s="28">
        <f>SUMPRODUCT(INDEX(PortfolioRef[[SPY]:[PE]],MATCH(JS$1,PortfolioRef[Reference '#]),0),AssetMonthlyReturns[[#This Row],[SPY]:[PE]])</f>
        <v>2.635587423981325E-2</v>
      </c>
      <c r="JT102" s="27">
        <f>IF(ISNUMBER(JT101),JT101*(1+PortfolioFrontier[[#This Row],[P70 Return]]),1+PortfolioFrontier[[#This Row],[P70 Return]])</f>
        <v>1.7507516688277258</v>
      </c>
      <c r="JU102" s="27">
        <f>MAX(JU101,PortfolioFrontier[[#This Row],[P70 Growth]])</f>
        <v>1.7507516688277258</v>
      </c>
      <c r="JV102" s="27">
        <f>PortfolioFrontier[[#This Row],[P70 Growth]]/PortfolioFrontier[[#This Row],[P70 HWM]]-1</f>
        <v>0</v>
      </c>
      <c r="JW102" s="28">
        <f>SUMPRODUCT(INDEX(PortfolioRef[[SPY]:[PE]],MATCH(JW$1,PortfolioRef[Reference '#]),0),AssetMonthlyReturns[[#This Row],[SPY]:[PE]])</f>
        <v>3.5238066456858938E-2</v>
      </c>
      <c r="JX102" s="27">
        <f>IF(ISNUMBER(JX101),JX101*(1+PortfolioFrontier[[#This Row],[P71 Return]]),1+PortfolioFrontier[[#This Row],[P71 Return]])</f>
        <v>1.8472751884166934</v>
      </c>
      <c r="JY102" s="27">
        <f>MAX(JY101,PortfolioFrontier[[#This Row],[P71 Growth]])</f>
        <v>1.8472751884166934</v>
      </c>
      <c r="JZ102" s="27">
        <f>PortfolioFrontier[[#This Row],[P71 Growth]]/PortfolioFrontier[[#This Row],[P71 HWM]]-1</f>
        <v>0</v>
      </c>
      <c r="KA102" s="28">
        <f>SUMPRODUCT(INDEX(PortfolioRef[[SPY]:[PE]],MATCH(KA$1,PortfolioRef[Reference '#]),0),AssetMonthlyReturns[[#This Row],[SPY]:[PE]])</f>
        <v>3.0554769602500628E-2</v>
      </c>
      <c r="KB102" s="27">
        <f>IF(ISNUMBER(KB101),KB101*(1+PortfolioFrontier[[#This Row],[P72 Return]]),1+PortfolioFrontier[[#This Row],[P72 Return]])</f>
        <v>1.8313754059351077</v>
      </c>
      <c r="KC102" s="27">
        <f>MAX(KC101,PortfolioFrontier[[#This Row],[P72 Growth]])</f>
        <v>1.8313754059351077</v>
      </c>
      <c r="KD102" s="27">
        <f>PortfolioFrontier[[#This Row],[P72 Growth]]/PortfolioFrontier[[#This Row],[P72 HWM]]-1</f>
        <v>0</v>
      </c>
      <c r="KE102" s="28">
        <f>SUMPRODUCT(INDEX(PortfolioRef[[SPY]:[PE]],MATCH(KE$1,PortfolioRef[Reference '#]),0),AssetMonthlyReturns[[#This Row],[SPY]:[PE]])</f>
        <v>3.7195050623729957E-2</v>
      </c>
      <c r="KF102" s="27">
        <f>IF(ISNUMBER(KF101),KF101*(1+PortfolioFrontier[[#This Row],[P73 Return]]),1+PortfolioFrontier[[#This Row],[P73 Return]])</f>
        <v>1.8303802862722707</v>
      </c>
      <c r="KG102" s="27">
        <f>MAX(KG101,PortfolioFrontier[[#This Row],[P73 Growth]])</f>
        <v>1.8303802862722707</v>
      </c>
      <c r="KH102" s="27">
        <f>PortfolioFrontier[[#This Row],[P73 Growth]]/PortfolioFrontier[[#This Row],[P73 HWM]]-1</f>
        <v>0</v>
      </c>
      <c r="KI102" s="28">
        <f>SUMPRODUCT(INDEX(PortfolioRef[[SPY]:[PE]],MATCH(KI$1,PortfolioRef[Reference '#]),0),AssetMonthlyReturns[[#This Row],[SPY]:[PE]])</f>
        <v>3.251175376937164E-2</v>
      </c>
      <c r="KJ102" s="27">
        <f>IF(ISNUMBER(KJ101),KJ101*(1+PortfolioFrontier[[#This Row],[P74 Return]]),1+PortfolioFrontier[[#This Row],[P74 Return]])</f>
        <v>1.8157347782221376</v>
      </c>
      <c r="KK102" s="27">
        <f>MAX(KK101,PortfolioFrontier[[#This Row],[P74 Growth]])</f>
        <v>1.8157347782221376</v>
      </c>
      <c r="KL102" s="27">
        <f>PortfolioFrontier[[#This Row],[P74 Growth]]/PortfolioFrontier[[#This Row],[P74 HWM]]-1</f>
        <v>0</v>
      </c>
      <c r="KM102" s="28">
        <f>SUMPRODUCT(INDEX(PortfolioRef[[SPY]:[PE]],MATCH(KM$1,PortfolioRef[Reference '#]),0),AssetMonthlyReturns[[#This Row],[SPY]:[PE]])</f>
        <v>2.7828456915013327E-2</v>
      </c>
      <c r="KN102" s="27">
        <f>IF(ISNUMBER(KN101),KN101*(1+PortfolioFrontier[[#This Row],[P75 Return]]),1+PortfolioFrontier[[#This Row],[P75 Return]])</f>
        <v>1.7997500855156217</v>
      </c>
      <c r="KO102" s="27">
        <f>MAX(KO101,PortfolioFrontier[[#This Row],[P75 Growth]])</f>
        <v>1.7997500855156217</v>
      </c>
      <c r="KP102" s="27">
        <f>PortfolioFrontier[[#This Row],[P75 Growth]]/PortfolioFrontier[[#This Row],[P75 HWM]]-1</f>
        <v>0</v>
      </c>
      <c r="KQ102" s="28">
        <f>SUMPRODUCT(INDEX(PortfolioRef[[SPY]:[PE]],MATCH(KQ$1,PortfolioRef[Reference '#]),0),AssetMonthlyReturns[[#This Row],[SPY]:[PE]])</f>
        <v>3.9152034790600969E-2</v>
      </c>
      <c r="KR102" s="27">
        <f>IF(ISNUMBER(KR101),KR101*(1+PortfolioFrontier[[#This Row],[P76 Return]]),1+PortfolioFrontier[[#This Row],[P76 Return]])</f>
        <v>1.8121169785178397</v>
      </c>
      <c r="KS102" s="27">
        <f>MAX(KS101,PortfolioFrontier[[#This Row],[P76 Growth]])</f>
        <v>1.8121169785178397</v>
      </c>
      <c r="KT102" s="27">
        <f>PortfolioFrontier[[#This Row],[P76 Growth]]/PortfolioFrontier[[#This Row],[P76 HWM]]-1</f>
        <v>0</v>
      </c>
      <c r="KU102" s="28">
        <f>SUMPRODUCT(INDEX(PortfolioRef[[SPY]:[PE]],MATCH(KU$1,PortfolioRef[Reference '#]),0),AssetMonthlyReturns[[#This Row],[SPY]:[PE]])</f>
        <v>3.4468737936242652E-2</v>
      </c>
      <c r="KV102" s="27">
        <f>IF(ISNUMBER(KV101),KV101*(1+PortfolioFrontier[[#This Row],[P77 Return]]),1+PortfolioFrontier[[#This Row],[P77 Return]])</f>
        <v>1.7987208172328235</v>
      </c>
      <c r="KW102" s="27">
        <f>MAX(KW101,PortfolioFrontier[[#This Row],[P77 Growth]])</f>
        <v>1.7987208172328235</v>
      </c>
      <c r="KX102" s="27">
        <f>PortfolioFrontier[[#This Row],[P77 Growth]]/PortfolioFrontier[[#This Row],[P77 HWM]]-1</f>
        <v>0</v>
      </c>
      <c r="KY102" s="28">
        <f>SUMPRODUCT(INDEX(PortfolioRef[[SPY]:[PE]],MATCH(KY$1,PortfolioRef[Reference '#]),0),AssetMonthlyReturns[[#This Row],[SPY]:[PE]])</f>
        <v>2.9785441081884339E-2</v>
      </c>
      <c r="KZ102" s="27">
        <f>IF(ISNUMBER(KZ101),KZ101*(1+PortfolioFrontier[[#This Row],[P78 Return]]),1+PortfolioFrontier[[#This Row],[P78 Return]])</f>
        <v>1.7839755128263761</v>
      </c>
      <c r="LA102" s="27">
        <f>MAX(LA101,PortfolioFrontier[[#This Row],[P78 Growth]])</f>
        <v>1.7839755128263761</v>
      </c>
      <c r="LB102" s="27">
        <f>PortfolioFrontier[[#This Row],[P78 Growth]]/PortfolioFrontier[[#This Row],[P78 HWM]]-1</f>
        <v>0</v>
      </c>
      <c r="LC102" s="28">
        <f>SUMPRODUCT(INDEX(PortfolioRef[[SPY]:[PE]],MATCH(LC$1,PortfolioRef[Reference '#]),0),AssetMonthlyReturns[[#This Row],[SPY]:[PE]])</f>
        <v>3.8667633298930019E-2</v>
      </c>
      <c r="LD102" s="27">
        <f>IF(ISNUMBER(LD101),LD101*(1+PortfolioFrontier[[#This Row],[P79 Return]]),1+PortfolioFrontier[[#This Row],[P79 Return]])</f>
        <v>1.8810090810159896</v>
      </c>
      <c r="LE102" s="27">
        <f>MAX(LE101,PortfolioFrontier[[#This Row],[P79 Growth]])</f>
        <v>1.8810090810159896</v>
      </c>
      <c r="LF102" s="27">
        <f>PortfolioFrontier[[#This Row],[P79 Growth]]/PortfolioFrontier[[#This Row],[P79 HWM]]-1</f>
        <v>0</v>
      </c>
      <c r="LG102" s="28">
        <f>SUMPRODUCT(INDEX(PortfolioRef[[SPY]:[PE]],MATCH(LG$1,PortfolioRef[Reference '#]),0),AssetMonthlyReturns[[#This Row],[SPY]:[PE]])</f>
        <v>3.398433644457171E-2</v>
      </c>
      <c r="LH102" s="27">
        <f>IF(ISNUMBER(LH101),LH101*(1+PortfolioFrontier[[#This Row],[P80 Return]]),1+PortfolioFrontier[[#This Row],[P80 Return]])</f>
        <v>1.8659764766336753</v>
      </c>
      <c r="LI102" s="27">
        <f>MAX(LI101,PortfolioFrontier[[#This Row],[P80 Growth]])</f>
        <v>1.8659764766336753</v>
      </c>
      <c r="LJ102" s="27">
        <f>PortfolioFrontier[[#This Row],[P80 Growth]]/PortfolioFrontier[[#This Row],[P80 HWM]]-1</f>
        <v>0</v>
      </c>
      <c r="LK102" s="28">
        <f>SUMPRODUCT(INDEX(PortfolioRef[[SPY]:[PE]],MATCH(LK$1,PortfolioRef[Reference '#]),0),AssetMonthlyReturns[[#This Row],[SPY]:[PE]])</f>
        <v>2.9301039590213396E-2</v>
      </c>
      <c r="LL102" s="27">
        <f>IF(ISNUMBER(LL101),LL101*(1+PortfolioFrontier[[#This Row],[P81 Return]]),1+PortfolioFrontier[[#This Row],[P81 Return]])</f>
        <v>1.8495682075027562</v>
      </c>
      <c r="LM102" s="27">
        <f>MAX(LM101,PortfolioFrontier[[#This Row],[P81 Growth]])</f>
        <v>1.8495682075027562</v>
      </c>
      <c r="LN102" s="27">
        <f>PortfolioFrontier[[#This Row],[P81 Growth]]/PortfolioFrontier[[#This Row],[P81 HWM]]-1</f>
        <v>0</v>
      </c>
      <c r="LO102" s="28">
        <f>SUMPRODUCT(INDEX(PortfolioRef[[SPY]:[PE]],MATCH(LO$1,PortfolioRef[Reference '#]),0),AssetMonthlyReturns[[#This Row],[SPY]:[PE]])</f>
        <v>4.0624617465801038E-2</v>
      </c>
      <c r="LP102" s="27">
        <f>IF(ISNUMBER(LP101),LP101*(1+PortfolioFrontier[[#This Row],[P82 Return]]),1+PortfolioFrontier[[#This Row],[P82 Return]])</f>
        <v>1.8627692442106187</v>
      </c>
      <c r="LQ102" s="27">
        <f>MAX(LQ101,PortfolioFrontier[[#This Row],[P82 Growth]])</f>
        <v>1.8627692442106187</v>
      </c>
      <c r="LR102" s="27">
        <f>PortfolioFrontier[[#This Row],[P82 Growth]]/PortfolioFrontier[[#This Row],[P82 HWM]]-1</f>
        <v>0</v>
      </c>
      <c r="LS102" s="28">
        <f>SUMPRODUCT(INDEX(PortfolioRef[[SPY]:[PE]],MATCH(LS$1,PortfolioRef[Reference '#]),0),AssetMonthlyReturns[[#This Row],[SPY]:[PE]])</f>
        <v>3.5941320611442722E-2</v>
      </c>
      <c r="LT102" s="27">
        <f>IF(ISNUMBER(LT101),LT101*(1+PortfolioFrontier[[#This Row],[P83 Return]]),1+PortfolioFrontier[[#This Row],[P83 Return]])</f>
        <v>1.8490159746629071</v>
      </c>
      <c r="LU102" s="27">
        <f>MAX(LU101,PortfolioFrontier[[#This Row],[P83 Growth]])</f>
        <v>1.8490159746629071</v>
      </c>
      <c r="LV102" s="27">
        <f>PortfolioFrontier[[#This Row],[P83 Growth]]/PortfolioFrontier[[#This Row],[P83 HWM]]-1</f>
        <v>0</v>
      </c>
      <c r="LW102" s="28">
        <f>SUMPRODUCT(INDEX(PortfolioRef[[SPY]:[PE]],MATCH(LW$1,PortfolioRef[Reference '#]),0),AssetMonthlyReturns[[#This Row],[SPY]:[PE]])</f>
        <v>3.1258023757084405E-2</v>
      </c>
      <c r="LX102" s="27">
        <f>IF(ISNUMBER(LX101),LX101*(1+PortfolioFrontier[[#This Row],[P84 Return]]),1+PortfolioFrontier[[#This Row],[P84 Return]])</f>
        <v>1.833876455905997</v>
      </c>
      <c r="LY102" s="27">
        <f>MAX(LY101,PortfolioFrontier[[#This Row],[P84 Growth]])</f>
        <v>1.833876455905997</v>
      </c>
      <c r="LZ102" s="27">
        <f>PortfolioFrontier[[#This Row],[P84 Growth]]/PortfolioFrontier[[#This Row],[P84 HWM]]-1</f>
        <v>0</v>
      </c>
      <c r="MA102" s="28">
        <f>SUMPRODUCT(INDEX(PortfolioRef[[SPY]:[PE]],MATCH(MA$1,PortfolioRef[Reference '#]),0),AssetMonthlyReturns[[#This Row],[SPY]:[PE]])</f>
        <v>4.258160163267205E-2</v>
      </c>
      <c r="MB102" s="27">
        <f>IF(ISNUMBER(MB101),MB101*(1+PortfolioFrontier[[#This Row],[P85 Return]]),1+PortfolioFrontier[[#This Row],[P85 Return]])</f>
        <v>1.8431528174355667</v>
      </c>
      <c r="MC102" s="27">
        <f>MAX(MC101,PortfolioFrontier[[#This Row],[P85 Growth]])</f>
        <v>1.8431528174355667</v>
      </c>
      <c r="MD102" s="27">
        <f>PortfolioFrontier[[#This Row],[P85 Growth]]/PortfolioFrontier[[#This Row],[P85 HWM]]-1</f>
        <v>0</v>
      </c>
      <c r="ME102" s="28">
        <f>SUMPRODUCT(INDEX(PortfolioRef[[SPY]:[PE]],MATCH(ME$1,PortfolioRef[Reference '#]),0),AssetMonthlyReturns[[#This Row],[SPY]:[PE]])</f>
        <v>3.7898304778313734E-2</v>
      </c>
      <c r="MF102" s="27">
        <f>IF(ISNUMBER(MF101),MF101*(1+PortfolioFrontier[[#This Row],[P86 Return]]),1+PortfolioFrontier[[#This Row],[P86 Return]])</f>
        <v>1.8306717709286917</v>
      </c>
      <c r="MG102" s="27">
        <f>MAX(MG101,PortfolioFrontier[[#This Row],[P86 Growth]])</f>
        <v>1.8306717709286917</v>
      </c>
      <c r="MH102" s="27">
        <f>PortfolioFrontier[[#This Row],[P86 Growth]]/PortfolioFrontier[[#This Row],[P86 HWM]]-1</f>
        <v>0</v>
      </c>
      <c r="MI102" s="28">
        <f>SUMPRODUCT(INDEX(PortfolioRef[[SPY]:[PE]],MATCH(MI$1,PortfolioRef[Reference '#]),0),AssetMonthlyReturns[[#This Row],[SPY]:[PE]])</f>
        <v>3.3215007923955417E-2</v>
      </c>
      <c r="MJ102" s="27">
        <f>IF(ISNUMBER(MJ101),MJ101*(1+PortfolioFrontier[[#This Row],[P87 Return]]),1+PortfolioFrontier[[#This Row],[P87 Return]])</f>
        <v>1.8167964008591204</v>
      </c>
      <c r="MK102" s="27">
        <f>MAX(MK101,PortfolioFrontier[[#This Row],[P87 Growth]])</f>
        <v>1.8167964008591204</v>
      </c>
      <c r="ML102" s="27">
        <f>PortfolioFrontier[[#This Row],[P87 Growth]]/PortfolioFrontier[[#This Row],[P87 HWM]]-1</f>
        <v>0</v>
      </c>
      <c r="MM102" s="28">
        <f>SUMPRODUCT(INDEX(PortfolioRef[[SPY]:[PE]],MATCH(MM$1,PortfolioRef[Reference '#]),0),AssetMonthlyReturns[[#This Row],[SPY]:[PE]])</f>
        <v>4.2097200141001108E-2</v>
      </c>
      <c r="MN102" s="27">
        <f>IF(ISNUMBER(MN101),MN101*(1+PortfolioFrontier[[#This Row],[P88 Return]]),1+PortfolioFrontier[[#This Row],[P88 Return]])</f>
        <v>1.9142673464951909</v>
      </c>
      <c r="MO102" s="27">
        <f>MAX(MO101,PortfolioFrontier[[#This Row],[P88 Growth]])</f>
        <v>1.9142673464951909</v>
      </c>
      <c r="MP102" s="27">
        <f>PortfolioFrontier[[#This Row],[P88 Growth]]/PortfolioFrontier[[#This Row],[P88 HWM]]-1</f>
        <v>0</v>
      </c>
      <c r="MQ102" s="28">
        <f>SUMPRODUCT(INDEX(PortfolioRef[[SPY]:[PE]],MATCH(MQ$1,PortfolioRef[Reference '#]),0),AssetMonthlyReturns[[#This Row],[SPY]:[PE]])</f>
        <v>3.7413903286642798E-2</v>
      </c>
      <c r="MR102" s="27">
        <f>IF(ISNUMBER(MR101),MR101*(1+PortfolioFrontier[[#This Row],[P89 Return]]),1+PortfolioFrontier[[#This Row],[P89 Return]])</f>
        <v>1.9001515096927348</v>
      </c>
      <c r="MS102" s="27">
        <f>MAX(MS101,PortfolioFrontier[[#This Row],[P89 Growth]])</f>
        <v>1.9001515096927348</v>
      </c>
      <c r="MT102" s="27">
        <f>PortfolioFrontier[[#This Row],[P89 Growth]]/PortfolioFrontier[[#This Row],[P89 HWM]]-1</f>
        <v>0</v>
      </c>
      <c r="MU102" s="28">
        <f>SUMPRODUCT(INDEX(PortfolioRef[[SPY]:[PE]],MATCH(MU$1,PortfolioRef[Reference '#]),0),AssetMonthlyReturns[[#This Row],[SPY]:[PE]])</f>
        <v>3.2730606432284481E-2</v>
      </c>
      <c r="MV102" s="27">
        <f>IF(ISNUMBER(MV101),MV101*(1+PortfolioFrontier[[#This Row],[P90 Return]]),1+PortfolioFrontier[[#This Row],[P90 Return]])</f>
        <v>1.8846117056194007</v>
      </c>
      <c r="MW102" s="27">
        <f>MAX(MW101,PortfolioFrontier[[#This Row],[P90 Growth]])</f>
        <v>1.8846117056194007</v>
      </c>
      <c r="MX102" s="27">
        <f>PortfolioFrontier[[#This Row],[P90 Growth]]/PortfolioFrontier[[#This Row],[P90 HWM]]-1</f>
        <v>0</v>
      </c>
      <c r="MY102" s="28">
        <f>SUMPRODUCT(INDEX(PortfolioRef[[SPY]:[PE]],MATCH(MY$1,PortfolioRef[Reference '#]),0),AssetMonthlyReturns[[#This Row],[SPY]:[PE]])</f>
        <v>4.405418430787212E-2</v>
      </c>
      <c r="MZ102" s="27">
        <f>IF(ISNUMBER(MZ101),MZ101*(1+PortfolioFrontier[[#This Row],[P91 Return]]),1+PortfolioFrontier[[#This Row],[P91 Return]])</f>
        <v>1.8946463855257274</v>
      </c>
      <c r="NA102" s="27">
        <f>MAX(NA101,PortfolioFrontier[[#This Row],[P91 Growth]])</f>
        <v>1.8946463855257274</v>
      </c>
      <c r="NB102" s="27">
        <f>PortfolioFrontier[[#This Row],[P91 Growth]]/PortfolioFrontier[[#This Row],[P91 HWM]]-1</f>
        <v>0</v>
      </c>
      <c r="NC102" s="28">
        <f>SUMPRODUCT(INDEX(PortfolioRef[[SPY]:[PE]],MATCH(NC$1,PortfolioRef[Reference '#]),0),AssetMonthlyReturns[[#This Row],[SPY]:[PE]])</f>
        <v>3.937088745351381E-2</v>
      </c>
      <c r="ND102" s="27">
        <f>IF(ISNUMBER(ND101),ND101*(1+PortfolioFrontier[[#This Row],[P92 Return]]),1+PortfolioFrontier[[#This Row],[P92 Return]])</f>
        <v>1.8818336116155383</v>
      </c>
      <c r="NE102" s="27">
        <f>MAX(NE101,PortfolioFrontier[[#This Row],[P92 Growth]])</f>
        <v>1.8818336116155383</v>
      </c>
      <c r="NF102" s="27">
        <f>PortfolioFrontier[[#This Row],[P92 Growth]]/PortfolioFrontier[[#This Row],[P92 HWM]]-1</f>
        <v>0</v>
      </c>
      <c r="NG102" s="28">
        <f>SUMPRODUCT(INDEX(PortfolioRef[[SPY]:[PE]],MATCH(NG$1,PortfolioRef[Reference '#]),0),AssetMonthlyReturns[[#This Row],[SPY]:[PE]])</f>
        <v>3.4687590599155493E-2</v>
      </c>
      <c r="NH102" s="27">
        <f>IF(ISNUMBER(NH101),NH101*(1+PortfolioFrontier[[#This Row],[P93 Return]]),1+PortfolioFrontier[[#This Row],[P93 Return]])</f>
        <v>1.8675882082790991</v>
      </c>
      <c r="NI102" s="27">
        <f>MAX(NI101,PortfolioFrontier[[#This Row],[P93 Growth]])</f>
        <v>1.8675882082790991</v>
      </c>
      <c r="NJ102" s="27">
        <f>PortfolioFrontier[[#This Row],[P93 Growth]]/PortfolioFrontier[[#This Row],[P93 HWM]]-1</f>
        <v>0</v>
      </c>
      <c r="NK102" s="28">
        <f>SUMPRODUCT(INDEX(PortfolioRef[[SPY]:[PE]],MATCH(NK$1,PortfolioRef[Reference '#]),0),AssetMonthlyReturns[[#This Row],[SPY]:[PE]])</f>
        <v>4.6011168474743132E-2</v>
      </c>
      <c r="NL102" s="27">
        <f>IF(ISNUMBER(NL101),NL101*(1+PortfolioFrontier[[#This Row],[P94 Return]]),1+PortfolioFrontier[[#This Row],[P94 Return]])</f>
        <v>1.8736426205469305</v>
      </c>
      <c r="NM102" s="27">
        <f>MAX(NM101,PortfolioFrontier[[#This Row],[P94 Growth]])</f>
        <v>1.8736426205469305</v>
      </c>
      <c r="NN102" s="27">
        <f>PortfolioFrontier[[#This Row],[P94 Growth]]/PortfolioFrontier[[#This Row],[P94 HWM]]-1</f>
        <v>0</v>
      </c>
      <c r="NO102" s="28">
        <f>SUMPRODUCT(INDEX(PortfolioRef[[SPY]:[PE]],MATCH(NO$1,PortfolioRef[Reference '#]),0),AssetMonthlyReturns[[#This Row],[SPY]:[PE]])</f>
        <v>4.1327871620384822E-2</v>
      </c>
      <c r="NP102" s="27">
        <f>IF(ISNUMBER(NP101),NP101*(1+PortfolioFrontier[[#This Row],[P95 Return]]),1+PortfolioFrontier[[#This Row],[P95 Return]])</f>
        <v>1.8621235379483043</v>
      </c>
      <c r="NQ102" s="27">
        <f>MAX(NQ101,PortfolioFrontier[[#This Row],[P95 Growth]])</f>
        <v>1.8621235379483043</v>
      </c>
      <c r="NR102" s="27">
        <f>PortfolioFrontier[[#This Row],[P95 Growth]]/PortfolioFrontier[[#This Row],[P95 HWM]]-1</f>
        <v>0</v>
      </c>
      <c r="NS102" s="28">
        <f>SUMPRODUCT(INDEX(PortfolioRef[[SPY]:[PE]],MATCH(NS$1,PortfolioRef[Reference '#]),0),AssetMonthlyReturns[[#This Row],[SPY]:[PE]])</f>
        <v>3.6644574766026505E-2</v>
      </c>
      <c r="NT102" s="27">
        <f>IF(ISNUMBER(NT101),NT101*(1+PortfolioFrontier[[#This Row],[P96 Return]]),1+PortfolioFrontier[[#This Row],[P96 Return]])</f>
        <v>1.8491657322288007</v>
      </c>
      <c r="NU102" s="27">
        <f>MAX(NU101,PortfolioFrontier[[#This Row],[P96 Growth]])</f>
        <v>1.8491657322288007</v>
      </c>
      <c r="NV102" s="27">
        <f>PortfolioFrontier[[#This Row],[P96 Growth]]/PortfolioFrontier[[#This Row],[P96 HWM]]-1</f>
        <v>0</v>
      </c>
      <c r="NW102" s="28">
        <f>SUMPRODUCT(INDEX(PortfolioRef[[SPY]:[PE]],MATCH(NW$1,PortfolioRef[Reference '#]),0),AssetMonthlyReturns[[#This Row],[SPY]:[PE]])</f>
        <v>2.930563673919323E-2</v>
      </c>
      <c r="NX102" s="27">
        <f>IF(ISNUMBER(NX101),NX101*(1+PortfolioFrontier[[#This Row],[P97 Return]]),1+PortfolioFrontier[[#This Row],[P97 Return]])</f>
        <v>1.62810979370441</v>
      </c>
      <c r="NY102" s="27">
        <f>MAX(NY101,PortfolioFrontier[[#This Row],[P97 Growth]])</f>
        <v>1.62810979370441</v>
      </c>
      <c r="NZ102" s="27">
        <f>PortfolioFrontier[[#This Row],[P97 Growth]]/PortfolioFrontier[[#This Row],[P97 HWM]]-1</f>
        <v>0</v>
      </c>
      <c r="OA102" s="28">
        <f>SUMPRODUCT(INDEX(PortfolioRef[[SPY]:[PE]],MATCH(OA$1,PortfolioRef[Reference '#]),0),AssetMonthlyReturns[[#This Row],[SPY]:[PE]])</f>
        <v>3.0778219414393307E-2</v>
      </c>
      <c r="OB102" s="27">
        <f>IF(ISNUMBER(OB101),OB101*(1+PortfolioFrontier[[#This Row],[P98 Return]]),1+PortfolioFrontier[[#This Row],[P98 Return]])</f>
        <v>1.6737030105503701</v>
      </c>
      <c r="OC102" s="27">
        <f>MAX(OC101,PortfolioFrontier[[#This Row],[P98 Growth]])</f>
        <v>1.6737030105503701</v>
      </c>
      <c r="OD102" s="27">
        <f>PortfolioFrontier[[#This Row],[P98 Growth]]/PortfolioFrontier[[#This Row],[P98 HWM]]-1</f>
        <v>0</v>
      </c>
      <c r="OE102" s="28">
        <f>SUMPRODUCT(INDEX(PortfolioRef[[SPY]:[PE]],MATCH(OE$1,PortfolioRef[Reference '#]),0),AssetMonthlyReturns[[#This Row],[SPY]:[PE]])</f>
        <v>3.2735203581264319E-2</v>
      </c>
      <c r="OF102" s="27">
        <f>IF(ISNUMBER(OF101),OF101*(1+PortfolioFrontier[[#This Row],[P99 Return]]),1+PortfolioFrontier[[#This Row],[P99 Return]])</f>
        <v>1.659476987227732</v>
      </c>
      <c r="OG102" s="27">
        <f>MAX(OG101,PortfolioFrontier[[#This Row],[P99 Growth]])</f>
        <v>1.659476987227732</v>
      </c>
      <c r="OH102" s="27">
        <f>PortfolioFrontier[[#This Row],[P99 Growth]]/PortfolioFrontier[[#This Row],[P99 HWM]]-1</f>
        <v>0</v>
      </c>
      <c r="OI102" s="28">
        <f>SUMPRODUCT(INDEX(PortfolioRef[[SPY]:[PE]],MATCH(OI$1,PortfolioRef[Reference '#]),0),AssetMonthlyReturns[[#This Row],[SPY]:[PE]])</f>
        <v>2.8051906726906002E-2</v>
      </c>
      <c r="OJ102" s="27">
        <f>IF(ISNUMBER(OJ101),OJ101*(1+PortfolioFrontier[[#This Row],[P100 Return]]),1+PortfolioFrontier[[#This Row],[P100 Return]])</f>
        <v>1.6445370122833745</v>
      </c>
      <c r="OK102" s="27">
        <f>MAX(OK101,PortfolioFrontier[[#This Row],[P100 Growth]])</f>
        <v>1.6445370122833745</v>
      </c>
      <c r="OL102" s="27">
        <f>PortfolioFrontier[[#This Row],[P100 Growth]]/PortfolioFrontier[[#This Row],[P100 HWM]]-1</f>
        <v>0</v>
      </c>
      <c r="OM102" s="28">
        <f>SUMPRODUCT(INDEX(PortfolioRef[[SPY]:[PE]],MATCH(OM$1,PortfolioRef[Reference '#]),0),AssetMonthlyReturns[[#This Row],[SPY]:[PE]])</f>
        <v>3.2250802089593376E-2</v>
      </c>
      <c r="ON102" s="27">
        <f>IF(ISNUMBER(ON101),ON101*(1+PortfolioFrontier[[#This Row],[P101 Return]]),1+PortfolioFrontier[[#This Row],[P101 Return]])</f>
        <v>1.7200584239318077</v>
      </c>
      <c r="OO102" s="27">
        <f>MAX(OO101,PortfolioFrontier[[#This Row],[P101 Growth]])</f>
        <v>1.7200584239318077</v>
      </c>
      <c r="OP102" s="27">
        <f>PortfolioFrontier[[#This Row],[P101 Growth]]/PortfolioFrontier[[#This Row],[P101 HWM]]-1</f>
        <v>0</v>
      </c>
      <c r="OQ102" s="28">
        <f>SUMPRODUCT(INDEX(PortfolioRef[[SPY]:[PE]],MATCH(OQ$1,PortfolioRef[Reference '#]),0),AssetMonthlyReturns[[#This Row],[SPY]:[PE]])</f>
        <v>3.4207786256464388E-2</v>
      </c>
      <c r="OR102" s="27">
        <f>IF(ISNUMBER(OR101),OR101*(1+PortfolioFrontier[[#This Row],[P102 Return]]),1+PortfolioFrontier[[#This Row],[P102 Return]])</f>
        <v>1.7059230076822933</v>
      </c>
      <c r="OS102" s="27">
        <f>MAX(OS101,PortfolioFrontier[[#This Row],[P102 Growth]])</f>
        <v>1.7059230076822933</v>
      </c>
      <c r="OT102" s="27">
        <f>PortfolioFrontier[[#This Row],[P102 Growth]]/PortfolioFrontier[[#This Row],[P102 HWM]]-1</f>
        <v>0</v>
      </c>
      <c r="OU102" s="28">
        <f>SUMPRODUCT(INDEX(PortfolioRef[[SPY]:[PE]],MATCH(OU$1,PortfolioRef[Reference '#]),0),AssetMonthlyReturns[[#This Row],[SPY]:[PE]])</f>
        <v>2.9524489402106079E-2</v>
      </c>
      <c r="OV102" s="27">
        <f>IF(ISNUMBER(OV101),OV101*(1+PortfolioFrontier[[#This Row],[P103 Return]]),1+PortfolioFrontier[[#This Row],[P103 Return]])</f>
        <v>1.6905823113793499</v>
      </c>
      <c r="OW102" s="27">
        <f>MAX(OW101,PortfolioFrontier[[#This Row],[P103 Growth]])</f>
        <v>1.6905823113793499</v>
      </c>
      <c r="OX102" s="27">
        <f>PortfolioFrontier[[#This Row],[P103 Growth]]/PortfolioFrontier[[#This Row],[P103 HWM]]-1</f>
        <v>0</v>
      </c>
      <c r="OY102" s="28">
        <f>SUMPRODUCT(INDEX(PortfolioRef[[SPY]:[PE]],MATCH(OY$1,PortfolioRef[Reference '#]),0),AssetMonthlyReturns[[#This Row],[SPY]:[PE]])</f>
        <v>3.61647704233354E-2</v>
      </c>
      <c r="OZ102" s="27">
        <f>IF(ISNUMBER(OZ101),OZ101*(1+PortfolioFrontier[[#This Row],[P104 Return]]),1+PortfolioFrontier[[#This Row],[P104 Return]])</f>
        <v>1.690488388158278</v>
      </c>
      <c r="PA102" s="27">
        <f>MAX(PA101,PortfolioFrontier[[#This Row],[P104 Growth]])</f>
        <v>1.690488388158278</v>
      </c>
      <c r="PB102" s="27">
        <f>PortfolioFrontier[[#This Row],[P104 Growth]]/PortfolioFrontier[[#This Row],[P104 HWM]]-1</f>
        <v>0</v>
      </c>
      <c r="PC102" s="28">
        <f>SUMPRODUCT(INDEX(PortfolioRef[[SPY]:[PE]],MATCH(PC$1,PortfolioRef[Reference '#]),0),AssetMonthlyReturns[[#This Row],[SPY]:[PE]])</f>
        <v>3.1481473568977091E-2</v>
      </c>
      <c r="PD102" s="27">
        <f>IF(ISNUMBER(PD101),PD101*(1+PortfolioFrontier[[#This Row],[P105 Return]]),1+PortfolioFrontier[[#This Row],[P105 Return]])</f>
        <v>1.6763085086853728</v>
      </c>
      <c r="PE102" s="27">
        <f>MAX(PE101,PortfolioFrontier[[#This Row],[P105 Growth]])</f>
        <v>1.6763085086853728</v>
      </c>
      <c r="PF102" s="27">
        <f>PortfolioFrontier[[#This Row],[P105 Growth]]/PortfolioFrontier[[#This Row],[P105 HWM]]-1</f>
        <v>0</v>
      </c>
      <c r="PG102" s="28">
        <f>SUMPRODUCT(INDEX(PortfolioRef[[SPY]:[PE]],MATCH(PG$1,PortfolioRef[Reference '#]),0),AssetMonthlyReturns[[#This Row],[SPY]:[PE]])</f>
        <v>2.679817671461877E-2</v>
      </c>
      <c r="PH102" s="27">
        <f>IF(ISNUMBER(PH101),PH101*(1+PortfolioFrontier[[#This Row],[P106 Return]]),1+PortfolioFrontier[[#This Row],[P106 Return]])</f>
        <v>1.660904543702536</v>
      </c>
      <c r="PI102" s="27">
        <f>MAX(PI101,PortfolioFrontier[[#This Row],[P106 Growth]])</f>
        <v>1.660904543702536</v>
      </c>
      <c r="PJ102" s="27">
        <f>PortfolioFrontier[[#This Row],[P106 Growth]]/PortfolioFrontier[[#This Row],[P106 HWM]]-1</f>
        <v>0</v>
      </c>
      <c r="PK102" s="28">
        <f>SUMPRODUCT(INDEX(PortfolioRef[[SPY]:[PE]],MATCH(PK$1,PortfolioRef[Reference '#]),0),AssetMonthlyReturns[[#This Row],[SPY]:[PE]])</f>
        <v>3.5680368931664465E-2</v>
      </c>
      <c r="PL102" s="27">
        <f>IF(ISNUMBER(PL101),PL101*(1+PortfolioFrontier[[#This Row],[P107 Return]]),1+PortfolioFrontier[[#This Row],[P107 Return]])</f>
        <v>1.753145017428857</v>
      </c>
      <c r="PM102" s="27">
        <f>MAX(PM101,PortfolioFrontier[[#This Row],[P107 Growth]])</f>
        <v>1.753145017428857</v>
      </c>
      <c r="PN102" s="27">
        <f>PortfolioFrontier[[#This Row],[P107 Growth]]/PortfolioFrontier[[#This Row],[P107 HWM]]-1</f>
        <v>0</v>
      </c>
      <c r="PO102" s="28">
        <f>SUMPRODUCT(INDEX(PortfolioRef[[SPY]:[PE]],MATCH(PO$1,PortfolioRef[Reference '#]),0),AssetMonthlyReturns[[#This Row],[SPY]:[PE]])</f>
        <v>3.0997072077306148E-2</v>
      </c>
      <c r="PP102" s="27">
        <f>IF(ISNUMBER(PP101),PP101*(1+PortfolioFrontier[[#This Row],[P108 Return]]),1+PortfolioFrontier[[#This Row],[P108 Return]])</f>
        <v>1.7373973942471794</v>
      </c>
      <c r="PQ102" s="27">
        <f>MAX(PQ101,PortfolioFrontier[[#This Row],[P108 Growth]])</f>
        <v>1.7373973942471794</v>
      </c>
      <c r="PR102" s="27">
        <f>PortfolioFrontier[[#This Row],[P108 Growth]]/PortfolioFrontier[[#This Row],[P108 HWM]]-1</f>
        <v>0</v>
      </c>
      <c r="PS102" s="28">
        <f>SUMPRODUCT(INDEX(PortfolioRef[[SPY]:[PE]],MATCH(PS$1,PortfolioRef[Reference '#]),0),AssetMonthlyReturns[[#This Row],[SPY]:[PE]])</f>
        <v>3.7637353098535477E-2</v>
      </c>
      <c r="PT102" s="27">
        <f>IF(ISNUMBER(PT101),PT101*(1+PortfolioFrontier[[#This Row],[P109 Return]]),1+PortfolioFrontier[[#This Row],[P109 Return]])</f>
        <v>1.7377768669837939</v>
      </c>
      <c r="PU102" s="27">
        <f>MAX(PU101,PortfolioFrontier[[#This Row],[P109 Growth]])</f>
        <v>1.7377768669837939</v>
      </c>
      <c r="PV102" s="27">
        <f>PortfolioFrontier[[#This Row],[P109 Growth]]/PortfolioFrontier[[#This Row],[P109 HWM]]-1</f>
        <v>0</v>
      </c>
      <c r="PW102" s="28">
        <f>SUMPRODUCT(INDEX(PortfolioRef[[SPY]:[PE]],MATCH(PW$1,PortfolioRef[Reference '#]),0),AssetMonthlyReturns[[#This Row],[SPY]:[PE]])</f>
        <v>3.295405624417716E-2</v>
      </c>
      <c r="PX102" s="27">
        <f>IF(ISNUMBER(PX101),PX101*(1+PortfolioFrontier[[#This Row],[P110 Return]]),1+PortfolioFrontier[[#This Row],[P110 Return]])</f>
        <v>1.7232174653924284</v>
      </c>
      <c r="PY102" s="27">
        <f>MAX(PY101,PortfolioFrontier[[#This Row],[P110 Growth]])</f>
        <v>1.7232174653924284</v>
      </c>
      <c r="PZ102" s="27">
        <f>PortfolioFrontier[[#This Row],[P110 Growth]]/PortfolioFrontier[[#This Row],[P110 HWM]]-1</f>
        <v>0</v>
      </c>
      <c r="QA102" s="28">
        <f>SUMPRODUCT(INDEX(PortfolioRef[[SPY]:[PE]],MATCH(QA$1,PortfolioRef[Reference '#]),0),AssetMonthlyReturns[[#This Row],[SPY]:[PE]])</f>
        <v>2.8270759389818847E-2</v>
      </c>
      <c r="QB102" s="27">
        <f>IF(ISNUMBER(QB101),QB101*(1+PortfolioFrontier[[#This Row],[P111 Return]]),1+PortfolioFrontier[[#This Row],[P111 Return]])</f>
        <v>1.7074002489340003</v>
      </c>
      <c r="QC102" s="27">
        <f>MAX(QC101,PortfolioFrontier[[#This Row],[P111 Growth]])</f>
        <v>1.7074002489340003</v>
      </c>
      <c r="QD102" s="27">
        <f>PortfolioFrontier[[#This Row],[P111 Growth]]/PortfolioFrontier[[#This Row],[P111 HWM]]-1</f>
        <v>0</v>
      </c>
      <c r="QE102" s="28">
        <f>SUMPRODUCT(INDEX(PortfolioRef[[SPY]:[PE]],MATCH(QE$1,PortfolioRef[Reference '#]),0),AssetMonthlyReturns[[#This Row],[SPY]:[PE]])</f>
        <v>3.9594337265406489E-2</v>
      </c>
      <c r="QF102" s="27">
        <f>IF(ISNUMBER(QF101),QF101*(1+PortfolioFrontier[[#This Row],[P112 Return]]),1+PortfolioFrontier[[#This Row],[P112 Return]])</f>
        <v>1.721098632415238</v>
      </c>
      <c r="QG102" s="27">
        <f>MAX(QG101,PortfolioFrontier[[#This Row],[P112 Growth]])</f>
        <v>1.721098632415238</v>
      </c>
      <c r="QH102" s="27">
        <f>PortfolioFrontier[[#This Row],[P112 Growth]]/PortfolioFrontier[[#This Row],[P112 HWM]]-1</f>
        <v>0</v>
      </c>
      <c r="QI102" s="28">
        <f>SUMPRODUCT(INDEX(PortfolioRef[[SPY]:[PE]],MATCH(QI$1,PortfolioRef[Reference '#]),0),AssetMonthlyReturns[[#This Row],[SPY]:[PE]])</f>
        <v>3.4911040411048172E-2</v>
      </c>
      <c r="QJ102" s="27">
        <f>IF(ISNUMBER(QJ101),QJ101*(1+PortfolioFrontier[[#This Row],[P113 Return]]),1+PortfolioFrontier[[#This Row],[P113 Return]])</f>
        <v>1.7077240624848622</v>
      </c>
      <c r="QK102" s="27">
        <f>MAX(QK101,PortfolioFrontier[[#This Row],[P113 Growth]])</f>
        <v>1.7077240624848622</v>
      </c>
      <c r="QL102" s="27">
        <f>PortfolioFrontier[[#This Row],[P113 Growth]]/PortfolioFrontier[[#This Row],[P113 HWM]]-1</f>
        <v>0</v>
      </c>
      <c r="QM102" s="28">
        <f>SUMPRODUCT(INDEX(PortfolioRef[[SPY]:[PE]],MATCH(QM$1,PortfolioRef[Reference '#]),0),AssetMonthlyReturns[[#This Row],[SPY]:[PE]])</f>
        <v>3.0227743556689859E-2</v>
      </c>
      <c r="QN102" s="27">
        <f>IF(ISNUMBER(QN101),QN101*(1+PortfolioFrontier[[#This Row],[P114 Return]]),1+PortfolioFrontier[[#This Row],[P114 Return]])</f>
        <v>1.6930810100297251</v>
      </c>
      <c r="QO102" s="27">
        <f>MAX(QO101,PortfolioFrontier[[#This Row],[P114 Growth]])</f>
        <v>1.6930810100297251</v>
      </c>
      <c r="QP102" s="27">
        <f>PortfolioFrontier[[#This Row],[P114 Growth]]/PortfolioFrontier[[#This Row],[P114 HWM]]-1</f>
        <v>0</v>
      </c>
      <c r="QQ102" s="28">
        <f>SUMPRODUCT(INDEX(PortfolioRef[[SPY]:[PE]],MATCH(QQ$1,PortfolioRef[Reference '#]),0),AssetMonthlyReturns[[#This Row],[SPY]:[PE]])</f>
        <v>3.9109935773735553E-2</v>
      </c>
      <c r="QR102" s="27">
        <f>IF(ISNUMBER(QR101),QR101*(1+PortfolioFrontier[[#This Row],[P115 Return]]),1+PortfolioFrontier[[#This Row],[P115 Return]])</f>
        <v>1.7858549484095723</v>
      </c>
      <c r="QS102" s="27">
        <f>MAX(QS101,PortfolioFrontier[[#This Row],[P115 Growth]])</f>
        <v>1.7858549484095723</v>
      </c>
      <c r="QT102" s="27">
        <f>PortfolioFrontier[[#This Row],[P115 Growth]]/PortfolioFrontier[[#This Row],[P115 HWM]]-1</f>
        <v>0</v>
      </c>
      <c r="QU102" s="28">
        <f>SUMPRODUCT(INDEX(PortfolioRef[[SPY]:[PE]],MATCH(QU$1,PortfolioRef[Reference '#]),0),AssetMonthlyReturns[[#This Row],[SPY]:[PE]])</f>
        <v>3.4426638919377237E-2</v>
      </c>
      <c r="QV102" s="27">
        <f>IF(ISNUMBER(QV101),QV101*(1+PortfolioFrontier[[#This Row],[P116 Return]]),1+PortfolioFrontier[[#This Row],[P116 Return]])</f>
        <v>1.7709101750066787</v>
      </c>
      <c r="QW102" s="27">
        <f>MAX(QW101,PortfolioFrontier[[#This Row],[P116 Growth]])</f>
        <v>1.7709101750066787</v>
      </c>
      <c r="QX102" s="27">
        <f>PortfolioFrontier[[#This Row],[P116 Growth]]/PortfolioFrontier[[#This Row],[P116 HWM]]-1</f>
        <v>0</v>
      </c>
      <c r="QY102" s="28">
        <f>SUMPRODUCT(INDEX(PortfolioRef[[SPY]:[PE]],MATCH(QY$1,PortfolioRef[Reference '#]),0),AssetMonthlyReturns[[#This Row],[SPY]:[PE]])</f>
        <v>2.9743342065018923E-2</v>
      </c>
      <c r="QZ102" s="27">
        <f>IF(ISNUMBER(QZ101),QZ101*(1+PortfolioFrontier[[#This Row],[P117 Return]]),1+PortfolioFrontier[[#This Row],[P117 Return]])</f>
        <v>1.7546732999335588</v>
      </c>
      <c r="RA102" s="27">
        <f>MAX(RA101,PortfolioFrontier[[#This Row],[P117 Growth]])</f>
        <v>1.7546732999335588</v>
      </c>
      <c r="RB102" s="27">
        <f>PortfolioFrontier[[#This Row],[P117 Growth]]/PortfolioFrontier[[#This Row],[P117 HWM]]-1</f>
        <v>0</v>
      </c>
      <c r="RC102" s="28">
        <f>SUMPRODUCT(INDEX(PortfolioRef[[SPY]:[PE]],MATCH(RC$1,PortfolioRef[Reference '#]),0),AssetMonthlyReturns[[#This Row],[SPY]:[PE]])</f>
        <v>4.1066919940606558E-2</v>
      </c>
      <c r="RD102" s="27">
        <f>IF(ISNUMBER(RD101),RD101*(1+PortfolioFrontier[[#This Row],[P118 Return]]),1+PortfolioFrontier[[#This Row],[P118 Return]])</f>
        <v>1.7692180038756669</v>
      </c>
      <c r="RE102" s="27">
        <f>MAX(RE101,PortfolioFrontier[[#This Row],[P118 Growth]])</f>
        <v>1.7692180038756669</v>
      </c>
      <c r="RF102" s="27">
        <f>PortfolioFrontier[[#This Row],[P118 Growth]]/PortfolioFrontier[[#This Row],[P118 HWM]]-1</f>
        <v>0</v>
      </c>
      <c r="RG102" s="28">
        <f>SUMPRODUCT(INDEX(PortfolioRef[[SPY]:[PE]],MATCH(RG$1,PortfolioRef[Reference '#]),0),AssetMonthlyReturns[[#This Row],[SPY]:[PE]])</f>
        <v>3.6383623086248242E-2</v>
      </c>
      <c r="RH102" s="27">
        <f>IF(ISNUMBER(RH101),RH101*(1+PortfolioFrontier[[#This Row],[P119 Return]]),1+PortfolioFrontier[[#This Row],[P119 Return]])</f>
        <v>1.7554863207989877</v>
      </c>
      <c r="RI102" s="27">
        <f>MAX(RI101,PortfolioFrontier[[#This Row],[P119 Growth]])</f>
        <v>1.7554863207989877</v>
      </c>
      <c r="RJ102" s="27">
        <f>PortfolioFrontier[[#This Row],[P119 Growth]]/PortfolioFrontier[[#This Row],[P119 HWM]]-1</f>
        <v>0</v>
      </c>
      <c r="RK102" s="28">
        <f>SUMPRODUCT(INDEX(PortfolioRef[[SPY]:[PE]],MATCH(RK$1,PortfolioRef[Reference '#]),0),AssetMonthlyReturns[[#This Row],[SPY]:[PE]])</f>
        <v>3.1700326231889925E-2</v>
      </c>
      <c r="RL102" s="27">
        <f>IF(ISNUMBER(RL101),RL101*(1+PortfolioFrontier[[#This Row],[P120 Return]]),1+PortfolioFrontier[[#This Row],[P120 Return]])</f>
        <v>1.7404512444627771</v>
      </c>
      <c r="RM102" s="27">
        <f>MAX(RM101,PortfolioFrontier[[#This Row],[P120 Growth]])</f>
        <v>1.7404512444627771</v>
      </c>
      <c r="RN102" s="27">
        <f>PortfolioFrontier[[#This Row],[P120 Growth]]/PortfolioFrontier[[#This Row],[P120 HWM]]-1</f>
        <v>0</v>
      </c>
      <c r="RO102" s="28">
        <f>SUMPRODUCT(INDEX(PortfolioRef[[SPY]:[PE]],MATCH(RO$1,PortfolioRef[Reference '#]),0),AssetMonthlyReturns[[#This Row],[SPY]:[PE]])</f>
        <v>4.3023904107477577E-2</v>
      </c>
      <c r="RP102" s="27">
        <f>IF(ISNUMBER(RP101),RP101*(1+PortfolioFrontier[[#This Row],[P121 Return]]),1+PortfolioFrontier[[#This Row],[P121 Return]])</f>
        <v>1.7512618442779624</v>
      </c>
      <c r="RQ102" s="27">
        <f>MAX(RQ101,PortfolioFrontier[[#This Row],[P121 Growth]])</f>
        <v>1.7512618442779624</v>
      </c>
      <c r="RR102" s="27">
        <f>PortfolioFrontier[[#This Row],[P121 Growth]]/PortfolioFrontier[[#This Row],[P121 HWM]]-1</f>
        <v>0</v>
      </c>
      <c r="RS102" s="28">
        <f>SUMPRODUCT(INDEX(PortfolioRef[[SPY]:[PE]],MATCH(RS$1,PortfolioRef[Reference '#]),0),AssetMonthlyReturns[[#This Row],[SPY]:[PE]])</f>
        <v>3.834060725311926E-2</v>
      </c>
      <c r="RT102" s="27">
        <f>IF(ISNUMBER(RT101),RT101*(1+PortfolioFrontier[[#This Row],[P122 Return]]),1+PortfolioFrontier[[#This Row],[P122 Return]])</f>
        <v>1.738737811089816</v>
      </c>
      <c r="RU102" s="27">
        <f>MAX(RU101,PortfolioFrontier[[#This Row],[P122 Growth]])</f>
        <v>1.738737811089816</v>
      </c>
      <c r="RV102" s="27">
        <f>PortfolioFrontier[[#This Row],[P122 Growth]]/PortfolioFrontier[[#This Row],[P122 HWM]]-1</f>
        <v>0</v>
      </c>
      <c r="RW102" s="28">
        <f>SUMPRODUCT(INDEX(PortfolioRef[[SPY]:[PE]],MATCH(RW$1,PortfolioRef[Reference '#]),0),AssetMonthlyReturns[[#This Row],[SPY]:[PE]])</f>
        <v>3.3657310398760937E-2</v>
      </c>
      <c r="RX102" s="27">
        <f>IF(ISNUMBER(RX101),RX101*(1+PortfolioFrontier[[#This Row],[P123 Return]]),1+PortfolioFrontier[[#This Row],[P123 Return]])</f>
        <v>1.7249014672216152</v>
      </c>
      <c r="RY102" s="27">
        <f>MAX(RY101,PortfolioFrontier[[#This Row],[P123 Growth]])</f>
        <v>1.7249014672216152</v>
      </c>
      <c r="RZ102" s="27">
        <f>PortfolioFrontier[[#This Row],[P123 Growth]]/PortfolioFrontier[[#This Row],[P123 HWM]]-1</f>
        <v>0</v>
      </c>
      <c r="SA102" s="28">
        <f>SUMPRODUCT(INDEX(PortfolioRef[[SPY]:[PE]],MATCH(SA$1,PortfolioRef[Reference '#]),0),AssetMonthlyReturns[[#This Row],[SPY]:[PE]])</f>
        <v>4.2539502615806635E-2</v>
      </c>
      <c r="SB102" s="27">
        <f>IF(ISNUMBER(SB101),SB101*(1+PortfolioFrontier[[#This Row],[P124 Return]]),1+PortfolioFrontier[[#This Row],[P124 Return]])</f>
        <v>1.8181403923317085</v>
      </c>
      <c r="SC102" s="27">
        <f>MAX(SC101,PortfolioFrontier[[#This Row],[P124 Growth]])</f>
        <v>1.8181403923317085</v>
      </c>
      <c r="SD102" s="27">
        <f>PortfolioFrontier[[#This Row],[P124 Growth]]/PortfolioFrontier[[#This Row],[P124 HWM]]-1</f>
        <v>0</v>
      </c>
      <c r="SE102" s="28">
        <f>SUMPRODUCT(INDEX(PortfolioRef[[SPY]:[PE]],MATCH(SE$1,PortfolioRef[Reference '#]),0),AssetMonthlyReturns[[#This Row],[SPY]:[PE]])</f>
        <v>3.7856205761448318E-2</v>
      </c>
      <c r="SF102" s="27">
        <f>IF(ISNUMBER(SF101),SF101*(1+PortfolioFrontier[[#This Row],[P125 Return]]),1+PortfolioFrontier[[#This Row],[P125 Return]])</f>
        <v>1.8040461213755121</v>
      </c>
      <c r="SG102" s="27">
        <f>MAX(SG101,PortfolioFrontier[[#This Row],[P125 Growth]])</f>
        <v>1.8040461213755121</v>
      </c>
      <c r="SH102" s="27">
        <f>PortfolioFrontier[[#This Row],[P125 Growth]]/PortfolioFrontier[[#This Row],[P125 HWM]]-1</f>
        <v>0</v>
      </c>
      <c r="SI102" s="28">
        <f>SUMPRODUCT(INDEX(PortfolioRef[[SPY]:[PE]],MATCH(SI$1,PortfolioRef[Reference '#]),0),AssetMonthlyReturns[[#This Row],[SPY]:[PE]])</f>
        <v>3.3172908907090001E-2</v>
      </c>
      <c r="SJ102" s="27">
        <f>IF(ISNUMBER(SJ101),SJ101*(1+PortfolioFrontier[[#This Row],[P126 Return]]),1+PortfolioFrontier[[#This Row],[P126 Return]])</f>
        <v>1.7886129705266431</v>
      </c>
      <c r="SK102" s="27">
        <f>MAX(SK101,PortfolioFrontier[[#This Row],[P126 Growth]])</f>
        <v>1.7886129705266431</v>
      </c>
      <c r="SL102" s="27">
        <f>PortfolioFrontier[[#This Row],[P126 Growth]]/PortfolioFrontier[[#This Row],[P126 HWM]]-1</f>
        <v>0</v>
      </c>
      <c r="SM102" s="28">
        <f>SUMPRODUCT(INDEX(PortfolioRef[[SPY]:[PE]],MATCH(SM$1,PortfolioRef[Reference '#]),0),AssetMonthlyReturns[[#This Row],[SPY]:[PE]])</f>
        <v>4.4496486782677647E-2</v>
      </c>
      <c r="SN102" s="27">
        <f>IF(ISNUMBER(SN101),SN101*(1+PortfolioFrontier[[#This Row],[P127 Return]]),1+PortfolioFrontier[[#This Row],[P127 Return]])</f>
        <v>1.8001993099813307</v>
      </c>
      <c r="SO102" s="27">
        <f>MAX(SO101,PortfolioFrontier[[#This Row],[P127 Growth]])</f>
        <v>1.8001993099813307</v>
      </c>
      <c r="SP102" s="27">
        <f>PortfolioFrontier[[#This Row],[P127 Growth]]/PortfolioFrontier[[#This Row],[P127 HWM]]-1</f>
        <v>0</v>
      </c>
      <c r="SQ102" s="28">
        <f>SUMPRODUCT(INDEX(PortfolioRef[[SPY]:[PE]],MATCH(SQ$1,PortfolioRef[Reference '#]),0),AssetMonthlyReturns[[#This Row],[SPY]:[PE]])</f>
        <v>3.981318992831933E-2</v>
      </c>
      <c r="SR102" s="27">
        <f>IF(ISNUMBER(SR101),SR101*(1+PortfolioFrontier[[#This Row],[P128 Return]]),1+PortfolioFrontier[[#This Row],[P128 Return]])</f>
        <v>1.7873417812676717</v>
      </c>
      <c r="SS102" s="27">
        <f>MAX(SS101,PortfolioFrontier[[#This Row],[P128 Growth]])</f>
        <v>1.7873417812676717</v>
      </c>
      <c r="ST102" s="27">
        <f>PortfolioFrontier[[#This Row],[P128 Growth]]/PortfolioFrontier[[#This Row],[P128 HWM]]-1</f>
        <v>0</v>
      </c>
      <c r="SU102" s="28">
        <f>SUMPRODUCT(INDEX(PortfolioRef[[SPY]:[PE]],MATCH(SU$1,PortfolioRef[Reference '#]),0),AssetMonthlyReturns[[#This Row],[SPY]:[PE]])</f>
        <v>3.5129893073961013E-2</v>
      </c>
      <c r="SV102" s="27">
        <f>IF(ISNUMBER(SV101),SV101*(1+PortfolioFrontier[[#This Row],[P129 Return]]),1+PortfolioFrontier[[#This Row],[P129 Return]])</f>
        <v>1.7731358663230117</v>
      </c>
      <c r="SW102" s="27">
        <f>MAX(SW101,PortfolioFrontier[[#This Row],[P129 Growth]])</f>
        <v>1.7731358663230117</v>
      </c>
      <c r="SX102" s="27">
        <f>PortfolioFrontier[[#This Row],[P129 Growth]]/PortfolioFrontier[[#This Row],[P129 HWM]]-1</f>
        <v>0</v>
      </c>
      <c r="SY102" s="28">
        <f>SUMPRODUCT(INDEX(PortfolioRef[[SPY]:[PE]],MATCH(SY$1,PortfolioRef[Reference '#]),0),AssetMonthlyReturns[[#This Row],[SPY]:[PE]])</f>
        <v>4.6453470949548659E-2</v>
      </c>
      <c r="SZ102" s="27">
        <f>IF(ISNUMBER(SZ101),SZ101*(1+PortfolioFrontier[[#This Row],[P130 Return]]),1+PortfolioFrontier[[#This Row],[P130 Return]])</f>
        <v>1.7809317183065585</v>
      </c>
      <c r="TA102" s="27">
        <f>MAX(TA101,PortfolioFrontier[[#This Row],[P130 Growth]])</f>
        <v>1.7809317183065585</v>
      </c>
      <c r="TB102" s="27">
        <f>PortfolioFrontier[[#This Row],[P130 Growth]]/PortfolioFrontier[[#This Row],[P130 HWM]]-1</f>
        <v>0</v>
      </c>
      <c r="TC102" s="28">
        <f>SUMPRODUCT(INDEX(PortfolioRef[[SPY]:[PE]],MATCH(TC$1,PortfolioRef[Reference '#]),0),AssetMonthlyReturns[[#This Row],[SPY]:[PE]])</f>
        <v>4.1770174095190342E-2</v>
      </c>
      <c r="TD102" s="27">
        <f>IF(ISNUMBER(TD101),TD101*(1+PortfolioFrontier[[#This Row],[P131 Return]]),1+PortfolioFrontier[[#This Row],[P131 Return]])</f>
        <v>1.7693033665691513</v>
      </c>
      <c r="TE102" s="27">
        <f>MAX(TE101,PortfolioFrontier[[#This Row],[P131 Growth]])</f>
        <v>1.7693033665691513</v>
      </c>
      <c r="TF102" s="27">
        <f>PortfolioFrontier[[#This Row],[P131 Growth]]/PortfolioFrontier[[#This Row],[P131 HWM]]-1</f>
        <v>0</v>
      </c>
      <c r="TG102" s="28">
        <f>SUMPRODUCT(INDEX(PortfolioRef[[SPY]:[PE]],MATCH(TG$1,PortfolioRef[Reference '#]),0),AssetMonthlyReturns[[#This Row],[SPY]:[PE]])</f>
        <v>3.7086877240832025E-2</v>
      </c>
      <c r="TH102" s="27">
        <f>IF(ISNUMBER(TH101),TH101*(1+PortfolioFrontier[[#This Row],[P132 Return]]),1+PortfolioFrontier[[#This Row],[P132 Return]])</f>
        <v>1.7563195549210182</v>
      </c>
      <c r="TI102" s="27">
        <f>MAX(TI101,PortfolioFrontier[[#This Row],[P132 Growth]])</f>
        <v>1.7563195549210182</v>
      </c>
      <c r="TJ102" s="27">
        <f>PortfolioFrontier[[#This Row],[P132 Growth]]/PortfolioFrontier[[#This Row],[P132 HWM]]-1</f>
        <v>0</v>
      </c>
      <c r="TK102" s="28">
        <f>SUMPRODUCT(INDEX(PortfolioRef[[SPY]:[PE]],MATCH(TK$1,PortfolioRef[Reference '#]),0),AssetMonthlyReturns[[#This Row],[SPY]:[PE]])</f>
        <v>4.5969069457877716E-2</v>
      </c>
      <c r="TL102" s="27">
        <f>IF(ISNUMBER(TL101),TL101*(1+PortfolioFrontier[[#This Row],[P133 Return]]),1+PortfolioFrontier[[#This Row],[P133 Return]])</f>
        <v>1.8499529885374457</v>
      </c>
      <c r="TM102" s="27">
        <f>MAX(TM101,PortfolioFrontier[[#This Row],[P133 Growth]])</f>
        <v>1.8499529885374457</v>
      </c>
      <c r="TN102" s="27">
        <f>PortfolioFrontier[[#This Row],[P133 Growth]]/PortfolioFrontier[[#This Row],[P133 HWM]]-1</f>
        <v>0</v>
      </c>
      <c r="TO102" s="28">
        <f>SUMPRODUCT(INDEX(PortfolioRef[[SPY]:[PE]],MATCH(TO$1,PortfolioRef[Reference '#]),0),AssetMonthlyReturns[[#This Row],[SPY]:[PE]])</f>
        <v>4.1285772603519406E-2</v>
      </c>
      <c r="TP102" s="27">
        <f>IF(ISNUMBER(TP101),TP101*(1+PortfolioFrontier[[#This Row],[P134 Return]]),1+PortfolioFrontier[[#This Row],[P134 Return]])</f>
        <v>1.8367568836052675</v>
      </c>
      <c r="TQ102" s="27">
        <f>MAX(TQ101,PortfolioFrontier[[#This Row],[P134 Growth]])</f>
        <v>1.8367568836052675</v>
      </c>
      <c r="TR102" s="27">
        <f>PortfolioFrontier[[#This Row],[P134 Growth]]/PortfolioFrontier[[#This Row],[P134 HWM]]-1</f>
        <v>0</v>
      </c>
      <c r="TS102" s="28">
        <f>SUMPRODUCT(INDEX(PortfolioRef[[SPY]:[PE]],MATCH(TS$1,PortfolioRef[Reference '#]),0),AssetMonthlyReturns[[#This Row],[SPY]:[PE]])</f>
        <v>3.660247574916109E-2</v>
      </c>
      <c r="TT102" s="27">
        <f>IF(ISNUMBER(TT101),TT101*(1+PortfolioFrontier[[#This Row],[P135 Return]]),1+PortfolioFrontier[[#This Row],[P135 Return]])</f>
        <v>1.8221757228417648</v>
      </c>
      <c r="TU102" s="27">
        <f>MAX(TU101,PortfolioFrontier[[#This Row],[P135 Growth]])</f>
        <v>1.8221757228417648</v>
      </c>
      <c r="TV102" s="27">
        <f>PortfolioFrontier[[#This Row],[P135 Growth]]/PortfolioFrontier[[#This Row],[P135 HWM]]-1</f>
        <v>0</v>
      </c>
      <c r="TW102" s="28">
        <f>SUMPRODUCT(INDEX(PortfolioRef[[SPY]:[PE]],MATCH(TW$1,PortfolioRef[Reference '#]),0),AssetMonthlyReturns[[#This Row],[SPY]:[PE]])</f>
        <v>4.7926053624748728E-2</v>
      </c>
      <c r="TX102" s="27">
        <f>IF(ISNUMBER(TX101),TX101*(1+PortfolioFrontier[[#This Row],[P136 Return]]),1+PortfolioFrontier[[#This Row],[P136 Return]])</f>
        <v>1.8306732372427426</v>
      </c>
      <c r="TY102" s="27">
        <f>MAX(TY101,PortfolioFrontier[[#This Row],[P136 Growth]])</f>
        <v>1.8306732372427426</v>
      </c>
      <c r="TZ102" s="27">
        <f>PortfolioFrontier[[#This Row],[P136 Growth]]/PortfolioFrontier[[#This Row],[P136 HWM]]-1</f>
        <v>0</v>
      </c>
      <c r="UA102" s="28">
        <f>SUMPRODUCT(INDEX(PortfolioRef[[SPY]:[PE]],MATCH(UA$1,PortfolioRef[Reference '#]),0),AssetMonthlyReturns[[#This Row],[SPY]:[PE]])</f>
        <v>4.3242756770390418E-2</v>
      </c>
      <c r="UB102" s="27">
        <f>IF(ISNUMBER(UB101),UB101*(1+PortfolioFrontier[[#This Row],[P137 Return]]),1+PortfolioFrontier[[#This Row],[P137 Return]])</f>
        <v>1.8187362126263928</v>
      </c>
      <c r="UC102" s="27">
        <f>MAX(UC101,PortfolioFrontier[[#This Row],[P137 Growth]])</f>
        <v>1.8187362126263928</v>
      </c>
      <c r="UD102" s="27">
        <f>PortfolioFrontier[[#This Row],[P137 Growth]]/PortfolioFrontier[[#This Row],[P137 HWM]]-1</f>
        <v>0</v>
      </c>
      <c r="UE102" s="28">
        <f>SUMPRODUCT(INDEX(PortfolioRef[[SPY]:[PE]],MATCH(UE$1,PortfolioRef[Reference '#]),0),AssetMonthlyReturns[[#This Row],[SPY]:[PE]])</f>
        <v>3.8559459916032102E-2</v>
      </c>
      <c r="UF102" s="27">
        <f>IF(ISNUMBER(UF101),UF101*(1+PortfolioFrontier[[#This Row],[P138 Return]]),1+PortfolioFrontier[[#This Row],[P138 Return]])</f>
        <v>1.8054065071972458</v>
      </c>
      <c r="UG102" s="27">
        <f>MAX(UG101,PortfolioFrontier[[#This Row],[P138 Growth]])</f>
        <v>1.8054065071972458</v>
      </c>
      <c r="UH102" s="27">
        <f>PortfolioFrontier[[#This Row],[P138 Growth]]/PortfolioFrontier[[#This Row],[P138 HWM]]-1</f>
        <v>0</v>
      </c>
      <c r="UI102" s="28">
        <f>SUMPRODUCT(INDEX(PortfolioRef[[SPY]:[PE]],MATCH(UI$1,PortfolioRef[Reference '#]),0),AssetMonthlyReturns[[#This Row],[SPY]:[PE]])</f>
        <v>4.988303779161974E-2</v>
      </c>
      <c r="UJ102" s="27">
        <f>IF(ISNUMBER(UJ101),UJ101*(1+PortfolioFrontier[[#This Row],[P139 Return]]),1+PortfolioFrontier[[#This Row],[P139 Return]])</f>
        <v>1.8100616045924358</v>
      </c>
      <c r="UK102" s="27">
        <f>MAX(UK101,PortfolioFrontier[[#This Row],[P139 Growth]])</f>
        <v>1.8100616045924358</v>
      </c>
      <c r="UL102" s="27">
        <f>PortfolioFrontier[[#This Row],[P139 Growth]]/PortfolioFrontier[[#This Row],[P139 HWM]]-1</f>
        <v>0</v>
      </c>
      <c r="UM102" s="28">
        <f>SUMPRODUCT(INDEX(PortfolioRef[[SPY]:[PE]],MATCH(UM$1,PortfolioRef[Reference '#]),0),AssetMonthlyReturns[[#This Row],[SPY]:[PE]])</f>
        <v>4.519974093726143E-2</v>
      </c>
      <c r="UN102" s="27">
        <f>IF(ISNUMBER(UN101),UN101*(1+PortfolioFrontier[[#This Row],[P140 Return]]),1+PortfolioFrontier[[#This Row],[P140 Return]])</f>
        <v>1.7993738982646821</v>
      </c>
      <c r="UO102" s="27">
        <f>MAX(UO101,PortfolioFrontier[[#This Row],[P140 Growth]])</f>
        <v>1.7993738982646821</v>
      </c>
      <c r="UP102" s="27">
        <f>PortfolioFrontier[[#This Row],[P140 Growth]]/PortfolioFrontier[[#This Row],[P140 HWM]]-1</f>
        <v>0</v>
      </c>
      <c r="UQ102" s="28">
        <f>SUMPRODUCT(INDEX(PortfolioRef[[SPY]:[PE]],MATCH(UQ$1,PortfolioRef[Reference '#]),0),AssetMonthlyReturns[[#This Row],[SPY]:[PE]])</f>
        <v>4.0516444082903114E-2</v>
      </c>
      <c r="UR102" s="27">
        <f>IF(ISNUMBER(UR101),UR101*(1+PortfolioFrontier[[#This Row],[P141 Return]]),1+PortfolioFrontier[[#This Row],[P141 Return]])</f>
        <v>1.787288373573825</v>
      </c>
      <c r="US102" s="27">
        <f>MAX(US101,PortfolioFrontier[[#This Row],[P141 Growth]])</f>
        <v>1.787288373573825</v>
      </c>
      <c r="UT102" s="27">
        <f>PortfolioFrontier[[#This Row],[P141 Growth]]/PortfolioFrontier[[#This Row],[P141 HWM]]-1</f>
        <v>0</v>
      </c>
    </row>
    <row r="103" spans="2:566" x14ac:dyDescent="0.2">
      <c r="B103" s="41">
        <f>AssetMonthlyReturns[[#This Row],[Date]]</f>
        <v>45505</v>
      </c>
      <c r="C103" s="28">
        <f>SUMPRODUCT(INDEX(PortfolioRef[[SPY]:[PE]],MATCH(C$1,PortfolioRef[Reference '#]),0),AssetMonthlyReturns[[#This Row],[SPY]:[PE]])</f>
        <v>2.1356714782467513E-2</v>
      </c>
      <c r="D103" s="29">
        <f>IF(ISNUMBER(D102),D102*(1+PortfolioFrontier[[#This Row],[P1 Return]]),1+PortfolioFrontier[[#This Row],[P1 Return]])</f>
        <v>2.2652070663642068</v>
      </c>
      <c r="E103" s="29">
        <f>MAX(E102,PortfolioFrontier[[#This Row],[P1 Growth]])</f>
        <v>2.2652070663642068</v>
      </c>
      <c r="F103" s="29">
        <f>PortfolioFrontier[[#This Row],[P1 Growth]]/PortfolioFrontier[[#This Row],[P1 HWM]]-1</f>
        <v>0</v>
      </c>
      <c r="G103" s="28">
        <f>SUMPRODUCT(INDEX(PortfolioRef[[SPY]:[PE]],MATCH(G$1,PortfolioRef[Reference '#]),0),AssetMonthlyReturns[[#This Row],[SPY]:[PE]])</f>
        <v>2.0920876567481695E-2</v>
      </c>
      <c r="H103" s="27">
        <f>IF(ISNUMBER(H102),H102*(1+PortfolioFrontier[[#This Row],[P2 Return]]),1+PortfolioFrontier[[#This Row],[P2 Return]])</f>
        <v>2.1530872552958704</v>
      </c>
      <c r="I103" s="27">
        <f>MAX(I102,PortfolioFrontier[[#This Row],[P2 Growth]])</f>
        <v>2.1530872552958704</v>
      </c>
      <c r="J103" s="27">
        <f>PortfolioFrontier[[#This Row],[P2 Growth]]/PortfolioFrontier[[#This Row],[P2 HWM]]-1</f>
        <v>0</v>
      </c>
      <c r="K103" s="28">
        <f>SUMPRODUCT(INDEX(PortfolioRef[[SPY]:[PE]],MATCH(K$1,PortfolioRef[Reference '#]),0),AssetMonthlyReturns[[#This Row],[SPY]:[PE]])</f>
        <v>2.1234561881245572E-2</v>
      </c>
      <c r="L103" s="27">
        <f>IF(ISNUMBER(L102),L102*(1+PortfolioFrontier[[#This Row],[P3 Return]]),1+PortfolioFrontier[[#This Row],[P3 Return]])</f>
        <v>2.2139925619124914</v>
      </c>
      <c r="M103" s="27">
        <f>MAX(M102,PortfolioFrontier[[#This Row],[P3 Growth]])</f>
        <v>2.2139925619124914</v>
      </c>
      <c r="N103" s="27">
        <f>PortfolioFrontier[[#This Row],[P3 Growth]]/PortfolioFrontier[[#This Row],[P3 HWM]]-1</f>
        <v>0</v>
      </c>
      <c r="O103" s="28">
        <f>SUMPRODUCT(INDEX(PortfolioRef[[SPY]:[PE]],MATCH(O$1,PortfolioRef[Reference '#]),0),AssetMonthlyReturns[[#This Row],[SPY]:[PE]])</f>
        <v>2.2798762995584431E-2</v>
      </c>
      <c r="P103" s="27">
        <f>IF(ISNUMBER(P102),P102*(1+PortfolioFrontier[[#This Row],[P4 Return]]),1+PortfolioFrontier[[#This Row],[P4 Return]])</f>
        <v>2.1943261316395608</v>
      </c>
      <c r="Q103" s="27">
        <f>MAX(Q102,PortfolioFrontier[[#This Row],[P4 Growth]])</f>
        <v>2.1943261316395608</v>
      </c>
      <c r="R103" s="27">
        <f>PortfolioFrontier[[#This Row],[P4 Growth]]/PortfolioFrontier[[#This Row],[P4 HWM]]-1</f>
        <v>0</v>
      </c>
      <c r="S103" s="28">
        <f>SUMPRODUCT(INDEX(PortfolioRef[[SPY]:[PE]],MATCH(S$1,PortfolioRef[Reference '#]),0),AssetMonthlyReturns[[#This Row],[SPY]:[PE]])</f>
        <v>1.9686160115477105E-2</v>
      </c>
      <c r="T103" s="27">
        <f>IF(ISNUMBER(T102),T102*(1+PortfolioFrontier[[#This Row],[P5 Return]]),1+PortfolioFrontier[[#This Row],[P5 Return]])</f>
        <v>2.1720788515897551</v>
      </c>
      <c r="U103" s="27">
        <f>MAX(U102,PortfolioFrontier[[#This Row],[P5 Growth]])</f>
        <v>2.1720788515897551</v>
      </c>
      <c r="V103" s="27">
        <f>PortfolioFrontier[[#This Row],[P5 Growth]]/PortfolioFrontier[[#This Row],[P5 HWM]]-1</f>
        <v>0</v>
      </c>
      <c r="W103" s="28">
        <f>SUMPRODUCT(INDEX(PortfolioRef[[SPY]:[PE]],MATCH(W$1,PortfolioRef[Reference '#]),0),AssetMonthlyReturns[[#This Row],[SPY]:[PE]])</f>
        <v>2.0485038352495877E-2</v>
      </c>
      <c r="X103" s="27">
        <f>IF(ISNUMBER(X102),X102*(1+PortfolioFrontier[[#This Row],[P6 Return]]),1+PortfolioFrontier[[#This Row],[P6 Return]])</f>
        <v>2.0455488937381738</v>
      </c>
      <c r="Y103" s="27">
        <f>MAX(Y102,PortfolioFrontier[[#This Row],[P6 Growth]])</f>
        <v>2.0455488937381738</v>
      </c>
      <c r="Z103" s="27">
        <f>PortfolioFrontier[[#This Row],[P6 Growth]]/PortfolioFrontier[[#This Row],[P6 HWM]]-1</f>
        <v>0</v>
      </c>
      <c r="AA103" s="28">
        <f>SUMPRODUCT(INDEX(PortfolioRef[[SPY]:[PE]],MATCH(AA$1,PortfolioRef[Reference '#]),0),AssetMonthlyReturns[[#This Row],[SPY]:[PE]])</f>
        <v>2.0798723666259757E-2</v>
      </c>
      <c r="AB103" s="27">
        <f>IF(ISNUMBER(AB102),AB102*(1+PortfolioFrontier[[#This Row],[P7 Return]]),1+PortfolioFrontier[[#This Row],[P7 Return]])</f>
        <v>2.1034243564746702</v>
      </c>
      <c r="AC103" s="27">
        <f>MAX(AC102,PortfolioFrontier[[#This Row],[P7 Growth]])</f>
        <v>2.1034243564746702</v>
      </c>
      <c r="AD103" s="27">
        <f>PortfolioFrontier[[#This Row],[P7 Growth]]/PortfolioFrontier[[#This Row],[P7 HWM]]-1</f>
        <v>0</v>
      </c>
      <c r="AE103" s="28">
        <f>SUMPRODUCT(INDEX(PortfolioRef[[SPY]:[PE]],MATCH(AE$1,PortfolioRef[Reference '#]),0),AssetMonthlyReturns[[#This Row],[SPY]:[PE]])</f>
        <v>2.2362924780598616E-2</v>
      </c>
      <c r="AF103" s="27">
        <f>IF(ISNUMBER(AF102),AF102*(1+PortfolioFrontier[[#This Row],[P8 Return]]),1+PortfolioFrontier[[#This Row],[P8 Return]])</f>
        <v>2.0855446771116206</v>
      </c>
      <c r="AG103" s="27">
        <f>MAX(AG102,PortfolioFrontier[[#This Row],[P8 Growth]])</f>
        <v>2.0855446771116206</v>
      </c>
      <c r="AH103" s="27">
        <f>PortfolioFrontier[[#This Row],[P8 Growth]]/PortfolioFrontier[[#This Row],[P8 HWM]]-1</f>
        <v>0</v>
      </c>
      <c r="AI103" s="28">
        <f>SUMPRODUCT(INDEX(PortfolioRef[[SPY]:[PE]],MATCH(AI$1,PortfolioRef[Reference '#]),0),AssetMonthlyReturns[[#This Row],[SPY]:[PE]])</f>
        <v>1.925032190049129E-2</v>
      </c>
      <c r="AJ103" s="27">
        <f>IF(ISNUMBER(AJ102),AJ102*(1+PortfolioFrontier[[#This Row],[P9 Return]]),1+PortfolioFrontier[[#This Row],[P9 Return]])</f>
        <v>2.0636102199356277</v>
      </c>
      <c r="AK103" s="27">
        <f>MAX(AK102,PortfolioFrontier[[#This Row],[P9 Growth]])</f>
        <v>2.0636102199356277</v>
      </c>
      <c r="AL103" s="27">
        <f>PortfolioFrontier[[#This Row],[P9 Growth]]/PortfolioFrontier[[#This Row],[P9 HWM]]-1</f>
        <v>0</v>
      </c>
      <c r="AM103" s="28">
        <f>SUMPRODUCT(INDEX(PortfolioRef[[SPY]:[PE]],MATCH(AM$1,PortfolioRef[Reference '#]),0),AssetMonthlyReturns[[#This Row],[SPY]:[PE]])</f>
        <v>2.1112408980023634E-2</v>
      </c>
      <c r="AN103" s="27">
        <f>IF(ISNUMBER(AN102),AN102*(1+PortfolioFrontier[[#This Row],[P10 Return]]),1+PortfolioFrontier[[#This Row],[P10 Return]])</f>
        <v>2.1622948044049464</v>
      </c>
      <c r="AO103" s="27">
        <f>MAX(AO102,PortfolioFrontier[[#This Row],[P10 Growth]])</f>
        <v>2.1622948044049464</v>
      </c>
      <c r="AP103" s="27">
        <f>PortfolioFrontier[[#This Row],[P10 Growth]]/PortfolioFrontier[[#This Row],[P10 HWM]]-1</f>
        <v>0</v>
      </c>
      <c r="AQ103" s="28">
        <f>SUMPRODUCT(INDEX(PortfolioRef[[SPY]:[PE]],MATCH(AQ$1,PortfolioRef[Reference '#]),0),AssetMonthlyReturns[[#This Row],[SPY]:[PE]])</f>
        <v>2.2676610094362493E-2</v>
      </c>
      <c r="AR103" s="27">
        <f>IF(ISNUMBER(AR102),AR102*(1+PortfolioFrontier[[#This Row],[P11 Return]]),1+PortfolioFrontier[[#This Row],[P11 Return]])</f>
        <v>2.1445198797145912</v>
      </c>
      <c r="AS103" s="27">
        <f>MAX(AS102,PortfolioFrontier[[#This Row],[P11 Growth]])</f>
        <v>2.1445198797145912</v>
      </c>
      <c r="AT103" s="27">
        <f>PortfolioFrontier[[#This Row],[P11 Growth]]/PortfolioFrontier[[#This Row],[P11 HWM]]-1</f>
        <v>0</v>
      </c>
      <c r="AU103" s="28">
        <f>SUMPRODUCT(INDEX(PortfolioRef[[SPY]:[PE]],MATCH(AU$1,PortfolioRef[Reference '#]),0),AssetMonthlyReturns[[#This Row],[SPY]:[PE]])</f>
        <v>1.9564007214255167E-2</v>
      </c>
      <c r="AV103" s="27">
        <f>IF(ISNUMBER(AV102),AV102*(1+PortfolioFrontier[[#This Row],[P12 Return]]),1+PortfolioFrontier[[#This Row],[P12 Return]])</f>
        <v>2.1219873019437485</v>
      </c>
      <c r="AW103" s="27">
        <f>MAX(AW102,PortfolioFrontier[[#This Row],[P12 Growth]])</f>
        <v>2.1219873019437485</v>
      </c>
      <c r="AX103" s="27">
        <f>PortfolioFrontier[[#This Row],[P12 Growth]]/PortfolioFrontier[[#This Row],[P12 HWM]]-1</f>
        <v>0</v>
      </c>
      <c r="AY103" s="28">
        <f>SUMPRODUCT(INDEX(PortfolioRef[[SPY]:[PE]],MATCH(AY$1,PortfolioRef[Reference '#]),0),AssetMonthlyReturns[[#This Row],[SPY]:[PE]])</f>
        <v>2.4240811208701352E-2</v>
      </c>
      <c r="AZ103" s="27">
        <f>IF(ISNUMBER(AZ102),AZ102*(1+PortfolioFrontier[[#This Row],[P13 Return]]),1+PortfolioFrontier[[#This Row],[P13 Return]])</f>
        <v>2.1250986535133891</v>
      </c>
      <c r="BA103" s="27">
        <f>MAX(BA102,PortfolioFrontier[[#This Row],[P13 Growth]])</f>
        <v>2.1250986535133891</v>
      </c>
      <c r="BB103" s="27">
        <f>PortfolioFrontier[[#This Row],[P13 Growth]]/PortfolioFrontier[[#This Row],[P13 HWM]]-1</f>
        <v>0</v>
      </c>
      <c r="BC103" s="28">
        <f>SUMPRODUCT(INDEX(PortfolioRef[[SPY]:[PE]],MATCH(BC$1,PortfolioRef[Reference '#]),0),AssetMonthlyReturns[[#This Row],[SPY]:[PE]])</f>
        <v>2.1128208328594026E-2</v>
      </c>
      <c r="BD103" s="27">
        <f>IF(ISNUMBER(BD102),BD102*(1+PortfolioFrontier[[#This Row],[P14 Return]]),1+PortfolioFrontier[[#This Row],[P14 Return]])</f>
        <v>2.1040741877877043</v>
      </c>
      <c r="BE103" s="27">
        <f>MAX(BE102,PortfolioFrontier[[#This Row],[P14 Growth]])</f>
        <v>2.1040741877877043</v>
      </c>
      <c r="BF103" s="27">
        <f>PortfolioFrontier[[#This Row],[P14 Growth]]/PortfolioFrontier[[#This Row],[P14 HWM]]-1</f>
        <v>0</v>
      </c>
      <c r="BG103" s="28">
        <f>SUMPRODUCT(INDEX(PortfolioRef[[SPY]:[PE]],MATCH(BG$1,PortfolioRef[Reference '#]),0),AssetMonthlyReturns[[#This Row],[SPY]:[PE]])</f>
        <v>1.8015605448486696E-2</v>
      </c>
      <c r="BH103" s="27">
        <f>IF(ISNUMBER(BH102),BH102*(1+PortfolioFrontier[[#This Row],[P15 Return]]),1+PortfolioFrontier[[#This Row],[P15 Return]])</f>
        <v>2.0815454343856388</v>
      </c>
      <c r="BI103" s="27">
        <f>MAX(BI102,PortfolioFrontier[[#This Row],[P15 Growth]])</f>
        <v>2.0815454343856388</v>
      </c>
      <c r="BJ103" s="27">
        <f>PortfolioFrontier[[#This Row],[P15 Growth]]/PortfolioFrontier[[#This Row],[P15 HWM]]-1</f>
        <v>0</v>
      </c>
      <c r="BK103" s="28">
        <f>SUMPRODUCT(INDEX(PortfolioRef[[SPY]:[PE]],MATCH(BK$1,PortfolioRef[Reference '#]),0),AssetMonthlyReturns[[#This Row],[SPY]:[PE]])</f>
        <v>2.0049200137510059E-2</v>
      </c>
      <c r="BL103" s="27">
        <f>IF(ISNUMBER(BL102),BL102*(1+PortfolioFrontier[[#This Row],[P16 Return]]),1+PortfolioFrontier[[#This Row],[P16 Return]])</f>
        <v>1.9424623915503973</v>
      </c>
      <c r="BM103" s="27">
        <f>MAX(BM102,PortfolioFrontier[[#This Row],[P16 Growth]])</f>
        <v>1.9424623915503973</v>
      </c>
      <c r="BN103" s="27">
        <f>PortfolioFrontier[[#This Row],[P16 Growth]]/PortfolioFrontier[[#This Row],[P16 HWM]]-1</f>
        <v>0</v>
      </c>
      <c r="BO103" s="28">
        <f>SUMPRODUCT(INDEX(PortfolioRef[[SPY]:[PE]],MATCH(BO$1,PortfolioRef[Reference '#]),0),AssetMonthlyReturns[[#This Row],[SPY]:[PE]])</f>
        <v>2.0362885451273939E-2</v>
      </c>
      <c r="BP103" s="27">
        <f>IF(ISNUMBER(BP102),BP102*(1+PortfolioFrontier[[#This Row],[P17 Return]]),1+PortfolioFrontier[[#This Row],[P17 Return]])</f>
        <v>1.9974333418872285</v>
      </c>
      <c r="BQ103" s="27">
        <f>MAX(BQ102,PortfolioFrontier[[#This Row],[P17 Growth]])</f>
        <v>1.9974333418872285</v>
      </c>
      <c r="BR103" s="27">
        <f>PortfolioFrontier[[#This Row],[P17 Growth]]/PortfolioFrontier[[#This Row],[P17 HWM]]-1</f>
        <v>0</v>
      </c>
      <c r="BS103" s="28">
        <f>SUMPRODUCT(INDEX(PortfolioRef[[SPY]:[PE]],MATCH(BS$1,PortfolioRef[Reference '#]),0),AssetMonthlyReturns[[#This Row],[SPY]:[PE]])</f>
        <v>2.1927086565612795E-2</v>
      </c>
      <c r="BT103" s="27">
        <f>IF(ISNUMBER(BT102),BT102*(1+PortfolioFrontier[[#This Row],[P18 Return]]),1+PortfolioFrontier[[#This Row],[P18 Return]])</f>
        <v>1.9812170535024678</v>
      </c>
      <c r="BU103" s="27">
        <f>MAX(BU102,PortfolioFrontier[[#This Row],[P18 Growth]])</f>
        <v>1.9812170535024678</v>
      </c>
      <c r="BV103" s="27">
        <f>PortfolioFrontier[[#This Row],[P18 Growth]]/PortfolioFrontier[[#This Row],[P18 HWM]]-1</f>
        <v>0</v>
      </c>
      <c r="BW103" s="28">
        <f>SUMPRODUCT(INDEX(PortfolioRef[[SPY]:[PE]],MATCH(BW$1,PortfolioRef[Reference '#]),0),AssetMonthlyReturns[[#This Row],[SPY]:[PE]])</f>
        <v>1.8814483685505468E-2</v>
      </c>
      <c r="BX103" s="27">
        <f>IF(ISNUMBER(BX102),BX102*(1+PortfolioFrontier[[#This Row],[P19 Return]]),1+PortfolioFrontier[[#This Row],[P19 Return]])</f>
        <v>1.959630904424607</v>
      </c>
      <c r="BY103" s="27">
        <f>MAX(BY102,PortfolioFrontier[[#This Row],[P19 Growth]])</f>
        <v>1.959630904424607</v>
      </c>
      <c r="BZ103" s="27">
        <f>PortfolioFrontier[[#This Row],[P19 Growth]]/PortfolioFrontier[[#This Row],[P19 HWM]]-1</f>
        <v>0</v>
      </c>
      <c r="CA103" s="28">
        <f>SUMPRODUCT(INDEX(PortfolioRef[[SPY]:[PE]],MATCH(CA$1,PortfolioRef[Reference '#]),0),AssetMonthlyReturns[[#This Row],[SPY]:[PE]])</f>
        <v>2.0676570765037816E-2</v>
      </c>
      <c r="CB103" s="27">
        <f>IF(ISNUMBER(CB102),CB102*(1+PortfolioFrontier[[#This Row],[P20 Return]]),1+PortfolioFrontier[[#This Row],[P20 Return]])</f>
        <v>2.0533487502490333</v>
      </c>
      <c r="CC103" s="27">
        <f>MAX(CC102,PortfolioFrontier[[#This Row],[P20 Growth]])</f>
        <v>2.0533487502490333</v>
      </c>
      <c r="CD103" s="27">
        <f>PortfolioFrontier[[#This Row],[P20 Growth]]/PortfolioFrontier[[#This Row],[P20 HWM]]-1</f>
        <v>0</v>
      </c>
      <c r="CE103" s="28">
        <f>SUMPRODUCT(INDEX(PortfolioRef[[SPY]:[PE]],MATCH(CE$1,PortfolioRef[Reference '#]),0),AssetMonthlyReturns[[#This Row],[SPY]:[PE]])</f>
        <v>2.2240771879376672E-2</v>
      </c>
      <c r="CF103" s="27">
        <f>IF(ISNUMBER(CF102),CF102*(1+PortfolioFrontier[[#This Row],[P21 Return]]),1+PortfolioFrontier[[#This Row],[P21 Return]])</f>
        <v>2.0372541019443209</v>
      </c>
      <c r="CG103" s="27">
        <f>MAX(CG102,PortfolioFrontier[[#This Row],[P21 Growth]])</f>
        <v>2.0372541019443209</v>
      </c>
      <c r="CH103" s="27">
        <f>PortfolioFrontier[[#This Row],[P21 Growth]]/PortfolioFrontier[[#This Row],[P21 HWM]]-1</f>
        <v>0</v>
      </c>
      <c r="CI103" s="28">
        <f>SUMPRODUCT(INDEX(PortfolioRef[[SPY]:[PE]],MATCH(CI$1,PortfolioRef[Reference '#]),0),AssetMonthlyReturns[[#This Row],[SPY]:[PE]])</f>
        <v>1.9128168999269345E-2</v>
      </c>
      <c r="CJ103" s="27">
        <f>IF(ISNUMBER(CJ102),CJ102*(1+PortfolioFrontier[[#This Row],[P22 Return]]),1+PortfolioFrontier[[#This Row],[P22 Return]])</f>
        <v>2.0150788448333463</v>
      </c>
      <c r="CK103" s="27">
        <f>MAX(CK102,PortfolioFrontier[[#This Row],[P22 Growth]])</f>
        <v>2.0150788448333463</v>
      </c>
      <c r="CL103" s="27">
        <f>PortfolioFrontier[[#This Row],[P22 Growth]]/PortfolioFrontier[[#This Row],[P22 HWM]]-1</f>
        <v>0</v>
      </c>
      <c r="CM103" s="28">
        <f>SUMPRODUCT(INDEX(PortfolioRef[[SPY]:[PE]],MATCH(CM$1,PortfolioRef[Reference '#]),0),AssetMonthlyReturns[[#This Row],[SPY]:[PE]])</f>
        <v>2.3804972993715538E-2</v>
      </c>
      <c r="CN103" s="27">
        <f>IF(ISNUMBER(CN102),CN102*(1+PortfolioFrontier[[#This Row],[P23 Return]]),1+PortfolioFrontier[[#This Row],[P23 Return]])</f>
        <v>2.0195843332852585</v>
      </c>
      <c r="CO103" s="27">
        <f>MAX(CO102,PortfolioFrontier[[#This Row],[P23 Growth]])</f>
        <v>2.0195843332852585</v>
      </c>
      <c r="CP103" s="27">
        <f>PortfolioFrontier[[#This Row],[P23 Growth]]/PortfolioFrontier[[#This Row],[P23 HWM]]-1</f>
        <v>0</v>
      </c>
      <c r="CQ103" s="28">
        <f>SUMPRODUCT(INDEX(PortfolioRef[[SPY]:[PE]],MATCH(CQ$1,PortfolioRef[Reference '#]),0),AssetMonthlyReturns[[#This Row],[SPY]:[PE]])</f>
        <v>2.0692370113608204E-2</v>
      </c>
      <c r="CR103" s="27">
        <f>IF(ISNUMBER(CR102),CR102*(1+PortfolioFrontier[[#This Row],[P24 Return]]),1+PortfolioFrontier[[#This Row],[P24 Return]])</f>
        <v>1.9988373567738917</v>
      </c>
      <c r="CS103" s="27">
        <f>MAX(CS102,PortfolioFrontier[[#This Row],[P24 Growth]])</f>
        <v>1.9988373567738917</v>
      </c>
      <c r="CT103" s="27">
        <f>PortfolioFrontier[[#This Row],[P24 Growth]]/PortfolioFrontier[[#This Row],[P24 HWM]]-1</f>
        <v>0</v>
      </c>
      <c r="CU103" s="28">
        <f>SUMPRODUCT(INDEX(PortfolioRef[[SPY]:[PE]],MATCH(CU$1,PortfolioRef[Reference '#]),0),AssetMonthlyReturns[[#This Row],[SPY]:[PE]])</f>
        <v>1.7579767233500875E-2</v>
      </c>
      <c r="CV103" s="27">
        <f>IF(ISNUMBER(CV102),CV102*(1+PortfolioFrontier[[#This Row],[P25 Return]]),1+PortfolioFrontier[[#This Row],[P25 Return]])</f>
        <v>1.976679975214541</v>
      </c>
      <c r="CW103" s="27">
        <f>MAX(CW102,PortfolioFrontier[[#This Row],[P25 Growth]])</f>
        <v>1.976679975214541</v>
      </c>
      <c r="CX103" s="27">
        <f>PortfolioFrontier[[#This Row],[P25 Growth]]/PortfolioFrontier[[#This Row],[P25 HWM]]-1</f>
        <v>0</v>
      </c>
      <c r="CY103" s="28">
        <f>SUMPRODUCT(INDEX(PortfolioRef[[SPY]:[PE]],MATCH(CY$1,PortfolioRef[Reference '#]),0),AssetMonthlyReturns[[#This Row],[SPY]:[PE]])</f>
        <v>2.2554457193140552E-2</v>
      </c>
      <c r="CZ103" s="27">
        <f>IF(ISNUMBER(CZ102),CZ102*(1+PortfolioFrontier[[#This Row],[P26 Return]]),1+PortfolioFrontier[[#This Row],[P26 Return]])</f>
        <v>2.0942533331137416</v>
      </c>
      <c r="DA103" s="27">
        <f>MAX(DA102,PortfolioFrontier[[#This Row],[P26 Growth]])</f>
        <v>2.0942533331137416</v>
      </c>
      <c r="DB103" s="27">
        <f>PortfolioFrontier[[#This Row],[P26 Growth]]/PortfolioFrontier[[#This Row],[P26 HWM]]-1</f>
        <v>0</v>
      </c>
      <c r="DC103" s="28">
        <f>SUMPRODUCT(INDEX(PortfolioRef[[SPY]:[PE]],MATCH(DC$1,PortfolioRef[Reference '#]),0),AssetMonthlyReturns[[#This Row],[SPY]:[PE]])</f>
        <v>1.9441854313033226E-2</v>
      </c>
      <c r="DD103" s="27">
        <f>IF(ISNUMBER(DD102),DD102*(1+PortfolioFrontier[[#This Row],[P27 Return]]),1+PortfolioFrontier[[#This Row],[P27 Return]])</f>
        <v>2.0714794919264823</v>
      </c>
      <c r="DE103" s="27">
        <f>MAX(DE102,PortfolioFrontier[[#This Row],[P27 Growth]])</f>
        <v>2.0714794919264823</v>
      </c>
      <c r="DF103" s="27">
        <f>PortfolioFrontier[[#This Row],[P27 Growth]]/PortfolioFrontier[[#This Row],[P27 HWM]]-1</f>
        <v>0</v>
      </c>
      <c r="DG103" s="28">
        <f>SUMPRODUCT(INDEX(PortfolioRef[[SPY]:[PE]],MATCH(DG$1,PortfolioRef[Reference '#]),0),AssetMonthlyReturns[[#This Row],[SPY]:[PE]])</f>
        <v>2.4118658307479415E-2</v>
      </c>
      <c r="DH103" s="27">
        <f>IF(ISNUMBER(DH102),DH102*(1+PortfolioFrontier[[#This Row],[P28 Return]]),1+PortfolioFrontier[[#This Row],[P28 Return]])</f>
        <v>2.0766760277575216</v>
      </c>
      <c r="DI103" s="27">
        <f>MAX(DI102,PortfolioFrontier[[#This Row],[P28 Growth]])</f>
        <v>2.0766760277575216</v>
      </c>
      <c r="DJ103" s="27">
        <f>PortfolioFrontier[[#This Row],[P28 Growth]]/PortfolioFrontier[[#This Row],[P28 HWM]]-1</f>
        <v>0</v>
      </c>
      <c r="DK103" s="28">
        <f>SUMPRODUCT(INDEX(PortfolioRef[[SPY]:[PE]],MATCH(DK$1,PortfolioRef[Reference '#]),0),AssetMonthlyReturns[[#This Row],[SPY]:[PE]])</f>
        <v>2.1006055427372081E-2</v>
      </c>
      <c r="DL103" s="27">
        <f>IF(ISNUMBER(DL102),DL102*(1+PortfolioFrontier[[#This Row],[P29 Return]]),1+PortfolioFrontier[[#This Row],[P29 Return]])</f>
        <v>2.0553636635885502</v>
      </c>
      <c r="DM103" s="27">
        <f>MAX(DM102,PortfolioFrontier[[#This Row],[P29 Growth]])</f>
        <v>2.0553636635885502</v>
      </c>
      <c r="DN103" s="27">
        <f>PortfolioFrontier[[#This Row],[P29 Growth]]/PortfolioFrontier[[#This Row],[P29 HWM]]-1</f>
        <v>0</v>
      </c>
      <c r="DO103" s="28">
        <f>SUMPRODUCT(INDEX(PortfolioRef[[SPY]:[PE]],MATCH(DO$1,PortfolioRef[Reference '#]),0),AssetMonthlyReturns[[#This Row],[SPY]:[PE]])</f>
        <v>1.7893452547264752E-2</v>
      </c>
      <c r="DP103" s="27">
        <f>IF(ISNUMBER(DP102),DP102*(1+PortfolioFrontier[[#This Row],[P30 Return]]),1+PortfolioFrontier[[#This Row],[P30 Return]])</f>
        <v>2.0326015572887712</v>
      </c>
      <c r="DQ103" s="27">
        <f>MAX(DQ102,PortfolioFrontier[[#This Row],[P30 Growth]])</f>
        <v>2.0326015572887712</v>
      </c>
      <c r="DR103" s="27">
        <f>PortfolioFrontier[[#This Row],[P30 Growth]]/PortfolioFrontier[[#This Row],[P30 HWM]]-1</f>
        <v>0</v>
      </c>
      <c r="DS103" s="28">
        <f>SUMPRODUCT(INDEX(PortfolioRef[[SPY]:[PE]],MATCH(DS$1,PortfolioRef[Reference '#]),0),AssetMonthlyReturns[[#This Row],[SPY]:[PE]])</f>
        <v>2.5682859421818274E-2</v>
      </c>
      <c r="DT103" s="27">
        <f>IF(ISNUMBER(DT102),DT102*(1+PortfolioFrontier[[#This Row],[P31 Return]]),1+PortfolioFrontier[[#This Row],[P31 Return]])</f>
        <v>2.0575079781503294</v>
      </c>
      <c r="DU103" s="27">
        <f>MAX(DU102,PortfolioFrontier[[#This Row],[P31 Growth]])</f>
        <v>2.0575079781503294</v>
      </c>
      <c r="DV103" s="27">
        <f>PortfolioFrontier[[#This Row],[P31 Growth]]/PortfolioFrontier[[#This Row],[P31 HWM]]-1</f>
        <v>0</v>
      </c>
      <c r="DW103" s="28">
        <f>SUMPRODUCT(INDEX(PortfolioRef[[SPY]:[PE]],MATCH(DW$1,PortfolioRef[Reference '#]),0),AssetMonthlyReturns[[#This Row],[SPY]:[PE]])</f>
        <v>2.2570256541710947E-2</v>
      </c>
      <c r="DX103" s="27">
        <f>IF(ISNUMBER(DX102),DX102*(1+PortfolioFrontier[[#This Row],[P32 Return]]),1+PortfolioFrontier[[#This Row],[P32 Return]])</f>
        <v>2.0376574259660636</v>
      </c>
      <c r="DY103" s="27">
        <f>MAX(DY102,PortfolioFrontier[[#This Row],[P32 Growth]])</f>
        <v>2.0376574259660636</v>
      </c>
      <c r="DZ103" s="27">
        <f>PortfolioFrontier[[#This Row],[P32 Growth]]/PortfolioFrontier[[#This Row],[P32 HWM]]-1</f>
        <v>0</v>
      </c>
      <c r="EA103" s="28">
        <f>SUMPRODUCT(INDEX(PortfolioRef[[SPY]:[PE]],MATCH(EA$1,PortfolioRef[Reference '#]),0),AssetMonthlyReturns[[#This Row],[SPY]:[PE]])</f>
        <v>1.9457653661603611E-2</v>
      </c>
      <c r="EB103" s="27">
        <f>IF(ISNUMBER(EB102),EB102*(1+PortfolioFrontier[[#This Row],[P33 Return]]),1+PortfolioFrontier[[#This Row],[P33 Return]])</f>
        <v>2.0163378050190413</v>
      </c>
      <c r="EC103" s="27">
        <f>MAX(EC102,PortfolioFrontier[[#This Row],[P33 Growth]])</f>
        <v>2.0163378050190413</v>
      </c>
      <c r="ED103" s="27">
        <f>PortfolioFrontier[[#This Row],[P33 Growth]]/PortfolioFrontier[[#This Row],[P33 HWM]]-1</f>
        <v>0</v>
      </c>
      <c r="EE103" s="28">
        <f>SUMPRODUCT(INDEX(PortfolioRef[[SPY]:[PE]],MATCH(EE$1,PortfolioRef[Reference '#]),0),AssetMonthlyReturns[[#This Row],[SPY]:[PE]])</f>
        <v>1.9613361922524244E-2</v>
      </c>
      <c r="EF103" s="27">
        <f>IF(ISNUMBER(EF102),EF102*(1+PortfolioFrontier[[#This Row],[P34 Return]]),1+PortfolioFrontier[[#This Row],[P34 Return]])</f>
        <v>1.8436984065449602</v>
      </c>
      <c r="EG103" s="27">
        <f>MAX(EG102,PortfolioFrontier[[#This Row],[P34 Growth]])</f>
        <v>1.8436984065449602</v>
      </c>
      <c r="EH103" s="27">
        <f>PortfolioFrontier[[#This Row],[P34 Growth]]/PortfolioFrontier[[#This Row],[P34 HWM]]-1</f>
        <v>0</v>
      </c>
      <c r="EI103" s="28">
        <f>SUMPRODUCT(INDEX(PortfolioRef[[SPY]:[PE]],MATCH(EI$1,PortfolioRef[Reference '#]),0),AssetMonthlyReturns[[#This Row],[SPY]:[PE]])</f>
        <v>1.9927047236288121E-2</v>
      </c>
      <c r="EJ103" s="27">
        <f>IF(ISNUMBER(EJ102),EJ102*(1+PortfolioFrontier[[#This Row],[P35 Return]]),1+PortfolioFrontier[[#This Row],[P35 Return]])</f>
        <v>1.8958864981746055</v>
      </c>
      <c r="EK103" s="27">
        <f>MAX(EK102,PortfolioFrontier[[#This Row],[P35 Growth]])</f>
        <v>1.8958864981746055</v>
      </c>
      <c r="EL103" s="27">
        <f>PortfolioFrontier[[#This Row],[P35 Growth]]/PortfolioFrontier[[#This Row],[P35 HWM]]-1</f>
        <v>0</v>
      </c>
      <c r="EM103" s="28">
        <f>SUMPRODUCT(INDEX(PortfolioRef[[SPY]:[PE]],MATCH(EM$1,PortfolioRef[Reference '#]),0),AssetMonthlyReturns[[#This Row],[SPY]:[PE]])</f>
        <v>2.149124835062698E-2</v>
      </c>
      <c r="EN103" s="27">
        <f>IF(ISNUMBER(EN102),EN102*(1+PortfolioFrontier[[#This Row],[P36 Return]]),1+PortfolioFrontier[[#This Row],[P36 Return]])</f>
        <v>1.8812168567468723</v>
      </c>
      <c r="EO103" s="27">
        <f>MAX(EO102,PortfolioFrontier[[#This Row],[P36 Growth]])</f>
        <v>1.8812168567468723</v>
      </c>
      <c r="EP103" s="27">
        <f>PortfolioFrontier[[#This Row],[P36 Growth]]/PortfolioFrontier[[#This Row],[P36 HWM]]-1</f>
        <v>0</v>
      </c>
      <c r="EQ103" s="28">
        <f>SUMPRODUCT(INDEX(PortfolioRef[[SPY]:[PE]],MATCH(EQ$1,PortfolioRef[Reference '#]),0),AssetMonthlyReturns[[#This Row],[SPY]:[PE]])</f>
        <v>1.8378645470519653E-2</v>
      </c>
      <c r="ER103" s="27">
        <f>IF(ISNUMBER(ER102),ER102*(1+PortfolioFrontier[[#This Row],[P37 Return]]),1+PortfolioFrontier[[#This Row],[P37 Return]])</f>
        <v>1.860010537210431</v>
      </c>
      <c r="ES103" s="27">
        <f>MAX(ES102,PortfolioFrontier[[#This Row],[P37 Growth]])</f>
        <v>1.860010537210431</v>
      </c>
      <c r="ET103" s="27">
        <f>PortfolioFrontier[[#This Row],[P37 Growth]]/PortfolioFrontier[[#This Row],[P37 HWM]]-1</f>
        <v>0</v>
      </c>
      <c r="EU103" s="28">
        <f>SUMPRODUCT(INDEX(PortfolioRef[[SPY]:[PE]],MATCH(EU$1,PortfolioRef[Reference '#]),0),AssetMonthlyReturns[[#This Row],[SPY]:[PE]])</f>
        <v>2.0240732550051998E-2</v>
      </c>
      <c r="EV103" s="27">
        <f>IF(ISNUMBER(EV102),EV102*(1+PortfolioFrontier[[#This Row],[P38 Return]]),1+PortfolioFrontier[[#This Row],[P38 Return]])</f>
        <v>1.94897068042087</v>
      </c>
      <c r="EW103" s="27">
        <f>MAX(EW102,PortfolioFrontier[[#This Row],[P38 Growth]])</f>
        <v>1.94897068042087</v>
      </c>
      <c r="EX103" s="27">
        <f>PortfolioFrontier[[#This Row],[P38 Growth]]/PortfolioFrontier[[#This Row],[P38 HWM]]-1</f>
        <v>0</v>
      </c>
      <c r="EY103" s="28">
        <f>SUMPRODUCT(INDEX(PortfolioRef[[SPY]:[PE]],MATCH(EY$1,PortfolioRef[Reference '#]),0),AssetMonthlyReturns[[#This Row],[SPY]:[PE]])</f>
        <v>2.1804933664390857E-2</v>
      </c>
      <c r="EZ103" s="27">
        <f>IF(ISNUMBER(EZ102),EZ102*(1+PortfolioFrontier[[#This Row],[P39 Return]]),1+PortfolioFrontier[[#This Row],[P39 Return]])</f>
        <v>1.9344375126703004</v>
      </c>
      <c r="FA103" s="27">
        <f>MAX(FA102,PortfolioFrontier[[#This Row],[P39 Growth]])</f>
        <v>1.9344375126703004</v>
      </c>
      <c r="FB103" s="27">
        <f>PortfolioFrontier[[#This Row],[P39 Growth]]/PortfolioFrontier[[#This Row],[P39 HWM]]-1</f>
        <v>0</v>
      </c>
      <c r="FC103" s="28">
        <f>SUMPRODUCT(INDEX(PortfolioRef[[SPY]:[PE]],MATCH(FC$1,PortfolioRef[Reference '#]),0),AssetMonthlyReturns[[#This Row],[SPY]:[PE]])</f>
        <v>1.8692330784283531E-2</v>
      </c>
      <c r="FD103" s="27">
        <f>IF(ISNUMBER(FD102),FD102*(1+PortfolioFrontier[[#This Row],[P40 Return]]),1+PortfolioFrontier[[#This Row],[P40 Return]])</f>
        <v>1.91265199104999</v>
      </c>
      <c r="FE103" s="27">
        <f>MAX(FE102,PortfolioFrontier[[#This Row],[P40 Growth]])</f>
        <v>1.91265199104999</v>
      </c>
      <c r="FF103" s="27">
        <f>PortfolioFrontier[[#This Row],[P40 Growth]]/PortfolioFrontier[[#This Row],[P40 HWM]]-1</f>
        <v>0</v>
      </c>
      <c r="FG103" s="28">
        <f>SUMPRODUCT(INDEX(PortfolioRef[[SPY]:[PE]],MATCH(FG$1,PortfolioRef[Reference '#]),0),AssetMonthlyReturns[[#This Row],[SPY]:[PE]])</f>
        <v>2.3369134778729716E-2</v>
      </c>
      <c r="FH103" s="27">
        <f>IF(ISNUMBER(FH102),FH102*(1+PortfolioFrontier[[#This Row],[P41 Return]]),1+PortfolioFrontier[[#This Row],[P41 Return]])</f>
        <v>1.9183985895233706</v>
      </c>
      <c r="FI103" s="27">
        <f>MAX(FI102,PortfolioFrontier[[#This Row],[P41 Growth]])</f>
        <v>1.9183985895233706</v>
      </c>
      <c r="FJ103" s="27">
        <f>PortfolioFrontier[[#This Row],[P41 Growth]]/PortfolioFrontier[[#This Row],[P41 HWM]]-1</f>
        <v>0</v>
      </c>
      <c r="FK103" s="28">
        <f>SUMPRODUCT(INDEX(PortfolioRef[[SPY]:[PE]],MATCH(FK$1,PortfolioRef[Reference '#]),0),AssetMonthlyReturns[[#This Row],[SPY]:[PE]])</f>
        <v>2.025653189862239E-2</v>
      </c>
      <c r="FL103" s="27">
        <f>IF(ISNUMBER(FL102),FL102*(1+PortfolioFrontier[[#This Row],[P42 Return]]),1+PortfolioFrontier[[#This Row],[P42 Return]])</f>
        <v>1.8979646479216414</v>
      </c>
      <c r="FM103" s="27">
        <f>MAX(FM102,PortfolioFrontier[[#This Row],[P42 Growth]])</f>
        <v>1.8979646479216414</v>
      </c>
      <c r="FN103" s="27">
        <f>PortfolioFrontier[[#This Row],[P42 Growth]]/PortfolioFrontier[[#This Row],[P42 HWM]]-1</f>
        <v>0</v>
      </c>
      <c r="FO103" s="28">
        <f>SUMPRODUCT(INDEX(PortfolioRef[[SPY]:[PE]],MATCH(FO$1,PortfolioRef[Reference '#]),0),AssetMonthlyReturns[[#This Row],[SPY]:[PE]])</f>
        <v>1.714392901851506E-2</v>
      </c>
      <c r="FP103" s="27">
        <f>IF(ISNUMBER(FP102),FP102*(1+PortfolioFrontier[[#This Row],[P43 Return]]),1+PortfolioFrontier[[#This Row],[P43 Return]])</f>
        <v>1.8762095894533326</v>
      </c>
      <c r="FQ103" s="27">
        <f>MAX(FQ102,PortfolioFrontier[[#This Row],[P43 Growth]])</f>
        <v>1.8762095894533326</v>
      </c>
      <c r="FR103" s="27">
        <f>PortfolioFrontier[[#This Row],[P43 Growth]]/PortfolioFrontier[[#This Row],[P43 HWM]]-1</f>
        <v>0</v>
      </c>
      <c r="FS103" s="28">
        <f>SUMPRODUCT(INDEX(PortfolioRef[[SPY]:[PE]],MATCH(FS$1,PortfolioRef[Reference '#]),0),AssetMonthlyReturns[[#This Row],[SPY]:[PE]])</f>
        <v>2.2118618978154734E-2</v>
      </c>
      <c r="FT103" s="27">
        <f>IF(ISNUMBER(FT102),FT102*(1+PortfolioFrontier[[#This Row],[P44 Return]]),1+PortfolioFrontier[[#This Row],[P44 Return]])</f>
        <v>1.9885714227415119</v>
      </c>
      <c r="FU103" s="27">
        <f>MAX(FU102,PortfolioFrontier[[#This Row],[P44 Growth]])</f>
        <v>1.9885714227415119</v>
      </c>
      <c r="FV103" s="27">
        <f>PortfolioFrontier[[#This Row],[P44 Growth]]/PortfolioFrontier[[#This Row],[P44 HWM]]-1</f>
        <v>0</v>
      </c>
      <c r="FW103" s="28">
        <f>SUMPRODUCT(INDEX(PortfolioRef[[SPY]:[PE]],MATCH(FW$1,PortfolioRef[Reference '#]),0),AssetMonthlyReturns[[#This Row],[SPY]:[PE]])</f>
        <v>1.9006016098047408E-2</v>
      </c>
      <c r="FX103" s="27">
        <f>IF(ISNUMBER(FX102),FX102*(1+PortfolioFrontier[[#This Row],[P45 Return]]),1+PortfolioFrontier[[#This Row],[P45 Return]])</f>
        <v>1.966197373443529</v>
      </c>
      <c r="FY103" s="27">
        <f>MAX(FY102,PortfolioFrontier[[#This Row],[P45 Growth]])</f>
        <v>1.966197373443529</v>
      </c>
      <c r="FZ103" s="27">
        <f>PortfolioFrontier[[#This Row],[P45 Growth]]/PortfolioFrontier[[#This Row],[P45 HWM]]-1</f>
        <v>0</v>
      </c>
      <c r="GA103" s="28">
        <f>SUMPRODUCT(INDEX(PortfolioRef[[SPY]:[PE]],MATCH(GA$1,PortfolioRef[Reference '#]),0),AssetMonthlyReturns[[#This Row],[SPY]:[PE]])</f>
        <v>2.3682820092493593E-2</v>
      </c>
      <c r="GB103" s="27">
        <f>IF(ISNUMBER(GB102),GB102*(1+PortfolioFrontier[[#This Row],[P46 Return]]),1+PortfolioFrontier[[#This Row],[P46 Return]])</f>
        <v>1.9726417753316425</v>
      </c>
      <c r="GC103" s="27">
        <f>MAX(GC102,PortfolioFrontier[[#This Row],[P46 Growth]])</f>
        <v>1.9726417753316425</v>
      </c>
      <c r="GD103" s="27">
        <f>PortfolioFrontier[[#This Row],[P46 Growth]]/PortfolioFrontier[[#This Row],[P46 HWM]]-1</f>
        <v>0</v>
      </c>
      <c r="GE103" s="28">
        <f>SUMPRODUCT(INDEX(PortfolioRef[[SPY]:[PE]],MATCH(GE$1,PortfolioRef[Reference '#]),0),AssetMonthlyReturns[[#This Row],[SPY]:[PE]])</f>
        <v>2.0570217212386267E-2</v>
      </c>
      <c r="GF103" s="27">
        <f>IF(ISNUMBER(GF102),GF102*(1+PortfolioFrontier[[#This Row],[P47 Return]]),1+PortfolioFrontier[[#This Row],[P47 Return]])</f>
        <v>1.9516505008647851</v>
      </c>
      <c r="GG103" s="27">
        <f>MAX(GG102,PortfolioFrontier[[#This Row],[P47 Growth]])</f>
        <v>1.9516505008647851</v>
      </c>
      <c r="GH103" s="27">
        <f>PortfolioFrontier[[#This Row],[P47 Growth]]/PortfolioFrontier[[#This Row],[P47 HWM]]-1</f>
        <v>0</v>
      </c>
      <c r="GI103" s="28">
        <f>SUMPRODUCT(INDEX(PortfolioRef[[SPY]:[PE]],MATCH(GI$1,PortfolioRef[Reference '#]),0),AssetMonthlyReturns[[#This Row],[SPY]:[PE]])</f>
        <v>1.7457614332278937E-2</v>
      </c>
      <c r="GJ103" s="27">
        <f>IF(ISNUMBER(GJ102),GJ102*(1+PortfolioFrontier[[#This Row],[P48 Return]]),1+PortfolioFrontier[[#This Row],[P48 Return]])</f>
        <v>1.9293012350004999</v>
      </c>
      <c r="GK103" s="27">
        <f>MAX(GK102,PortfolioFrontier[[#This Row],[P48 Growth]])</f>
        <v>1.9293012350004999</v>
      </c>
      <c r="GL103" s="27">
        <f>PortfolioFrontier[[#This Row],[P48 Growth]]/PortfolioFrontier[[#This Row],[P48 HWM]]-1</f>
        <v>0</v>
      </c>
      <c r="GM103" s="28">
        <f>SUMPRODUCT(INDEX(PortfolioRef[[SPY]:[PE]],MATCH(GM$1,PortfolioRef[Reference '#]),0),AssetMonthlyReturns[[#This Row],[SPY]:[PE]])</f>
        <v>2.5247021206832452E-2</v>
      </c>
      <c r="GN103" s="27">
        <f>IF(ISNUMBER(GN102),GN102*(1+PortfolioFrontier[[#This Row],[P49 Return]]),1+PortfolioFrontier[[#This Row],[P49 Return]])</f>
        <v>1.9551900178249053</v>
      </c>
      <c r="GO103" s="27">
        <f>MAX(GO102,PortfolioFrontier[[#This Row],[P49 Growth]])</f>
        <v>1.9551900178249053</v>
      </c>
      <c r="GP103" s="27">
        <f>PortfolioFrontier[[#This Row],[P49 Growth]]/PortfolioFrontier[[#This Row],[P49 HWM]]-1</f>
        <v>0</v>
      </c>
      <c r="GQ103" s="28">
        <f>SUMPRODUCT(INDEX(PortfolioRef[[SPY]:[PE]],MATCH(GQ$1,PortfolioRef[Reference '#]),0),AssetMonthlyReturns[[#This Row],[SPY]:[PE]])</f>
        <v>2.2134418326725126E-2</v>
      </c>
      <c r="GR103" s="27">
        <f>IF(ISNUMBER(GR102),GR102*(1+PortfolioFrontier[[#This Row],[P50 Return]]),1+PortfolioFrontier[[#This Row],[P50 Return]])</f>
        <v>1.9355833374427927</v>
      </c>
      <c r="GS103" s="27">
        <f>MAX(GS102,PortfolioFrontier[[#This Row],[P50 Growth]])</f>
        <v>1.9355833374427927</v>
      </c>
      <c r="GT103" s="27">
        <f>PortfolioFrontier[[#This Row],[P50 Growth]]/PortfolioFrontier[[#This Row],[P50 HWM]]-1</f>
        <v>0</v>
      </c>
      <c r="GU103" s="28">
        <f>SUMPRODUCT(INDEX(PortfolioRef[[SPY]:[PE]],MATCH(GU$1,PortfolioRef[Reference '#]),0),AssetMonthlyReturns[[#This Row],[SPY]:[PE]])</f>
        <v>1.9021815446617796E-2</v>
      </c>
      <c r="GV103" s="27">
        <f>IF(ISNUMBER(GV102),GV102*(1+PortfolioFrontier[[#This Row],[P51 Return]]),1+PortfolioFrontier[[#This Row],[P51 Return]])</f>
        <v>1.9145989394745428</v>
      </c>
      <c r="GW103" s="27">
        <f>MAX(GW102,PortfolioFrontier[[#This Row],[P51 Growth]])</f>
        <v>1.9145989394745428</v>
      </c>
      <c r="GX103" s="27">
        <f>PortfolioFrontier[[#This Row],[P51 Growth]]/PortfolioFrontier[[#This Row],[P51 HWM]]-1</f>
        <v>0</v>
      </c>
      <c r="GY103" s="28">
        <f>SUMPRODUCT(INDEX(PortfolioRef[[SPY]:[PE]],MATCH(GY$1,PortfolioRef[Reference '#]),0),AssetMonthlyReturns[[#This Row],[SPY]:[PE]])</f>
        <v>2.3996505406257473E-2</v>
      </c>
      <c r="GZ103" s="27">
        <f>IF(ISNUMBER(GZ102),GZ102*(1+PortfolioFrontier[[#This Row],[P52 Return]]),1+PortfolioFrontier[[#This Row],[P52 Return]])</f>
        <v>2.0278151970216229</v>
      </c>
      <c r="HA103" s="27">
        <f>MAX(HA102,PortfolioFrontier[[#This Row],[P52 Growth]])</f>
        <v>2.0278151970216229</v>
      </c>
      <c r="HB103" s="27">
        <f>PortfolioFrontier[[#This Row],[P52 Growth]]/PortfolioFrontier[[#This Row],[P52 HWM]]-1</f>
        <v>0</v>
      </c>
      <c r="HC103" s="28">
        <f>SUMPRODUCT(INDEX(PortfolioRef[[SPY]:[PE]],MATCH(HC$1,PortfolioRef[Reference '#]),0),AssetMonthlyReturns[[#This Row],[SPY]:[PE]])</f>
        <v>2.0883902526150144E-2</v>
      </c>
      <c r="HD103" s="27">
        <f>IF(ISNUMBER(HD102),HD102*(1+PortfolioFrontier[[#This Row],[P53 Return]]),1+PortfolioFrontier[[#This Row],[P53 Return]])</f>
        <v>2.0062576439792101</v>
      </c>
      <c r="HE103" s="27">
        <f>MAX(HE102,PortfolioFrontier[[#This Row],[P53 Growth]])</f>
        <v>2.0062576439792101</v>
      </c>
      <c r="HF103" s="27">
        <f>PortfolioFrontier[[#This Row],[P53 Growth]]/PortfolioFrontier[[#This Row],[P53 HWM]]-1</f>
        <v>0</v>
      </c>
      <c r="HG103" s="28">
        <f>SUMPRODUCT(INDEX(PortfolioRef[[SPY]:[PE]],MATCH(HG$1,PortfolioRef[Reference '#]),0),AssetMonthlyReturns[[#This Row],[SPY]:[PE]])</f>
        <v>1.7771299646042814E-2</v>
      </c>
      <c r="HH103" s="27">
        <f>IF(ISNUMBER(HH102),HH102*(1+PortfolioFrontier[[#This Row],[P54 Return]]),1+PortfolioFrontier[[#This Row],[P54 Return]])</f>
        <v>1.983304596131406</v>
      </c>
      <c r="HI103" s="27">
        <f>MAX(HI102,PortfolioFrontier[[#This Row],[P54 Growth]])</f>
        <v>1.983304596131406</v>
      </c>
      <c r="HJ103" s="27">
        <f>PortfolioFrontier[[#This Row],[P54 Growth]]/PortfolioFrontier[[#This Row],[P54 HWM]]-1</f>
        <v>0</v>
      </c>
      <c r="HK103" s="28">
        <f>SUMPRODUCT(INDEX(PortfolioRef[[SPY]:[PE]],MATCH(HK$1,PortfolioRef[Reference '#]),0),AssetMonthlyReturns[[#This Row],[SPY]:[PE]])</f>
        <v>2.5560706520596329E-2</v>
      </c>
      <c r="HL103" s="27">
        <f>IF(ISNUMBER(HL102),HL102*(1+PortfolioFrontier[[#This Row],[P55 Return]]),1+PortfolioFrontier[[#This Row],[P55 Return]])</f>
        <v>2.010444239011592</v>
      </c>
      <c r="HM103" s="27">
        <f>MAX(HM102,PortfolioFrontier[[#This Row],[P55 Growth]])</f>
        <v>2.010444239011592</v>
      </c>
      <c r="HN103" s="27">
        <f>PortfolioFrontier[[#This Row],[P55 Growth]]/PortfolioFrontier[[#This Row],[P55 HWM]]-1</f>
        <v>0</v>
      </c>
      <c r="HO103" s="28">
        <f>SUMPRODUCT(INDEX(PortfolioRef[[SPY]:[PE]],MATCH(HO$1,PortfolioRef[Reference '#]),0),AssetMonthlyReturns[[#This Row],[SPY]:[PE]])</f>
        <v>2.2448103640489003E-2</v>
      </c>
      <c r="HP103" s="27">
        <f>IF(ISNUMBER(HP102),HP102*(1+PortfolioFrontier[[#This Row],[P56 Return]]),1+PortfolioFrontier[[#This Row],[P56 Return]])</f>
        <v>1.9903035834277338</v>
      </c>
      <c r="HQ103" s="27">
        <f>MAX(HQ102,PortfolioFrontier[[#This Row],[P56 Growth]])</f>
        <v>1.9903035834277338</v>
      </c>
      <c r="HR103" s="27">
        <f>PortfolioFrontier[[#This Row],[P56 Growth]]/PortfolioFrontier[[#This Row],[P56 HWM]]-1</f>
        <v>0</v>
      </c>
      <c r="HS103" s="28">
        <f>SUMPRODUCT(INDEX(PortfolioRef[[SPY]:[PE]],MATCH(HS$1,PortfolioRef[Reference '#]),0),AssetMonthlyReturns[[#This Row],[SPY]:[PE]])</f>
        <v>1.9335500760381673E-2</v>
      </c>
      <c r="HT103" s="27">
        <f>IF(ISNUMBER(HT102),HT102*(1+PortfolioFrontier[[#This Row],[P57 Return]]),1+PortfolioFrontier[[#This Row],[P57 Return]])</f>
        <v>1.9687468074091841</v>
      </c>
      <c r="HU103" s="27">
        <f>MAX(HU102,PortfolioFrontier[[#This Row],[P57 Growth]])</f>
        <v>1.9687468074091841</v>
      </c>
      <c r="HV103" s="27">
        <f>PortfolioFrontier[[#This Row],[P57 Growth]]/PortfolioFrontier[[#This Row],[P57 HWM]]-1</f>
        <v>0</v>
      </c>
      <c r="HW103" s="28">
        <f>SUMPRODUCT(INDEX(PortfolioRef[[SPY]:[PE]],MATCH(HW$1,PortfolioRef[Reference '#]),0),AssetMonthlyReturns[[#This Row],[SPY]:[PE]])</f>
        <v>2.7124907634935188E-2</v>
      </c>
      <c r="HX103" s="27">
        <f>IF(ISNUMBER(HX102),HX102*(1+PortfolioFrontier[[#This Row],[P58 Return]]),1+PortfolioFrontier[[#This Row],[P58 Return]])</f>
        <v>1.9915367367987271</v>
      </c>
      <c r="HY103" s="27">
        <f>MAX(HY102,PortfolioFrontier[[#This Row],[P58 Growth]])</f>
        <v>1.9915367367987271</v>
      </c>
      <c r="HZ103" s="27">
        <f>PortfolioFrontier[[#This Row],[P58 Growth]]/PortfolioFrontier[[#This Row],[P58 HWM]]-1</f>
        <v>0</v>
      </c>
      <c r="IA103" s="28">
        <f>SUMPRODUCT(INDEX(PortfolioRef[[SPY]:[PE]],MATCH(IA$1,PortfolioRef[Reference '#]),0),AssetMonthlyReturns[[#This Row],[SPY]:[PE]])</f>
        <v>2.4012304754827862E-2</v>
      </c>
      <c r="IB103" s="27">
        <f>IF(ISNUMBER(IB102),IB102*(1+PortfolioFrontier[[#This Row],[P59 Return]]),1+PortfolioFrontier[[#This Row],[P59 Return]])</f>
        <v>1.9728125069702422</v>
      </c>
      <c r="IC103" s="27">
        <f>MAX(IC102,PortfolioFrontier[[#This Row],[P59 Growth]])</f>
        <v>1.9728125069702422</v>
      </c>
      <c r="ID103" s="27">
        <f>PortfolioFrontier[[#This Row],[P59 Growth]]/PortfolioFrontier[[#This Row],[P59 HWM]]-1</f>
        <v>0</v>
      </c>
      <c r="IE103" s="28">
        <f>SUMPRODUCT(INDEX(PortfolioRef[[SPY]:[PE]],MATCH(IE$1,PortfolioRef[Reference '#]),0),AssetMonthlyReturns[[#This Row],[SPY]:[PE]])</f>
        <v>2.0899701874720532E-2</v>
      </c>
      <c r="IF103" s="27">
        <f>IF(ISNUMBER(IF102),IF102*(1+PortfolioFrontier[[#This Row],[P60 Return]]),1+PortfolioFrontier[[#This Row],[P60 Return]])</f>
        <v>1.9526542625990895</v>
      </c>
      <c r="IG103" s="27">
        <f>MAX(IG102,PortfolioFrontier[[#This Row],[P60 Growth]])</f>
        <v>1.9526542625990895</v>
      </c>
      <c r="IH103" s="27">
        <f>PortfolioFrontier[[#This Row],[P60 Growth]]/PortfolioFrontier[[#This Row],[P60 HWM]]-1</f>
        <v>0</v>
      </c>
      <c r="II103" s="28">
        <f>SUMPRODUCT(INDEX(PortfolioRef[[SPY]:[PE]],MATCH(II$1,PortfolioRef[Reference '#]),0),AssetMonthlyReturns[[#This Row],[SPY]:[PE]])</f>
        <v>1.9177523707538426E-2</v>
      </c>
      <c r="IJ103" s="27">
        <f>IF(ISNUMBER(IJ102),IJ102*(1+PortfolioFrontier[[#This Row],[P61 Return]]),1+PortfolioFrontier[[#This Row],[P61 Return]])</f>
        <v>1.7491280898252761</v>
      </c>
      <c r="IK103" s="27">
        <f>MAX(IK102,PortfolioFrontier[[#This Row],[P61 Growth]])</f>
        <v>1.7491280898252761</v>
      </c>
      <c r="IL103" s="27">
        <f>PortfolioFrontier[[#This Row],[P61 Growth]]/PortfolioFrontier[[#This Row],[P61 HWM]]-1</f>
        <v>0</v>
      </c>
      <c r="IM103" s="28">
        <f>SUMPRODUCT(INDEX(PortfolioRef[[SPY]:[PE]],MATCH(IM$1,PortfolioRef[Reference '#]),0),AssetMonthlyReturns[[#This Row],[SPY]:[PE]])</f>
        <v>1.9491209021302303E-2</v>
      </c>
      <c r="IN103" s="27">
        <f>IF(ISNUMBER(IN102),IN102*(1+PortfolioFrontier[[#This Row],[P62 Return]]),1+PortfolioFrontier[[#This Row],[P62 Return]])</f>
        <v>1.7986513179401153</v>
      </c>
      <c r="IO103" s="27">
        <f>MAX(IO102,PortfolioFrontier[[#This Row],[P62 Growth]])</f>
        <v>1.7986513179401153</v>
      </c>
      <c r="IP103" s="27">
        <f>PortfolioFrontier[[#This Row],[P62 Growth]]/PortfolioFrontier[[#This Row],[P62 HWM]]-1</f>
        <v>0</v>
      </c>
      <c r="IQ103" s="28">
        <f>SUMPRODUCT(INDEX(PortfolioRef[[SPY]:[PE]],MATCH(IQ$1,PortfolioRef[Reference '#]),0),AssetMonthlyReturns[[#This Row],[SPY]:[PE]])</f>
        <v>2.1055410135641162E-2</v>
      </c>
      <c r="IR103" s="27">
        <f>IF(ISNUMBER(IR102),IR102*(1+PortfolioFrontier[[#This Row],[P63 Return]]),1+PortfolioFrontier[[#This Row],[P63 Return]])</f>
        <v>1.7854179480713641</v>
      </c>
      <c r="IS103" s="27">
        <f>MAX(IS102,PortfolioFrontier[[#This Row],[P63 Growth]])</f>
        <v>1.7854179480713641</v>
      </c>
      <c r="IT103" s="27">
        <f>PortfolioFrontier[[#This Row],[P63 Growth]]/PortfolioFrontier[[#This Row],[P63 HWM]]-1</f>
        <v>0</v>
      </c>
      <c r="IU103" s="28">
        <f>SUMPRODUCT(INDEX(PortfolioRef[[SPY]:[PE]],MATCH(IU$1,PortfolioRef[Reference '#]),0),AssetMonthlyReturns[[#This Row],[SPY]:[PE]])</f>
        <v>1.7942807255533835E-2</v>
      </c>
      <c r="IV103" s="27">
        <f>IF(ISNUMBER(IV102),IV102*(1+PortfolioFrontier[[#This Row],[P64 Return]]),1+PortfolioFrontier[[#This Row],[P64 Return]])</f>
        <v>1.7646192430062544</v>
      </c>
      <c r="IW103" s="27">
        <f>MAX(IW102,PortfolioFrontier[[#This Row],[P64 Growth]])</f>
        <v>1.7646192430062544</v>
      </c>
      <c r="IX103" s="27">
        <f>PortfolioFrontier[[#This Row],[P64 Growth]]/PortfolioFrontier[[#This Row],[P64 HWM]]-1</f>
        <v>0</v>
      </c>
      <c r="IY103" s="28">
        <f>SUMPRODUCT(INDEX(PortfolioRef[[SPY]:[PE]],MATCH(IY$1,PortfolioRef[Reference '#]),0),AssetMonthlyReturns[[#This Row],[SPY]:[PE]])</f>
        <v>1.9804894335066183E-2</v>
      </c>
      <c r="IZ103" s="27">
        <f>IF(ISNUMBER(IZ102),IZ102*(1+PortfolioFrontier[[#This Row],[P65 Return]]),1+PortfolioFrontier[[#This Row],[P65 Return]])</f>
        <v>1.8490243609235915</v>
      </c>
      <c r="JA103" s="27">
        <f>MAX(JA102,PortfolioFrontier[[#This Row],[P65 Growth]])</f>
        <v>1.8490243609235915</v>
      </c>
      <c r="JB103" s="27">
        <f>PortfolioFrontier[[#This Row],[P65 Growth]]/PortfolioFrontier[[#This Row],[P65 HWM]]-1</f>
        <v>0</v>
      </c>
      <c r="JC103" s="28">
        <f>SUMPRODUCT(INDEX(PortfolioRef[[SPY]:[PE]],MATCH(JC$1,PortfolioRef[Reference '#]),0),AssetMonthlyReturns[[#This Row],[SPY]:[PE]])</f>
        <v>2.1369095449405039E-2</v>
      </c>
      <c r="JD103" s="27">
        <f>IF(ISNUMBER(JD102),JD102*(1+PortfolioFrontier[[#This Row],[P66 Return]]),1+PortfolioFrontier[[#This Row],[P66 Return]])</f>
        <v>1.8359403894537611</v>
      </c>
      <c r="JE103" s="27">
        <f>MAX(JE102,PortfolioFrontier[[#This Row],[P66 Growth]])</f>
        <v>1.8359403894537611</v>
      </c>
      <c r="JF103" s="27">
        <f>PortfolioFrontier[[#This Row],[P66 Growth]]/PortfolioFrontier[[#This Row],[P66 HWM]]-1</f>
        <v>0</v>
      </c>
      <c r="JG103" s="28">
        <f>SUMPRODUCT(INDEX(PortfolioRef[[SPY]:[PE]],MATCH(JG$1,PortfolioRef[Reference '#]),0),AssetMonthlyReturns[[#This Row],[SPY]:[PE]])</f>
        <v>1.8256492569297712E-2</v>
      </c>
      <c r="JH103" s="27">
        <f>IF(ISNUMBER(JH102),JH102*(1+PortfolioFrontier[[#This Row],[P67 Return]]),1+PortfolioFrontier[[#This Row],[P67 Return]])</f>
        <v>1.8145731783953984</v>
      </c>
      <c r="JI103" s="27">
        <f>MAX(JI102,PortfolioFrontier[[#This Row],[P67 Growth]])</f>
        <v>1.8145731783953984</v>
      </c>
      <c r="JJ103" s="27">
        <f>PortfolioFrontier[[#This Row],[P67 Growth]]/PortfolioFrontier[[#This Row],[P67 HWM]]-1</f>
        <v>0</v>
      </c>
      <c r="JK103" s="28">
        <f>SUMPRODUCT(INDEX(PortfolioRef[[SPY]:[PE]],MATCH(JK$1,PortfolioRef[Reference '#]),0),AssetMonthlyReturns[[#This Row],[SPY]:[PE]])</f>
        <v>2.2933296563743901E-2</v>
      </c>
      <c r="JL103" s="27">
        <f>IF(ISNUMBER(JL102),JL102*(1+PortfolioFrontier[[#This Row],[P68 Return]]),1+PortfolioFrontier[[#This Row],[P68 Return]])</f>
        <v>1.8214181641593468</v>
      </c>
      <c r="JM103" s="27">
        <f>MAX(JM102,PortfolioFrontier[[#This Row],[P68 Growth]])</f>
        <v>1.8214181641593468</v>
      </c>
      <c r="JN103" s="27">
        <f>PortfolioFrontier[[#This Row],[P68 Growth]]/PortfolioFrontier[[#This Row],[P68 HWM]]-1</f>
        <v>0</v>
      </c>
      <c r="JO103" s="28">
        <f>SUMPRODUCT(INDEX(PortfolioRef[[SPY]:[PE]],MATCH(JO$1,PortfolioRef[Reference '#]),0),AssetMonthlyReturns[[#This Row],[SPY]:[PE]])</f>
        <v>1.9820693683636571E-2</v>
      </c>
      <c r="JP103" s="27">
        <f>IF(ISNUMBER(JP102),JP102*(1+PortfolioFrontier[[#This Row],[P69 Return]]),1+PortfolioFrontier[[#This Row],[P69 Return]])</f>
        <v>1.8013289129650651</v>
      </c>
      <c r="JQ103" s="27">
        <f>MAX(JQ102,PortfolioFrontier[[#This Row],[P69 Growth]])</f>
        <v>1.8013289129650651</v>
      </c>
      <c r="JR103" s="27">
        <f>PortfolioFrontier[[#This Row],[P69 Growth]]/PortfolioFrontier[[#This Row],[P69 HWM]]-1</f>
        <v>0</v>
      </c>
      <c r="JS103" s="28">
        <f>SUMPRODUCT(INDEX(PortfolioRef[[SPY]:[PE]],MATCH(JS$1,PortfolioRef[Reference '#]),0),AssetMonthlyReturns[[#This Row],[SPY]:[PE]])</f>
        <v>1.6708090803529242E-2</v>
      </c>
      <c r="JT103" s="27">
        <f>IF(ISNUMBER(JT102),JT102*(1+PortfolioFrontier[[#This Row],[P70 Return]]),1+PortfolioFrontier[[#This Row],[P70 Return]])</f>
        <v>1.7800033866849299</v>
      </c>
      <c r="JU103" s="27">
        <f>MAX(JU102,PortfolioFrontier[[#This Row],[P70 Growth]])</f>
        <v>1.7800033866849299</v>
      </c>
      <c r="JV103" s="27">
        <f>PortfolioFrontier[[#This Row],[P70 Growth]]/PortfolioFrontier[[#This Row],[P70 HWM]]-1</f>
        <v>0</v>
      </c>
      <c r="JW103" s="28">
        <f>SUMPRODUCT(INDEX(PortfolioRef[[SPY]:[PE]],MATCH(JW$1,PortfolioRef[Reference '#]),0),AssetMonthlyReturns[[#This Row],[SPY]:[PE]])</f>
        <v>2.1682780763168919E-2</v>
      </c>
      <c r="JX103" s="27">
        <f>IF(ISNUMBER(JX102),JX102*(1+PortfolioFrontier[[#This Row],[P71 Return]]),1+PortfolioFrontier[[#This Row],[P71 Return]])</f>
        <v>1.8873292513363742</v>
      </c>
      <c r="JY103" s="27">
        <f>MAX(JY102,PortfolioFrontier[[#This Row],[P71 Growth]])</f>
        <v>1.8873292513363742</v>
      </c>
      <c r="JZ103" s="27">
        <f>PortfolioFrontier[[#This Row],[P71 Growth]]/PortfolioFrontier[[#This Row],[P71 HWM]]-1</f>
        <v>0</v>
      </c>
      <c r="KA103" s="28">
        <f>SUMPRODUCT(INDEX(PortfolioRef[[SPY]:[PE]],MATCH(KA$1,PortfolioRef[Reference '#]),0),AssetMonthlyReturns[[#This Row],[SPY]:[PE]])</f>
        <v>1.8570177883061593E-2</v>
      </c>
      <c r="KB103" s="27">
        <f>IF(ISNUMBER(KB102),KB102*(1+PortfolioFrontier[[#This Row],[P72 Return]]),1+PortfolioFrontier[[#This Row],[P72 Return]])</f>
        <v>1.8653843729939867</v>
      </c>
      <c r="KC103" s="27">
        <f>MAX(KC102,PortfolioFrontier[[#This Row],[P72 Growth]])</f>
        <v>1.8653843729939867</v>
      </c>
      <c r="KD103" s="27">
        <f>PortfolioFrontier[[#This Row],[P72 Growth]]/PortfolioFrontier[[#This Row],[P72 HWM]]-1</f>
        <v>0</v>
      </c>
      <c r="KE103" s="28">
        <f>SUMPRODUCT(INDEX(PortfolioRef[[SPY]:[PE]],MATCH(KE$1,PortfolioRef[Reference '#]),0),AssetMonthlyReturns[[#This Row],[SPY]:[PE]])</f>
        <v>2.3246981877507778E-2</v>
      </c>
      <c r="KF103" s="27">
        <f>IF(ISNUMBER(KF102),KF102*(1+PortfolioFrontier[[#This Row],[P73 Return]]),1+PortfolioFrontier[[#This Row],[P73 Return]])</f>
        <v>1.8729311036161898</v>
      </c>
      <c r="KG103" s="27">
        <f>MAX(KG102,PortfolioFrontier[[#This Row],[P73 Growth]])</f>
        <v>1.8729311036161898</v>
      </c>
      <c r="KH103" s="27">
        <f>PortfolioFrontier[[#This Row],[P73 Growth]]/PortfolioFrontier[[#This Row],[P73 HWM]]-1</f>
        <v>0</v>
      </c>
      <c r="KI103" s="28">
        <f>SUMPRODUCT(INDEX(PortfolioRef[[SPY]:[PE]],MATCH(KI$1,PortfolioRef[Reference '#]),0),AssetMonthlyReturns[[#This Row],[SPY]:[PE]])</f>
        <v>2.0134378997400448E-2</v>
      </c>
      <c r="KJ103" s="27">
        <f>IF(ISNUMBER(KJ102),KJ102*(1+PortfolioFrontier[[#This Row],[P74 Return]]),1+PortfolioFrontier[[#This Row],[P74 Return]])</f>
        <v>1.8522934704056229</v>
      </c>
      <c r="KK103" s="27">
        <f>MAX(KK102,PortfolioFrontier[[#This Row],[P74 Growth]])</f>
        <v>1.8522934704056229</v>
      </c>
      <c r="KL103" s="27">
        <f>PortfolioFrontier[[#This Row],[P74 Growth]]/PortfolioFrontier[[#This Row],[P74 HWM]]-1</f>
        <v>0</v>
      </c>
      <c r="KM103" s="28">
        <f>SUMPRODUCT(INDEX(PortfolioRef[[SPY]:[PE]],MATCH(KM$1,PortfolioRef[Reference '#]),0),AssetMonthlyReturns[[#This Row],[SPY]:[PE]])</f>
        <v>1.7021776117293119E-2</v>
      </c>
      <c r="KN103" s="27">
        <f>IF(ISNUMBER(KN102),KN102*(1+PortfolioFrontier[[#This Row],[P75 Return]]),1+PortfolioFrontier[[#This Row],[P75 Return]])</f>
        <v>1.8303850285383476</v>
      </c>
      <c r="KO103" s="27">
        <f>MAX(KO102,PortfolioFrontier[[#This Row],[P75 Growth]])</f>
        <v>1.8303850285383476</v>
      </c>
      <c r="KP103" s="27">
        <f>PortfolioFrontier[[#This Row],[P75 Growth]]/PortfolioFrontier[[#This Row],[P75 HWM]]-1</f>
        <v>0</v>
      </c>
      <c r="KQ103" s="28">
        <f>SUMPRODUCT(INDEX(PortfolioRef[[SPY]:[PE]],MATCH(KQ$1,PortfolioRef[Reference '#]),0),AssetMonthlyReturns[[#This Row],[SPY]:[PE]])</f>
        <v>2.4811182991846637E-2</v>
      </c>
      <c r="KR103" s="27">
        <f>IF(ISNUMBER(KR102),KR102*(1+PortfolioFrontier[[#This Row],[P76 Return]]),1+PortfolioFrontier[[#This Row],[P76 Return]])</f>
        <v>1.8570777444744782</v>
      </c>
      <c r="KS103" s="27">
        <f>MAX(KS102,PortfolioFrontier[[#This Row],[P76 Growth]])</f>
        <v>1.8570777444744782</v>
      </c>
      <c r="KT103" s="27">
        <f>PortfolioFrontier[[#This Row],[P76 Growth]]/PortfolioFrontier[[#This Row],[P76 HWM]]-1</f>
        <v>0</v>
      </c>
      <c r="KU103" s="28">
        <f>SUMPRODUCT(INDEX(PortfolioRef[[SPY]:[PE]],MATCH(KU$1,PortfolioRef[Reference '#]),0),AssetMonthlyReturns[[#This Row],[SPY]:[PE]])</f>
        <v>2.1698580111739311E-2</v>
      </c>
      <c r="KV103" s="27">
        <f>IF(ISNUMBER(KV102),KV102*(1+PortfolioFrontier[[#This Row],[P77 Return]]),1+PortfolioFrontier[[#This Row],[P77 Return]])</f>
        <v>1.8377505049842031</v>
      </c>
      <c r="KW103" s="27">
        <f>MAX(KW102,PortfolioFrontier[[#This Row],[P77 Growth]])</f>
        <v>1.8377505049842031</v>
      </c>
      <c r="KX103" s="27">
        <f>PortfolioFrontier[[#This Row],[P77 Growth]]/PortfolioFrontier[[#This Row],[P77 HWM]]-1</f>
        <v>0</v>
      </c>
      <c r="KY103" s="28">
        <f>SUMPRODUCT(INDEX(PortfolioRef[[SPY]:[PE]],MATCH(KY$1,PortfolioRef[Reference '#]),0),AssetMonthlyReturns[[#This Row],[SPY]:[PE]])</f>
        <v>1.8585977231631978E-2</v>
      </c>
      <c r="KZ103" s="27">
        <f>IF(ISNUMBER(KZ102),KZ102*(1+PortfolioFrontier[[#This Row],[P78 Return]]),1+PortfolioFrontier[[#This Row],[P78 Return]])</f>
        <v>1.817132441089556</v>
      </c>
      <c r="LA103" s="27">
        <f>MAX(LA102,PortfolioFrontier[[#This Row],[P78 Growth]])</f>
        <v>1.817132441089556</v>
      </c>
      <c r="LB103" s="27">
        <f>PortfolioFrontier[[#This Row],[P78 Growth]]/PortfolioFrontier[[#This Row],[P78 HWM]]-1</f>
        <v>0</v>
      </c>
      <c r="LC103" s="28">
        <f>SUMPRODUCT(INDEX(PortfolioRef[[SPY]:[PE]],MATCH(LC$1,PortfolioRef[Reference '#]),0),AssetMonthlyReturns[[#This Row],[SPY]:[PE]])</f>
        <v>2.3560667191271659E-2</v>
      </c>
      <c r="LD103" s="27">
        <f>IF(ISNUMBER(LD102),LD102*(1+PortfolioFrontier[[#This Row],[P79 Return]]),1+PortfolioFrontier[[#This Row],[P79 Return]])</f>
        <v>1.9253269099575669</v>
      </c>
      <c r="LE103" s="27">
        <f>MAX(LE102,PortfolioFrontier[[#This Row],[P79 Growth]])</f>
        <v>1.9253269099575669</v>
      </c>
      <c r="LF103" s="27">
        <f>PortfolioFrontier[[#This Row],[P79 Growth]]/PortfolioFrontier[[#This Row],[P79 HWM]]-1</f>
        <v>0</v>
      </c>
      <c r="LG103" s="28">
        <f>SUMPRODUCT(INDEX(PortfolioRef[[SPY]:[PE]],MATCH(LG$1,PortfolioRef[Reference '#]),0),AssetMonthlyReturns[[#This Row],[SPY]:[PE]])</f>
        <v>2.0448064311164329E-2</v>
      </c>
      <c r="LH103" s="27">
        <f>IF(ISNUMBER(LH102),LH102*(1+PortfolioFrontier[[#This Row],[P80 Return]]),1+PortfolioFrontier[[#This Row],[P80 Return]])</f>
        <v>1.9041320836310007</v>
      </c>
      <c r="LI103" s="27">
        <f>MAX(LI102,PortfolioFrontier[[#This Row],[P80 Growth]])</f>
        <v>1.9041320836310007</v>
      </c>
      <c r="LJ103" s="27">
        <f>PortfolioFrontier[[#This Row],[P80 Growth]]/PortfolioFrontier[[#This Row],[P80 HWM]]-1</f>
        <v>0</v>
      </c>
      <c r="LK103" s="28">
        <f>SUMPRODUCT(INDEX(PortfolioRef[[SPY]:[PE]],MATCH(LK$1,PortfolioRef[Reference '#]),0),AssetMonthlyReturns[[#This Row],[SPY]:[PE]])</f>
        <v>1.7335461431056999E-2</v>
      </c>
      <c r="LL103" s="27">
        <f>IF(ISNUMBER(LL102),LL102*(1+PortfolioFrontier[[#This Row],[P81 Return]]),1+PortfolioFrontier[[#This Row],[P81 Return]])</f>
        <v>1.8816313258280295</v>
      </c>
      <c r="LM103" s="27">
        <f>MAX(LM102,PortfolioFrontier[[#This Row],[P81 Growth]])</f>
        <v>1.8816313258280295</v>
      </c>
      <c r="LN103" s="27">
        <f>PortfolioFrontier[[#This Row],[P81 Growth]]/PortfolioFrontier[[#This Row],[P81 HWM]]-1</f>
        <v>0</v>
      </c>
      <c r="LO103" s="28">
        <f>SUMPRODUCT(INDEX(PortfolioRef[[SPY]:[PE]],MATCH(LO$1,PortfolioRef[Reference '#]),0),AssetMonthlyReturns[[#This Row],[SPY]:[PE]])</f>
        <v>2.5124868305610514E-2</v>
      </c>
      <c r="LP103" s="27">
        <f>IF(ISNUMBER(LP102),LP102*(1+PortfolioFrontier[[#This Row],[P82 Return]]),1+PortfolioFrontier[[#This Row],[P82 Return]])</f>
        <v>1.9095710761551521</v>
      </c>
      <c r="LQ103" s="27">
        <f>MAX(LQ102,PortfolioFrontier[[#This Row],[P82 Growth]])</f>
        <v>1.9095710761551521</v>
      </c>
      <c r="LR103" s="27">
        <f>PortfolioFrontier[[#This Row],[P82 Growth]]/PortfolioFrontier[[#This Row],[P82 HWM]]-1</f>
        <v>0</v>
      </c>
      <c r="LS103" s="28">
        <f>SUMPRODUCT(INDEX(PortfolioRef[[SPY]:[PE]],MATCH(LS$1,PortfolioRef[Reference '#]),0),AssetMonthlyReturns[[#This Row],[SPY]:[PE]])</f>
        <v>2.2012265425503188E-2</v>
      </c>
      <c r="LT103" s="27">
        <f>IF(ISNUMBER(LT102),LT102*(1+PortfolioFrontier[[#This Row],[P83 Return]]),1+PortfolioFrontier[[#This Row],[P83 Return]])</f>
        <v>1.8897170050731826</v>
      </c>
      <c r="LU103" s="27">
        <f>MAX(LU102,PortfolioFrontier[[#This Row],[P83 Growth]])</f>
        <v>1.8897170050731826</v>
      </c>
      <c r="LV103" s="27">
        <f>PortfolioFrontier[[#This Row],[P83 Growth]]/PortfolioFrontier[[#This Row],[P83 HWM]]-1</f>
        <v>0</v>
      </c>
      <c r="LW103" s="28">
        <f>SUMPRODUCT(INDEX(PortfolioRef[[SPY]:[PE]],MATCH(LW$1,PortfolioRef[Reference '#]),0),AssetMonthlyReturns[[#This Row],[SPY]:[PE]])</f>
        <v>1.8899662545395855E-2</v>
      </c>
      <c r="LX103" s="27">
        <f>IF(ISNUMBER(LX102),LX102*(1+PortfolioFrontier[[#This Row],[P84 Return]]),1+PortfolioFrontier[[#This Row],[P84 Return]])</f>
        <v>1.8685361020725668</v>
      </c>
      <c r="LY103" s="27">
        <f>MAX(LY102,PortfolioFrontier[[#This Row],[P84 Growth]])</f>
        <v>1.8685361020725668</v>
      </c>
      <c r="LZ103" s="27">
        <f>PortfolioFrontier[[#This Row],[P84 Growth]]/PortfolioFrontier[[#This Row],[P84 HWM]]-1</f>
        <v>0</v>
      </c>
      <c r="MA103" s="28">
        <f>SUMPRODUCT(INDEX(PortfolioRef[[SPY]:[PE]],MATCH(MA$1,PortfolioRef[Reference '#]),0),AssetMonthlyReturns[[#This Row],[SPY]:[PE]])</f>
        <v>2.6689069419949373E-2</v>
      </c>
      <c r="MB103" s="27">
        <f>IF(ISNUMBER(MB102),MB102*(1+PortfolioFrontier[[#This Row],[P85 Return]]),1+PortfolioFrontier[[#This Row],[P85 Return]])</f>
        <v>1.8923448509316796</v>
      </c>
      <c r="MC103" s="27">
        <f>MAX(MC102,PortfolioFrontier[[#This Row],[P85 Growth]])</f>
        <v>1.8923448509316796</v>
      </c>
      <c r="MD103" s="27">
        <f>PortfolioFrontier[[#This Row],[P85 Growth]]/PortfolioFrontier[[#This Row],[P85 HWM]]-1</f>
        <v>0</v>
      </c>
      <c r="ME103" s="28">
        <f>SUMPRODUCT(INDEX(PortfolioRef[[SPY]:[PE]],MATCH(ME$1,PortfolioRef[Reference '#]),0),AssetMonthlyReturns[[#This Row],[SPY]:[PE]])</f>
        <v>2.3576466539842047E-2</v>
      </c>
      <c r="MF103" s="27">
        <f>IF(ISNUMBER(MF102),MF102*(1+PortfolioFrontier[[#This Row],[P86 Return]]),1+PortfolioFrontier[[#This Row],[P86 Return]])</f>
        <v>1.8738325426814255</v>
      </c>
      <c r="MG103" s="27">
        <f>MAX(MG102,PortfolioFrontier[[#This Row],[P86 Growth]])</f>
        <v>1.8738325426814255</v>
      </c>
      <c r="MH103" s="27">
        <f>PortfolioFrontier[[#This Row],[P86 Growth]]/PortfolioFrontier[[#This Row],[P86 HWM]]-1</f>
        <v>0</v>
      </c>
      <c r="MI103" s="28">
        <f>SUMPRODUCT(INDEX(PortfolioRef[[SPY]:[PE]],MATCH(MI$1,PortfolioRef[Reference '#]),0),AssetMonthlyReturns[[#This Row],[SPY]:[PE]])</f>
        <v>2.0463863659734717E-2</v>
      </c>
      <c r="MJ103" s="27">
        <f>IF(ISNUMBER(MJ102),MJ102*(1+PortfolioFrontier[[#This Row],[P87 Return]]),1+PortfolioFrontier[[#This Row],[P87 Return]])</f>
        <v>1.8539750747037982</v>
      </c>
      <c r="MK103" s="27">
        <f>MAX(MK102,PortfolioFrontier[[#This Row],[P87 Growth]])</f>
        <v>1.8539750747037982</v>
      </c>
      <c r="ML103" s="27">
        <f>PortfolioFrontier[[#This Row],[P87 Growth]]/PortfolioFrontier[[#This Row],[P87 HWM]]-1</f>
        <v>0</v>
      </c>
      <c r="MM103" s="28">
        <f>SUMPRODUCT(INDEX(PortfolioRef[[SPY]:[PE]],MATCH(MM$1,PortfolioRef[Reference '#]),0),AssetMonthlyReturns[[#This Row],[SPY]:[PE]])</f>
        <v>2.5438553619374395E-2</v>
      </c>
      <c r="MN103" s="27">
        <f>IF(ISNUMBER(MN102),MN102*(1+PortfolioFrontier[[#This Row],[P88 Return]]),1+PortfolioFrontier[[#This Row],[P88 Return]])</f>
        <v>1.9629635390308264</v>
      </c>
      <c r="MO103" s="27">
        <f>MAX(MO102,PortfolioFrontier[[#This Row],[P88 Growth]])</f>
        <v>1.9629635390308264</v>
      </c>
      <c r="MP103" s="27">
        <f>PortfolioFrontier[[#This Row],[P88 Growth]]/PortfolioFrontier[[#This Row],[P88 HWM]]-1</f>
        <v>0</v>
      </c>
      <c r="MQ103" s="28">
        <f>SUMPRODUCT(INDEX(PortfolioRef[[SPY]:[PE]],MATCH(MQ$1,PortfolioRef[Reference '#]),0),AssetMonthlyReturns[[#This Row],[SPY]:[PE]])</f>
        <v>2.2325950739267068E-2</v>
      </c>
      <c r="MR103" s="27">
        <f>IF(ISNUMBER(MR102),MR102*(1+PortfolioFrontier[[#This Row],[P89 Return]]),1+PortfolioFrontier[[#This Row],[P89 Return]])</f>
        <v>1.9425741986952787</v>
      </c>
      <c r="MS103" s="27">
        <f>MAX(MS102,PortfolioFrontier[[#This Row],[P89 Growth]])</f>
        <v>1.9425741986952787</v>
      </c>
      <c r="MT103" s="27">
        <f>PortfolioFrontier[[#This Row],[P89 Growth]]/PortfolioFrontier[[#This Row],[P89 HWM]]-1</f>
        <v>0</v>
      </c>
      <c r="MU103" s="28">
        <f>SUMPRODUCT(INDEX(PortfolioRef[[SPY]:[PE]],MATCH(MU$1,PortfolioRef[Reference '#]),0),AssetMonthlyReturns[[#This Row],[SPY]:[PE]])</f>
        <v>1.9213347859159735E-2</v>
      </c>
      <c r="MV103" s="27">
        <f>IF(ISNUMBER(MV102),MV102*(1+PortfolioFrontier[[#This Row],[P90 Return]]),1+PortfolioFrontier[[#This Row],[P90 Return]])</f>
        <v>1.9208214058989108</v>
      </c>
      <c r="MW103" s="27">
        <f>MAX(MW102,PortfolioFrontier[[#This Row],[P90 Growth]])</f>
        <v>1.9208214058989108</v>
      </c>
      <c r="MX103" s="27">
        <f>PortfolioFrontier[[#This Row],[P90 Growth]]/PortfolioFrontier[[#This Row],[P90 HWM]]-1</f>
        <v>0</v>
      </c>
      <c r="MY103" s="28">
        <f>SUMPRODUCT(INDEX(PortfolioRef[[SPY]:[PE]],MATCH(MY$1,PortfolioRef[Reference '#]),0),AssetMonthlyReturns[[#This Row],[SPY]:[PE]])</f>
        <v>2.700275473371325E-2</v>
      </c>
      <c r="MZ103" s="27">
        <f>IF(ISNUMBER(MZ102),MZ102*(1+PortfolioFrontier[[#This Row],[P91 Return]]),1+PortfolioFrontier[[#This Row],[P91 Return]])</f>
        <v>1.945807057181195</v>
      </c>
      <c r="NA103" s="27">
        <f>MAX(NA102,PortfolioFrontier[[#This Row],[P91 Growth]])</f>
        <v>1.945807057181195</v>
      </c>
      <c r="NB103" s="27">
        <f>PortfolioFrontier[[#This Row],[P91 Growth]]/PortfolioFrontier[[#This Row],[P91 HWM]]-1</f>
        <v>0</v>
      </c>
      <c r="NC103" s="28">
        <f>SUMPRODUCT(INDEX(PortfolioRef[[SPY]:[PE]],MATCH(NC$1,PortfolioRef[Reference '#]),0),AssetMonthlyReturns[[#This Row],[SPY]:[PE]])</f>
        <v>2.3890151853605924E-2</v>
      </c>
      <c r="ND103" s="27">
        <f>IF(ISNUMBER(ND102),ND102*(1+PortfolioFrontier[[#This Row],[P92 Return]]),1+PortfolioFrontier[[#This Row],[P92 Return]])</f>
        <v>1.9267909023602532</v>
      </c>
      <c r="NE103" s="27">
        <f>MAX(NE102,PortfolioFrontier[[#This Row],[P92 Growth]])</f>
        <v>1.9267909023602532</v>
      </c>
      <c r="NF103" s="27">
        <f>PortfolioFrontier[[#This Row],[P92 Growth]]/PortfolioFrontier[[#This Row],[P92 HWM]]-1</f>
        <v>0</v>
      </c>
      <c r="NG103" s="28">
        <f>SUMPRODUCT(INDEX(PortfolioRef[[SPY]:[PE]],MATCH(NG$1,PortfolioRef[Reference '#]),0),AssetMonthlyReturns[[#This Row],[SPY]:[PE]])</f>
        <v>2.0777548973498594E-2</v>
      </c>
      <c r="NH103" s="27">
        <f>IF(ISNUMBER(NH102),NH102*(1+PortfolioFrontier[[#This Row],[P93 Return]]),1+PortfolioFrontier[[#This Row],[P93 Return]])</f>
        <v>1.9063921137389463</v>
      </c>
      <c r="NI103" s="27">
        <f>MAX(NI102,PortfolioFrontier[[#This Row],[P93 Growth]])</f>
        <v>1.9063921137389463</v>
      </c>
      <c r="NJ103" s="27">
        <f>PortfolioFrontier[[#This Row],[P93 Growth]]/PortfolioFrontier[[#This Row],[P93 HWM]]-1</f>
        <v>0</v>
      </c>
      <c r="NK103" s="28">
        <f>SUMPRODUCT(INDEX(PortfolioRef[[SPY]:[PE]],MATCH(NK$1,PortfolioRef[Reference '#]),0),AssetMonthlyReturns[[#This Row],[SPY]:[PE]])</f>
        <v>2.8566955848052109E-2</v>
      </c>
      <c r="NL103" s="27">
        <f>IF(ISNUMBER(NL102),NL102*(1+PortfolioFrontier[[#This Row],[P94 Return]]),1+PortfolioFrontier[[#This Row],[P94 Return]])</f>
        <v>1.9271668865631233</v>
      </c>
      <c r="NM103" s="27">
        <f>MAX(NM102,PortfolioFrontier[[#This Row],[P94 Growth]])</f>
        <v>1.9271668865631233</v>
      </c>
      <c r="NN103" s="27">
        <f>PortfolioFrontier[[#This Row],[P94 Growth]]/PortfolioFrontier[[#This Row],[P94 HWM]]-1</f>
        <v>0</v>
      </c>
      <c r="NO103" s="28">
        <f>SUMPRODUCT(INDEX(PortfolioRef[[SPY]:[PE]],MATCH(NO$1,PortfolioRef[Reference '#]),0),AssetMonthlyReturns[[#This Row],[SPY]:[PE]])</f>
        <v>2.5454352967944783E-2</v>
      </c>
      <c r="NP103" s="27">
        <f>IF(ISNUMBER(NP102),NP102*(1+PortfolioFrontier[[#This Row],[P95 Return]]),1+PortfolioFrontier[[#This Row],[P95 Return]])</f>
        <v>1.9095226877531586</v>
      </c>
      <c r="NQ103" s="27">
        <f>MAX(NQ102,PortfolioFrontier[[#This Row],[P95 Growth]])</f>
        <v>1.9095226877531586</v>
      </c>
      <c r="NR103" s="27">
        <f>PortfolioFrontier[[#This Row],[P95 Growth]]/PortfolioFrontier[[#This Row],[P95 HWM]]-1</f>
        <v>0</v>
      </c>
      <c r="NS103" s="28">
        <f>SUMPRODUCT(INDEX(PortfolioRef[[SPY]:[PE]],MATCH(NS$1,PortfolioRef[Reference '#]),0),AssetMonthlyReturns[[#This Row],[SPY]:[PE]])</f>
        <v>2.2341750087837453E-2</v>
      </c>
      <c r="NT103" s="27">
        <f>IF(ISNUMBER(NT102),NT102*(1+PortfolioFrontier[[#This Row],[P96 Return]]),1+PortfolioFrontier[[#This Row],[P96 Return]])</f>
        <v>1.8904793308892496</v>
      </c>
      <c r="NU103" s="27">
        <f>MAX(NU102,PortfolioFrontier[[#This Row],[P96 Growth]])</f>
        <v>1.8904793308892496</v>
      </c>
      <c r="NV103" s="27">
        <f>PortfolioFrontier[[#This Row],[P96 Growth]]/PortfolioFrontier[[#This Row],[P96 HWM]]-1</f>
        <v>0</v>
      </c>
      <c r="NW103" s="28">
        <f>SUMPRODUCT(INDEX(PortfolioRef[[SPY]:[PE]],MATCH(NW$1,PortfolioRef[Reference '#]),0),AssetMonthlyReturns[[#This Row],[SPY]:[PE]])</f>
        <v>1.8741685492552607E-2</v>
      </c>
      <c r="NX103" s="27">
        <f>IF(ISNUMBER(NX102),NX102*(1+PortfolioFrontier[[#This Row],[P97 Return]]),1+PortfolioFrontier[[#This Row],[P97 Return]])</f>
        <v>1.6586233154053627</v>
      </c>
      <c r="NY103" s="27">
        <f>MAX(NY102,PortfolioFrontier[[#This Row],[P97 Growth]])</f>
        <v>1.6586233154053627</v>
      </c>
      <c r="NZ103" s="27">
        <f>PortfolioFrontier[[#This Row],[P97 Growth]]/PortfolioFrontier[[#This Row],[P97 HWM]]-1</f>
        <v>0</v>
      </c>
      <c r="OA103" s="28">
        <f>SUMPRODUCT(INDEX(PortfolioRef[[SPY]:[PE]],MATCH(OA$1,PortfolioRef[Reference '#]),0),AssetMonthlyReturns[[#This Row],[SPY]:[PE]])</f>
        <v>1.9055370806316484E-2</v>
      </c>
      <c r="OB103" s="27">
        <f>IF(ISNUMBER(OB102),OB102*(1+PortfolioFrontier[[#This Row],[P98 Return]]),1+PortfolioFrontier[[#This Row],[P98 Return]])</f>
        <v>1.7055960420360559</v>
      </c>
      <c r="OC103" s="27">
        <f>MAX(OC102,PortfolioFrontier[[#This Row],[P98 Growth]])</f>
        <v>1.7055960420360559</v>
      </c>
      <c r="OD103" s="27">
        <f>PortfolioFrontier[[#This Row],[P98 Growth]]/PortfolioFrontier[[#This Row],[P98 HWM]]-1</f>
        <v>0</v>
      </c>
      <c r="OE103" s="28">
        <f>SUMPRODUCT(INDEX(PortfolioRef[[SPY]:[PE]],MATCH(OE$1,PortfolioRef[Reference '#]),0),AssetMonthlyReturns[[#This Row],[SPY]:[PE]])</f>
        <v>2.0619571920655343E-2</v>
      </c>
      <c r="OF103" s="27">
        <f>IF(ISNUMBER(OF102),OF102*(1+PortfolioFrontier[[#This Row],[P99 Return]]),1+PortfolioFrontier[[#This Row],[P99 Return]])</f>
        <v>1.6936946923165468</v>
      </c>
      <c r="OG103" s="27">
        <f>MAX(OG102,PortfolioFrontier[[#This Row],[P99 Growth]])</f>
        <v>1.6936946923165468</v>
      </c>
      <c r="OH103" s="27">
        <f>PortfolioFrontier[[#This Row],[P99 Growth]]/PortfolioFrontier[[#This Row],[P99 HWM]]-1</f>
        <v>0</v>
      </c>
      <c r="OI103" s="28">
        <f>SUMPRODUCT(INDEX(PortfolioRef[[SPY]:[PE]],MATCH(OI$1,PortfolioRef[Reference '#]),0),AssetMonthlyReturns[[#This Row],[SPY]:[PE]])</f>
        <v>1.7506969040548017E-2</v>
      </c>
      <c r="OJ103" s="27">
        <f>IF(ISNUMBER(OJ102),OJ102*(1+PortfolioFrontier[[#This Row],[P100 Return]]),1+PortfolioFrontier[[#This Row],[P100 Return]])</f>
        <v>1.6733278708434549</v>
      </c>
      <c r="OK103" s="27">
        <f>MAX(OK102,PortfolioFrontier[[#This Row],[P100 Growth]])</f>
        <v>1.6733278708434549</v>
      </c>
      <c r="OL103" s="27">
        <f>PortfolioFrontier[[#This Row],[P100 Growth]]/PortfolioFrontier[[#This Row],[P100 HWM]]-1</f>
        <v>0</v>
      </c>
      <c r="OM103" s="28">
        <f>SUMPRODUCT(INDEX(PortfolioRef[[SPY]:[PE]],MATCH(OM$1,PortfolioRef[Reference '#]),0),AssetMonthlyReturns[[#This Row],[SPY]:[PE]])</f>
        <v>1.9369056120080365E-2</v>
      </c>
      <c r="ON103" s="27">
        <f>IF(ISNUMBER(ON102),ON102*(1+PortfolioFrontier[[#This Row],[P101 Return]]),1+PortfolioFrontier[[#This Row],[P101 Return]])</f>
        <v>1.7533743320747599</v>
      </c>
      <c r="OO103" s="27">
        <f>MAX(OO102,PortfolioFrontier[[#This Row],[P101 Growth]])</f>
        <v>1.7533743320747599</v>
      </c>
      <c r="OP103" s="27">
        <f>PortfolioFrontier[[#This Row],[P101 Growth]]/PortfolioFrontier[[#This Row],[P101 HWM]]-1</f>
        <v>0</v>
      </c>
      <c r="OQ103" s="28">
        <f>SUMPRODUCT(INDEX(PortfolioRef[[SPY]:[PE]],MATCH(OQ$1,PortfolioRef[Reference '#]),0),AssetMonthlyReturns[[#This Row],[SPY]:[PE]])</f>
        <v>2.093325723441922E-2</v>
      </c>
      <c r="OR103" s="27">
        <f>IF(ISNUMBER(OR102),OR102*(1+PortfolioFrontier[[#This Row],[P102 Return]]),1+PortfolioFrontier[[#This Row],[P102 Return]])</f>
        <v>1.7416335328242207</v>
      </c>
      <c r="OS103" s="27">
        <f>MAX(OS102,PortfolioFrontier[[#This Row],[P102 Growth]])</f>
        <v>1.7416335328242207</v>
      </c>
      <c r="OT103" s="27">
        <f>PortfolioFrontier[[#This Row],[P102 Growth]]/PortfolioFrontier[[#This Row],[P102 HWM]]-1</f>
        <v>0</v>
      </c>
      <c r="OU103" s="28">
        <f>SUMPRODUCT(INDEX(PortfolioRef[[SPY]:[PE]],MATCH(OU$1,PortfolioRef[Reference '#]),0),AssetMonthlyReturns[[#This Row],[SPY]:[PE]])</f>
        <v>1.7820654354311894E-2</v>
      </c>
      <c r="OV103" s="27">
        <f>IF(ISNUMBER(OV102),OV102*(1+PortfolioFrontier[[#This Row],[P103 Return]]),1+PortfolioFrontier[[#This Row],[P103 Return]])</f>
        <v>1.7207095944079549</v>
      </c>
      <c r="OW103" s="27">
        <f>MAX(OW102,PortfolioFrontier[[#This Row],[P103 Growth]])</f>
        <v>1.7207095944079549</v>
      </c>
      <c r="OX103" s="27">
        <f>PortfolioFrontier[[#This Row],[P103 Growth]]/PortfolioFrontier[[#This Row],[P103 HWM]]-1</f>
        <v>0</v>
      </c>
      <c r="OY103" s="28">
        <f>SUMPRODUCT(INDEX(PortfolioRef[[SPY]:[PE]],MATCH(OY$1,PortfolioRef[Reference '#]),0),AssetMonthlyReturns[[#This Row],[SPY]:[PE]])</f>
        <v>2.2497458348758083E-2</v>
      </c>
      <c r="OZ103" s="27">
        <f>IF(ISNUMBER(OZ102),OZ102*(1+PortfolioFrontier[[#This Row],[P104 Return]]),1+PortfolioFrontier[[#This Row],[P104 Return]])</f>
        <v>1.7285200802599279</v>
      </c>
      <c r="PA103" s="27">
        <f>MAX(PA102,PortfolioFrontier[[#This Row],[P104 Growth]])</f>
        <v>1.7285200802599279</v>
      </c>
      <c r="PB103" s="27">
        <f>PortfolioFrontier[[#This Row],[P104 Growth]]/PortfolioFrontier[[#This Row],[P104 HWM]]-1</f>
        <v>0</v>
      </c>
      <c r="PC103" s="28">
        <f>SUMPRODUCT(INDEX(PortfolioRef[[SPY]:[PE]],MATCH(PC$1,PortfolioRef[Reference '#]),0),AssetMonthlyReturns[[#This Row],[SPY]:[PE]])</f>
        <v>1.9384855468650753E-2</v>
      </c>
      <c r="PD103" s="27">
        <f>IF(ISNUMBER(PD102),PD102*(1+PortfolioFrontier[[#This Row],[P105 Return]]),1+PortfolioFrontier[[#This Row],[P105 Return]])</f>
        <v>1.7088035068471081</v>
      </c>
      <c r="PE103" s="27">
        <f>MAX(PE102,PortfolioFrontier[[#This Row],[P105 Growth]])</f>
        <v>1.7088035068471081</v>
      </c>
      <c r="PF103" s="27">
        <f>PortfolioFrontier[[#This Row],[P105 Growth]]/PortfolioFrontier[[#This Row],[P105 HWM]]-1</f>
        <v>0</v>
      </c>
      <c r="PG103" s="28">
        <f>SUMPRODUCT(INDEX(PortfolioRef[[SPY]:[PE]],MATCH(PG$1,PortfolioRef[Reference '#]),0),AssetMonthlyReturns[[#This Row],[SPY]:[PE]])</f>
        <v>1.6272252588543423E-2</v>
      </c>
      <c r="PH103" s="27">
        <f>IF(ISNUMBER(PH102),PH102*(1+PortfolioFrontier[[#This Row],[P106 Return]]),1+PortfolioFrontier[[#This Row],[P106 Return]])</f>
        <v>1.6879312019631232</v>
      </c>
      <c r="PI103" s="27">
        <f>MAX(PI102,PortfolioFrontier[[#This Row],[P106 Growth]])</f>
        <v>1.6879312019631232</v>
      </c>
      <c r="PJ103" s="27">
        <f>PortfolioFrontier[[#This Row],[P106 Growth]]/PortfolioFrontier[[#This Row],[P106 HWM]]-1</f>
        <v>0</v>
      </c>
      <c r="PK103" s="28">
        <f>SUMPRODUCT(INDEX(PortfolioRef[[SPY]:[PE]],MATCH(PK$1,PortfolioRef[Reference '#]),0),AssetMonthlyReturns[[#This Row],[SPY]:[PE]])</f>
        <v>2.1246942548183101E-2</v>
      </c>
      <c r="PL103" s="27">
        <f>IF(ISNUMBER(PL102),PL102*(1+PortfolioFrontier[[#This Row],[P107 Return]]),1+PortfolioFrontier[[#This Row],[P107 Return]])</f>
        <v>1.7903939888928015</v>
      </c>
      <c r="PM103" s="27">
        <f>MAX(PM102,PortfolioFrontier[[#This Row],[P107 Growth]])</f>
        <v>1.7903939888928015</v>
      </c>
      <c r="PN103" s="27">
        <f>PortfolioFrontier[[#This Row],[P107 Growth]]/PortfolioFrontier[[#This Row],[P107 HWM]]-1</f>
        <v>0</v>
      </c>
      <c r="PO103" s="28">
        <f>SUMPRODUCT(INDEX(PortfolioRef[[SPY]:[PE]],MATCH(PO$1,PortfolioRef[Reference '#]),0),AssetMonthlyReturns[[#This Row],[SPY]:[PE]])</f>
        <v>1.8134339668075775E-2</v>
      </c>
      <c r="PP103" s="27">
        <f>IF(ISNUMBER(PP102),PP102*(1+PortfolioFrontier[[#This Row],[P108 Return]]),1+PortfolioFrontier[[#This Row],[P108 Return]])</f>
        <v>1.7689039487328875</v>
      </c>
      <c r="PQ103" s="27">
        <f>MAX(PQ102,PortfolioFrontier[[#This Row],[P108 Growth]])</f>
        <v>1.7689039487328875</v>
      </c>
      <c r="PR103" s="27">
        <f>PortfolioFrontier[[#This Row],[P108 Growth]]/PortfolioFrontier[[#This Row],[P108 HWM]]-1</f>
        <v>0</v>
      </c>
      <c r="PS103" s="28">
        <f>SUMPRODUCT(INDEX(PortfolioRef[[SPY]:[PE]],MATCH(PS$1,PortfolioRef[Reference '#]),0),AssetMonthlyReturns[[#This Row],[SPY]:[PE]])</f>
        <v>2.281114366252196E-2</v>
      </c>
      <c r="PT103" s="27">
        <f>IF(ISNUMBER(PT102),PT102*(1+PortfolioFrontier[[#This Row],[P109 Return]]),1+PortfolioFrontier[[#This Row],[P109 Return]])</f>
        <v>1.7774175447499685</v>
      </c>
      <c r="PU103" s="27">
        <f>MAX(PU102,PortfolioFrontier[[#This Row],[P109 Growth]])</f>
        <v>1.7774175447499685</v>
      </c>
      <c r="PV103" s="27">
        <f>PortfolioFrontier[[#This Row],[P109 Growth]]/PortfolioFrontier[[#This Row],[P109 HWM]]-1</f>
        <v>0</v>
      </c>
      <c r="PW103" s="28">
        <f>SUMPRODUCT(INDEX(PortfolioRef[[SPY]:[PE]],MATCH(PW$1,PortfolioRef[Reference '#]),0),AssetMonthlyReturns[[#This Row],[SPY]:[PE]])</f>
        <v>1.969854078241463E-2</v>
      </c>
      <c r="PX103" s="27">
        <f>IF(ISNUMBER(PX102),PX102*(1+PortfolioFrontier[[#This Row],[P110 Return]]),1+PortfolioFrontier[[#This Row],[P110 Return]])</f>
        <v>1.7571623349114303</v>
      </c>
      <c r="PY103" s="27">
        <f>MAX(PY102,PortfolioFrontier[[#This Row],[P110 Growth]])</f>
        <v>1.7571623349114303</v>
      </c>
      <c r="PZ103" s="27">
        <f>PortfolioFrontier[[#This Row],[P110 Growth]]/PortfolioFrontier[[#This Row],[P110 HWM]]-1</f>
        <v>0</v>
      </c>
      <c r="QA103" s="28">
        <f>SUMPRODUCT(INDEX(PortfolioRef[[SPY]:[PE]],MATCH(QA$1,PortfolioRef[Reference '#]),0),AssetMonthlyReturns[[#This Row],[SPY]:[PE]])</f>
        <v>1.65859379023073E-2</v>
      </c>
      <c r="QB103" s="27">
        <f>IF(ISNUMBER(QB102),QB102*(1+PortfolioFrontier[[#This Row],[P111 Return]]),1+PortfolioFrontier[[#This Row],[P111 Return]])</f>
        <v>1.7357190834372036</v>
      </c>
      <c r="QC103" s="27">
        <f>MAX(QC102,PortfolioFrontier[[#This Row],[P111 Growth]])</f>
        <v>1.7357190834372036</v>
      </c>
      <c r="QD103" s="27">
        <f>PortfolioFrontier[[#This Row],[P111 Growth]]/PortfolioFrontier[[#This Row],[P111 HWM]]-1</f>
        <v>0</v>
      </c>
      <c r="QE103" s="28">
        <f>SUMPRODUCT(INDEX(PortfolioRef[[SPY]:[PE]],MATCH(QE$1,PortfolioRef[Reference '#]),0),AssetMonthlyReturns[[#This Row],[SPY]:[PE]])</f>
        <v>2.4375344776860819E-2</v>
      </c>
      <c r="QF103" s="27">
        <f>IF(ISNUMBER(QF102),QF102*(1+PortfolioFrontier[[#This Row],[P112 Return]]),1+PortfolioFrontier[[#This Row],[P112 Return]])</f>
        <v>1.7630510049753432</v>
      </c>
      <c r="QG103" s="27">
        <f>MAX(QG102,PortfolioFrontier[[#This Row],[P112 Growth]])</f>
        <v>1.7630510049753432</v>
      </c>
      <c r="QH103" s="27">
        <f>PortfolioFrontier[[#This Row],[P112 Growth]]/PortfolioFrontier[[#This Row],[P112 HWM]]-1</f>
        <v>0</v>
      </c>
      <c r="QI103" s="28">
        <f>SUMPRODUCT(INDEX(PortfolioRef[[SPY]:[PE]],MATCH(QI$1,PortfolioRef[Reference '#]),0),AssetMonthlyReturns[[#This Row],[SPY]:[PE]])</f>
        <v>2.1262741896753493E-2</v>
      </c>
      <c r="QJ103" s="27">
        <f>IF(ISNUMBER(QJ102),QJ102*(1+PortfolioFrontier[[#This Row],[P113 Return]]),1+PortfolioFrontier[[#This Row],[P113 Return]])</f>
        <v>1.744034958456353</v>
      </c>
      <c r="QK103" s="27">
        <f>MAX(QK102,PortfolioFrontier[[#This Row],[P113 Growth]])</f>
        <v>1.744034958456353</v>
      </c>
      <c r="QL103" s="27">
        <f>PortfolioFrontier[[#This Row],[P113 Growth]]/PortfolioFrontier[[#This Row],[P113 HWM]]-1</f>
        <v>0</v>
      </c>
      <c r="QM103" s="28">
        <f>SUMPRODUCT(INDEX(PortfolioRef[[SPY]:[PE]],MATCH(QM$1,PortfolioRef[Reference '#]),0),AssetMonthlyReturns[[#This Row],[SPY]:[PE]])</f>
        <v>1.8150139016646159E-2</v>
      </c>
      <c r="QN103" s="27">
        <f>IF(ISNUMBER(QN102),QN102*(1+PortfolioFrontier[[#This Row],[P114 Return]]),1+PortfolioFrontier[[#This Row],[P114 Return]])</f>
        <v>1.7238106657282082</v>
      </c>
      <c r="QO103" s="27">
        <f>MAX(QO102,PortfolioFrontier[[#This Row],[P114 Growth]])</f>
        <v>1.7238106657282082</v>
      </c>
      <c r="QP103" s="27">
        <f>PortfolioFrontier[[#This Row],[P114 Growth]]/PortfolioFrontier[[#This Row],[P114 HWM]]-1</f>
        <v>0</v>
      </c>
      <c r="QQ103" s="28">
        <f>SUMPRODUCT(INDEX(PortfolioRef[[SPY]:[PE]],MATCH(QQ$1,PortfolioRef[Reference '#]),0),AssetMonthlyReturns[[#This Row],[SPY]:[PE]])</f>
        <v>2.312482897628584E-2</v>
      </c>
      <c r="QR103" s="27">
        <f>IF(ISNUMBER(QR102),QR102*(1+PortfolioFrontier[[#This Row],[P115 Return]]),1+PortfolioFrontier[[#This Row],[P115 Return]])</f>
        <v>1.8271525386679972</v>
      </c>
      <c r="QS103" s="27">
        <f>MAX(QS102,PortfolioFrontier[[#This Row],[P115 Growth]])</f>
        <v>1.8271525386679972</v>
      </c>
      <c r="QT103" s="27">
        <f>PortfolioFrontier[[#This Row],[P115 Growth]]/PortfolioFrontier[[#This Row],[P115 HWM]]-1</f>
        <v>0</v>
      </c>
      <c r="QU103" s="28">
        <f>SUMPRODUCT(INDEX(PortfolioRef[[SPY]:[PE]],MATCH(QU$1,PortfolioRef[Reference '#]),0),AssetMonthlyReturns[[#This Row],[SPY]:[PE]])</f>
        <v>2.0012226096178511E-2</v>
      </c>
      <c r="QV103" s="27">
        <f>IF(ISNUMBER(QV102),QV102*(1+PortfolioFrontier[[#This Row],[P116 Return]]),1+PortfolioFrontier[[#This Row],[P116 Return]])</f>
        <v>1.8063500298249355</v>
      </c>
      <c r="QW103" s="27">
        <f>MAX(QW102,PortfolioFrontier[[#This Row],[P116 Growth]])</f>
        <v>1.8063500298249355</v>
      </c>
      <c r="QX103" s="27">
        <f>PortfolioFrontier[[#This Row],[P116 Growth]]/PortfolioFrontier[[#This Row],[P116 HWM]]-1</f>
        <v>0</v>
      </c>
      <c r="QY103" s="28">
        <f>SUMPRODUCT(INDEX(PortfolioRef[[SPY]:[PE]],MATCH(QY$1,PortfolioRef[Reference '#]),0),AssetMonthlyReturns[[#This Row],[SPY]:[PE]])</f>
        <v>1.6899623216071181E-2</v>
      </c>
      <c r="QZ103" s="27">
        <f>IF(ISNUMBER(QZ102),QZ102*(1+PortfolioFrontier[[#This Row],[P117 Return]]),1+PortfolioFrontier[[#This Row],[P117 Return]])</f>
        <v>1.7843266175697363</v>
      </c>
      <c r="RA103" s="27">
        <f>MAX(RA102,PortfolioFrontier[[#This Row],[P117 Growth]])</f>
        <v>1.7843266175697363</v>
      </c>
      <c r="RB103" s="27">
        <f>PortfolioFrontier[[#This Row],[P117 Growth]]/PortfolioFrontier[[#This Row],[P117 HWM]]-1</f>
        <v>0</v>
      </c>
      <c r="RC103" s="28">
        <f>SUMPRODUCT(INDEX(PortfolioRef[[SPY]:[PE]],MATCH(RC$1,PortfolioRef[Reference '#]),0),AssetMonthlyReturns[[#This Row],[SPY]:[PE]])</f>
        <v>2.4689030090624696E-2</v>
      </c>
      <c r="RD103" s="27">
        <f>IF(ISNUMBER(RD102),RD102*(1+PortfolioFrontier[[#This Row],[P118 Return]]),1+PortfolioFrontier[[#This Row],[P118 Return]])</f>
        <v>1.812898280410228</v>
      </c>
      <c r="RE103" s="27">
        <f>MAX(RE102,PortfolioFrontier[[#This Row],[P118 Growth]])</f>
        <v>1.812898280410228</v>
      </c>
      <c r="RF103" s="27">
        <f>PortfolioFrontier[[#This Row],[P118 Growth]]/PortfolioFrontier[[#This Row],[P118 HWM]]-1</f>
        <v>0</v>
      </c>
      <c r="RG103" s="28">
        <f>SUMPRODUCT(INDEX(PortfolioRef[[SPY]:[PE]],MATCH(RG$1,PortfolioRef[Reference '#]),0),AssetMonthlyReturns[[#This Row],[SPY]:[PE]])</f>
        <v>2.157642721051737E-2</v>
      </c>
      <c r="RH103" s="27">
        <f>IF(ISNUMBER(RH102),RH102*(1+PortfolioFrontier[[#This Row],[P119 Return]]),1+PortfolioFrontier[[#This Row],[P119 Return]])</f>
        <v>1.7933634436187662</v>
      </c>
      <c r="RI103" s="27">
        <f>MAX(RI102,PortfolioFrontier[[#This Row],[P119 Growth]])</f>
        <v>1.7933634436187662</v>
      </c>
      <c r="RJ103" s="27">
        <f>PortfolioFrontier[[#This Row],[P119 Growth]]/PortfolioFrontier[[#This Row],[P119 HWM]]-1</f>
        <v>0</v>
      </c>
      <c r="RK103" s="28">
        <f>SUMPRODUCT(INDEX(PortfolioRef[[SPY]:[PE]],MATCH(RK$1,PortfolioRef[Reference '#]),0),AssetMonthlyReturns[[#This Row],[SPY]:[PE]])</f>
        <v>1.8463824330410036E-2</v>
      </c>
      <c r="RL103" s="27">
        <f>IF(ISNUMBER(RL102),RL102*(1+PortfolioFrontier[[#This Row],[P120 Return]]),1+PortfolioFrontier[[#This Row],[P120 Return]])</f>
        <v>1.7725866304961815</v>
      </c>
      <c r="RM103" s="27">
        <f>MAX(RM102,PortfolioFrontier[[#This Row],[P120 Growth]])</f>
        <v>1.7725866304961815</v>
      </c>
      <c r="RN103" s="27">
        <f>PortfolioFrontier[[#This Row],[P120 Growth]]/PortfolioFrontier[[#This Row],[P120 HWM]]-1</f>
        <v>0</v>
      </c>
      <c r="RO103" s="28">
        <f>SUMPRODUCT(INDEX(PortfolioRef[[SPY]:[PE]],MATCH(RO$1,PortfolioRef[Reference '#]),0),AssetMonthlyReturns[[#This Row],[SPY]:[PE]])</f>
        <v>2.6253231204963555E-2</v>
      </c>
      <c r="RP103" s="27">
        <f>IF(ISNUMBER(RP102),RP102*(1+PortfolioFrontier[[#This Row],[P121 Return]]),1+PortfolioFrontier[[#This Row],[P121 Return]])</f>
        <v>1.7972381263762225</v>
      </c>
      <c r="RQ103" s="27">
        <f>MAX(RQ102,PortfolioFrontier[[#This Row],[P121 Growth]])</f>
        <v>1.7972381263762225</v>
      </c>
      <c r="RR103" s="27">
        <f>PortfolioFrontier[[#This Row],[P121 Growth]]/PortfolioFrontier[[#This Row],[P121 HWM]]-1</f>
        <v>0</v>
      </c>
      <c r="RS103" s="28">
        <f>SUMPRODUCT(INDEX(PortfolioRef[[SPY]:[PE]],MATCH(RS$1,PortfolioRef[Reference '#]),0),AssetMonthlyReturns[[#This Row],[SPY]:[PE]])</f>
        <v>2.3140628324856229E-2</v>
      </c>
      <c r="RT103" s="27">
        <f>IF(ISNUMBER(RT102),RT102*(1+PortfolioFrontier[[#This Row],[P122 Return]]),1+PortfolioFrontier[[#This Row],[P122 Return]])</f>
        <v>1.7789732965306195</v>
      </c>
      <c r="RU103" s="27">
        <f>MAX(RU102,PortfolioFrontier[[#This Row],[P122 Growth]])</f>
        <v>1.7789732965306195</v>
      </c>
      <c r="RV103" s="27">
        <f>PortfolioFrontier[[#This Row],[P122 Growth]]/PortfolioFrontier[[#This Row],[P122 HWM]]-1</f>
        <v>0</v>
      </c>
      <c r="RW103" s="28">
        <f>SUMPRODUCT(INDEX(PortfolioRef[[SPY]:[PE]],MATCH(RW$1,PortfolioRef[Reference '#]),0),AssetMonthlyReturns[[#This Row],[SPY]:[PE]])</f>
        <v>2.0028025444748899E-2</v>
      </c>
      <c r="RX103" s="27">
        <f>IF(ISNUMBER(RX102),RX102*(1+PortfolioFrontier[[#This Row],[P123 Return]]),1+PortfolioFrontier[[#This Row],[P123 Return]])</f>
        <v>1.7594478376968143</v>
      </c>
      <c r="RY103" s="27">
        <f>MAX(RY102,PortfolioFrontier[[#This Row],[P123 Growth]])</f>
        <v>1.7594478376968143</v>
      </c>
      <c r="RZ103" s="27">
        <f>PortfolioFrontier[[#This Row],[P123 Growth]]/PortfolioFrontier[[#This Row],[P123 HWM]]-1</f>
        <v>0</v>
      </c>
      <c r="SA103" s="28">
        <f>SUMPRODUCT(INDEX(PortfolioRef[[SPY]:[PE]],MATCH(SA$1,PortfolioRef[Reference '#]),0),AssetMonthlyReturns[[#This Row],[SPY]:[PE]])</f>
        <v>2.5002715404388576E-2</v>
      </c>
      <c r="SB103" s="27">
        <f>IF(ISNUMBER(SB102),SB102*(1+PortfolioFrontier[[#This Row],[P124 Return]]),1+PortfolioFrontier[[#This Row],[P124 Return]])</f>
        <v>1.8635988391264016</v>
      </c>
      <c r="SC103" s="27">
        <f>MAX(SC102,PortfolioFrontier[[#This Row],[P124 Growth]])</f>
        <v>1.8635988391264016</v>
      </c>
      <c r="SD103" s="27">
        <f>PortfolioFrontier[[#This Row],[P124 Growth]]/PortfolioFrontier[[#This Row],[P124 HWM]]-1</f>
        <v>0</v>
      </c>
      <c r="SE103" s="28">
        <f>SUMPRODUCT(INDEX(PortfolioRef[[SPY]:[PE]],MATCH(SE$1,PortfolioRef[Reference '#]),0),AssetMonthlyReturns[[#This Row],[SPY]:[PE]])</f>
        <v>2.189011252428125E-2</v>
      </c>
      <c r="SF103" s="27">
        <f>IF(ISNUMBER(SF102),SF102*(1+PortfolioFrontier[[#This Row],[P125 Return]]),1+PortfolioFrontier[[#This Row],[P125 Return]])</f>
        <v>1.8435368939714152</v>
      </c>
      <c r="SG103" s="27">
        <f>MAX(SG102,PortfolioFrontier[[#This Row],[P125 Growth]])</f>
        <v>1.8435368939714152</v>
      </c>
      <c r="SH103" s="27">
        <f>PortfolioFrontier[[#This Row],[P125 Growth]]/PortfolioFrontier[[#This Row],[P125 HWM]]-1</f>
        <v>0</v>
      </c>
      <c r="SI103" s="28">
        <f>SUMPRODUCT(INDEX(PortfolioRef[[SPY]:[PE]],MATCH(SI$1,PortfolioRef[Reference '#]),0),AssetMonthlyReturns[[#This Row],[SPY]:[PE]])</f>
        <v>1.8777509644173917E-2</v>
      </c>
      <c r="SJ103" s="27">
        <f>IF(ISNUMBER(SJ102),SJ102*(1+PortfolioFrontier[[#This Row],[P126 Return]]),1+PortfolioFrontier[[#This Row],[P126 Return]])</f>
        <v>1.8221986678304019</v>
      </c>
      <c r="SK103" s="27">
        <f>MAX(SK102,PortfolioFrontier[[#This Row],[P126 Growth]])</f>
        <v>1.8221986678304019</v>
      </c>
      <c r="SL103" s="27">
        <f>PortfolioFrontier[[#This Row],[P126 Growth]]/PortfolioFrontier[[#This Row],[P126 HWM]]-1</f>
        <v>0</v>
      </c>
      <c r="SM103" s="28">
        <f>SUMPRODUCT(INDEX(PortfolioRef[[SPY]:[PE]],MATCH(SM$1,PortfolioRef[Reference '#]),0),AssetMonthlyReturns[[#This Row],[SPY]:[PE]])</f>
        <v>2.6566916518727432E-2</v>
      </c>
      <c r="SN103" s="27">
        <f>IF(ISNUMBER(SN102),SN102*(1+PortfolioFrontier[[#This Row],[P127 Return]]),1+PortfolioFrontier[[#This Row],[P127 Return]])</f>
        <v>1.8480250547666754</v>
      </c>
      <c r="SO103" s="27">
        <f>MAX(SO102,PortfolioFrontier[[#This Row],[P127 Growth]])</f>
        <v>1.8480250547666754</v>
      </c>
      <c r="SP103" s="27">
        <f>PortfolioFrontier[[#This Row],[P127 Growth]]/PortfolioFrontier[[#This Row],[P127 HWM]]-1</f>
        <v>0</v>
      </c>
      <c r="SQ103" s="28">
        <f>SUMPRODUCT(INDEX(PortfolioRef[[SPY]:[PE]],MATCH(SQ$1,PortfolioRef[Reference '#]),0),AssetMonthlyReturns[[#This Row],[SPY]:[PE]])</f>
        <v>2.3454313638620106E-2</v>
      </c>
      <c r="SR103" s="27">
        <f>IF(ISNUMBER(SR102),SR102*(1+PortfolioFrontier[[#This Row],[P128 Return]]),1+PortfolioFrontier[[#This Row],[P128 Return]])</f>
        <v>1.8292626559849336</v>
      </c>
      <c r="SS103" s="27">
        <f>MAX(SS102,PortfolioFrontier[[#This Row],[P128 Growth]])</f>
        <v>1.8292626559849336</v>
      </c>
      <c r="ST103" s="27">
        <f>PortfolioFrontier[[#This Row],[P128 Growth]]/PortfolioFrontier[[#This Row],[P128 HWM]]-1</f>
        <v>0</v>
      </c>
      <c r="SU103" s="28">
        <f>SUMPRODUCT(INDEX(PortfolioRef[[SPY]:[PE]],MATCH(SU$1,PortfolioRef[Reference '#]),0),AssetMonthlyReturns[[#This Row],[SPY]:[PE]])</f>
        <v>2.0341710758512776E-2</v>
      </c>
      <c r="SV103" s="27">
        <f>IF(ISNUMBER(SV102),SV102*(1+PortfolioFrontier[[#This Row],[P129 Return]]),1+PortfolioFrontier[[#This Row],[P129 Return]])</f>
        <v>1.8092044832512995</v>
      </c>
      <c r="SW103" s="27">
        <f>MAX(SW102,PortfolioFrontier[[#This Row],[P129 Growth]])</f>
        <v>1.8092044832512995</v>
      </c>
      <c r="SX103" s="27">
        <f>PortfolioFrontier[[#This Row],[P129 Growth]]/PortfolioFrontier[[#This Row],[P129 HWM]]-1</f>
        <v>0</v>
      </c>
      <c r="SY103" s="28">
        <f>SUMPRODUCT(INDEX(PortfolioRef[[SPY]:[PE]],MATCH(SY$1,PortfolioRef[Reference '#]),0),AssetMonthlyReturns[[#This Row],[SPY]:[PE]])</f>
        <v>2.8131117633066291E-2</v>
      </c>
      <c r="SZ103" s="27">
        <f>IF(ISNUMBER(SZ102),SZ102*(1+PortfolioFrontier[[#This Row],[P130 Return]]),1+PortfolioFrontier[[#This Row],[P130 Return]])</f>
        <v>1.8310313179706992</v>
      </c>
      <c r="TA103" s="27">
        <f>MAX(TA102,PortfolioFrontier[[#This Row],[P130 Growth]])</f>
        <v>1.8310313179706992</v>
      </c>
      <c r="TB103" s="27">
        <f>PortfolioFrontier[[#This Row],[P130 Growth]]/PortfolioFrontier[[#This Row],[P130 HWM]]-1</f>
        <v>0</v>
      </c>
      <c r="TC103" s="28">
        <f>SUMPRODUCT(INDEX(PortfolioRef[[SPY]:[PE]],MATCH(TC$1,PortfolioRef[Reference '#]),0),AssetMonthlyReturns[[#This Row],[SPY]:[PE]])</f>
        <v>2.5018514752958965E-2</v>
      </c>
      <c r="TD103" s="27">
        <f>IF(ISNUMBER(TD102),TD102*(1+PortfolioFrontier[[#This Row],[P131 Return]]),1+PortfolioFrontier[[#This Row],[P131 Return]])</f>
        <v>1.8135687089481216</v>
      </c>
      <c r="TE103" s="27">
        <f>MAX(TE102,PortfolioFrontier[[#This Row],[P131 Growth]])</f>
        <v>1.8135687089481216</v>
      </c>
      <c r="TF103" s="27">
        <f>PortfolioFrontier[[#This Row],[P131 Growth]]/PortfolioFrontier[[#This Row],[P131 HWM]]-1</f>
        <v>0</v>
      </c>
      <c r="TG103" s="28">
        <f>SUMPRODUCT(INDEX(PortfolioRef[[SPY]:[PE]],MATCH(TG$1,PortfolioRef[Reference '#]),0),AssetMonthlyReturns[[#This Row],[SPY]:[PE]])</f>
        <v>2.1905911872851635E-2</v>
      </c>
      <c r="TH103" s="27">
        <f>IF(ISNUMBER(TH102),TH102*(1+PortfolioFrontier[[#This Row],[P132 Return]]),1+PortfolioFrontier[[#This Row],[P132 Return]])</f>
        <v>1.7947933363116841</v>
      </c>
      <c r="TI103" s="27">
        <f>MAX(TI102,PortfolioFrontier[[#This Row],[P132 Growth]])</f>
        <v>1.7947933363116841</v>
      </c>
      <c r="TJ103" s="27">
        <f>PortfolioFrontier[[#This Row],[P132 Growth]]/PortfolioFrontier[[#This Row],[P132 HWM]]-1</f>
        <v>0</v>
      </c>
      <c r="TK103" s="28">
        <f>SUMPRODUCT(INDEX(PortfolioRef[[SPY]:[PE]],MATCH(TK$1,PortfolioRef[Reference '#]),0),AssetMonthlyReturns[[#This Row],[SPY]:[PE]])</f>
        <v>2.6880601832491312E-2</v>
      </c>
      <c r="TL103" s="27">
        <f>IF(ISNUMBER(TL102),TL102*(1+PortfolioFrontier[[#This Row],[P133 Return]]),1+PortfolioFrontier[[#This Row],[P133 Return]])</f>
        <v>1.8996808382311483</v>
      </c>
      <c r="TM103" s="27">
        <f>MAX(TM102,PortfolioFrontier[[#This Row],[P133 Growth]])</f>
        <v>1.8996808382311483</v>
      </c>
      <c r="TN103" s="27">
        <f>PortfolioFrontier[[#This Row],[P133 Growth]]/PortfolioFrontier[[#This Row],[P133 HWM]]-1</f>
        <v>0</v>
      </c>
      <c r="TO103" s="28">
        <f>SUMPRODUCT(INDEX(PortfolioRef[[SPY]:[PE]],MATCH(TO$1,PortfolioRef[Reference '#]),0),AssetMonthlyReturns[[#This Row],[SPY]:[PE]])</f>
        <v>2.3767998952383986E-2</v>
      </c>
      <c r="TP103" s="27">
        <f>IF(ISNUMBER(TP102),TP102*(1+PortfolioFrontier[[#This Row],[P134 Return]]),1+PortfolioFrontier[[#This Row],[P134 Return]])</f>
        <v>1.8804129192905816</v>
      </c>
      <c r="TQ103" s="27">
        <f>MAX(TQ102,PortfolioFrontier[[#This Row],[P134 Growth]])</f>
        <v>1.8804129192905816</v>
      </c>
      <c r="TR103" s="27">
        <f>PortfolioFrontier[[#This Row],[P134 Growth]]/PortfolioFrontier[[#This Row],[P134 HWM]]-1</f>
        <v>0</v>
      </c>
      <c r="TS103" s="28">
        <f>SUMPRODUCT(INDEX(PortfolioRef[[SPY]:[PE]],MATCH(TS$1,PortfolioRef[Reference '#]),0),AssetMonthlyReturns[[#This Row],[SPY]:[PE]])</f>
        <v>2.0655396072276656E-2</v>
      </c>
      <c r="TT103" s="27">
        <f>IF(ISNUMBER(TT102),TT102*(1+PortfolioFrontier[[#This Row],[P135 Return]]),1+PortfolioFrontier[[#This Row],[P135 Return]])</f>
        <v>1.8598134841103484</v>
      </c>
      <c r="TU103" s="27">
        <f>MAX(TU102,PortfolioFrontier[[#This Row],[P135 Growth]])</f>
        <v>1.8598134841103484</v>
      </c>
      <c r="TV103" s="27">
        <f>PortfolioFrontier[[#This Row],[P135 Growth]]/PortfolioFrontier[[#This Row],[P135 HWM]]-1</f>
        <v>0</v>
      </c>
      <c r="TW103" s="28">
        <f>SUMPRODUCT(INDEX(PortfolioRef[[SPY]:[PE]],MATCH(TW$1,PortfolioRef[Reference '#]),0),AssetMonthlyReturns[[#This Row],[SPY]:[PE]])</f>
        <v>2.8444802946830168E-2</v>
      </c>
      <c r="TX103" s="27">
        <f>IF(ISNUMBER(TX102),TX102*(1+PortfolioFrontier[[#This Row],[P136 Return]]),1+PortfolioFrontier[[#This Row],[P136 Return]])</f>
        <v>1.8827463767361483</v>
      </c>
      <c r="TY103" s="27">
        <f>MAX(TY102,PortfolioFrontier[[#This Row],[P136 Growth]])</f>
        <v>1.8827463767361483</v>
      </c>
      <c r="TZ103" s="27">
        <f>PortfolioFrontier[[#This Row],[P136 Growth]]/PortfolioFrontier[[#This Row],[P136 HWM]]-1</f>
        <v>0</v>
      </c>
      <c r="UA103" s="28">
        <f>SUMPRODUCT(INDEX(PortfolioRef[[SPY]:[PE]],MATCH(UA$1,PortfolioRef[Reference '#]),0),AssetMonthlyReturns[[#This Row],[SPY]:[PE]])</f>
        <v>2.5332200066722842E-2</v>
      </c>
      <c r="UB103" s="27">
        <f>IF(ISNUMBER(UB102),UB102*(1+PortfolioFrontier[[#This Row],[P137 Return]]),1+PortfolioFrontier[[#This Row],[P137 Return]])</f>
        <v>1.8648088022332385</v>
      </c>
      <c r="UC103" s="27">
        <f>MAX(UC102,PortfolioFrontier[[#This Row],[P137 Growth]])</f>
        <v>1.8648088022332385</v>
      </c>
      <c r="UD103" s="27">
        <f>PortfolioFrontier[[#This Row],[P137 Growth]]/PortfolioFrontier[[#This Row],[P137 HWM]]-1</f>
        <v>0</v>
      </c>
      <c r="UE103" s="28">
        <f>SUMPRODUCT(INDEX(PortfolioRef[[SPY]:[PE]],MATCH(UE$1,PortfolioRef[Reference '#]),0),AssetMonthlyReturns[[#This Row],[SPY]:[PE]])</f>
        <v>2.2219597186615512E-2</v>
      </c>
      <c r="UF103" s="27">
        <f>IF(ISNUMBER(UF102),UF102*(1+PortfolioFrontier[[#This Row],[P138 Return]]),1+PortfolioFrontier[[#This Row],[P138 Return]])</f>
        <v>1.8455219125452631</v>
      </c>
      <c r="UG103" s="27">
        <f>MAX(UG102,PortfolioFrontier[[#This Row],[P138 Growth]])</f>
        <v>1.8455219125452631</v>
      </c>
      <c r="UH103" s="27">
        <f>PortfolioFrontier[[#This Row],[P138 Growth]]/PortfolioFrontier[[#This Row],[P138 HWM]]-1</f>
        <v>0</v>
      </c>
      <c r="UI103" s="28">
        <f>SUMPRODUCT(INDEX(PortfolioRef[[SPY]:[PE]],MATCH(UI$1,PortfolioRef[Reference '#]),0),AssetMonthlyReturns[[#This Row],[SPY]:[PE]])</f>
        <v>3.0009004061169034E-2</v>
      </c>
      <c r="UJ103" s="27">
        <f>IF(ISNUMBER(UJ102),UJ102*(1+PortfolioFrontier[[#This Row],[P139 Return]]),1+PortfolioFrontier[[#This Row],[P139 Return]])</f>
        <v>1.8643797506356166</v>
      </c>
      <c r="UK103" s="27">
        <f>MAX(UK102,PortfolioFrontier[[#This Row],[P139 Growth]])</f>
        <v>1.8643797506356166</v>
      </c>
      <c r="UL103" s="27">
        <f>PortfolioFrontier[[#This Row],[P139 Growth]]/PortfolioFrontier[[#This Row],[P139 HWM]]-1</f>
        <v>0</v>
      </c>
      <c r="UM103" s="28">
        <f>SUMPRODUCT(INDEX(PortfolioRef[[SPY]:[PE]],MATCH(UM$1,PortfolioRef[Reference '#]),0),AssetMonthlyReturns[[#This Row],[SPY]:[PE]])</f>
        <v>2.6896401181061701E-2</v>
      </c>
      <c r="UN103" s="27">
        <f>IF(ISNUMBER(UN102),UN102*(1+PortfolioFrontier[[#This Row],[P140 Return]]),1+PortfolioFrontier[[#This Row],[P140 Return]])</f>
        <v>1.8477705805071398</v>
      </c>
      <c r="UO103" s="27">
        <f>MAX(UO102,PortfolioFrontier[[#This Row],[P140 Growth]])</f>
        <v>1.8477705805071398</v>
      </c>
      <c r="UP103" s="27">
        <f>PortfolioFrontier[[#This Row],[P140 Growth]]/PortfolioFrontier[[#This Row],[P140 HWM]]-1</f>
        <v>0</v>
      </c>
      <c r="UQ103" s="28">
        <f>SUMPRODUCT(INDEX(PortfolioRef[[SPY]:[PE]],MATCH(UQ$1,PortfolioRef[Reference '#]),0),AssetMonthlyReturns[[#This Row],[SPY]:[PE]])</f>
        <v>2.3783798300954371E-2</v>
      </c>
      <c r="UR103" s="27">
        <f>IF(ISNUMBER(UR102),UR102*(1+PortfolioFrontier[[#This Row],[P141 Return]]),1+PortfolioFrontier[[#This Row],[P141 Return]])</f>
        <v>1.8297968797565456</v>
      </c>
      <c r="US103" s="27">
        <f>MAX(US102,PortfolioFrontier[[#This Row],[P141 Growth]])</f>
        <v>1.8297968797565456</v>
      </c>
      <c r="UT103" s="27">
        <f>PortfolioFrontier[[#This Row],[P141 Growth]]/PortfolioFrontier[[#This Row],[P141 HWM]]-1</f>
        <v>0</v>
      </c>
    </row>
    <row r="104" spans="2:566" x14ac:dyDescent="0.2">
      <c r="B104" s="41">
        <f>AssetMonthlyReturns[[#This Row],[Date]]</f>
        <v>45536</v>
      </c>
      <c r="C104" s="28">
        <f>SUMPRODUCT(INDEX(PortfolioRef[[SPY]:[PE]],MATCH(C$1,PortfolioRef[Reference '#]),0),AssetMonthlyReturns[[#This Row],[SPY]:[PE]])</f>
        <v>1.9606074775047323E-2</v>
      </c>
      <c r="D104" s="29">
        <f>IF(ISNUMBER(D103),D103*(1+PortfolioFrontier[[#This Row],[P1 Return]]),1+PortfolioFrontier[[#This Row],[P1 Return]])</f>
        <v>2.3096188854883088</v>
      </c>
      <c r="E104" s="29">
        <f>MAX(E103,PortfolioFrontier[[#This Row],[P1 Growth]])</f>
        <v>2.3096188854883088</v>
      </c>
      <c r="F104" s="29">
        <f>PortfolioFrontier[[#This Row],[P1 Growth]]/PortfolioFrontier[[#This Row],[P1 HWM]]-1</f>
        <v>0</v>
      </c>
      <c r="G104" s="28">
        <f>SUMPRODUCT(INDEX(PortfolioRef[[SPY]:[PE]],MATCH(G$1,PortfolioRef[Reference '#]),0),AssetMonthlyReturns[[#This Row],[SPY]:[PE]])</f>
        <v>1.9375643899527419E-2</v>
      </c>
      <c r="H104" s="27">
        <f>IF(ISNUMBER(H103),H103*(1+PortfolioFrontier[[#This Row],[P2 Return]]),1+PortfolioFrontier[[#This Row],[P2 Return]])</f>
        <v>2.1948047072390939</v>
      </c>
      <c r="I104" s="27">
        <f>MAX(I103,PortfolioFrontier[[#This Row],[P2 Growth]])</f>
        <v>2.1948047072390939</v>
      </c>
      <c r="J104" s="27">
        <f>PortfolioFrontier[[#This Row],[P2 Growth]]/PortfolioFrontier[[#This Row],[P2 HWM]]-1</f>
        <v>0</v>
      </c>
      <c r="K104" s="28">
        <f>SUMPRODUCT(INDEX(PortfolioRef[[SPY]:[PE]],MATCH(K$1,PortfolioRef[Reference '#]),0),AssetMonthlyReturns[[#This Row],[SPY]:[PE]])</f>
        <v>2.1255940118010363E-2</v>
      </c>
      <c r="L104" s="27">
        <f>IF(ISNUMBER(L103),L103*(1+PortfolioFrontier[[#This Row],[P3 Return]]),1+PortfolioFrontier[[#This Row],[P3 Return]])</f>
        <v>2.2610530552302235</v>
      </c>
      <c r="M104" s="27">
        <f>MAX(M103,PortfolioFrontier[[#This Row],[P3 Growth]])</f>
        <v>2.2610530552302235</v>
      </c>
      <c r="N104" s="27">
        <f>PortfolioFrontier[[#This Row],[P3 Growth]]/PortfolioFrontier[[#This Row],[P3 HWM]]-1</f>
        <v>0</v>
      </c>
      <c r="O104" s="28">
        <f>SUMPRODUCT(INDEX(PortfolioRef[[SPY]:[PE]],MATCH(O$1,PortfolioRef[Reference '#]),0),AssetMonthlyReturns[[#This Row],[SPY]:[PE]])</f>
        <v>1.9915135191060498E-2</v>
      </c>
      <c r="P104" s="27">
        <f>IF(ISNUMBER(P103),P103*(1+PortfolioFrontier[[#This Row],[P4 Return]]),1+PortfolioFrontier[[#This Row],[P4 Return]])</f>
        <v>2.2380264332044395</v>
      </c>
      <c r="Q104" s="27">
        <f>MAX(Q103,PortfolioFrontier[[#This Row],[P4 Growth]])</f>
        <v>2.2380264332044395</v>
      </c>
      <c r="R104" s="27">
        <f>PortfolioFrontier[[#This Row],[P4 Growth]]/PortfolioFrontier[[#This Row],[P4 HWM]]-1</f>
        <v>0</v>
      </c>
      <c r="S104" s="28">
        <f>SUMPRODUCT(INDEX(PortfolioRef[[SPY]:[PE]],MATCH(S$1,PortfolioRef[Reference '#]),0),AssetMonthlyReturns[[#This Row],[SPY]:[PE]])</f>
        <v>1.8850228632230671E-2</v>
      </c>
      <c r="T104" s="27">
        <f>IF(ISNUMBER(T103),T103*(1+PortfolioFrontier[[#This Row],[P5 Return]]),1+PortfolioFrontier[[#This Row],[P5 Return]])</f>
        <v>2.213023034549455</v>
      </c>
      <c r="U104" s="27">
        <f>MAX(U103,PortfolioFrontier[[#This Row],[P5 Growth]])</f>
        <v>2.213023034549455</v>
      </c>
      <c r="V104" s="27">
        <f>PortfolioFrontier[[#This Row],[P5 Growth]]/PortfolioFrontier[[#This Row],[P5 HWM]]-1</f>
        <v>0</v>
      </c>
      <c r="W104" s="28">
        <f>SUMPRODUCT(INDEX(PortfolioRef[[SPY]:[PE]],MATCH(W$1,PortfolioRef[Reference '#]),0),AssetMonthlyReturns[[#This Row],[SPY]:[PE]])</f>
        <v>1.9145213024007509E-2</v>
      </c>
      <c r="X104" s="27">
        <f>IF(ISNUMBER(X103),X103*(1+PortfolioFrontier[[#This Row],[P6 Return]]),1+PortfolioFrontier[[#This Row],[P6 Return]])</f>
        <v>2.0847113630598142</v>
      </c>
      <c r="Y104" s="27">
        <f>MAX(Y103,PortfolioFrontier[[#This Row],[P6 Growth]])</f>
        <v>2.0847113630598142</v>
      </c>
      <c r="Z104" s="27">
        <f>PortfolioFrontier[[#This Row],[P6 Growth]]/PortfolioFrontier[[#This Row],[P6 HWM]]-1</f>
        <v>0</v>
      </c>
      <c r="AA104" s="28">
        <f>SUMPRODUCT(INDEX(PortfolioRef[[SPY]:[PE]],MATCH(AA$1,PortfolioRef[Reference '#]),0),AssetMonthlyReturns[[#This Row],[SPY]:[PE]])</f>
        <v>2.102550924249046E-2</v>
      </c>
      <c r="AB104" s="27">
        <f>IF(ISNUMBER(AB103),AB103*(1+PortfolioFrontier[[#This Row],[P7 Return]]),1+PortfolioFrontier[[#This Row],[P7 Return]])</f>
        <v>2.1476499247226077</v>
      </c>
      <c r="AC104" s="27">
        <f>MAX(AC103,PortfolioFrontier[[#This Row],[P7 Growth]])</f>
        <v>2.1476499247226077</v>
      </c>
      <c r="AD104" s="27">
        <f>PortfolioFrontier[[#This Row],[P7 Growth]]/PortfolioFrontier[[#This Row],[P7 HWM]]-1</f>
        <v>0</v>
      </c>
      <c r="AE104" s="28">
        <f>SUMPRODUCT(INDEX(PortfolioRef[[SPY]:[PE]],MATCH(AE$1,PortfolioRef[Reference '#]),0),AssetMonthlyReturns[[#This Row],[SPY]:[PE]])</f>
        <v>1.9684704315540594E-2</v>
      </c>
      <c r="AF104" s="27">
        <f>IF(ISNUMBER(AF103),AF103*(1+PortfolioFrontier[[#This Row],[P8 Return]]),1+PortfolioFrontier[[#This Row],[P8 Return]])</f>
        <v>2.1265980074174125</v>
      </c>
      <c r="AG104" s="27">
        <f>MAX(AG103,PortfolioFrontier[[#This Row],[P8 Growth]])</f>
        <v>2.1265980074174125</v>
      </c>
      <c r="AH104" s="27">
        <f>PortfolioFrontier[[#This Row],[P8 Growth]]/PortfolioFrontier[[#This Row],[P8 HWM]]-1</f>
        <v>0</v>
      </c>
      <c r="AI104" s="28">
        <f>SUMPRODUCT(INDEX(PortfolioRef[[SPY]:[PE]],MATCH(AI$1,PortfolioRef[Reference '#]),0),AssetMonthlyReturns[[#This Row],[SPY]:[PE]])</f>
        <v>1.8619797756710767E-2</v>
      </c>
      <c r="AJ104" s="27">
        <f>IF(ISNUMBER(AJ103),AJ103*(1+PortfolioFrontier[[#This Row],[P9 Return]]),1+PortfolioFrontier[[#This Row],[P9 Return]])</f>
        <v>2.1020342248795107</v>
      </c>
      <c r="AK104" s="27">
        <f>MAX(AK103,PortfolioFrontier[[#This Row],[P9 Growth]])</f>
        <v>2.1020342248795107</v>
      </c>
      <c r="AL104" s="27">
        <f>PortfolioFrontier[[#This Row],[P9 Growth]]/PortfolioFrontier[[#This Row],[P9 HWM]]-1</f>
        <v>0</v>
      </c>
      <c r="AM104" s="28">
        <f>SUMPRODUCT(INDEX(PortfolioRef[[SPY]:[PE]],MATCH(AM$1,PortfolioRef[Reference '#]),0),AssetMonthlyReturns[[#This Row],[SPY]:[PE]])</f>
        <v>2.2905805460973403E-2</v>
      </c>
      <c r="AN104" s="27">
        <f>IF(ISNUMBER(AN103),AN103*(1+PortfolioFrontier[[#This Row],[P10 Return]]),1+PortfolioFrontier[[#This Row],[P10 Return]])</f>
        <v>2.2118239085439195</v>
      </c>
      <c r="AO104" s="27">
        <f>MAX(AO103,PortfolioFrontier[[#This Row],[P10 Growth]])</f>
        <v>2.2118239085439195</v>
      </c>
      <c r="AP104" s="27">
        <f>PortfolioFrontier[[#This Row],[P10 Growth]]/PortfolioFrontier[[#This Row],[P10 HWM]]-1</f>
        <v>0</v>
      </c>
      <c r="AQ104" s="28">
        <f>SUMPRODUCT(INDEX(PortfolioRef[[SPY]:[PE]],MATCH(AQ$1,PortfolioRef[Reference '#]),0),AssetMonthlyReturns[[#This Row],[SPY]:[PE]])</f>
        <v>2.1565000534023538E-2</v>
      </c>
      <c r="AR104" s="27">
        <f>IF(ISNUMBER(AR103),AR103*(1+PortfolioFrontier[[#This Row],[P11 Return]]),1+PortfolioFrontier[[#This Row],[P11 Return]])</f>
        <v>2.1907664520658603</v>
      </c>
      <c r="AS104" s="27">
        <f>MAX(AS103,PortfolioFrontier[[#This Row],[P11 Growth]])</f>
        <v>2.1907664520658603</v>
      </c>
      <c r="AT104" s="27">
        <f>PortfolioFrontier[[#This Row],[P11 Growth]]/PortfolioFrontier[[#This Row],[P11 HWM]]-1</f>
        <v>0</v>
      </c>
      <c r="AU104" s="28">
        <f>SUMPRODUCT(INDEX(PortfolioRef[[SPY]:[PE]],MATCH(AU$1,PortfolioRef[Reference '#]),0),AssetMonthlyReturns[[#This Row],[SPY]:[PE]])</f>
        <v>2.0500093975193711E-2</v>
      </c>
      <c r="AV104" s="27">
        <f>IF(ISNUMBER(AV103),AV103*(1+PortfolioFrontier[[#This Row],[P12 Return]]),1+PortfolioFrontier[[#This Row],[P12 Return]])</f>
        <v>2.1654882410477634</v>
      </c>
      <c r="AW104" s="27">
        <f>MAX(AW103,PortfolioFrontier[[#This Row],[P12 Growth]])</f>
        <v>2.1654882410477634</v>
      </c>
      <c r="AX104" s="27">
        <f>PortfolioFrontier[[#This Row],[P12 Growth]]/PortfolioFrontier[[#This Row],[P12 HWM]]-1</f>
        <v>0</v>
      </c>
      <c r="AY104" s="28">
        <f>SUMPRODUCT(INDEX(PortfolioRef[[SPY]:[PE]],MATCH(AY$1,PortfolioRef[Reference '#]),0),AssetMonthlyReturns[[#This Row],[SPY]:[PE]])</f>
        <v>2.0224195607073669E-2</v>
      </c>
      <c r="AZ104" s="27">
        <f>IF(ISNUMBER(AZ103),AZ103*(1+PortfolioFrontier[[#This Row],[P13 Return]]),1+PortfolioFrontier[[#This Row],[P13 Return]])</f>
        <v>2.1680770643663729</v>
      </c>
      <c r="BA104" s="27">
        <f>MAX(BA103,PortfolioFrontier[[#This Row],[P13 Growth]])</f>
        <v>2.1680770643663729</v>
      </c>
      <c r="BB104" s="27">
        <f>PortfolioFrontier[[#This Row],[P13 Growth]]/PortfolioFrontier[[#This Row],[P13 HWM]]-1</f>
        <v>0</v>
      </c>
      <c r="BC104" s="28">
        <f>SUMPRODUCT(INDEX(PortfolioRef[[SPY]:[PE]],MATCH(BC$1,PortfolioRef[Reference '#]),0),AssetMonthlyReturns[[#This Row],[SPY]:[PE]])</f>
        <v>1.9159289048243846E-2</v>
      </c>
      <c r="BD104" s="27">
        <f>IF(ISNUMBER(BD103),BD103*(1+PortfolioFrontier[[#This Row],[P14 Return]]),1+PortfolioFrontier[[#This Row],[P14 Return]])</f>
        <v>2.1443867533304779</v>
      </c>
      <c r="BE104" s="27">
        <f>MAX(BE103,PortfolioFrontier[[#This Row],[P14 Growth]])</f>
        <v>2.1443867533304779</v>
      </c>
      <c r="BF104" s="27">
        <f>PortfolioFrontier[[#This Row],[P14 Growth]]/PortfolioFrontier[[#This Row],[P14 HWM]]-1</f>
        <v>0</v>
      </c>
      <c r="BG104" s="28">
        <f>SUMPRODUCT(INDEX(PortfolioRef[[SPY]:[PE]],MATCH(BG$1,PortfolioRef[Reference '#]),0),AssetMonthlyReturns[[#This Row],[SPY]:[PE]])</f>
        <v>1.8094382489414015E-2</v>
      </c>
      <c r="BH104" s="27">
        <f>IF(ISNUMBER(BH103),BH103*(1+PortfolioFrontier[[#This Row],[P15 Return]]),1+PortfolioFrontier[[#This Row],[P15 Return]])</f>
        <v>2.1192097136445058</v>
      </c>
      <c r="BI104" s="27">
        <f>MAX(BI103,PortfolioFrontier[[#This Row],[P15 Growth]])</f>
        <v>2.1192097136445058</v>
      </c>
      <c r="BJ104" s="27">
        <f>PortfolioFrontier[[#This Row],[P15 Growth]]/PortfolioFrontier[[#This Row],[P15 HWM]]-1</f>
        <v>0</v>
      </c>
      <c r="BK104" s="28">
        <f>SUMPRODUCT(INDEX(PortfolioRef[[SPY]:[PE]],MATCH(BK$1,PortfolioRef[Reference '#]),0),AssetMonthlyReturns[[#This Row],[SPY]:[PE]])</f>
        <v>1.8914782148487606E-2</v>
      </c>
      <c r="BL104" s="27">
        <f>IF(ISNUMBER(BL103),BL103*(1+PortfolioFrontier[[#This Row],[P16 Return]]),1+PortfolioFrontier[[#This Row],[P16 Return]])</f>
        <v>1.9792036445182033</v>
      </c>
      <c r="BM104" s="27">
        <f>MAX(BM103,PortfolioFrontier[[#This Row],[P16 Growth]])</f>
        <v>1.9792036445182033</v>
      </c>
      <c r="BN104" s="27">
        <f>PortfolioFrontier[[#This Row],[P16 Growth]]/PortfolioFrontier[[#This Row],[P16 HWM]]-1</f>
        <v>0</v>
      </c>
      <c r="BO104" s="28">
        <f>SUMPRODUCT(INDEX(PortfolioRef[[SPY]:[PE]],MATCH(BO$1,PortfolioRef[Reference '#]),0),AssetMonthlyReturns[[#This Row],[SPY]:[PE]])</f>
        <v>2.0795078366970556E-2</v>
      </c>
      <c r="BP104" s="27">
        <f>IF(ISNUMBER(BP103),BP103*(1+PortfolioFrontier[[#This Row],[P17 Return]]),1+PortfolioFrontier[[#This Row],[P17 Return]])</f>
        <v>2.0389701247645733</v>
      </c>
      <c r="BQ104" s="27">
        <f>MAX(BQ103,PortfolioFrontier[[#This Row],[P17 Growth]])</f>
        <v>2.0389701247645733</v>
      </c>
      <c r="BR104" s="27">
        <f>PortfolioFrontier[[#This Row],[P17 Growth]]/PortfolioFrontier[[#This Row],[P17 HWM]]-1</f>
        <v>0</v>
      </c>
      <c r="BS104" s="28">
        <f>SUMPRODUCT(INDEX(PortfolioRef[[SPY]:[PE]],MATCH(BS$1,PortfolioRef[Reference '#]),0),AssetMonthlyReturns[[#This Row],[SPY]:[PE]])</f>
        <v>1.9454273440020684E-2</v>
      </c>
      <c r="BT104" s="27">
        <f>IF(ISNUMBER(BT103),BT103*(1+PortfolioFrontier[[#This Row],[P18 Return]]),1+PortfolioFrontier[[#This Row],[P18 Return]])</f>
        <v>2.0197601918053367</v>
      </c>
      <c r="BU104" s="27">
        <f>MAX(BU103,PortfolioFrontier[[#This Row],[P18 Growth]])</f>
        <v>2.0197601918053367</v>
      </c>
      <c r="BV104" s="27">
        <f>PortfolioFrontier[[#This Row],[P18 Growth]]/PortfolioFrontier[[#This Row],[P18 HWM]]-1</f>
        <v>0</v>
      </c>
      <c r="BW104" s="28">
        <f>SUMPRODUCT(INDEX(PortfolioRef[[SPY]:[PE]],MATCH(BW$1,PortfolioRef[Reference '#]),0),AssetMonthlyReturns[[#This Row],[SPY]:[PE]])</f>
        <v>1.8389366881190864E-2</v>
      </c>
      <c r="BX104" s="27">
        <f>IF(ISNUMBER(BX103),BX103*(1+PortfolioFrontier[[#This Row],[P19 Return]]),1+PortfolioFrontier[[#This Row],[P19 Return]])</f>
        <v>1.9956672760777912</v>
      </c>
      <c r="BY104" s="27">
        <f>MAX(BY103,PortfolioFrontier[[#This Row],[P19 Growth]])</f>
        <v>1.9956672760777912</v>
      </c>
      <c r="BZ104" s="27">
        <f>PortfolioFrontier[[#This Row],[P19 Growth]]/PortfolioFrontier[[#This Row],[P19 HWM]]-1</f>
        <v>0</v>
      </c>
      <c r="CA104" s="28">
        <f>SUMPRODUCT(INDEX(PortfolioRef[[SPY]:[PE]],MATCH(CA$1,PortfolioRef[Reference '#]),0),AssetMonthlyReturns[[#This Row],[SPY]:[PE]])</f>
        <v>2.26753745854535E-2</v>
      </c>
      <c r="CB104" s="27">
        <f>IF(ISNUMBER(CB103),CB103*(1+PortfolioFrontier[[#This Row],[P20 Return]]),1+PortfolioFrontier[[#This Row],[P20 Return]])</f>
        <v>2.0999092023155028</v>
      </c>
      <c r="CC104" s="27">
        <f>MAX(CC103,PortfolioFrontier[[#This Row],[P20 Growth]])</f>
        <v>2.0999092023155028</v>
      </c>
      <c r="CD104" s="27">
        <f>PortfolioFrontier[[#This Row],[P20 Growth]]/PortfolioFrontier[[#This Row],[P20 HWM]]-1</f>
        <v>0</v>
      </c>
      <c r="CE104" s="28">
        <f>SUMPRODUCT(INDEX(PortfolioRef[[SPY]:[PE]],MATCH(CE$1,PortfolioRef[Reference '#]),0),AssetMonthlyReturns[[#This Row],[SPY]:[PE]])</f>
        <v>2.1334569658503635E-2</v>
      </c>
      <c r="CF104" s="27">
        <f>IF(ISNUMBER(CF103),CF103*(1+PortfolioFrontier[[#This Row],[P21 Return]]),1+PortfolioFrontier[[#This Row],[P21 Return]])</f>
        <v>2.0807180414943245</v>
      </c>
      <c r="CG104" s="27">
        <f>MAX(CG103,PortfolioFrontier[[#This Row],[P21 Growth]])</f>
        <v>2.0807180414943245</v>
      </c>
      <c r="CH104" s="27">
        <f>PortfolioFrontier[[#This Row],[P21 Growth]]/PortfolioFrontier[[#This Row],[P21 HWM]]-1</f>
        <v>0</v>
      </c>
      <c r="CI104" s="28">
        <f>SUMPRODUCT(INDEX(PortfolioRef[[SPY]:[PE]],MATCH(CI$1,PortfolioRef[Reference '#]),0),AssetMonthlyReturns[[#This Row],[SPY]:[PE]])</f>
        <v>2.0269663099673808E-2</v>
      </c>
      <c r="CJ104" s="27">
        <f>IF(ISNUMBER(CJ103),CJ103*(1+PortfolioFrontier[[#This Row],[P22 Return]]),1+PortfolioFrontier[[#This Row],[P22 Return]])</f>
        <v>2.0559238141373979</v>
      </c>
      <c r="CK104" s="27">
        <f>MAX(CK103,PortfolioFrontier[[#This Row],[P22 Growth]])</f>
        <v>2.0559238141373979</v>
      </c>
      <c r="CL104" s="27">
        <f>PortfolioFrontier[[#This Row],[P22 Growth]]/PortfolioFrontier[[#This Row],[P22 HWM]]-1</f>
        <v>0</v>
      </c>
      <c r="CM104" s="28">
        <f>SUMPRODUCT(INDEX(PortfolioRef[[SPY]:[PE]],MATCH(CM$1,PortfolioRef[Reference '#]),0),AssetMonthlyReturns[[#This Row],[SPY]:[PE]])</f>
        <v>1.9993764731553766E-2</v>
      </c>
      <c r="CN104" s="27">
        <f>IF(ISNUMBER(CN103),CN103*(1+PortfolioFrontier[[#This Row],[P23 Return]]),1+PortfolioFrontier[[#This Row],[P23 Return]])</f>
        <v>2.0599634273004961</v>
      </c>
      <c r="CO104" s="27">
        <f>MAX(CO103,PortfolioFrontier[[#This Row],[P23 Growth]])</f>
        <v>2.0599634273004961</v>
      </c>
      <c r="CP104" s="27">
        <f>PortfolioFrontier[[#This Row],[P23 Growth]]/PortfolioFrontier[[#This Row],[P23 HWM]]-1</f>
        <v>0</v>
      </c>
      <c r="CQ104" s="28">
        <f>SUMPRODUCT(INDEX(PortfolioRef[[SPY]:[PE]],MATCH(CQ$1,PortfolioRef[Reference '#]),0),AssetMonthlyReturns[[#This Row],[SPY]:[PE]])</f>
        <v>1.8928858172723943E-2</v>
      </c>
      <c r="CR104" s="27">
        <f>IF(ISNUMBER(CR103),CR103*(1+PortfolioFrontier[[#This Row],[P24 Return]]),1+PortfolioFrontier[[#This Row],[P24 Return]])</f>
        <v>2.0366730656106076</v>
      </c>
      <c r="CS104" s="27">
        <f>MAX(CS103,PortfolioFrontier[[#This Row],[P24 Growth]])</f>
        <v>2.0366730656106076</v>
      </c>
      <c r="CT104" s="27">
        <f>PortfolioFrontier[[#This Row],[P24 Growth]]/PortfolioFrontier[[#This Row],[P24 HWM]]-1</f>
        <v>0</v>
      </c>
      <c r="CU104" s="28">
        <f>SUMPRODUCT(INDEX(PortfolioRef[[SPY]:[PE]],MATCH(CU$1,PortfolioRef[Reference '#]),0),AssetMonthlyReturns[[#This Row],[SPY]:[PE]])</f>
        <v>1.7863951613894112E-2</v>
      </c>
      <c r="CV104" s="27">
        <f>IF(ISNUMBER(CV103),CV103*(1+PortfolioFrontier[[#This Row],[P25 Return]]),1+PortfolioFrontier[[#This Row],[P25 Return]])</f>
        <v>2.0119912906479267</v>
      </c>
      <c r="CW104" s="27">
        <f>MAX(CW103,PortfolioFrontier[[#This Row],[P25 Growth]])</f>
        <v>2.0119912906479267</v>
      </c>
      <c r="CX104" s="27">
        <f>PortfolioFrontier[[#This Row],[P25 Growth]]/PortfolioFrontier[[#This Row],[P25 HWM]]-1</f>
        <v>0</v>
      </c>
      <c r="CY104" s="28">
        <f>SUMPRODUCT(INDEX(PortfolioRef[[SPY]:[PE]],MATCH(CY$1,PortfolioRef[Reference '#]),0),AssetMonthlyReturns[[#This Row],[SPY]:[PE]])</f>
        <v>2.3214865876986578E-2</v>
      </c>
      <c r="CZ104" s="27">
        <f>IF(ISNUMBER(CZ103),CZ103*(1+PortfolioFrontier[[#This Row],[P26 Return]]),1+PortfolioFrontier[[#This Row],[P26 Return]])</f>
        <v>2.1428711433544092</v>
      </c>
      <c r="DA104" s="27">
        <f>MAX(DA103,PortfolioFrontier[[#This Row],[P26 Growth]])</f>
        <v>2.1428711433544092</v>
      </c>
      <c r="DB104" s="27">
        <f>PortfolioFrontier[[#This Row],[P26 Growth]]/PortfolioFrontier[[#This Row],[P26 HWM]]-1</f>
        <v>0</v>
      </c>
      <c r="DC104" s="28">
        <f>SUMPRODUCT(INDEX(PortfolioRef[[SPY]:[PE]],MATCH(DC$1,PortfolioRef[Reference '#]),0),AssetMonthlyReturns[[#This Row],[SPY]:[PE]])</f>
        <v>2.2149959318156751E-2</v>
      </c>
      <c r="DD104" s="27">
        <f>IF(ISNUMBER(DD103),DD103*(1+PortfolioFrontier[[#This Row],[P27 Return]]),1+PortfolioFrontier[[#This Row],[P27 Return]])</f>
        <v>2.1173626784010495</v>
      </c>
      <c r="DE104" s="27">
        <f>MAX(DE103,PortfolioFrontier[[#This Row],[P27 Growth]])</f>
        <v>2.1173626784010495</v>
      </c>
      <c r="DF104" s="27">
        <f>PortfolioFrontier[[#This Row],[P27 Growth]]/PortfolioFrontier[[#This Row],[P27 HWM]]-1</f>
        <v>0</v>
      </c>
      <c r="DG104" s="28">
        <f>SUMPRODUCT(INDEX(PortfolioRef[[SPY]:[PE]],MATCH(DG$1,PortfolioRef[Reference '#]),0),AssetMonthlyReturns[[#This Row],[SPY]:[PE]])</f>
        <v>2.187406095003671E-2</v>
      </c>
      <c r="DH104" s="27">
        <f>IF(ISNUMBER(DH103),DH103*(1+PortfolioFrontier[[#This Row],[P28 Return]]),1+PortfolioFrontier[[#This Row],[P28 Return]])</f>
        <v>2.1221013657621697</v>
      </c>
      <c r="DI104" s="27">
        <f>MAX(DI103,PortfolioFrontier[[#This Row],[P28 Growth]])</f>
        <v>2.1221013657621697</v>
      </c>
      <c r="DJ104" s="27">
        <f>PortfolioFrontier[[#This Row],[P28 Growth]]/PortfolioFrontier[[#This Row],[P28 HWM]]-1</f>
        <v>0</v>
      </c>
      <c r="DK104" s="28">
        <f>SUMPRODUCT(INDEX(PortfolioRef[[SPY]:[PE]],MATCH(DK$1,PortfolioRef[Reference '#]),0),AssetMonthlyReturns[[#This Row],[SPY]:[PE]])</f>
        <v>2.0809154391206886E-2</v>
      </c>
      <c r="DL104" s="27">
        <f>IF(ISNUMBER(DL103),DL103*(1+PortfolioFrontier[[#This Row],[P29 Return]]),1+PortfolioFrontier[[#This Row],[P29 Return]])</f>
        <v>2.0981340433942406</v>
      </c>
      <c r="DM104" s="27">
        <f>MAX(DM103,PortfolioFrontier[[#This Row],[P29 Growth]])</f>
        <v>2.0981340433942406</v>
      </c>
      <c r="DN104" s="27">
        <f>PortfolioFrontier[[#This Row],[P29 Growth]]/PortfolioFrontier[[#This Row],[P29 HWM]]-1</f>
        <v>0</v>
      </c>
      <c r="DO104" s="28">
        <f>SUMPRODUCT(INDEX(PortfolioRef[[SPY]:[PE]],MATCH(DO$1,PortfolioRef[Reference '#]),0),AssetMonthlyReturns[[#This Row],[SPY]:[PE]])</f>
        <v>1.9744247832377056E-2</v>
      </c>
      <c r="DP104" s="27">
        <f>IF(ISNUMBER(DP103),DP103*(1+PortfolioFrontier[[#This Row],[P30 Return]]),1+PortfolioFrontier[[#This Row],[P30 Return]])</f>
        <v>2.0727337461803561</v>
      </c>
      <c r="DQ104" s="27">
        <f>MAX(DQ103,PortfolioFrontier[[#This Row],[P30 Growth]])</f>
        <v>2.0727337461803561</v>
      </c>
      <c r="DR104" s="27">
        <f>PortfolioFrontier[[#This Row],[P30 Growth]]/PortfolioFrontier[[#This Row],[P30 HWM]]-1</f>
        <v>0</v>
      </c>
      <c r="DS104" s="28">
        <f>SUMPRODUCT(INDEX(PortfolioRef[[SPY]:[PE]],MATCH(DS$1,PortfolioRef[Reference '#]),0),AssetMonthlyReturns[[#This Row],[SPY]:[PE]])</f>
        <v>2.0533256023086841E-2</v>
      </c>
      <c r="DT104" s="27">
        <f>IF(ISNUMBER(DT103),DT103*(1+PortfolioFrontier[[#This Row],[P31 Return]]),1+PortfolioFrontier[[#This Row],[P31 Return]])</f>
        <v>2.099755316235234</v>
      </c>
      <c r="DU104" s="27">
        <f>MAX(DU103,PortfolioFrontier[[#This Row],[P31 Growth]])</f>
        <v>2.099755316235234</v>
      </c>
      <c r="DV104" s="27">
        <f>PortfolioFrontier[[#This Row],[P31 Growth]]/PortfolioFrontier[[#This Row],[P31 HWM]]-1</f>
        <v>0</v>
      </c>
      <c r="DW104" s="28">
        <f>SUMPRODUCT(INDEX(PortfolioRef[[SPY]:[PE]],MATCH(DW$1,PortfolioRef[Reference '#]),0),AssetMonthlyReturns[[#This Row],[SPY]:[PE]])</f>
        <v>1.9468349464257021E-2</v>
      </c>
      <c r="DX104" s="27">
        <f>IF(ISNUMBER(DX103),DX103*(1+PortfolioFrontier[[#This Row],[P32 Return]]),1+PortfolioFrontier[[#This Row],[P32 Return]])</f>
        <v>2.0773272528232094</v>
      </c>
      <c r="DY104" s="27">
        <f>MAX(DY103,PortfolioFrontier[[#This Row],[P32 Growth]])</f>
        <v>2.0773272528232094</v>
      </c>
      <c r="DZ104" s="27">
        <f>PortfolioFrontier[[#This Row],[P32 Growth]]/PortfolioFrontier[[#This Row],[P32 HWM]]-1</f>
        <v>0</v>
      </c>
      <c r="EA104" s="28">
        <f>SUMPRODUCT(INDEX(PortfolioRef[[SPY]:[PE]],MATCH(EA$1,PortfolioRef[Reference '#]),0),AssetMonthlyReturns[[#This Row],[SPY]:[PE]])</f>
        <v>1.8403442905427191E-2</v>
      </c>
      <c r="EB104" s="27">
        <f>IF(ISNUMBER(EB103),EB103*(1+PortfolioFrontier[[#This Row],[P33 Return]]),1+PortfolioFrontier[[#This Row],[P33 Return]])</f>
        <v>2.0534453626917637</v>
      </c>
      <c r="EC104" s="27">
        <f>MAX(EC103,PortfolioFrontier[[#This Row],[P33 Growth]])</f>
        <v>2.0534453626917637</v>
      </c>
      <c r="ED104" s="27">
        <f>PortfolioFrontier[[#This Row],[P33 Growth]]/PortfolioFrontier[[#This Row],[P33 HWM]]-1</f>
        <v>0</v>
      </c>
      <c r="EE104" s="28">
        <f>SUMPRODUCT(INDEX(PortfolioRef[[SPY]:[PE]],MATCH(EE$1,PortfolioRef[Reference '#]),0),AssetMonthlyReturns[[#This Row],[SPY]:[PE]])</f>
        <v>1.8684351272967702E-2</v>
      </c>
      <c r="EF104" s="27">
        <f>IF(ISNUMBER(EF103),EF103*(1+PortfolioFrontier[[#This Row],[P34 Return]]),1+PortfolioFrontier[[#This Row],[P34 Return]])</f>
        <v>1.8781467152142572</v>
      </c>
      <c r="EG104" s="27">
        <f>MAX(EG103,PortfolioFrontier[[#This Row],[P34 Growth]])</f>
        <v>1.8781467152142572</v>
      </c>
      <c r="EH104" s="27">
        <f>PortfolioFrontier[[#This Row],[P34 Growth]]/PortfolioFrontier[[#This Row],[P34 HWM]]-1</f>
        <v>0</v>
      </c>
      <c r="EI104" s="28">
        <f>SUMPRODUCT(INDEX(PortfolioRef[[SPY]:[PE]],MATCH(EI$1,PortfolioRef[Reference '#]),0),AssetMonthlyReturns[[#This Row],[SPY]:[PE]])</f>
        <v>2.0564647491450646E-2</v>
      </c>
      <c r="EJ104" s="27">
        <f>IF(ISNUMBER(EJ103),EJ103*(1+PortfolioFrontier[[#This Row],[P35 Return]]),1+PortfolioFrontier[[#This Row],[P35 Return]])</f>
        <v>1.9348747356933671</v>
      </c>
      <c r="EK104" s="27">
        <f>MAX(EK103,PortfolioFrontier[[#This Row],[P35 Growth]])</f>
        <v>1.9348747356933671</v>
      </c>
      <c r="EL104" s="27">
        <f>PortfolioFrontier[[#This Row],[P35 Growth]]/PortfolioFrontier[[#This Row],[P35 HWM]]-1</f>
        <v>0</v>
      </c>
      <c r="EM104" s="28">
        <f>SUMPRODUCT(INDEX(PortfolioRef[[SPY]:[PE]],MATCH(EM$1,PortfolioRef[Reference '#]),0),AssetMonthlyReturns[[#This Row],[SPY]:[PE]])</f>
        <v>1.9223842564500781E-2</v>
      </c>
      <c r="EN104" s="27">
        <f>IF(ISNUMBER(EN103),EN103*(1+PortfolioFrontier[[#This Row],[P36 Return]]),1+PortfolioFrontier[[#This Row],[P36 Return]])</f>
        <v>1.9173810734306593</v>
      </c>
      <c r="EO104" s="27">
        <f>MAX(EO103,PortfolioFrontier[[#This Row],[P36 Growth]])</f>
        <v>1.9173810734306593</v>
      </c>
      <c r="EP104" s="27">
        <f>PortfolioFrontier[[#This Row],[P36 Growth]]/PortfolioFrontier[[#This Row],[P36 HWM]]-1</f>
        <v>0</v>
      </c>
      <c r="EQ104" s="28">
        <f>SUMPRODUCT(INDEX(PortfolioRef[[SPY]:[PE]],MATCH(EQ$1,PortfolioRef[Reference '#]),0),AssetMonthlyReturns[[#This Row],[SPY]:[PE]])</f>
        <v>1.8158936005670954E-2</v>
      </c>
      <c r="ER104" s="27">
        <f>IF(ISNUMBER(ER103),ER103*(1+PortfolioFrontier[[#This Row],[P37 Return]]),1+PortfolioFrontier[[#This Row],[P37 Return]])</f>
        <v>1.8937863495255087</v>
      </c>
      <c r="ES104" s="27">
        <f>MAX(ES103,PortfolioFrontier[[#This Row],[P37 Growth]])</f>
        <v>1.8937863495255087</v>
      </c>
      <c r="ET104" s="27">
        <f>PortfolioFrontier[[#This Row],[P37 Growth]]/PortfolioFrontier[[#This Row],[P37 HWM]]-1</f>
        <v>0</v>
      </c>
      <c r="EU104" s="28">
        <f>SUMPRODUCT(INDEX(PortfolioRef[[SPY]:[PE]],MATCH(EU$1,PortfolioRef[Reference '#]),0),AssetMonthlyReturns[[#This Row],[SPY]:[PE]])</f>
        <v>2.2444943709933596E-2</v>
      </c>
      <c r="EV104" s="27">
        <f>IF(ISNUMBER(EV103),EV103*(1+PortfolioFrontier[[#This Row],[P38 Return]]),1+PortfolioFrontier[[#This Row],[P38 Return]])</f>
        <v>1.9927152176352274</v>
      </c>
      <c r="EW104" s="27">
        <f>MAX(EW103,PortfolioFrontier[[#This Row],[P38 Growth]])</f>
        <v>1.9927152176352274</v>
      </c>
      <c r="EX104" s="27">
        <f>PortfolioFrontier[[#This Row],[P38 Growth]]/PortfolioFrontier[[#This Row],[P38 HWM]]-1</f>
        <v>0</v>
      </c>
      <c r="EY104" s="28">
        <f>SUMPRODUCT(INDEX(PortfolioRef[[SPY]:[PE]],MATCH(EY$1,PortfolioRef[Reference '#]),0),AssetMonthlyReturns[[#This Row],[SPY]:[PE]])</f>
        <v>2.1104138782983724E-2</v>
      </c>
      <c r="EZ104" s="27">
        <f>IF(ISNUMBER(EZ103),EZ103*(1+PortfolioFrontier[[#This Row],[P39 Return]]),1+PortfolioFrontier[[#This Row],[P39 Return]])</f>
        <v>1.9752621504047043</v>
      </c>
      <c r="FA104" s="27">
        <f>MAX(FA103,PortfolioFrontier[[#This Row],[P39 Growth]])</f>
        <v>1.9752621504047043</v>
      </c>
      <c r="FB104" s="27">
        <f>PortfolioFrontier[[#This Row],[P39 Growth]]/PortfolioFrontier[[#This Row],[P39 HWM]]-1</f>
        <v>0</v>
      </c>
      <c r="FC104" s="28">
        <f>SUMPRODUCT(INDEX(PortfolioRef[[SPY]:[PE]],MATCH(FC$1,PortfolioRef[Reference '#]),0),AssetMonthlyReturns[[#This Row],[SPY]:[PE]])</f>
        <v>2.0039232224153904E-2</v>
      </c>
      <c r="FD104" s="27">
        <f>IF(ISNUMBER(FD103),FD103*(1+PortfolioFrontier[[#This Row],[P40 Return]]),1+PortfolioFrontier[[#This Row],[P40 Return]])</f>
        <v>1.9509800684626308</v>
      </c>
      <c r="FE104" s="27">
        <f>MAX(FE103,PortfolioFrontier[[#This Row],[P40 Growth]])</f>
        <v>1.9509800684626308</v>
      </c>
      <c r="FF104" s="27">
        <f>PortfolioFrontier[[#This Row],[P40 Growth]]/PortfolioFrontier[[#This Row],[P40 HWM]]-1</f>
        <v>0</v>
      </c>
      <c r="FG104" s="28">
        <f>SUMPRODUCT(INDEX(PortfolioRef[[SPY]:[PE]],MATCH(FG$1,PortfolioRef[Reference '#]),0),AssetMonthlyReturns[[#This Row],[SPY]:[PE]])</f>
        <v>1.9763333856033859E-2</v>
      </c>
      <c r="FH104" s="27">
        <f>IF(ISNUMBER(FH103),FH103*(1+PortfolioFrontier[[#This Row],[P41 Return]]),1+PortfolioFrontier[[#This Row],[P41 Return]])</f>
        <v>1.9563125413170654</v>
      </c>
      <c r="FI104" s="27">
        <f>MAX(FI103,PortfolioFrontier[[#This Row],[P41 Growth]])</f>
        <v>1.9563125413170654</v>
      </c>
      <c r="FJ104" s="27">
        <f>PortfolioFrontier[[#This Row],[P41 Growth]]/PortfolioFrontier[[#This Row],[P41 HWM]]-1</f>
        <v>0</v>
      </c>
      <c r="FK104" s="28">
        <f>SUMPRODUCT(INDEX(PortfolioRef[[SPY]:[PE]],MATCH(FK$1,PortfolioRef[Reference '#]),0),AssetMonthlyReturns[[#This Row],[SPY]:[PE]])</f>
        <v>1.8698427297204032E-2</v>
      </c>
      <c r="FL104" s="27">
        <f>IF(ISNUMBER(FL103),FL103*(1+PortfolioFrontier[[#This Row],[P42 Return]]),1+PortfolioFrontier[[#This Row],[P42 Return]])</f>
        <v>1.9334536019034676</v>
      </c>
      <c r="FM104" s="27">
        <f>MAX(FM103,PortfolioFrontier[[#This Row],[P42 Growth]])</f>
        <v>1.9334536019034676</v>
      </c>
      <c r="FN104" s="27">
        <f>PortfolioFrontier[[#This Row],[P42 Growth]]/PortfolioFrontier[[#This Row],[P42 HWM]]-1</f>
        <v>0</v>
      </c>
      <c r="FO104" s="28">
        <f>SUMPRODUCT(INDEX(PortfolioRef[[SPY]:[PE]],MATCH(FO$1,PortfolioRef[Reference '#]),0),AssetMonthlyReturns[[#This Row],[SPY]:[PE]])</f>
        <v>1.7633520738374209E-2</v>
      </c>
      <c r="FP104" s="27">
        <f>IF(ISNUMBER(FP103),FP103*(1+PortfolioFrontier[[#This Row],[P43 Return]]),1+PortfolioFrontier[[#This Row],[P43 Return]])</f>
        <v>1.9092937701584944</v>
      </c>
      <c r="FQ104" s="27">
        <f>MAX(FQ103,PortfolioFrontier[[#This Row],[P43 Growth]])</f>
        <v>1.9092937701584944</v>
      </c>
      <c r="FR104" s="27">
        <f>PortfolioFrontier[[#This Row],[P43 Growth]]/PortfolioFrontier[[#This Row],[P43 HWM]]-1</f>
        <v>0</v>
      </c>
      <c r="FS104" s="28">
        <f>SUMPRODUCT(INDEX(PortfolioRef[[SPY]:[PE]],MATCH(FS$1,PortfolioRef[Reference '#]),0),AssetMonthlyReturns[[#This Row],[SPY]:[PE]])</f>
        <v>2.2984435001466675E-2</v>
      </c>
      <c r="FT104" s="27">
        <f>IF(ISNUMBER(FT103),FT103*(1+PortfolioFrontier[[#This Row],[P44 Return]]),1+PortfolioFrontier[[#This Row],[P44 Return]])</f>
        <v>2.0342776133532885</v>
      </c>
      <c r="FU104" s="27">
        <f>MAX(FU103,PortfolioFrontier[[#This Row],[P44 Growth]])</f>
        <v>2.0342776133532885</v>
      </c>
      <c r="FV104" s="27">
        <f>PortfolioFrontier[[#This Row],[P44 Growth]]/PortfolioFrontier[[#This Row],[P44 HWM]]-1</f>
        <v>0</v>
      </c>
      <c r="FW104" s="28">
        <f>SUMPRODUCT(INDEX(PortfolioRef[[SPY]:[PE]],MATCH(FW$1,PortfolioRef[Reference '#]),0),AssetMonthlyReturns[[#This Row],[SPY]:[PE]])</f>
        <v>2.1919528442636848E-2</v>
      </c>
      <c r="FX104" s="27">
        <f>IF(ISNUMBER(FX103),FX103*(1+PortfolioFrontier[[#This Row],[P45 Return]]),1+PortfolioFrontier[[#This Row],[P45 Return]])</f>
        <v>2.0092954926945623</v>
      </c>
      <c r="FY104" s="27">
        <f>MAX(FY103,PortfolioFrontier[[#This Row],[P45 Growth]])</f>
        <v>2.0092954926945623</v>
      </c>
      <c r="FZ104" s="27">
        <f>PortfolioFrontier[[#This Row],[P45 Growth]]/PortfolioFrontier[[#This Row],[P45 HWM]]-1</f>
        <v>0</v>
      </c>
      <c r="GA104" s="28">
        <f>SUMPRODUCT(INDEX(PortfolioRef[[SPY]:[PE]],MATCH(GA$1,PortfolioRef[Reference '#]),0),AssetMonthlyReturns[[#This Row],[SPY]:[PE]])</f>
        <v>2.1643630074516806E-2</v>
      </c>
      <c r="GB104" s="27">
        <f>IF(ISNUMBER(GB103),GB103*(1+PortfolioFrontier[[#This Row],[P46 Return]]),1+PortfolioFrontier[[#This Row],[P46 Return]])</f>
        <v>2.0153369041864586</v>
      </c>
      <c r="GC104" s="27">
        <f>MAX(GC103,PortfolioFrontier[[#This Row],[P46 Growth]])</f>
        <v>2.0153369041864586</v>
      </c>
      <c r="GD104" s="27">
        <f>PortfolioFrontier[[#This Row],[P46 Growth]]/PortfolioFrontier[[#This Row],[P46 HWM]]-1</f>
        <v>0</v>
      </c>
      <c r="GE104" s="28">
        <f>SUMPRODUCT(INDEX(PortfolioRef[[SPY]:[PE]],MATCH(GE$1,PortfolioRef[Reference '#]),0),AssetMonthlyReturns[[#This Row],[SPY]:[PE]])</f>
        <v>2.0578723515686983E-2</v>
      </c>
      <c r="GF104" s="27">
        <f>IF(ISNUMBER(GF103),GF103*(1+PortfolioFrontier[[#This Row],[P47 Return]]),1+PortfolioFrontier[[#This Row],[P47 Return]])</f>
        <v>1.9918129769213333</v>
      </c>
      <c r="GG104" s="27">
        <f>MAX(GG103,PortfolioFrontier[[#This Row],[P47 Growth]])</f>
        <v>1.9918129769213333</v>
      </c>
      <c r="GH104" s="27">
        <f>PortfolioFrontier[[#This Row],[P47 Growth]]/PortfolioFrontier[[#This Row],[P47 HWM]]-1</f>
        <v>0</v>
      </c>
      <c r="GI104" s="28">
        <f>SUMPRODUCT(INDEX(PortfolioRef[[SPY]:[PE]],MATCH(GI$1,PortfolioRef[Reference '#]),0),AssetMonthlyReturns[[#This Row],[SPY]:[PE]])</f>
        <v>1.9513816956857152E-2</v>
      </c>
      <c r="GJ104" s="27">
        <f>IF(ISNUMBER(GJ103),GJ103*(1+PortfolioFrontier[[#This Row],[P48 Return]]),1+PortfolioFrontier[[#This Row],[P48 Return]])</f>
        <v>1.9669492661549381</v>
      </c>
      <c r="GK104" s="27">
        <f>MAX(GK103,PortfolioFrontier[[#This Row],[P48 Growth]])</f>
        <v>1.9669492661549381</v>
      </c>
      <c r="GL104" s="27">
        <f>PortfolioFrontier[[#This Row],[P48 Growth]]/PortfolioFrontier[[#This Row],[P48 HWM]]-1</f>
        <v>0</v>
      </c>
      <c r="GM104" s="28">
        <f>SUMPRODUCT(INDEX(PortfolioRef[[SPY]:[PE]],MATCH(GM$1,PortfolioRef[Reference '#]),0),AssetMonthlyReturns[[#This Row],[SPY]:[PE]])</f>
        <v>2.0302825147566938E-2</v>
      </c>
      <c r="GN104" s="27">
        <f>IF(ISNUMBER(GN103),GN103*(1+PortfolioFrontier[[#This Row],[P49 Return]]),1+PortfolioFrontier[[#This Row],[P49 Return]])</f>
        <v>1.9948858988870728</v>
      </c>
      <c r="GO104" s="27">
        <f>MAX(GO103,PortfolioFrontier[[#This Row],[P49 Growth]])</f>
        <v>1.9948858988870728</v>
      </c>
      <c r="GP104" s="27">
        <f>PortfolioFrontier[[#This Row],[P49 Growth]]/PortfolioFrontier[[#This Row],[P49 HWM]]-1</f>
        <v>0</v>
      </c>
      <c r="GQ104" s="28">
        <f>SUMPRODUCT(INDEX(PortfolioRef[[SPY]:[PE]],MATCH(GQ$1,PortfolioRef[Reference '#]),0),AssetMonthlyReturns[[#This Row],[SPY]:[PE]])</f>
        <v>1.9237918588737114E-2</v>
      </c>
      <c r="GR104" s="27">
        <f>IF(ISNUMBER(GR103),GR103*(1+PortfolioFrontier[[#This Row],[P50 Return]]),1+PortfolioFrontier[[#This Row],[P50 Return]])</f>
        <v>1.9728199321102331</v>
      </c>
      <c r="GS104" s="27">
        <f>MAX(GS103,PortfolioFrontier[[#This Row],[P50 Growth]])</f>
        <v>1.9728199321102331</v>
      </c>
      <c r="GT104" s="27">
        <f>PortfolioFrontier[[#This Row],[P50 Growth]]/PortfolioFrontier[[#This Row],[P50 HWM]]-1</f>
        <v>0</v>
      </c>
      <c r="GU104" s="28">
        <f>SUMPRODUCT(INDEX(PortfolioRef[[SPY]:[PE]],MATCH(GU$1,PortfolioRef[Reference '#]),0),AssetMonthlyReturns[[#This Row],[SPY]:[PE]])</f>
        <v>1.8173012029907287E-2</v>
      </c>
      <c r="GV104" s="27">
        <f>IF(ISNUMBER(GV103),GV103*(1+PortfolioFrontier[[#This Row],[P51 Return]]),1+PortfolioFrontier[[#This Row],[P51 Return]])</f>
        <v>1.9493929690340615</v>
      </c>
      <c r="GW104" s="27">
        <f>MAX(GW103,PortfolioFrontier[[#This Row],[P51 Growth]])</f>
        <v>1.9493929690340615</v>
      </c>
      <c r="GX104" s="27">
        <f>PortfolioFrontier[[#This Row],[P51 Growth]]/PortfolioFrontier[[#This Row],[P51 HWM]]-1</f>
        <v>0</v>
      </c>
      <c r="GY104" s="28">
        <f>SUMPRODUCT(INDEX(PortfolioRef[[SPY]:[PE]],MATCH(GY$1,PortfolioRef[Reference '#]),0),AssetMonthlyReturns[[#This Row],[SPY]:[PE]])</f>
        <v>2.352392629299975E-2</v>
      </c>
      <c r="GZ104" s="27">
        <f>IF(ISNUMBER(GZ103),GZ103*(1+PortfolioFrontier[[#This Row],[P52 Return]]),1+PortfolioFrontier[[#This Row],[P52 Return]])</f>
        <v>2.0755173722521847</v>
      </c>
      <c r="HA104" s="27">
        <f>MAX(HA103,PortfolioFrontier[[#This Row],[P52 Growth]])</f>
        <v>2.0755173722521847</v>
      </c>
      <c r="HB104" s="27">
        <f>PortfolioFrontier[[#This Row],[P52 Growth]]/PortfolioFrontier[[#This Row],[P52 HWM]]-1</f>
        <v>0</v>
      </c>
      <c r="HC104" s="28">
        <f>SUMPRODUCT(INDEX(PortfolioRef[[SPY]:[PE]],MATCH(HC$1,PortfolioRef[Reference '#]),0),AssetMonthlyReturns[[#This Row],[SPY]:[PE]])</f>
        <v>2.2459019734169926E-2</v>
      </c>
      <c r="HD104" s="27">
        <f>IF(ISNUMBER(HD103),HD103*(1+PortfolioFrontier[[#This Row],[P53 Return]]),1+PortfolioFrontier[[#This Row],[P53 Return]])</f>
        <v>2.0513162239971683</v>
      </c>
      <c r="HE104" s="27">
        <f>MAX(HE103,PortfolioFrontier[[#This Row],[P53 Growth]])</f>
        <v>2.0513162239971683</v>
      </c>
      <c r="HF104" s="27">
        <f>PortfolioFrontier[[#This Row],[P53 Growth]]/PortfolioFrontier[[#This Row],[P53 HWM]]-1</f>
        <v>0</v>
      </c>
      <c r="HG104" s="28">
        <f>SUMPRODUCT(INDEX(PortfolioRef[[SPY]:[PE]],MATCH(HG$1,PortfolioRef[Reference '#]),0),AssetMonthlyReturns[[#This Row],[SPY]:[PE]])</f>
        <v>2.1394113175340096E-2</v>
      </c>
      <c r="HH104" s="27">
        <f>IF(ISNUMBER(HH103),HH103*(1+PortfolioFrontier[[#This Row],[P54 Return]]),1+PortfolioFrontier[[#This Row],[P54 Return]])</f>
        <v>2.0257356391222134</v>
      </c>
      <c r="HI104" s="27">
        <f>MAX(HI103,PortfolioFrontier[[#This Row],[P54 Growth]])</f>
        <v>2.0257356391222134</v>
      </c>
      <c r="HJ104" s="27">
        <f>PortfolioFrontier[[#This Row],[P54 Growth]]/PortfolioFrontier[[#This Row],[P54 HWM]]-1</f>
        <v>0</v>
      </c>
      <c r="HK104" s="28">
        <f>SUMPRODUCT(INDEX(PortfolioRef[[SPY]:[PE]],MATCH(HK$1,PortfolioRef[Reference '#]),0),AssetMonthlyReturns[[#This Row],[SPY]:[PE]])</f>
        <v>2.2183121366049881E-2</v>
      </c>
      <c r="HL104" s="27">
        <f>IF(ISNUMBER(HL103),HL103*(1+PortfolioFrontier[[#This Row],[P55 Return]]),1+PortfolioFrontier[[#This Row],[P55 Return]])</f>
        <v>2.0550421675652619</v>
      </c>
      <c r="HM104" s="27">
        <f>MAX(HM103,PortfolioFrontier[[#This Row],[P55 Growth]])</f>
        <v>2.0550421675652619</v>
      </c>
      <c r="HN104" s="27">
        <f>PortfolioFrontier[[#This Row],[P55 Growth]]/PortfolioFrontier[[#This Row],[P55 HWM]]-1</f>
        <v>0</v>
      </c>
      <c r="HO104" s="28">
        <f>SUMPRODUCT(INDEX(PortfolioRef[[SPY]:[PE]],MATCH(HO$1,PortfolioRef[Reference '#]),0),AssetMonthlyReturns[[#This Row],[SPY]:[PE]])</f>
        <v>2.1118214807220058E-2</v>
      </c>
      <c r="HP104" s="27">
        <f>IF(ISNUMBER(HP103),HP103*(1+PortfolioFrontier[[#This Row],[P56 Return]]),1+PortfolioFrontier[[#This Row],[P56 Return]])</f>
        <v>2.0323352420341405</v>
      </c>
      <c r="HQ104" s="27">
        <f>MAX(HQ103,PortfolioFrontier[[#This Row],[P56 Growth]])</f>
        <v>2.0323352420341405</v>
      </c>
      <c r="HR104" s="27">
        <f>PortfolioFrontier[[#This Row],[P56 Growth]]/PortfolioFrontier[[#This Row],[P56 HWM]]-1</f>
        <v>0</v>
      </c>
      <c r="HS104" s="28">
        <f>SUMPRODUCT(INDEX(PortfolioRef[[SPY]:[PE]],MATCH(HS$1,PortfolioRef[Reference '#]),0),AssetMonthlyReturns[[#This Row],[SPY]:[PE]])</f>
        <v>2.0053308248390231E-2</v>
      </c>
      <c r="HT104" s="27">
        <f>IF(ISNUMBER(HT103),HT103*(1+PortfolioFrontier[[#This Row],[P57 Return]]),1+PortfolioFrontier[[#This Row],[P57 Return]])</f>
        <v>2.0082266940011948</v>
      </c>
      <c r="HU104" s="27">
        <f>MAX(HU103,PortfolioFrontier[[#This Row],[P57 Growth]])</f>
        <v>2.0082266940011948</v>
      </c>
      <c r="HV104" s="27">
        <f>PortfolioFrontier[[#This Row],[P57 Growth]]/PortfolioFrontier[[#This Row],[P57 HWM]]-1</f>
        <v>0</v>
      </c>
      <c r="HW104" s="28">
        <f>SUMPRODUCT(INDEX(PortfolioRef[[SPY]:[PE]],MATCH(HW$1,PortfolioRef[Reference '#]),0),AssetMonthlyReturns[[#This Row],[SPY]:[PE]])</f>
        <v>2.0842316439100016E-2</v>
      </c>
      <c r="HX104" s="27">
        <f>IF(ISNUMBER(HX103),HX103*(1+PortfolioFrontier[[#This Row],[P58 Return]]),1+PortfolioFrontier[[#This Row],[P58 Return]])</f>
        <v>2.0330449756671789</v>
      </c>
      <c r="HY104" s="27">
        <f>MAX(HY103,PortfolioFrontier[[#This Row],[P58 Growth]])</f>
        <v>2.0330449756671789</v>
      </c>
      <c r="HZ104" s="27">
        <f>PortfolioFrontier[[#This Row],[P58 Growth]]/PortfolioFrontier[[#This Row],[P58 HWM]]-1</f>
        <v>0</v>
      </c>
      <c r="IA104" s="28">
        <f>SUMPRODUCT(INDEX(PortfolioRef[[SPY]:[PE]],MATCH(IA$1,PortfolioRef[Reference '#]),0),AssetMonthlyReturns[[#This Row],[SPY]:[PE]])</f>
        <v>1.9777409880270189E-2</v>
      </c>
      <c r="IB104" s="27">
        <f>IF(ISNUMBER(IB103),IB103*(1+PortfolioFrontier[[#This Row],[P59 Return]]),1+PortfolioFrontier[[#This Row],[P59 Return]])</f>
        <v>2.0118296285375159</v>
      </c>
      <c r="IC104" s="27">
        <f>MAX(IC103,PortfolioFrontier[[#This Row],[P59 Growth]])</f>
        <v>2.0118296285375159</v>
      </c>
      <c r="ID104" s="27">
        <f>PortfolioFrontier[[#This Row],[P59 Growth]]/PortfolioFrontier[[#This Row],[P59 HWM]]-1</f>
        <v>0</v>
      </c>
      <c r="IE104" s="28">
        <f>SUMPRODUCT(INDEX(PortfolioRef[[SPY]:[PE]],MATCH(IE$1,PortfolioRef[Reference '#]),0),AssetMonthlyReturns[[#This Row],[SPY]:[PE]])</f>
        <v>1.8712503321440366E-2</v>
      </c>
      <c r="IF104" s="27">
        <f>IF(ISNUMBER(IF103),IF103*(1+PortfolioFrontier[[#This Row],[P60 Return]]),1+PortfolioFrontier[[#This Row],[P60 Return]])</f>
        <v>1.9891933119735996</v>
      </c>
      <c r="IG104" s="27">
        <f>MAX(IG103,PortfolioFrontier[[#This Row],[P60 Growth]])</f>
        <v>1.9891933119735996</v>
      </c>
      <c r="IH104" s="27">
        <f>PortfolioFrontier[[#This Row],[P60 Growth]]/PortfolioFrontier[[#This Row],[P60 HWM]]-1</f>
        <v>0</v>
      </c>
      <c r="II104" s="28">
        <f>SUMPRODUCT(INDEX(PortfolioRef[[SPY]:[PE]],MATCH(II$1,PortfolioRef[Reference '#]),0),AssetMonthlyReturns[[#This Row],[SPY]:[PE]])</f>
        <v>1.8453920397447799E-2</v>
      </c>
      <c r="IJ104" s="27">
        <f>IF(ISNUMBER(IJ103),IJ103*(1+PortfolioFrontier[[#This Row],[P61 Return]]),1+PortfolioFrontier[[#This Row],[P61 Return]])</f>
        <v>1.7814063603598518</v>
      </c>
      <c r="IK104" s="27">
        <f>MAX(IK103,PortfolioFrontier[[#This Row],[P61 Growth]])</f>
        <v>1.7814063603598518</v>
      </c>
      <c r="IL104" s="27">
        <f>PortfolioFrontier[[#This Row],[P61 Growth]]/PortfolioFrontier[[#This Row],[P61 HWM]]-1</f>
        <v>0</v>
      </c>
      <c r="IM104" s="28">
        <f>SUMPRODUCT(INDEX(PortfolioRef[[SPY]:[PE]],MATCH(IM$1,PortfolioRef[Reference '#]),0),AssetMonthlyReturns[[#This Row],[SPY]:[PE]])</f>
        <v>2.0334216615930743E-2</v>
      </c>
      <c r="IN104" s="27">
        <f>IF(ISNUMBER(IN103),IN103*(1+PortfolioFrontier[[#This Row],[P62 Return]]),1+PortfolioFrontier[[#This Row],[P62 Return]])</f>
        <v>1.8352254834556392</v>
      </c>
      <c r="IO104" s="27">
        <f>MAX(IO103,PortfolioFrontier[[#This Row],[P62 Growth]])</f>
        <v>1.8352254834556392</v>
      </c>
      <c r="IP104" s="27">
        <f>PortfolioFrontier[[#This Row],[P62 Growth]]/PortfolioFrontier[[#This Row],[P62 HWM]]-1</f>
        <v>0</v>
      </c>
      <c r="IQ104" s="28">
        <f>SUMPRODUCT(INDEX(PortfolioRef[[SPY]:[PE]],MATCH(IQ$1,PortfolioRef[Reference '#]),0),AssetMonthlyReturns[[#This Row],[SPY]:[PE]])</f>
        <v>1.8993411688980878E-2</v>
      </c>
      <c r="IR104" s="27">
        <f>IF(ISNUMBER(IR103),IR103*(1+PortfolioFrontier[[#This Row],[P63 Return]]),1+PortfolioFrontier[[#This Row],[P63 Return]])</f>
        <v>1.8193291261959792</v>
      </c>
      <c r="IS104" s="27">
        <f>MAX(IS103,PortfolioFrontier[[#This Row],[P63 Growth]])</f>
        <v>1.8193291261959792</v>
      </c>
      <c r="IT104" s="27">
        <f>PortfolioFrontier[[#This Row],[P63 Growth]]/PortfolioFrontier[[#This Row],[P63 HWM]]-1</f>
        <v>0</v>
      </c>
      <c r="IU104" s="28">
        <f>SUMPRODUCT(INDEX(PortfolioRef[[SPY]:[PE]],MATCH(IU$1,PortfolioRef[Reference '#]),0),AssetMonthlyReturns[[#This Row],[SPY]:[PE]])</f>
        <v>1.792850513015105E-2</v>
      </c>
      <c r="IV104" s="27">
        <f>IF(ISNUMBER(IV103),IV103*(1+PortfolioFrontier[[#This Row],[P64 Return]]),1+PortfolioFrontier[[#This Row],[P64 Return]])</f>
        <v>1.7962562281572552</v>
      </c>
      <c r="IW104" s="27">
        <f>MAX(IW103,PortfolioFrontier[[#This Row],[P64 Growth]])</f>
        <v>1.7962562281572552</v>
      </c>
      <c r="IX104" s="27">
        <f>PortfolioFrontier[[#This Row],[P64 Growth]]/PortfolioFrontier[[#This Row],[P64 HWM]]-1</f>
        <v>0</v>
      </c>
      <c r="IY104" s="28">
        <f>SUMPRODUCT(INDEX(PortfolioRef[[SPY]:[PE]],MATCH(IY$1,PortfolioRef[Reference '#]),0),AssetMonthlyReturns[[#This Row],[SPY]:[PE]])</f>
        <v>2.2214512834413693E-2</v>
      </c>
      <c r="IZ104" s="27">
        <f>IF(ISNUMBER(IZ103),IZ103*(1+PortfolioFrontier[[#This Row],[P65 Return]]),1+PortfolioFrontier[[#This Row],[P65 Return]])</f>
        <v>1.8900995363204722</v>
      </c>
      <c r="JA104" s="27">
        <f>MAX(JA103,PortfolioFrontier[[#This Row],[P65 Growth]])</f>
        <v>1.8900995363204722</v>
      </c>
      <c r="JB104" s="27">
        <f>PortfolioFrontier[[#This Row],[P65 Growth]]/PortfolioFrontier[[#This Row],[P65 HWM]]-1</f>
        <v>0</v>
      </c>
      <c r="JC104" s="28">
        <f>SUMPRODUCT(INDEX(PortfolioRef[[SPY]:[PE]],MATCH(JC$1,PortfolioRef[Reference '#]),0),AssetMonthlyReturns[[#This Row],[SPY]:[PE]])</f>
        <v>2.0873707907463821E-2</v>
      </c>
      <c r="JD104" s="27">
        <f>IF(ISNUMBER(JD103),JD103*(1+PortfolioFrontier[[#This Row],[P66 Return]]),1+PortfolioFrontier[[#This Row],[P66 Return]])</f>
        <v>1.8742632728787345</v>
      </c>
      <c r="JE104" s="27">
        <f>MAX(JE103,PortfolioFrontier[[#This Row],[P66 Growth]])</f>
        <v>1.8742632728787345</v>
      </c>
      <c r="JF104" s="27">
        <f>PortfolioFrontier[[#This Row],[P66 Growth]]/PortfolioFrontier[[#This Row],[P66 HWM]]-1</f>
        <v>0</v>
      </c>
      <c r="JG104" s="28">
        <f>SUMPRODUCT(INDEX(PortfolioRef[[SPY]:[PE]],MATCH(JG$1,PortfolioRef[Reference '#]),0),AssetMonthlyReturns[[#This Row],[SPY]:[PE]])</f>
        <v>1.9808801348634001E-2</v>
      </c>
      <c r="JH104" s="27">
        <f>IF(ISNUMBER(JH103),JH103*(1+PortfolioFrontier[[#This Row],[P67 Return]]),1+PortfolioFrontier[[#This Row],[P67 Return]])</f>
        <v>1.8505176980187923</v>
      </c>
      <c r="JI104" s="27">
        <f>MAX(JI103,PortfolioFrontier[[#This Row],[P67 Growth]])</f>
        <v>1.8505176980187923</v>
      </c>
      <c r="JJ104" s="27">
        <f>PortfolioFrontier[[#This Row],[P67 Growth]]/PortfolioFrontier[[#This Row],[P67 HWM]]-1</f>
        <v>0</v>
      </c>
      <c r="JK104" s="28">
        <f>SUMPRODUCT(INDEX(PortfolioRef[[SPY]:[PE]],MATCH(JK$1,PortfolioRef[Reference '#]),0),AssetMonthlyReturns[[#This Row],[SPY]:[PE]])</f>
        <v>1.9532902980513956E-2</v>
      </c>
      <c r="JL104" s="27">
        <f>IF(ISNUMBER(JL103),JL103*(1+PortfolioFrontier[[#This Row],[P68 Return]]),1+PortfolioFrontier[[#This Row],[P68 Return]])</f>
        <v>1.8569957484468171</v>
      </c>
      <c r="JM104" s="27">
        <f>MAX(JM103,PortfolioFrontier[[#This Row],[P68 Growth]])</f>
        <v>1.8569957484468171</v>
      </c>
      <c r="JN104" s="27">
        <f>PortfolioFrontier[[#This Row],[P68 Growth]]/PortfolioFrontier[[#This Row],[P68 HWM]]-1</f>
        <v>0</v>
      </c>
      <c r="JO104" s="28">
        <f>SUMPRODUCT(INDEX(PortfolioRef[[SPY]:[PE]],MATCH(JO$1,PortfolioRef[Reference '#]),0),AssetMonthlyReturns[[#This Row],[SPY]:[PE]])</f>
        <v>1.8467996421684129E-2</v>
      </c>
      <c r="JP104" s="27">
        <f>IF(ISNUMBER(JP103),JP103*(1+PortfolioFrontier[[#This Row],[P69 Return]]),1+PortfolioFrontier[[#This Row],[P69 Return]])</f>
        <v>1.83459584888398</v>
      </c>
      <c r="JQ104" s="27">
        <f>MAX(JQ103,PortfolioFrontier[[#This Row],[P69 Growth]])</f>
        <v>1.83459584888398</v>
      </c>
      <c r="JR104" s="27">
        <f>PortfolioFrontier[[#This Row],[P69 Growth]]/PortfolioFrontier[[#This Row],[P69 HWM]]-1</f>
        <v>0</v>
      </c>
      <c r="JS104" s="28">
        <f>SUMPRODUCT(INDEX(PortfolioRef[[SPY]:[PE]],MATCH(JS$1,PortfolioRef[Reference '#]),0),AssetMonthlyReturns[[#This Row],[SPY]:[PE]])</f>
        <v>1.7403089862854305E-2</v>
      </c>
      <c r="JT104" s="27">
        <f>IF(ISNUMBER(JT103),JT103*(1+PortfolioFrontier[[#This Row],[P70 Return]]),1+PortfolioFrontier[[#This Row],[P70 Return]])</f>
        <v>1.8109809455795927</v>
      </c>
      <c r="JU104" s="27">
        <f>MAX(JU103,PortfolioFrontier[[#This Row],[P70 Growth]])</f>
        <v>1.8109809455795927</v>
      </c>
      <c r="JV104" s="27">
        <f>PortfolioFrontier[[#This Row],[P70 Growth]]/PortfolioFrontier[[#This Row],[P70 HWM]]-1</f>
        <v>0</v>
      </c>
      <c r="JW104" s="28">
        <f>SUMPRODUCT(INDEX(PortfolioRef[[SPY]:[PE]],MATCH(JW$1,PortfolioRef[Reference '#]),0),AssetMonthlyReturns[[#This Row],[SPY]:[PE]])</f>
        <v>2.2754004125946772E-2</v>
      </c>
      <c r="JX104" s="27">
        <f>IF(ISNUMBER(JX103),JX103*(1+PortfolioFrontier[[#This Row],[P71 Return]]),1+PortfolioFrontier[[#This Row],[P71 Return]])</f>
        <v>1.9302735489083023</v>
      </c>
      <c r="JY104" s="27">
        <f>MAX(JY103,PortfolioFrontier[[#This Row],[P71 Growth]])</f>
        <v>1.9302735489083023</v>
      </c>
      <c r="JZ104" s="27">
        <f>PortfolioFrontier[[#This Row],[P71 Growth]]/PortfolioFrontier[[#This Row],[P71 HWM]]-1</f>
        <v>0</v>
      </c>
      <c r="KA104" s="28">
        <f>SUMPRODUCT(INDEX(PortfolioRef[[SPY]:[PE]],MATCH(KA$1,PortfolioRef[Reference '#]),0),AssetMonthlyReturns[[#This Row],[SPY]:[PE]])</f>
        <v>2.1689097567116945E-2</v>
      </c>
      <c r="KB104" s="27">
        <f>IF(ISNUMBER(KB103),KB103*(1+PortfolioFrontier[[#This Row],[P72 Return]]),1+PortfolioFrontier[[#This Row],[P72 Return]])</f>
        <v>1.9058428766600286</v>
      </c>
      <c r="KC104" s="27">
        <f>MAX(KC103,PortfolioFrontier[[#This Row],[P72 Growth]])</f>
        <v>1.9058428766600286</v>
      </c>
      <c r="KD104" s="27">
        <f>PortfolioFrontier[[#This Row],[P72 Growth]]/PortfolioFrontier[[#This Row],[P72 HWM]]-1</f>
        <v>0</v>
      </c>
      <c r="KE104" s="28">
        <f>SUMPRODUCT(INDEX(PortfolioRef[[SPY]:[PE]],MATCH(KE$1,PortfolioRef[Reference '#]),0),AssetMonthlyReturns[[#This Row],[SPY]:[PE]])</f>
        <v>2.1413199198996903E-2</v>
      </c>
      <c r="KF104" s="27">
        <f>IF(ISNUMBER(KF103),KF103*(1+PortfolioFrontier[[#This Row],[P73 Return]]),1+PortfolioFrontier[[#This Row],[P73 Return]])</f>
        <v>1.9130365504239204</v>
      </c>
      <c r="KG104" s="27">
        <f>MAX(KG103,PortfolioFrontier[[#This Row],[P73 Growth]])</f>
        <v>1.9130365504239204</v>
      </c>
      <c r="KH104" s="27">
        <f>PortfolioFrontier[[#This Row],[P73 Growth]]/PortfolioFrontier[[#This Row],[P73 HWM]]-1</f>
        <v>0</v>
      </c>
      <c r="KI104" s="28">
        <f>SUMPRODUCT(INDEX(PortfolioRef[[SPY]:[PE]],MATCH(KI$1,PortfolioRef[Reference '#]),0),AssetMonthlyReturns[[#This Row],[SPY]:[PE]])</f>
        <v>2.034829264016708E-2</v>
      </c>
      <c r="KJ104" s="27">
        <f>IF(ISNUMBER(KJ103),KJ103*(1+PortfolioFrontier[[#This Row],[P74 Return]]),1+PortfolioFrontier[[#This Row],[P74 Return]])</f>
        <v>1.889984479996907</v>
      </c>
      <c r="KK104" s="27">
        <f>MAX(KK103,PortfolioFrontier[[#This Row],[P74 Growth]])</f>
        <v>1.889984479996907</v>
      </c>
      <c r="KL104" s="27">
        <f>PortfolioFrontier[[#This Row],[P74 Growth]]/PortfolioFrontier[[#This Row],[P74 HWM]]-1</f>
        <v>0</v>
      </c>
      <c r="KM104" s="28">
        <f>SUMPRODUCT(INDEX(PortfolioRef[[SPY]:[PE]],MATCH(KM$1,PortfolioRef[Reference '#]),0),AssetMonthlyReturns[[#This Row],[SPY]:[PE]])</f>
        <v>1.9283386081337249E-2</v>
      </c>
      <c r="KN104" s="27">
        <f>IF(ISNUMBER(KN103),KN103*(1+PortfolioFrontier[[#This Row],[P75 Return]]),1+PortfolioFrontier[[#This Row],[P75 Return]])</f>
        <v>1.8656810497211522</v>
      </c>
      <c r="KO104" s="27">
        <f>MAX(KO103,PortfolioFrontier[[#This Row],[P75 Growth]])</f>
        <v>1.8656810497211522</v>
      </c>
      <c r="KP104" s="27">
        <f>PortfolioFrontier[[#This Row],[P75 Growth]]/PortfolioFrontier[[#This Row],[P75 HWM]]-1</f>
        <v>0</v>
      </c>
      <c r="KQ104" s="28">
        <f>SUMPRODUCT(INDEX(PortfolioRef[[SPY]:[PE]],MATCH(KQ$1,PortfolioRef[Reference '#]),0),AssetMonthlyReturns[[#This Row],[SPY]:[PE]])</f>
        <v>2.0072394272047035E-2</v>
      </c>
      <c r="KR104" s="27">
        <f>IF(ISNUMBER(KR103),KR103*(1+PortfolioFrontier[[#This Row],[P76 Return]]),1+PortfolioFrontier[[#This Row],[P76 Return]])</f>
        <v>1.8943537411554139</v>
      </c>
      <c r="KS104" s="27">
        <f>MAX(KS103,PortfolioFrontier[[#This Row],[P76 Growth]])</f>
        <v>1.8943537411554139</v>
      </c>
      <c r="KT104" s="27">
        <f>PortfolioFrontier[[#This Row],[P76 Growth]]/PortfolioFrontier[[#This Row],[P76 HWM]]-1</f>
        <v>0</v>
      </c>
      <c r="KU104" s="28">
        <f>SUMPRODUCT(INDEX(PortfolioRef[[SPY]:[PE]],MATCH(KU$1,PortfolioRef[Reference '#]),0),AssetMonthlyReturns[[#This Row],[SPY]:[PE]])</f>
        <v>1.9007487713217208E-2</v>
      </c>
      <c r="KV104" s="27">
        <f>IF(ISNUMBER(KV103),KV103*(1+PortfolioFrontier[[#This Row],[P77 Return]]),1+PortfolioFrontier[[#This Row],[P77 Return]])</f>
        <v>1.872681525127649</v>
      </c>
      <c r="KW104" s="27">
        <f>MAX(KW103,PortfolioFrontier[[#This Row],[P77 Growth]])</f>
        <v>1.872681525127649</v>
      </c>
      <c r="KX104" s="27">
        <f>PortfolioFrontier[[#This Row],[P77 Growth]]/PortfolioFrontier[[#This Row],[P77 HWM]]-1</f>
        <v>0</v>
      </c>
      <c r="KY104" s="28">
        <f>SUMPRODUCT(INDEX(PortfolioRef[[SPY]:[PE]],MATCH(KY$1,PortfolioRef[Reference '#]),0),AssetMonthlyReturns[[#This Row],[SPY]:[PE]])</f>
        <v>1.794258115438738E-2</v>
      </c>
      <c r="KZ104" s="27">
        <f>IF(ISNUMBER(KZ103),KZ103*(1+PortfolioFrontier[[#This Row],[P78 Return]]),1+PortfolioFrontier[[#This Row],[P78 Return]])</f>
        <v>1.8497364873820754</v>
      </c>
      <c r="LA104" s="27">
        <f>MAX(LA103,PortfolioFrontier[[#This Row],[P78 Growth]])</f>
        <v>1.8497364873820754</v>
      </c>
      <c r="LB104" s="27">
        <f>PortfolioFrontier[[#This Row],[P78 Growth]]/PortfolioFrontier[[#This Row],[P78 HWM]]-1</f>
        <v>0</v>
      </c>
      <c r="LC104" s="28">
        <f>SUMPRODUCT(INDEX(PortfolioRef[[SPY]:[PE]],MATCH(LC$1,PortfolioRef[Reference '#]),0),AssetMonthlyReturns[[#This Row],[SPY]:[PE]])</f>
        <v>2.3293495417479847E-2</v>
      </c>
      <c r="LD104" s="27">
        <f>IF(ISNUMBER(LD103),LD103*(1+PortfolioFrontier[[#This Row],[P79 Return]]),1+PortfolioFrontier[[#This Row],[P79 Return]])</f>
        <v>1.9701745035118143</v>
      </c>
      <c r="LE104" s="27">
        <f>MAX(LE103,PortfolioFrontier[[#This Row],[P79 Growth]])</f>
        <v>1.9701745035118143</v>
      </c>
      <c r="LF104" s="27">
        <f>PortfolioFrontier[[#This Row],[P79 Growth]]/PortfolioFrontier[[#This Row],[P79 HWM]]-1</f>
        <v>0</v>
      </c>
      <c r="LG104" s="28">
        <f>SUMPRODUCT(INDEX(PortfolioRef[[SPY]:[PE]],MATCH(LG$1,PortfolioRef[Reference '#]),0),AssetMonthlyReturns[[#This Row],[SPY]:[PE]])</f>
        <v>2.2228588858650023E-2</v>
      </c>
      <c r="LH104" s="27">
        <f>IF(ISNUMBER(LH103),LH103*(1+PortfolioFrontier[[#This Row],[P80 Return]]),1+PortfolioFrontier[[#This Row],[P80 Return]])</f>
        <v>1.9464582528505987</v>
      </c>
      <c r="LI104" s="27">
        <f>MAX(LI103,PortfolioFrontier[[#This Row],[P80 Growth]])</f>
        <v>1.9464582528505987</v>
      </c>
      <c r="LJ104" s="27">
        <f>PortfolioFrontier[[#This Row],[P80 Growth]]/PortfolioFrontier[[#This Row],[P80 HWM]]-1</f>
        <v>0</v>
      </c>
      <c r="LK104" s="28">
        <f>SUMPRODUCT(INDEX(PortfolioRef[[SPY]:[PE]],MATCH(LK$1,PortfolioRef[Reference '#]),0),AssetMonthlyReturns[[#This Row],[SPY]:[PE]])</f>
        <v>2.1163682299820193E-2</v>
      </c>
      <c r="LL104" s="27">
        <f>IF(ISNUMBER(LL103),LL103*(1+PortfolioFrontier[[#This Row],[P81 Return]]),1+PortfolioFrontier[[#This Row],[P81 Return]])</f>
        <v>1.9214535734132434</v>
      </c>
      <c r="LM104" s="27">
        <f>MAX(LM103,PortfolioFrontier[[#This Row],[P81 Growth]])</f>
        <v>1.9214535734132434</v>
      </c>
      <c r="LN104" s="27">
        <f>PortfolioFrontier[[#This Row],[P81 Growth]]/PortfolioFrontier[[#This Row],[P81 HWM]]-1</f>
        <v>0</v>
      </c>
      <c r="LO104" s="28">
        <f>SUMPRODUCT(INDEX(PortfolioRef[[SPY]:[PE]],MATCH(LO$1,PortfolioRef[Reference '#]),0),AssetMonthlyReturns[[#This Row],[SPY]:[PE]])</f>
        <v>2.1952690490529978E-2</v>
      </c>
      <c r="LP104" s="27">
        <f>IF(ISNUMBER(LP103),LP103*(1+PortfolioFrontier[[#This Row],[P82 Return]]),1+PortfolioFrontier[[#This Row],[P82 Return]])</f>
        <v>1.9514912989596545</v>
      </c>
      <c r="LQ104" s="27">
        <f>MAX(LQ103,PortfolioFrontier[[#This Row],[P82 Growth]])</f>
        <v>1.9514912989596545</v>
      </c>
      <c r="LR104" s="27">
        <f>PortfolioFrontier[[#This Row],[P82 Growth]]/PortfolioFrontier[[#This Row],[P82 HWM]]-1</f>
        <v>0</v>
      </c>
      <c r="LS104" s="28">
        <f>SUMPRODUCT(INDEX(PortfolioRef[[SPY]:[PE]],MATCH(LS$1,PortfolioRef[Reference '#]),0),AssetMonthlyReturns[[#This Row],[SPY]:[PE]])</f>
        <v>2.0887783931700155E-2</v>
      </c>
      <c r="LT104" s="27">
        <f>IF(ISNUMBER(LT103),LT103*(1+PortfolioFrontier[[#This Row],[P83 Return]]),1+PortfolioFrontier[[#This Row],[P83 Return]])</f>
        <v>1.9291890055672107</v>
      </c>
      <c r="LU104" s="27">
        <f>MAX(LU103,PortfolioFrontier[[#This Row],[P83 Growth]])</f>
        <v>1.9291890055672107</v>
      </c>
      <c r="LV104" s="27">
        <f>PortfolioFrontier[[#This Row],[P83 Growth]]/PortfolioFrontier[[#This Row],[P83 HWM]]-1</f>
        <v>0</v>
      </c>
      <c r="LW104" s="28">
        <f>SUMPRODUCT(INDEX(PortfolioRef[[SPY]:[PE]],MATCH(LW$1,PortfolioRef[Reference '#]),0),AssetMonthlyReturns[[#This Row],[SPY]:[PE]])</f>
        <v>1.9822877372870328E-2</v>
      </c>
      <c r="LX104" s="27">
        <f>IF(ISNUMBER(LX103),LX103*(1+PortfolioFrontier[[#This Row],[P84 Return]]),1+PortfolioFrontier[[#This Row],[P84 Return]])</f>
        <v>1.9055758640907325</v>
      </c>
      <c r="LY104" s="27">
        <f>MAX(LY103,PortfolioFrontier[[#This Row],[P84 Growth]])</f>
        <v>1.9055758640907325</v>
      </c>
      <c r="LZ104" s="27">
        <f>PortfolioFrontier[[#This Row],[P84 Growth]]/PortfolioFrontier[[#This Row],[P84 HWM]]-1</f>
        <v>0</v>
      </c>
      <c r="MA104" s="28">
        <f>SUMPRODUCT(INDEX(PortfolioRef[[SPY]:[PE]],MATCH(MA$1,PortfolioRef[Reference '#]),0),AssetMonthlyReturns[[#This Row],[SPY]:[PE]])</f>
        <v>2.0611885563580113E-2</v>
      </c>
      <c r="MB104" s="27">
        <f>IF(ISNUMBER(MB103),MB103*(1+PortfolioFrontier[[#This Row],[P85 Return]]),1+PortfolioFrontier[[#This Row],[P85 Return]])</f>
        <v>1.9313496464459137</v>
      </c>
      <c r="MC104" s="27">
        <f>MAX(MC103,PortfolioFrontier[[#This Row],[P85 Growth]])</f>
        <v>1.9313496464459137</v>
      </c>
      <c r="MD104" s="27">
        <f>PortfolioFrontier[[#This Row],[P85 Growth]]/PortfolioFrontier[[#This Row],[P85 HWM]]-1</f>
        <v>0</v>
      </c>
      <c r="ME104" s="28">
        <f>SUMPRODUCT(INDEX(PortfolioRef[[SPY]:[PE]],MATCH(ME$1,PortfolioRef[Reference '#]),0),AssetMonthlyReturns[[#This Row],[SPY]:[PE]])</f>
        <v>1.9546979004750286E-2</v>
      </c>
      <c r="MF104" s="27">
        <f>IF(ISNUMBER(MF103),MF103*(1+PortfolioFrontier[[#This Row],[P86 Return]]),1+PortfolioFrontier[[#This Row],[P86 Return]])</f>
        <v>1.9104603080516371</v>
      </c>
      <c r="MG104" s="27">
        <f>MAX(MG103,PortfolioFrontier[[#This Row],[P86 Growth]])</f>
        <v>1.9104603080516371</v>
      </c>
      <c r="MH104" s="27">
        <f>PortfolioFrontier[[#This Row],[P86 Growth]]/PortfolioFrontier[[#This Row],[P86 HWM]]-1</f>
        <v>0</v>
      </c>
      <c r="MI104" s="28">
        <f>SUMPRODUCT(INDEX(PortfolioRef[[SPY]:[PE]],MATCH(MI$1,PortfolioRef[Reference '#]),0),AssetMonthlyReturns[[#This Row],[SPY]:[PE]])</f>
        <v>1.8482072445920462E-2</v>
      </c>
      <c r="MJ104" s="27">
        <f>IF(ISNUMBER(MJ103),MJ103*(1+PortfolioFrontier[[#This Row],[P87 Return]]),1+PortfolioFrontier[[#This Row],[P87 Return]])</f>
        <v>1.8882403763474047</v>
      </c>
      <c r="MK104" s="27">
        <f>MAX(MK103,PortfolioFrontier[[#This Row],[P87 Growth]])</f>
        <v>1.8882403763474047</v>
      </c>
      <c r="ML104" s="27">
        <f>PortfolioFrontier[[#This Row],[P87 Growth]]/PortfolioFrontier[[#This Row],[P87 HWM]]-1</f>
        <v>0</v>
      </c>
      <c r="MM104" s="28">
        <f>SUMPRODUCT(INDEX(PortfolioRef[[SPY]:[PE]],MATCH(MM$1,PortfolioRef[Reference '#]),0),AssetMonthlyReturns[[#This Row],[SPY]:[PE]])</f>
        <v>2.3832986709012925E-2</v>
      </c>
      <c r="MN104" s="27">
        <f>IF(ISNUMBER(MN103),MN103*(1+PortfolioFrontier[[#This Row],[P88 Return]]),1+PortfolioFrontier[[#This Row],[P88 Return]])</f>
        <v>2.0097468229668252</v>
      </c>
      <c r="MO104" s="27">
        <f>MAX(MO103,PortfolioFrontier[[#This Row],[P88 Growth]])</f>
        <v>2.0097468229668252</v>
      </c>
      <c r="MP104" s="27">
        <f>PortfolioFrontier[[#This Row],[P88 Growth]]/PortfolioFrontier[[#This Row],[P88 HWM]]-1</f>
        <v>0</v>
      </c>
      <c r="MQ104" s="28">
        <f>SUMPRODUCT(INDEX(PortfolioRef[[SPY]:[PE]],MATCH(MQ$1,PortfolioRef[Reference '#]),0),AssetMonthlyReturns[[#This Row],[SPY]:[PE]])</f>
        <v>2.2768080150183102E-2</v>
      </c>
      <c r="MR104" s="27">
        <f>IF(ISNUMBER(MR103),MR103*(1+PortfolioFrontier[[#This Row],[P89 Return]]),1+PortfolioFrontier[[#This Row],[P89 Return]])</f>
        <v>1.9868028837488505</v>
      </c>
      <c r="MS104" s="27">
        <f>MAX(MS103,PortfolioFrontier[[#This Row],[P89 Growth]])</f>
        <v>1.9868028837488505</v>
      </c>
      <c r="MT104" s="27">
        <f>PortfolioFrontier[[#This Row],[P89 Growth]]/PortfolioFrontier[[#This Row],[P89 HWM]]-1</f>
        <v>0</v>
      </c>
      <c r="MU104" s="28">
        <f>SUMPRODUCT(INDEX(PortfolioRef[[SPY]:[PE]],MATCH(MU$1,PortfolioRef[Reference '#]),0),AssetMonthlyReturns[[#This Row],[SPY]:[PE]])</f>
        <v>2.1703173591353271E-2</v>
      </c>
      <c r="MV104" s="27">
        <f>IF(ISNUMBER(MV103),MV103*(1+PortfolioFrontier[[#This Row],[P90 Return]]),1+PortfolioFrontier[[#This Row],[P90 Return]])</f>
        <v>1.9625093263091222</v>
      </c>
      <c r="MW104" s="27">
        <f>MAX(MW103,PortfolioFrontier[[#This Row],[P90 Growth]])</f>
        <v>1.9625093263091222</v>
      </c>
      <c r="MX104" s="27">
        <f>PortfolioFrontier[[#This Row],[P90 Growth]]/PortfolioFrontier[[#This Row],[P90 HWM]]-1</f>
        <v>0</v>
      </c>
      <c r="MY104" s="28">
        <f>SUMPRODUCT(INDEX(PortfolioRef[[SPY]:[PE]],MATCH(MY$1,PortfolioRef[Reference '#]),0),AssetMonthlyReturns[[#This Row],[SPY]:[PE]])</f>
        <v>2.2492181782063057E-2</v>
      </c>
      <c r="MZ104" s="27">
        <f>IF(ISNUMBER(MZ103),MZ103*(1+PortfolioFrontier[[#This Row],[P91 Return]]),1+PortfolioFrontier[[#This Row],[P91 Return]])</f>
        <v>1.9895725032241358</v>
      </c>
      <c r="NA104" s="27">
        <f>MAX(NA103,PortfolioFrontier[[#This Row],[P91 Growth]])</f>
        <v>1.9895725032241358</v>
      </c>
      <c r="NB104" s="27">
        <f>PortfolioFrontier[[#This Row],[P91 Growth]]/PortfolioFrontier[[#This Row],[P91 HWM]]-1</f>
        <v>0</v>
      </c>
      <c r="NC104" s="28">
        <f>SUMPRODUCT(INDEX(PortfolioRef[[SPY]:[PE]],MATCH(NC$1,PortfolioRef[Reference '#]),0),AssetMonthlyReturns[[#This Row],[SPY]:[PE]])</f>
        <v>2.1427275223233233E-2</v>
      </c>
      <c r="ND104" s="27">
        <f>IF(ISNUMBER(ND103),ND103*(1+PortfolioFrontier[[#This Row],[P92 Return]]),1+PortfolioFrontier[[#This Row],[P92 Return]])</f>
        <v>1.9680767813227482</v>
      </c>
      <c r="NE104" s="27">
        <f>MAX(NE103,PortfolioFrontier[[#This Row],[P92 Growth]])</f>
        <v>1.9680767813227482</v>
      </c>
      <c r="NF104" s="27">
        <f>PortfolioFrontier[[#This Row],[P92 Growth]]/PortfolioFrontier[[#This Row],[P92 HWM]]-1</f>
        <v>0</v>
      </c>
      <c r="NG104" s="28">
        <f>SUMPRODUCT(INDEX(PortfolioRef[[SPY]:[PE]],MATCH(NG$1,PortfolioRef[Reference '#]),0),AssetMonthlyReturns[[#This Row],[SPY]:[PE]])</f>
        <v>2.0362368664403406E-2</v>
      </c>
      <c r="NH104" s="27">
        <f>IF(ISNUMBER(NH103),NH103*(1+PortfolioFrontier[[#This Row],[P93 Return]]),1+PortfolioFrontier[[#This Row],[P93 Return]])</f>
        <v>1.9452107727778101</v>
      </c>
      <c r="NI104" s="27">
        <f>MAX(NI103,PortfolioFrontier[[#This Row],[P93 Growth]])</f>
        <v>1.9452107727778101</v>
      </c>
      <c r="NJ104" s="27">
        <f>PortfolioFrontier[[#This Row],[P93 Growth]]/PortfolioFrontier[[#This Row],[P93 HWM]]-1</f>
        <v>0</v>
      </c>
      <c r="NK104" s="28">
        <f>SUMPRODUCT(INDEX(PortfolioRef[[SPY]:[PE]],MATCH(NK$1,PortfolioRef[Reference '#]),0),AssetMonthlyReturns[[#This Row],[SPY]:[PE]])</f>
        <v>2.1151376855113188E-2</v>
      </c>
      <c r="NL104" s="27">
        <f>IF(ISNUMBER(NL103),NL103*(1+PortfolioFrontier[[#This Row],[P94 Return]]),1+PortfolioFrontier[[#This Row],[P94 Return]])</f>
        <v>1.9679291196435151</v>
      </c>
      <c r="NM104" s="27">
        <f>MAX(NM103,PortfolioFrontier[[#This Row],[P94 Growth]])</f>
        <v>1.9679291196435151</v>
      </c>
      <c r="NN104" s="27">
        <f>PortfolioFrontier[[#This Row],[P94 Growth]]/PortfolioFrontier[[#This Row],[P94 HWM]]-1</f>
        <v>0</v>
      </c>
      <c r="NO104" s="28">
        <f>SUMPRODUCT(INDEX(PortfolioRef[[SPY]:[PE]],MATCH(NO$1,PortfolioRef[Reference '#]),0),AssetMonthlyReturns[[#This Row],[SPY]:[PE]])</f>
        <v>2.0086470296283365E-2</v>
      </c>
      <c r="NP104" s="27">
        <f>IF(ISNUMBER(NP103),NP103*(1+PortfolioFrontier[[#This Row],[P95 Return]]),1+PortfolioFrontier[[#This Row],[P95 Return]])</f>
        <v>1.9478782585007914</v>
      </c>
      <c r="NQ104" s="27">
        <f>MAX(NQ103,PortfolioFrontier[[#This Row],[P95 Growth]])</f>
        <v>1.9478782585007914</v>
      </c>
      <c r="NR104" s="27">
        <f>PortfolioFrontier[[#This Row],[P95 Growth]]/PortfolioFrontier[[#This Row],[P95 HWM]]-1</f>
        <v>0</v>
      </c>
      <c r="NS104" s="28">
        <f>SUMPRODUCT(INDEX(PortfolioRef[[SPY]:[PE]],MATCH(NS$1,PortfolioRef[Reference '#]),0),AssetMonthlyReturns[[#This Row],[SPY]:[PE]])</f>
        <v>1.9021563737453537E-2</v>
      </c>
      <c r="NT104" s="27">
        <f>IF(ISNUMBER(NT103),NT103*(1+PortfolioFrontier[[#This Row],[P96 Return]]),1+PortfolioFrontier[[#This Row],[P96 Return]])</f>
        <v>1.926439203976098</v>
      </c>
      <c r="NU104" s="27">
        <f>MAX(NU103,PortfolioFrontier[[#This Row],[P96 Growth]])</f>
        <v>1.926439203976098</v>
      </c>
      <c r="NV104" s="27">
        <f>PortfolioFrontier[[#This Row],[P96 Growth]]/PortfolioFrontier[[#This Row],[P96 HWM]]-1</f>
        <v>0</v>
      </c>
      <c r="NW104" s="28">
        <f>SUMPRODUCT(INDEX(PortfolioRef[[SPY]:[PE]],MATCH(NW$1,PortfolioRef[Reference '#]),0),AssetMonthlyReturns[[#This Row],[SPY]:[PE]])</f>
        <v>1.8223489521927896E-2</v>
      </c>
      <c r="NX104" s="27">
        <f>IF(ISNUMBER(NX103),NX103*(1+PortfolioFrontier[[#This Row],[P97 Return]]),1+PortfolioFrontier[[#This Row],[P97 Return]])</f>
        <v>1.6888492200144778</v>
      </c>
      <c r="NY104" s="27">
        <f>MAX(NY103,PortfolioFrontier[[#This Row],[P97 Growth]])</f>
        <v>1.6888492200144778</v>
      </c>
      <c r="NZ104" s="27">
        <f>PortfolioFrontier[[#This Row],[P97 Growth]]/PortfolioFrontier[[#This Row],[P97 HWM]]-1</f>
        <v>0</v>
      </c>
      <c r="OA104" s="28">
        <f>SUMPRODUCT(INDEX(PortfolioRef[[SPY]:[PE]],MATCH(OA$1,PortfolioRef[Reference '#]),0),AssetMonthlyReturns[[#This Row],[SPY]:[PE]])</f>
        <v>2.0103785740410839E-2</v>
      </c>
      <c r="OB104" s="27">
        <f>IF(ISNUMBER(OB103),OB103*(1+PortfolioFrontier[[#This Row],[P98 Return]]),1+PortfolioFrontier[[#This Row],[P98 Return]])</f>
        <v>1.7398849794248417</v>
      </c>
      <c r="OC104" s="27">
        <f>MAX(OC103,PortfolioFrontier[[#This Row],[P98 Growth]])</f>
        <v>1.7398849794248417</v>
      </c>
      <c r="OD104" s="27">
        <f>PortfolioFrontier[[#This Row],[P98 Growth]]/PortfolioFrontier[[#This Row],[P98 HWM]]-1</f>
        <v>0</v>
      </c>
      <c r="OE104" s="28">
        <f>SUMPRODUCT(INDEX(PortfolioRef[[SPY]:[PE]],MATCH(OE$1,PortfolioRef[Reference '#]),0),AssetMonthlyReturns[[#This Row],[SPY]:[PE]])</f>
        <v>1.8762980813460974E-2</v>
      </c>
      <c r="OF104" s="27">
        <f>IF(ISNUMBER(OF103),OF103*(1+PortfolioFrontier[[#This Row],[P99 Return]]),1+PortfolioFrontier[[#This Row],[P99 Return]])</f>
        <v>1.725473453332343</v>
      </c>
      <c r="OG104" s="27">
        <f>MAX(OG103,PortfolioFrontier[[#This Row],[P99 Growth]])</f>
        <v>1.725473453332343</v>
      </c>
      <c r="OH104" s="27">
        <f>PortfolioFrontier[[#This Row],[P99 Growth]]/PortfolioFrontier[[#This Row],[P99 HWM]]-1</f>
        <v>0</v>
      </c>
      <c r="OI104" s="28">
        <f>SUMPRODUCT(INDEX(PortfolioRef[[SPY]:[PE]],MATCH(OI$1,PortfolioRef[Reference '#]),0),AssetMonthlyReturns[[#This Row],[SPY]:[PE]])</f>
        <v>1.7698074254631147E-2</v>
      </c>
      <c r="OJ104" s="27">
        <f>IF(ISNUMBER(OJ103),OJ103*(1+PortfolioFrontier[[#This Row],[P100 Return]]),1+PortfolioFrontier[[#This Row],[P100 Return]])</f>
        <v>1.7029425517539862</v>
      </c>
      <c r="OK104" s="27">
        <f>MAX(OK103,PortfolioFrontier[[#This Row],[P100 Growth]])</f>
        <v>1.7029425517539862</v>
      </c>
      <c r="OL104" s="27">
        <f>PortfolioFrontier[[#This Row],[P100 Growth]]/PortfolioFrontier[[#This Row],[P100 HWM]]-1</f>
        <v>0</v>
      </c>
      <c r="OM104" s="28">
        <f>SUMPRODUCT(INDEX(PortfolioRef[[SPY]:[PE]],MATCH(OM$1,PortfolioRef[Reference '#]),0),AssetMonthlyReturns[[#This Row],[SPY]:[PE]])</f>
        <v>2.1984081958893783E-2</v>
      </c>
      <c r="ON104" s="27">
        <f>IF(ISNUMBER(ON103),ON103*(1+PortfolioFrontier[[#This Row],[P101 Return]]),1+PortfolioFrontier[[#This Row],[P101 Return]])</f>
        <v>1.7919206570957118</v>
      </c>
      <c r="OO104" s="27">
        <f>MAX(OO103,PortfolioFrontier[[#This Row],[P101 Growth]])</f>
        <v>1.7919206570957118</v>
      </c>
      <c r="OP104" s="27">
        <f>PortfolioFrontier[[#This Row],[P101 Growth]]/PortfolioFrontier[[#This Row],[P101 HWM]]-1</f>
        <v>0</v>
      </c>
      <c r="OQ104" s="28">
        <f>SUMPRODUCT(INDEX(PortfolioRef[[SPY]:[PE]],MATCH(OQ$1,PortfolioRef[Reference '#]),0),AssetMonthlyReturns[[#This Row],[SPY]:[PE]])</f>
        <v>2.0643277031943918E-2</v>
      </c>
      <c r="OR104" s="27">
        <f>IF(ISNUMBER(OR103),OR103*(1+PortfolioFrontier[[#This Row],[P102 Return]]),1+PortfolioFrontier[[#This Row],[P102 Return]])</f>
        <v>1.7775865563304345</v>
      </c>
      <c r="OS104" s="27">
        <f>MAX(OS103,PortfolioFrontier[[#This Row],[P102 Growth]])</f>
        <v>1.7775865563304345</v>
      </c>
      <c r="OT104" s="27">
        <f>PortfolioFrontier[[#This Row],[P102 Growth]]/PortfolioFrontier[[#This Row],[P102 HWM]]-1</f>
        <v>0</v>
      </c>
      <c r="OU104" s="28">
        <f>SUMPRODUCT(INDEX(PortfolioRef[[SPY]:[PE]],MATCH(OU$1,PortfolioRef[Reference '#]),0),AssetMonthlyReturns[[#This Row],[SPY]:[PE]])</f>
        <v>1.9578370473114091E-2</v>
      </c>
      <c r="OV104" s="27">
        <f>IF(ISNUMBER(OV103),OV103*(1+PortfolioFrontier[[#This Row],[P103 Return]]),1+PortfolioFrontier[[#This Row],[P103 Return]])</f>
        <v>1.7543982843239156</v>
      </c>
      <c r="OW104" s="27">
        <f>MAX(OW103,PortfolioFrontier[[#This Row],[P103 Growth]])</f>
        <v>1.7543982843239156</v>
      </c>
      <c r="OX104" s="27">
        <f>PortfolioFrontier[[#This Row],[P103 Growth]]/PortfolioFrontier[[#This Row],[P103 HWM]]-1</f>
        <v>0</v>
      </c>
      <c r="OY104" s="28">
        <f>SUMPRODUCT(INDEX(PortfolioRef[[SPY]:[PE]],MATCH(OY$1,PortfolioRef[Reference '#]),0),AssetMonthlyReturns[[#This Row],[SPY]:[PE]])</f>
        <v>1.9302472104994049E-2</v>
      </c>
      <c r="OZ104" s="27">
        <f>IF(ISNUMBER(OZ103),OZ103*(1+PortfolioFrontier[[#This Row],[P104 Return]]),1+PortfolioFrontier[[#This Row],[P104 Return]])</f>
        <v>1.7618847908920674</v>
      </c>
      <c r="PA104" s="27">
        <f>MAX(PA103,PortfolioFrontier[[#This Row],[P104 Growth]])</f>
        <v>1.7618847908920674</v>
      </c>
      <c r="PB104" s="27">
        <f>PortfolioFrontier[[#This Row],[P104 Growth]]/PortfolioFrontier[[#This Row],[P104 HWM]]-1</f>
        <v>0</v>
      </c>
      <c r="PC104" s="28">
        <f>SUMPRODUCT(INDEX(PortfolioRef[[SPY]:[PE]],MATCH(PC$1,PortfolioRef[Reference '#]),0),AssetMonthlyReturns[[#This Row],[SPY]:[PE]])</f>
        <v>1.8237565546164226E-2</v>
      </c>
      <c r="PD104" s="27">
        <f>IF(ISNUMBER(PD103),PD103*(1+PortfolioFrontier[[#This Row],[P105 Return]]),1+PortfolioFrontier[[#This Row],[P105 Return]])</f>
        <v>1.7399679228087475</v>
      </c>
      <c r="PE104" s="27">
        <f>MAX(PE103,PortfolioFrontier[[#This Row],[P105 Growth]])</f>
        <v>1.7399679228087475</v>
      </c>
      <c r="PF104" s="27">
        <f>PortfolioFrontier[[#This Row],[P105 Growth]]/PortfolioFrontier[[#This Row],[P105 HWM]]-1</f>
        <v>0</v>
      </c>
      <c r="PG104" s="28">
        <f>SUMPRODUCT(INDEX(PortfolioRef[[SPY]:[PE]],MATCH(PG$1,PortfolioRef[Reference '#]),0),AssetMonthlyReturns[[#This Row],[SPY]:[PE]])</f>
        <v>1.7172658987334395E-2</v>
      </c>
      <c r="PH104" s="27">
        <f>IF(ISNUMBER(PH103),PH103*(1+PortfolioFrontier[[#This Row],[P106 Return]]),1+PortfolioFrontier[[#This Row],[P106 Return]])</f>
        <v>1.7169174688885174</v>
      </c>
      <c r="PI104" s="27">
        <f>MAX(PI103,PortfolioFrontier[[#This Row],[P106 Growth]])</f>
        <v>1.7169174688885174</v>
      </c>
      <c r="PJ104" s="27">
        <f>PortfolioFrontier[[#This Row],[P106 Growth]]/PortfolioFrontier[[#This Row],[P106 HWM]]-1</f>
        <v>0</v>
      </c>
      <c r="PK104" s="28">
        <f>SUMPRODUCT(INDEX(PortfolioRef[[SPY]:[PE]],MATCH(PK$1,PortfolioRef[Reference '#]),0),AssetMonthlyReturns[[#This Row],[SPY]:[PE]])</f>
        <v>2.2523573250426861E-2</v>
      </c>
      <c r="PL104" s="27">
        <f>IF(ISNUMBER(PL103),PL103*(1+PortfolioFrontier[[#This Row],[P107 Return]]),1+PortfolioFrontier[[#This Row],[P107 Return]])</f>
        <v>1.8307200590487522</v>
      </c>
      <c r="PM104" s="27">
        <f>MAX(PM103,PortfolioFrontier[[#This Row],[P107 Growth]])</f>
        <v>1.8307200590487522</v>
      </c>
      <c r="PN104" s="27">
        <f>PortfolioFrontier[[#This Row],[P107 Growth]]/PortfolioFrontier[[#This Row],[P107 HWM]]-1</f>
        <v>0</v>
      </c>
      <c r="PO104" s="28">
        <f>SUMPRODUCT(INDEX(PortfolioRef[[SPY]:[PE]],MATCH(PO$1,PortfolioRef[Reference '#]),0),AssetMonthlyReturns[[#This Row],[SPY]:[PE]])</f>
        <v>2.1458666691597041E-2</v>
      </c>
      <c r="PP104" s="27">
        <f>IF(ISNUMBER(PP103),PP103*(1+PortfolioFrontier[[#This Row],[P108 Return]]),1+PortfolioFrontier[[#This Row],[P108 Return]])</f>
        <v>1.8068622689781964</v>
      </c>
      <c r="PQ104" s="27">
        <f>MAX(PQ103,PortfolioFrontier[[#This Row],[P108 Growth]])</f>
        <v>1.8068622689781964</v>
      </c>
      <c r="PR104" s="27">
        <f>PortfolioFrontier[[#This Row],[P108 Growth]]/PortfolioFrontier[[#This Row],[P108 HWM]]-1</f>
        <v>0</v>
      </c>
      <c r="PS104" s="28">
        <f>SUMPRODUCT(INDEX(PortfolioRef[[SPY]:[PE]],MATCH(PS$1,PortfolioRef[Reference '#]),0),AssetMonthlyReturns[[#This Row],[SPY]:[PE]])</f>
        <v>2.1182768323476996E-2</v>
      </c>
      <c r="PT104" s="27">
        <f>IF(ISNUMBER(PT103),PT103*(1+PortfolioFrontier[[#This Row],[P109 Return]]),1+PortfolioFrontier[[#This Row],[P109 Return]])</f>
        <v>1.8150681688144905</v>
      </c>
      <c r="PU104" s="27">
        <f>MAX(PU103,PortfolioFrontier[[#This Row],[P109 Growth]])</f>
        <v>1.8150681688144905</v>
      </c>
      <c r="PV104" s="27">
        <f>PortfolioFrontier[[#This Row],[P109 Growth]]/PortfolioFrontier[[#This Row],[P109 HWM]]-1</f>
        <v>0</v>
      </c>
      <c r="PW104" s="28">
        <f>SUMPRODUCT(INDEX(PortfolioRef[[SPY]:[PE]],MATCH(PW$1,PortfolioRef[Reference '#]),0),AssetMonthlyReturns[[#This Row],[SPY]:[PE]])</f>
        <v>2.0117861764647169E-2</v>
      </c>
      <c r="PX104" s="27">
        <f>IF(ISNUMBER(PX103),PX103*(1+PortfolioFrontier[[#This Row],[P110 Return]]),1+PortfolioFrontier[[#This Row],[P110 Return]])</f>
        <v>1.792512683863223</v>
      </c>
      <c r="PY104" s="27">
        <f>MAX(PY103,PortfolioFrontier[[#This Row],[P110 Growth]])</f>
        <v>1.792512683863223</v>
      </c>
      <c r="PZ104" s="27">
        <f>PortfolioFrontier[[#This Row],[P110 Growth]]/PortfolioFrontier[[#This Row],[P110 HWM]]-1</f>
        <v>0</v>
      </c>
      <c r="QA104" s="28">
        <f>SUMPRODUCT(INDEX(PortfolioRef[[SPY]:[PE]],MATCH(QA$1,PortfolioRef[Reference '#]),0),AssetMonthlyReturns[[#This Row],[SPY]:[PE]])</f>
        <v>1.9052955205817346E-2</v>
      </c>
      <c r="QB104" s="27">
        <f>IF(ISNUMBER(QB103),QB103*(1+PortfolioFrontier[[#This Row],[P111 Return]]),1+PortfolioFrontier[[#This Row],[P111 Return]])</f>
        <v>1.768789661383815</v>
      </c>
      <c r="QC104" s="27">
        <f>MAX(QC103,PortfolioFrontier[[#This Row],[P111 Growth]])</f>
        <v>1.768789661383815</v>
      </c>
      <c r="QD104" s="27">
        <f>PortfolioFrontier[[#This Row],[P111 Growth]]/PortfolioFrontier[[#This Row],[P111 HWM]]-1</f>
        <v>0</v>
      </c>
      <c r="QE104" s="28">
        <f>SUMPRODUCT(INDEX(PortfolioRef[[SPY]:[PE]],MATCH(QE$1,PortfolioRef[Reference '#]),0),AssetMonthlyReturns[[#This Row],[SPY]:[PE]])</f>
        <v>1.9841963396527128E-2</v>
      </c>
      <c r="QF104" s="27">
        <f>IF(ISNUMBER(QF103),QF103*(1+PortfolioFrontier[[#This Row],[P112 Return]]),1+PortfolioFrontier[[#This Row],[P112 Return]])</f>
        <v>1.7980333984822745</v>
      </c>
      <c r="QG104" s="27">
        <f>MAX(QG103,PortfolioFrontier[[#This Row],[P112 Growth]])</f>
        <v>1.7980333984822745</v>
      </c>
      <c r="QH104" s="27">
        <f>PortfolioFrontier[[#This Row],[P112 Growth]]/PortfolioFrontier[[#This Row],[P112 HWM]]-1</f>
        <v>0</v>
      </c>
      <c r="QI104" s="28">
        <f>SUMPRODUCT(INDEX(PortfolioRef[[SPY]:[PE]],MATCH(QI$1,PortfolioRef[Reference '#]),0),AssetMonthlyReturns[[#This Row],[SPY]:[PE]])</f>
        <v>1.8777056837697304E-2</v>
      </c>
      <c r="QJ104" s="27">
        <f>IF(ISNUMBER(QJ103),QJ103*(1+PortfolioFrontier[[#This Row],[P113 Return]]),1+PortfolioFrontier[[#This Row],[P113 Return]])</f>
        <v>1.776782801998219</v>
      </c>
      <c r="QK104" s="27">
        <f>MAX(QK103,PortfolioFrontier[[#This Row],[P113 Growth]])</f>
        <v>1.776782801998219</v>
      </c>
      <c r="QL104" s="27">
        <f>PortfolioFrontier[[#This Row],[P113 Growth]]/PortfolioFrontier[[#This Row],[P113 HWM]]-1</f>
        <v>0</v>
      </c>
      <c r="QM104" s="28">
        <f>SUMPRODUCT(INDEX(PortfolioRef[[SPY]:[PE]],MATCH(QM$1,PortfolioRef[Reference '#]),0),AssetMonthlyReturns[[#This Row],[SPY]:[PE]])</f>
        <v>1.7712150278867474E-2</v>
      </c>
      <c r="QN104" s="27">
        <f>IF(ISNUMBER(QN103),QN103*(1+PortfolioFrontier[[#This Row],[P114 Return]]),1+PortfolioFrontier[[#This Row],[P114 Return]])</f>
        <v>1.7543430592919009</v>
      </c>
      <c r="QO104" s="27">
        <f>MAX(QO103,PortfolioFrontier[[#This Row],[P114 Growth]])</f>
        <v>1.7543430592919009</v>
      </c>
      <c r="QP104" s="27">
        <f>PortfolioFrontier[[#This Row],[P114 Growth]]/PortfolioFrontier[[#This Row],[P114 HWM]]-1</f>
        <v>0</v>
      </c>
      <c r="QQ104" s="28">
        <f>SUMPRODUCT(INDEX(PortfolioRef[[SPY]:[PE]],MATCH(QQ$1,PortfolioRef[Reference '#]),0),AssetMonthlyReturns[[#This Row],[SPY]:[PE]])</f>
        <v>2.3063064541959943E-2</v>
      </c>
      <c r="QR104" s="27">
        <f>IF(ISNUMBER(QR103),QR103*(1+PortfolioFrontier[[#This Row],[P115 Return]]),1+PortfolioFrontier[[#This Row],[P115 Return]])</f>
        <v>1.869292275595303</v>
      </c>
      <c r="QS104" s="27">
        <f>MAX(QS103,PortfolioFrontier[[#This Row],[P115 Growth]])</f>
        <v>1.869292275595303</v>
      </c>
      <c r="QT104" s="27">
        <f>PortfolioFrontier[[#This Row],[P115 Growth]]/PortfolioFrontier[[#This Row],[P115 HWM]]-1</f>
        <v>0</v>
      </c>
      <c r="QU104" s="28">
        <f>SUMPRODUCT(INDEX(PortfolioRef[[SPY]:[PE]],MATCH(QU$1,PortfolioRef[Reference '#]),0),AssetMonthlyReturns[[#This Row],[SPY]:[PE]])</f>
        <v>2.199815798313012E-2</v>
      </c>
      <c r="QV104" s="27">
        <f>IF(ISNUMBER(QV103),QV103*(1+PortfolioFrontier[[#This Row],[P116 Return]]),1+PortfolioFrontier[[#This Row],[P116 Return]])</f>
        <v>1.8460864031538562</v>
      </c>
      <c r="QW104" s="27">
        <f>MAX(QW103,PortfolioFrontier[[#This Row],[P116 Growth]])</f>
        <v>1.8460864031538562</v>
      </c>
      <c r="QX104" s="27">
        <f>PortfolioFrontier[[#This Row],[P116 Growth]]/PortfolioFrontier[[#This Row],[P116 HWM]]-1</f>
        <v>0</v>
      </c>
      <c r="QY104" s="28">
        <f>SUMPRODUCT(INDEX(PortfolioRef[[SPY]:[PE]],MATCH(QY$1,PortfolioRef[Reference '#]),0),AssetMonthlyReturns[[#This Row],[SPY]:[PE]])</f>
        <v>2.0933251424300289E-2</v>
      </c>
      <c r="QZ104" s="27">
        <f>IF(ISNUMBER(QZ103),QZ103*(1+PortfolioFrontier[[#This Row],[P117 Return]]),1+PortfolioFrontier[[#This Row],[P117 Return]])</f>
        <v>1.8216783752783949</v>
      </c>
      <c r="RA104" s="27">
        <f>MAX(RA103,PortfolioFrontier[[#This Row],[P117 Growth]])</f>
        <v>1.8216783752783949</v>
      </c>
      <c r="RB104" s="27">
        <f>PortfolioFrontier[[#This Row],[P117 Growth]]/PortfolioFrontier[[#This Row],[P117 HWM]]-1</f>
        <v>0</v>
      </c>
      <c r="RC104" s="28">
        <f>SUMPRODUCT(INDEX(PortfolioRef[[SPY]:[PE]],MATCH(RC$1,PortfolioRef[Reference '#]),0),AssetMonthlyReturns[[#This Row],[SPY]:[PE]])</f>
        <v>2.1722259615010075E-2</v>
      </c>
      <c r="RD104" s="27">
        <f>IF(ISNUMBER(RD103),RD103*(1+PortfolioFrontier[[#This Row],[P118 Return]]),1+PortfolioFrontier[[#This Row],[P118 Return]])</f>
        <v>1.8522785275129046</v>
      </c>
      <c r="RE104" s="27">
        <f>MAX(RE103,PortfolioFrontier[[#This Row],[P118 Growth]])</f>
        <v>1.8522785275129046</v>
      </c>
      <c r="RF104" s="27">
        <f>PortfolioFrontier[[#This Row],[P118 Growth]]/PortfolioFrontier[[#This Row],[P118 HWM]]-1</f>
        <v>0</v>
      </c>
      <c r="RG104" s="28">
        <f>SUMPRODUCT(INDEX(PortfolioRef[[SPY]:[PE]],MATCH(RG$1,PortfolioRef[Reference '#]),0),AssetMonthlyReturns[[#This Row],[SPY]:[PE]])</f>
        <v>2.0657353056180251E-2</v>
      </c>
      <c r="RH104" s="27">
        <f>IF(ISNUMBER(RH103),RH103*(1+PortfolioFrontier[[#This Row],[P119 Return]]),1+PortfolioFrontier[[#This Row],[P119 Return]])</f>
        <v>1.8304095854316462</v>
      </c>
      <c r="RI104" s="27">
        <f>MAX(RI103,PortfolioFrontier[[#This Row],[P119 Growth]])</f>
        <v>1.8304095854316462</v>
      </c>
      <c r="RJ104" s="27">
        <f>PortfolioFrontier[[#This Row],[P119 Growth]]/PortfolioFrontier[[#This Row],[P119 HWM]]-1</f>
        <v>0</v>
      </c>
      <c r="RK104" s="28">
        <f>SUMPRODUCT(INDEX(PortfolioRef[[SPY]:[PE]],MATCH(RK$1,PortfolioRef[Reference '#]),0),AssetMonthlyReturns[[#This Row],[SPY]:[PE]])</f>
        <v>1.9592446497350424E-2</v>
      </c>
      <c r="RL104" s="27">
        <f>IF(ISNUMBER(RL103),RL103*(1+PortfolioFrontier[[#This Row],[P120 Return]]),1+PortfolioFrontier[[#This Row],[P120 Return]])</f>
        <v>1.8073159392160967</v>
      </c>
      <c r="RM104" s="27">
        <f>MAX(RM103,PortfolioFrontier[[#This Row],[P120 Growth]])</f>
        <v>1.8073159392160967</v>
      </c>
      <c r="RN104" s="27">
        <f>PortfolioFrontier[[#This Row],[P120 Growth]]/PortfolioFrontier[[#This Row],[P120 HWM]]-1</f>
        <v>0</v>
      </c>
      <c r="RO104" s="28">
        <f>SUMPRODUCT(INDEX(PortfolioRef[[SPY]:[PE]],MATCH(RO$1,PortfolioRef[Reference '#]),0),AssetMonthlyReturns[[#This Row],[SPY]:[PE]])</f>
        <v>2.0381454688060206E-2</v>
      </c>
      <c r="RP104" s="27">
        <f>IF(ISNUMBER(RP103),RP103*(1+PortfolioFrontier[[#This Row],[P121 Return]]),1+PortfolioFrontier[[#This Row],[P121 Return]])</f>
        <v>1.8338684538126138</v>
      </c>
      <c r="RQ104" s="27">
        <f>MAX(RQ103,PortfolioFrontier[[#This Row],[P121 Growth]])</f>
        <v>1.8338684538126138</v>
      </c>
      <c r="RR104" s="27">
        <f>PortfolioFrontier[[#This Row],[P121 Growth]]/PortfolioFrontier[[#This Row],[P121 HWM]]-1</f>
        <v>0</v>
      </c>
      <c r="RS104" s="28">
        <f>SUMPRODUCT(INDEX(PortfolioRef[[SPY]:[PE]],MATCH(RS$1,PortfolioRef[Reference '#]),0),AssetMonthlyReturns[[#This Row],[SPY]:[PE]])</f>
        <v>1.9316548129230383E-2</v>
      </c>
      <c r="RT104" s="27">
        <f>IF(ISNUMBER(RT103),RT103*(1+PortfolioFrontier[[#This Row],[P122 Return]]),1+PortfolioFrontier[[#This Row],[P122 Return]])</f>
        <v>1.8133369198336688</v>
      </c>
      <c r="RU104" s="27">
        <f>MAX(RU103,PortfolioFrontier[[#This Row],[P122 Growth]])</f>
        <v>1.8133369198336688</v>
      </c>
      <c r="RV104" s="27">
        <f>PortfolioFrontier[[#This Row],[P122 Growth]]/PortfolioFrontier[[#This Row],[P122 HWM]]-1</f>
        <v>0</v>
      </c>
      <c r="RW104" s="28">
        <f>SUMPRODUCT(INDEX(PortfolioRef[[SPY]:[PE]],MATCH(RW$1,PortfolioRef[Reference '#]),0),AssetMonthlyReturns[[#This Row],[SPY]:[PE]])</f>
        <v>1.8251641570400556E-2</v>
      </c>
      <c r="RX104" s="27">
        <f>IF(ISNUMBER(RX103),RX103*(1+PortfolioFrontier[[#This Row],[P123 Return]]),1+PortfolioFrontier[[#This Row],[P123 Return]])</f>
        <v>1.7915606489922731</v>
      </c>
      <c r="RY104" s="27">
        <f>MAX(RY103,PortfolioFrontier[[#This Row],[P123 Growth]])</f>
        <v>1.7915606489922731</v>
      </c>
      <c r="RZ104" s="27">
        <f>PortfolioFrontier[[#This Row],[P123 Growth]]/PortfolioFrontier[[#This Row],[P123 HWM]]-1</f>
        <v>0</v>
      </c>
      <c r="SA104" s="28">
        <f>SUMPRODUCT(INDEX(PortfolioRef[[SPY]:[PE]],MATCH(SA$1,PortfolioRef[Reference '#]),0),AssetMonthlyReturns[[#This Row],[SPY]:[PE]])</f>
        <v>2.3602555833493022E-2</v>
      </c>
      <c r="SB104" s="27">
        <f>IF(ISNUMBER(SB103),SB103*(1+PortfolioFrontier[[#This Row],[P124 Return]]),1+PortfolioFrontier[[#This Row],[P124 Return]])</f>
        <v>1.9075845347781151</v>
      </c>
      <c r="SC104" s="27">
        <f>MAX(SC103,PortfolioFrontier[[#This Row],[P124 Growth]])</f>
        <v>1.9075845347781151</v>
      </c>
      <c r="SD104" s="27">
        <f>PortfolioFrontier[[#This Row],[P124 Growth]]/PortfolioFrontier[[#This Row],[P124 HWM]]-1</f>
        <v>0</v>
      </c>
      <c r="SE104" s="28">
        <f>SUMPRODUCT(INDEX(PortfolioRef[[SPY]:[PE]],MATCH(SE$1,PortfolioRef[Reference '#]),0),AssetMonthlyReturns[[#This Row],[SPY]:[PE]])</f>
        <v>2.2537649274663198E-2</v>
      </c>
      <c r="SF104" s="27">
        <f>IF(ISNUMBER(SF103),SF103*(1+PortfolioFrontier[[#This Row],[P125 Return]]),1+PortfolioFrontier[[#This Row],[P125 Return]])</f>
        <v>1.8850858819126448</v>
      </c>
      <c r="SG104" s="27">
        <f>MAX(SG103,PortfolioFrontier[[#This Row],[P125 Growth]])</f>
        <v>1.8850858819126448</v>
      </c>
      <c r="SH104" s="27">
        <f>PortfolioFrontier[[#This Row],[P125 Growth]]/PortfolioFrontier[[#This Row],[P125 HWM]]-1</f>
        <v>0</v>
      </c>
      <c r="SI104" s="28">
        <f>SUMPRODUCT(INDEX(PortfolioRef[[SPY]:[PE]],MATCH(SI$1,PortfolioRef[Reference '#]),0),AssetMonthlyReturns[[#This Row],[SPY]:[PE]])</f>
        <v>2.1472742715833368E-2</v>
      </c>
      <c r="SJ104" s="27">
        <f>IF(ISNUMBER(SJ103),SJ103*(1+PortfolioFrontier[[#This Row],[P126 Return]]),1+PortfolioFrontier[[#This Row],[P126 Return]])</f>
        <v>1.8613262710018585</v>
      </c>
      <c r="SK104" s="27">
        <f>MAX(SK103,PortfolioFrontier[[#This Row],[P126 Growth]])</f>
        <v>1.8613262710018585</v>
      </c>
      <c r="SL104" s="27">
        <f>PortfolioFrontier[[#This Row],[P126 Growth]]/PortfolioFrontier[[#This Row],[P126 HWM]]-1</f>
        <v>0</v>
      </c>
      <c r="SM104" s="28">
        <f>SUMPRODUCT(INDEX(PortfolioRef[[SPY]:[PE]],MATCH(SM$1,PortfolioRef[Reference '#]),0),AssetMonthlyReturns[[#This Row],[SPY]:[PE]])</f>
        <v>2.2261750906543153E-2</v>
      </c>
      <c r="SN104" s="27">
        <f>IF(ISNUMBER(SN103),SN103*(1+PortfolioFrontier[[#This Row],[P127 Return]]),1+PortfolioFrontier[[#This Row],[P127 Return]])</f>
        <v>1.8891653282049421</v>
      </c>
      <c r="SO104" s="27">
        <f>MAX(SO103,PortfolioFrontier[[#This Row],[P127 Growth]])</f>
        <v>1.8891653282049421</v>
      </c>
      <c r="SP104" s="27">
        <f>PortfolioFrontier[[#This Row],[P127 Growth]]/PortfolioFrontier[[#This Row],[P127 HWM]]-1</f>
        <v>0</v>
      </c>
      <c r="SQ104" s="28">
        <f>SUMPRODUCT(INDEX(PortfolioRef[[SPY]:[PE]],MATCH(SQ$1,PortfolioRef[Reference '#]),0),AssetMonthlyReturns[[#This Row],[SPY]:[PE]])</f>
        <v>2.119684434771333E-2</v>
      </c>
      <c r="SR104" s="27">
        <f>IF(ISNUMBER(SR103),SR103*(1+PortfolioFrontier[[#This Row],[P128 Return]]),1+PortfolioFrontier[[#This Row],[P128 Return]])</f>
        <v>1.8680372517749309</v>
      </c>
      <c r="SS104" s="27">
        <f>MAX(SS103,PortfolioFrontier[[#This Row],[P128 Growth]])</f>
        <v>1.8680372517749309</v>
      </c>
      <c r="ST104" s="27">
        <f>PortfolioFrontier[[#This Row],[P128 Growth]]/PortfolioFrontier[[#This Row],[P128 HWM]]-1</f>
        <v>0</v>
      </c>
      <c r="SU104" s="28">
        <f>SUMPRODUCT(INDEX(PortfolioRef[[SPY]:[PE]],MATCH(SU$1,PortfolioRef[Reference '#]),0),AssetMonthlyReturns[[#This Row],[SPY]:[PE]])</f>
        <v>2.0131937788883503E-2</v>
      </c>
      <c r="SV104" s="27">
        <f>IF(ISNUMBER(SV103),SV103*(1+PortfolioFrontier[[#This Row],[P129 Return]]),1+PortfolioFrontier[[#This Row],[P129 Return]])</f>
        <v>1.8456272753554839</v>
      </c>
      <c r="SW104" s="27">
        <f>MAX(SW103,PortfolioFrontier[[#This Row],[P129 Growth]])</f>
        <v>1.8456272753554839</v>
      </c>
      <c r="SX104" s="27">
        <f>PortfolioFrontier[[#This Row],[P129 Growth]]/PortfolioFrontier[[#This Row],[P129 HWM]]-1</f>
        <v>0</v>
      </c>
      <c r="SY104" s="28">
        <f>SUMPRODUCT(INDEX(PortfolioRef[[SPY]:[PE]],MATCH(SY$1,PortfolioRef[Reference '#]),0),AssetMonthlyReturns[[#This Row],[SPY]:[PE]])</f>
        <v>2.0920945979593285E-2</v>
      </c>
      <c r="SZ104" s="27">
        <f>IF(ISNUMBER(SZ103),SZ103*(1+PortfolioFrontier[[#This Row],[P130 Return]]),1+PortfolioFrontier[[#This Row],[P130 Return]])</f>
        <v>1.8693382252609079</v>
      </c>
      <c r="TA104" s="27">
        <f>MAX(TA103,PortfolioFrontier[[#This Row],[P130 Growth]])</f>
        <v>1.8693382252609079</v>
      </c>
      <c r="TB104" s="27">
        <f>PortfolioFrontier[[#This Row],[P130 Growth]]/PortfolioFrontier[[#This Row],[P130 HWM]]-1</f>
        <v>0</v>
      </c>
      <c r="TC104" s="28">
        <f>SUMPRODUCT(INDEX(PortfolioRef[[SPY]:[PE]],MATCH(TC$1,PortfolioRef[Reference '#]),0),AssetMonthlyReturns[[#This Row],[SPY]:[PE]])</f>
        <v>1.9856039420763461E-2</v>
      </c>
      <c r="TD104" s="27">
        <f>IF(ISNUMBER(TD103),TD103*(1+PortfolioFrontier[[#This Row],[P131 Return]]),1+PortfolioFrontier[[#This Row],[P131 Return]])</f>
        <v>1.8495790007252586</v>
      </c>
      <c r="TE104" s="27">
        <f>MAX(TE103,PortfolioFrontier[[#This Row],[P131 Growth]])</f>
        <v>1.8495790007252586</v>
      </c>
      <c r="TF104" s="27">
        <f>PortfolioFrontier[[#This Row],[P131 Growth]]/PortfolioFrontier[[#This Row],[P131 HWM]]-1</f>
        <v>0</v>
      </c>
      <c r="TG104" s="28">
        <f>SUMPRODUCT(INDEX(PortfolioRef[[SPY]:[PE]],MATCH(TG$1,PortfolioRef[Reference '#]),0),AssetMonthlyReturns[[#This Row],[SPY]:[PE]])</f>
        <v>1.8791132861933634E-2</v>
      </c>
      <c r="TH104" s="27">
        <f>IF(ISNUMBER(TH103),TH103*(1+PortfolioFrontier[[#This Row],[P132 Return]]),1+PortfolioFrontier[[#This Row],[P132 Return]])</f>
        <v>1.8285195363540303</v>
      </c>
      <c r="TI104" s="27">
        <f>MAX(TI103,PortfolioFrontier[[#This Row],[P132 Growth]])</f>
        <v>1.8285195363540303</v>
      </c>
      <c r="TJ104" s="27">
        <f>PortfolioFrontier[[#This Row],[P132 Growth]]/PortfolioFrontier[[#This Row],[P132 HWM]]-1</f>
        <v>0</v>
      </c>
      <c r="TK104" s="28">
        <f>SUMPRODUCT(INDEX(PortfolioRef[[SPY]:[PE]],MATCH(TK$1,PortfolioRef[Reference '#]),0),AssetMonthlyReturns[[#This Row],[SPY]:[PE]])</f>
        <v>2.41420471250261E-2</v>
      </c>
      <c r="TL104" s="27">
        <f>IF(ISNUMBER(TL103),TL103*(1+PortfolioFrontier[[#This Row],[P133 Return]]),1+PortfolioFrontier[[#This Row],[P133 Return]])</f>
        <v>1.9455430225502335</v>
      </c>
      <c r="TM104" s="27">
        <f>MAX(TM103,PortfolioFrontier[[#This Row],[P133 Growth]])</f>
        <v>1.9455430225502335</v>
      </c>
      <c r="TN104" s="27">
        <f>PortfolioFrontier[[#This Row],[P133 Growth]]/PortfolioFrontier[[#This Row],[P133 HWM]]-1</f>
        <v>0</v>
      </c>
      <c r="TO104" s="28">
        <f>SUMPRODUCT(INDEX(PortfolioRef[[SPY]:[PE]],MATCH(TO$1,PortfolioRef[Reference '#]),0),AssetMonthlyReturns[[#This Row],[SPY]:[PE]])</f>
        <v>2.3077140566196277E-2</v>
      </c>
      <c r="TP104" s="27">
        <f>IF(ISNUMBER(TP103),TP103*(1+PortfolioFrontier[[#This Row],[P134 Return]]),1+PortfolioFrontier[[#This Row],[P134 Return]])</f>
        <v>1.9238074725515419</v>
      </c>
      <c r="TQ104" s="27">
        <f>MAX(TQ103,PortfolioFrontier[[#This Row],[P134 Growth]])</f>
        <v>1.9238074725515419</v>
      </c>
      <c r="TR104" s="27">
        <f>PortfolioFrontier[[#This Row],[P134 Growth]]/PortfolioFrontier[[#This Row],[P134 HWM]]-1</f>
        <v>0</v>
      </c>
      <c r="TS104" s="28">
        <f>SUMPRODUCT(INDEX(PortfolioRef[[SPY]:[PE]],MATCH(TS$1,PortfolioRef[Reference '#]),0),AssetMonthlyReturns[[#This Row],[SPY]:[PE]])</f>
        <v>2.201223400736645E-2</v>
      </c>
      <c r="TT104" s="27">
        <f>IF(ISNUMBER(TT103),TT103*(1+PortfolioFrontier[[#This Row],[P135 Return]]),1+PortfolioFrontier[[#This Row],[P135 Return]])</f>
        <v>1.900752133732641</v>
      </c>
      <c r="TU104" s="27">
        <f>MAX(TU103,PortfolioFrontier[[#This Row],[P135 Growth]])</f>
        <v>1.900752133732641</v>
      </c>
      <c r="TV104" s="27">
        <f>PortfolioFrontier[[#This Row],[P135 Growth]]/PortfolioFrontier[[#This Row],[P135 HWM]]-1</f>
        <v>0</v>
      </c>
      <c r="TW104" s="28">
        <f>SUMPRODUCT(INDEX(PortfolioRef[[SPY]:[PE]],MATCH(TW$1,PortfolioRef[Reference '#]),0),AssetMonthlyReturns[[#This Row],[SPY]:[PE]])</f>
        <v>2.2801242198076232E-2</v>
      </c>
      <c r="TX104" s="27">
        <f>IF(ISNUMBER(TX103),TX103*(1+PortfolioFrontier[[#This Row],[P136 Return]]),1+PortfolioFrontier[[#This Row],[P136 Return]])</f>
        <v>1.9256753328696599</v>
      </c>
      <c r="TY104" s="27">
        <f>MAX(TY103,PortfolioFrontier[[#This Row],[P136 Growth]])</f>
        <v>1.9256753328696599</v>
      </c>
      <c r="TZ104" s="27">
        <f>PortfolioFrontier[[#This Row],[P136 Growth]]/PortfolioFrontier[[#This Row],[P136 HWM]]-1</f>
        <v>0</v>
      </c>
      <c r="UA104" s="28">
        <f>SUMPRODUCT(INDEX(PortfolioRef[[SPY]:[PE]],MATCH(UA$1,PortfolioRef[Reference '#]),0),AssetMonthlyReturns[[#This Row],[SPY]:[PE]])</f>
        <v>2.1736335639246405E-2</v>
      </c>
      <c r="UB104" s="27">
        <f>IF(ISNUMBER(UB103),UB103*(1+PortfolioFrontier[[#This Row],[P137 Return]]),1+PortfolioFrontier[[#This Row],[P137 Return]])</f>
        <v>1.9053429122616012</v>
      </c>
      <c r="UC104" s="27">
        <f>MAX(UC103,PortfolioFrontier[[#This Row],[P137 Growth]])</f>
        <v>1.9053429122616012</v>
      </c>
      <c r="UD104" s="27">
        <f>PortfolioFrontier[[#This Row],[P137 Growth]]/PortfolioFrontier[[#This Row],[P137 HWM]]-1</f>
        <v>0</v>
      </c>
      <c r="UE104" s="28">
        <f>SUMPRODUCT(INDEX(PortfolioRef[[SPY]:[PE]],MATCH(UE$1,PortfolioRef[Reference '#]),0),AssetMonthlyReturns[[#This Row],[SPY]:[PE]])</f>
        <v>2.0671429080416581E-2</v>
      </c>
      <c r="UF104" s="27">
        <f>IF(ISNUMBER(UF103),UF103*(1+PortfolioFrontier[[#This Row],[P138 Return]]),1+PortfolioFrontier[[#This Row],[P138 Return]])</f>
        <v>1.8836714878767973</v>
      </c>
      <c r="UG104" s="27">
        <f>MAX(UG103,PortfolioFrontier[[#This Row],[P138 Growth]])</f>
        <v>1.8836714878767973</v>
      </c>
      <c r="UH104" s="27">
        <f>PortfolioFrontier[[#This Row],[P138 Growth]]/PortfolioFrontier[[#This Row],[P138 HWM]]-1</f>
        <v>0</v>
      </c>
      <c r="UI104" s="28">
        <f>SUMPRODUCT(INDEX(PortfolioRef[[SPY]:[PE]],MATCH(UI$1,PortfolioRef[Reference '#]),0),AssetMonthlyReturns[[#This Row],[SPY]:[PE]])</f>
        <v>2.1460437271126367E-2</v>
      </c>
      <c r="UJ104" s="27">
        <f>IF(ISNUMBER(UJ103),UJ103*(1+PortfolioFrontier[[#This Row],[P139 Return]]),1+PortfolioFrontier[[#This Row],[P139 Return]])</f>
        <v>1.9043901553236906</v>
      </c>
      <c r="UK104" s="27">
        <f>MAX(UK103,PortfolioFrontier[[#This Row],[P139 Growth]])</f>
        <v>1.9043901553236906</v>
      </c>
      <c r="UL104" s="27">
        <f>PortfolioFrontier[[#This Row],[P139 Growth]]/PortfolioFrontier[[#This Row],[P139 HWM]]-1</f>
        <v>0</v>
      </c>
      <c r="UM104" s="28">
        <f>SUMPRODUCT(INDEX(PortfolioRef[[SPY]:[PE]],MATCH(UM$1,PortfolioRef[Reference '#]),0),AssetMonthlyReturns[[#This Row],[SPY]:[PE]])</f>
        <v>2.039553071229654E-2</v>
      </c>
      <c r="UN104" s="27">
        <f>IF(ISNUMBER(UN103),UN103*(1+PortfolioFrontier[[#This Row],[P140 Return]]),1+PortfolioFrontier[[#This Row],[P140 Return]])</f>
        <v>1.8854568421311511</v>
      </c>
      <c r="UO104" s="27">
        <f>MAX(UO103,PortfolioFrontier[[#This Row],[P140 Growth]])</f>
        <v>1.8854568421311511</v>
      </c>
      <c r="UP104" s="27">
        <f>PortfolioFrontier[[#This Row],[P140 Growth]]/PortfolioFrontier[[#This Row],[P140 HWM]]-1</f>
        <v>0</v>
      </c>
      <c r="UQ104" s="28">
        <f>SUMPRODUCT(INDEX(PortfolioRef[[SPY]:[PE]],MATCH(UQ$1,PortfolioRef[Reference '#]),0),AssetMonthlyReturns[[#This Row],[SPY]:[PE]])</f>
        <v>1.9330624153466709E-2</v>
      </c>
      <c r="UR104" s="27">
        <f>IF(ISNUMBER(UR103),UR103*(1+PortfolioFrontier[[#This Row],[P141 Return]]),1+PortfolioFrontier[[#This Row],[P141 Return]])</f>
        <v>1.8651679955163056</v>
      </c>
      <c r="US104" s="27">
        <f>MAX(US103,PortfolioFrontier[[#This Row],[P141 Growth]])</f>
        <v>1.8651679955163056</v>
      </c>
      <c r="UT104" s="27">
        <f>PortfolioFrontier[[#This Row],[P141 Growth]]/PortfolioFrontier[[#This Row],[P141 HWM]]-1</f>
        <v>0</v>
      </c>
    </row>
    <row r="105" spans="2:566" x14ac:dyDescent="0.2">
      <c r="B105" s="41">
        <f>AssetMonthlyReturns[[#This Row],[Date]]</f>
        <v>45566</v>
      </c>
      <c r="C105" s="28">
        <f>SUMPRODUCT(INDEX(PortfolioRef[[SPY]:[PE]],MATCH(C$1,PortfolioRef[Reference '#]),0),AssetMonthlyReturns[[#This Row],[SPY]:[PE]])</f>
        <v>-3.8421290111738397E-3</v>
      </c>
      <c r="D105" s="29">
        <f>IF(ISNUMBER(D104),D104*(1+PortfolioFrontier[[#This Row],[P1 Return]]),1+PortfolioFrontier[[#This Row],[P1 Return]])</f>
        <v>2.3007450317636193</v>
      </c>
      <c r="E105" s="29">
        <f>MAX(E104,PortfolioFrontier[[#This Row],[P1 Growth]])</f>
        <v>2.3096188854883088</v>
      </c>
      <c r="F105" s="29">
        <f>PortfolioFrontier[[#This Row],[P1 Growth]]/PortfolioFrontier[[#This Row],[P1 HWM]]-1</f>
        <v>-3.842129011173756E-3</v>
      </c>
      <c r="G105" s="28">
        <f>SUMPRODUCT(INDEX(PortfolioRef[[SPY]:[PE]],MATCH(G$1,PortfolioRef[Reference '#]),0),AssetMonthlyReturns[[#This Row],[SPY]:[PE]])</f>
        <v>-4.8029461388306664E-3</v>
      </c>
      <c r="H105" s="27">
        <f>IF(ISNUMBER(H104),H104*(1+PortfolioFrontier[[#This Row],[P2 Return]]),1+PortfolioFrontier[[#This Row],[P2 Return]])</f>
        <v>2.1842631784449726</v>
      </c>
      <c r="I105" s="27">
        <f>MAX(I104,PortfolioFrontier[[#This Row],[P2 Growth]])</f>
        <v>2.1948047072390939</v>
      </c>
      <c r="J105" s="27">
        <f>PortfolioFrontier[[#This Row],[P2 Growth]]/PortfolioFrontier[[#This Row],[P2 HWM]]-1</f>
        <v>-4.8029461388305883E-3</v>
      </c>
      <c r="K105" s="28">
        <f>SUMPRODUCT(INDEX(PortfolioRef[[SPY]:[PE]],MATCH(K$1,PortfolioRef[Reference '#]),0),AssetMonthlyReturns[[#This Row],[SPY]:[PE]])</f>
        <v>-1.397852763983931E-3</v>
      </c>
      <c r="L105" s="27">
        <f>IF(ISNUMBER(L104),L104*(1+PortfolioFrontier[[#This Row],[P3 Return]]),1+PortfolioFrontier[[#This Row],[P3 Return]])</f>
        <v>2.2578924359674555</v>
      </c>
      <c r="M105" s="27">
        <f>MAX(M104,PortfolioFrontier[[#This Row],[P3 Growth]])</f>
        <v>2.2610530552302235</v>
      </c>
      <c r="N105" s="27">
        <f>PortfolioFrontier[[#This Row],[P3 Growth]]/PortfolioFrontier[[#This Row],[P3 HWM]]-1</f>
        <v>-1.3978527639839644E-3</v>
      </c>
      <c r="O105" s="28">
        <f>SUMPRODUCT(INDEX(PortfolioRef[[SPY]:[PE]],MATCH(O$1,PortfolioRef[Reference '#]),0),AssetMonthlyReturns[[#This Row],[SPY]:[PE]])</f>
        <v>-4.8188779836439433E-3</v>
      </c>
      <c r="P105" s="27">
        <f>IF(ISNUMBER(P104),P104*(1+PortfolioFrontier[[#This Row],[P4 Return]]),1+PortfolioFrontier[[#This Row],[P4 Return]])</f>
        <v>2.2272416568986575</v>
      </c>
      <c r="Q105" s="27">
        <f>MAX(Q104,PortfolioFrontier[[#This Row],[P4 Growth]])</f>
        <v>2.2380264332044395</v>
      </c>
      <c r="R105" s="27">
        <f>PortfolioFrontier[[#This Row],[P4 Growth]]/PortfolioFrontier[[#This Row],[P4 HWM]]-1</f>
        <v>-4.8188779836438878E-3</v>
      </c>
      <c r="S105" s="28">
        <f>SUMPRODUCT(INDEX(PortfolioRef[[SPY]:[PE]],MATCH(S$1,PortfolioRef[Reference '#]),0),AssetMonthlyReturns[[#This Row],[SPY]:[PE]])</f>
        <v>-2.843476237049503E-3</v>
      </c>
      <c r="T105" s="27">
        <f>IF(ISNUMBER(T104),T104*(1+PortfolioFrontier[[#This Row],[P5 Return]]),1+PortfolioFrontier[[#This Row],[P5 Return]])</f>
        <v>2.2067303561386704</v>
      </c>
      <c r="U105" s="27">
        <f>MAX(U104,PortfolioFrontier[[#This Row],[P5 Growth]])</f>
        <v>2.213023034549455</v>
      </c>
      <c r="V105" s="27">
        <f>PortfolioFrontier[[#This Row],[P5 Growth]]/PortfolioFrontier[[#This Row],[P5 HWM]]-1</f>
        <v>-2.8434762370495026E-3</v>
      </c>
      <c r="W105" s="28">
        <f>SUMPRODUCT(INDEX(PortfolioRef[[SPY]:[PE]],MATCH(W$1,PortfolioRef[Reference '#]),0),AssetMonthlyReturns[[#This Row],[SPY]:[PE]])</f>
        <v>-5.7637632664874934E-3</v>
      </c>
      <c r="X105" s="27">
        <f>IF(ISNUMBER(X104),X104*(1+PortfolioFrontier[[#This Row],[P6 Return]]),1+PortfolioFrontier[[#This Row],[P6 Return]])</f>
        <v>2.0726955802841811</v>
      </c>
      <c r="Y105" s="27">
        <f>MAX(Y104,PortfolioFrontier[[#This Row],[P6 Growth]])</f>
        <v>2.0847113630598142</v>
      </c>
      <c r="Z105" s="27">
        <f>PortfolioFrontier[[#This Row],[P6 Growth]]/PortfolioFrontier[[#This Row],[P6 HWM]]-1</f>
        <v>-5.7637632664874205E-3</v>
      </c>
      <c r="AA105" s="28">
        <f>SUMPRODUCT(INDEX(PortfolioRef[[SPY]:[PE]],MATCH(AA$1,PortfolioRef[Reference '#]),0),AssetMonthlyReturns[[#This Row],[SPY]:[PE]])</f>
        <v>-2.3586698916407589E-3</v>
      </c>
      <c r="AB105" s="27">
        <f>IF(ISNUMBER(AB104),AB104*(1+PortfolioFrontier[[#This Row],[P7 Return]]),1+PortfolioFrontier[[#This Row],[P7 Return]])</f>
        <v>2.1425843275073797</v>
      </c>
      <c r="AC105" s="27">
        <f>MAX(AC104,PortfolioFrontier[[#This Row],[P7 Growth]])</f>
        <v>2.1476499247226077</v>
      </c>
      <c r="AD105" s="27">
        <f>PortfolioFrontier[[#This Row],[P7 Growth]]/PortfolioFrontier[[#This Row],[P7 HWM]]-1</f>
        <v>-2.3586698916409077E-3</v>
      </c>
      <c r="AE105" s="28">
        <f>SUMPRODUCT(INDEX(PortfolioRef[[SPY]:[PE]],MATCH(AE$1,PortfolioRef[Reference '#]),0),AssetMonthlyReturns[[#This Row],[SPY]:[PE]])</f>
        <v>-5.7796951113007703E-3</v>
      </c>
      <c r="AF105" s="27">
        <f>IF(ISNUMBER(AF104),AF104*(1+PortfolioFrontier[[#This Row],[P8 Return]]),1+PortfolioFrontier[[#This Row],[P8 Return]])</f>
        <v>2.1143069193102404</v>
      </c>
      <c r="AG105" s="27">
        <f>MAX(AG104,PortfolioFrontier[[#This Row],[P8 Growth]])</f>
        <v>2.1265980074174125</v>
      </c>
      <c r="AH105" s="27">
        <f>PortfolioFrontier[[#This Row],[P8 Growth]]/PortfolioFrontier[[#This Row],[P8 HWM]]-1</f>
        <v>-5.779695111300609E-3</v>
      </c>
      <c r="AI105" s="28">
        <f>SUMPRODUCT(INDEX(PortfolioRef[[SPY]:[PE]],MATCH(AI$1,PortfolioRef[Reference '#]),0),AssetMonthlyReturns[[#This Row],[SPY]:[PE]])</f>
        <v>-3.8042933647063309E-3</v>
      </c>
      <c r="AJ105" s="27">
        <f>IF(ISNUMBER(AJ104),AJ104*(1+PortfolioFrontier[[#This Row],[P9 Return]]),1+PortfolioFrontier[[#This Row],[P9 Return]])</f>
        <v>2.0940374700254161</v>
      </c>
      <c r="AK105" s="27">
        <f>MAX(AK104,PortfolioFrontier[[#This Row],[P9 Growth]])</f>
        <v>2.1020342248795107</v>
      </c>
      <c r="AL105" s="27">
        <f>PortfolioFrontier[[#This Row],[P9 Growth]]/PortfolioFrontier[[#This Row],[P9 HWM]]-1</f>
        <v>-3.8042933647063348E-3</v>
      </c>
      <c r="AM105" s="28">
        <f>SUMPRODUCT(INDEX(PortfolioRef[[SPY]:[PE]],MATCH(AM$1,PortfolioRef[Reference '#]),0),AssetMonthlyReturns[[#This Row],[SPY]:[PE]])</f>
        <v>1.0464234832059769E-3</v>
      </c>
      <c r="AN105" s="27">
        <f>IF(ISNUMBER(AN104),AN104*(1+PortfolioFrontier[[#This Row],[P10 Return]]),1+PortfolioFrontier[[#This Row],[P10 Return]])</f>
        <v>2.2141384130225363</v>
      </c>
      <c r="AO105" s="27">
        <f>MAX(AO104,PortfolioFrontier[[#This Row],[P10 Growth]])</f>
        <v>2.2141384130225363</v>
      </c>
      <c r="AP105" s="27">
        <f>PortfolioFrontier[[#This Row],[P10 Growth]]/PortfolioFrontier[[#This Row],[P10 HWM]]-1</f>
        <v>0</v>
      </c>
      <c r="AQ105" s="28">
        <f>SUMPRODUCT(INDEX(PortfolioRef[[SPY]:[PE]],MATCH(AQ$1,PortfolioRef[Reference '#]),0),AssetMonthlyReturns[[#This Row],[SPY]:[PE]])</f>
        <v>-2.3746017364540341E-3</v>
      </c>
      <c r="AR105" s="27">
        <f>IF(ISNUMBER(AR104),AR104*(1+PortfolioFrontier[[#This Row],[P11 Return]]),1+PortfolioFrontier[[#This Row],[P11 Return]])</f>
        <v>2.1855642542446194</v>
      </c>
      <c r="AS105" s="27">
        <f>MAX(AS104,PortfolioFrontier[[#This Row],[P11 Growth]])</f>
        <v>2.1907664520658603</v>
      </c>
      <c r="AT105" s="27">
        <f>PortfolioFrontier[[#This Row],[P11 Growth]]/PortfolioFrontier[[#This Row],[P11 HWM]]-1</f>
        <v>-2.3746017364540961E-3</v>
      </c>
      <c r="AU105" s="28">
        <f>SUMPRODUCT(INDEX(PortfolioRef[[SPY]:[PE]],MATCH(AU$1,PortfolioRef[Reference '#]),0),AssetMonthlyReturns[[#This Row],[SPY]:[PE]])</f>
        <v>-3.9919998985959429E-4</v>
      </c>
      <c r="AV105" s="27">
        <f>IF(ISNUMBER(AV104),AV104*(1+PortfolioFrontier[[#This Row],[P12 Return]]),1+PortfolioFrontier[[#This Row],[P12 Return]])</f>
        <v>2.1646237781638962</v>
      </c>
      <c r="AW105" s="27">
        <f>MAX(AW104,PortfolioFrontier[[#This Row],[P12 Growth]])</f>
        <v>2.1654882410477634</v>
      </c>
      <c r="AX105" s="27">
        <f>PortfolioFrontier[[#This Row],[P12 Growth]]/PortfolioFrontier[[#This Row],[P12 HWM]]-1</f>
        <v>-3.991999898594889E-4</v>
      </c>
      <c r="AY105" s="28">
        <f>SUMPRODUCT(INDEX(PortfolioRef[[SPY]:[PE]],MATCH(AY$1,PortfolioRef[Reference '#]),0),AssetMonthlyReturns[[#This Row],[SPY]:[PE]])</f>
        <v>-5.7956269561140472E-3</v>
      </c>
      <c r="AZ105" s="27">
        <f>IF(ISNUMBER(AZ104),AZ104*(1+PortfolioFrontier[[#This Row],[P13 Return]]),1+PortfolioFrontier[[#This Row],[P13 Return]])</f>
        <v>2.1555116984891987</v>
      </c>
      <c r="BA105" s="27">
        <f>MAX(BA104,PortfolioFrontier[[#This Row],[P13 Growth]])</f>
        <v>2.1680770643663729</v>
      </c>
      <c r="BB105" s="27">
        <f>PortfolioFrontier[[#This Row],[P13 Growth]]/PortfolioFrontier[[#This Row],[P13 HWM]]-1</f>
        <v>-5.7956269561140195E-3</v>
      </c>
      <c r="BC105" s="28">
        <f>SUMPRODUCT(INDEX(PortfolioRef[[SPY]:[PE]],MATCH(BC$1,PortfolioRef[Reference '#]),0),AssetMonthlyReturns[[#This Row],[SPY]:[PE]])</f>
        <v>-3.8202252095196061E-3</v>
      </c>
      <c r="BD105" s="27">
        <f>IF(ISNUMBER(BD104),BD104*(1+PortfolioFrontier[[#This Row],[P14 Return]]),1+PortfolioFrontier[[#This Row],[P14 Return]])</f>
        <v>2.1361947129964447</v>
      </c>
      <c r="BE105" s="27">
        <f>MAX(BE104,PortfolioFrontier[[#This Row],[P14 Growth]])</f>
        <v>2.1443867533304779</v>
      </c>
      <c r="BF105" s="27">
        <f>PortfolioFrontier[[#This Row],[P14 Growth]]/PortfolioFrontier[[#This Row],[P14 HWM]]-1</f>
        <v>-3.8202252095197453E-3</v>
      </c>
      <c r="BG105" s="28">
        <f>SUMPRODUCT(INDEX(PortfolioRef[[SPY]:[PE]],MATCH(BG$1,PortfolioRef[Reference '#]),0),AssetMonthlyReturns[[#This Row],[SPY]:[PE]])</f>
        <v>-1.8448234629251659E-3</v>
      </c>
      <c r="BH105" s="27">
        <f>IF(ISNUMBER(BH104),BH104*(1+PortfolioFrontier[[#This Row],[P15 Return]]),1+PortfolioFrontier[[#This Row],[P15 Return]])</f>
        <v>2.1153001458419154</v>
      </c>
      <c r="BI105" s="27">
        <f>MAX(BI104,PortfolioFrontier[[#This Row],[P15 Growth]])</f>
        <v>2.1192097136445058</v>
      </c>
      <c r="BJ105" s="27">
        <f>PortfolioFrontier[[#This Row],[P15 Growth]]/PortfolioFrontier[[#This Row],[P15 HWM]]-1</f>
        <v>-1.8448234629252491E-3</v>
      </c>
      <c r="BK105" s="28">
        <f>SUMPRODUCT(INDEX(PortfolioRef[[SPY]:[PE]],MATCH(BK$1,PortfolioRef[Reference '#]),0),AssetMonthlyReturns[[#This Row],[SPY]:[PE]])</f>
        <v>-6.7245803941443204E-3</v>
      </c>
      <c r="BL105" s="27">
        <f>IF(ISNUMBER(BL104),BL104*(1+PortfolioFrontier[[#This Row],[P16 Return]]),1+PortfolioFrontier[[#This Row],[P16 Return]])</f>
        <v>1.9658943304942571</v>
      </c>
      <c r="BM105" s="27">
        <f>MAX(BM104,PortfolioFrontier[[#This Row],[P16 Growth]])</f>
        <v>1.9792036445182033</v>
      </c>
      <c r="BN105" s="27">
        <f>PortfolioFrontier[[#This Row],[P16 Growth]]/PortfolioFrontier[[#This Row],[P16 HWM]]-1</f>
        <v>-6.7245803941443638E-3</v>
      </c>
      <c r="BO105" s="28">
        <f>SUMPRODUCT(INDEX(PortfolioRef[[SPY]:[PE]],MATCH(BO$1,PortfolioRef[Reference '#]),0),AssetMonthlyReturns[[#This Row],[SPY]:[PE]])</f>
        <v>-3.3194870192975842E-3</v>
      </c>
      <c r="BP105" s="27">
        <f>IF(ISNUMBER(BP104),BP104*(1+PortfolioFrontier[[#This Row],[P17 Return]]),1+PortfolioFrontier[[#This Row],[P17 Return]])</f>
        <v>2.0322017899026816</v>
      </c>
      <c r="BQ105" s="27">
        <f>MAX(BQ104,PortfolioFrontier[[#This Row],[P17 Growth]])</f>
        <v>2.0389701247645733</v>
      </c>
      <c r="BR105" s="27">
        <f>PortfolioFrontier[[#This Row],[P17 Growth]]/PortfolioFrontier[[#This Row],[P17 HWM]]-1</f>
        <v>-3.3194870192976289E-3</v>
      </c>
      <c r="BS105" s="28">
        <f>SUMPRODUCT(INDEX(PortfolioRef[[SPY]:[PE]],MATCH(BS$1,PortfolioRef[Reference '#]),0),AssetMonthlyReturns[[#This Row],[SPY]:[PE]])</f>
        <v>-6.7405122389575956E-3</v>
      </c>
      <c r="BT105" s="27">
        <f>IF(ISNUMBER(BT104),BT104*(1+PortfolioFrontier[[#This Row],[P18 Return]]),1+PortfolioFrontier[[#This Row],[P18 Return]])</f>
        <v>2.0061459735127136</v>
      </c>
      <c r="BU105" s="27">
        <f>MAX(BU104,PortfolioFrontier[[#This Row],[P18 Growth]])</f>
        <v>2.0197601918053367</v>
      </c>
      <c r="BV105" s="27">
        <f>PortfolioFrontier[[#This Row],[P18 Growth]]/PortfolioFrontier[[#This Row],[P18 HWM]]-1</f>
        <v>-6.7405122389575522E-3</v>
      </c>
      <c r="BW105" s="28">
        <f>SUMPRODUCT(INDEX(PortfolioRef[[SPY]:[PE]],MATCH(BW$1,PortfolioRef[Reference '#]),0),AssetMonthlyReturns[[#This Row],[SPY]:[PE]])</f>
        <v>-4.7651104923631567E-3</v>
      </c>
      <c r="BX105" s="27">
        <f>IF(ISNUMBER(BX104),BX104*(1+PortfolioFrontier[[#This Row],[P19 Return]]),1+PortfolioFrontier[[#This Row],[P19 Return]])</f>
        <v>1.986157701001287</v>
      </c>
      <c r="BY105" s="27">
        <f>MAX(BY104,PortfolioFrontier[[#This Row],[P19 Growth]])</f>
        <v>1.9956672760777912</v>
      </c>
      <c r="BZ105" s="27">
        <f>PortfolioFrontier[[#This Row],[P19 Growth]]/PortfolioFrontier[[#This Row],[P19 HWM]]-1</f>
        <v>-4.7651104923631671E-3</v>
      </c>
      <c r="CA105" s="28">
        <f>SUMPRODUCT(INDEX(PortfolioRef[[SPY]:[PE]],MATCH(CA$1,PortfolioRef[Reference '#]),0),AssetMonthlyReturns[[#This Row],[SPY]:[PE]])</f>
        <v>8.5606355549149808E-5</v>
      </c>
      <c r="CB105" s="27">
        <f>IF(ISNUMBER(CB104),CB104*(1+PortfolioFrontier[[#This Row],[P20 Return]]),1+PortfolioFrontier[[#This Row],[P20 Return]])</f>
        <v>2.1000889678892971</v>
      </c>
      <c r="CC105" s="27">
        <f>MAX(CC104,PortfolioFrontier[[#This Row],[P20 Growth]])</f>
        <v>2.1000889678892971</v>
      </c>
      <c r="CD105" s="27">
        <f>PortfolioFrontier[[#This Row],[P20 Growth]]/PortfolioFrontier[[#This Row],[P20 HWM]]-1</f>
        <v>0</v>
      </c>
      <c r="CE105" s="28">
        <f>SUMPRODUCT(INDEX(PortfolioRef[[SPY]:[PE]],MATCH(CE$1,PortfolioRef[Reference '#]),0),AssetMonthlyReturns[[#This Row],[SPY]:[PE]])</f>
        <v>-3.3354188641108611E-3</v>
      </c>
      <c r="CF105" s="27">
        <f>IF(ISNUMBER(CF104),CF104*(1+PortfolioFrontier[[#This Row],[P21 Return]]),1+PortfolioFrontier[[#This Row],[P21 Return]])</f>
        <v>2.0737779752878285</v>
      </c>
      <c r="CG105" s="27">
        <f>MAX(CG104,PortfolioFrontier[[#This Row],[P21 Growth]])</f>
        <v>2.0807180414943245</v>
      </c>
      <c r="CH105" s="27">
        <f>PortfolioFrontier[[#This Row],[P21 Growth]]/PortfolioFrontier[[#This Row],[P21 HWM]]-1</f>
        <v>-3.3354188641109284E-3</v>
      </c>
      <c r="CI105" s="28">
        <f>SUMPRODUCT(INDEX(PortfolioRef[[SPY]:[PE]],MATCH(CI$1,PortfolioRef[Reference '#]),0),AssetMonthlyReturns[[#This Row],[SPY]:[PE]])</f>
        <v>-1.3600171175164213E-3</v>
      </c>
      <c r="CJ105" s="27">
        <f>IF(ISNUMBER(CJ104),CJ104*(1+PortfolioFrontier[[#This Row],[P22 Return]]),1+PortfolioFrontier[[#This Row],[P22 Return]])</f>
        <v>2.0531277225578615</v>
      </c>
      <c r="CK105" s="27">
        <f>MAX(CK104,PortfolioFrontier[[#This Row],[P22 Growth]])</f>
        <v>2.0559238141373979</v>
      </c>
      <c r="CL105" s="27">
        <f>PortfolioFrontier[[#This Row],[P22 Growth]]/PortfolioFrontier[[#This Row],[P22 HWM]]-1</f>
        <v>-1.3600171175164322E-3</v>
      </c>
      <c r="CM105" s="28">
        <f>SUMPRODUCT(INDEX(PortfolioRef[[SPY]:[PE]],MATCH(CM$1,PortfolioRef[Reference '#]),0),AssetMonthlyReturns[[#This Row],[SPY]:[PE]])</f>
        <v>-6.7564440837708743E-3</v>
      </c>
      <c r="CN105" s="27">
        <f>IF(ISNUMBER(CN104),CN104*(1+PortfolioFrontier[[#This Row],[P23 Return]]),1+PortfolioFrontier[[#This Row],[P23 Return]])</f>
        <v>2.0460453995893273</v>
      </c>
      <c r="CO105" s="27">
        <f>MAX(CO104,PortfolioFrontier[[#This Row],[P23 Growth]])</f>
        <v>2.0599634273004961</v>
      </c>
      <c r="CP105" s="27">
        <f>PortfolioFrontier[[#This Row],[P23 Growth]]/PortfolioFrontier[[#This Row],[P23 HWM]]-1</f>
        <v>-6.7564440837708517E-3</v>
      </c>
      <c r="CQ105" s="28">
        <f>SUMPRODUCT(INDEX(PortfolioRef[[SPY]:[PE]],MATCH(CQ$1,PortfolioRef[Reference '#]),0),AssetMonthlyReturns[[#This Row],[SPY]:[PE]])</f>
        <v>-4.7810423371764336E-3</v>
      </c>
      <c r="CR105" s="27">
        <f>IF(ISNUMBER(CR104),CR104*(1+PortfolioFrontier[[#This Row],[P24 Return]]),1+PortfolioFrontier[[#This Row],[P24 Return]])</f>
        <v>2.0269356454569363</v>
      </c>
      <c r="CS105" s="27">
        <f>MAX(CS104,PortfolioFrontier[[#This Row],[P24 Growth]])</f>
        <v>2.0366730656106076</v>
      </c>
      <c r="CT105" s="27">
        <f>PortfolioFrontier[[#This Row],[P24 Growth]]/PortfolioFrontier[[#This Row],[P24 HWM]]-1</f>
        <v>-4.7810423371764665E-3</v>
      </c>
      <c r="CU105" s="28">
        <f>SUMPRODUCT(INDEX(PortfolioRef[[SPY]:[PE]],MATCH(CU$1,PortfolioRef[Reference '#]),0),AssetMonthlyReturns[[#This Row],[SPY]:[PE]])</f>
        <v>-2.8056405905819929E-3</v>
      </c>
      <c r="CV105" s="27">
        <f>IF(ISNUMBER(CV104),CV104*(1+PortfolioFrontier[[#This Row],[P25 Return]]),1+PortfolioFrontier[[#This Row],[P25 Return]])</f>
        <v>2.0063463662149874</v>
      </c>
      <c r="CW105" s="27">
        <f>MAX(CW104,PortfolioFrontier[[#This Row],[P25 Growth]])</f>
        <v>2.0119912906479267</v>
      </c>
      <c r="CX105" s="27">
        <f>PortfolioFrontier[[#This Row],[P25 Growth]]/PortfolioFrontier[[#This Row],[P25 HWM]]-1</f>
        <v>-2.8056405905819704E-3</v>
      </c>
      <c r="CY105" s="28">
        <f>SUMPRODUCT(INDEX(PortfolioRef[[SPY]:[PE]],MATCH(CY$1,PortfolioRef[Reference '#]),0),AssetMonthlyReturns[[#This Row],[SPY]:[PE]])</f>
        <v>6.9674510735872903E-5</v>
      </c>
      <c r="CZ105" s="27">
        <f>IF(ISNUMBER(CZ104),CZ104*(1+PortfolioFrontier[[#This Row],[P26 Return]]),1+PortfolioFrontier[[#This Row],[P26 Return]])</f>
        <v>2.1430204468528924</v>
      </c>
      <c r="DA105" s="27">
        <f>MAX(DA104,PortfolioFrontier[[#This Row],[P26 Growth]])</f>
        <v>2.1430204468528924</v>
      </c>
      <c r="DB105" s="27">
        <f>PortfolioFrontier[[#This Row],[P26 Growth]]/PortfolioFrontier[[#This Row],[P26 HWM]]-1</f>
        <v>0</v>
      </c>
      <c r="DC105" s="28">
        <f>SUMPRODUCT(INDEX(PortfolioRef[[SPY]:[PE]],MATCH(DC$1,PortfolioRef[Reference '#]),0),AssetMonthlyReturns[[#This Row],[SPY]:[PE]])</f>
        <v>2.0450762573303127E-3</v>
      </c>
      <c r="DD105" s="27">
        <f>IF(ISNUMBER(DD104),DD104*(1+PortfolioFrontier[[#This Row],[P27 Return]]),1+PortfolioFrontier[[#This Row],[P27 Return]])</f>
        <v>2.1216928465428047</v>
      </c>
      <c r="DE105" s="27">
        <f>MAX(DE104,PortfolioFrontier[[#This Row],[P27 Growth]])</f>
        <v>2.1216928465428047</v>
      </c>
      <c r="DF105" s="27">
        <f>PortfolioFrontier[[#This Row],[P27 Growth]]/PortfolioFrontier[[#This Row],[P27 HWM]]-1</f>
        <v>0</v>
      </c>
      <c r="DG105" s="28">
        <f>SUMPRODUCT(INDEX(PortfolioRef[[SPY]:[PE]],MATCH(DG$1,PortfolioRef[Reference '#]),0),AssetMonthlyReturns[[#This Row],[SPY]:[PE]])</f>
        <v>-3.3513507089241398E-3</v>
      </c>
      <c r="DH105" s="27">
        <f>IF(ISNUMBER(DH104),DH104*(1+PortfolioFrontier[[#This Row],[P28 Return]]),1+PortfolioFrontier[[#This Row],[P28 Return]])</f>
        <v>2.1149894598456136</v>
      </c>
      <c r="DI105" s="27">
        <f>MAX(DI104,PortfolioFrontier[[#This Row],[P28 Growth]])</f>
        <v>2.1221013657621697</v>
      </c>
      <c r="DJ105" s="27">
        <f>PortfolioFrontier[[#This Row],[P28 Growth]]/PortfolioFrontier[[#This Row],[P28 HWM]]-1</f>
        <v>-3.3513507089242278E-3</v>
      </c>
      <c r="DK105" s="28">
        <f>SUMPRODUCT(INDEX(PortfolioRef[[SPY]:[PE]],MATCH(DK$1,PortfolioRef[Reference '#]),0),AssetMonthlyReturns[[#This Row],[SPY]:[PE]])</f>
        <v>-1.3759489623296982E-3</v>
      </c>
      <c r="DL105" s="27">
        <f>IF(ISNUMBER(DL104),DL104*(1+PortfolioFrontier[[#This Row],[P29 Return]]),1+PortfolioFrontier[[#This Row],[P29 Return]])</f>
        <v>2.0952471180344037</v>
      </c>
      <c r="DM105" s="27">
        <f>MAX(DM104,PortfolioFrontier[[#This Row],[P29 Growth]])</f>
        <v>2.0981340433942406</v>
      </c>
      <c r="DN105" s="27">
        <f>PortfolioFrontier[[#This Row],[P29 Growth]]/PortfolioFrontier[[#This Row],[P29 HWM]]-1</f>
        <v>-1.3759489623297316E-3</v>
      </c>
      <c r="DO105" s="28">
        <f>SUMPRODUCT(INDEX(PortfolioRef[[SPY]:[PE]],MATCH(DO$1,PortfolioRef[Reference '#]),0),AssetMonthlyReturns[[#This Row],[SPY]:[PE]])</f>
        <v>5.9945278426474201E-4</v>
      </c>
      <c r="DP105" s="27">
        <f>IF(ISNUMBER(DP104),DP104*(1+PortfolioFrontier[[#This Row],[P30 Return]]),1+PortfolioFrontier[[#This Row],[P30 Return]])</f>
        <v>2.0739762521955436</v>
      </c>
      <c r="DQ105" s="27">
        <f>MAX(DQ104,PortfolioFrontier[[#This Row],[P30 Growth]])</f>
        <v>2.0739762521955436</v>
      </c>
      <c r="DR105" s="27">
        <f>PortfolioFrontier[[#This Row],[P30 Growth]]/PortfolioFrontier[[#This Row],[P30 HWM]]-1</f>
        <v>0</v>
      </c>
      <c r="DS105" s="28">
        <f>SUMPRODUCT(INDEX(PortfolioRef[[SPY]:[PE]],MATCH(DS$1,PortfolioRef[Reference '#]),0),AssetMonthlyReturns[[#This Row],[SPY]:[PE]])</f>
        <v>-6.7723759285841529E-3</v>
      </c>
      <c r="DT105" s="27">
        <f>IF(ISNUMBER(DT104),DT104*(1+PortfolioFrontier[[#This Row],[P31 Return]]),1+PortfolioFrontier[[#This Row],[P31 Return]])</f>
        <v>2.0855349838756458</v>
      </c>
      <c r="DU105" s="27">
        <f>MAX(DU104,PortfolioFrontier[[#This Row],[P31 Growth]])</f>
        <v>2.099755316235234</v>
      </c>
      <c r="DV105" s="27">
        <f>PortfolioFrontier[[#This Row],[P31 Growth]]/PortfolioFrontier[[#This Row],[P31 HWM]]-1</f>
        <v>-6.7723759285841512E-3</v>
      </c>
      <c r="DW105" s="28">
        <f>SUMPRODUCT(INDEX(PortfolioRef[[SPY]:[PE]],MATCH(DW$1,PortfolioRef[Reference '#]),0),AssetMonthlyReturns[[#This Row],[SPY]:[PE]])</f>
        <v>-4.7969741819897122E-3</v>
      </c>
      <c r="DX105" s="27">
        <f>IF(ISNUMBER(DX104),DX104*(1+PortfolioFrontier[[#This Row],[P32 Return]]),1+PortfolioFrontier[[#This Row],[P32 Return]])</f>
        <v>2.0673623676238728</v>
      </c>
      <c r="DY105" s="27">
        <f>MAX(DY104,PortfolioFrontier[[#This Row],[P32 Growth]])</f>
        <v>2.0773272528232094</v>
      </c>
      <c r="DZ105" s="27">
        <f>PortfolioFrontier[[#This Row],[P32 Growth]]/PortfolioFrontier[[#This Row],[P32 HWM]]-1</f>
        <v>-4.796974181989766E-3</v>
      </c>
      <c r="EA105" s="28">
        <f>SUMPRODUCT(INDEX(PortfolioRef[[SPY]:[PE]],MATCH(EA$1,PortfolioRef[Reference '#]),0),AssetMonthlyReturns[[#This Row],[SPY]:[PE]])</f>
        <v>-2.8215724353952698E-3</v>
      </c>
      <c r="EB105" s="27">
        <f>IF(ISNUMBER(EB104),EB104*(1+PortfolioFrontier[[#This Row],[P33 Return]]),1+PortfolioFrontier[[#This Row],[P33 Return]])</f>
        <v>2.0476514178588023</v>
      </c>
      <c r="EC105" s="27">
        <f>MAX(EC104,PortfolioFrontier[[#This Row],[P33 Growth]])</f>
        <v>2.0534453626917637</v>
      </c>
      <c r="ED105" s="27">
        <f>PortfolioFrontier[[#This Row],[P33 Growth]]/PortfolioFrontier[[#This Row],[P33 HWM]]-1</f>
        <v>-2.8215724353952698E-3</v>
      </c>
      <c r="EE105" s="28">
        <f>SUMPRODUCT(INDEX(PortfolioRef[[SPY]:[PE]],MATCH(EE$1,PortfolioRef[Reference '#]),0),AssetMonthlyReturns[[#This Row],[SPY]:[PE]])</f>
        <v>-7.6853975218011458E-3</v>
      </c>
      <c r="EF105" s="27">
        <f>IF(ISNUMBER(EF104),EF104*(1+PortfolioFrontier[[#This Row],[P34 Return]]),1+PortfolioFrontier[[#This Row],[P34 Return]])</f>
        <v>1.8637124111035706</v>
      </c>
      <c r="EG105" s="27">
        <f>MAX(EG104,PortfolioFrontier[[#This Row],[P34 Growth]])</f>
        <v>1.8781467152142572</v>
      </c>
      <c r="EH105" s="27">
        <f>PortfolioFrontier[[#This Row],[P34 Growth]]/PortfolioFrontier[[#This Row],[P34 HWM]]-1</f>
        <v>-7.6853975218011961E-3</v>
      </c>
      <c r="EI105" s="28">
        <f>SUMPRODUCT(INDEX(PortfolioRef[[SPY]:[PE]],MATCH(EI$1,PortfolioRef[Reference '#]),0),AssetMonthlyReturns[[#This Row],[SPY]:[PE]])</f>
        <v>-4.2803041469544108E-3</v>
      </c>
      <c r="EJ105" s="27">
        <f>IF(ISNUMBER(EJ104),EJ104*(1+PortfolioFrontier[[#This Row],[P35 Return]]),1+PortfolioFrontier[[#This Row],[P35 Return]])</f>
        <v>1.9265928833383414</v>
      </c>
      <c r="EK105" s="27">
        <f>MAX(EK104,PortfolioFrontier[[#This Row],[P35 Growth]])</f>
        <v>1.9348747356933671</v>
      </c>
      <c r="EL105" s="27">
        <f>PortfolioFrontier[[#This Row],[P35 Growth]]/PortfolioFrontier[[#This Row],[P35 HWM]]-1</f>
        <v>-4.2803041469544612E-3</v>
      </c>
      <c r="EM105" s="28">
        <f>SUMPRODUCT(INDEX(PortfolioRef[[SPY]:[PE]],MATCH(EM$1,PortfolioRef[Reference '#]),0),AssetMonthlyReturns[[#This Row],[SPY]:[PE]])</f>
        <v>-7.7013293666144244E-3</v>
      </c>
      <c r="EN105" s="27">
        <f>IF(ISNUMBER(EN104),EN104*(1+PortfolioFrontier[[#This Row],[P36 Return]]),1+PortfolioFrontier[[#This Row],[P36 Return]])</f>
        <v>1.9026146902628571</v>
      </c>
      <c r="EO105" s="27">
        <f>MAX(EO104,PortfolioFrontier[[#This Row],[P36 Growth]])</f>
        <v>1.9173810734306593</v>
      </c>
      <c r="EP105" s="27">
        <f>PortfolioFrontier[[#This Row],[P36 Growth]]/PortfolioFrontier[[#This Row],[P36 HWM]]-1</f>
        <v>-7.7013293666143845E-3</v>
      </c>
      <c r="EQ105" s="28">
        <f>SUMPRODUCT(INDEX(PortfolioRef[[SPY]:[PE]],MATCH(EQ$1,PortfolioRef[Reference '#]),0),AssetMonthlyReturns[[#This Row],[SPY]:[PE]])</f>
        <v>-5.7259276200199837E-3</v>
      </c>
      <c r="ER105" s="27">
        <f>IF(ISNUMBER(ER104),ER104*(1+PortfolioFrontier[[#This Row],[P37 Return]]),1+PortfolioFrontier[[#This Row],[P37 Return]])</f>
        <v>1.8829426659603439</v>
      </c>
      <c r="ES105" s="27">
        <f>MAX(ES104,PortfolioFrontier[[#This Row],[P37 Growth]])</f>
        <v>1.8937863495255087</v>
      </c>
      <c r="ET105" s="27">
        <f>PortfolioFrontier[[#This Row],[P37 Growth]]/PortfolioFrontier[[#This Row],[P37 HWM]]-1</f>
        <v>-5.7259276200198883E-3</v>
      </c>
      <c r="EU105" s="28">
        <f>SUMPRODUCT(INDEX(PortfolioRef[[SPY]:[PE]],MATCH(EU$1,PortfolioRef[Reference '#]),0),AssetMonthlyReturns[[#This Row],[SPY]:[PE]])</f>
        <v>-8.7521077210767724E-4</v>
      </c>
      <c r="EV105" s="27">
        <f>IF(ISNUMBER(EV104),EV104*(1+PortfolioFrontier[[#This Row],[P38 Return]]),1+PortfolioFrontier[[#This Row],[P38 Return]])</f>
        <v>1.9909711718110101</v>
      </c>
      <c r="EW105" s="27">
        <f>MAX(EW104,PortfolioFrontier[[#This Row],[P38 Growth]])</f>
        <v>1.9927152176352274</v>
      </c>
      <c r="EX105" s="27">
        <f>PortfolioFrontier[[#This Row],[P38 Growth]]/PortfolioFrontier[[#This Row],[P38 HWM]]-1</f>
        <v>-8.7521077210772624E-4</v>
      </c>
      <c r="EY105" s="28">
        <f>SUMPRODUCT(INDEX(PortfolioRef[[SPY]:[PE]],MATCH(EY$1,PortfolioRef[Reference '#]),0),AssetMonthlyReturns[[#This Row],[SPY]:[PE]])</f>
        <v>-4.2962359917676878E-3</v>
      </c>
      <c r="EZ105" s="27">
        <f>IF(ISNUMBER(EZ104),EZ104*(1+PortfolioFrontier[[#This Row],[P39 Return]]),1+PortfolioFrontier[[#This Row],[P39 Return]])</f>
        <v>1.9667759580609592</v>
      </c>
      <c r="FA105" s="27">
        <f>MAX(FA104,PortfolioFrontier[[#This Row],[P39 Growth]])</f>
        <v>1.9752621504047043</v>
      </c>
      <c r="FB105" s="27">
        <f>PortfolioFrontier[[#This Row],[P39 Growth]]/PortfolioFrontier[[#This Row],[P39 HWM]]-1</f>
        <v>-4.2962359917676496E-3</v>
      </c>
      <c r="FC105" s="28">
        <f>SUMPRODUCT(INDEX(PortfolioRef[[SPY]:[PE]],MATCH(FC$1,PortfolioRef[Reference '#]),0),AssetMonthlyReturns[[#This Row],[SPY]:[PE]])</f>
        <v>-2.3208342451732484E-3</v>
      </c>
      <c r="FD105" s="27">
        <f>IF(ISNUMBER(FD104),FD104*(1+PortfolioFrontier[[#This Row],[P40 Return]]),1+PortfolioFrontier[[#This Row],[P40 Return]])</f>
        <v>1.9464521671080923</v>
      </c>
      <c r="FE105" s="27">
        <f>MAX(FE104,PortfolioFrontier[[#This Row],[P40 Growth]])</f>
        <v>1.9509800684626308</v>
      </c>
      <c r="FF105" s="27">
        <f>PortfolioFrontier[[#This Row],[P40 Growth]]/PortfolioFrontier[[#This Row],[P40 HWM]]-1</f>
        <v>-2.3208342451732644E-3</v>
      </c>
      <c r="FG105" s="28">
        <f>SUMPRODUCT(INDEX(PortfolioRef[[SPY]:[PE]],MATCH(FG$1,PortfolioRef[Reference '#]),0),AssetMonthlyReturns[[#This Row],[SPY]:[PE]])</f>
        <v>-7.717261211427703E-3</v>
      </c>
      <c r="FH105" s="27">
        <f>IF(ISNUMBER(FH104),FH104*(1+PortfolioFrontier[[#This Row],[P41 Return]]),1+PortfolioFrontier[[#This Row],[P41 Return]])</f>
        <v>1.9412151664245298</v>
      </c>
      <c r="FI105" s="27">
        <f>MAX(FI104,PortfolioFrontier[[#This Row],[P41 Growth]])</f>
        <v>1.9563125413170654</v>
      </c>
      <c r="FJ105" s="27">
        <f>PortfolioFrontier[[#This Row],[P41 Growth]]/PortfolioFrontier[[#This Row],[P41 HWM]]-1</f>
        <v>-7.7172612114275729E-3</v>
      </c>
      <c r="FK105" s="28">
        <f>SUMPRODUCT(INDEX(PortfolioRef[[SPY]:[PE]],MATCH(FK$1,PortfolioRef[Reference '#]),0),AssetMonthlyReturns[[#This Row],[SPY]:[PE]])</f>
        <v>-5.7418594648332589E-3</v>
      </c>
      <c r="FL105" s="27">
        <f>IF(ISNUMBER(FL104),FL104*(1+PortfolioFrontier[[#This Row],[P42 Return]]),1+PortfolioFrontier[[#This Row],[P42 Return]])</f>
        <v>1.9223519830395621</v>
      </c>
      <c r="FM105" s="27">
        <f>MAX(FM104,PortfolioFrontier[[#This Row],[P42 Growth]])</f>
        <v>1.9334536019034676</v>
      </c>
      <c r="FN105" s="27">
        <f>PortfolioFrontier[[#This Row],[P42 Growth]]/PortfolioFrontier[[#This Row],[P42 HWM]]-1</f>
        <v>-5.7418594648332988E-3</v>
      </c>
      <c r="FO105" s="28">
        <f>SUMPRODUCT(INDEX(PortfolioRef[[SPY]:[PE]],MATCH(FO$1,PortfolioRef[Reference '#]),0),AssetMonthlyReturns[[#This Row],[SPY]:[PE]])</f>
        <v>-3.7664577182388199E-3</v>
      </c>
      <c r="FP105" s="27">
        <f>IF(ISNUMBER(FP104),FP104*(1+PortfolioFrontier[[#This Row],[P43 Return]]),1+PortfolioFrontier[[#This Row],[P43 Return]])</f>
        <v>1.9021024959014958</v>
      </c>
      <c r="FQ105" s="27">
        <f>MAX(FQ104,PortfolioFrontier[[#This Row],[P43 Growth]])</f>
        <v>1.9092937701584944</v>
      </c>
      <c r="FR105" s="27">
        <f>PortfolioFrontier[[#This Row],[P43 Growth]]/PortfolioFrontier[[#This Row],[P43 HWM]]-1</f>
        <v>-3.7664577182386916E-3</v>
      </c>
      <c r="FS105" s="28">
        <f>SUMPRODUCT(INDEX(PortfolioRef[[SPY]:[PE]],MATCH(FS$1,PortfolioRef[Reference '#]),0),AssetMonthlyReturns[[#This Row],[SPY]:[PE]])</f>
        <v>-8.9114261692095414E-4</v>
      </c>
      <c r="FT105" s="27">
        <f>IF(ISNUMBER(FT104),FT104*(1+PortfolioFrontier[[#This Row],[P44 Return]]),1+PortfolioFrontier[[#This Row],[P44 Return]])</f>
        <v>2.0324647818773811</v>
      </c>
      <c r="FU105" s="27">
        <f>MAX(FU104,PortfolioFrontier[[#This Row],[P44 Growth]])</f>
        <v>2.0342776133532885</v>
      </c>
      <c r="FV105" s="27">
        <f>PortfolioFrontier[[#This Row],[P44 Growth]]/PortfolioFrontier[[#This Row],[P44 HWM]]-1</f>
        <v>-8.9114261692091468E-4</v>
      </c>
      <c r="FW105" s="28">
        <f>SUMPRODUCT(INDEX(PortfolioRef[[SPY]:[PE]],MATCH(FW$1,PortfolioRef[Reference '#]),0),AssetMonthlyReturns[[#This Row],[SPY]:[PE]])</f>
        <v>1.0842591296734857E-3</v>
      </c>
      <c r="FX105" s="27">
        <f>IF(ISNUMBER(FX104),FX104*(1+PortfolioFrontier[[#This Row],[P45 Return]]),1+PortfolioFrontier[[#This Row],[P45 Return]])</f>
        <v>2.0114740896767285</v>
      </c>
      <c r="FY105" s="27">
        <f>MAX(FY104,PortfolioFrontier[[#This Row],[P45 Growth]])</f>
        <v>2.0114740896767285</v>
      </c>
      <c r="FZ105" s="27">
        <f>PortfolioFrontier[[#This Row],[P45 Growth]]/PortfolioFrontier[[#This Row],[P45 HWM]]-1</f>
        <v>0</v>
      </c>
      <c r="GA105" s="28">
        <f>SUMPRODUCT(INDEX(PortfolioRef[[SPY]:[PE]],MATCH(GA$1,PortfolioRef[Reference '#]),0),AssetMonthlyReturns[[#This Row],[SPY]:[PE]])</f>
        <v>-4.3121678365809664E-3</v>
      </c>
      <c r="GB105" s="27">
        <f>IF(ISNUMBER(GB104),GB104*(1+PortfolioFrontier[[#This Row],[P46 Return]]),1+PortfolioFrontier[[#This Row],[P46 Return]])</f>
        <v>2.0066464332083513</v>
      </c>
      <c r="GC105" s="27">
        <f>MAX(GC104,PortfolioFrontier[[#This Row],[P46 Growth]])</f>
        <v>2.0153369041864586</v>
      </c>
      <c r="GD105" s="27">
        <f>PortfolioFrontier[[#This Row],[P46 Growth]]/PortfolioFrontier[[#This Row],[P46 HWM]]-1</f>
        <v>-4.312167836580838E-3</v>
      </c>
      <c r="GE105" s="28">
        <f>SUMPRODUCT(INDEX(PortfolioRef[[SPY]:[PE]],MATCH(GE$1,PortfolioRef[Reference '#]),0),AssetMonthlyReturns[[#This Row],[SPY]:[PE]])</f>
        <v>-2.3367660899865253E-3</v>
      </c>
      <c r="GF105" s="27">
        <f>IF(ISNUMBER(GF104),GF104*(1+PortfolioFrontier[[#This Row],[P47 Return]]),1+PortfolioFrontier[[#This Row],[P47 Return]])</f>
        <v>1.9871585758992683</v>
      </c>
      <c r="GG105" s="27">
        <f>MAX(GG104,PortfolioFrontier[[#This Row],[P47 Growth]])</f>
        <v>1.9918129769213333</v>
      </c>
      <c r="GH105" s="27">
        <f>PortfolioFrontier[[#This Row],[P47 Growth]]/PortfolioFrontier[[#This Row],[P47 HWM]]-1</f>
        <v>-2.3367660899865639E-3</v>
      </c>
      <c r="GI105" s="28">
        <f>SUMPRODUCT(INDEX(PortfolioRef[[SPY]:[PE]],MATCH(GI$1,PortfolioRef[Reference '#]),0),AssetMonthlyReturns[[#This Row],[SPY]:[PE]])</f>
        <v>-3.6136434339208504E-4</v>
      </c>
      <c r="GJ105" s="27">
        <f>IF(ISNUMBER(GJ104),GJ104*(1+PortfolioFrontier[[#This Row],[P48 Return]]),1+PortfolioFrontier[[#This Row],[P48 Return]])</f>
        <v>1.9662384808248885</v>
      </c>
      <c r="GK105" s="27">
        <f>MAX(GK104,PortfolioFrontier[[#This Row],[P48 Growth]])</f>
        <v>1.9669492661549381</v>
      </c>
      <c r="GL105" s="27">
        <f>PortfolioFrontier[[#This Row],[P48 Growth]]/PortfolioFrontier[[#This Row],[P48 HWM]]-1</f>
        <v>-3.6136434339206769E-4</v>
      </c>
      <c r="GM105" s="28">
        <f>SUMPRODUCT(INDEX(PortfolioRef[[SPY]:[PE]],MATCH(GM$1,PortfolioRef[Reference '#]),0),AssetMonthlyReturns[[#This Row],[SPY]:[PE]])</f>
        <v>-7.7331930562409782E-3</v>
      </c>
      <c r="GN105" s="27">
        <f>IF(ISNUMBER(GN104),GN104*(1+PortfolioFrontier[[#This Row],[P49 Return]]),1+PortfolioFrontier[[#This Row],[P49 Return]])</f>
        <v>1.9794590611058063</v>
      </c>
      <c r="GO105" s="27">
        <f>MAX(GO104,PortfolioFrontier[[#This Row],[P49 Growth]])</f>
        <v>1.9948858988870728</v>
      </c>
      <c r="GP105" s="27">
        <f>PortfolioFrontier[[#This Row],[P49 Growth]]/PortfolioFrontier[[#This Row],[P49 HWM]]-1</f>
        <v>-7.7331930562409834E-3</v>
      </c>
      <c r="GQ105" s="28">
        <f>SUMPRODUCT(INDEX(PortfolioRef[[SPY]:[PE]],MATCH(GQ$1,PortfolioRef[Reference '#]),0),AssetMonthlyReturns[[#This Row],[SPY]:[PE]])</f>
        <v>-5.7577913096465375E-3</v>
      </c>
      <c r="GR105" s="27">
        <f>IF(ISNUMBER(GR104),GR104*(1+PortfolioFrontier[[#This Row],[P50 Return]]),1+PortfolioFrontier[[#This Row],[P50 Return]])</f>
        <v>1.9614608466496315</v>
      </c>
      <c r="GS105" s="27">
        <f>MAX(GS104,PortfolioFrontier[[#This Row],[P50 Growth]])</f>
        <v>1.9728199321102331</v>
      </c>
      <c r="GT105" s="27">
        <f>PortfolioFrontier[[#This Row],[P50 Growth]]/PortfolioFrontier[[#This Row],[P50 HWM]]-1</f>
        <v>-5.7577913096464872E-3</v>
      </c>
      <c r="GU105" s="28">
        <f>SUMPRODUCT(INDEX(PortfolioRef[[SPY]:[PE]],MATCH(GU$1,PortfolioRef[Reference '#]),0),AssetMonthlyReturns[[#This Row],[SPY]:[PE]])</f>
        <v>-3.7823895630520969E-3</v>
      </c>
      <c r="GV105" s="27">
        <f>IF(ISNUMBER(GV104),GV104*(1+PortfolioFrontier[[#This Row],[P51 Return]]),1+PortfolioFrontier[[#This Row],[P51 Return]])</f>
        <v>1.9420196054136998</v>
      </c>
      <c r="GW105" s="27">
        <f>MAX(GW104,PortfolioFrontier[[#This Row],[P51 Growth]])</f>
        <v>1.9493929690340615</v>
      </c>
      <c r="GX105" s="27">
        <f>PortfolioFrontier[[#This Row],[P51 Growth]]/PortfolioFrontier[[#This Row],[P51 HWM]]-1</f>
        <v>-3.7823895630521021E-3</v>
      </c>
      <c r="GY105" s="28">
        <f>SUMPRODUCT(INDEX(PortfolioRef[[SPY]:[PE]],MATCH(GY$1,PortfolioRef[Reference '#]),0),AssetMonthlyReturns[[#This Row],[SPY]:[PE]])</f>
        <v>-9.0707446173423105E-4</v>
      </c>
      <c r="GZ105" s="27">
        <f>IF(ISNUMBER(GZ104),GZ104*(1+PortfolioFrontier[[#This Row],[P52 Return]]),1+PortfolioFrontier[[#This Row],[P52 Return]])</f>
        <v>2.073634723448929</v>
      </c>
      <c r="HA105" s="27">
        <f>MAX(HA104,PortfolioFrontier[[#This Row],[P52 Growth]])</f>
        <v>2.0755173722521847</v>
      </c>
      <c r="HB105" s="27">
        <f>PortfolioFrontier[[#This Row],[P52 Growth]]/PortfolioFrontier[[#This Row],[P52 HWM]]-1</f>
        <v>-9.0707446173421413E-4</v>
      </c>
      <c r="HC105" s="28">
        <f>SUMPRODUCT(INDEX(PortfolioRef[[SPY]:[PE]],MATCH(HC$1,PortfolioRef[Reference '#]),0),AssetMonthlyReturns[[#This Row],[SPY]:[PE]])</f>
        <v>1.0683272848602105E-3</v>
      </c>
      <c r="HD105" s="27">
        <f>IF(ISNUMBER(HD104),HD104*(1+PortfolioFrontier[[#This Row],[P53 Return]]),1+PortfolioFrontier[[#This Row],[P53 Return]])</f>
        <v>2.0535077010891407</v>
      </c>
      <c r="HE105" s="27">
        <f>MAX(HE104,PortfolioFrontier[[#This Row],[P53 Growth]])</f>
        <v>2.0535077010891407</v>
      </c>
      <c r="HF105" s="27">
        <f>PortfolioFrontier[[#This Row],[P53 Growth]]/PortfolioFrontier[[#This Row],[P53 HWM]]-1</f>
        <v>0</v>
      </c>
      <c r="HG105" s="28">
        <f>SUMPRODUCT(INDEX(PortfolioRef[[SPY]:[PE]],MATCH(HG$1,PortfolioRef[Reference '#]),0),AssetMonthlyReturns[[#This Row],[SPY]:[PE]])</f>
        <v>3.0437290314546507E-3</v>
      </c>
      <c r="HH105" s="27">
        <f>IF(ISNUMBER(HH104),HH104*(1+PortfolioFrontier[[#This Row],[P54 Return]]),1+PortfolioFrontier[[#This Row],[P54 Return]])</f>
        <v>2.0319014294970619</v>
      </c>
      <c r="HI105" s="27">
        <f>MAX(HI104,PortfolioFrontier[[#This Row],[P54 Growth]])</f>
        <v>2.0319014294970619</v>
      </c>
      <c r="HJ105" s="27">
        <f>PortfolioFrontier[[#This Row],[P54 Growth]]/PortfolioFrontier[[#This Row],[P54 HWM]]-1</f>
        <v>0</v>
      </c>
      <c r="HK105" s="28">
        <f>SUMPRODUCT(INDEX(PortfolioRef[[SPY]:[PE]],MATCH(HK$1,PortfolioRef[Reference '#]),0),AssetMonthlyReturns[[#This Row],[SPY]:[PE]])</f>
        <v>-4.3280996813942416E-3</v>
      </c>
      <c r="HL105" s="27">
        <f>IF(ISNUMBER(HL104),HL104*(1+PortfolioFrontier[[#This Row],[P55 Return]]),1+PortfolioFrontier[[#This Row],[P55 Return]])</f>
        <v>2.0461477402145709</v>
      </c>
      <c r="HM105" s="27">
        <f>MAX(HM104,PortfolioFrontier[[#This Row],[P55 Growth]])</f>
        <v>2.0550421675652619</v>
      </c>
      <c r="HN105" s="27">
        <f>PortfolioFrontier[[#This Row],[P55 Growth]]/PortfolioFrontier[[#This Row],[P55 HWM]]-1</f>
        <v>-4.3280996813942485E-3</v>
      </c>
      <c r="HO105" s="28">
        <f>SUMPRODUCT(INDEX(PortfolioRef[[SPY]:[PE]],MATCH(HO$1,PortfolioRef[Reference '#]),0),AssetMonthlyReturns[[#This Row],[SPY]:[PE]])</f>
        <v>-2.3526979347998022E-3</v>
      </c>
      <c r="HP105" s="27">
        <f>IF(ISNUMBER(HP104),HP104*(1+PortfolioFrontier[[#This Row],[P56 Return]]),1+PortfolioFrontier[[#This Row],[P56 Return]])</f>
        <v>2.0275537711073861</v>
      </c>
      <c r="HQ105" s="27">
        <f>MAX(HQ104,PortfolioFrontier[[#This Row],[P56 Growth]])</f>
        <v>2.0323352420341405</v>
      </c>
      <c r="HR105" s="27">
        <f>PortfolioFrontier[[#This Row],[P56 Growth]]/PortfolioFrontier[[#This Row],[P56 HWM]]-1</f>
        <v>-2.3526979347997523E-3</v>
      </c>
      <c r="HS105" s="28">
        <f>SUMPRODUCT(INDEX(PortfolioRef[[SPY]:[PE]],MATCH(HS$1,PortfolioRef[Reference '#]),0),AssetMonthlyReturns[[#This Row],[SPY]:[PE]])</f>
        <v>-3.7729618820536021E-4</v>
      </c>
      <c r="HT105" s="27">
        <f>IF(ISNUMBER(HT104),HT104*(1+PortfolioFrontier[[#This Row],[P57 Return]]),1+PortfolioFrontier[[#This Row],[P57 Return]])</f>
        <v>2.0074689977244957</v>
      </c>
      <c r="HU105" s="27">
        <f>MAX(HU104,PortfolioFrontier[[#This Row],[P57 Growth]])</f>
        <v>2.0082266940011948</v>
      </c>
      <c r="HV105" s="27">
        <f>PortfolioFrontier[[#This Row],[P57 Growth]]/PortfolioFrontier[[#This Row],[P57 HWM]]-1</f>
        <v>-3.7729618820547817E-4</v>
      </c>
      <c r="HW105" s="28">
        <f>SUMPRODUCT(INDEX(PortfolioRef[[SPY]:[PE]],MATCH(HW$1,PortfolioRef[Reference '#]),0),AssetMonthlyReturns[[#This Row],[SPY]:[PE]])</f>
        <v>-7.7491249010542534E-3</v>
      </c>
      <c r="HX105" s="27">
        <f>IF(ISNUMBER(HX104),HX104*(1+PortfolioFrontier[[#This Row],[P58 Return]]),1+PortfolioFrontier[[#This Row],[P58 Return]])</f>
        <v>2.0172906562212729</v>
      </c>
      <c r="HY105" s="27">
        <f>MAX(HY104,PortfolioFrontier[[#This Row],[P58 Growth]])</f>
        <v>2.0330449756671789</v>
      </c>
      <c r="HZ105" s="27">
        <f>PortfolioFrontier[[#This Row],[P58 Growth]]/PortfolioFrontier[[#This Row],[P58 HWM]]-1</f>
        <v>-7.7491249010543939E-3</v>
      </c>
      <c r="IA105" s="28">
        <f>SUMPRODUCT(INDEX(PortfolioRef[[SPY]:[PE]],MATCH(IA$1,PortfolioRef[Reference '#]),0),AssetMonthlyReturns[[#This Row],[SPY]:[PE]])</f>
        <v>-5.7737231544598127E-3</v>
      </c>
      <c r="IB105" s="27">
        <f>IF(ISNUMBER(IB104),IB104*(1+PortfolioFrontier[[#This Row],[P59 Return]]),1+PortfolioFrontier[[#This Row],[P59 Return]])</f>
        <v>2.0002138812284005</v>
      </c>
      <c r="IC105" s="27">
        <f>MAX(IC104,PortfolioFrontier[[#This Row],[P59 Growth]])</f>
        <v>2.0118296285375159</v>
      </c>
      <c r="ID105" s="27">
        <f>PortfolioFrontier[[#This Row],[P59 Growth]]/PortfolioFrontier[[#This Row],[P59 HWM]]-1</f>
        <v>-5.7737231544598977E-3</v>
      </c>
      <c r="IE105" s="28">
        <f>SUMPRODUCT(INDEX(PortfolioRef[[SPY]:[PE]],MATCH(IE$1,PortfolioRef[Reference '#]),0),AssetMonthlyReturns[[#This Row],[SPY]:[PE]])</f>
        <v>-3.7983214078653738E-3</v>
      </c>
      <c r="IF105" s="27">
        <f>IF(ISNUMBER(IF104),IF104*(1+PortfolioFrontier[[#This Row],[P60 Return]]),1+PortfolioFrontier[[#This Row],[P60 Return]])</f>
        <v>1.9816377164323475</v>
      </c>
      <c r="IG105" s="27">
        <f>MAX(IG104,PortfolioFrontier[[#This Row],[P60 Growth]])</f>
        <v>1.9891933119735996</v>
      </c>
      <c r="IH105" s="27">
        <f>PortfolioFrontier[[#This Row],[P60 Growth]]/PortfolioFrontier[[#This Row],[P60 HWM]]-1</f>
        <v>-3.7983214078654015E-3</v>
      </c>
      <c r="II105" s="28">
        <f>SUMPRODUCT(INDEX(PortfolioRef[[SPY]:[PE]],MATCH(II$1,PortfolioRef[Reference '#]),0),AssetMonthlyReturns[[#This Row],[SPY]:[PE]])</f>
        <v>-8.6462146494579745E-3</v>
      </c>
      <c r="IJ105" s="27">
        <f>IF(ISNUMBER(IJ104),IJ104*(1+PortfolioFrontier[[#This Row],[P61 Return]]),1+PortfolioFrontier[[#This Row],[P61 Return]])</f>
        <v>1.7660039385902708</v>
      </c>
      <c r="IK105" s="27">
        <f>MAX(IK104,PortfolioFrontier[[#This Row],[P61 Growth]])</f>
        <v>1.7814063603598518</v>
      </c>
      <c r="IL105" s="27">
        <f>PortfolioFrontier[[#This Row],[P61 Growth]]/PortfolioFrontier[[#This Row],[P61 HWM]]-1</f>
        <v>-8.6462146494579173E-3</v>
      </c>
      <c r="IM105" s="28">
        <f>SUMPRODUCT(INDEX(PortfolioRef[[SPY]:[PE]],MATCH(IM$1,PortfolioRef[Reference '#]),0),AssetMonthlyReturns[[#This Row],[SPY]:[PE]])</f>
        <v>-5.2411212746112362E-3</v>
      </c>
      <c r="IN105" s="27">
        <f>IF(ISNUMBER(IN104),IN104*(1+PortfolioFrontier[[#This Row],[P62 Return]]),1+PortfolioFrontier[[#This Row],[P62 Return]])</f>
        <v>1.8256068441305913</v>
      </c>
      <c r="IO105" s="27">
        <f>MAX(IO104,PortfolioFrontier[[#This Row],[P62 Growth]])</f>
        <v>1.8352254834556392</v>
      </c>
      <c r="IP105" s="27">
        <f>PortfolioFrontier[[#This Row],[P62 Growth]]/PortfolioFrontier[[#This Row],[P62 HWM]]-1</f>
        <v>-5.2411212746111824E-3</v>
      </c>
      <c r="IQ105" s="28">
        <f>SUMPRODUCT(INDEX(PortfolioRef[[SPY]:[PE]],MATCH(IQ$1,PortfolioRef[Reference '#]),0),AssetMonthlyReturns[[#This Row],[SPY]:[PE]])</f>
        <v>-8.6621464942712497E-3</v>
      </c>
      <c r="IR105" s="27">
        <f>IF(ISNUMBER(IR104),IR104*(1+PortfolioFrontier[[#This Row],[P63 Return]]),1+PortfolioFrontier[[#This Row],[P63 Return]])</f>
        <v>1.8035698307835752</v>
      </c>
      <c r="IS105" s="27">
        <f>MAX(IS104,PortfolioFrontier[[#This Row],[P63 Growth]])</f>
        <v>1.8193291261959792</v>
      </c>
      <c r="IT105" s="27">
        <f>PortfolioFrontier[[#This Row],[P63 Growth]]/PortfolioFrontier[[#This Row],[P63 HWM]]-1</f>
        <v>-8.6621464942712167E-3</v>
      </c>
      <c r="IU105" s="28">
        <f>SUMPRODUCT(INDEX(PortfolioRef[[SPY]:[PE]],MATCH(IU$1,PortfolioRef[Reference '#]),0),AssetMonthlyReturns[[#This Row],[SPY]:[PE]])</f>
        <v>-6.686744747676809E-3</v>
      </c>
      <c r="IV105" s="27">
        <f>IF(ISNUMBER(IV104),IV104*(1+PortfolioFrontier[[#This Row],[P64 Return]]),1+PortfolioFrontier[[#This Row],[P64 Return]])</f>
        <v>1.7842451212581429</v>
      </c>
      <c r="IW105" s="27">
        <f>MAX(IW104,PortfolioFrontier[[#This Row],[P64 Growth]])</f>
        <v>1.7962562281572552</v>
      </c>
      <c r="IX105" s="27">
        <f>PortfolioFrontier[[#This Row],[P64 Growth]]/PortfolioFrontier[[#This Row],[P64 HWM]]-1</f>
        <v>-6.6867447476768316E-3</v>
      </c>
      <c r="IY105" s="28">
        <f>SUMPRODUCT(INDEX(PortfolioRef[[SPY]:[PE]],MATCH(IY$1,PortfolioRef[Reference '#]),0),AssetMonthlyReturns[[#This Row],[SPY]:[PE]])</f>
        <v>-1.8360278997645025E-3</v>
      </c>
      <c r="IZ105" s="27">
        <f>IF(ISNUMBER(IZ104),IZ104*(1+PortfolioFrontier[[#This Row],[P65 Return]]),1+PortfolioFrontier[[#This Row],[P65 Return]])</f>
        <v>1.8866292608384561</v>
      </c>
      <c r="JA105" s="27">
        <f>MAX(JA104,PortfolioFrontier[[#This Row],[P65 Growth]])</f>
        <v>1.8900995363204722</v>
      </c>
      <c r="JB105" s="27">
        <f>PortfolioFrontier[[#This Row],[P65 Growth]]/PortfolioFrontier[[#This Row],[P65 HWM]]-1</f>
        <v>-1.8360278997644475E-3</v>
      </c>
      <c r="JC105" s="28">
        <f>SUMPRODUCT(INDEX(PortfolioRef[[SPY]:[PE]],MATCH(JC$1,PortfolioRef[Reference '#]),0),AssetMonthlyReturns[[#This Row],[SPY]:[PE]])</f>
        <v>-5.2570531194245131E-3</v>
      </c>
      <c r="JD105" s="27">
        <f>IF(ISNUMBER(JD104),JD104*(1+PortfolioFrontier[[#This Row],[P66 Return]]),1+PortfolioFrontier[[#This Row],[P66 Return]])</f>
        <v>1.8644101712934247</v>
      </c>
      <c r="JE105" s="27">
        <f>MAX(JE104,PortfolioFrontier[[#This Row],[P66 Growth]])</f>
        <v>1.8742632728787345</v>
      </c>
      <c r="JF105" s="27">
        <f>PortfolioFrontier[[#This Row],[P66 Growth]]/PortfolioFrontier[[#This Row],[P66 HWM]]-1</f>
        <v>-5.2570531194244818E-3</v>
      </c>
      <c r="JG105" s="28">
        <f>SUMPRODUCT(INDEX(PortfolioRef[[SPY]:[PE]],MATCH(JG$1,PortfolioRef[Reference '#]),0),AssetMonthlyReturns[[#This Row],[SPY]:[PE]])</f>
        <v>-3.2816513728300737E-3</v>
      </c>
      <c r="JH105" s="27">
        <f>IF(ISNUMBER(JH104),JH104*(1+PortfolioFrontier[[#This Row],[P67 Return]]),1+PortfolioFrontier[[#This Row],[P67 Return]])</f>
        <v>1.8444449440746424</v>
      </c>
      <c r="JI105" s="27">
        <f>MAX(JI104,PortfolioFrontier[[#This Row],[P67 Growth]])</f>
        <v>1.8505176980187923</v>
      </c>
      <c r="JJ105" s="27">
        <f>PortfolioFrontier[[#This Row],[P67 Growth]]/PortfolioFrontier[[#This Row],[P67 HWM]]-1</f>
        <v>-3.2816513728300967E-3</v>
      </c>
      <c r="JK105" s="28">
        <f>SUMPRODUCT(INDEX(PortfolioRef[[SPY]:[PE]],MATCH(JK$1,PortfolioRef[Reference '#]),0),AssetMonthlyReturns[[#This Row],[SPY]:[PE]])</f>
        <v>-8.6780783390845283E-3</v>
      </c>
      <c r="JL105" s="27">
        <f>IF(ISNUMBER(JL104),JL104*(1+PortfolioFrontier[[#This Row],[P68 Return]]),1+PortfolioFrontier[[#This Row],[P68 Return]])</f>
        <v>1.8408805938664488</v>
      </c>
      <c r="JM105" s="27">
        <f>MAX(JM104,PortfolioFrontier[[#This Row],[P68 Growth]])</f>
        <v>1.8569957484468171</v>
      </c>
      <c r="JN105" s="27">
        <f>PortfolioFrontier[[#This Row],[P68 Growth]]/PortfolioFrontier[[#This Row],[P68 HWM]]-1</f>
        <v>-8.6780783390845162E-3</v>
      </c>
      <c r="JO105" s="28">
        <f>SUMPRODUCT(INDEX(PortfolioRef[[SPY]:[PE]],MATCH(JO$1,PortfolioRef[Reference '#]),0),AssetMonthlyReturns[[#This Row],[SPY]:[PE]])</f>
        <v>-6.7026765924900842E-3</v>
      </c>
      <c r="JP105" s="27">
        <f>IF(ISNUMBER(JP104),JP104*(1+PortfolioFrontier[[#This Row],[P69 Return]]),1+PortfolioFrontier[[#This Row],[P69 Return]])</f>
        <v>1.8222991462309857</v>
      </c>
      <c r="JQ105" s="27">
        <f>MAX(JQ104,PortfolioFrontier[[#This Row],[P69 Growth]])</f>
        <v>1.83459584888398</v>
      </c>
      <c r="JR105" s="27">
        <f>PortfolioFrontier[[#This Row],[P69 Growth]]/PortfolioFrontier[[#This Row],[P69 HWM]]-1</f>
        <v>-6.7026765924902421E-3</v>
      </c>
      <c r="JS105" s="28">
        <f>SUMPRODUCT(INDEX(PortfolioRef[[SPY]:[PE]],MATCH(JS$1,PortfolioRef[Reference '#]),0),AssetMonthlyReturns[[#This Row],[SPY]:[PE]])</f>
        <v>-4.7272748458956453E-3</v>
      </c>
      <c r="JT105" s="27">
        <f>IF(ISNUMBER(JT104),JT104*(1+PortfolioFrontier[[#This Row],[P70 Return]]),1+PortfolioFrontier[[#This Row],[P70 Return]])</f>
        <v>1.8024199409091579</v>
      </c>
      <c r="JU105" s="27">
        <f>MAX(JU104,PortfolioFrontier[[#This Row],[P70 Growth]])</f>
        <v>1.8109809455795927</v>
      </c>
      <c r="JV105" s="27">
        <f>PortfolioFrontier[[#This Row],[P70 Growth]]/PortfolioFrontier[[#This Row],[P70 HWM]]-1</f>
        <v>-4.7272748458956348E-3</v>
      </c>
      <c r="JW105" s="28">
        <f>SUMPRODUCT(INDEX(PortfolioRef[[SPY]:[PE]],MATCH(JW$1,PortfolioRef[Reference '#]),0),AssetMonthlyReturns[[#This Row],[SPY]:[PE]])</f>
        <v>-1.8519597445777795E-3</v>
      </c>
      <c r="JX105" s="27">
        <f>IF(ISNUMBER(JX104),JX104*(1+PortfolioFrontier[[#This Row],[P71 Return]]),1+PortfolioFrontier[[#This Row],[P71 Return]])</f>
        <v>1.926698759999701</v>
      </c>
      <c r="JY105" s="27">
        <f>MAX(JY104,PortfolioFrontier[[#This Row],[P71 Growth]])</f>
        <v>1.9302735489083023</v>
      </c>
      <c r="JZ105" s="27">
        <f>PortfolioFrontier[[#This Row],[P71 Growth]]/PortfolioFrontier[[#This Row],[P71 HWM]]-1</f>
        <v>-1.8519597445777469E-3</v>
      </c>
      <c r="KA105" s="28">
        <f>SUMPRODUCT(INDEX(PortfolioRef[[SPY]:[PE]],MATCH(KA$1,PortfolioRef[Reference '#]),0),AssetMonthlyReturns[[#This Row],[SPY]:[PE]])</f>
        <v>1.2344200201666036E-4</v>
      </c>
      <c r="KB105" s="27">
        <f>IF(ISNUMBER(KB104),KB104*(1+PortfolioFrontier[[#This Row],[P72 Return]]),1+PortfolioFrontier[[#This Row],[P72 Return]])</f>
        <v>1.9060781377202527</v>
      </c>
      <c r="KC105" s="27">
        <f>MAX(KC104,PortfolioFrontier[[#This Row],[P72 Growth]])</f>
        <v>1.9060781377202527</v>
      </c>
      <c r="KD105" s="27">
        <f>PortfolioFrontier[[#This Row],[P72 Growth]]/PortfolioFrontier[[#This Row],[P72 HWM]]-1</f>
        <v>0</v>
      </c>
      <c r="KE105" s="28">
        <f>SUMPRODUCT(INDEX(PortfolioRef[[SPY]:[PE]],MATCH(KE$1,PortfolioRef[Reference '#]),0),AssetMonthlyReturns[[#This Row],[SPY]:[PE]])</f>
        <v>-5.2729849642377917E-3</v>
      </c>
      <c r="KF105" s="27">
        <f>IF(ISNUMBER(KF104),KF104*(1+PortfolioFrontier[[#This Row],[P73 Return]]),1+PortfolioFrontier[[#This Row],[P73 Return]])</f>
        <v>1.9029491374574978</v>
      </c>
      <c r="KG105" s="27">
        <f>MAX(KG104,PortfolioFrontier[[#This Row],[P73 Growth]])</f>
        <v>1.9130365504239204</v>
      </c>
      <c r="KH105" s="27">
        <f>PortfolioFrontier[[#This Row],[P73 Growth]]/PortfolioFrontier[[#This Row],[P73 HWM]]-1</f>
        <v>-5.2729849642377813E-3</v>
      </c>
      <c r="KI105" s="28">
        <f>SUMPRODUCT(INDEX(PortfolioRef[[SPY]:[PE]],MATCH(KI$1,PortfolioRef[Reference '#]),0),AssetMonthlyReturns[[#This Row],[SPY]:[PE]])</f>
        <v>-3.2975832176433506E-3</v>
      </c>
      <c r="KJ105" s="27">
        <f>IF(ISNUMBER(KJ104),KJ104*(1+PortfolioFrontier[[#This Row],[P74 Return]]),1+PortfolioFrontier[[#This Row],[P74 Return]])</f>
        <v>1.8837520988940628</v>
      </c>
      <c r="KK105" s="27">
        <f>MAX(KK104,PortfolioFrontier[[#This Row],[P74 Growth]])</f>
        <v>1.889984479996907</v>
      </c>
      <c r="KL105" s="27">
        <f>PortfolioFrontier[[#This Row],[P74 Growth]]/PortfolioFrontier[[#This Row],[P74 HWM]]-1</f>
        <v>-3.2975832176433961E-3</v>
      </c>
      <c r="KM105" s="28">
        <f>SUMPRODUCT(INDEX(PortfolioRef[[SPY]:[PE]],MATCH(KM$1,PortfolioRef[Reference '#]),0),AssetMonthlyReturns[[#This Row],[SPY]:[PE]])</f>
        <v>-1.3221814710489103E-3</v>
      </c>
      <c r="KN105" s="27">
        <f>IF(ISNUMBER(KN104),KN104*(1+PortfolioFrontier[[#This Row],[P75 Return]]),1+PortfolioFrontier[[#This Row],[P75 Return]])</f>
        <v>1.8632142808063239</v>
      </c>
      <c r="KO105" s="27">
        <f>MAX(KO104,PortfolioFrontier[[#This Row],[P75 Growth]])</f>
        <v>1.8656810497211522</v>
      </c>
      <c r="KP105" s="27">
        <f>PortfolioFrontier[[#This Row],[P75 Growth]]/PortfolioFrontier[[#This Row],[P75 HWM]]-1</f>
        <v>-1.3221814710488999E-3</v>
      </c>
      <c r="KQ105" s="28">
        <f>SUMPRODUCT(INDEX(PortfolioRef[[SPY]:[PE]],MATCH(KQ$1,PortfolioRef[Reference '#]),0),AssetMonthlyReturns[[#This Row],[SPY]:[PE]])</f>
        <v>-8.6940101838978035E-3</v>
      </c>
      <c r="KR105" s="27">
        <f>IF(ISNUMBER(KR104),KR104*(1+PortfolioFrontier[[#This Row],[P76 Return]]),1+PortfolioFrontier[[#This Row],[P76 Return]])</f>
        <v>1.8778842104379039</v>
      </c>
      <c r="KS105" s="27">
        <f>MAX(KS104,PortfolioFrontier[[#This Row],[P76 Growth]])</f>
        <v>1.8943537411554139</v>
      </c>
      <c r="KT105" s="27">
        <f>PortfolioFrontier[[#This Row],[P76 Growth]]/PortfolioFrontier[[#This Row],[P76 HWM]]-1</f>
        <v>-8.6940101838978157E-3</v>
      </c>
      <c r="KU105" s="28">
        <f>SUMPRODUCT(INDEX(PortfolioRef[[SPY]:[PE]],MATCH(KU$1,PortfolioRef[Reference '#]),0),AssetMonthlyReturns[[#This Row],[SPY]:[PE]])</f>
        <v>-6.7186084373033628E-3</v>
      </c>
      <c r="KV105" s="27">
        <f>IF(ISNUMBER(KV104),KV104*(1+PortfolioFrontier[[#This Row],[P77 Return]]),1+PortfolioFrontier[[#This Row],[P77 Return]])</f>
        <v>1.8600997112325444</v>
      </c>
      <c r="KW105" s="27">
        <f>MAX(KW104,PortfolioFrontier[[#This Row],[P77 Growth]])</f>
        <v>1.872681525127649</v>
      </c>
      <c r="KX105" s="27">
        <f>PortfolioFrontier[[#This Row],[P77 Growth]]/PortfolioFrontier[[#This Row],[P77 HWM]]-1</f>
        <v>-6.7186084373033195E-3</v>
      </c>
      <c r="KY105" s="28">
        <f>SUMPRODUCT(INDEX(PortfolioRef[[SPY]:[PE]],MATCH(KY$1,PortfolioRef[Reference '#]),0),AssetMonthlyReturns[[#This Row],[SPY]:[PE]])</f>
        <v>-4.7432066907089222E-3</v>
      </c>
      <c r="KZ105" s="27">
        <f>IF(ISNUMBER(KZ104),KZ104*(1+PortfolioFrontier[[#This Row],[P78 Return]]),1+PortfolioFrontier[[#This Row],[P78 Return]])</f>
        <v>1.8409628048990763</v>
      </c>
      <c r="LA105" s="27">
        <f>MAX(LA104,PortfolioFrontier[[#This Row],[P78 Growth]])</f>
        <v>1.8497364873820754</v>
      </c>
      <c r="LB105" s="27">
        <f>PortfolioFrontier[[#This Row],[P78 Growth]]/PortfolioFrontier[[#This Row],[P78 HWM]]-1</f>
        <v>-4.7432066907089343E-3</v>
      </c>
      <c r="LC105" s="28">
        <f>SUMPRODUCT(INDEX(PortfolioRef[[SPY]:[PE]],MATCH(LC$1,PortfolioRef[Reference '#]),0),AssetMonthlyReturns[[#This Row],[SPY]:[PE]])</f>
        <v>-1.867891589391059E-3</v>
      </c>
      <c r="LD105" s="27">
        <f>IF(ISNUMBER(LD104),LD104*(1+PortfolioFrontier[[#This Row],[P79 Return]]),1+PortfolioFrontier[[#This Row],[P79 Return]])</f>
        <v>1.966494431127072</v>
      </c>
      <c r="LE105" s="27">
        <f>MAX(LE104,PortfolioFrontier[[#This Row],[P79 Growth]])</f>
        <v>1.9701745035118143</v>
      </c>
      <c r="LF105" s="27">
        <f>PortfolioFrontier[[#This Row],[P79 Growth]]/PortfolioFrontier[[#This Row],[P79 HWM]]-1</f>
        <v>-1.8678915893910464E-3</v>
      </c>
      <c r="LG105" s="28">
        <f>SUMPRODUCT(INDEX(PortfolioRef[[SPY]:[PE]],MATCH(LG$1,PortfolioRef[Reference '#]),0),AssetMonthlyReturns[[#This Row],[SPY]:[PE]])</f>
        <v>1.0751015720338259E-4</v>
      </c>
      <c r="LH105" s="27">
        <f>IF(ISNUMBER(LH104),LH104*(1+PortfolioFrontier[[#This Row],[P80 Return]]),1+PortfolioFrontier[[#This Row],[P80 Return]])</f>
        <v>1.9466675168833527</v>
      </c>
      <c r="LI105" s="27">
        <f>MAX(LI104,PortfolioFrontier[[#This Row],[P80 Growth]])</f>
        <v>1.9466675168833527</v>
      </c>
      <c r="LJ105" s="27">
        <f>PortfolioFrontier[[#This Row],[P80 Growth]]/PortfolioFrontier[[#This Row],[P80 HWM]]-1</f>
        <v>0</v>
      </c>
      <c r="LK105" s="28">
        <f>SUMPRODUCT(INDEX(PortfolioRef[[SPY]:[PE]],MATCH(LK$1,PortfolioRef[Reference '#]),0),AssetMonthlyReturns[[#This Row],[SPY]:[PE]])</f>
        <v>2.0829119037978228E-3</v>
      </c>
      <c r="LL105" s="27">
        <f>IF(ISNUMBER(LL104),LL104*(1+PortfolioFrontier[[#This Row],[P81 Return]]),1+PortfolioFrontier[[#This Row],[P81 Return]])</f>
        <v>1.9254557919339006</v>
      </c>
      <c r="LM105" s="27">
        <f>MAX(LM104,PortfolioFrontier[[#This Row],[P81 Growth]])</f>
        <v>1.9254557919339006</v>
      </c>
      <c r="LN105" s="27">
        <f>PortfolioFrontier[[#This Row],[P81 Growth]]/PortfolioFrontier[[#This Row],[P81 HWM]]-1</f>
        <v>0</v>
      </c>
      <c r="LO105" s="28">
        <f>SUMPRODUCT(INDEX(PortfolioRef[[SPY]:[PE]],MATCH(LO$1,PortfolioRef[Reference '#]),0),AssetMonthlyReturns[[#This Row],[SPY]:[PE]])</f>
        <v>-5.2889168090510703E-3</v>
      </c>
      <c r="LP105" s="27">
        <f>IF(ISNUMBER(LP104),LP104*(1+PortfolioFrontier[[#This Row],[P82 Return]]),1+PortfolioFrontier[[#This Row],[P82 Return]])</f>
        <v>1.9411700238258698</v>
      </c>
      <c r="LQ105" s="27">
        <f>MAX(LQ104,PortfolioFrontier[[#This Row],[P82 Growth]])</f>
        <v>1.9514912989596545</v>
      </c>
      <c r="LR105" s="27">
        <f>PortfolioFrontier[[#This Row],[P82 Growth]]/PortfolioFrontier[[#This Row],[P82 HWM]]-1</f>
        <v>-5.2889168090510807E-3</v>
      </c>
      <c r="LS105" s="28">
        <f>SUMPRODUCT(INDEX(PortfolioRef[[SPY]:[PE]],MATCH(LS$1,PortfolioRef[Reference '#]),0),AssetMonthlyReturns[[#This Row],[SPY]:[PE]])</f>
        <v>-3.3135150624566301E-3</v>
      </c>
      <c r="LT105" s="27">
        <f>IF(ISNUMBER(LT104),LT104*(1+PortfolioFrontier[[#This Row],[P83 Return]]),1+PortfolioFrontier[[#This Row],[P83 Return]])</f>
        <v>1.9227966087389381</v>
      </c>
      <c r="LU105" s="27">
        <f>MAX(LU104,PortfolioFrontier[[#This Row],[P83 Growth]])</f>
        <v>1.9291890055672107</v>
      </c>
      <c r="LV105" s="27">
        <f>PortfolioFrontier[[#This Row],[P83 Growth]]/PortfolioFrontier[[#This Row],[P83 HWM]]-1</f>
        <v>-3.3135150624565846E-3</v>
      </c>
      <c r="LW105" s="28">
        <f>SUMPRODUCT(INDEX(PortfolioRef[[SPY]:[PE]],MATCH(LW$1,PortfolioRef[Reference '#]),0),AssetMonthlyReturns[[#This Row],[SPY]:[PE]])</f>
        <v>-1.3381133158621881E-3</v>
      </c>
      <c r="LX105" s="27">
        <f>IF(ISNUMBER(LX104),LX104*(1+PortfolioFrontier[[#This Row],[P84 Return]]),1+PortfolioFrontier[[#This Row],[P84 Return]])</f>
        <v>1.9030259876526072</v>
      </c>
      <c r="LY105" s="27">
        <f>MAX(LY104,PortfolioFrontier[[#This Row],[P84 Growth]])</f>
        <v>1.9055758640907325</v>
      </c>
      <c r="LZ105" s="27">
        <f>PortfolioFrontier[[#This Row],[P84 Growth]]/PortfolioFrontier[[#This Row],[P84 HWM]]-1</f>
        <v>-1.3381133158621994E-3</v>
      </c>
      <c r="MA105" s="28">
        <f>SUMPRODUCT(INDEX(PortfolioRef[[SPY]:[PE]],MATCH(MA$1,PortfolioRef[Reference '#]),0),AssetMonthlyReturns[[#This Row],[SPY]:[PE]])</f>
        <v>-8.7099420287110822E-3</v>
      </c>
      <c r="MB105" s="27">
        <f>IF(ISNUMBER(MB104),MB104*(1+PortfolioFrontier[[#This Row],[P85 Return]]),1+PortfolioFrontier[[#This Row],[P85 Return]])</f>
        <v>1.914527702988198</v>
      </c>
      <c r="MC105" s="27">
        <f>MAX(MC104,PortfolioFrontier[[#This Row],[P85 Growth]])</f>
        <v>1.9313496464459137</v>
      </c>
      <c r="MD105" s="27">
        <f>PortfolioFrontier[[#This Row],[P85 Growth]]/PortfolioFrontier[[#This Row],[P85 HWM]]-1</f>
        <v>-8.7099420287111151E-3</v>
      </c>
      <c r="ME105" s="28">
        <f>SUMPRODUCT(INDEX(PortfolioRef[[SPY]:[PE]],MATCH(ME$1,PortfolioRef[Reference '#]),0),AssetMonthlyReturns[[#This Row],[SPY]:[PE]])</f>
        <v>-6.7345402821166415E-3</v>
      </c>
      <c r="MF105" s="27">
        <f>IF(ISNUMBER(MF104),MF104*(1+PortfolioFrontier[[#This Row],[P86 Return]]),1+PortfolioFrontier[[#This Row],[P86 Return]])</f>
        <v>1.8975942361496785</v>
      </c>
      <c r="MG105" s="27">
        <f>MAX(MG104,PortfolioFrontier[[#This Row],[P86 Growth]])</f>
        <v>1.9104603080516371</v>
      </c>
      <c r="MH105" s="27">
        <f>PortfolioFrontier[[#This Row],[P86 Growth]]/PortfolioFrontier[[#This Row],[P86 HWM]]-1</f>
        <v>-6.7345402821166189E-3</v>
      </c>
      <c r="MI105" s="28">
        <f>SUMPRODUCT(INDEX(PortfolioRef[[SPY]:[PE]],MATCH(MI$1,PortfolioRef[Reference '#]),0),AssetMonthlyReturns[[#This Row],[SPY]:[PE]])</f>
        <v>-4.7591385355222017E-3</v>
      </c>
      <c r="MJ105" s="27">
        <f>IF(ISNUMBER(MJ104),MJ104*(1+PortfolioFrontier[[#This Row],[P87 Return]]),1+PortfolioFrontier[[#This Row],[P87 Return]])</f>
        <v>1.8792539788080007</v>
      </c>
      <c r="MK105" s="27">
        <f>MAX(MK104,PortfolioFrontier[[#This Row],[P87 Growth]])</f>
        <v>1.8882403763474047</v>
      </c>
      <c r="ML105" s="27">
        <f>PortfolioFrontier[[#This Row],[P87 Growth]]/PortfolioFrontier[[#This Row],[P87 HWM]]-1</f>
        <v>-4.7591385355222338E-3</v>
      </c>
      <c r="MM105" s="28">
        <f>SUMPRODUCT(INDEX(PortfolioRef[[SPY]:[PE]],MATCH(MM$1,PortfolioRef[Reference '#]),0),AssetMonthlyReturns[[#This Row],[SPY]:[PE]])</f>
        <v>-1.883823434204335E-3</v>
      </c>
      <c r="MN105" s="27">
        <f>IF(ISNUMBER(MN104),MN104*(1+PortfolioFrontier[[#This Row],[P88 Return]]),1+PortfolioFrontier[[#This Row],[P88 Return]])</f>
        <v>2.0059608148049026</v>
      </c>
      <c r="MO105" s="27">
        <f>MAX(MO104,PortfolioFrontier[[#This Row],[P88 Growth]])</f>
        <v>2.0097468229668252</v>
      </c>
      <c r="MP105" s="27">
        <f>PortfolioFrontier[[#This Row],[P88 Growth]]/PortfolioFrontier[[#This Row],[P88 HWM]]-1</f>
        <v>-1.8838234342043458E-3</v>
      </c>
      <c r="MQ105" s="28">
        <f>SUMPRODUCT(INDEX(PortfolioRef[[SPY]:[PE]],MATCH(MQ$1,PortfolioRef[Reference '#]),0),AssetMonthlyReturns[[#This Row],[SPY]:[PE]])</f>
        <v>9.1578312390104815E-5</v>
      </c>
      <c r="MR105" s="27">
        <f>IF(ISNUMBER(MR104),MR104*(1+PortfolioFrontier[[#This Row],[P89 Return]]),1+PortfolioFrontier[[#This Row],[P89 Return]])</f>
        <v>1.986984831803996</v>
      </c>
      <c r="MS105" s="27">
        <f>MAX(MS104,PortfolioFrontier[[#This Row],[P89 Growth]])</f>
        <v>1.986984831803996</v>
      </c>
      <c r="MT105" s="27">
        <f>PortfolioFrontier[[#This Row],[P89 Growth]]/PortfolioFrontier[[#This Row],[P89 HWM]]-1</f>
        <v>0</v>
      </c>
      <c r="MU105" s="28">
        <f>SUMPRODUCT(INDEX(PortfolioRef[[SPY]:[PE]],MATCH(MU$1,PortfolioRef[Reference '#]),0),AssetMonthlyReturns[[#This Row],[SPY]:[PE]])</f>
        <v>2.0669800589845468E-3</v>
      </c>
      <c r="MV105" s="27">
        <f>IF(ISNUMBER(MV104),MV104*(1+PortfolioFrontier[[#This Row],[P90 Return]]),1+PortfolioFrontier[[#This Row],[P90 Return]])</f>
        <v>1.9665657939521743</v>
      </c>
      <c r="MW105" s="27">
        <f>MAX(MW104,PortfolioFrontier[[#This Row],[P90 Growth]])</f>
        <v>1.9665657939521743</v>
      </c>
      <c r="MX105" s="27">
        <f>PortfolioFrontier[[#This Row],[P90 Growth]]/PortfolioFrontier[[#This Row],[P90 HWM]]-1</f>
        <v>0</v>
      </c>
      <c r="MY105" s="28">
        <f>SUMPRODUCT(INDEX(PortfolioRef[[SPY]:[PE]],MATCH(MY$1,PortfolioRef[Reference '#]),0),AssetMonthlyReturns[[#This Row],[SPY]:[PE]])</f>
        <v>-5.3048486538643455E-3</v>
      </c>
      <c r="MZ105" s="27">
        <f>IF(ISNUMBER(MZ104),MZ104*(1+PortfolioFrontier[[#This Row],[P91 Return]]),1+PortfolioFrontier[[#This Row],[P91 Return]])</f>
        <v>1.9790181222086416</v>
      </c>
      <c r="NA105" s="27">
        <f>MAX(NA104,PortfolioFrontier[[#This Row],[P91 Growth]])</f>
        <v>1.9895725032241358</v>
      </c>
      <c r="NB105" s="27">
        <f>PortfolioFrontier[[#This Row],[P91 Growth]]/PortfolioFrontier[[#This Row],[P91 HWM]]-1</f>
        <v>-5.3048486538643802E-3</v>
      </c>
      <c r="NC105" s="28">
        <f>SUMPRODUCT(INDEX(PortfolioRef[[SPY]:[PE]],MATCH(NC$1,PortfolioRef[Reference '#]),0),AssetMonthlyReturns[[#This Row],[SPY]:[PE]])</f>
        <v>-3.3294469072699061E-3</v>
      </c>
      <c r="ND105" s="27">
        <f>IF(ISNUMBER(ND104),ND104*(1+PortfolioFrontier[[#This Row],[P92 Return]]),1+PortfolioFrontier[[#This Row],[P92 Return]])</f>
        <v>1.9615241741699034</v>
      </c>
      <c r="NE105" s="27">
        <f>MAX(NE104,PortfolioFrontier[[#This Row],[P92 Growth]])</f>
        <v>1.9680767813227482</v>
      </c>
      <c r="NF105" s="27">
        <f>PortfolioFrontier[[#This Row],[P92 Growth]]/PortfolioFrontier[[#This Row],[P92 HWM]]-1</f>
        <v>-3.329446907269884E-3</v>
      </c>
      <c r="NG105" s="28">
        <f>SUMPRODUCT(INDEX(PortfolioRef[[SPY]:[PE]],MATCH(NG$1,PortfolioRef[Reference '#]),0),AssetMonthlyReturns[[#This Row],[SPY]:[PE]])</f>
        <v>-1.3540451606754659E-3</v>
      </c>
      <c r="NH105" s="27">
        <f>IF(ISNUMBER(NH104),NH104*(1+PortfolioFrontier[[#This Row],[P93 Return]]),1+PortfolioFrontier[[#This Row],[P93 Return]])</f>
        <v>1.9425768695444365</v>
      </c>
      <c r="NI105" s="27">
        <f>MAX(NI104,PortfolioFrontier[[#This Row],[P93 Growth]])</f>
        <v>1.9452107727778101</v>
      </c>
      <c r="NJ105" s="27">
        <f>PortfolioFrontier[[#This Row],[P93 Growth]]/PortfolioFrontier[[#This Row],[P93 HWM]]-1</f>
        <v>-1.3540451606754988E-3</v>
      </c>
      <c r="NK105" s="28">
        <f>SUMPRODUCT(INDEX(PortfolioRef[[SPY]:[PE]],MATCH(NK$1,PortfolioRef[Reference '#]),0),AssetMonthlyReturns[[#This Row],[SPY]:[PE]])</f>
        <v>-8.7258738735243573E-3</v>
      </c>
      <c r="NL105" s="27">
        <f>IF(ISNUMBER(NL104),NL104*(1+PortfolioFrontier[[#This Row],[P94 Return]]),1+PortfolioFrontier[[#This Row],[P94 Return]])</f>
        <v>1.95075721835347</v>
      </c>
      <c r="NM105" s="27">
        <f>MAX(NM104,PortfolioFrontier[[#This Row],[P94 Growth]])</f>
        <v>1.9679291196435151</v>
      </c>
      <c r="NN105" s="27">
        <f>PortfolioFrontier[[#This Row],[P94 Growth]]/PortfolioFrontier[[#This Row],[P94 HWM]]-1</f>
        <v>-8.7258738735243035E-3</v>
      </c>
      <c r="NO105" s="28">
        <f>SUMPRODUCT(INDEX(PortfolioRef[[SPY]:[PE]],MATCH(NO$1,PortfolioRef[Reference '#]),0),AssetMonthlyReturns[[#This Row],[SPY]:[PE]])</f>
        <v>-6.7504721269299166E-3</v>
      </c>
      <c r="NP105" s="27">
        <f>IF(ISNUMBER(NP104),NP104*(1+PortfolioFrontier[[#This Row],[P95 Return]]),1+PortfolioFrontier[[#This Row],[P95 Return]])</f>
        <v>1.9347291606101291</v>
      </c>
      <c r="NQ105" s="27">
        <f>MAX(NQ104,PortfolioFrontier[[#This Row],[P95 Growth]])</f>
        <v>1.9478782585007914</v>
      </c>
      <c r="NR105" s="27">
        <f>PortfolioFrontier[[#This Row],[P95 Growth]]/PortfolioFrontier[[#This Row],[P95 HWM]]-1</f>
        <v>-6.7504721269299184E-3</v>
      </c>
      <c r="NS105" s="28">
        <f>SUMPRODUCT(INDEX(PortfolioRef[[SPY]:[PE]],MATCH(NS$1,PortfolioRef[Reference '#]),0),AssetMonthlyReturns[[#This Row],[SPY]:[PE]])</f>
        <v>-4.7750703803354777E-3</v>
      </c>
      <c r="NT105" s="27">
        <f>IF(ISNUMBER(NT104),NT104*(1+PortfolioFrontier[[#This Row],[P96 Return]]),1+PortfolioFrontier[[#This Row],[P96 Return]])</f>
        <v>1.9172403211936746</v>
      </c>
      <c r="NU105" s="27">
        <f>MAX(NU104,PortfolioFrontier[[#This Row],[P96 Growth]])</f>
        <v>1.926439203976098</v>
      </c>
      <c r="NV105" s="27">
        <f>PortfolioFrontier[[#This Row],[P96 Growth]]/PortfolioFrontier[[#This Row],[P96 HWM]]-1</f>
        <v>-4.7750703803355332E-3</v>
      </c>
      <c r="NW105" s="28">
        <f>SUMPRODUCT(INDEX(PortfolioRef[[SPY]:[PE]],MATCH(NW$1,PortfolioRef[Reference '#]),0),AssetMonthlyReturns[[#This Row],[SPY]:[PE]])</f>
        <v>-9.6070317771148016E-3</v>
      </c>
      <c r="NX105" s="27">
        <f>IF(ISNUMBER(NX104),NX104*(1+PortfolioFrontier[[#This Row],[P97 Return]]),1+PortfolioFrontier[[#This Row],[P97 Return]])</f>
        <v>1.6726243918910433</v>
      </c>
      <c r="NY105" s="27">
        <f>MAX(NY104,PortfolioFrontier[[#This Row],[P97 Growth]])</f>
        <v>1.6888492200144778</v>
      </c>
      <c r="NZ105" s="27">
        <f>PortfolioFrontier[[#This Row],[P97 Growth]]/PortfolioFrontier[[#This Row],[P97 HWM]]-1</f>
        <v>-9.6070317771147495E-3</v>
      </c>
      <c r="OA105" s="28">
        <f>SUMPRODUCT(INDEX(PortfolioRef[[SPY]:[PE]],MATCH(OA$1,PortfolioRef[Reference '#]),0),AssetMonthlyReturns[[#This Row],[SPY]:[PE]])</f>
        <v>-6.2019384022680649E-3</v>
      </c>
      <c r="OB105" s="27">
        <f>IF(ISNUMBER(OB104),OB104*(1+PortfolioFrontier[[#This Row],[P98 Return]]),1+PortfolioFrontier[[#This Row],[P98 Return]])</f>
        <v>1.7290943199554174</v>
      </c>
      <c r="OC105" s="27">
        <f>MAX(OC104,PortfolioFrontier[[#This Row],[P98 Growth]])</f>
        <v>1.7398849794248417</v>
      </c>
      <c r="OD105" s="27">
        <f>PortfolioFrontier[[#This Row],[P98 Growth]]/PortfolioFrontier[[#This Row],[P98 HWM]]-1</f>
        <v>-6.2019384022680146E-3</v>
      </c>
      <c r="OE105" s="28">
        <f>SUMPRODUCT(INDEX(PortfolioRef[[SPY]:[PE]],MATCH(OE$1,PortfolioRef[Reference '#]),0),AssetMonthlyReturns[[#This Row],[SPY]:[PE]])</f>
        <v>-9.6229636219280785E-3</v>
      </c>
      <c r="OF105" s="27">
        <f>IF(ISNUMBER(OF104),OF104*(1+PortfolioFrontier[[#This Row],[P99 Return]]),1+PortfolioFrontier[[#This Row],[P99 Return]])</f>
        <v>1.7088692850603233</v>
      </c>
      <c r="OG105" s="27">
        <f>MAX(OG104,PortfolioFrontier[[#This Row],[P99 Growth]])</f>
        <v>1.725473453332343</v>
      </c>
      <c r="OH105" s="27">
        <f>PortfolioFrontier[[#This Row],[P99 Growth]]/PortfolioFrontier[[#This Row],[P99 HWM]]-1</f>
        <v>-9.622963621928049E-3</v>
      </c>
      <c r="OI105" s="28">
        <f>SUMPRODUCT(INDEX(PortfolioRef[[SPY]:[PE]],MATCH(OI$1,PortfolioRef[Reference '#]),0),AssetMonthlyReturns[[#This Row],[SPY]:[PE]])</f>
        <v>-7.6475618753336378E-3</v>
      </c>
      <c r="OJ105" s="27">
        <f>IF(ISNUMBER(OJ104),OJ104*(1+PortfolioFrontier[[#This Row],[P100 Return]]),1+PortfolioFrontier[[#This Row],[P100 Return]])</f>
        <v>1.6899191932193089</v>
      </c>
      <c r="OK105" s="27">
        <f>MAX(OK104,PortfolioFrontier[[#This Row],[P100 Growth]])</f>
        <v>1.7029425517539862</v>
      </c>
      <c r="OL105" s="27">
        <f>PortfolioFrontier[[#This Row],[P100 Growth]]/PortfolioFrontier[[#This Row],[P100 HWM]]-1</f>
        <v>-7.6475618753336638E-3</v>
      </c>
      <c r="OM105" s="28">
        <f>SUMPRODUCT(INDEX(PortfolioRef[[SPY]:[PE]],MATCH(OM$1,PortfolioRef[Reference '#]),0),AssetMonthlyReturns[[#This Row],[SPY]:[PE]])</f>
        <v>-2.7968450274213296E-3</v>
      </c>
      <c r="ON105" s="27">
        <f>IF(ISNUMBER(ON104),ON104*(1+PortfolioFrontier[[#This Row],[P101 Return]]),1+PortfolioFrontier[[#This Row],[P101 Return]])</f>
        <v>1.7869089327163803</v>
      </c>
      <c r="OO105" s="27">
        <f>MAX(OO104,PortfolioFrontier[[#This Row],[P101 Growth]])</f>
        <v>1.7919206570957118</v>
      </c>
      <c r="OP105" s="27">
        <f>PortfolioFrontier[[#This Row],[P101 Growth]]/PortfolioFrontier[[#This Row],[P101 HWM]]-1</f>
        <v>-2.7968450274211687E-3</v>
      </c>
      <c r="OQ105" s="28">
        <f>SUMPRODUCT(INDEX(PortfolioRef[[SPY]:[PE]],MATCH(OQ$1,PortfolioRef[Reference '#]),0),AssetMonthlyReturns[[#This Row],[SPY]:[PE]])</f>
        <v>-6.2178702470813401E-3</v>
      </c>
      <c r="OR105" s="27">
        <f>IF(ISNUMBER(OR104),OR104*(1+PortfolioFrontier[[#This Row],[P102 Return]]),1+PortfolioFrontier[[#This Row],[P102 Return]])</f>
        <v>1.7665337537702157</v>
      </c>
      <c r="OS105" s="27">
        <f>MAX(OS104,PortfolioFrontier[[#This Row],[P102 Growth]])</f>
        <v>1.7775865563304345</v>
      </c>
      <c r="OT105" s="27">
        <f>PortfolioFrontier[[#This Row],[P102 Growth]]/PortfolioFrontier[[#This Row],[P102 HWM]]-1</f>
        <v>-6.2178702470813141E-3</v>
      </c>
      <c r="OU105" s="28">
        <f>SUMPRODUCT(INDEX(PortfolioRef[[SPY]:[PE]],MATCH(OU$1,PortfolioRef[Reference '#]),0),AssetMonthlyReturns[[#This Row],[SPY]:[PE]])</f>
        <v>-4.2424685004869012E-3</v>
      </c>
      <c r="OV105" s="27">
        <f>IF(ISNUMBER(OV104),OV104*(1+PortfolioFrontier[[#This Row],[P103 Return]]),1+PortfolioFrontier[[#This Row],[P103 Return]])</f>
        <v>1.7469553048653632</v>
      </c>
      <c r="OW105" s="27">
        <f>MAX(OW104,PortfolioFrontier[[#This Row],[P103 Growth]])</f>
        <v>1.7543982843239156</v>
      </c>
      <c r="OX105" s="27">
        <f>PortfolioFrontier[[#This Row],[P103 Growth]]/PortfolioFrontier[[#This Row],[P103 HWM]]-1</f>
        <v>-4.2424685004869289E-3</v>
      </c>
      <c r="OY105" s="28">
        <f>SUMPRODUCT(INDEX(PortfolioRef[[SPY]:[PE]],MATCH(OY$1,PortfolioRef[Reference '#]),0),AssetMonthlyReturns[[#This Row],[SPY]:[PE]])</f>
        <v>-9.6388954667413537E-3</v>
      </c>
      <c r="OZ105" s="27">
        <f>IF(ISNUMBER(OZ104),OZ104*(1+PortfolioFrontier[[#This Row],[P104 Return]]),1+PortfolioFrontier[[#This Row],[P104 Return]])</f>
        <v>1.7449021675682173</v>
      </c>
      <c r="PA105" s="27">
        <f>MAX(PA104,PortfolioFrontier[[#This Row],[P104 Growth]])</f>
        <v>1.7618847908920674</v>
      </c>
      <c r="PB105" s="27">
        <f>PortfolioFrontier[[#This Row],[P104 Growth]]/PortfolioFrontier[[#This Row],[P104 HWM]]-1</f>
        <v>-9.6388954667413485E-3</v>
      </c>
      <c r="PC105" s="28">
        <f>SUMPRODUCT(INDEX(PortfolioRef[[SPY]:[PE]],MATCH(PC$1,PortfolioRef[Reference '#]),0),AssetMonthlyReturns[[#This Row],[SPY]:[PE]])</f>
        <v>-7.663493720146913E-3</v>
      </c>
      <c r="PD105" s="27">
        <f>IF(ISNUMBER(PD104),PD104*(1+PortfolioFrontier[[#This Row],[P105 Return]]),1+PortfolioFrontier[[#This Row],[P105 Return]])</f>
        <v>1.7266336895590455</v>
      </c>
      <c r="PE105" s="27">
        <f>MAX(PE104,PortfolioFrontier[[#This Row],[P105 Growth]])</f>
        <v>1.7399679228087475</v>
      </c>
      <c r="PF105" s="27">
        <f>PortfolioFrontier[[#This Row],[P105 Growth]]/PortfolioFrontier[[#This Row],[P105 HWM]]-1</f>
        <v>-7.6634937201469633E-3</v>
      </c>
      <c r="PG105" s="28">
        <f>SUMPRODUCT(INDEX(PortfolioRef[[SPY]:[PE]],MATCH(PG$1,PortfolioRef[Reference '#]),0),AssetMonthlyReturns[[#This Row],[SPY]:[PE]])</f>
        <v>-5.6880919735524732E-3</v>
      </c>
      <c r="PH105" s="27">
        <f>IF(ISNUMBER(PH104),PH104*(1+PortfolioFrontier[[#This Row],[P106 Return]]),1+PortfolioFrontier[[#This Row],[P106 Return]])</f>
        <v>1.7071514844144806</v>
      </c>
      <c r="PI105" s="27">
        <f>MAX(PI104,PortfolioFrontier[[#This Row],[P106 Growth]])</f>
        <v>1.7169174688885174</v>
      </c>
      <c r="PJ105" s="27">
        <f>PortfolioFrontier[[#This Row],[P106 Growth]]/PortfolioFrontier[[#This Row],[P106 HWM]]-1</f>
        <v>-5.6880919735524671E-3</v>
      </c>
      <c r="PK105" s="28">
        <f>SUMPRODUCT(INDEX(PortfolioRef[[SPY]:[PE]],MATCH(PK$1,PortfolioRef[Reference '#]),0),AssetMonthlyReturns[[#This Row],[SPY]:[PE]])</f>
        <v>-2.8127768722346065E-3</v>
      </c>
      <c r="PL105" s="27">
        <f>IF(ISNUMBER(PL104),PL104*(1+PortfolioFrontier[[#This Row],[P107 Return]]),1+PortfolioFrontier[[#This Row],[P107 Return]])</f>
        <v>1.825570652007124</v>
      </c>
      <c r="PM105" s="27">
        <f>MAX(PM104,PortfolioFrontier[[#This Row],[P107 Growth]])</f>
        <v>1.8307200590487522</v>
      </c>
      <c r="PN105" s="27">
        <f>PortfolioFrontier[[#This Row],[P107 Growth]]/PortfolioFrontier[[#This Row],[P107 HWM]]-1</f>
        <v>-2.8127768722345792E-3</v>
      </c>
      <c r="PO105" s="28">
        <f>SUMPRODUCT(INDEX(PortfolioRef[[SPY]:[PE]],MATCH(PO$1,PortfolioRef[Reference '#]),0),AssetMonthlyReturns[[#This Row],[SPY]:[PE]])</f>
        <v>-8.3737512564016668E-4</v>
      </c>
      <c r="PP105" s="27">
        <f>IF(ISNUMBER(PP104),PP104*(1+PortfolioFrontier[[#This Row],[P108 Return]]),1+PortfolioFrontier[[#This Row],[P108 Return]])</f>
        <v>1.8053492474586963</v>
      </c>
      <c r="PQ105" s="27">
        <f>MAX(PQ104,PortfolioFrontier[[#This Row],[P108 Growth]])</f>
        <v>1.8068622689781964</v>
      </c>
      <c r="PR105" s="27">
        <f>PortfolioFrontier[[#This Row],[P108 Growth]]/PortfolioFrontier[[#This Row],[P108 HWM]]-1</f>
        <v>-8.3737512564019401E-4</v>
      </c>
      <c r="PS105" s="28">
        <f>SUMPRODUCT(INDEX(PortfolioRef[[SPY]:[PE]],MATCH(PS$1,PortfolioRef[Reference '#]),0),AssetMonthlyReturns[[#This Row],[SPY]:[PE]])</f>
        <v>-6.2338020918946187E-3</v>
      </c>
      <c r="PT105" s="27">
        <f>IF(ISNUMBER(PT104),PT104*(1+PortfolioFrontier[[#This Row],[P109 Return]]),1+PortfolioFrontier[[#This Row],[P109 Return]])</f>
        <v>1.8037533930668035</v>
      </c>
      <c r="PU105" s="27">
        <f>MAX(PU104,PortfolioFrontier[[#This Row],[P109 Growth]])</f>
        <v>1.8150681688144905</v>
      </c>
      <c r="PV105" s="27">
        <f>PortfolioFrontier[[#This Row],[P109 Growth]]/PortfolioFrontier[[#This Row],[P109 HWM]]-1</f>
        <v>-6.2338020918946135E-3</v>
      </c>
      <c r="PW105" s="28">
        <f>SUMPRODUCT(INDEX(PortfolioRef[[SPY]:[PE]],MATCH(PW$1,PortfolioRef[Reference '#]),0),AssetMonthlyReturns[[#This Row],[SPY]:[PE]])</f>
        <v>-4.2584003453001781E-3</v>
      </c>
      <c r="PX105" s="27">
        <f>IF(ISNUMBER(PX104),PX104*(1+PortfolioFrontier[[#This Row],[P110 Return]]),1+PortfolioFrontier[[#This Row],[P110 Return]])</f>
        <v>1.7848794472313048</v>
      </c>
      <c r="PY105" s="27">
        <f>MAX(PY104,PortfolioFrontier[[#This Row],[P110 Growth]])</f>
        <v>1.792512683863223</v>
      </c>
      <c r="PZ105" s="27">
        <f>PortfolioFrontier[[#This Row],[P110 Growth]]/PortfolioFrontier[[#This Row],[P110 HWM]]-1</f>
        <v>-4.2584003453002284E-3</v>
      </c>
      <c r="QA105" s="28">
        <f>SUMPRODUCT(INDEX(PortfolioRef[[SPY]:[PE]],MATCH(QA$1,PortfolioRef[Reference '#]),0),AssetMonthlyReturns[[#This Row],[SPY]:[PE]])</f>
        <v>-2.2829985987057374E-3</v>
      </c>
      <c r="QB105" s="27">
        <f>IF(ISNUMBER(QB104),QB104*(1+PortfolioFrontier[[#This Row],[P111 Return]]),1+PortfolioFrontier[[#This Row],[P111 Return]])</f>
        <v>1.7647515170654706</v>
      </c>
      <c r="QC105" s="27">
        <f>MAX(QC104,PortfolioFrontier[[#This Row],[P111 Growth]])</f>
        <v>1.768789661383815</v>
      </c>
      <c r="QD105" s="27">
        <f>PortfolioFrontier[[#This Row],[P111 Growth]]/PortfolioFrontier[[#This Row],[P111 HWM]]-1</f>
        <v>-2.2829985987057322E-3</v>
      </c>
      <c r="QE105" s="28">
        <f>SUMPRODUCT(INDEX(PortfolioRef[[SPY]:[PE]],MATCH(QE$1,PortfolioRef[Reference '#]),0),AssetMonthlyReturns[[#This Row],[SPY]:[PE]])</f>
        <v>-9.6548273115546323E-3</v>
      </c>
      <c r="QF105" s="27">
        <f>IF(ISNUMBER(QF104),QF104*(1+PortfolioFrontier[[#This Row],[P112 Return]]),1+PortfolioFrontier[[#This Row],[P112 Return]])</f>
        <v>1.7806736965195205</v>
      </c>
      <c r="QG105" s="27">
        <f>MAX(QG104,PortfolioFrontier[[#This Row],[P112 Growth]])</f>
        <v>1.7980333984822745</v>
      </c>
      <c r="QH105" s="27">
        <f>PortfolioFrontier[[#This Row],[P112 Growth]]/PortfolioFrontier[[#This Row],[P112 HWM]]-1</f>
        <v>-9.6548273115546479E-3</v>
      </c>
      <c r="QI105" s="28">
        <f>SUMPRODUCT(INDEX(PortfolioRef[[SPY]:[PE]],MATCH(QI$1,PortfolioRef[Reference '#]),0),AssetMonthlyReturns[[#This Row],[SPY]:[PE]])</f>
        <v>-7.6794255649601916E-3</v>
      </c>
      <c r="QJ105" s="27">
        <f>IF(ISNUMBER(QJ104),QJ104*(1+PortfolioFrontier[[#This Row],[P113 Return]]),1+PortfolioFrontier[[#This Row],[P113 Return]])</f>
        <v>1.7631381307251723</v>
      </c>
      <c r="QK105" s="27">
        <f>MAX(QK104,PortfolioFrontier[[#This Row],[P113 Growth]])</f>
        <v>1.776782801998219</v>
      </c>
      <c r="QL105" s="27">
        <f>PortfolioFrontier[[#This Row],[P113 Growth]]/PortfolioFrontier[[#This Row],[P113 HWM]]-1</f>
        <v>-7.6794255649601517E-3</v>
      </c>
      <c r="QM105" s="28">
        <f>SUMPRODUCT(INDEX(PortfolioRef[[SPY]:[PE]],MATCH(QM$1,PortfolioRef[Reference '#]),0),AssetMonthlyReturns[[#This Row],[SPY]:[PE]])</f>
        <v>-5.7040238183657483E-3</v>
      </c>
      <c r="QN105" s="27">
        <f>IF(ISNUMBER(QN104),QN104*(1+PortfolioFrontier[[#This Row],[P114 Return]]),1+PortfolioFrontier[[#This Row],[P114 Return]])</f>
        <v>1.7443362446961153</v>
      </c>
      <c r="QO105" s="27">
        <f>MAX(QO104,PortfolioFrontier[[#This Row],[P114 Growth]])</f>
        <v>1.7543430592919009</v>
      </c>
      <c r="QP105" s="27">
        <f>PortfolioFrontier[[#This Row],[P114 Growth]]/PortfolioFrontier[[#This Row],[P114 HWM]]-1</f>
        <v>-5.7040238183657666E-3</v>
      </c>
      <c r="QQ105" s="28">
        <f>SUMPRODUCT(INDEX(PortfolioRef[[SPY]:[PE]],MATCH(QQ$1,PortfolioRef[Reference '#]),0),AssetMonthlyReturns[[#This Row],[SPY]:[PE]])</f>
        <v>-2.8287087170478851E-3</v>
      </c>
      <c r="QR105" s="27">
        <f>IF(ISNUMBER(QR104),QR104*(1+PortfolioFrontier[[#This Row],[P115 Return]]),1+PortfolioFrontier[[#This Row],[P115 Return]])</f>
        <v>1.8640045922406163</v>
      </c>
      <c r="QS105" s="27">
        <f>MAX(QS104,PortfolioFrontier[[#This Row],[P115 Growth]])</f>
        <v>1.869292275595303</v>
      </c>
      <c r="QT105" s="27">
        <f>PortfolioFrontier[[#This Row],[P115 Growth]]/PortfolioFrontier[[#This Row],[P115 HWM]]-1</f>
        <v>-2.8287087170478786E-3</v>
      </c>
      <c r="QU105" s="28">
        <f>SUMPRODUCT(INDEX(PortfolioRef[[SPY]:[PE]],MATCH(QU$1,PortfolioRef[Reference '#]),0),AssetMonthlyReturns[[#This Row],[SPY]:[PE]])</f>
        <v>-8.5330697045344359E-4</v>
      </c>
      <c r="QV105" s="27">
        <f>IF(ISNUMBER(QV104),QV104*(1+PortfolioFrontier[[#This Row],[P116 Return]]),1+PortfolioFrontier[[#This Row],[P116 Return]])</f>
        <v>1.8445111247579855</v>
      </c>
      <c r="QW105" s="27">
        <f>MAX(QW104,PortfolioFrontier[[#This Row],[P116 Growth]])</f>
        <v>1.8460864031538562</v>
      </c>
      <c r="QX105" s="27">
        <f>PortfolioFrontier[[#This Row],[P116 Growth]]/PortfolioFrontier[[#This Row],[P116 HWM]]-1</f>
        <v>-8.5330697045349346E-4</v>
      </c>
      <c r="QY105" s="28">
        <f>SUMPRODUCT(INDEX(PortfolioRef[[SPY]:[PE]],MATCH(QY$1,PortfolioRef[Reference '#]),0),AssetMonthlyReturns[[#This Row],[SPY]:[PE]])</f>
        <v>1.1220947761409967E-3</v>
      </c>
      <c r="QZ105" s="27">
        <f>IF(ISNUMBER(QZ104),QZ104*(1+PortfolioFrontier[[#This Row],[P117 Return]]),1+PortfolioFrontier[[#This Row],[P117 Return]])</f>
        <v>1.8237224710671038</v>
      </c>
      <c r="RA105" s="27">
        <f>MAX(RA104,PortfolioFrontier[[#This Row],[P117 Growth]])</f>
        <v>1.8237224710671038</v>
      </c>
      <c r="RB105" s="27">
        <f>PortfolioFrontier[[#This Row],[P117 Growth]]/PortfolioFrontier[[#This Row],[P117 HWM]]-1</f>
        <v>0</v>
      </c>
      <c r="RC105" s="28">
        <f>SUMPRODUCT(INDEX(PortfolioRef[[SPY]:[PE]],MATCH(RC$1,PortfolioRef[Reference '#]),0),AssetMonthlyReturns[[#This Row],[SPY]:[PE]])</f>
        <v>-6.2497339367078956E-3</v>
      </c>
      <c r="RD105" s="27">
        <f>IF(ISNUMBER(RD104),RD104*(1+PortfolioFrontier[[#This Row],[P118 Return]]),1+PortfolioFrontier[[#This Row],[P118 Return]])</f>
        <v>1.8407022795392718</v>
      </c>
      <c r="RE105" s="27">
        <f>MAX(RE104,PortfolioFrontier[[#This Row],[P118 Growth]])</f>
        <v>1.8522785275129046</v>
      </c>
      <c r="RF105" s="27">
        <f>PortfolioFrontier[[#This Row],[P118 Growth]]/PortfolioFrontier[[#This Row],[P118 HWM]]-1</f>
        <v>-6.249733936707913E-3</v>
      </c>
      <c r="RG105" s="28">
        <f>SUMPRODUCT(INDEX(PortfolioRef[[SPY]:[PE]],MATCH(RG$1,PortfolioRef[Reference '#]),0),AssetMonthlyReturns[[#This Row],[SPY]:[PE]])</f>
        <v>-4.2743321901134567E-3</v>
      </c>
      <c r="RH105" s="27">
        <f>IF(ISNUMBER(RH104),RH104*(1+PortfolioFrontier[[#This Row],[P119 Return]]),1+PortfolioFrontier[[#This Row],[P119 Return]])</f>
        <v>1.8225858068195435</v>
      </c>
      <c r="RI105" s="27">
        <f>MAX(RI104,PortfolioFrontier[[#This Row],[P119 Growth]])</f>
        <v>1.8304095854316462</v>
      </c>
      <c r="RJ105" s="27">
        <f>PortfolioFrontier[[#This Row],[P119 Growth]]/PortfolioFrontier[[#This Row],[P119 HWM]]-1</f>
        <v>-4.2743321901134168E-3</v>
      </c>
      <c r="RK105" s="28">
        <f>SUMPRODUCT(INDEX(PortfolioRef[[SPY]:[PE]],MATCH(RK$1,PortfolioRef[Reference '#]),0),AssetMonthlyReturns[[#This Row],[SPY]:[PE]])</f>
        <v>-2.2989304435190143E-3</v>
      </c>
      <c r="RL105" s="27">
        <f>IF(ISNUMBER(RL104),RL104*(1+PortfolioFrontier[[#This Row],[P120 Return]]),1+PortfolioFrontier[[#This Row],[P120 Return]])</f>
        <v>1.8031610455823757</v>
      </c>
      <c r="RM105" s="27">
        <f>MAX(RM104,PortfolioFrontier[[#This Row],[P120 Growth]])</f>
        <v>1.8073159392160967</v>
      </c>
      <c r="RN105" s="27">
        <f>PortfolioFrontier[[#This Row],[P120 Growth]]/PortfolioFrontier[[#This Row],[P120 HWM]]-1</f>
        <v>-2.2989304435190316E-3</v>
      </c>
      <c r="RO105" s="28">
        <f>SUMPRODUCT(INDEX(PortfolioRef[[SPY]:[PE]],MATCH(RO$1,PortfolioRef[Reference '#]),0),AssetMonthlyReturns[[#This Row],[SPY]:[PE]])</f>
        <v>-9.6707591563679075E-3</v>
      </c>
      <c r="RP105" s="27">
        <f>IF(ISNUMBER(RP104),RP104*(1+PortfolioFrontier[[#This Row],[P121 Return]]),1+PortfolioFrontier[[#This Row],[P121 Return]])</f>
        <v>1.816133553671331</v>
      </c>
      <c r="RQ105" s="27">
        <f>MAX(RQ104,PortfolioFrontier[[#This Row],[P121 Growth]])</f>
        <v>1.8338684538126138</v>
      </c>
      <c r="RR105" s="27">
        <f>PortfolioFrontier[[#This Row],[P121 Growth]]/PortfolioFrontier[[#This Row],[P121 HWM]]-1</f>
        <v>-9.6707591563679474E-3</v>
      </c>
      <c r="RS105" s="28">
        <f>SUMPRODUCT(INDEX(PortfolioRef[[SPY]:[PE]],MATCH(RS$1,PortfolioRef[Reference '#]),0),AssetMonthlyReturns[[#This Row],[SPY]:[PE]])</f>
        <v>-7.6953574097734668E-3</v>
      </c>
      <c r="RT105" s="27">
        <f>IF(ISNUMBER(RT104),RT104*(1+PortfolioFrontier[[#This Row],[P122 Return]]),1+PortfolioFrontier[[#This Row],[P122 Return]])</f>
        <v>1.7993826441312111</v>
      </c>
      <c r="RU105" s="27">
        <f>MAX(RU104,PortfolioFrontier[[#This Row],[P122 Growth]])</f>
        <v>1.8133369198336688</v>
      </c>
      <c r="RV105" s="27">
        <f>PortfolioFrontier[[#This Row],[P122 Growth]]/PortfolioFrontier[[#This Row],[P122 HWM]]-1</f>
        <v>-7.6953574097734512E-3</v>
      </c>
      <c r="RW105" s="28">
        <f>SUMPRODUCT(INDEX(PortfolioRef[[SPY]:[PE]],MATCH(RW$1,PortfolioRef[Reference '#]),0),AssetMonthlyReturns[[#This Row],[SPY]:[PE]])</f>
        <v>-5.719955663179027E-3</v>
      </c>
      <c r="RX105" s="27">
        <f>IF(ISNUMBER(RX104),RX104*(1+PortfolioFrontier[[#This Row],[P123 Return]]),1+PortfolioFrontier[[#This Row],[P123 Return]])</f>
        <v>1.781313001512141</v>
      </c>
      <c r="RY105" s="27">
        <f>MAX(RY104,PortfolioFrontier[[#This Row],[P123 Growth]])</f>
        <v>1.7915606489922731</v>
      </c>
      <c r="RZ105" s="27">
        <f>PortfolioFrontier[[#This Row],[P123 Growth]]/PortfolioFrontier[[#This Row],[P123 HWM]]-1</f>
        <v>-5.719955663179066E-3</v>
      </c>
      <c r="SA105" s="28">
        <f>SUMPRODUCT(INDEX(PortfolioRef[[SPY]:[PE]],MATCH(SA$1,PortfolioRef[Reference '#]),0),AssetMonthlyReturns[[#This Row],[SPY]:[PE]])</f>
        <v>-2.844640561861162E-3</v>
      </c>
      <c r="SB105" s="27">
        <f>IF(ISNUMBER(SB104),SB104*(1+PortfolioFrontier[[#This Row],[P124 Return]]),1+PortfolioFrontier[[#This Row],[P124 Return]])</f>
        <v>1.9021581424353062</v>
      </c>
      <c r="SC105" s="27">
        <f>MAX(SC104,PortfolioFrontier[[#This Row],[P124 Growth]])</f>
        <v>1.9075845347781151</v>
      </c>
      <c r="SD105" s="27">
        <f>PortfolioFrontier[[#This Row],[P124 Growth]]/PortfolioFrontier[[#This Row],[P124 HWM]]-1</f>
        <v>-2.8446405618611781E-3</v>
      </c>
      <c r="SE105" s="28">
        <f>SUMPRODUCT(INDEX(PortfolioRef[[SPY]:[PE]],MATCH(SE$1,PortfolioRef[Reference '#]),0),AssetMonthlyReturns[[#This Row],[SPY]:[PE]])</f>
        <v>-8.6923881526672223E-4</v>
      </c>
      <c r="SF105" s="27">
        <f>IF(ISNUMBER(SF104),SF104*(1+PortfolioFrontier[[#This Row],[P125 Return]]),1+PortfolioFrontier[[#This Row],[P125 Return]])</f>
        <v>1.8834472920939751</v>
      </c>
      <c r="SG105" s="27">
        <f>MAX(SG104,PortfolioFrontier[[#This Row],[P125 Growth]])</f>
        <v>1.8850858819126448</v>
      </c>
      <c r="SH105" s="27">
        <f>PortfolioFrontier[[#This Row],[P125 Growth]]/PortfolioFrontier[[#This Row],[P125 HWM]]-1</f>
        <v>-8.692388152666819E-4</v>
      </c>
      <c r="SI105" s="28">
        <f>SUMPRODUCT(INDEX(PortfolioRef[[SPY]:[PE]],MATCH(SI$1,PortfolioRef[Reference '#]),0),AssetMonthlyReturns[[#This Row],[SPY]:[PE]])</f>
        <v>1.1061629313277197E-3</v>
      </c>
      <c r="SJ105" s="27">
        <f>IF(ISNUMBER(SJ104),SJ104*(1+PortfolioFrontier[[#This Row],[P126 Return]]),1+PortfolioFrontier[[#This Row],[P126 Return]])</f>
        <v>1.8633852011259475</v>
      </c>
      <c r="SK105" s="27">
        <f>MAX(SK104,PortfolioFrontier[[#This Row],[P126 Growth]])</f>
        <v>1.8633852011259475</v>
      </c>
      <c r="SL105" s="27">
        <f>PortfolioFrontier[[#This Row],[P126 Growth]]/PortfolioFrontier[[#This Row],[P126 HWM]]-1</f>
        <v>0</v>
      </c>
      <c r="SM105" s="28">
        <f>SUMPRODUCT(INDEX(PortfolioRef[[SPY]:[PE]],MATCH(SM$1,PortfolioRef[Reference '#]),0),AssetMonthlyReturns[[#This Row],[SPY]:[PE]])</f>
        <v>-6.2656657815211726E-3</v>
      </c>
      <c r="SN105" s="27">
        <f>IF(ISNUMBER(SN104),SN104*(1+PortfolioFrontier[[#This Row],[P127 Return]]),1+PortfolioFrontier[[#This Row],[P127 Return]])</f>
        <v>1.8773284496523721</v>
      </c>
      <c r="SO105" s="27">
        <f>MAX(SO104,PortfolioFrontier[[#This Row],[P127 Growth]])</f>
        <v>1.8891653282049421</v>
      </c>
      <c r="SP105" s="27">
        <f>PortfolioFrontier[[#This Row],[P127 Growth]]/PortfolioFrontier[[#This Row],[P127 HWM]]-1</f>
        <v>-6.2656657815212125E-3</v>
      </c>
      <c r="SQ105" s="28">
        <f>SUMPRODUCT(INDEX(PortfolioRef[[SPY]:[PE]],MATCH(SQ$1,PortfolioRef[Reference '#]),0),AssetMonthlyReturns[[#This Row],[SPY]:[PE]])</f>
        <v>-4.2902640349267336E-3</v>
      </c>
      <c r="SR105" s="27">
        <f>IF(ISNUMBER(SR104),SR104*(1+PortfolioFrontier[[#This Row],[P128 Return]]),1+PortfolioFrontier[[#This Row],[P128 Return]])</f>
        <v>1.8600228787377375</v>
      </c>
      <c r="SS105" s="27">
        <f>MAX(SS104,PortfolioFrontier[[#This Row],[P128 Growth]])</f>
        <v>1.8680372517749309</v>
      </c>
      <c r="ST105" s="27">
        <f>PortfolioFrontier[[#This Row],[P128 Growth]]/PortfolioFrontier[[#This Row],[P128 HWM]]-1</f>
        <v>-4.2902640349267163E-3</v>
      </c>
      <c r="SU105" s="28">
        <f>SUMPRODUCT(INDEX(PortfolioRef[[SPY]:[PE]],MATCH(SU$1,PortfolioRef[Reference '#]),0),AssetMonthlyReturns[[#This Row],[SPY]:[PE]])</f>
        <v>-2.3148622883322929E-3</v>
      </c>
      <c r="SV105" s="27">
        <f>IF(ISNUMBER(SV104),SV104*(1+PortfolioFrontier[[#This Row],[P129 Return]]),1+PortfolioFrontier[[#This Row],[P129 Return]])</f>
        <v>1.8413549023774458</v>
      </c>
      <c r="SW105" s="27">
        <f>MAX(SW104,PortfolioFrontier[[#This Row],[P129 Growth]])</f>
        <v>1.8456272753554839</v>
      </c>
      <c r="SX105" s="27">
        <f>PortfolioFrontier[[#This Row],[P129 Growth]]/PortfolioFrontier[[#This Row],[P129 HWM]]-1</f>
        <v>-2.3148622883324421E-3</v>
      </c>
      <c r="SY105" s="28">
        <f>SUMPRODUCT(INDEX(PortfolioRef[[SPY]:[PE]],MATCH(SY$1,PortfolioRef[Reference '#]),0),AssetMonthlyReturns[[#This Row],[SPY]:[PE]])</f>
        <v>-9.6866910011811861E-3</v>
      </c>
      <c r="SZ105" s="27">
        <f>IF(ISNUMBER(SZ104),SZ104*(1+PortfolioFrontier[[#This Row],[P130 Return]]),1+PortfolioFrontier[[#This Row],[P130 Return]])</f>
        <v>1.8512305234961091</v>
      </c>
      <c r="TA105" s="27">
        <f>MAX(TA104,PortfolioFrontier[[#This Row],[P130 Growth]])</f>
        <v>1.8693382252609079</v>
      </c>
      <c r="TB105" s="27">
        <f>PortfolioFrontier[[#This Row],[P130 Growth]]/PortfolioFrontier[[#This Row],[P130 HWM]]-1</f>
        <v>-9.6866910011811358E-3</v>
      </c>
      <c r="TC105" s="28">
        <f>SUMPRODUCT(INDEX(PortfolioRef[[SPY]:[PE]],MATCH(TC$1,PortfolioRef[Reference '#]),0),AssetMonthlyReturns[[#This Row],[SPY]:[PE]])</f>
        <v>-7.7112892545867454E-3</v>
      </c>
      <c r="TD105" s="27">
        <f>IF(ISNUMBER(TD104),TD104*(1+PortfolioFrontier[[#This Row],[P131 Return]]),1+PortfolioFrontier[[#This Row],[P131 Return]])</f>
        <v>1.8353163620514565</v>
      </c>
      <c r="TE105" s="27">
        <f>MAX(TE104,PortfolioFrontier[[#This Row],[P131 Growth]])</f>
        <v>1.8495790007252586</v>
      </c>
      <c r="TF105" s="27">
        <f>PortfolioFrontier[[#This Row],[P131 Growth]]/PortfolioFrontier[[#This Row],[P131 HWM]]-1</f>
        <v>-7.7112892545867506E-3</v>
      </c>
      <c r="TG105" s="28">
        <f>SUMPRODUCT(INDEX(PortfolioRef[[SPY]:[PE]],MATCH(TG$1,PortfolioRef[Reference '#]),0),AssetMonthlyReturns[[#This Row],[SPY]:[PE]])</f>
        <v>-5.7358875079923056E-3</v>
      </c>
      <c r="TH105" s="27">
        <f>IF(ISNUMBER(TH104),TH104*(1+PortfolioFrontier[[#This Row],[P132 Return]]),1+PortfolioFrontier[[#This Row],[P132 Return]])</f>
        <v>1.8180313539873374</v>
      </c>
      <c r="TI105" s="27">
        <f>MAX(TI104,PortfolioFrontier[[#This Row],[P132 Growth]])</f>
        <v>1.8285195363540303</v>
      </c>
      <c r="TJ105" s="27">
        <f>PortfolioFrontier[[#This Row],[P132 Growth]]/PortfolioFrontier[[#This Row],[P132 HWM]]-1</f>
        <v>-5.7358875079922544E-3</v>
      </c>
      <c r="TK105" s="28">
        <f>SUMPRODUCT(INDEX(PortfolioRef[[SPY]:[PE]],MATCH(TK$1,PortfolioRef[Reference '#]),0),AssetMonthlyReturns[[#This Row],[SPY]:[PE]])</f>
        <v>-2.8605724066744381E-3</v>
      </c>
      <c r="TL105" s="27">
        <f>IF(ISNUMBER(TL104),TL104*(1+PortfolioFrontier[[#This Row],[P133 Return]]),1+PortfolioFrontier[[#This Row],[P133 Return]])</f>
        <v>1.9399776558639281</v>
      </c>
      <c r="TM105" s="27">
        <f>MAX(TM104,PortfolioFrontier[[#This Row],[P133 Growth]])</f>
        <v>1.9455430225502335</v>
      </c>
      <c r="TN105" s="27">
        <f>PortfolioFrontier[[#This Row],[P133 Growth]]/PortfolioFrontier[[#This Row],[P133 HWM]]-1</f>
        <v>-2.8605724066744775E-3</v>
      </c>
      <c r="TO105" s="28">
        <f>SUMPRODUCT(INDEX(PortfolioRef[[SPY]:[PE]],MATCH(TO$1,PortfolioRef[Reference '#]),0),AssetMonthlyReturns[[#This Row],[SPY]:[PE]])</f>
        <v>-8.8517066007999827E-4</v>
      </c>
      <c r="TP105" s="27">
        <f>IF(ISNUMBER(TP104),TP104*(1+PortfolioFrontier[[#This Row],[P134 Return]]),1+PortfolioFrontier[[#This Row],[P134 Return]])</f>
        <v>1.9221045746211967</v>
      </c>
      <c r="TQ105" s="27">
        <f>MAX(TQ104,PortfolioFrontier[[#This Row],[P134 Growth]])</f>
        <v>1.9238074725515419</v>
      </c>
      <c r="TR105" s="27">
        <f>PortfolioFrontier[[#This Row],[P134 Growth]]/PortfolioFrontier[[#This Row],[P134 HWM]]-1</f>
        <v>-8.8517066007998135E-4</v>
      </c>
      <c r="TS105" s="28">
        <f>SUMPRODUCT(INDEX(PortfolioRef[[SPY]:[PE]],MATCH(TS$1,PortfolioRef[Reference '#]),0),AssetMonthlyReturns[[#This Row],[SPY]:[PE]])</f>
        <v>1.090231086514442E-3</v>
      </c>
      <c r="TT105" s="27">
        <f>IF(ISNUMBER(TT104),TT104*(1+PortfolioFrontier[[#This Row],[P135 Return]]),1+PortfolioFrontier[[#This Row],[P135 Return]])</f>
        <v>1.9028243927965949</v>
      </c>
      <c r="TU105" s="27">
        <f>MAX(TU104,PortfolioFrontier[[#This Row],[P135 Growth]])</f>
        <v>1.9028243927965949</v>
      </c>
      <c r="TV105" s="27">
        <f>PortfolioFrontier[[#This Row],[P135 Growth]]/PortfolioFrontier[[#This Row],[P135 HWM]]-1</f>
        <v>0</v>
      </c>
      <c r="TW105" s="28">
        <f>SUMPRODUCT(INDEX(PortfolioRef[[SPY]:[PE]],MATCH(TW$1,PortfolioRef[Reference '#]),0),AssetMonthlyReturns[[#This Row],[SPY]:[PE]])</f>
        <v>-6.2815976263344495E-3</v>
      </c>
      <c r="TX105" s="27">
        <f>IF(ISNUMBER(TX104),TX104*(1+PortfolioFrontier[[#This Row],[P136 Return]]),1+PortfolioFrontier[[#This Row],[P136 Return]])</f>
        <v>1.913579015269615</v>
      </c>
      <c r="TY105" s="27">
        <f>MAX(TY104,PortfolioFrontier[[#This Row],[P136 Growth]])</f>
        <v>1.9256753328696599</v>
      </c>
      <c r="TZ105" s="27">
        <f>PortfolioFrontier[[#This Row],[P136 Growth]]/PortfolioFrontier[[#This Row],[P136 HWM]]-1</f>
        <v>-6.2815976263344009E-3</v>
      </c>
      <c r="UA105" s="28">
        <f>SUMPRODUCT(INDEX(PortfolioRef[[SPY]:[PE]],MATCH(UA$1,PortfolioRef[Reference '#]),0),AssetMonthlyReturns[[#This Row],[SPY]:[PE]])</f>
        <v>-4.3061958797400088E-3</v>
      </c>
      <c r="UB105" s="27">
        <f>IF(ISNUMBER(UB104),UB104*(1+PortfolioFrontier[[#This Row],[P137 Return]]),1+PortfolioFrontier[[#This Row],[P137 Return]])</f>
        <v>1.8971381324633285</v>
      </c>
      <c r="UC105" s="27">
        <f>MAX(UC104,PortfolioFrontier[[#This Row],[P137 Growth]])</f>
        <v>1.9053429122616012</v>
      </c>
      <c r="UD105" s="27">
        <f>PortfolioFrontier[[#This Row],[P137 Growth]]/PortfolioFrontier[[#This Row],[P137 HWM]]-1</f>
        <v>-4.3061958797400157E-3</v>
      </c>
      <c r="UE105" s="28">
        <f>SUMPRODUCT(INDEX(PortfolioRef[[SPY]:[PE]],MATCH(UE$1,PortfolioRef[Reference '#]),0),AssetMonthlyReturns[[#This Row],[SPY]:[PE]])</f>
        <v>-2.330794133145569E-3</v>
      </c>
      <c r="UF105" s="27">
        <f>IF(ISNUMBER(UF104),UF104*(1+PortfolioFrontier[[#This Row],[P138 Return]]),1+PortfolioFrontier[[#This Row],[P138 Return]])</f>
        <v>1.8792810374240805</v>
      </c>
      <c r="UG105" s="27">
        <f>MAX(UG104,PortfolioFrontier[[#This Row],[P138 Growth]])</f>
        <v>1.8836714878767973</v>
      </c>
      <c r="UH105" s="27">
        <f>PortfolioFrontier[[#This Row],[P138 Growth]]/PortfolioFrontier[[#This Row],[P138 HWM]]-1</f>
        <v>-2.3307941331455195E-3</v>
      </c>
      <c r="UI105" s="28">
        <f>SUMPRODUCT(INDEX(PortfolioRef[[SPY]:[PE]],MATCH(UI$1,PortfolioRef[Reference '#]),0),AssetMonthlyReturns[[#This Row],[SPY]:[PE]])</f>
        <v>-9.7026228459944647E-3</v>
      </c>
      <c r="UJ105" s="27">
        <f>IF(ISNUMBER(UJ104),UJ104*(1+PortfolioFrontier[[#This Row],[P139 Return]]),1+PortfolioFrontier[[#This Row],[P139 Return]])</f>
        <v>1.88591257589496</v>
      </c>
      <c r="UK105" s="27">
        <f>MAX(UK104,PortfolioFrontier[[#This Row],[P139 Growth]])</f>
        <v>1.9043901553236906</v>
      </c>
      <c r="UL105" s="27">
        <f>PortfolioFrontier[[#This Row],[P139 Growth]]/PortfolioFrontier[[#This Row],[P139 HWM]]-1</f>
        <v>-9.7026228459944353E-3</v>
      </c>
      <c r="UM105" s="28">
        <f>SUMPRODUCT(INDEX(PortfolioRef[[SPY]:[PE]],MATCH(UM$1,PortfolioRef[Reference '#]),0),AssetMonthlyReturns[[#This Row],[SPY]:[PE]])</f>
        <v>-7.7272210994000206E-3</v>
      </c>
      <c r="UN105" s="27">
        <f>IF(ISNUMBER(UN104),UN104*(1+PortfolioFrontier[[#This Row],[P140 Return]]),1+PortfolioFrontier[[#This Row],[P140 Return]])</f>
        <v>1.8708875002386269</v>
      </c>
      <c r="UO105" s="27">
        <f>MAX(UO104,PortfolioFrontier[[#This Row],[P140 Growth]])</f>
        <v>1.8854568421311511</v>
      </c>
      <c r="UP105" s="27">
        <f>PortfolioFrontier[[#This Row],[P140 Growth]]/PortfolioFrontier[[#This Row],[P140 HWM]]-1</f>
        <v>-7.7272210994000501E-3</v>
      </c>
      <c r="UQ105" s="28">
        <f>SUMPRODUCT(INDEX(PortfolioRef[[SPY]:[PE]],MATCH(UQ$1,PortfolioRef[Reference '#]),0),AssetMonthlyReturns[[#This Row],[SPY]:[PE]])</f>
        <v>-5.7518193528055808E-3</v>
      </c>
      <c r="UR105" s="27">
        <f>IF(ISNUMBER(UR104),UR104*(1+PortfolioFrontier[[#This Row],[P141 Return]]),1+PortfolioFrontier[[#This Row],[P141 Return]])</f>
        <v>1.8544398861434614</v>
      </c>
      <c r="US105" s="27">
        <f>MAX(US104,PortfolioFrontier[[#This Row],[P141 Growth]])</f>
        <v>1.8651679955163056</v>
      </c>
      <c r="UT105" s="27">
        <f>PortfolioFrontier[[#This Row],[P141 Growth]]/PortfolioFrontier[[#This Row],[P141 HWM]]-1</f>
        <v>-5.7518193528055539E-3</v>
      </c>
    </row>
    <row r="106" spans="2:566" x14ac:dyDescent="0.2">
      <c r="B106" s="41">
        <f>AssetMonthlyReturns[[#This Row],[Date]]</f>
        <v>45597</v>
      </c>
      <c r="C106" s="28">
        <f>SUMPRODUCT(INDEX(PortfolioRef[[SPY]:[PE]],MATCH(C$1,PortfolioRef[Reference '#]),0),AssetMonthlyReturns[[#This Row],[SPY]:[PE]])</f>
        <v>3.995425099133023E-2</v>
      </c>
      <c r="D106" s="29">
        <f>IF(ISNUMBER(D105),D105*(1+PortfolioFrontier[[#This Row],[P1 Return]]),1+PortfolioFrontier[[#This Row],[P1 Return]])</f>
        <v>2.3926695762297592</v>
      </c>
      <c r="E106" s="29">
        <f>MAX(E105,PortfolioFrontier[[#This Row],[P1 Growth]])</f>
        <v>2.3926695762297592</v>
      </c>
      <c r="F106" s="29">
        <f>PortfolioFrontier[[#This Row],[P1 Growth]]/PortfolioFrontier[[#This Row],[P1 HWM]]-1</f>
        <v>0</v>
      </c>
      <c r="G106" s="28">
        <f>SUMPRODUCT(INDEX(PortfolioRef[[SPY]:[PE]],MATCH(G$1,PortfolioRef[Reference '#]),0),AssetMonthlyReturns[[#This Row],[SPY]:[PE]])</f>
        <v>3.752208424996966E-2</v>
      </c>
      <c r="H106" s="27">
        <f>IF(ISNUMBER(H105),H105*(1+PortfolioFrontier[[#This Row],[P2 Return]]),1+PortfolioFrontier[[#This Row],[P2 Return]])</f>
        <v>2.2662212854506913</v>
      </c>
      <c r="I106" s="27">
        <f>MAX(I105,PortfolioFrontier[[#This Row],[P2 Growth]])</f>
        <v>2.2662212854506913</v>
      </c>
      <c r="J106" s="27">
        <f>PortfolioFrontier[[#This Row],[P2 Growth]]/PortfolioFrontier[[#This Row],[P2 HWM]]-1</f>
        <v>0</v>
      </c>
      <c r="K106" s="28">
        <f>SUMPRODUCT(INDEX(PortfolioRef[[SPY]:[PE]],MATCH(K$1,PortfolioRef[Reference '#]),0),AssetMonthlyReturns[[#This Row],[SPY]:[PE]])</f>
        <v>3.5410514639199767E-2</v>
      </c>
      <c r="L106" s="27">
        <f>IF(ISNUMBER(L105),L105*(1+PortfolioFrontier[[#This Row],[P3 Return]]),1+PortfolioFrontier[[#This Row],[P3 Return]])</f>
        <v>2.3378455691250197</v>
      </c>
      <c r="M106" s="27">
        <f>MAX(M105,PortfolioFrontier[[#This Row],[P3 Growth]])</f>
        <v>2.3378455691250197</v>
      </c>
      <c r="N106" s="27">
        <f>PortfolioFrontier[[#This Row],[P3 Growth]]/PortfolioFrontier[[#This Row],[P3 HWM]]-1</f>
        <v>0</v>
      </c>
      <c r="O106" s="28">
        <f>SUMPRODUCT(INDEX(PortfolioRef[[SPY]:[PE]],MATCH(O$1,PortfolioRef[Reference '#]),0),AssetMonthlyReturns[[#This Row],[SPY]:[PE]])</f>
        <v>3.9102164020731758E-2</v>
      </c>
      <c r="P106" s="27">
        <f>IF(ISNUMBER(P105),P105*(1+PortfolioFrontier[[#This Row],[P4 Return]]),1+PortfolioFrontier[[#This Row],[P4 Return]])</f>
        <v>2.3143316254805155</v>
      </c>
      <c r="Q106" s="27">
        <f>MAX(Q105,PortfolioFrontier[[#This Row],[P4 Growth]])</f>
        <v>2.3143316254805155</v>
      </c>
      <c r="R106" s="27">
        <f>PortfolioFrontier[[#This Row],[P4 Growth]]/PortfolioFrontier[[#This Row],[P4 HWM]]-1</f>
        <v>0</v>
      </c>
      <c r="S106" s="28">
        <f>SUMPRODUCT(INDEX(PortfolioRef[[SPY]:[PE]],MATCH(S$1,PortfolioRef[Reference '#]),0),AssetMonthlyReturns[[#This Row],[SPY]:[PE]])</f>
        <v>3.9158768763735106E-2</v>
      </c>
      <c r="T106" s="27">
        <f>IF(ISNUMBER(T105),T105*(1+PortfolioFrontier[[#This Row],[P5 Return]]),1+PortfolioFrontier[[#This Row],[P5 Return]])</f>
        <v>2.2931431998786196</v>
      </c>
      <c r="U106" s="27">
        <f>MAX(U105,PortfolioFrontier[[#This Row],[P5 Growth]])</f>
        <v>2.2931431998786196</v>
      </c>
      <c r="V106" s="27">
        <f>PortfolioFrontier[[#This Row],[P5 Growth]]/PortfolioFrontier[[#This Row],[P5 HWM]]-1</f>
        <v>0</v>
      </c>
      <c r="W106" s="28">
        <f>SUMPRODUCT(INDEX(PortfolioRef[[SPY]:[PE]],MATCH(W$1,PortfolioRef[Reference '#]),0),AssetMonthlyReturns[[#This Row],[SPY]:[PE]])</f>
        <v>3.5089917508609084E-2</v>
      </c>
      <c r="X106" s="27">
        <f>IF(ISNUMBER(X105),X105*(1+PortfolioFrontier[[#This Row],[P6 Return]]),1+PortfolioFrontier[[#This Row],[P6 Return]])</f>
        <v>2.1454262972168117</v>
      </c>
      <c r="Y106" s="27">
        <f>MAX(Y105,PortfolioFrontier[[#This Row],[P6 Growth]])</f>
        <v>2.1454262972168117</v>
      </c>
      <c r="Z106" s="27">
        <f>PortfolioFrontier[[#This Row],[P6 Growth]]/PortfolioFrontier[[#This Row],[P6 HWM]]-1</f>
        <v>0</v>
      </c>
      <c r="AA106" s="28">
        <f>SUMPRODUCT(INDEX(PortfolioRef[[SPY]:[PE]],MATCH(AA$1,PortfolioRef[Reference '#]),0),AssetMonthlyReturns[[#This Row],[SPY]:[PE]])</f>
        <v>3.297834789783919E-2</v>
      </c>
      <c r="AB106" s="27">
        <f>IF(ISNUMBER(AB105),AB105*(1+PortfolioFrontier[[#This Row],[P7 Return]]),1+PortfolioFrontier[[#This Row],[P7 Return]])</f>
        <v>2.2132432188603759</v>
      </c>
      <c r="AC106" s="27">
        <f>MAX(AC105,PortfolioFrontier[[#This Row],[P7 Growth]])</f>
        <v>2.2132432188603759</v>
      </c>
      <c r="AD106" s="27">
        <f>PortfolioFrontier[[#This Row],[P7 Growth]]/PortfolioFrontier[[#This Row],[P7 HWM]]-1</f>
        <v>0</v>
      </c>
      <c r="AE106" s="28">
        <f>SUMPRODUCT(INDEX(PortfolioRef[[SPY]:[PE]],MATCH(AE$1,PortfolioRef[Reference '#]),0),AssetMonthlyReturns[[#This Row],[SPY]:[PE]])</f>
        <v>3.6669997279371189E-2</v>
      </c>
      <c r="AF106" s="27">
        <f>IF(ISNUMBER(AF105),AF105*(1+PortfolioFrontier[[#This Row],[P8 Return]]),1+PortfolioFrontier[[#This Row],[P8 Return]])</f>
        <v>2.1918385482891023</v>
      </c>
      <c r="AG106" s="27">
        <f>MAX(AG105,PortfolioFrontier[[#This Row],[P8 Growth]])</f>
        <v>2.1918385482891023</v>
      </c>
      <c r="AH106" s="27">
        <f>PortfolioFrontier[[#This Row],[P8 Growth]]/PortfolioFrontier[[#This Row],[P8 HWM]]-1</f>
        <v>0</v>
      </c>
      <c r="AI106" s="28">
        <f>SUMPRODUCT(INDEX(PortfolioRef[[SPY]:[PE]],MATCH(AI$1,PortfolioRef[Reference '#]),0),AssetMonthlyReturns[[#This Row],[SPY]:[PE]])</f>
        <v>3.6726602022374537E-2</v>
      </c>
      <c r="AJ106" s="27">
        <f>IF(ISNUMBER(AJ105),AJ105*(1+PortfolioFrontier[[#This Row],[P9 Return]]),1+PortfolioFrontier[[#This Row],[P9 Return]])</f>
        <v>2.1709443508069795</v>
      </c>
      <c r="AK106" s="27">
        <f>MAX(AK105,PortfolioFrontier[[#This Row],[P9 Growth]])</f>
        <v>2.1709443508069795</v>
      </c>
      <c r="AL106" s="27">
        <f>PortfolioFrontier[[#This Row],[P9 Growth]]/PortfolioFrontier[[#This Row],[P9 HWM]]-1</f>
        <v>0</v>
      </c>
      <c r="AM106" s="28">
        <f>SUMPRODUCT(INDEX(PortfolioRef[[SPY]:[PE]],MATCH(AM$1,PortfolioRef[Reference '#]),0),AssetMonthlyReturns[[#This Row],[SPY]:[PE]])</f>
        <v>3.0866778287069296E-2</v>
      </c>
      <c r="AN106" s="27">
        <f>IF(ISNUMBER(AN105),AN105*(1+PortfolioFrontier[[#This Row],[P10 Return]]),1+PortfolioFrontier[[#This Row],[P10 Return]])</f>
        <v>2.2824817325141864</v>
      </c>
      <c r="AO106" s="27">
        <f>MAX(AO105,PortfolioFrontier[[#This Row],[P10 Growth]])</f>
        <v>2.2824817325141864</v>
      </c>
      <c r="AP106" s="27">
        <f>PortfolioFrontier[[#This Row],[P10 Growth]]/PortfolioFrontier[[#This Row],[P10 HWM]]-1</f>
        <v>0</v>
      </c>
      <c r="AQ106" s="28">
        <f>SUMPRODUCT(INDEX(PortfolioRef[[SPY]:[PE]],MATCH(AQ$1,PortfolioRef[Reference '#]),0),AssetMonthlyReturns[[#This Row],[SPY]:[PE]])</f>
        <v>3.4558427668601288E-2</v>
      </c>
      <c r="AR106" s="27">
        <f>IF(ISNUMBER(AR105),AR105*(1+PortfolioFrontier[[#This Row],[P11 Return]]),1+PortfolioFrontier[[#This Row],[P11 Return]])</f>
        <v>2.2610939184400127</v>
      </c>
      <c r="AS106" s="27">
        <f>MAX(AS105,PortfolioFrontier[[#This Row],[P11 Growth]])</f>
        <v>2.2610939184400127</v>
      </c>
      <c r="AT106" s="27">
        <f>PortfolioFrontier[[#This Row],[P11 Growth]]/PortfolioFrontier[[#This Row],[P11 HWM]]-1</f>
        <v>0</v>
      </c>
      <c r="AU106" s="28">
        <f>SUMPRODUCT(INDEX(PortfolioRef[[SPY]:[PE]],MATCH(AU$1,PortfolioRef[Reference '#]),0),AssetMonthlyReturns[[#This Row],[SPY]:[PE]])</f>
        <v>3.4615032411604643E-2</v>
      </c>
      <c r="AV106" s="27">
        <f>IF(ISNUMBER(AV105),AV105*(1+PortfolioFrontier[[#This Row],[P12 Return]]),1+PortfolioFrontier[[#This Row],[P12 Return]])</f>
        <v>2.2395523004039695</v>
      </c>
      <c r="AW106" s="27">
        <f>MAX(AW105,PortfolioFrontier[[#This Row],[P12 Growth]])</f>
        <v>2.2395523004039695</v>
      </c>
      <c r="AX106" s="27">
        <f>PortfolioFrontier[[#This Row],[P12 Growth]]/PortfolioFrontier[[#This Row],[P12 HWM]]-1</f>
        <v>0</v>
      </c>
      <c r="AY106" s="28">
        <f>SUMPRODUCT(INDEX(PortfolioRef[[SPY]:[PE]],MATCH(AY$1,PortfolioRef[Reference '#]),0),AssetMonthlyReturns[[#This Row],[SPY]:[PE]])</f>
        <v>3.8250077050133287E-2</v>
      </c>
      <c r="AZ106" s="27">
        <f>IF(ISNUMBER(AZ105),AZ105*(1+PortfolioFrontier[[#This Row],[P13 Return]]),1+PortfolioFrontier[[#This Row],[P13 Return]])</f>
        <v>2.2379601870388743</v>
      </c>
      <c r="BA106" s="27">
        <f>MAX(BA105,PortfolioFrontier[[#This Row],[P13 Growth]])</f>
        <v>2.2379601870388743</v>
      </c>
      <c r="BB106" s="27">
        <f>PortfolioFrontier[[#This Row],[P13 Growth]]/PortfolioFrontier[[#This Row],[P13 HWM]]-1</f>
        <v>0</v>
      </c>
      <c r="BC106" s="28">
        <f>SUMPRODUCT(INDEX(PortfolioRef[[SPY]:[PE]],MATCH(BC$1,PortfolioRef[Reference '#]),0),AssetMonthlyReturns[[#This Row],[SPY]:[PE]])</f>
        <v>3.8306681793136635E-2</v>
      </c>
      <c r="BD106" s="27">
        <f>IF(ISNUMBER(BD105),BD105*(1+PortfolioFrontier[[#This Row],[P14 Return]]),1+PortfolioFrontier[[#This Row],[P14 Return]])</f>
        <v>2.2180252441153803</v>
      </c>
      <c r="BE106" s="27">
        <f>MAX(BE105,PortfolioFrontier[[#This Row],[P14 Growth]])</f>
        <v>2.2180252441153803</v>
      </c>
      <c r="BF106" s="27">
        <f>PortfolioFrontier[[#This Row],[P14 Growth]]/PortfolioFrontier[[#This Row],[P14 HWM]]-1</f>
        <v>0</v>
      </c>
      <c r="BG106" s="28">
        <f>SUMPRODUCT(INDEX(PortfolioRef[[SPY]:[PE]],MATCH(BG$1,PortfolioRef[Reference '#]),0),AssetMonthlyReturns[[#This Row],[SPY]:[PE]])</f>
        <v>3.836328653613999E-2</v>
      </c>
      <c r="BH106" s="27">
        <f>IF(ISNUMBER(BH105),BH105*(1+PortfolioFrontier[[#This Row],[P15 Return]]),1+PortfolioFrontier[[#This Row],[P15 Return]])</f>
        <v>2.1964500114467875</v>
      </c>
      <c r="BI106" s="27">
        <f>MAX(BI105,PortfolioFrontier[[#This Row],[P15 Growth]])</f>
        <v>2.1964500114467875</v>
      </c>
      <c r="BJ106" s="27">
        <f>PortfolioFrontier[[#This Row],[P15 Growth]]/PortfolioFrontier[[#This Row],[P15 HWM]]-1</f>
        <v>0</v>
      </c>
      <c r="BK106" s="28">
        <f>SUMPRODUCT(INDEX(PortfolioRef[[SPY]:[PE]],MATCH(BK$1,PortfolioRef[Reference '#]),0),AssetMonthlyReturns[[#This Row],[SPY]:[PE]])</f>
        <v>3.2657750767248507E-2</v>
      </c>
      <c r="BL106" s="27">
        <f>IF(ISNUMBER(BL105),BL105*(1+PortfolioFrontier[[#This Row],[P16 Return]]),1+PortfolioFrontier[[#This Row],[P16 Return]])</f>
        <v>2.0300960175742855</v>
      </c>
      <c r="BM106" s="27">
        <f>MAX(BM105,PortfolioFrontier[[#This Row],[P16 Growth]])</f>
        <v>2.0300960175742855</v>
      </c>
      <c r="BN106" s="27">
        <f>PortfolioFrontier[[#This Row],[P16 Growth]]/PortfolioFrontier[[#This Row],[P16 HWM]]-1</f>
        <v>0</v>
      </c>
      <c r="BO106" s="28">
        <f>SUMPRODUCT(INDEX(PortfolioRef[[SPY]:[PE]],MATCH(BO$1,PortfolioRef[Reference '#]),0),AssetMonthlyReturns[[#This Row],[SPY]:[PE]])</f>
        <v>3.0546181156478613E-2</v>
      </c>
      <c r="BP106" s="27">
        <f>IF(ISNUMBER(BP105),BP105*(1+PortfolioFrontier[[#This Row],[P17 Return]]),1+PortfolioFrontier[[#This Row],[P17 Return]])</f>
        <v>2.0942777939235691</v>
      </c>
      <c r="BQ106" s="27">
        <f>MAX(BQ105,PortfolioFrontier[[#This Row],[P17 Growth]])</f>
        <v>2.0942777939235691</v>
      </c>
      <c r="BR106" s="27">
        <f>PortfolioFrontier[[#This Row],[P17 Growth]]/PortfolioFrontier[[#This Row],[P17 HWM]]-1</f>
        <v>0</v>
      </c>
      <c r="BS106" s="28">
        <f>SUMPRODUCT(INDEX(PortfolioRef[[SPY]:[PE]],MATCH(BS$1,PortfolioRef[Reference '#]),0),AssetMonthlyReturns[[#This Row],[SPY]:[PE]])</f>
        <v>3.4237830538010605E-2</v>
      </c>
      <c r="BT106" s="27">
        <f>IF(ISNUMBER(BT105),BT105*(1+PortfolioFrontier[[#This Row],[P18 Return]]),1+PortfolioFrontier[[#This Row],[P18 Return]])</f>
        <v>2.0748320593883545</v>
      </c>
      <c r="BU106" s="27">
        <f>MAX(BU105,PortfolioFrontier[[#This Row],[P18 Growth]])</f>
        <v>2.0748320593883545</v>
      </c>
      <c r="BV106" s="27">
        <f>PortfolioFrontier[[#This Row],[P18 Growth]]/PortfolioFrontier[[#This Row],[P18 HWM]]-1</f>
        <v>0</v>
      </c>
      <c r="BW106" s="28">
        <f>SUMPRODUCT(INDEX(PortfolioRef[[SPY]:[PE]],MATCH(BW$1,PortfolioRef[Reference '#]),0),AssetMonthlyReturns[[#This Row],[SPY]:[PE]])</f>
        <v>3.429443528101396E-2</v>
      </c>
      <c r="BX106" s="27">
        <f>IF(ISNUMBER(BX105),BX105*(1+PortfolioFrontier[[#This Row],[P19 Return]]),1+PortfolioFrontier[[#This Row],[P19 Return]])</f>
        <v>2.0542718577361629</v>
      </c>
      <c r="BY106" s="27">
        <f>MAX(BY105,PortfolioFrontier[[#This Row],[P19 Growth]])</f>
        <v>2.0542718577361629</v>
      </c>
      <c r="BZ106" s="27">
        <f>PortfolioFrontier[[#This Row],[P19 Growth]]/PortfolioFrontier[[#This Row],[P19 HWM]]-1</f>
        <v>0</v>
      </c>
      <c r="CA106" s="28">
        <f>SUMPRODUCT(INDEX(PortfolioRef[[SPY]:[PE]],MATCH(CA$1,PortfolioRef[Reference '#]),0),AssetMonthlyReturns[[#This Row],[SPY]:[PE]])</f>
        <v>2.843461154570872E-2</v>
      </c>
      <c r="CB106" s="27">
        <f>IF(ISNUMBER(CB105),CB105*(1+PortfolioFrontier[[#This Row],[P20 Return]]),1+PortfolioFrontier[[#This Row],[P20 Return]])</f>
        <v>2.1598041819026577</v>
      </c>
      <c r="CC106" s="27">
        <f>MAX(CC105,PortfolioFrontier[[#This Row],[P20 Growth]])</f>
        <v>2.1598041819026577</v>
      </c>
      <c r="CD106" s="27">
        <f>PortfolioFrontier[[#This Row],[P20 Growth]]/PortfolioFrontier[[#This Row],[P20 HWM]]-1</f>
        <v>0</v>
      </c>
      <c r="CE106" s="28">
        <f>SUMPRODUCT(INDEX(PortfolioRef[[SPY]:[PE]],MATCH(CE$1,PortfolioRef[Reference '#]),0),AssetMonthlyReturns[[#This Row],[SPY]:[PE]])</f>
        <v>3.2126260927240712E-2</v>
      </c>
      <c r="CF106" s="27">
        <f>IF(ISNUMBER(CF105),CF105*(1+PortfolioFrontier[[#This Row],[P21 Return]]),1+PortfolioFrontier[[#This Row],[P21 Return]])</f>
        <v>2.1404007076270903</v>
      </c>
      <c r="CG106" s="27">
        <f>MAX(CG105,PortfolioFrontier[[#This Row],[P21 Growth]])</f>
        <v>2.1404007076270903</v>
      </c>
      <c r="CH106" s="27">
        <f>PortfolioFrontier[[#This Row],[P21 Growth]]/PortfolioFrontier[[#This Row],[P21 HWM]]-1</f>
        <v>0</v>
      </c>
      <c r="CI106" s="28">
        <f>SUMPRODUCT(INDEX(PortfolioRef[[SPY]:[PE]],MATCH(CI$1,PortfolioRef[Reference '#]),0),AssetMonthlyReturns[[#This Row],[SPY]:[PE]])</f>
        <v>3.2182865670244067E-2</v>
      </c>
      <c r="CJ106" s="27">
        <f>IF(ISNUMBER(CJ105),CJ105*(1+PortfolioFrontier[[#This Row],[P22 Return]]),1+PortfolioFrontier[[#This Row],[P22 Return]])</f>
        <v>2.1192032562567955</v>
      </c>
      <c r="CK106" s="27">
        <f>MAX(CK105,PortfolioFrontier[[#This Row],[P22 Growth]])</f>
        <v>2.1192032562567955</v>
      </c>
      <c r="CL106" s="27">
        <f>PortfolioFrontier[[#This Row],[P22 Growth]]/PortfolioFrontier[[#This Row],[P22 HWM]]-1</f>
        <v>0</v>
      </c>
      <c r="CM106" s="28">
        <f>SUMPRODUCT(INDEX(PortfolioRef[[SPY]:[PE]],MATCH(CM$1,PortfolioRef[Reference '#]),0),AssetMonthlyReturns[[#This Row],[SPY]:[PE]])</f>
        <v>3.581791030877271E-2</v>
      </c>
      <c r="CN106" s="27">
        <f>IF(ISNUMBER(CN105),CN105*(1+PortfolioFrontier[[#This Row],[P23 Return]]),1+PortfolioFrontier[[#This Row],[P23 Return]])</f>
        <v>2.1193304701994951</v>
      </c>
      <c r="CO106" s="27">
        <f>MAX(CO105,PortfolioFrontier[[#This Row],[P23 Growth]])</f>
        <v>2.1193304701994951</v>
      </c>
      <c r="CP106" s="27">
        <f>PortfolioFrontier[[#This Row],[P23 Growth]]/PortfolioFrontier[[#This Row],[P23 HWM]]-1</f>
        <v>0</v>
      </c>
      <c r="CQ106" s="28">
        <f>SUMPRODUCT(INDEX(PortfolioRef[[SPY]:[PE]],MATCH(CQ$1,PortfolioRef[Reference '#]),0),AssetMonthlyReturns[[#This Row],[SPY]:[PE]])</f>
        <v>3.5874515051776058E-2</v>
      </c>
      <c r="CR106" s="27">
        <f>IF(ISNUMBER(CR105),CR105*(1+PortfolioFrontier[[#This Row],[P24 Return]]),1+PortfolioFrontier[[#This Row],[P24 Return]])</f>
        <v>2.0996509787788624</v>
      </c>
      <c r="CS106" s="27">
        <f>MAX(CS105,PortfolioFrontier[[#This Row],[P24 Growth]])</f>
        <v>2.0996509787788624</v>
      </c>
      <c r="CT106" s="27">
        <f>PortfolioFrontier[[#This Row],[P24 Growth]]/PortfolioFrontier[[#This Row],[P24 HWM]]-1</f>
        <v>0</v>
      </c>
      <c r="CU106" s="28">
        <f>SUMPRODUCT(INDEX(PortfolioRef[[SPY]:[PE]],MATCH(CU$1,PortfolioRef[Reference '#]),0),AssetMonthlyReturns[[#This Row],[SPY]:[PE]])</f>
        <v>3.5931119794779413E-2</v>
      </c>
      <c r="CV106" s="27">
        <f>IF(ISNUMBER(CV105),CV105*(1+PortfolioFrontier[[#This Row],[P25 Return]]),1+PortfolioFrontier[[#This Row],[P25 Return]])</f>
        <v>2.0784366378492782</v>
      </c>
      <c r="CW106" s="27">
        <f>MAX(CW105,PortfolioFrontier[[#This Row],[P25 Growth]])</f>
        <v>2.0784366378492782</v>
      </c>
      <c r="CX106" s="27">
        <f>PortfolioFrontier[[#This Row],[P25 Growth]]/PortfolioFrontier[[#This Row],[P25 HWM]]-1</f>
        <v>0</v>
      </c>
      <c r="CY106" s="28">
        <f>SUMPRODUCT(INDEX(PortfolioRef[[SPY]:[PE]],MATCH(CY$1,PortfolioRef[Reference '#]),0),AssetMonthlyReturns[[#This Row],[SPY]:[PE]])</f>
        <v>3.0014691316470818E-2</v>
      </c>
      <c r="CZ106" s="27">
        <f>IF(ISNUMBER(CZ105),CZ105*(1+PortfolioFrontier[[#This Row],[P26 Return]]),1+PortfolioFrontier[[#This Row],[P26 Return]])</f>
        <v>2.2073425440500669</v>
      </c>
      <c r="DA106" s="27">
        <f>MAX(DA105,PortfolioFrontier[[#This Row],[P26 Growth]])</f>
        <v>2.2073425440500669</v>
      </c>
      <c r="DB106" s="27">
        <f>PortfolioFrontier[[#This Row],[P26 Growth]]/PortfolioFrontier[[#This Row],[P26 HWM]]-1</f>
        <v>0</v>
      </c>
      <c r="DC106" s="28">
        <f>SUMPRODUCT(INDEX(PortfolioRef[[SPY]:[PE]],MATCH(DC$1,PortfolioRef[Reference '#]),0),AssetMonthlyReturns[[#This Row],[SPY]:[PE]])</f>
        <v>3.0071296059474173E-2</v>
      </c>
      <c r="DD106" s="27">
        <f>IF(ISNUMBER(DD105),DD105*(1+PortfolioFrontier[[#This Row],[P27 Return]]),1+PortfolioFrontier[[#This Row],[P27 Return]])</f>
        <v>2.1854949002784618</v>
      </c>
      <c r="DE106" s="27">
        <f>MAX(DE105,PortfolioFrontier[[#This Row],[P27 Growth]])</f>
        <v>2.1854949002784618</v>
      </c>
      <c r="DF106" s="27">
        <f>PortfolioFrontier[[#This Row],[P27 Growth]]/PortfolioFrontier[[#This Row],[P27 HWM]]-1</f>
        <v>0</v>
      </c>
      <c r="DG106" s="28">
        <f>SUMPRODUCT(INDEX(PortfolioRef[[SPY]:[PE]],MATCH(DG$1,PortfolioRef[Reference '#]),0),AssetMonthlyReturns[[#This Row],[SPY]:[PE]])</f>
        <v>3.3706340698002817E-2</v>
      </c>
      <c r="DH106" s="27">
        <f>IF(ISNUMBER(DH105),DH105*(1+PortfolioFrontier[[#This Row],[P28 Return]]),1+PortfolioFrontier[[#This Row],[P28 Return]])</f>
        <v>2.1862780151518546</v>
      </c>
      <c r="DI106" s="27">
        <f>MAX(DI105,PortfolioFrontier[[#This Row],[P28 Growth]])</f>
        <v>2.1862780151518546</v>
      </c>
      <c r="DJ106" s="27">
        <f>PortfolioFrontier[[#This Row],[P28 Growth]]/PortfolioFrontier[[#This Row],[P28 HWM]]-1</f>
        <v>0</v>
      </c>
      <c r="DK106" s="28">
        <f>SUMPRODUCT(INDEX(PortfolioRef[[SPY]:[PE]],MATCH(DK$1,PortfolioRef[Reference '#]),0),AssetMonthlyReturns[[#This Row],[SPY]:[PE]])</f>
        <v>3.3762945441006165E-2</v>
      </c>
      <c r="DL106" s="27">
        <f>IF(ISNUMBER(DL105),DL105*(1+PortfolioFrontier[[#This Row],[P29 Return]]),1+PortfolioFrontier[[#This Row],[P29 Return]])</f>
        <v>2.1659888321660246</v>
      </c>
      <c r="DM106" s="27">
        <f>MAX(DM105,PortfolioFrontier[[#This Row],[P29 Growth]])</f>
        <v>2.1659888321660246</v>
      </c>
      <c r="DN106" s="27">
        <f>PortfolioFrontier[[#This Row],[P29 Growth]]/PortfolioFrontier[[#This Row],[P29 HWM]]-1</f>
        <v>0</v>
      </c>
      <c r="DO106" s="28">
        <f>SUMPRODUCT(INDEX(PortfolioRef[[SPY]:[PE]],MATCH(DO$1,PortfolioRef[Reference '#]),0),AssetMonthlyReturns[[#This Row],[SPY]:[PE]])</f>
        <v>3.381955018400952E-2</v>
      </c>
      <c r="DP106" s="27">
        <f>IF(ISNUMBER(DP105),DP105*(1+PortfolioFrontier[[#This Row],[P30 Return]]),1+PortfolioFrontier[[#This Row],[P30 Return]])</f>
        <v>2.1441171961371146</v>
      </c>
      <c r="DQ106" s="27">
        <f>MAX(DQ105,PortfolioFrontier[[#This Row],[P30 Growth]])</f>
        <v>2.1441171961371146</v>
      </c>
      <c r="DR106" s="27">
        <f>PortfolioFrontier[[#This Row],[P30 Growth]]/PortfolioFrontier[[#This Row],[P30 HWM]]-1</f>
        <v>0</v>
      </c>
      <c r="DS106" s="28">
        <f>SUMPRODUCT(INDEX(PortfolioRef[[SPY]:[PE]],MATCH(DS$1,PortfolioRef[Reference '#]),0),AssetMonthlyReturns[[#This Row],[SPY]:[PE]])</f>
        <v>3.7397990079534808E-2</v>
      </c>
      <c r="DT106" s="27">
        <f>IF(ISNUMBER(DT105),DT105*(1+PortfolioFrontier[[#This Row],[P31 Return]]),1+PortfolioFrontier[[#This Row],[P31 Return]])</f>
        <v>2.16352980051315</v>
      </c>
      <c r="DU106" s="27">
        <f>MAX(DU105,PortfolioFrontier[[#This Row],[P31 Growth]])</f>
        <v>2.16352980051315</v>
      </c>
      <c r="DV106" s="27">
        <f>PortfolioFrontier[[#This Row],[P31 Growth]]/PortfolioFrontier[[#This Row],[P31 HWM]]-1</f>
        <v>0</v>
      </c>
      <c r="DW106" s="28">
        <f>SUMPRODUCT(INDEX(PortfolioRef[[SPY]:[PE]],MATCH(DW$1,PortfolioRef[Reference '#]),0),AssetMonthlyReturns[[#This Row],[SPY]:[PE]])</f>
        <v>3.7454594822538156E-2</v>
      </c>
      <c r="DX106" s="27">
        <f>IF(ISNUMBER(DX105),DX105*(1+PortfolioFrontier[[#This Row],[P32 Return]]),1+PortfolioFrontier[[#This Row],[P32 Return]])</f>
        <v>2.1447945874545882</v>
      </c>
      <c r="DY106" s="27">
        <f>MAX(DY105,PortfolioFrontier[[#This Row],[P32 Growth]])</f>
        <v>2.1447945874545882</v>
      </c>
      <c r="DZ106" s="27">
        <f>PortfolioFrontier[[#This Row],[P32 Growth]]/PortfolioFrontier[[#This Row],[P32 HWM]]-1</f>
        <v>0</v>
      </c>
      <c r="EA106" s="28">
        <f>SUMPRODUCT(INDEX(PortfolioRef[[SPY]:[PE]],MATCH(EA$1,PortfolioRef[Reference '#]),0),AssetMonthlyReturns[[#This Row],[SPY]:[PE]])</f>
        <v>3.7511199565541511E-2</v>
      </c>
      <c r="EB106" s="27">
        <f>IF(ISNUMBER(EB105),EB105*(1+PortfolioFrontier[[#This Row],[P33 Return]]),1+PortfolioFrontier[[#This Row],[P33 Return]])</f>
        <v>2.1244612788347679</v>
      </c>
      <c r="EC106" s="27">
        <f>MAX(EC105,PortfolioFrontier[[#This Row],[P33 Growth]])</f>
        <v>2.1244612788347679</v>
      </c>
      <c r="ED106" s="27">
        <f>PortfolioFrontier[[#This Row],[P33 Growth]]/PortfolioFrontier[[#This Row],[P33 HWM]]-1</f>
        <v>0</v>
      </c>
      <c r="EE106" s="28">
        <f>SUMPRODUCT(INDEX(PortfolioRef[[SPY]:[PE]],MATCH(EE$1,PortfolioRef[Reference '#]),0),AssetMonthlyReturns[[#This Row],[SPY]:[PE]])</f>
        <v>3.022558402588793E-2</v>
      </c>
      <c r="EF106" s="27">
        <f>IF(ISNUMBER(EF105),EF105*(1+PortfolioFrontier[[#This Row],[P34 Return]]),1+PortfolioFrontier[[#This Row],[P34 Return]])</f>
        <v>1.9200442071854715</v>
      </c>
      <c r="EG106" s="27">
        <f>MAX(EG105,PortfolioFrontier[[#This Row],[P34 Growth]])</f>
        <v>1.9200442071854715</v>
      </c>
      <c r="EH106" s="27">
        <f>PortfolioFrontier[[#This Row],[P34 Growth]]/PortfolioFrontier[[#This Row],[P34 HWM]]-1</f>
        <v>0</v>
      </c>
      <c r="EI106" s="28">
        <f>SUMPRODUCT(INDEX(PortfolioRef[[SPY]:[PE]],MATCH(EI$1,PortfolioRef[Reference '#]),0),AssetMonthlyReturns[[#This Row],[SPY]:[PE]])</f>
        <v>2.8114014415118037E-2</v>
      </c>
      <c r="EJ106" s="27">
        <f>IF(ISNUMBER(EJ105),EJ105*(1+PortfolioFrontier[[#This Row],[P35 Return]]),1+PortfolioFrontier[[#This Row],[P35 Return]])</f>
        <v>1.9807571434325792</v>
      </c>
      <c r="EK106" s="27">
        <f>MAX(EK105,PortfolioFrontier[[#This Row],[P35 Growth]])</f>
        <v>1.9807571434325792</v>
      </c>
      <c r="EL106" s="27">
        <f>PortfolioFrontier[[#This Row],[P35 Growth]]/PortfolioFrontier[[#This Row],[P35 HWM]]-1</f>
        <v>0</v>
      </c>
      <c r="EM106" s="28">
        <f>SUMPRODUCT(INDEX(PortfolioRef[[SPY]:[PE]],MATCH(EM$1,PortfolioRef[Reference '#]),0),AssetMonthlyReturns[[#This Row],[SPY]:[PE]])</f>
        <v>3.1805663796650029E-2</v>
      </c>
      <c r="EN106" s="27">
        <f>IF(ISNUMBER(EN105),EN105*(1+PortfolioFrontier[[#This Row],[P36 Return]]),1+PortfolioFrontier[[#This Row],[P36 Return]])</f>
        <v>1.9631286134359249</v>
      </c>
      <c r="EO106" s="27">
        <f>MAX(EO105,PortfolioFrontier[[#This Row],[P36 Growth]])</f>
        <v>1.9631286134359249</v>
      </c>
      <c r="EP106" s="27">
        <f>PortfolioFrontier[[#This Row],[P36 Growth]]/PortfolioFrontier[[#This Row],[P36 HWM]]-1</f>
        <v>0</v>
      </c>
      <c r="EQ106" s="28">
        <f>SUMPRODUCT(INDEX(PortfolioRef[[SPY]:[PE]],MATCH(EQ$1,PortfolioRef[Reference '#]),0),AssetMonthlyReturns[[#This Row],[SPY]:[PE]])</f>
        <v>3.1862268539653384E-2</v>
      </c>
      <c r="ER106" s="27">
        <f>IF(ISNUMBER(ER105),ER105*(1+PortfolioFrontier[[#This Row],[P37 Return]]),1+PortfolioFrontier[[#This Row],[P37 Return]])</f>
        <v>1.9429374908279433</v>
      </c>
      <c r="ES106" s="27">
        <f>MAX(ES105,PortfolioFrontier[[#This Row],[P37 Growth]])</f>
        <v>1.9429374908279433</v>
      </c>
      <c r="ET106" s="27">
        <f>PortfolioFrontier[[#This Row],[P37 Growth]]/PortfolioFrontier[[#This Row],[P37 HWM]]-1</f>
        <v>0</v>
      </c>
      <c r="EU106" s="28">
        <f>SUMPRODUCT(INDEX(PortfolioRef[[SPY]:[PE]],MATCH(EU$1,PortfolioRef[Reference '#]),0),AssetMonthlyReturns[[#This Row],[SPY]:[PE]])</f>
        <v>2.6002444804348143E-2</v>
      </c>
      <c r="EV106" s="27">
        <f>IF(ISNUMBER(EV105),EV105*(1+PortfolioFrontier[[#This Row],[P38 Return]]),1+PortfolioFrontier[[#This Row],[P38 Return]])</f>
        <v>2.0427412898130743</v>
      </c>
      <c r="EW106" s="27">
        <f>MAX(EW105,PortfolioFrontier[[#This Row],[P38 Growth]])</f>
        <v>2.0427412898130743</v>
      </c>
      <c r="EX106" s="27">
        <f>PortfolioFrontier[[#This Row],[P38 Growth]]/PortfolioFrontier[[#This Row],[P38 HWM]]-1</f>
        <v>0</v>
      </c>
      <c r="EY106" s="28">
        <f>SUMPRODUCT(INDEX(PortfolioRef[[SPY]:[PE]],MATCH(EY$1,PortfolioRef[Reference '#]),0),AssetMonthlyReturns[[#This Row],[SPY]:[PE]])</f>
        <v>2.9694094185880135E-2</v>
      </c>
      <c r="EZ106" s="27">
        <f>IF(ISNUMBER(EZ105),EZ105*(1+PortfolioFrontier[[#This Row],[P39 Return]]),1+PortfolioFrontier[[#This Row],[P39 Return]])</f>
        <v>2.0251775886021459</v>
      </c>
      <c r="FA106" s="27">
        <f>MAX(FA105,PortfolioFrontier[[#This Row],[P39 Growth]])</f>
        <v>2.0251775886021459</v>
      </c>
      <c r="FB106" s="27">
        <f>PortfolioFrontier[[#This Row],[P39 Growth]]/PortfolioFrontier[[#This Row],[P39 HWM]]-1</f>
        <v>0</v>
      </c>
      <c r="FC106" s="28">
        <f>SUMPRODUCT(INDEX(PortfolioRef[[SPY]:[PE]],MATCH(FC$1,PortfolioRef[Reference '#]),0),AssetMonthlyReturns[[#This Row],[SPY]:[PE]])</f>
        <v>2.975069892888349E-2</v>
      </c>
      <c r="FD106" s="27">
        <f>IF(ISNUMBER(FD105),FD105*(1+PortfolioFrontier[[#This Row],[P40 Return]]),1+PortfolioFrontier[[#This Row],[P40 Return]])</f>
        <v>2.004360479511198</v>
      </c>
      <c r="FE106" s="27">
        <f>MAX(FE105,PortfolioFrontier[[#This Row],[P40 Growth]])</f>
        <v>2.004360479511198</v>
      </c>
      <c r="FF106" s="27">
        <f>PortfolioFrontier[[#This Row],[P40 Growth]]/PortfolioFrontier[[#This Row],[P40 HWM]]-1</f>
        <v>0</v>
      </c>
      <c r="FG106" s="28">
        <f>SUMPRODUCT(INDEX(PortfolioRef[[SPY]:[PE]],MATCH(FG$1,PortfolioRef[Reference '#]),0),AssetMonthlyReturns[[#This Row],[SPY]:[PE]])</f>
        <v>3.3385743567412134E-2</v>
      </c>
      <c r="FH106" s="27">
        <f>IF(ISNUMBER(FH105),FH105*(1+PortfolioFrontier[[#This Row],[P41 Return]]),1+PortfolioFrontier[[#This Row],[P41 Return]])</f>
        <v>2.0060240781799505</v>
      </c>
      <c r="FI106" s="27">
        <f>MAX(FI105,PortfolioFrontier[[#This Row],[P41 Growth]])</f>
        <v>2.0060240781799505</v>
      </c>
      <c r="FJ106" s="27">
        <f>PortfolioFrontier[[#This Row],[P41 Growth]]/PortfolioFrontier[[#This Row],[P41 HWM]]-1</f>
        <v>0</v>
      </c>
      <c r="FK106" s="28">
        <f>SUMPRODUCT(INDEX(PortfolioRef[[SPY]:[PE]],MATCH(FK$1,PortfolioRef[Reference '#]),0),AssetMonthlyReturns[[#This Row],[SPY]:[PE]])</f>
        <v>3.3442348310415482E-2</v>
      </c>
      <c r="FL106" s="27">
        <f>IF(ISNUMBER(FL105),FL105*(1+PortfolioFrontier[[#This Row],[P42 Return]]),1+PortfolioFrontier[[#This Row],[P42 Return]])</f>
        <v>1.9866399476315892</v>
      </c>
      <c r="FM106" s="27">
        <f>MAX(FM105,PortfolioFrontier[[#This Row],[P42 Growth]])</f>
        <v>1.9866399476315892</v>
      </c>
      <c r="FN106" s="27">
        <f>PortfolioFrontier[[#This Row],[P42 Growth]]/PortfolioFrontier[[#This Row],[P42 HWM]]-1</f>
        <v>0</v>
      </c>
      <c r="FO106" s="28">
        <f>SUMPRODUCT(INDEX(PortfolioRef[[SPY]:[PE]],MATCH(FO$1,PortfolioRef[Reference '#]),0),AssetMonthlyReturns[[#This Row],[SPY]:[PE]])</f>
        <v>3.3498953053418837E-2</v>
      </c>
      <c r="FP106" s="27">
        <f>IF(ISNUMBER(FP105),FP105*(1+PortfolioFrontier[[#This Row],[P43 Return]]),1+PortfolioFrontier[[#This Row],[P43 Return]])</f>
        <v>1.9658209381144909</v>
      </c>
      <c r="FQ106" s="27">
        <f>MAX(FQ105,PortfolioFrontier[[#This Row],[P43 Growth]])</f>
        <v>1.9658209381144909</v>
      </c>
      <c r="FR106" s="27">
        <f>PortfolioFrontier[[#This Row],[P43 Growth]]/PortfolioFrontier[[#This Row],[P43 HWM]]-1</f>
        <v>0</v>
      </c>
      <c r="FS106" s="28">
        <f>SUMPRODUCT(INDEX(PortfolioRef[[SPY]:[PE]],MATCH(FS$1,PortfolioRef[Reference '#]),0),AssetMonthlyReturns[[#This Row],[SPY]:[PE]])</f>
        <v>2.7582524575110241E-2</v>
      </c>
      <c r="FT106" s="27">
        <f>IF(ISNUMBER(FT105),FT105*(1+PortfolioFrontier[[#This Row],[P44 Return]]),1+PortfolioFrontier[[#This Row],[P44 Return]])</f>
        <v>2.08852529167156</v>
      </c>
      <c r="FU106" s="27">
        <f>MAX(FU105,PortfolioFrontier[[#This Row],[P44 Growth]])</f>
        <v>2.08852529167156</v>
      </c>
      <c r="FV106" s="27">
        <f>PortfolioFrontier[[#This Row],[P44 Growth]]/PortfolioFrontier[[#This Row],[P44 HWM]]-1</f>
        <v>0</v>
      </c>
      <c r="FW106" s="28">
        <f>SUMPRODUCT(INDEX(PortfolioRef[[SPY]:[PE]],MATCH(FW$1,PortfolioRef[Reference '#]),0),AssetMonthlyReturns[[#This Row],[SPY]:[PE]])</f>
        <v>2.7639129318113596E-2</v>
      </c>
      <c r="FX106" s="27">
        <f>IF(ISNUMBER(FX105),FX105*(1+PortfolioFrontier[[#This Row],[P45 Return]]),1+PortfolioFrontier[[#This Row],[P45 Return]])</f>
        <v>2.0670694821613385</v>
      </c>
      <c r="FY106" s="27">
        <f>MAX(FY105,PortfolioFrontier[[#This Row],[P45 Growth]])</f>
        <v>2.0670694821613385</v>
      </c>
      <c r="FZ106" s="27">
        <f>PortfolioFrontier[[#This Row],[P45 Growth]]/PortfolioFrontier[[#This Row],[P45 HWM]]-1</f>
        <v>0</v>
      </c>
      <c r="GA106" s="28">
        <f>SUMPRODUCT(INDEX(PortfolioRef[[SPY]:[PE]],MATCH(GA$1,PortfolioRef[Reference '#]),0),AssetMonthlyReturns[[#This Row],[SPY]:[PE]])</f>
        <v>3.127417395664224E-2</v>
      </c>
      <c r="GB106" s="27">
        <f>IF(ISNUMBER(GB105),GB105*(1+PortfolioFrontier[[#This Row],[P46 Return]]),1+PortfolioFrontier[[#This Row],[P46 Return]])</f>
        <v>2.069402642829985</v>
      </c>
      <c r="GC106" s="27">
        <f>MAX(GC105,PortfolioFrontier[[#This Row],[P46 Growth]])</f>
        <v>2.069402642829985</v>
      </c>
      <c r="GD106" s="27">
        <f>PortfolioFrontier[[#This Row],[P46 Growth]]/PortfolioFrontier[[#This Row],[P46 HWM]]-1</f>
        <v>0</v>
      </c>
      <c r="GE106" s="28">
        <f>SUMPRODUCT(INDEX(PortfolioRef[[SPY]:[PE]],MATCH(GE$1,PortfolioRef[Reference '#]),0),AssetMonthlyReturns[[#This Row],[SPY]:[PE]])</f>
        <v>3.1330778699645588E-2</v>
      </c>
      <c r="GF106" s="27">
        <f>IF(ISNUMBER(GF105),GF105*(1+PortfolioFrontier[[#This Row],[P47 Return]]),1+PortfolioFrontier[[#This Row],[P47 Return]])</f>
        <v>2.0494178014818711</v>
      </c>
      <c r="GG106" s="27">
        <f>MAX(GG105,PortfolioFrontier[[#This Row],[P47 Growth]])</f>
        <v>2.0494178014818711</v>
      </c>
      <c r="GH106" s="27">
        <f>PortfolioFrontier[[#This Row],[P47 Growth]]/PortfolioFrontier[[#This Row],[P47 HWM]]-1</f>
        <v>0</v>
      </c>
      <c r="GI106" s="28">
        <f>SUMPRODUCT(INDEX(PortfolioRef[[SPY]:[PE]],MATCH(GI$1,PortfolioRef[Reference '#]),0),AssetMonthlyReturns[[#This Row],[SPY]:[PE]])</f>
        <v>3.1387383442648943E-2</v>
      </c>
      <c r="GJ106" s="27">
        <f>IF(ISNUMBER(GJ105),GJ105*(1+PortfolioFrontier[[#This Row],[P48 Return]]),1+PortfolioFrontier[[#This Row],[P48 Return]])</f>
        <v>2.0279535619622311</v>
      </c>
      <c r="GK106" s="27">
        <f>MAX(GK105,PortfolioFrontier[[#This Row],[P48 Growth]])</f>
        <v>2.0279535619622311</v>
      </c>
      <c r="GL106" s="27">
        <f>PortfolioFrontier[[#This Row],[P48 Growth]]/PortfolioFrontier[[#This Row],[P48 HWM]]-1</f>
        <v>0</v>
      </c>
      <c r="GM106" s="28">
        <f>SUMPRODUCT(INDEX(PortfolioRef[[SPY]:[PE]],MATCH(GM$1,PortfolioRef[Reference '#]),0),AssetMonthlyReturns[[#This Row],[SPY]:[PE]])</f>
        <v>3.4965823338174232E-2</v>
      </c>
      <c r="GN106" s="27">
        <f>IF(ISNUMBER(GN105),GN105*(1+PortfolioFrontier[[#This Row],[P49 Return]]),1+PortfolioFrontier[[#This Row],[P49 Return]])</f>
        <v>2.0486724769415803</v>
      </c>
      <c r="GO106" s="27">
        <f>MAX(GO105,PortfolioFrontier[[#This Row],[P49 Growth]])</f>
        <v>2.0486724769415803</v>
      </c>
      <c r="GP106" s="27">
        <f>PortfolioFrontier[[#This Row],[P49 Growth]]/PortfolioFrontier[[#This Row],[P49 HWM]]-1</f>
        <v>0</v>
      </c>
      <c r="GQ106" s="28">
        <f>SUMPRODUCT(INDEX(PortfolioRef[[SPY]:[PE]],MATCH(GQ$1,PortfolioRef[Reference '#]),0),AssetMonthlyReturns[[#This Row],[SPY]:[PE]])</f>
        <v>3.502242808117758E-2</v>
      </c>
      <c r="GR106" s="27">
        <f>IF(ISNUMBER(GR105),GR105*(1+PortfolioFrontier[[#This Row],[P50 Return]]),1+PortfolioFrontier[[#This Row],[P50 Return]])</f>
        <v>2.0301559680854639</v>
      </c>
      <c r="GS106" s="27">
        <f>MAX(GS105,PortfolioFrontier[[#This Row],[P50 Growth]])</f>
        <v>2.0301559680854639</v>
      </c>
      <c r="GT106" s="27">
        <f>PortfolioFrontier[[#This Row],[P50 Growth]]/PortfolioFrontier[[#This Row],[P50 HWM]]-1</f>
        <v>0</v>
      </c>
      <c r="GU106" s="28">
        <f>SUMPRODUCT(INDEX(PortfolioRef[[SPY]:[PE]],MATCH(GU$1,PortfolioRef[Reference '#]),0),AssetMonthlyReturns[[#This Row],[SPY]:[PE]])</f>
        <v>3.5079032824180935E-2</v>
      </c>
      <c r="GV106" s="27">
        <f>IF(ISNUMBER(GV105),GV105*(1+PortfolioFrontier[[#This Row],[P51 Return]]),1+PortfolioFrontier[[#This Row],[P51 Return]])</f>
        <v>2.0101437748972102</v>
      </c>
      <c r="GW106" s="27">
        <f>MAX(GW105,PortfolioFrontier[[#This Row],[P51 Growth]])</f>
        <v>2.0101437748972102</v>
      </c>
      <c r="GX106" s="27">
        <f>PortfolioFrontier[[#This Row],[P51 Growth]]/PortfolioFrontier[[#This Row],[P51 HWM]]-1</f>
        <v>0</v>
      </c>
      <c r="GY106" s="28">
        <f>SUMPRODUCT(INDEX(PortfolioRef[[SPY]:[PE]],MATCH(GY$1,PortfolioRef[Reference '#]),0),AssetMonthlyReturns[[#This Row],[SPY]:[PE]])</f>
        <v>2.9162604345872343E-2</v>
      </c>
      <c r="GZ106" s="27">
        <f>IF(ISNUMBER(GZ105),GZ105*(1+PortfolioFrontier[[#This Row],[P52 Return]]),1+PortfolioFrontier[[#This Row],[P52 Return]])</f>
        <v>2.1341073124467327</v>
      </c>
      <c r="HA106" s="27">
        <f>MAX(HA105,PortfolioFrontier[[#This Row],[P52 Growth]])</f>
        <v>2.1341073124467327</v>
      </c>
      <c r="HB106" s="27">
        <f>PortfolioFrontier[[#This Row],[P52 Growth]]/PortfolioFrontier[[#This Row],[P52 HWM]]-1</f>
        <v>0</v>
      </c>
      <c r="HC106" s="28">
        <f>SUMPRODUCT(INDEX(PortfolioRef[[SPY]:[PE]],MATCH(HC$1,PortfolioRef[Reference '#]),0),AssetMonthlyReturns[[#This Row],[SPY]:[PE]])</f>
        <v>2.9219209088875694E-2</v>
      </c>
      <c r="HD106" s="27">
        <f>IF(ISNUMBER(HD105),HD105*(1+PortfolioFrontier[[#This Row],[P53 Return]]),1+PortfolioFrontier[[#This Row],[P53 Return]])</f>
        <v>2.1135095719728807</v>
      </c>
      <c r="HE106" s="27">
        <f>MAX(HE105,PortfolioFrontier[[#This Row],[P53 Growth]])</f>
        <v>2.1135095719728807</v>
      </c>
      <c r="HF106" s="27">
        <f>PortfolioFrontier[[#This Row],[P53 Growth]]/PortfolioFrontier[[#This Row],[P53 HWM]]-1</f>
        <v>0</v>
      </c>
      <c r="HG106" s="28">
        <f>SUMPRODUCT(INDEX(PortfolioRef[[SPY]:[PE]],MATCH(HG$1,PortfolioRef[Reference '#]),0),AssetMonthlyReturns[[#This Row],[SPY]:[PE]])</f>
        <v>2.927581383187905E-2</v>
      </c>
      <c r="HH106" s="27">
        <f>IF(ISNUMBER(HH105),HH105*(1+PortfolioFrontier[[#This Row],[P54 Return]]),1+PortfolioFrontier[[#This Row],[P54 Return]])</f>
        <v>2.0913869974717465</v>
      </c>
      <c r="HI106" s="27">
        <f>MAX(HI105,PortfolioFrontier[[#This Row],[P54 Growth]])</f>
        <v>2.0913869974717465</v>
      </c>
      <c r="HJ106" s="27">
        <f>PortfolioFrontier[[#This Row],[P54 Growth]]/PortfolioFrontier[[#This Row],[P54 HWM]]-1</f>
        <v>0</v>
      </c>
      <c r="HK106" s="28">
        <f>SUMPRODUCT(INDEX(PortfolioRef[[SPY]:[PE]],MATCH(HK$1,PortfolioRef[Reference '#]),0),AssetMonthlyReturns[[#This Row],[SPY]:[PE]])</f>
        <v>3.2854253727404338E-2</v>
      </c>
      <c r="HL106" s="27">
        <f>IF(ISNUMBER(HL105),HL105*(1+PortfolioFrontier[[#This Row],[P55 Return]]),1+PortfolioFrontier[[#This Row],[P55 Return]])</f>
        <v>2.1133723972353353</v>
      </c>
      <c r="HM106" s="27">
        <f>MAX(HM105,PortfolioFrontier[[#This Row],[P55 Growth]])</f>
        <v>2.1133723972353353</v>
      </c>
      <c r="HN106" s="27">
        <f>PortfolioFrontier[[#This Row],[P55 Growth]]/PortfolioFrontier[[#This Row],[P55 HWM]]-1</f>
        <v>0</v>
      </c>
      <c r="HO106" s="28">
        <f>SUMPRODUCT(INDEX(PortfolioRef[[SPY]:[PE]],MATCH(HO$1,PortfolioRef[Reference '#]),0),AssetMonthlyReturns[[#This Row],[SPY]:[PE]])</f>
        <v>3.2910858470407686E-2</v>
      </c>
      <c r="HP106" s="27">
        <f>IF(ISNUMBER(HP105),HP105*(1+PortfolioFrontier[[#This Row],[P56 Return]]),1+PortfolioFrontier[[#This Row],[P56 Return]])</f>
        <v>2.0942823063094425</v>
      </c>
      <c r="HQ106" s="27">
        <f>MAX(HQ105,PortfolioFrontier[[#This Row],[P56 Growth]])</f>
        <v>2.0942823063094425</v>
      </c>
      <c r="HR106" s="27">
        <f>PortfolioFrontier[[#This Row],[P56 Growth]]/PortfolioFrontier[[#This Row],[P56 HWM]]-1</f>
        <v>0</v>
      </c>
      <c r="HS106" s="28">
        <f>SUMPRODUCT(INDEX(PortfolioRef[[SPY]:[PE]],MATCH(HS$1,PortfolioRef[Reference '#]),0),AssetMonthlyReturns[[#This Row],[SPY]:[PE]])</f>
        <v>3.2967463213411041E-2</v>
      </c>
      <c r="HT106" s="27">
        <f>IF(ISNUMBER(HT105),HT105*(1+PortfolioFrontier[[#This Row],[P57 Return]]),1+PortfolioFrontier[[#This Row],[P57 Return]])</f>
        <v>2.0736501580590407</v>
      </c>
      <c r="HU106" s="27">
        <f>MAX(HU105,PortfolioFrontier[[#This Row],[P57 Growth]])</f>
        <v>2.0736501580590407</v>
      </c>
      <c r="HV106" s="27">
        <f>PortfolioFrontier[[#This Row],[P57 Growth]]/PortfolioFrontier[[#This Row],[P57 HWM]]-1</f>
        <v>0</v>
      </c>
      <c r="HW106" s="28">
        <f>SUMPRODUCT(INDEX(PortfolioRef[[SPY]:[PE]],MATCH(HW$1,PortfolioRef[Reference '#]),0),AssetMonthlyReturns[[#This Row],[SPY]:[PE]])</f>
        <v>3.654590310893633E-2</v>
      </c>
      <c r="HX106" s="27">
        <f>IF(ISNUMBER(HX105),HX105*(1+PortfolioFrontier[[#This Row],[P58 Return]]),1+PortfolioFrontier[[#This Row],[P58 Return]])</f>
        <v>2.0910143650860982</v>
      </c>
      <c r="HY106" s="27">
        <f>MAX(HY105,PortfolioFrontier[[#This Row],[P58 Growth]])</f>
        <v>2.0910143650860982</v>
      </c>
      <c r="HZ106" s="27">
        <f>PortfolioFrontier[[#This Row],[P58 Growth]]/PortfolioFrontier[[#This Row],[P58 HWM]]-1</f>
        <v>0</v>
      </c>
      <c r="IA106" s="28">
        <f>SUMPRODUCT(INDEX(PortfolioRef[[SPY]:[PE]],MATCH(IA$1,PortfolioRef[Reference '#]),0),AssetMonthlyReturns[[#This Row],[SPY]:[PE]])</f>
        <v>3.6602507851939678E-2</v>
      </c>
      <c r="IB106" s="27">
        <f>IF(ISNUMBER(IB105),IB105*(1+PortfolioFrontier[[#This Row],[P59 Return]]),1+PortfolioFrontier[[#This Row],[P59 Return]])</f>
        <v>2.0734267255216219</v>
      </c>
      <c r="IC106" s="27">
        <f>MAX(IC105,PortfolioFrontier[[#This Row],[P59 Growth]])</f>
        <v>2.0734267255216219</v>
      </c>
      <c r="ID106" s="27">
        <f>PortfolioFrontier[[#This Row],[P59 Growth]]/PortfolioFrontier[[#This Row],[P59 HWM]]-1</f>
        <v>0</v>
      </c>
      <c r="IE106" s="28">
        <f>SUMPRODUCT(INDEX(PortfolioRef[[SPY]:[PE]],MATCH(IE$1,PortfolioRef[Reference '#]),0),AssetMonthlyReturns[[#This Row],[SPY]:[PE]])</f>
        <v>3.6659112594943033E-2</v>
      </c>
      <c r="IF106" s="27">
        <f>IF(ISNUMBER(IF105),IF105*(1+PortfolioFrontier[[#This Row],[P60 Return]]),1+PortfolioFrontier[[#This Row],[P60 Return]])</f>
        <v>2.0542827966014268</v>
      </c>
      <c r="IG106" s="27">
        <f>MAX(IG105,PortfolioFrontier[[#This Row],[P60 Growth]])</f>
        <v>2.0542827966014268</v>
      </c>
      <c r="IH106" s="27">
        <f>PortfolioFrontier[[#This Row],[P60 Growth]]/PortfolioFrontier[[#This Row],[P60 HWM]]-1</f>
        <v>0</v>
      </c>
      <c r="II106" s="28">
        <f>SUMPRODUCT(INDEX(PortfolioRef[[SPY]:[PE]],MATCH(II$1,PortfolioRef[Reference '#]),0),AssetMonthlyReturns[[#This Row],[SPY]:[PE]])</f>
        <v>2.7793417284527354E-2</v>
      </c>
      <c r="IJ106" s="27">
        <f>IF(ISNUMBER(IJ105),IJ105*(1+PortfolioFrontier[[#This Row],[P61 Return]]),1+PortfolioFrontier[[#This Row],[P61 Return]])</f>
        <v>1.8150872229816291</v>
      </c>
      <c r="IK106" s="27">
        <f>MAX(IK105,PortfolioFrontier[[#This Row],[P61 Growth]])</f>
        <v>1.8150872229816291</v>
      </c>
      <c r="IL106" s="27">
        <f>PortfolioFrontier[[#This Row],[P61 Growth]]/PortfolioFrontier[[#This Row],[P61 HWM]]-1</f>
        <v>0</v>
      </c>
      <c r="IM106" s="28">
        <f>SUMPRODUCT(INDEX(PortfolioRef[[SPY]:[PE]],MATCH(IM$1,PortfolioRef[Reference '#]),0),AssetMonthlyReturns[[#This Row],[SPY]:[PE]])</f>
        <v>2.568184767375746E-2</v>
      </c>
      <c r="IN106" s="27">
        <f>IF(ISNUMBER(IN105),IN105*(1+PortfolioFrontier[[#This Row],[P62 Return]]),1+PortfolioFrontier[[#This Row],[P62 Return]])</f>
        <v>1.8724918010137221</v>
      </c>
      <c r="IO106" s="27">
        <f>MAX(IO105,PortfolioFrontier[[#This Row],[P62 Growth]])</f>
        <v>1.8724918010137221</v>
      </c>
      <c r="IP106" s="27">
        <f>PortfolioFrontier[[#This Row],[P62 Growth]]/PortfolioFrontier[[#This Row],[P62 HWM]]-1</f>
        <v>0</v>
      </c>
      <c r="IQ106" s="28">
        <f>SUMPRODUCT(INDEX(PortfolioRef[[SPY]:[PE]],MATCH(IQ$1,PortfolioRef[Reference '#]),0),AssetMonthlyReturns[[#This Row],[SPY]:[PE]])</f>
        <v>2.9373497055289452E-2</v>
      </c>
      <c r="IR106" s="27">
        <f>IF(ISNUMBER(IR105),IR105*(1+PortfolioFrontier[[#This Row],[P63 Return]]),1+PortfolioFrontier[[#This Row],[P63 Return]])</f>
        <v>1.8565469838971056</v>
      </c>
      <c r="IS106" s="27">
        <f>MAX(IS105,PortfolioFrontier[[#This Row],[P63 Growth]])</f>
        <v>1.8565469838971056</v>
      </c>
      <c r="IT106" s="27">
        <f>PortfolioFrontier[[#This Row],[P63 Growth]]/PortfolioFrontier[[#This Row],[P63 HWM]]-1</f>
        <v>0</v>
      </c>
      <c r="IU106" s="28">
        <f>SUMPRODUCT(INDEX(PortfolioRef[[SPY]:[PE]],MATCH(IU$1,PortfolioRef[Reference '#]),0),AssetMonthlyReturns[[#This Row],[SPY]:[PE]])</f>
        <v>2.9430101798292807E-2</v>
      </c>
      <c r="IV106" s="27">
        <f>IF(ISNUMBER(IV105),IV105*(1+PortfolioFrontier[[#This Row],[P64 Return]]),1+PortfolioFrontier[[#This Row],[P64 Return]])</f>
        <v>1.8367556368098772</v>
      </c>
      <c r="IW106" s="27">
        <f>MAX(IW105,PortfolioFrontier[[#This Row],[P64 Growth]])</f>
        <v>1.8367556368098772</v>
      </c>
      <c r="IX106" s="27">
        <f>PortfolioFrontier[[#This Row],[P64 Growth]]/PortfolioFrontier[[#This Row],[P64 HWM]]-1</f>
        <v>0</v>
      </c>
      <c r="IY106" s="28">
        <f>SUMPRODUCT(INDEX(PortfolioRef[[SPY]:[PE]],MATCH(IY$1,PortfolioRef[Reference '#]),0),AssetMonthlyReturns[[#This Row],[SPY]:[PE]])</f>
        <v>2.3570278062987567E-2</v>
      </c>
      <c r="IZ106" s="27">
        <f>IF(ISNUMBER(IZ105),IZ105*(1+PortfolioFrontier[[#This Row],[P65 Return]]),1+PortfolioFrontier[[#This Row],[P65 Return]])</f>
        <v>1.9310976371181872</v>
      </c>
      <c r="JA106" s="27">
        <f>MAX(JA105,PortfolioFrontier[[#This Row],[P65 Growth]])</f>
        <v>1.9310976371181872</v>
      </c>
      <c r="JB106" s="27">
        <f>PortfolioFrontier[[#This Row],[P65 Growth]]/PortfolioFrontier[[#This Row],[P65 HWM]]-1</f>
        <v>0</v>
      </c>
      <c r="JC106" s="28">
        <f>SUMPRODUCT(INDEX(PortfolioRef[[SPY]:[PE]],MATCH(JC$1,PortfolioRef[Reference '#]),0),AssetMonthlyReturns[[#This Row],[SPY]:[PE]])</f>
        <v>2.7261927444519558E-2</v>
      </c>
      <c r="JD106" s="27">
        <f>IF(ISNUMBER(JD105),JD105*(1+PortfolioFrontier[[#This Row],[P66 Return]]),1+PortfolioFrontier[[#This Row],[P66 Return]])</f>
        <v>1.9152375861100503</v>
      </c>
      <c r="JE106" s="27">
        <f>MAX(JE105,PortfolioFrontier[[#This Row],[P66 Growth]])</f>
        <v>1.9152375861100503</v>
      </c>
      <c r="JF106" s="27">
        <f>PortfolioFrontier[[#This Row],[P66 Growth]]/PortfolioFrontier[[#This Row],[P66 HWM]]-1</f>
        <v>0</v>
      </c>
      <c r="JG106" s="28">
        <f>SUMPRODUCT(INDEX(PortfolioRef[[SPY]:[PE]],MATCH(JG$1,PortfolioRef[Reference '#]),0),AssetMonthlyReturns[[#This Row],[SPY]:[PE]])</f>
        <v>2.7318532187522913E-2</v>
      </c>
      <c r="JH106" s="27">
        <f>IF(ISNUMBER(JH105),JH105*(1+PortfolioFrontier[[#This Row],[P67 Return]]),1+PortfolioFrontier[[#This Row],[P67 Return]])</f>
        <v>1.8948324726474595</v>
      </c>
      <c r="JI106" s="27">
        <f>MAX(JI105,PortfolioFrontier[[#This Row],[P67 Growth]])</f>
        <v>1.8948324726474595</v>
      </c>
      <c r="JJ106" s="27">
        <f>PortfolioFrontier[[#This Row],[P67 Growth]]/PortfolioFrontier[[#This Row],[P67 HWM]]-1</f>
        <v>0</v>
      </c>
      <c r="JK106" s="28">
        <f>SUMPRODUCT(INDEX(PortfolioRef[[SPY]:[PE]],MATCH(JK$1,PortfolioRef[Reference '#]),0),AssetMonthlyReturns[[#This Row],[SPY]:[PE]])</f>
        <v>3.0953576826051554E-2</v>
      </c>
      <c r="JL106" s="27">
        <f>IF(ISNUMBER(JL105),JL105*(1+PortfolioFrontier[[#This Row],[P68 Return]]),1+PortfolioFrontier[[#This Row],[P68 Return]])</f>
        <v>1.8978624327562814</v>
      </c>
      <c r="JM106" s="27">
        <f>MAX(JM105,PortfolioFrontier[[#This Row],[P68 Growth]])</f>
        <v>1.8978624327562814</v>
      </c>
      <c r="JN106" s="27">
        <f>PortfolioFrontier[[#This Row],[P68 Growth]]/PortfolioFrontier[[#This Row],[P68 HWM]]-1</f>
        <v>0</v>
      </c>
      <c r="JO106" s="28">
        <f>SUMPRODUCT(INDEX(PortfolioRef[[SPY]:[PE]],MATCH(JO$1,PortfolioRef[Reference '#]),0),AssetMonthlyReturns[[#This Row],[SPY]:[PE]])</f>
        <v>3.1010181569054905E-2</v>
      </c>
      <c r="JP106" s="27">
        <f>IF(ISNUMBER(JP105),JP105*(1+PortfolioFrontier[[#This Row],[P69 Return]]),1+PortfolioFrontier[[#This Row],[P69 Return]])</f>
        <v>1.8788089736287423</v>
      </c>
      <c r="JQ106" s="27">
        <f>MAX(JQ105,PortfolioFrontier[[#This Row],[P69 Growth]])</f>
        <v>1.8788089736287423</v>
      </c>
      <c r="JR106" s="27">
        <f>PortfolioFrontier[[#This Row],[P69 Growth]]/PortfolioFrontier[[#This Row],[P69 HWM]]-1</f>
        <v>0</v>
      </c>
      <c r="JS106" s="28">
        <f>SUMPRODUCT(INDEX(PortfolioRef[[SPY]:[PE]],MATCH(JS$1,PortfolioRef[Reference '#]),0),AssetMonthlyReturns[[#This Row],[SPY]:[PE]])</f>
        <v>3.106678631205826E-2</v>
      </c>
      <c r="JT106" s="27">
        <f>IF(ISNUMBER(JT105),JT105*(1+PortfolioFrontier[[#This Row],[P70 Return]]),1+PortfolioFrontier[[#This Row],[P70 Return]])</f>
        <v>1.8584153360579752</v>
      </c>
      <c r="JU106" s="27">
        <f>MAX(JU105,PortfolioFrontier[[#This Row],[P70 Growth]])</f>
        <v>1.8584153360579752</v>
      </c>
      <c r="JV106" s="27">
        <f>PortfolioFrontier[[#This Row],[P70 Growth]]/PortfolioFrontier[[#This Row],[P70 HWM]]-1</f>
        <v>0</v>
      </c>
      <c r="JW106" s="28">
        <f>SUMPRODUCT(INDEX(PortfolioRef[[SPY]:[PE]],MATCH(JW$1,PortfolioRef[Reference '#]),0),AssetMonthlyReturns[[#This Row],[SPY]:[PE]])</f>
        <v>2.5150357833749668E-2</v>
      </c>
      <c r="JX106" s="27">
        <f>IF(ISNUMBER(JX105),JX105*(1+PortfolioFrontier[[#This Row],[P71 Return]]),1+PortfolioFrontier[[#This Row],[P71 Return]])</f>
        <v>1.9751559232515354</v>
      </c>
      <c r="JY106" s="27">
        <f>MAX(JY105,PortfolioFrontier[[#This Row],[P71 Growth]])</f>
        <v>1.9751559232515354</v>
      </c>
      <c r="JZ106" s="27">
        <f>PortfolioFrontier[[#This Row],[P71 Growth]]/PortfolioFrontier[[#This Row],[P71 HWM]]-1</f>
        <v>0</v>
      </c>
      <c r="KA106" s="28">
        <f>SUMPRODUCT(INDEX(PortfolioRef[[SPY]:[PE]],MATCH(KA$1,PortfolioRef[Reference '#]),0),AssetMonthlyReturns[[#This Row],[SPY]:[PE]])</f>
        <v>2.520696257675302E-2</v>
      </c>
      <c r="KB106" s="27">
        <f>IF(ISNUMBER(KB105),KB105*(1+PortfolioFrontier[[#This Row],[P72 Return]]),1+PortfolioFrontier[[#This Row],[P72 Return]])</f>
        <v>1.9541245780061343</v>
      </c>
      <c r="KC106" s="27">
        <f>MAX(KC105,PortfolioFrontier[[#This Row],[P72 Growth]])</f>
        <v>1.9541245780061343</v>
      </c>
      <c r="KD106" s="27">
        <f>PortfolioFrontier[[#This Row],[P72 Growth]]/PortfolioFrontier[[#This Row],[P72 HWM]]-1</f>
        <v>0</v>
      </c>
      <c r="KE106" s="28">
        <f>SUMPRODUCT(INDEX(PortfolioRef[[SPY]:[PE]],MATCH(KE$1,PortfolioRef[Reference '#]),0),AssetMonthlyReturns[[#This Row],[SPY]:[PE]])</f>
        <v>2.884200721528166E-2</v>
      </c>
      <c r="KF106" s="27">
        <f>IF(ISNUMBER(KF105),KF105*(1+PortfolioFrontier[[#This Row],[P73 Return]]),1+PortfolioFrontier[[#This Row],[P73 Return]])</f>
        <v>1.9578340102103611</v>
      </c>
      <c r="KG106" s="27">
        <f>MAX(KG105,PortfolioFrontier[[#This Row],[P73 Growth]])</f>
        <v>1.9578340102103611</v>
      </c>
      <c r="KH106" s="27">
        <f>PortfolioFrontier[[#This Row],[P73 Growth]]/PortfolioFrontier[[#This Row],[P73 HWM]]-1</f>
        <v>0</v>
      </c>
      <c r="KI106" s="28">
        <f>SUMPRODUCT(INDEX(PortfolioRef[[SPY]:[PE]],MATCH(KI$1,PortfolioRef[Reference '#]),0),AssetMonthlyReturns[[#This Row],[SPY]:[PE]])</f>
        <v>2.8898611958285012E-2</v>
      </c>
      <c r="KJ106" s="27">
        <f>IF(ISNUMBER(KJ105),KJ105*(1+PortfolioFrontier[[#This Row],[P74 Return]]),1+PortfolioFrontier[[#This Row],[P74 Return]])</f>
        <v>1.9381899198256074</v>
      </c>
      <c r="KK106" s="27">
        <f>MAX(KK105,PortfolioFrontier[[#This Row],[P74 Growth]])</f>
        <v>1.9381899198256074</v>
      </c>
      <c r="KL106" s="27">
        <f>PortfolioFrontier[[#This Row],[P74 Growth]]/PortfolioFrontier[[#This Row],[P74 HWM]]-1</f>
        <v>0</v>
      </c>
      <c r="KM106" s="28">
        <f>SUMPRODUCT(INDEX(PortfolioRef[[SPY]:[PE]],MATCH(KM$1,PortfolioRef[Reference '#]),0),AssetMonthlyReturns[[#This Row],[SPY]:[PE]])</f>
        <v>2.8955216701288367E-2</v>
      </c>
      <c r="KN106" s="27">
        <f>IF(ISNUMBER(KN105),KN105*(1+PortfolioFrontier[[#This Row],[P75 Return]]),1+PortfolioFrontier[[#This Row],[P75 Return]])</f>
        <v>1.9171640540680062</v>
      </c>
      <c r="KO106" s="27">
        <f>MAX(KO105,PortfolioFrontier[[#This Row],[P75 Growth]])</f>
        <v>1.9171640540680062</v>
      </c>
      <c r="KP106" s="27">
        <f>PortfolioFrontier[[#This Row],[P75 Growth]]/PortfolioFrontier[[#This Row],[P75 HWM]]-1</f>
        <v>0</v>
      </c>
      <c r="KQ106" s="28">
        <f>SUMPRODUCT(INDEX(PortfolioRef[[SPY]:[PE]],MATCH(KQ$1,PortfolioRef[Reference '#]),0),AssetMonthlyReturns[[#This Row],[SPY]:[PE]])</f>
        <v>3.2533656596813655E-2</v>
      </c>
      <c r="KR106" s="27">
        <f>IF(ISNUMBER(KR105),KR105*(1+PortfolioFrontier[[#This Row],[P76 Return]]),1+PortfolioFrontier[[#This Row],[P76 Return]])</f>
        <v>1.9389786504688693</v>
      </c>
      <c r="KS106" s="27">
        <f>MAX(KS105,PortfolioFrontier[[#This Row],[P76 Growth]])</f>
        <v>1.9389786504688693</v>
      </c>
      <c r="KT106" s="27">
        <f>PortfolioFrontier[[#This Row],[P76 Growth]]/PortfolioFrontier[[#This Row],[P76 HWM]]-1</f>
        <v>0</v>
      </c>
      <c r="KU106" s="28">
        <f>SUMPRODUCT(INDEX(PortfolioRef[[SPY]:[PE]],MATCH(KU$1,PortfolioRef[Reference '#]),0),AssetMonthlyReturns[[#This Row],[SPY]:[PE]])</f>
        <v>3.2590261339817003E-2</v>
      </c>
      <c r="KV106" s="27">
        <f>IF(ISNUMBER(KV105),KV105*(1+PortfolioFrontier[[#This Row],[P77 Return]]),1+PortfolioFrontier[[#This Row],[P77 Return]])</f>
        <v>1.9207208469397312</v>
      </c>
      <c r="KW106" s="27">
        <f>MAX(KW105,PortfolioFrontier[[#This Row],[P77 Growth]])</f>
        <v>1.9207208469397312</v>
      </c>
      <c r="KX106" s="27">
        <f>PortfolioFrontier[[#This Row],[P77 Growth]]/PortfolioFrontier[[#This Row],[P77 HWM]]-1</f>
        <v>0</v>
      </c>
      <c r="KY106" s="28">
        <f>SUMPRODUCT(INDEX(PortfolioRef[[SPY]:[PE]],MATCH(KY$1,PortfolioRef[Reference '#]),0),AssetMonthlyReturns[[#This Row],[SPY]:[PE]])</f>
        <v>3.2646866082820358E-2</v>
      </c>
      <c r="KZ106" s="27">
        <f>IF(ISNUMBER(KZ105),KZ105*(1+PortfolioFrontier[[#This Row],[P78 Return]]),1+PortfolioFrontier[[#This Row],[P78 Return]])</f>
        <v>1.9010644710540696</v>
      </c>
      <c r="LA106" s="27">
        <f>MAX(LA105,PortfolioFrontier[[#This Row],[P78 Growth]])</f>
        <v>1.9010644710540696</v>
      </c>
      <c r="LB106" s="27">
        <f>PortfolioFrontier[[#This Row],[P78 Growth]]/PortfolioFrontier[[#This Row],[P78 HWM]]-1</f>
        <v>0</v>
      </c>
      <c r="LC106" s="28">
        <f>SUMPRODUCT(INDEX(PortfolioRef[[SPY]:[PE]],MATCH(LC$1,PortfolioRef[Reference '#]),0),AssetMonthlyReturns[[#This Row],[SPY]:[PE]])</f>
        <v>2.6730437604511766E-2</v>
      </c>
      <c r="LD106" s="27">
        <f>IF(ISNUMBER(LD105),LD105*(1+PortfolioFrontier[[#This Row],[P79 Return]]),1+PortfolioFrontier[[#This Row],[P79 Return]])</f>
        <v>2.0190596878179337</v>
      </c>
      <c r="LE106" s="27">
        <f>MAX(LE105,PortfolioFrontier[[#This Row],[P79 Growth]])</f>
        <v>2.0190596878179337</v>
      </c>
      <c r="LF106" s="27">
        <f>PortfolioFrontier[[#This Row],[P79 Growth]]/PortfolioFrontier[[#This Row],[P79 HWM]]-1</f>
        <v>0</v>
      </c>
      <c r="LG106" s="28">
        <f>SUMPRODUCT(INDEX(PortfolioRef[[SPY]:[PE]],MATCH(LG$1,PortfolioRef[Reference '#]),0),AssetMonthlyReturns[[#This Row],[SPY]:[PE]])</f>
        <v>2.6787042347515121E-2</v>
      </c>
      <c r="LH106" s="27">
        <f>IF(ISNUMBER(LH105),LH105*(1+PortfolioFrontier[[#This Row],[P80 Return]]),1+PortfolioFrontier[[#This Row],[P80 Return]])</f>
        <v>1.9988129820946392</v>
      </c>
      <c r="LI106" s="27">
        <f>MAX(LI105,PortfolioFrontier[[#This Row],[P80 Growth]])</f>
        <v>1.9988129820946392</v>
      </c>
      <c r="LJ106" s="27">
        <f>PortfolioFrontier[[#This Row],[P80 Growth]]/PortfolioFrontier[[#This Row],[P80 HWM]]-1</f>
        <v>0</v>
      </c>
      <c r="LK106" s="28">
        <f>SUMPRODUCT(INDEX(PortfolioRef[[SPY]:[PE]],MATCH(LK$1,PortfolioRef[Reference '#]),0),AssetMonthlyReturns[[#This Row],[SPY]:[PE]])</f>
        <v>2.6843647090518473E-2</v>
      </c>
      <c r="LL106" s="27">
        <f>IF(ISNUMBER(LL105),LL105*(1+PortfolioFrontier[[#This Row],[P81 Return]]),1+PortfolioFrontier[[#This Row],[P81 Return]])</f>
        <v>1.9771420477009689</v>
      </c>
      <c r="LM106" s="27">
        <f>MAX(LM105,PortfolioFrontier[[#This Row],[P81 Growth]])</f>
        <v>1.9771420477009689</v>
      </c>
      <c r="LN106" s="27">
        <f>PortfolioFrontier[[#This Row],[P81 Growth]]/PortfolioFrontier[[#This Row],[P81 HWM]]-1</f>
        <v>0</v>
      </c>
      <c r="LO106" s="28">
        <f>SUMPRODUCT(INDEX(PortfolioRef[[SPY]:[PE]],MATCH(LO$1,PortfolioRef[Reference '#]),0),AssetMonthlyReturns[[#This Row],[SPY]:[PE]])</f>
        <v>3.0422086986043758E-2</v>
      </c>
      <c r="LP106" s="27">
        <f>IF(ISNUMBER(LP105),LP105*(1+PortfolioFrontier[[#This Row],[P82 Return]]),1+PortfolioFrontier[[#This Row],[P82 Return]])</f>
        <v>2.0002244671454008</v>
      </c>
      <c r="LQ106" s="27">
        <f>MAX(LQ105,PortfolioFrontier[[#This Row],[P82 Growth]])</f>
        <v>2.0002244671454008</v>
      </c>
      <c r="LR106" s="27">
        <f>PortfolioFrontier[[#This Row],[P82 Growth]]/PortfolioFrontier[[#This Row],[P82 HWM]]-1</f>
        <v>0</v>
      </c>
      <c r="LS106" s="28">
        <f>SUMPRODUCT(INDEX(PortfolioRef[[SPY]:[PE]],MATCH(LS$1,PortfolioRef[Reference '#]),0),AssetMonthlyReturns[[#This Row],[SPY]:[PE]])</f>
        <v>3.0478691729047113E-2</v>
      </c>
      <c r="LT106" s="27">
        <f>IF(ISNUMBER(LT105),LT105*(1+PortfolioFrontier[[#This Row],[P83 Return]]),1+PortfolioFrontier[[#This Row],[P83 Return]])</f>
        <v>1.9814009338343495</v>
      </c>
      <c r="LU106" s="27">
        <f>MAX(LU105,PortfolioFrontier[[#This Row],[P83 Growth]])</f>
        <v>1.9814009338343495</v>
      </c>
      <c r="LV106" s="27">
        <f>PortfolioFrontier[[#This Row],[P83 Growth]]/PortfolioFrontier[[#This Row],[P83 HWM]]-1</f>
        <v>0</v>
      </c>
      <c r="LW106" s="28">
        <f>SUMPRODUCT(INDEX(PortfolioRef[[SPY]:[PE]],MATCH(LW$1,PortfolioRef[Reference '#]),0),AssetMonthlyReturns[[#This Row],[SPY]:[PE]])</f>
        <v>3.0535296472050465E-2</v>
      </c>
      <c r="LX106" s="27">
        <f>IF(ISNUMBER(LX105),LX105*(1+PortfolioFrontier[[#This Row],[P84 Return]]),1+PortfolioFrontier[[#This Row],[P84 Return]])</f>
        <v>1.9611354503795961</v>
      </c>
      <c r="LY106" s="27">
        <f>MAX(LY105,PortfolioFrontier[[#This Row],[P84 Growth]])</f>
        <v>1.9611354503795961</v>
      </c>
      <c r="LZ106" s="27">
        <f>PortfolioFrontier[[#This Row],[P84 Growth]]/PortfolioFrontier[[#This Row],[P84 HWM]]-1</f>
        <v>0</v>
      </c>
      <c r="MA106" s="28">
        <f>SUMPRODUCT(INDEX(PortfolioRef[[SPY]:[PE]],MATCH(MA$1,PortfolioRef[Reference '#]),0),AssetMonthlyReturns[[#This Row],[SPY]:[PE]])</f>
        <v>3.4113736367575753E-2</v>
      </c>
      <c r="MB106" s="27">
        <f>IF(ISNUMBER(MB105),MB105*(1+PortfolioFrontier[[#This Row],[P85 Return]]),1+PortfolioFrontier[[#This Row],[P85 Return]])</f>
        <v>1.9798393963163579</v>
      </c>
      <c r="MC106" s="27">
        <f>MAX(MC105,PortfolioFrontier[[#This Row],[P85 Growth]])</f>
        <v>1.9798393963163579</v>
      </c>
      <c r="MD106" s="27">
        <f>PortfolioFrontier[[#This Row],[P85 Growth]]/PortfolioFrontier[[#This Row],[P85 HWM]]-1</f>
        <v>0</v>
      </c>
      <c r="ME106" s="28">
        <f>SUMPRODUCT(INDEX(PortfolioRef[[SPY]:[PE]],MATCH(ME$1,PortfolioRef[Reference '#]),0),AssetMonthlyReturns[[#This Row],[SPY]:[PE]])</f>
        <v>3.4170341110579101E-2</v>
      </c>
      <c r="MF106" s="27">
        <f>IF(ISNUMBER(MF105),MF105*(1+PortfolioFrontier[[#This Row],[P86 Return]]),1+PortfolioFrontier[[#This Row],[P86 Return]])</f>
        <v>1.9624356784883819</v>
      </c>
      <c r="MG106" s="27">
        <f>MAX(MG105,PortfolioFrontier[[#This Row],[P86 Growth]])</f>
        <v>1.9624356784883819</v>
      </c>
      <c r="MH106" s="27">
        <f>PortfolioFrontier[[#This Row],[P86 Growth]]/PortfolioFrontier[[#This Row],[P86 HWM]]-1</f>
        <v>0</v>
      </c>
      <c r="MI106" s="28">
        <f>SUMPRODUCT(INDEX(PortfolioRef[[SPY]:[PE]],MATCH(MI$1,PortfolioRef[Reference '#]),0),AssetMonthlyReturns[[#This Row],[SPY]:[PE]])</f>
        <v>3.4226945853582456E-2</v>
      </c>
      <c r="MJ106" s="27">
        <f>IF(ISNUMBER(MJ105),MJ105*(1+PortfolioFrontier[[#This Row],[P87 Return]]),1+PortfolioFrontier[[#This Row],[P87 Return]])</f>
        <v>1.9435751029857915</v>
      </c>
      <c r="MK106" s="27">
        <f>MAX(MK105,PortfolioFrontier[[#This Row],[P87 Growth]])</f>
        <v>1.9435751029857915</v>
      </c>
      <c r="ML106" s="27">
        <f>PortfolioFrontier[[#This Row],[P87 Growth]]/PortfolioFrontier[[#This Row],[P87 HWM]]-1</f>
        <v>0</v>
      </c>
      <c r="MM106" s="28">
        <f>SUMPRODUCT(INDEX(PortfolioRef[[SPY]:[PE]],MATCH(MM$1,PortfolioRef[Reference '#]),0),AssetMonthlyReturns[[#This Row],[SPY]:[PE]])</f>
        <v>2.8310517375273864E-2</v>
      </c>
      <c r="MN106" s="27">
        <f>IF(ISNUMBER(MN105),MN105*(1+PortfolioFrontier[[#This Row],[P88 Return]]),1+PortfolioFrontier[[#This Row],[P88 Return]])</f>
        <v>2.0627506033065552</v>
      </c>
      <c r="MO106" s="27">
        <f>MAX(MO105,PortfolioFrontier[[#This Row],[P88 Growth]])</f>
        <v>2.0627506033065552</v>
      </c>
      <c r="MP106" s="27">
        <f>PortfolioFrontier[[#This Row],[P88 Growth]]/PortfolioFrontier[[#This Row],[P88 HWM]]-1</f>
        <v>0</v>
      </c>
      <c r="MQ106" s="28">
        <f>SUMPRODUCT(INDEX(PortfolioRef[[SPY]:[PE]],MATCH(MQ$1,PortfolioRef[Reference '#]),0),AssetMonthlyReturns[[#This Row],[SPY]:[PE]])</f>
        <v>2.8367122118277219E-2</v>
      </c>
      <c r="MR106" s="27">
        <f>IF(ISNUMBER(MR105),MR105*(1+PortfolioFrontier[[#This Row],[P89 Return]]),1+PortfolioFrontier[[#This Row],[P89 Return]])</f>
        <v>2.0433498731749444</v>
      </c>
      <c r="MS106" s="27">
        <f>MAX(MS105,PortfolioFrontier[[#This Row],[P89 Growth]])</f>
        <v>2.0433498731749444</v>
      </c>
      <c r="MT106" s="27">
        <f>PortfolioFrontier[[#This Row],[P89 Growth]]/PortfolioFrontier[[#This Row],[P89 HWM]]-1</f>
        <v>0</v>
      </c>
      <c r="MU106" s="28">
        <f>SUMPRODUCT(INDEX(PortfolioRef[[SPY]:[PE]],MATCH(MU$1,PortfolioRef[Reference '#]),0),AssetMonthlyReturns[[#This Row],[SPY]:[PE]])</f>
        <v>2.8423726861280571E-2</v>
      </c>
      <c r="MV106" s="27">
        <f>IF(ISNUMBER(MV105),MV105*(1+PortfolioFrontier[[#This Row],[P90 Return]]),1+PortfolioFrontier[[#This Row],[P90 Return]])</f>
        <v>2.0224629229342082</v>
      </c>
      <c r="MW106" s="27">
        <f>MAX(MW105,PortfolioFrontier[[#This Row],[P90 Growth]])</f>
        <v>2.0224629229342082</v>
      </c>
      <c r="MX106" s="27">
        <f>PortfolioFrontier[[#This Row],[P90 Growth]]/PortfolioFrontier[[#This Row],[P90 HWM]]-1</f>
        <v>0</v>
      </c>
      <c r="MY106" s="28">
        <f>SUMPRODUCT(INDEX(PortfolioRef[[SPY]:[PE]],MATCH(MY$1,PortfolioRef[Reference '#]),0),AssetMonthlyReturns[[#This Row],[SPY]:[PE]])</f>
        <v>3.200216675680586E-2</v>
      </c>
      <c r="MZ106" s="27">
        <f>IF(ISNUMBER(MZ105),MZ105*(1+PortfolioFrontier[[#This Row],[P91 Return]]),1+PortfolioFrontier[[#This Row],[P91 Return]])</f>
        <v>2.042350990170303</v>
      </c>
      <c r="NA106" s="27">
        <f>MAX(NA105,PortfolioFrontier[[#This Row],[P91 Growth]])</f>
        <v>2.042350990170303</v>
      </c>
      <c r="NB106" s="27">
        <f>PortfolioFrontier[[#This Row],[P91 Growth]]/PortfolioFrontier[[#This Row],[P91 HWM]]-1</f>
        <v>0</v>
      </c>
      <c r="NC106" s="28">
        <f>SUMPRODUCT(INDEX(PortfolioRef[[SPY]:[PE]],MATCH(NC$1,PortfolioRef[Reference '#]),0),AssetMonthlyReturns[[#This Row],[SPY]:[PE]])</f>
        <v>3.2058771499809208E-2</v>
      </c>
      <c r="ND106" s="27">
        <f>IF(ISNUMBER(ND105),ND105*(1+PortfolioFrontier[[#This Row],[P92 Return]]),1+PortfolioFrontier[[#This Row],[P92 Return]])</f>
        <v>2.0244082294609687</v>
      </c>
      <c r="NE106" s="27">
        <f>MAX(NE105,PortfolioFrontier[[#This Row],[P92 Growth]])</f>
        <v>2.0244082294609687</v>
      </c>
      <c r="NF106" s="27">
        <f>PortfolioFrontier[[#This Row],[P92 Growth]]/PortfolioFrontier[[#This Row],[P92 HWM]]-1</f>
        <v>0</v>
      </c>
      <c r="NG106" s="28">
        <f>SUMPRODUCT(INDEX(PortfolioRef[[SPY]:[PE]],MATCH(NG$1,PortfolioRef[Reference '#]),0),AssetMonthlyReturns[[#This Row],[SPY]:[PE]])</f>
        <v>3.2115376242812563E-2</v>
      </c>
      <c r="NH106" s="27">
        <f>IF(ISNUMBER(NH105),NH105*(1+PortfolioFrontier[[#This Row],[P93 Return]]),1+PortfolioFrontier[[#This Row],[P93 Return]])</f>
        <v>2.0049634565904411</v>
      </c>
      <c r="NI106" s="27">
        <f>MAX(NI105,PortfolioFrontier[[#This Row],[P93 Growth]])</f>
        <v>2.0049634565904411</v>
      </c>
      <c r="NJ106" s="27">
        <f>PortfolioFrontier[[#This Row],[P93 Growth]]/PortfolioFrontier[[#This Row],[P93 HWM]]-1</f>
        <v>0</v>
      </c>
      <c r="NK106" s="28">
        <f>SUMPRODUCT(INDEX(PortfolioRef[[SPY]:[PE]],MATCH(NK$1,PortfolioRef[Reference '#]),0),AssetMonthlyReturns[[#This Row],[SPY]:[PE]])</f>
        <v>3.5693816138337851E-2</v>
      </c>
      <c r="NL106" s="27">
        <f>IF(ISNUMBER(NL105),NL105*(1+PortfolioFrontier[[#This Row],[P94 Return]]),1+PortfolioFrontier[[#This Row],[P94 Return]])</f>
        <v>2.0203871878359139</v>
      </c>
      <c r="NM106" s="27">
        <f>MAX(NM105,PortfolioFrontier[[#This Row],[P94 Growth]])</f>
        <v>2.0203871878359139</v>
      </c>
      <c r="NN106" s="27">
        <f>PortfolioFrontier[[#This Row],[P94 Growth]]/PortfolioFrontier[[#This Row],[P94 HWM]]-1</f>
        <v>0</v>
      </c>
      <c r="NO106" s="28">
        <f>SUMPRODUCT(INDEX(PortfolioRef[[SPY]:[PE]],MATCH(NO$1,PortfolioRef[Reference '#]),0),AssetMonthlyReturns[[#This Row],[SPY]:[PE]])</f>
        <v>3.5750420881341199E-2</v>
      </c>
      <c r="NP106" s="27">
        <f>IF(ISNUMBER(NP105),NP105*(1+PortfolioFrontier[[#This Row],[P95 Return]]),1+PortfolioFrontier[[#This Row],[P95 Return]])</f>
        <v>2.0038965423933455</v>
      </c>
      <c r="NQ106" s="27">
        <f>MAX(NQ105,PortfolioFrontier[[#This Row],[P95 Growth]])</f>
        <v>2.0038965423933455</v>
      </c>
      <c r="NR106" s="27">
        <f>PortfolioFrontier[[#This Row],[P95 Growth]]/PortfolioFrontier[[#This Row],[P95 HWM]]-1</f>
        <v>0</v>
      </c>
      <c r="NS106" s="28">
        <f>SUMPRODUCT(INDEX(PortfolioRef[[SPY]:[PE]],MATCH(NS$1,PortfolioRef[Reference '#]),0),AssetMonthlyReturns[[#This Row],[SPY]:[PE]])</f>
        <v>3.5807025624344554E-2</v>
      </c>
      <c r="NT106" s="27">
        <f>IF(ISNUMBER(NT105),NT105*(1+PortfolioFrontier[[#This Row],[P96 Return]]),1+PortfolioFrontier[[#This Row],[P96 Return]])</f>
        <v>1.985890994502683</v>
      </c>
      <c r="NU106" s="27">
        <f>MAX(NU105,PortfolioFrontier[[#This Row],[P96 Growth]])</f>
        <v>1.985890994502683</v>
      </c>
      <c r="NV106" s="27">
        <f>PortfolioFrontier[[#This Row],[P96 Growth]]/PortfolioFrontier[[#This Row],[P96 HWM]]-1</f>
        <v>0</v>
      </c>
      <c r="NW106" s="28">
        <f>SUMPRODUCT(INDEX(PortfolioRef[[SPY]:[PE]],MATCH(NW$1,PortfolioRef[Reference '#]),0),AssetMonthlyReturns[[#This Row],[SPY]:[PE]])</f>
        <v>2.5361250543166781E-2</v>
      </c>
      <c r="NX106" s="27">
        <f>IF(ISNUMBER(NX105),NX105*(1+PortfolioFrontier[[#This Row],[P97 Return]]),1+PortfolioFrontier[[#This Row],[P97 Return]])</f>
        <v>1.7150442381584041</v>
      </c>
      <c r="NY106" s="27">
        <f>MAX(NY105,PortfolioFrontier[[#This Row],[P97 Growth]])</f>
        <v>1.7150442381584041</v>
      </c>
      <c r="NZ106" s="27">
        <f>PortfolioFrontier[[#This Row],[P97 Growth]]/PortfolioFrontier[[#This Row],[P97 HWM]]-1</f>
        <v>0</v>
      </c>
      <c r="OA106" s="28">
        <f>SUMPRODUCT(INDEX(PortfolioRef[[SPY]:[PE]],MATCH(OA$1,PortfolioRef[Reference '#]),0),AssetMonthlyReturns[[#This Row],[SPY]:[PE]])</f>
        <v>2.3249680932396887E-2</v>
      </c>
      <c r="OB106" s="27">
        <f>IF(ISNUMBER(OB105),OB105*(1+PortfolioFrontier[[#This Row],[P98 Return]]),1+PortfolioFrontier[[#This Row],[P98 Return]])</f>
        <v>1.7692952111964009</v>
      </c>
      <c r="OC106" s="27">
        <f>MAX(OC105,PortfolioFrontier[[#This Row],[P98 Growth]])</f>
        <v>1.7692952111964009</v>
      </c>
      <c r="OD106" s="27">
        <f>PortfolioFrontier[[#This Row],[P98 Growth]]/PortfolioFrontier[[#This Row],[P98 HWM]]-1</f>
        <v>0</v>
      </c>
      <c r="OE106" s="28">
        <f>SUMPRODUCT(INDEX(PortfolioRef[[SPY]:[PE]],MATCH(OE$1,PortfolioRef[Reference '#]),0),AssetMonthlyReturns[[#This Row],[SPY]:[PE]])</f>
        <v>2.6941330313928879E-2</v>
      </c>
      <c r="OF106" s="27">
        <f>IF(ISNUMBER(OF105),OF105*(1+PortfolioFrontier[[#This Row],[P99 Return]]),1+PortfolioFrontier[[#This Row],[P99 Return]])</f>
        <v>1.7549084969324611</v>
      </c>
      <c r="OG106" s="27">
        <f>MAX(OG105,PortfolioFrontier[[#This Row],[P99 Growth]])</f>
        <v>1.7549084969324611</v>
      </c>
      <c r="OH106" s="27">
        <f>PortfolioFrontier[[#This Row],[P99 Growth]]/PortfolioFrontier[[#This Row],[P99 HWM]]-1</f>
        <v>0</v>
      </c>
      <c r="OI106" s="28">
        <f>SUMPRODUCT(INDEX(PortfolioRef[[SPY]:[PE]],MATCH(OI$1,PortfolioRef[Reference '#]),0),AssetMonthlyReturns[[#This Row],[SPY]:[PE]])</f>
        <v>2.6997935056932234E-2</v>
      </c>
      <c r="OJ106" s="27">
        <f>IF(ISNUMBER(OJ105),OJ105*(1+PortfolioFrontier[[#This Row],[P100 Return]]),1+PortfolioFrontier[[#This Row],[P100 Return]])</f>
        <v>1.7355435218493072</v>
      </c>
      <c r="OK106" s="27">
        <f>MAX(OK105,PortfolioFrontier[[#This Row],[P100 Growth]])</f>
        <v>1.7355435218493072</v>
      </c>
      <c r="OL106" s="27">
        <f>PortfolioFrontier[[#This Row],[P100 Growth]]/PortfolioFrontier[[#This Row],[P100 HWM]]-1</f>
        <v>0</v>
      </c>
      <c r="OM106" s="28">
        <f>SUMPRODUCT(INDEX(PortfolioRef[[SPY]:[PE]],MATCH(OM$1,PortfolioRef[Reference '#]),0),AssetMonthlyReturns[[#This Row],[SPY]:[PE]])</f>
        <v>2.1138111321626993E-2</v>
      </c>
      <c r="ON106" s="27">
        <f>IF(ISNUMBER(ON105),ON105*(1+PortfolioFrontier[[#This Row],[P101 Return]]),1+PortfolioFrontier[[#This Row],[P101 Return]])</f>
        <v>1.8246808126577487</v>
      </c>
      <c r="OO106" s="27">
        <f>MAX(OO105,PortfolioFrontier[[#This Row],[P101 Growth]])</f>
        <v>1.8246808126577487</v>
      </c>
      <c r="OP106" s="27">
        <f>PortfolioFrontier[[#This Row],[P101 Growth]]/PortfolioFrontier[[#This Row],[P101 HWM]]-1</f>
        <v>0</v>
      </c>
      <c r="OQ106" s="28">
        <f>SUMPRODUCT(INDEX(PortfolioRef[[SPY]:[PE]],MATCH(OQ$1,PortfolioRef[Reference '#]),0),AssetMonthlyReturns[[#This Row],[SPY]:[PE]])</f>
        <v>2.4829760703158985E-2</v>
      </c>
      <c r="OR106" s="27">
        <f>IF(ISNUMBER(OR105),OR105*(1+PortfolioFrontier[[#This Row],[P102 Return]]),1+PortfolioFrontier[[#This Row],[P102 Return]])</f>
        <v>1.8103963641503833</v>
      </c>
      <c r="OS106" s="27">
        <f>MAX(OS105,PortfolioFrontier[[#This Row],[P102 Growth]])</f>
        <v>1.8103963641503833</v>
      </c>
      <c r="OT106" s="27">
        <f>PortfolioFrontier[[#This Row],[P102 Growth]]/PortfolioFrontier[[#This Row],[P102 HWM]]-1</f>
        <v>0</v>
      </c>
      <c r="OU106" s="28">
        <f>SUMPRODUCT(INDEX(PortfolioRef[[SPY]:[PE]],MATCH(OU$1,PortfolioRef[Reference '#]),0),AssetMonthlyReturns[[#This Row],[SPY]:[PE]])</f>
        <v>2.488636544616234E-2</v>
      </c>
      <c r="OV106" s="27">
        <f>IF(ISNUMBER(OV105),OV105*(1+PortfolioFrontier[[#This Row],[P103 Return]]),1+PortfolioFrontier[[#This Row],[P103 Return]])</f>
        <v>1.7904306730003547</v>
      </c>
      <c r="OW106" s="27">
        <f>MAX(OW105,PortfolioFrontier[[#This Row],[P103 Growth]])</f>
        <v>1.7904306730003547</v>
      </c>
      <c r="OX106" s="27">
        <f>PortfolioFrontier[[#This Row],[P103 Growth]]/PortfolioFrontier[[#This Row],[P103 HWM]]-1</f>
        <v>0</v>
      </c>
      <c r="OY106" s="28">
        <f>SUMPRODUCT(INDEX(PortfolioRef[[SPY]:[PE]],MATCH(OY$1,PortfolioRef[Reference '#]),0),AssetMonthlyReturns[[#This Row],[SPY]:[PE]])</f>
        <v>2.8521410084690977E-2</v>
      </c>
      <c r="OZ106" s="27">
        <f>IF(ISNUMBER(OZ105),OZ105*(1+PortfolioFrontier[[#This Row],[P104 Return]]),1+PortfolioFrontier[[#This Row],[P104 Return]])</f>
        <v>1.7946692378470963</v>
      </c>
      <c r="PA106" s="27">
        <f>MAX(PA105,PortfolioFrontier[[#This Row],[P104 Growth]])</f>
        <v>1.7946692378470963</v>
      </c>
      <c r="PB106" s="27">
        <f>PortfolioFrontier[[#This Row],[P104 Growth]]/PortfolioFrontier[[#This Row],[P104 HWM]]-1</f>
        <v>0</v>
      </c>
      <c r="PC106" s="28">
        <f>SUMPRODUCT(INDEX(PortfolioRef[[SPY]:[PE]],MATCH(PC$1,PortfolioRef[Reference '#]),0),AssetMonthlyReturns[[#This Row],[SPY]:[PE]])</f>
        <v>2.8578014827694332E-2</v>
      </c>
      <c r="PD106" s="27">
        <f>IF(ISNUMBER(PD105),PD105*(1+PortfolioFrontier[[#This Row],[P105 Return]]),1+PortfolioFrontier[[#This Row],[P105 Return]])</f>
        <v>1.7759774527412606</v>
      </c>
      <c r="PE106" s="27">
        <f>MAX(PE105,PortfolioFrontier[[#This Row],[P105 Growth]])</f>
        <v>1.7759774527412606</v>
      </c>
      <c r="PF106" s="27">
        <f>PortfolioFrontier[[#This Row],[P105 Growth]]/PortfolioFrontier[[#This Row],[P105 HWM]]-1</f>
        <v>0</v>
      </c>
      <c r="PG106" s="28">
        <f>SUMPRODUCT(INDEX(PortfolioRef[[SPY]:[PE]],MATCH(PG$1,PortfolioRef[Reference '#]),0),AssetMonthlyReturns[[#This Row],[SPY]:[PE]])</f>
        <v>2.8634619570697684E-2</v>
      </c>
      <c r="PH106" s="27">
        <f>IF(ISNUMBER(PH105),PH105*(1+PortfolioFrontier[[#This Row],[P106 Return]]),1+PortfolioFrontier[[#This Row],[P106 Return]])</f>
        <v>1.7560351177202411</v>
      </c>
      <c r="PI106" s="27">
        <f>MAX(PI105,PortfolioFrontier[[#This Row],[P106 Growth]])</f>
        <v>1.7560351177202411</v>
      </c>
      <c r="PJ106" s="27">
        <f>PortfolioFrontier[[#This Row],[P106 Growth]]/PortfolioFrontier[[#This Row],[P106 HWM]]-1</f>
        <v>0</v>
      </c>
      <c r="PK106" s="28">
        <f>SUMPRODUCT(INDEX(PortfolioRef[[SPY]:[PE]],MATCH(PK$1,PortfolioRef[Reference '#]),0),AssetMonthlyReturns[[#This Row],[SPY]:[PE]])</f>
        <v>2.2718191092389095E-2</v>
      </c>
      <c r="PL106" s="27">
        <f>IF(ISNUMBER(PL105),PL105*(1+PortfolioFrontier[[#This Row],[P107 Return]]),1+PortfolioFrontier[[#This Row],[P107 Return]])</f>
        <v>1.867044314932079</v>
      </c>
      <c r="PM106" s="27">
        <f>MAX(PM105,PortfolioFrontier[[#This Row],[P107 Growth]])</f>
        <v>1.867044314932079</v>
      </c>
      <c r="PN106" s="27">
        <f>PortfolioFrontier[[#This Row],[P107 Growth]]/PortfolioFrontier[[#This Row],[P107 HWM]]-1</f>
        <v>0</v>
      </c>
      <c r="PO106" s="28">
        <f>SUMPRODUCT(INDEX(PortfolioRef[[SPY]:[PE]],MATCH(PO$1,PortfolioRef[Reference '#]),0),AssetMonthlyReturns[[#This Row],[SPY]:[PE]])</f>
        <v>2.2774795835392447E-2</v>
      </c>
      <c r="PP106" s="27">
        <f>IF(ISNUMBER(PP105),PP105*(1+PortfolioFrontier[[#This Row],[P108 Return]]),1+PortfolioFrontier[[#This Row],[P108 Return]])</f>
        <v>1.8464657079811477</v>
      </c>
      <c r="PQ106" s="27">
        <f>MAX(PQ105,PortfolioFrontier[[#This Row],[P108 Growth]])</f>
        <v>1.8464657079811477</v>
      </c>
      <c r="PR106" s="27">
        <f>PortfolioFrontier[[#This Row],[P108 Growth]]/PortfolioFrontier[[#This Row],[P108 HWM]]-1</f>
        <v>0</v>
      </c>
      <c r="PS106" s="28">
        <f>SUMPRODUCT(INDEX(PortfolioRef[[SPY]:[PE]],MATCH(PS$1,PortfolioRef[Reference '#]),0),AssetMonthlyReturns[[#This Row],[SPY]:[PE]])</f>
        <v>2.6409840473921083E-2</v>
      </c>
      <c r="PT106" s="27">
        <f>IF(ISNUMBER(PT105),PT105*(1+PortfolioFrontier[[#This Row],[P109 Return]]),1+PortfolioFrontier[[#This Row],[P109 Return]])</f>
        <v>1.8513902324319915</v>
      </c>
      <c r="PU106" s="27">
        <f>MAX(PU105,PortfolioFrontier[[#This Row],[P109 Growth]])</f>
        <v>1.8513902324319915</v>
      </c>
      <c r="PV106" s="27">
        <f>PortfolioFrontier[[#This Row],[P109 Growth]]/PortfolioFrontier[[#This Row],[P109 HWM]]-1</f>
        <v>0</v>
      </c>
      <c r="PW106" s="28">
        <f>SUMPRODUCT(INDEX(PortfolioRef[[SPY]:[PE]],MATCH(PW$1,PortfolioRef[Reference '#]),0),AssetMonthlyReturns[[#This Row],[SPY]:[PE]])</f>
        <v>2.6466445216924438E-2</v>
      </c>
      <c r="PX106" s="27">
        <f>IF(ISNUMBER(PX105),PX105*(1+PortfolioFrontier[[#This Row],[P110 Return]]),1+PortfolioFrontier[[#This Row],[P110 Return]])</f>
        <v>1.8321188613402666</v>
      </c>
      <c r="PY106" s="27">
        <f>MAX(PY105,PortfolioFrontier[[#This Row],[P110 Growth]])</f>
        <v>1.8321188613402666</v>
      </c>
      <c r="PZ106" s="27">
        <f>PortfolioFrontier[[#This Row],[P110 Growth]]/PortfolioFrontier[[#This Row],[P110 HWM]]-1</f>
        <v>0</v>
      </c>
      <c r="QA106" s="28">
        <f>SUMPRODUCT(INDEX(PortfolioRef[[SPY]:[PE]],MATCH(QA$1,PortfolioRef[Reference '#]),0),AssetMonthlyReturns[[#This Row],[SPY]:[PE]])</f>
        <v>2.652304995992779E-2</v>
      </c>
      <c r="QB106" s="27">
        <f>IF(ISNUMBER(QB105),QB105*(1+PortfolioFrontier[[#This Row],[P111 Return]]),1+PortfolioFrontier[[#This Row],[P111 Return]])</f>
        <v>1.8115581097194564</v>
      </c>
      <c r="QC106" s="27">
        <f>MAX(QC105,PortfolioFrontier[[#This Row],[P111 Growth]])</f>
        <v>1.8115581097194564</v>
      </c>
      <c r="QD106" s="27">
        <f>PortfolioFrontier[[#This Row],[P111 Growth]]/PortfolioFrontier[[#This Row],[P111 HWM]]-1</f>
        <v>0</v>
      </c>
      <c r="QE106" s="28">
        <f>SUMPRODUCT(INDEX(PortfolioRef[[SPY]:[PE]],MATCH(QE$1,PortfolioRef[Reference '#]),0),AssetMonthlyReturns[[#This Row],[SPY]:[PE]])</f>
        <v>3.0101489855453079E-2</v>
      </c>
      <c r="QF106" s="27">
        <f>IF(ISNUMBER(QF105),QF105*(1+PortfolioFrontier[[#This Row],[P112 Return]]),1+PortfolioFrontier[[#This Row],[P112 Return]])</f>
        <v>1.8342746277311748</v>
      </c>
      <c r="QG106" s="27">
        <f>MAX(QG105,PortfolioFrontier[[#This Row],[P112 Growth]])</f>
        <v>1.8342746277311748</v>
      </c>
      <c r="QH106" s="27">
        <f>PortfolioFrontier[[#This Row],[P112 Growth]]/PortfolioFrontier[[#This Row],[P112 HWM]]-1</f>
        <v>0</v>
      </c>
      <c r="QI106" s="28">
        <f>SUMPRODUCT(INDEX(PortfolioRef[[SPY]:[PE]],MATCH(QI$1,PortfolioRef[Reference '#]),0),AssetMonthlyReturns[[#This Row],[SPY]:[PE]])</f>
        <v>3.015809459845643E-2</v>
      </c>
      <c r="QJ106" s="27">
        <f>IF(ISNUMBER(QJ105),QJ105*(1+PortfolioFrontier[[#This Row],[P113 Return]]),1+PortfolioFrontier[[#This Row],[P113 Return]])</f>
        <v>1.8163110172617278</v>
      </c>
      <c r="QK106" s="27">
        <f>MAX(QK105,PortfolioFrontier[[#This Row],[P113 Growth]])</f>
        <v>1.8163110172617278</v>
      </c>
      <c r="QL106" s="27">
        <f>PortfolioFrontier[[#This Row],[P113 Growth]]/PortfolioFrontier[[#This Row],[P113 HWM]]-1</f>
        <v>0</v>
      </c>
      <c r="QM106" s="28">
        <f>SUMPRODUCT(INDEX(PortfolioRef[[SPY]:[PE]],MATCH(QM$1,PortfolioRef[Reference '#]),0),AssetMonthlyReturns[[#This Row],[SPY]:[PE]])</f>
        <v>3.0214699341459782E-2</v>
      </c>
      <c r="QN106" s="27">
        <f>IF(ISNUMBER(QN105),QN105*(1+PortfolioFrontier[[#This Row],[P114 Return]]),1+PortfolioFrontier[[#This Row],[P114 Return]])</f>
        <v>1.7970408398800195</v>
      </c>
      <c r="QO106" s="27">
        <f>MAX(QO105,PortfolioFrontier[[#This Row],[P114 Growth]])</f>
        <v>1.7970408398800195</v>
      </c>
      <c r="QP106" s="27">
        <f>PortfolioFrontier[[#This Row],[P114 Growth]]/PortfolioFrontier[[#This Row],[P114 HWM]]-1</f>
        <v>0</v>
      </c>
      <c r="QQ106" s="28">
        <f>SUMPRODUCT(INDEX(PortfolioRef[[SPY]:[PE]],MATCH(QQ$1,PortfolioRef[Reference '#]),0),AssetMonthlyReturns[[#This Row],[SPY]:[PE]])</f>
        <v>2.4298270863151193E-2</v>
      </c>
      <c r="QR106" s="27">
        <f>IF(ISNUMBER(QR105),QR105*(1+PortfolioFrontier[[#This Row],[P115 Return]]),1+PortfolioFrontier[[#This Row],[P115 Return]])</f>
        <v>1.9092966807130365</v>
      </c>
      <c r="QS106" s="27">
        <f>MAX(QS105,PortfolioFrontier[[#This Row],[P115 Growth]])</f>
        <v>1.9092966807130365</v>
      </c>
      <c r="QT106" s="27">
        <f>PortfolioFrontier[[#This Row],[P115 Growth]]/PortfolioFrontier[[#This Row],[P115 HWM]]-1</f>
        <v>0</v>
      </c>
      <c r="QU106" s="28">
        <f>SUMPRODUCT(INDEX(PortfolioRef[[SPY]:[PE]],MATCH(QU$1,PortfolioRef[Reference '#]),0),AssetMonthlyReturns[[#This Row],[SPY]:[PE]])</f>
        <v>2.4354875606154548E-2</v>
      </c>
      <c r="QV106" s="27">
        <f>IF(ISNUMBER(QV105),QV105*(1+PortfolioFrontier[[#This Row],[P116 Return]]),1+PortfolioFrontier[[#This Row],[P116 Return]])</f>
        <v>1.8894339637556343</v>
      </c>
      <c r="QW106" s="27">
        <f>MAX(QW105,PortfolioFrontier[[#This Row],[P116 Growth]])</f>
        <v>1.8894339637556343</v>
      </c>
      <c r="QX106" s="27">
        <f>PortfolioFrontier[[#This Row],[P116 Growth]]/PortfolioFrontier[[#This Row],[P116 HWM]]-1</f>
        <v>0</v>
      </c>
      <c r="QY106" s="28">
        <f>SUMPRODUCT(INDEX(PortfolioRef[[SPY]:[PE]],MATCH(QY$1,PortfolioRef[Reference '#]),0),AssetMonthlyReturns[[#This Row],[SPY]:[PE]])</f>
        <v>2.4411480349157896E-2</v>
      </c>
      <c r="QZ106" s="27">
        <f>IF(ISNUMBER(QZ105),QZ105*(1+PortfolioFrontier[[#This Row],[P117 Return]]),1+PortfolioFrontier[[#This Row],[P117 Return]])</f>
        <v>1.8682422363318762</v>
      </c>
      <c r="RA106" s="27">
        <f>MAX(RA105,PortfolioFrontier[[#This Row],[P117 Growth]])</f>
        <v>1.8682422363318762</v>
      </c>
      <c r="RB106" s="27">
        <f>PortfolioFrontier[[#This Row],[P117 Growth]]/PortfolioFrontier[[#This Row],[P117 HWM]]-1</f>
        <v>0</v>
      </c>
      <c r="RC106" s="28">
        <f>SUMPRODUCT(INDEX(PortfolioRef[[SPY]:[PE]],MATCH(RC$1,PortfolioRef[Reference '#]),0),AssetMonthlyReturns[[#This Row],[SPY]:[PE]])</f>
        <v>2.7989920244683185E-2</v>
      </c>
      <c r="RD106" s="27">
        <f>IF(ISNUMBER(RD105),RD105*(1+PortfolioFrontier[[#This Row],[P118 Return]]),1+PortfolioFrontier[[#This Row],[P118 Return]])</f>
        <v>1.8922233895377825</v>
      </c>
      <c r="RE106" s="27">
        <f>MAX(RE105,PortfolioFrontier[[#This Row],[P118 Growth]])</f>
        <v>1.8922233895377825</v>
      </c>
      <c r="RF106" s="27">
        <f>PortfolioFrontier[[#This Row],[P118 Growth]]/PortfolioFrontier[[#This Row],[P118 HWM]]-1</f>
        <v>0</v>
      </c>
      <c r="RG106" s="28">
        <f>SUMPRODUCT(INDEX(PortfolioRef[[SPY]:[PE]],MATCH(RG$1,PortfolioRef[Reference '#]),0),AssetMonthlyReturns[[#This Row],[SPY]:[PE]])</f>
        <v>2.8046524987686536E-2</v>
      </c>
      <c r="RH106" s="27">
        <f>IF(ISNUMBER(RH105),RH105*(1+PortfolioFrontier[[#This Row],[P119 Return]]),1+PortfolioFrontier[[#This Row],[P119 Return]])</f>
        <v>1.8737030051927106</v>
      </c>
      <c r="RI106" s="27">
        <f>MAX(RI105,PortfolioFrontier[[#This Row],[P119 Growth]])</f>
        <v>1.8737030051927106</v>
      </c>
      <c r="RJ106" s="27">
        <f>PortfolioFrontier[[#This Row],[P119 Growth]]/PortfolioFrontier[[#This Row],[P119 HWM]]-1</f>
        <v>0</v>
      </c>
      <c r="RK106" s="28">
        <f>SUMPRODUCT(INDEX(PortfolioRef[[SPY]:[PE]],MATCH(RK$1,PortfolioRef[Reference '#]),0),AssetMonthlyReturns[[#This Row],[SPY]:[PE]])</f>
        <v>2.8103129730689888E-2</v>
      </c>
      <c r="RL106" s="27">
        <f>IF(ISNUMBER(RL105),RL105*(1+PortfolioFrontier[[#This Row],[P120 Return]]),1+PortfolioFrontier[[#This Row],[P120 Return]])</f>
        <v>1.8538355143717038</v>
      </c>
      <c r="RM106" s="27">
        <f>MAX(RM105,PortfolioFrontier[[#This Row],[P120 Growth]])</f>
        <v>1.8538355143717038</v>
      </c>
      <c r="RN106" s="27">
        <f>PortfolioFrontier[[#This Row],[P120 Growth]]/PortfolioFrontier[[#This Row],[P120 HWM]]-1</f>
        <v>0</v>
      </c>
      <c r="RO106" s="28">
        <f>SUMPRODUCT(INDEX(PortfolioRef[[SPY]:[PE]],MATCH(RO$1,PortfolioRef[Reference '#]),0),AssetMonthlyReturns[[#This Row],[SPY]:[PE]])</f>
        <v>3.1681569626215184E-2</v>
      </c>
      <c r="RP106" s="27">
        <f>IF(ISNUMBER(RP105),RP105*(1+PortfolioFrontier[[#This Row],[P121 Return]]),1+PortfolioFrontier[[#This Row],[P121 Return]])</f>
        <v>1.8736715153024748</v>
      </c>
      <c r="RQ106" s="27">
        <f>MAX(RQ105,PortfolioFrontier[[#This Row],[P121 Growth]])</f>
        <v>1.8736715153024748</v>
      </c>
      <c r="RR106" s="27">
        <f>PortfolioFrontier[[#This Row],[P121 Growth]]/PortfolioFrontier[[#This Row],[P121 HWM]]-1</f>
        <v>0</v>
      </c>
      <c r="RS106" s="28">
        <f>SUMPRODUCT(INDEX(PortfolioRef[[SPY]:[PE]],MATCH(RS$1,PortfolioRef[Reference '#]),0),AssetMonthlyReturns[[#This Row],[SPY]:[PE]])</f>
        <v>3.1738174369218532E-2</v>
      </c>
      <c r="RT106" s="27">
        <f>IF(ISNUMBER(RT105),RT105*(1+PortfolioFrontier[[#This Row],[P122 Return]]),1+PortfolioFrontier[[#This Row],[P122 Return]])</f>
        <v>1.8564917642475929</v>
      </c>
      <c r="RU106" s="27">
        <f>MAX(RU105,PortfolioFrontier[[#This Row],[P122 Growth]])</f>
        <v>1.8564917642475929</v>
      </c>
      <c r="RV106" s="27">
        <f>PortfolioFrontier[[#This Row],[P122 Growth]]/PortfolioFrontier[[#This Row],[P122 HWM]]-1</f>
        <v>0</v>
      </c>
      <c r="RW106" s="28">
        <f>SUMPRODUCT(INDEX(PortfolioRef[[SPY]:[PE]],MATCH(RW$1,PortfolioRef[Reference '#]),0),AssetMonthlyReturns[[#This Row],[SPY]:[PE]])</f>
        <v>3.179477911222188E-2</v>
      </c>
      <c r="RX106" s="27">
        <f>IF(ISNUMBER(RX105),RX105*(1+PortfolioFrontier[[#This Row],[P123 Return]]),1+PortfolioFrontier[[#This Row],[P123 Return]])</f>
        <v>1.8379494549249487</v>
      </c>
      <c r="RY106" s="27">
        <f>MAX(RY105,PortfolioFrontier[[#This Row],[P123 Growth]])</f>
        <v>1.8379494549249487</v>
      </c>
      <c r="RZ106" s="27">
        <f>PortfolioFrontier[[#This Row],[P123 Growth]]/PortfolioFrontier[[#This Row],[P123 HWM]]-1</f>
        <v>0</v>
      </c>
      <c r="SA106" s="28">
        <f>SUMPRODUCT(INDEX(PortfolioRef[[SPY]:[PE]],MATCH(SA$1,PortfolioRef[Reference '#]),0),AssetMonthlyReturns[[#This Row],[SPY]:[PE]])</f>
        <v>2.5878350633913295E-2</v>
      </c>
      <c r="SB106" s="27">
        <f>IF(ISNUMBER(SB105),SB105*(1+PortfolioFrontier[[#This Row],[P124 Return]]),1+PortfolioFrontier[[#This Row],[P124 Return]])</f>
        <v>1.9513828578064003</v>
      </c>
      <c r="SC106" s="27">
        <f>MAX(SC105,PortfolioFrontier[[#This Row],[P124 Growth]])</f>
        <v>1.9513828578064003</v>
      </c>
      <c r="SD106" s="27">
        <f>PortfolioFrontier[[#This Row],[P124 Growth]]/PortfolioFrontier[[#This Row],[P124 HWM]]-1</f>
        <v>0</v>
      </c>
      <c r="SE106" s="28">
        <f>SUMPRODUCT(INDEX(PortfolioRef[[SPY]:[PE]],MATCH(SE$1,PortfolioRef[Reference '#]),0),AssetMonthlyReturns[[#This Row],[SPY]:[PE]])</f>
        <v>2.5934955376916646E-2</v>
      </c>
      <c r="SF106" s="27">
        <f>IF(ISNUMBER(SF105),SF105*(1+PortfolioFrontier[[#This Row],[P125 Return]]),1+PortfolioFrontier[[#This Row],[P125 Return]])</f>
        <v>1.9322944135692068</v>
      </c>
      <c r="SG106" s="27">
        <f>MAX(SG105,PortfolioFrontier[[#This Row],[P125 Growth]])</f>
        <v>1.9322944135692068</v>
      </c>
      <c r="SH106" s="27">
        <f>PortfolioFrontier[[#This Row],[P125 Growth]]/PortfolioFrontier[[#This Row],[P125 HWM]]-1</f>
        <v>0</v>
      </c>
      <c r="SI106" s="28">
        <f>SUMPRODUCT(INDEX(PortfolioRef[[SPY]:[PE]],MATCH(SI$1,PortfolioRef[Reference '#]),0),AssetMonthlyReturns[[#This Row],[SPY]:[PE]])</f>
        <v>2.5991560119920001E-2</v>
      </c>
      <c r="SJ106" s="27">
        <f>IF(ISNUMBER(SJ105),SJ105*(1+PortfolioFrontier[[#This Row],[P126 Return]]),1+PortfolioFrontier[[#This Row],[P126 Return]])</f>
        <v>1.9118174896075819</v>
      </c>
      <c r="SK106" s="27">
        <f>MAX(SK105,PortfolioFrontier[[#This Row],[P126 Growth]])</f>
        <v>1.9118174896075819</v>
      </c>
      <c r="SL106" s="27">
        <f>PortfolioFrontier[[#This Row],[P126 Growth]]/PortfolioFrontier[[#This Row],[P126 HWM]]-1</f>
        <v>0</v>
      </c>
      <c r="SM106" s="28">
        <f>SUMPRODUCT(INDEX(PortfolioRef[[SPY]:[PE]],MATCH(SM$1,PortfolioRef[Reference '#]),0),AssetMonthlyReturns[[#This Row],[SPY]:[PE]])</f>
        <v>2.9570000015445286E-2</v>
      </c>
      <c r="SN106" s="27">
        <f>IF(ISNUMBER(SN105),SN105*(1+PortfolioFrontier[[#This Row],[P127 Return]]),1+PortfolioFrontier[[#This Row],[P127 Return]])</f>
        <v>1.9328410519375887</v>
      </c>
      <c r="SO106" s="27">
        <f>MAX(SO105,PortfolioFrontier[[#This Row],[P127 Growth]])</f>
        <v>1.9328410519375887</v>
      </c>
      <c r="SP106" s="27">
        <f>PortfolioFrontier[[#This Row],[P127 Growth]]/PortfolioFrontier[[#This Row],[P127 HWM]]-1</f>
        <v>0</v>
      </c>
      <c r="SQ106" s="28">
        <f>SUMPRODUCT(INDEX(PortfolioRef[[SPY]:[PE]],MATCH(SQ$1,PortfolioRef[Reference '#]),0),AssetMonthlyReturns[[#This Row],[SPY]:[PE]])</f>
        <v>2.9626604758448638E-2</v>
      </c>
      <c r="SR106" s="27">
        <f>IF(ISNUMBER(SR105),SR105*(1+PortfolioFrontier[[#This Row],[P128 Return]]),1+PortfolioFrontier[[#This Row],[P128 Return]])</f>
        <v>1.9151290414077722</v>
      </c>
      <c r="SS106" s="27">
        <f>MAX(SS105,PortfolioFrontier[[#This Row],[P128 Growth]])</f>
        <v>1.9151290414077722</v>
      </c>
      <c r="ST106" s="27">
        <f>PortfolioFrontier[[#This Row],[P128 Growth]]/PortfolioFrontier[[#This Row],[P128 HWM]]-1</f>
        <v>0</v>
      </c>
      <c r="SU106" s="28">
        <f>SUMPRODUCT(INDEX(PortfolioRef[[SPY]:[PE]],MATCH(SU$1,PortfolioRef[Reference '#]),0),AssetMonthlyReturns[[#This Row],[SPY]:[PE]])</f>
        <v>2.9683209501451986E-2</v>
      </c>
      <c r="SV106" s="27">
        <f>IF(ISNUMBER(SV105),SV105*(1+PortfolioFrontier[[#This Row],[P129 Return]]),1+PortfolioFrontier[[#This Row],[P129 Return]])</f>
        <v>1.8960122257112415</v>
      </c>
      <c r="SW106" s="27">
        <f>MAX(SW105,PortfolioFrontier[[#This Row],[P129 Growth]])</f>
        <v>1.8960122257112415</v>
      </c>
      <c r="SX106" s="27">
        <f>PortfolioFrontier[[#This Row],[P129 Growth]]/PortfolioFrontier[[#This Row],[P129 HWM]]-1</f>
        <v>0</v>
      </c>
      <c r="SY106" s="28">
        <f>SUMPRODUCT(INDEX(PortfolioRef[[SPY]:[PE]],MATCH(SY$1,PortfolioRef[Reference '#]),0),AssetMonthlyReturns[[#This Row],[SPY]:[PE]])</f>
        <v>3.3261649396977282E-2</v>
      </c>
      <c r="SZ106" s="27">
        <f>IF(ISNUMBER(SZ105),SZ105*(1+PortfolioFrontier[[#This Row],[P130 Return]]),1+PortfolioFrontier[[#This Row],[P130 Return]])</f>
        <v>1.9128055041216194</v>
      </c>
      <c r="TA106" s="27">
        <f>MAX(TA105,PortfolioFrontier[[#This Row],[P130 Growth]])</f>
        <v>1.9128055041216194</v>
      </c>
      <c r="TB106" s="27">
        <f>PortfolioFrontier[[#This Row],[P130 Growth]]/PortfolioFrontier[[#This Row],[P130 HWM]]-1</f>
        <v>0</v>
      </c>
      <c r="TC106" s="28">
        <f>SUMPRODUCT(INDEX(PortfolioRef[[SPY]:[PE]],MATCH(TC$1,PortfolioRef[Reference '#]),0),AssetMonthlyReturns[[#This Row],[SPY]:[PE]])</f>
        <v>3.331825413998063E-2</v>
      </c>
      <c r="TD106" s="27">
        <f>IF(ISNUMBER(TD105),TD105*(1+PortfolioFrontier[[#This Row],[P131 Return]]),1+PortfolioFrontier[[#This Row],[P131 Return]])</f>
        <v>1.8964658990295515</v>
      </c>
      <c r="TE106" s="27">
        <f>MAX(TE105,PortfolioFrontier[[#This Row],[P131 Growth]])</f>
        <v>1.8964658990295515</v>
      </c>
      <c r="TF106" s="27">
        <f>PortfolioFrontier[[#This Row],[P131 Growth]]/PortfolioFrontier[[#This Row],[P131 HWM]]-1</f>
        <v>0</v>
      </c>
      <c r="TG106" s="28">
        <f>SUMPRODUCT(INDEX(PortfolioRef[[SPY]:[PE]],MATCH(TG$1,PortfolioRef[Reference '#]),0),AssetMonthlyReturns[[#This Row],[SPY]:[PE]])</f>
        <v>3.3374858882983985E-2</v>
      </c>
      <c r="TH106" s="27">
        <f>IF(ISNUMBER(TH105),TH105*(1+PortfolioFrontier[[#This Row],[P132 Return]]),1+PortfolioFrontier[[#This Row],[P132 Return]])</f>
        <v>1.8787078938715052</v>
      </c>
      <c r="TI106" s="27">
        <f>MAX(TI105,PortfolioFrontier[[#This Row],[P132 Growth]])</f>
        <v>1.8787078938715052</v>
      </c>
      <c r="TJ106" s="27">
        <f>PortfolioFrontier[[#This Row],[P132 Growth]]/PortfolioFrontier[[#This Row],[P132 HWM]]-1</f>
        <v>0</v>
      </c>
      <c r="TK106" s="28">
        <f>SUMPRODUCT(INDEX(PortfolioRef[[SPY]:[PE]],MATCH(TK$1,PortfolioRef[Reference '#]),0),AssetMonthlyReturns[[#This Row],[SPY]:[PE]])</f>
        <v>2.7458430404675393E-2</v>
      </c>
      <c r="TL106" s="27">
        <f>IF(ISNUMBER(TL105),TL105*(1+PortfolioFrontier[[#This Row],[P133 Return]]),1+PortfolioFrontier[[#This Row],[P133 Return]])</f>
        <v>1.9932463973140933</v>
      </c>
      <c r="TM106" s="27">
        <f>MAX(TM105,PortfolioFrontier[[#This Row],[P133 Growth]])</f>
        <v>1.9932463973140933</v>
      </c>
      <c r="TN106" s="27">
        <f>PortfolioFrontier[[#This Row],[P133 Growth]]/PortfolioFrontier[[#This Row],[P133 HWM]]-1</f>
        <v>0</v>
      </c>
      <c r="TO106" s="28">
        <f>SUMPRODUCT(INDEX(PortfolioRef[[SPY]:[PE]],MATCH(TO$1,PortfolioRef[Reference '#]),0),AssetMonthlyReturns[[#This Row],[SPY]:[PE]])</f>
        <v>2.7515035147678748E-2</v>
      </c>
      <c r="TP106" s="27">
        <f>IF(ISNUMBER(TP105),TP105*(1+PortfolioFrontier[[#This Row],[P134 Return]]),1+PortfolioFrontier[[#This Row],[P134 Return]])</f>
        <v>1.9749913495494129</v>
      </c>
      <c r="TQ106" s="27">
        <f>MAX(TQ105,PortfolioFrontier[[#This Row],[P134 Growth]])</f>
        <v>1.9749913495494129</v>
      </c>
      <c r="TR106" s="27">
        <f>PortfolioFrontier[[#This Row],[P134 Growth]]/PortfolioFrontier[[#This Row],[P134 HWM]]-1</f>
        <v>0</v>
      </c>
      <c r="TS106" s="28">
        <f>SUMPRODUCT(INDEX(PortfolioRef[[SPY]:[PE]],MATCH(TS$1,PortfolioRef[Reference '#]),0),AssetMonthlyReturns[[#This Row],[SPY]:[PE]])</f>
        <v>2.7571639890682099E-2</v>
      </c>
      <c r="TT106" s="27">
        <f>IF(ISNUMBER(TT105),TT105*(1+PortfolioFrontier[[#This Row],[P135 Return]]),1+PortfolioFrontier[[#This Row],[P135 Return]])</f>
        <v>1.9552883817299882</v>
      </c>
      <c r="TU106" s="27">
        <f>MAX(TU105,PortfolioFrontier[[#This Row],[P135 Growth]])</f>
        <v>1.9552883817299882</v>
      </c>
      <c r="TV106" s="27">
        <f>PortfolioFrontier[[#This Row],[P135 Growth]]/PortfolioFrontier[[#This Row],[P135 HWM]]-1</f>
        <v>0</v>
      </c>
      <c r="TW106" s="28">
        <f>SUMPRODUCT(INDEX(PortfolioRef[[SPY]:[PE]],MATCH(TW$1,PortfolioRef[Reference '#]),0),AssetMonthlyReturns[[#This Row],[SPY]:[PE]])</f>
        <v>3.1150079786207385E-2</v>
      </c>
      <c r="TX106" s="27">
        <f>IF(ISNUMBER(TX105),TX105*(1+PortfolioFrontier[[#This Row],[P136 Return]]),1+PortfolioFrontier[[#This Row],[P136 Return]])</f>
        <v>1.9731871542724757</v>
      </c>
      <c r="TY106" s="27">
        <f>MAX(TY105,PortfolioFrontier[[#This Row],[P136 Growth]])</f>
        <v>1.9731871542724757</v>
      </c>
      <c r="TZ106" s="27">
        <f>PortfolioFrontier[[#This Row],[P136 Growth]]/PortfolioFrontier[[#This Row],[P136 HWM]]-1</f>
        <v>0</v>
      </c>
      <c r="UA106" s="28">
        <f>SUMPRODUCT(INDEX(PortfolioRef[[SPY]:[PE]],MATCH(UA$1,PortfolioRef[Reference '#]),0),AssetMonthlyReturns[[#This Row],[SPY]:[PE]])</f>
        <v>3.120668452921074E-2</v>
      </c>
      <c r="UB106" s="27">
        <f>IF(ISNUMBER(UB105),UB105*(1+PortfolioFrontier[[#This Row],[P137 Return]]),1+PortfolioFrontier[[#This Row],[P137 Return]])</f>
        <v>1.9563415236714476</v>
      </c>
      <c r="UC106" s="27">
        <f>MAX(UC105,PortfolioFrontier[[#This Row],[P137 Growth]])</f>
        <v>1.9563415236714476</v>
      </c>
      <c r="UD106" s="27">
        <f>PortfolioFrontier[[#This Row],[P137 Growth]]/PortfolioFrontier[[#This Row],[P137 HWM]]-1</f>
        <v>0</v>
      </c>
      <c r="UE106" s="28">
        <f>SUMPRODUCT(INDEX(PortfolioRef[[SPY]:[PE]],MATCH(UE$1,PortfolioRef[Reference '#]),0),AssetMonthlyReturns[[#This Row],[SPY]:[PE]])</f>
        <v>3.1263289272214091E-2</v>
      </c>
      <c r="UF106" s="27">
        <f>IF(ISNUMBER(UF105),UF105*(1+PortfolioFrontier[[#This Row],[P138 Return]]),1+PortfolioFrontier[[#This Row],[P138 Return]])</f>
        <v>1.938033544120856</v>
      </c>
      <c r="UG106" s="27">
        <f>MAX(UG105,PortfolioFrontier[[#This Row],[P138 Growth]])</f>
        <v>1.938033544120856</v>
      </c>
      <c r="UH106" s="27">
        <f>PortfolioFrontier[[#This Row],[P138 Growth]]/PortfolioFrontier[[#This Row],[P138 HWM]]-1</f>
        <v>0</v>
      </c>
      <c r="UI106" s="28">
        <f>SUMPRODUCT(INDEX(PortfolioRef[[SPY]:[PE]],MATCH(UI$1,PortfolioRef[Reference '#]),0),AssetMonthlyReturns[[#This Row],[SPY]:[PE]])</f>
        <v>3.484172916773938E-2</v>
      </c>
      <c r="UJ106" s="27">
        <f>IF(ISNUMBER(UJ105),UJ105*(1+PortfolioFrontier[[#This Row],[P139 Return]]),1+PortfolioFrontier[[#This Row],[P139 Return]])</f>
        <v>1.951621031098326</v>
      </c>
      <c r="UK106" s="27">
        <f>MAX(UK105,PortfolioFrontier[[#This Row],[P139 Growth]])</f>
        <v>1.951621031098326</v>
      </c>
      <c r="UL106" s="27">
        <f>PortfolioFrontier[[#This Row],[P139 Growth]]/PortfolioFrontier[[#This Row],[P139 HWM]]-1</f>
        <v>0</v>
      </c>
      <c r="UM106" s="28">
        <f>SUMPRODUCT(INDEX(PortfolioRef[[SPY]:[PE]],MATCH(UM$1,PortfolioRef[Reference '#]),0),AssetMonthlyReturns[[#This Row],[SPY]:[PE]])</f>
        <v>3.4898333910742728E-2</v>
      </c>
      <c r="UN106" s="27">
        <f>IF(ISNUMBER(UN105),UN105*(1+PortfolioFrontier[[#This Row],[P140 Return]]),1+PortfolioFrontier[[#This Row],[P140 Return]])</f>
        <v>1.9361783569313893</v>
      </c>
      <c r="UO106" s="27">
        <f>MAX(UO105,PortfolioFrontier[[#This Row],[P140 Growth]])</f>
        <v>1.9361783569313893</v>
      </c>
      <c r="UP106" s="27">
        <f>PortfolioFrontier[[#This Row],[P140 Growth]]/PortfolioFrontier[[#This Row],[P140 HWM]]-1</f>
        <v>0</v>
      </c>
      <c r="UQ106" s="28">
        <f>SUMPRODUCT(INDEX(PortfolioRef[[SPY]:[PE]],MATCH(UQ$1,PortfolioRef[Reference '#]),0),AssetMonthlyReturns[[#This Row],[SPY]:[PE]])</f>
        <v>3.4954938653746083E-2</v>
      </c>
      <c r="UR106" s="27">
        <f>IF(ISNUMBER(UR105),UR105*(1+PortfolioFrontier[[#This Row],[P141 Return]]),1+PortfolioFrontier[[#This Row],[P141 Return]])</f>
        <v>1.9192617186006657</v>
      </c>
      <c r="US106" s="27">
        <f>MAX(US105,PortfolioFrontier[[#This Row],[P141 Growth]])</f>
        <v>1.9192617186006657</v>
      </c>
      <c r="UT106" s="27">
        <f>PortfolioFrontier[[#This Row],[P141 Growth]]/PortfolioFrontier[[#This Row],[P141 HWM]]-1</f>
        <v>0</v>
      </c>
    </row>
    <row r="107" spans="2:566" x14ac:dyDescent="0.2">
      <c r="B107" s="41">
        <f>AssetMonthlyReturns[[#This Row],[Date]]</f>
        <v>45627</v>
      </c>
      <c r="C107" s="28">
        <f>SUMPRODUCT(INDEX(PortfolioRef[[SPY]:[PE]],MATCH(C$1,PortfolioRef[Reference '#]),0),AssetMonthlyReturns[[#This Row],[SPY]:[PE]])</f>
        <v>-2.7758267184890734E-2</v>
      </c>
      <c r="D107" s="29">
        <f>IF(ISNUMBER(D106),D106*(1+PortfolioFrontier[[#This Row],[P1 Return]]),1+PortfolioFrontier[[#This Row],[P1 Return]])</f>
        <v>2.3262532148476143</v>
      </c>
      <c r="E107" s="29">
        <f>MAX(E106,PortfolioFrontier[[#This Row],[P1 Growth]])</f>
        <v>2.3926695762297592</v>
      </c>
      <c r="F107" s="29">
        <f>PortfolioFrontier[[#This Row],[P1 Growth]]/PortfolioFrontier[[#This Row],[P1 HWM]]-1</f>
        <v>-2.7758267184890717E-2</v>
      </c>
      <c r="G107" s="28">
        <f>SUMPRODUCT(INDEX(PortfolioRef[[SPY]:[PE]],MATCH(G$1,PortfolioRef[Reference '#]),0),AssetMonthlyReturns[[#This Row],[SPY]:[PE]])</f>
        <v>-2.7396540809354875E-2</v>
      </c>
      <c r="H107" s="27">
        <f>IF(ISNUMBER(H106),H106*(1+PortfolioFrontier[[#This Row],[P2 Return]]),1+PortfolioFrontier[[#This Row],[P2 Return]])</f>
        <v>2.2041346615208131</v>
      </c>
      <c r="I107" s="27">
        <f>MAX(I106,PortfolioFrontier[[#This Row],[P2 Growth]])</f>
        <v>2.2662212854506913</v>
      </c>
      <c r="J107" s="27">
        <f>PortfolioFrontier[[#This Row],[P2 Growth]]/PortfolioFrontier[[#This Row],[P2 HWM]]-1</f>
        <v>-2.7396540809354719E-2</v>
      </c>
      <c r="K107" s="28">
        <f>SUMPRODUCT(INDEX(PortfolioRef[[SPY]:[PE]],MATCH(K$1,PortfolioRef[Reference '#]),0),AssetMonthlyReturns[[#This Row],[SPY]:[PE]])</f>
        <v>-2.7096009239635E-2</v>
      </c>
      <c r="L107" s="27">
        <f>IF(ISNUMBER(L106),L106*(1+PortfolioFrontier[[#This Row],[P3 Return]]),1+PortfolioFrontier[[#This Row],[P3 Return]])</f>
        <v>2.2744992839831686</v>
      </c>
      <c r="M107" s="27">
        <f>MAX(M106,PortfolioFrontier[[#This Row],[P3 Growth]])</f>
        <v>2.3378455691250197</v>
      </c>
      <c r="N107" s="27">
        <f>PortfolioFrontier[[#This Row],[P3 Growth]]/PortfolioFrontier[[#This Row],[P3 HWM]]-1</f>
        <v>-2.7096009239634955E-2</v>
      </c>
      <c r="O107" s="28">
        <f>SUMPRODUCT(INDEX(PortfolioRef[[SPY]:[PE]],MATCH(O$1,PortfolioRef[Reference '#]),0),AssetMonthlyReturns[[#This Row],[SPY]:[PE]])</f>
        <v>-3.1016685583658919E-2</v>
      </c>
      <c r="P107" s="27">
        <f>IF(ISNUMBER(P106),P106*(1+PortfolioFrontier[[#This Row],[P4 Return]]),1+PortfolioFrontier[[#This Row],[P4 Return]])</f>
        <v>2.2425487291166681</v>
      </c>
      <c r="Q107" s="27">
        <f>MAX(Q106,PortfolioFrontier[[#This Row],[P4 Growth]])</f>
        <v>2.3143316254805155</v>
      </c>
      <c r="R107" s="27">
        <f>PortfolioFrontier[[#This Row],[P4 Growth]]/PortfolioFrontier[[#This Row],[P4 HWM]]-1</f>
        <v>-3.1016685583658887E-2</v>
      </c>
      <c r="S107" s="28">
        <f>SUMPRODUCT(INDEX(PortfolioRef[[SPY]:[PE]],MATCH(S$1,PortfolioRef[Reference '#]),0),AssetMonthlyReturns[[#This Row],[SPY]:[PE]])</f>
        <v>-2.5917007077496498E-2</v>
      </c>
      <c r="T107" s="27">
        <f>IF(ISNUMBER(T106),T106*(1+PortfolioFrontier[[#This Row],[P5 Return]]),1+PortfolioFrontier[[#This Row],[P5 Return]])</f>
        <v>2.2337117913376527</v>
      </c>
      <c r="U107" s="27">
        <f>MAX(U106,PortfolioFrontier[[#This Row],[P5 Growth]])</f>
        <v>2.2931431998786196</v>
      </c>
      <c r="V107" s="27">
        <f>PortfolioFrontier[[#This Row],[P5 Growth]]/PortfolioFrontier[[#This Row],[P5 HWM]]-1</f>
        <v>-2.5917007077496335E-2</v>
      </c>
      <c r="W107" s="28">
        <f>SUMPRODUCT(INDEX(PortfolioRef[[SPY]:[PE]],MATCH(W$1,PortfolioRef[Reference '#]),0),AssetMonthlyReturns[[#This Row],[SPY]:[PE]])</f>
        <v>-2.7034814433819016E-2</v>
      </c>
      <c r="X107" s="27">
        <f>IF(ISNUMBER(X106),X106*(1+PortfolioFrontier[[#This Row],[P6 Return]]),1+PortfolioFrontier[[#This Row],[P6 Return]])</f>
        <v>2.0874250953901194</v>
      </c>
      <c r="Y107" s="27">
        <f>MAX(Y106,PortfolioFrontier[[#This Row],[P6 Growth]])</f>
        <v>2.1454262972168117</v>
      </c>
      <c r="Z107" s="27">
        <f>PortfolioFrontier[[#This Row],[P6 Growth]]/PortfolioFrontier[[#This Row],[P6 HWM]]-1</f>
        <v>-2.7034814433819165E-2</v>
      </c>
      <c r="AA107" s="28">
        <f>SUMPRODUCT(INDEX(PortfolioRef[[SPY]:[PE]],MATCH(AA$1,PortfolioRef[Reference '#]),0),AssetMonthlyReturns[[#This Row],[SPY]:[PE]])</f>
        <v>-2.6734282864099141E-2</v>
      </c>
      <c r="AB107" s="27">
        <f>IF(ISNUMBER(AB106),AB106*(1+PortfolioFrontier[[#This Row],[P7 Return]]),1+PortfolioFrontier[[#This Row],[P7 Return]])</f>
        <v>2.1540737486003132</v>
      </c>
      <c r="AC107" s="27">
        <f>MAX(AC106,PortfolioFrontier[[#This Row],[P7 Growth]])</f>
        <v>2.2132432188603759</v>
      </c>
      <c r="AD107" s="27">
        <f>PortfolioFrontier[[#This Row],[P7 Growth]]/PortfolioFrontier[[#This Row],[P7 HWM]]-1</f>
        <v>-2.6734282864099179E-2</v>
      </c>
      <c r="AE107" s="28">
        <f>SUMPRODUCT(INDEX(PortfolioRef[[SPY]:[PE]],MATCH(AE$1,PortfolioRef[Reference '#]),0),AssetMonthlyReturns[[#This Row],[SPY]:[PE]])</f>
        <v>-3.0654959208123059E-2</v>
      </c>
      <c r="AF107" s="27">
        <f>IF(ISNUMBER(AF106),AF106*(1+PortfolioFrontier[[#This Row],[P8 Return]]),1+PortfolioFrontier[[#This Row],[P8 Return]])</f>
        <v>2.124647827000508</v>
      </c>
      <c r="AG107" s="27">
        <f>MAX(AG106,PortfolioFrontier[[#This Row],[P8 Growth]])</f>
        <v>2.1918385482891023</v>
      </c>
      <c r="AH107" s="27">
        <f>PortfolioFrontier[[#This Row],[P8 Growth]]/PortfolioFrontier[[#This Row],[P8 HWM]]-1</f>
        <v>-3.0654959208123111E-2</v>
      </c>
      <c r="AI107" s="28">
        <f>SUMPRODUCT(INDEX(PortfolioRef[[SPY]:[PE]],MATCH(AI$1,PortfolioRef[Reference '#]),0),AssetMonthlyReturns[[#This Row],[SPY]:[PE]])</f>
        <v>-2.5555280701960639E-2</v>
      </c>
      <c r="AJ107" s="27">
        <f>IF(ISNUMBER(AJ106),AJ106*(1+PortfolioFrontier[[#This Row],[P9 Return]]),1+PortfolioFrontier[[#This Row],[P9 Return]])</f>
        <v>2.1154652585337712</v>
      </c>
      <c r="AK107" s="27">
        <f>MAX(AK106,PortfolioFrontier[[#This Row],[P9 Growth]])</f>
        <v>2.1709443508069795</v>
      </c>
      <c r="AL107" s="27">
        <f>PortfolioFrontier[[#This Row],[P9 Growth]]/PortfolioFrontier[[#This Row],[P9 HWM]]-1</f>
        <v>-2.555528070196067E-2</v>
      </c>
      <c r="AM107" s="28">
        <f>SUMPRODUCT(INDEX(PortfolioRef[[SPY]:[PE]],MATCH(AM$1,PortfolioRef[Reference '#]),0),AssetMonthlyReturns[[#This Row],[SPY]:[PE]])</f>
        <v>-2.6433751294379266E-2</v>
      </c>
      <c r="AN107" s="27">
        <f>IF(ISNUMBER(AN106),AN106*(1+PortfolioFrontier[[#This Row],[P10 Return]]),1+PortfolioFrontier[[#This Row],[P10 Return]])</f>
        <v>2.2221471780629423</v>
      </c>
      <c r="AO107" s="27">
        <f>MAX(AO106,PortfolioFrontier[[#This Row],[P10 Growth]])</f>
        <v>2.2824817325141864</v>
      </c>
      <c r="AP107" s="27">
        <f>PortfolioFrontier[[#This Row],[P10 Growth]]/PortfolioFrontier[[#This Row],[P10 HWM]]-1</f>
        <v>-2.6433751294379415E-2</v>
      </c>
      <c r="AQ107" s="28">
        <f>SUMPRODUCT(INDEX(PortfolioRef[[SPY]:[PE]],MATCH(AQ$1,PortfolioRef[Reference '#]),0),AssetMonthlyReturns[[#This Row],[SPY]:[PE]])</f>
        <v>-3.0354427638403184E-2</v>
      </c>
      <c r="AR107" s="27">
        <f>IF(ISNUMBER(AR106),AR106*(1+PortfolioFrontier[[#This Row],[P11 Return]]),1+PortfolioFrontier[[#This Row],[P11 Return]])</f>
        <v>2.1924597067090916</v>
      </c>
      <c r="AS107" s="27">
        <f>MAX(AS106,PortfolioFrontier[[#This Row],[P11 Growth]])</f>
        <v>2.2610939184400127</v>
      </c>
      <c r="AT107" s="27">
        <f>PortfolioFrontier[[#This Row],[P11 Growth]]/PortfolioFrontier[[#This Row],[P11 HWM]]-1</f>
        <v>-3.0354427638403236E-2</v>
      </c>
      <c r="AU107" s="28">
        <f>SUMPRODUCT(INDEX(PortfolioRef[[SPY]:[PE]],MATCH(AU$1,PortfolioRef[Reference '#]),0),AssetMonthlyReturns[[#This Row],[SPY]:[PE]])</f>
        <v>-2.5254749132240763E-2</v>
      </c>
      <c r="AV107" s="27">
        <f>IF(ISNUMBER(AV106),AV106*(1+PortfolioFrontier[[#This Row],[P12 Return]]),1+PortfolioFrontier[[#This Row],[P12 Return]])</f>
        <v>2.1829929688887346</v>
      </c>
      <c r="AW107" s="27">
        <f>MAX(AW106,PortfolioFrontier[[#This Row],[P12 Growth]])</f>
        <v>2.2395523004039695</v>
      </c>
      <c r="AX107" s="27">
        <f>PortfolioFrontier[[#This Row],[P12 Growth]]/PortfolioFrontier[[#This Row],[P12 HWM]]-1</f>
        <v>-2.5254749132240684E-2</v>
      </c>
      <c r="AY107" s="28">
        <f>SUMPRODUCT(INDEX(PortfolioRef[[SPY]:[PE]],MATCH(AY$1,PortfolioRef[Reference '#]),0),AssetMonthlyReturns[[#This Row],[SPY]:[PE]])</f>
        <v>-3.4275103982427113E-2</v>
      </c>
      <c r="AZ107" s="27">
        <f>IF(ISNUMBER(AZ106),AZ106*(1+PortfolioFrontier[[#This Row],[P13 Return]]),1+PortfolioFrontier[[#This Row],[P13 Return]])</f>
        <v>2.1612538689195846</v>
      </c>
      <c r="BA107" s="27">
        <f>MAX(BA106,PortfolioFrontier[[#This Row],[P13 Growth]])</f>
        <v>2.2379601870388743</v>
      </c>
      <c r="BB107" s="27">
        <f>PortfolioFrontier[[#This Row],[P13 Growth]]/PortfolioFrontier[[#This Row],[P13 HWM]]-1</f>
        <v>-3.427510398242728E-2</v>
      </c>
      <c r="BC107" s="28">
        <f>SUMPRODUCT(INDEX(PortfolioRef[[SPY]:[PE]],MATCH(BC$1,PortfolioRef[Reference '#]),0),AssetMonthlyReturns[[#This Row],[SPY]:[PE]])</f>
        <v>-2.9175425476264682E-2</v>
      </c>
      <c r="BD107" s="27">
        <f>IF(ISNUMBER(BD106),BD106*(1+PortfolioFrontier[[#This Row],[P14 Return]]),1+PortfolioFrontier[[#This Row],[P14 Return]])</f>
        <v>2.153313413901218</v>
      </c>
      <c r="BE107" s="27">
        <f>MAX(BE106,PortfolioFrontier[[#This Row],[P14 Growth]])</f>
        <v>2.2180252441153803</v>
      </c>
      <c r="BF107" s="27">
        <f>PortfolioFrontier[[#This Row],[P14 Growth]]/PortfolioFrontier[[#This Row],[P14 HWM]]-1</f>
        <v>-2.9175425476264727E-2</v>
      </c>
      <c r="BG107" s="28">
        <f>SUMPRODUCT(INDEX(PortfolioRef[[SPY]:[PE]],MATCH(BG$1,PortfolioRef[Reference '#]),0),AssetMonthlyReturns[[#This Row],[SPY]:[PE]])</f>
        <v>-2.4075746970102258E-2</v>
      </c>
      <c r="BH107" s="27">
        <f>IF(ISNUMBER(BH106),BH106*(1+PortfolioFrontier[[#This Row],[P15 Return]]),1+PortfolioFrontier[[#This Row],[P15 Return]])</f>
        <v>2.1435688367387162</v>
      </c>
      <c r="BI107" s="27">
        <f>MAX(BI106,PortfolioFrontier[[#This Row],[P15 Growth]])</f>
        <v>2.1964500114467875</v>
      </c>
      <c r="BJ107" s="27">
        <f>PortfolioFrontier[[#This Row],[P15 Growth]]/PortfolioFrontier[[#This Row],[P15 HWM]]-1</f>
        <v>-2.4075746970102396E-2</v>
      </c>
      <c r="BK107" s="28">
        <f>SUMPRODUCT(INDEX(PortfolioRef[[SPY]:[PE]],MATCH(BK$1,PortfolioRef[Reference '#]),0),AssetMonthlyReturns[[#This Row],[SPY]:[PE]])</f>
        <v>-2.6673088058283157E-2</v>
      </c>
      <c r="BL107" s="27">
        <f>IF(ISNUMBER(BL106),BL106*(1+PortfolioFrontier[[#This Row],[P16 Return]]),1+PortfolioFrontier[[#This Row],[P16 Return]])</f>
        <v>1.9759470877307566</v>
      </c>
      <c r="BM107" s="27">
        <f>MAX(BM106,PortfolioFrontier[[#This Row],[P16 Growth]])</f>
        <v>2.0300960175742855</v>
      </c>
      <c r="BN107" s="27">
        <f>PortfolioFrontier[[#This Row],[P16 Growth]]/PortfolioFrontier[[#This Row],[P16 HWM]]-1</f>
        <v>-2.6673088058283168E-2</v>
      </c>
      <c r="BO107" s="28">
        <f>SUMPRODUCT(INDEX(PortfolioRef[[SPY]:[PE]],MATCH(BO$1,PortfolioRef[Reference '#]),0),AssetMonthlyReturns[[#This Row],[SPY]:[PE]])</f>
        <v>-2.6372556488563282E-2</v>
      </c>
      <c r="BP107" s="27">
        <f>IF(ISNUMBER(BP106),BP106*(1+PortfolioFrontier[[#This Row],[P17 Return]]),1+PortfolioFrontier[[#This Row],[P17 Return]])</f>
        <v>2.039046334500576</v>
      </c>
      <c r="BQ107" s="27">
        <f>MAX(BQ106,PortfolioFrontier[[#This Row],[P17 Growth]])</f>
        <v>2.0942777939235691</v>
      </c>
      <c r="BR107" s="27">
        <f>PortfolioFrontier[[#This Row],[P17 Growth]]/PortfolioFrontier[[#This Row],[P17 HWM]]-1</f>
        <v>-2.6372556488563292E-2</v>
      </c>
      <c r="BS107" s="28">
        <f>SUMPRODUCT(INDEX(PortfolioRef[[SPY]:[PE]],MATCH(BS$1,PortfolioRef[Reference '#]),0),AssetMonthlyReturns[[#This Row],[SPY]:[PE]])</f>
        <v>-3.02932328325872E-2</v>
      </c>
      <c r="BT107" s="27">
        <f>IF(ISNUMBER(BT106),BT106*(1+PortfolioFrontier[[#This Row],[P18 Return]]),1+PortfolioFrontier[[#This Row],[P18 Return]])</f>
        <v>2.0119786887247866</v>
      </c>
      <c r="BU107" s="27">
        <f>MAX(BU106,PortfolioFrontier[[#This Row],[P18 Growth]])</f>
        <v>2.0748320593883545</v>
      </c>
      <c r="BV107" s="27">
        <f>PortfolioFrontier[[#This Row],[P18 Growth]]/PortfolioFrontier[[#This Row],[P18 HWM]]-1</f>
        <v>-3.0293232832587225E-2</v>
      </c>
      <c r="BW107" s="28">
        <f>SUMPRODUCT(INDEX(PortfolioRef[[SPY]:[PE]],MATCH(BW$1,PortfolioRef[Reference '#]),0),AssetMonthlyReturns[[#This Row],[SPY]:[PE]])</f>
        <v>-2.519355432642478E-2</v>
      </c>
      <c r="BX107" s="27">
        <f>IF(ISNUMBER(BX106),BX106*(1+PortfolioFrontier[[#This Row],[P19 Return]]),1+PortfolioFrontier[[#This Row],[P19 Return]])</f>
        <v>2.0025174480870414</v>
      </c>
      <c r="BY107" s="27">
        <f>MAX(BY106,PortfolioFrontier[[#This Row],[P19 Growth]])</f>
        <v>2.0542718577361629</v>
      </c>
      <c r="BZ107" s="27">
        <f>PortfolioFrontier[[#This Row],[P19 Growth]]/PortfolioFrontier[[#This Row],[P19 HWM]]-1</f>
        <v>-2.5193554326424783E-2</v>
      </c>
      <c r="CA107" s="28">
        <f>SUMPRODUCT(INDEX(PortfolioRef[[SPY]:[PE]],MATCH(CA$1,PortfolioRef[Reference '#]),0),AssetMonthlyReturns[[#This Row],[SPY]:[PE]])</f>
        <v>-2.6072024918843407E-2</v>
      </c>
      <c r="CB107" s="27">
        <f>IF(ISNUMBER(CB106),CB106*(1+PortfolioFrontier[[#This Row],[P20 Return]]),1+PortfolioFrontier[[#This Row],[P20 Return]])</f>
        <v>2.1034937134522695</v>
      </c>
      <c r="CC107" s="27">
        <f>MAX(CC106,PortfolioFrontier[[#This Row],[P20 Growth]])</f>
        <v>2.1598041819026577</v>
      </c>
      <c r="CD107" s="27">
        <f>PortfolioFrontier[[#This Row],[P20 Growth]]/PortfolioFrontier[[#This Row],[P20 HWM]]-1</f>
        <v>-2.6072024918843306E-2</v>
      </c>
      <c r="CE107" s="28">
        <f>SUMPRODUCT(INDEX(PortfolioRef[[SPY]:[PE]],MATCH(CE$1,PortfolioRef[Reference '#]),0),AssetMonthlyReturns[[#This Row],[SPY]:[PE]])</f>
        <v>-2.9992701262867325E-2</v>
      </c>
      <c r="CF107" s="27">
        <f>IF(ISNUMBER(CF106),CF106*(1+PortfolioFrontier[[#This Row],[P21 Return]]),1+PortfolioFrontier[[#This Row],[P21 Return]])</f>
        <v>2.076204308620401</v>
      </c>
      <c r="CG107" s="27">
        <f>MAX(CG106,PortfolioFrontier[[#This Row],[P21 Growth]])</f>
        <v>2.1404007076270903</v>
      </c>
      <c r="CH107" s="27">
        <f>PortfolioFrontier[[#This Row],[P21 Growth]]/PortfolioFrontier[[#This Row],[P21 HWM]]-1</f>
        <v>-2.9992701262867461E-2</v>
      </c>
      <c r="CI107" s="28">
        <f>SUMPRODUCT(INDEX(PortfolioRef[[SPY]:[PE]],MATCH(CI$1,PortfolioRef[Reference '#]),0),AssetMonthlyReturns[[#This Row],[SPY]:[PE]])</f>
        <v>-2.4893022756704904E-2</v>
      </c>
      <c r="CJ107" s="27">
        <f>IF(ISNUMBER(CJ106),CJ106*(1+PortfolioFrontier[[#This Row],[P22 Return]]),1+PortfolioFrontier[[#This Row],[P22 Return]])</f>
        <v>2.0664498813727121</v>
      </c>
      <c r="CK107" s="27">
        <f>MAX(CK106,PortfolioFrontier[[#This Row],[P22 Growth]])</f>
        <v>2.1192032562567955</v>
      </c>
      <c r="CL107" s="27">
        <f>PortfolioFrontier[[#This Row],[P22 Growth]]/PortfolioFrontier[[#This Row],[P22 HWM]]-1</f>
        <v>-2.4893022756704797E-2</v>
      </c>
      <c r="CM107" s="28">
        <f>SUMPRODUCT(INDEX(PortfolioRef[[SPY]:[PE]],MATCH(CM$1,PortfolioRef[Reference '#]),0),AssetMonthlyReturns[[#This Row],[SPY]:[PE]])</f>
        <v>-3.3913377606891254E-2</v>
      </c>
      <c r="CN107" s="27">
        <f>IF(ISNUMBER(CN106),CN106*(1+PortfolioFrontier[[#This Row],[P23 Return]]),1+PortfolioFrontier[[#This Row],[P23 Return]])</f>
        <v>2.047456815689829</v>
      </c>
      <c r="CO107" s="27">
        <f>MAX(CO106,PortfolioFrontier[[#This Row],[P23 Growth]])</f>
        <v>2.1193304701994951</v>
      </c>
      <c r="CP107" s="27">
        <f>PortfolioFrontier[[#This Row],[P23 Growth]]/PortfolioFrontier[[#This Row],[P23 HWM]]-1</f>
        <v>-3.3913377606891393E-2</v>
      </c>
      <c r="CQ107" s="28">
        <f>SUMPRODUCT(INDEX(PortfolioRef[[SPY]:[PE]],MATCH(CQ$1,PortfolioRef[Reference '#]),0),AssetMonthlyReturns[[#This Row],[SPY]:[PE]])</f>
        <v>-2.8813699100728823E-2</v>
      </c>
      <c r="CR107" s="27">
        <f>IF(ISNUMBER(CR106),CR106*(1+PortfolioFrontier[[#This Row],[P24 Return]]),1+PortfolioFrontier[[#This Row],[P24 Return]])</f>
        <v>2.0391522672597775</v>
      </c>
      <c r="CS107" s="27">
        <f>MAX(CS106,PortfolioFrontier[[#This Row],[P24 Growth]])</f>
        <v>2.0996509787788624</v>
      </c>
      <c r="CT107" s="27">
        <f>PortfolioFrontier[[#This Row],[P24 Growth]]/PortfolioFrontier[[#This Row],[P24 HWM]]-1</f>
        <v>-2.881369910072884E-2</v>
      </c>
      <c r="CU107" s="28">
        <f>SUMPRODUCT(INDEX(PortfolioRef[[SPY]:[PE]],MATCH(CU$1,PortfolioRef[Reference '#]),0),AssetMonthlyReturns[[#This Row],[SPY]:[PE]])</f>
        <v>-2.3714020594566398E-2</v>
      </c>
      <c r="CV107" s="27">
        <f>IF(ISNUMBER(CV106),CV106*(1+PortfolioFrontier[[#This Row],[P25 Return]]),1+PortfolioFrontier[[#This Row],[P25 Return]])</f>
        <v>2.0291485486148191</v>
      </c>
      <c r="CW107" s="27">
        <f>MAX(CW106,PortfolioFrontier[[#This Row],[P25 Growth]])</f>
        <v>2.0784366378492782</v>
      </c>
      <c r="CX107" s="27">
        <f>PortfolioFrontier[[#This Row],[P25 Growth]]/PortfolioFrontier[[#This Row],[P25 HWM]]-1</f>
        <v>-2.3714020594566398E-2</v>
      </c>
      <c r="CY107" s="28">
        <f>SUMPRODUCT(INDEX(PortfolioRef[[SPY]:[PE]],MATCH(CY$1,PortfolioRef[Reference '#]),0),AssetMonthlyReturns[[#This Row],[SPY]:[PE]])</f>
        <v>-2.969216969314745E-2</v>
      </c>
      <c r="CZ107" s="27">
        <f>IF(ISNUMBER(CZ106),CZ106*(1+PortfolioFrontier[[#This Row],[P26 Return]]),1+PortfolioFrontier[[#This Row],[P26 Return]])</f>
        <v>2.1418017546612287</v>
      </c>
      <c r="DA107" s="27">
        <f>MAX(DA106,PortfolioFrontier[[#This Row],[P26 Growth]])</f>
        <v>2.2073425440500669</v>
      </c>
      <c r="DB107" s="27">
        <f>PortfolioFrontier[[#This Row],[P26 Growth]]/PortfolioFrontier[[#This Row],[P26 HWM]]-1</f>
        <v>-2.9692169693147363E-2</v>
      </c>
      <c r="DC107" s="28">
        <f>SUMPRODUCT(INDEX(PortfolioRef[[SPY]:[PE]],MATCH(DC$1,PortfolioRef[Reference '#]),0),AssetMonthlyReturns[[#This Row],[SPY]:[PE]])</f>
        <v>-2.4592491186985029E-2</v>
      </c>
      <c r="DD107" s="27">
        <f>IF(ISNUMBER(DD106),DD106*(1+PortfolioFrontier[[#This Row],[P27 Return]]),1+PortfolioFrontier[[#This Row],[P27 Return]])</f>
        <v>2.131748136204163</v>
      </c>
      <c r="DE107" s="27">
        <f>MAX(DE106,PortfolioFrontier[[#This Row],[P27 Growth]])</f>
        <v>2.1854949002784618</v>
      </c>
      <c r="DF107" s="27">
        <f>PortfolioFrontier[[#This Row],[P27 Growth]]/PortfolioFrontier[[#This Row],[P27 HWM]]-1</f>
        <v>-2.4592491186985033E-2</v>
      </c>
      <c r="DG107" s="28">
        <f>SUMPRODUCT(INDEX(PortfolioRef[[SPY]:[PE]],MATCH(DG$1,PortfolioRef[Reference '#]),0),AssetMonthlyReturns[[#This Row],[SPY]:[PE]])</f>
        <v>-3.3612846037171379E-2</v>
      </c>
      <c r="DH107" s="27">
        <f>IF(ISNUMBER(DH106),DH106*(1+PortfolioFrontier[[#This Row],[P28 Return]]),1+PortfolioFrontier[[#This Row],[P28 Return]])</f>
        <v>2.1127909888341025</v>
      </c>
      <c r="DI107" s="27">
        <f>MAX(DI106,PortfolioFrontier[[#This Row],[P28 Growth]])</f>
        <v>2.1862780151518546</v>
      </c>
      <c r="DJ107" s="27">
        <f>PortfolioFrontier[[#This Row],[P28 Growth]]/PortfolioFrontier[[#This Row],[P28 HWM]]-1</f>
        <v>-3.3612846037171407E-2</v>
      </c>
      <c r="DK107" s="28">
        <f>SUMPRODUCT(INDEX(PortfolioRef[[SPY]:[PE]],MATCH(DK$1,PortfolioRef[Reference '#]),0),AssetMonthlyReturns[[#This Row],[SPY]:[PE]])</f>
        <v>-2.8513167531008948E-2</v>
      </c>
      <c r="DL107" s="27">
        <f>IF(ISNUMBER(DL106),DL106*(1+PortfolioFrontier[[#This Row],[P29 Return]]),1+PortfolioFrontier[[#This Row],[P29 Return]])</f>
        <v>2.10422962972418</v>
      </c>
      <c r="DM107" s="27">
        <f>MAX(DM106,PortfolioFrontier[[#This Row],[P29 Growth]])</f>
        <v>2.1659888321660246</v>
      </c>
      <c r="DN107" s="27">
        <f>PortfolioFrontier[[#This Row],[P29 Growth]]/PortfolioFrontier[[#This Row],[P29 HWM]]-1</f>
        <v>-2.8513167531009076E-2</v>
      </c>
      <c r="DO107" s="28">
        <f>SUMPRODUCT(INDEX(PortfolioRef[[SPY]:[PE]],MATCH(DO$1,PortfolioRef[Reference '#]),0),AssetMonthlyReturns[[#This Row],[SPY]:[PE]])</f>
        <v>-2.3413489024846523E-2</v>
      </c>
      <c r="DP107" s="27">
        <f>IF(ISNUMBER(DP106),DP106*(1+PortfolioFrontier[[#This Row],[P30 Return]]),1+PortfolioFrontier[[#This Row],[P30 Return]])</f>
        <v>2.0939159316973734</v>
      </c>
      <c r="DQ107" s="27">
        <f>MAX(DQ106,PortfolioFrontier[[#This Row],[P30 Growth]])</f>
        <v>2.1441171961371146</v>
      </c>
      <c r="DR107" s="27">
        <f>PortfolioFrontier[[#This Row],[P30 Growth]]/PortfolioFrontier[[#This Row],[P30 HWM]]-1</f>
        <v>-2.3413489024846634E-2</v>
      </c>
      <c r="DS107" s="28">
        <f>SUMPRODUCT(INDEX(PortfolioRef[[SPY]:[PE]],MATCH(DS$1,PortfolioRef[Reference '#]),0),AssetMonthlyReturns[[#This Row],[SPY]:[PE]])</f>
        <v>-3.7533522381195297E-2</v>
      </c>
      <c r="DT107" s="27">
        <f>IF(ISNUMBER(DT106),DT106*(1+PortfolioFrontier[[#This Row],[P31 Return]]),1+PortfolioFrontier[[#This Row],[P31 Return]])</f>
        <v>2.0823249063232065</v>
      </c>
      <c r="DU107" s="27">
        <f>MAX(DU106,PortfolioFrontier[[#This Row],[P31 Growth]])</f>
        <v>2.16352980051315</v>
      </c>
      <c r="DV107" s="27">
        <f>PortfolioFrontier[[#This Row],[P31 Growth]]/PortfolioFrontier[[#This Row],[P31 HWM]]-1</f>
        <v>-3.7533522381195339E-2</v>
      </c>
      <c r="DW107" s="28">
        <f>SUMPRODUCT(INDEX(PortfolioRef[[SPY]:[PE]],MATCH(DW$1,PortfolioRef[Reference '#]),0),AssetMonthlyReturns[[#This Row],[SPY]:[PE]])</f>
        <v>-3.2433843875032869E-2</v>
      </c>
      <c r="DX107" s="27">
        <f>IF(ISNUMBER(DX106),DX106*(1+PortfolioFrontier[[#This Row],[P32 Return]]),1+PortfolioFrontier[[#This Row],[P32 Return]])</f>
        <v>2.0752306546610706</v>
      </c>
      <c r="DY107" s="27">
        <f>MAX(DY106,PortfolioFrontier[[#This Row],[P32 Growth]])</f>
        <v>2.1447945874545882</v>
      </c>
      <c r="DZ107" s="27">
        <f>PortfolioFrontier[[#This Row],[P32 Growth]]/PortfolioFrontier[[#This Row],[P32 HWM]]-1</f>
        <v>-3.2433843875032786E-2</v>
      </c>
      <c r="EA107" s="28">
        <f>SUMPRODUCT(INDEX(PortfolioRef[[SPY]:[PE]],MATCH(EA$1,PortfolioRef[Reference '#]),0),AssetMonthlyReturns[[#This Row],[SPY]:[PE]])</f>
        <v>-2.7334165368870442E-2</v>
      </c>
      <c r="EB107" s="27">
        <f>IF(ISNUMBER(EB106),EB106*(1+PortfolioFrontier[[#This Row],[P33 Return]]),1+PortfolioFrontier[[#This Row],[P33 Return]])</f>
        <v>2.0663909029193364</v>
      </c>
      <c r="EC107" s="27">
        <f>MAX(EC106,PortfolioFrontier[[#This Row],[P33 Growth]])</f>
        <v>2.1244612788347679</v>
      </c>
      <c r="ED107" s="27">
        <f>PortfolioFrontier[[#This Row],[P33 Growth]]/PortfolioFrontier[[#This Row],[P33 HWM]]-1</f>
        <v>-2.7334165368870456E-2</v>
      </c>
      <c r="EE107" s="28">
        <f>SUMPRODUCT(INDEX(PortfolioRef[[SPY]:[PE]],MATCH(EE$1,PortfolioRef[Reference '#]),0),AssetMonthlyReturns[[#This Row],[SPY]:[PE]])</f>
        <v>-2.6311361682747298E-2</v>
      </c>
      <c r="EF107" s="27">
        <f>IF(ISNUMBER(EF106),EF106*(1+PortfolioFrontier[[#This Row],[P34 Return]]),1+PortfolioFrontier[[#This Row],[P34 Return]])</f>
        <v>1.8695252296033509</v>
      </c>
      <c r="EG107" s="27">
        <f>MAX(EG106,PortfolioFrontier[[#This Row],[P34 Growth]])</f>
        <v>1.9200442071854715</v>
      </c>
      <c r="EH107" s="27">
        <f>PortfolioFrontier[[#This Row],[P34 Growth]]/PortfolioFrontier[[#This Row],[P34 HWM]]-1</f>
        <v>-2.6311361682747281E-2</v>
      </c>
      <c r="EI107" s="28">
        <f>SUMPRODUCT(INDEX(PortfolioRef[[SPY]:[PE]],MATCH(EI$1,PortfolioRef[Reference '#]),0),AssetMonthlyReturns[[#This Row],[SPY]:[PE]])</f>
        <v>-2.6010830113027423E-2</v>
      </c>
      <c r="EJ107" s="27">
        <f>IF(ISNUMBER(EJ106),EJ106*(1+PortfolioFrontier[[#This Row],[P35 Return]]),1+PortfolioFrontier[[#This Row],[P35 Return]])</f>
        <v>1.929236005879589</v>
      </c>
      <c r="EK107" s="27">
        <f>MAX(EK106,PortfolioFrontier[[#This Row],[P35 Growth]])</f>
        <v>1.9807571434325792</v>
      </c>
      <c r="EL107" s="27">
        <f>PortfolioFrontier[[#This Row],[P35 Growth]]/PortfolioFrontier[[#This Row],[P35 HWM]]-1</f>
        <v>-2.6010830113027406E-2</v>
      </c>
      <c r="EM107" s="28">
        <f>SUMPRODUCT(INDEX(PortfolioRef[[SPY]:[PE]],MATCH(EM$1,PortfolioRef[Reference '#]),0),AssetMonthlyReturns[[#This Row],[SPY]:[PE]])</f>
        <v>-2.9931506457051341E-2</v>
      </c>
      <c r="EN107" s="27">
        <f>IF(ISNUMBER(EN106),EN106*(1+PortfolioFrontier[[#This Row],[P36 Return]]),1+PortfolioFrontier[[#This Row],[P36 Return]])</f>
        <v>1.9043692166668453</v>
      </c>
      <c r="EO107" s="27">
        <f>MAX(EO106,PortfolioFrontier[[#This Row],[P36 Growth]])</f>
        <v>1.9631286134359249</v>
      </c>
      <c r="EP107" s="27">
        <f>PortfolioFrontier[[#This Row],[P36 Growth]]/PortfolioFrontier[[#This Row],[P36 HWM]]-1</f>
        <v>-2.9931506457051338E-2</v>
      </c>
      <c r="EQ107" s="28">
        <f>SUMPRODUCT(INDEX(PortfolioRef[[SPY]:[PE]],MATCH(EQ$1,PortfolioRef[Reference '#]),0),AssetMonthlyReturns[[#This Row],[SPY]:[PE]])</f>
        <v>-2.483182795088892E-2</v>
      </c>
      <c r="ER107" s="27">
        <f>IF(ISNUMBER(ER106),ER106*(1+PortfolioFrontier[[#This Row],[P37 Return]]),1+PortfolioFrontier[[#This Row],[P37 Return]])</f>
        <v>1.8946908013363721</v>
      </c>
      <c r="ES107" s="27">
        <f>MAX(ES106,PortfolioFrontier[[#This Row],[P37 Growth]])</f>
        <v>1.9429374908279433</v>
      </c>
      <c r="ET107" s="27">
        <f>PortfolioFrontier[[#This Row],[P37 Growth]]/PortfolioFrontier[[#This Row],[P37 HWM]]-1</f>
        <v>-2.4831827950888896E-2</v>
      </c>
      <c r="EU107" s="28">
        <f>SUMPRODUCT(INDEX(PortfolioRef[[SPY]:[PE]],MATCH(EU$1,PortfolioRef[Reference '#]),0),AssetMonthlyReturns[[#This Row],[SPY]:[PE]])</f>
        <v>-2.5710298543307548E-2</v>
      </c>
      <c r="EV107" s="27">
        <f>IF(ISNUMBER(EV106),EV106*(1+PortfolioFrontier[[#This Row],[P38 Return]]),1+PortfolioFrontier[[#This Row],[P38 Return]])</f>
        <v>1.9902218014052391</v>
      </c>
      <c r="EW107" s="27">
        <f>MAX(EW106,PortfolioFrontier[[#This Row],[P38 Growth]])</f>
        <v>2.0427412898130743</v>
      </c>
      <c r="EX107" s="27">
        <f>PortfolioFrontier[[#This Row],[P38 Growth]]/PortfolioFrontier[[#This Row],[P38 HWM]]-1</f>
        <v>-2.571029854330753E-2</v>
      </c>
      <c r="EY107" s="28">
        <f>SUMPRODUCT(INDEX(PortfolioRef[[SPY]:[PE]],MATCH(EY$1,PortfolioRef[Reference '#]),0),AssetMonthlyReturns[[#This Row],[SPY]:[PE]])</f>
        <v>-2.9630974887331466E-2</v>
      </c>
      <c r="EZ107" s="27">
        <f>IF(ISNUMBER(EZ106),EZ106*(1+PortfolioFrontier[[#This Row],[P39 Return]]),1+PortfolioFrontier[[#This Row],[P39 Return]])</f>
        <v>1.9651696023318892</v>
      </c>
      <c r="FA107" s="27">
        <f>MAX(FA106,PortfolioFrontier[[#This Row],[P39 Growth]])</f>
        <v>2.0251775886021459</v>
      </c>
      <c r="FB107" s="27">
        <f>PortfolioFrontier[[#This Row],[P39 Growth]]/PortfolioFrontier[[#This Row],[P39 HWM]]-1</f>
        <v>-2.9630974887331463E-2</v>
      </c>
      <c r="FC107" s="28">
        <f>SUMPRODUCT(INDEX(PortfolioRef[[SPY]:[PE]],MATCH(FC$1,PortfolioRef[Reference '#]),0),AssetMonthlyReturns[[#This Row],[SPY]:[PE]])</f>
        <v>-2.4531296381169045E-2</v>
      </c>
      <c r="FD107" s="27">
        <f>IF(ISNUMBER(FD106),FD106*(1+PortfolioFrontier[[#This Row],[P40 Return]]),1+PortfolioFrontier[[#This Row],[P40 Return]])</f>
        <v>1.9551909185336067</v>
      </c>
      <c r="FE107" s="27">
        <f>MAX(FE106,PortfolioFrontier[[#This Row],[P40 Growth]])</f>
        <v>2.004360479511198</v>
      </c>
      <c r="FF107" s="27">
        <f>PortfolioFrontier[[#This Row],[P40 Growth]]/PortfolioFrontier[[#This Row],[P40 HWM]]-1</f>
        <v>-2.4531296381169021E-2</v>
      </c>
      <c r="FG107" s="28">
        <f>SUMPRODUCT(INDEX(PortfolioRef[[SPY]:[PE]],MATCH(FG$1,PortfolioRef[Reference '#]),0),AssetMonthlyReturns[[#This Row],[SPY]:[PE]])</f>
        <v>-3.3551651231355395E-2</v>
      </c>
      <c r="FH107" s="27">
        <f>IF(ISNUMBER(FH106),FH106*(1+PortfolioFrontier[[#This Row],[P41 Return]]),1+PortfolioFrontier[[#This Row],[P41 Return]])</f>
        <v>1.9387186579471556</v>
      </c>
      <c r="FI107" s="27">
        <f>MAX(FI106,PortfolioFrontier[[#This Row],[P41 Growth]])</f>
        <v>2.0060240781799505</v>
      </c>
      <c r="FJ107" s="27">
        <f>PortfolioFrontier[[#This Row],[P41 Growth]]/PortfolioFrontier[[#This Row],[P41 HWM]]-1</f>
        <v>-3.3551651231355395E-2</v>
      </c>
      <c r="FK107" s="28">
        <f>SUMPRODUCT(INDEX(PortfolioRef[[SPY]:[PE]],MATCH(FK$1,PortfolioRef[Reference '#]),0),AssetMonthlyReturns[[#This Row],[SPY]:[PE]])</f>
        <v>-2.8451972725192964E-2</v>
      </c>
      <c r="FL107" s="27">
        <f>IF(ISNUMBER(FL106),FL106*(1+PortfolioFrontier[[#This Row],[P42 Return]]),1+PortfolioFrontier[[#This Row],[P42 Return]])</f>
        <v>1.9301161220267966</v>
      </c>
      <c r="FM107" s="27">
        <f>MAX(FM106,PortfolioFrontier[[#This Row],[P42 Growth]])</f>
        <v>1.9866399476315892</v>
      </c>
      <c r="FN107" s="27">
        <f>PortfolioFrontier[[#This Row],[P42 Growth]]/PortfolioFrontier[[#This Row],[P42 HWM]]-1</f>
        <v>-2.8451972725192953E-2</v>
      </c>
      <c r="FO107" s="28">
        <f>SUMPRODUCT(INDEX(PortfolioRef[[SPY]:[PE]],MATCH(FO$1,PortfolioRef[Reference '#]),0),AssetMonthlyReturns[[#This Row],[SPY]:[PE]])</f>
        <v>-2.3352294219030539E-2</v>
      </c>
      <c r="FP107" s="27">
        <f>IF(ISNUMBER(FP106),FP106*(1+PortfolioFrontier[[#This Row],[P43 Return]]),1+PortfolioFrontier[[#This Row],[P43 Return]])</f>
        <v>1.9199145091857108</v>
      </c>
      <c r="FQ107" s="27">
        <f>MAX(FQ106,PortfolioFrontier[[#This Row],[P43 Growth]])</f>
        <v>1.9658209381144909</v>
      </c>
      <c r="FR107" s="27">
        <f>PortfolioFrontier[[#This Row],[P43 Growth]]/PortfolioFrontier[[#This Row],[P43 HWM]]-1</f>
        <v>-2.3352294219030401E-2</v>
      </c>
      <c r="FS107" s="28">
        <f>SUMPRODUCT(INDEX(PortfolioRef[[SPY]:[PE]],MATCH(FS$1,PortfolioRef[Reference '#]),0),AssetMonthlyReturns[[#This Row],[SPY]:[PE]])</f>
        <v>-2.9330443317611591E-2</v>
      </c>
      <c r="FT107" s="27">
        <f>IF(ISNUMBER(FT106),FT106*(1+PortfolioFrontier[[#This Row],[P44 Return]]),1+PortfolioFrontier[[#This Row],[P44 Return]])</f>
        <v>2.027267918986789</v>
      </c>
      <c r="FU107" s="27">
        <f>MAX(FU106,PortfolioFrontier[[#This Row],[P44 Growth]])</f>
        <v>2.08852529167156</v>
      </c>
      <c r="FV107" s="27">
        <f>PortfolioFrontier[[#This Row],[P44 Growth]]/PortfolioFrontier[[#This Row],[P44 HWM]]-1</f>
        <v>-2.9330443317611588E-2</v>
      </c>
      <c r="FW107" s="28">
        <f>SUMPRODUCT(INDEX(PortfolioRef[[SPY]:[PE]],MATCH(FW$1,PortfolioRef[Reference '#]),0),AssetMonthlyReturns[[#This Row],[SPY]:[PE]])</f>
        <v>-2.423076481144917E-2</v>
      </c>
      <c r="FX107" s="27">
        <f>IF(ISNUMBER(FX106),FX106*(1+PortfolioFrontier[[#This Row],[P45 Return]]),1+PortfolioFrontier[[#This Row],[P45 Return]])</f>
        <v>2.0169828076901632</v>
      </c>
      <c r="FY107" s="27">
        <f>MAX(FY106,PortfolioFrontier[[#This Row],[P45 Growth]])</f>
        <v>2.0670694821613385</v>
      </c>
      <c r="FZ107" s="27">
        <f>PortfolioFrontier[[#This Row],[P45 Growth]]/PortfolioFrontier[[#This Row],[P45 HWM]]-1</f>
        <v>-2.4230764811449035E-2</v>
      </c>
      <c r="GA107" s="28">
        <f>SUMPRODUCT(INDEX(PortfolioRef[[SPY]:[PE]],MATCH(GA$1,PortfolioRef[Reference '#]),0),AssetMonthlyReturns[[#This Row],[SPY]:[PE]])</f>
        <v>-3.325111966163552E-2</v>
      </c>
      <c r="GB107" s="27">
        <f>IF(ISNUMBER(GB106),GB106*(1+PortfolioFrontier[[#This Row],[P46 Return]]),1+PortfolioFrontier[[#This Row],[P46 Return]])</f>
        <v>2.0005926879251406</v>
      </c>
      <c r="GC107" s="27">
        <f>MAX(GC106,PortfolioFrontier[[#This Row],[P46 Growth]])</f>
        <v>2.069402642829985</v>
      </c>
      <c r="GD107" s="27">
        <f>PortfolioFrontier[[#This Row],[P46 Growth]]/PortfolioFrontier[[#This Row],[P46 HWM]]-1</f>
        <v>-3.3251119661635409E-2</v>
      </c>
      <c r="GE107" s="28">
        <f>SUMPRODUCT(INDEX(PortfolioRef[[SPY]:[PE]],MATCH(GE$1,PortfolioRef[Reference '#]),0),AssetMonthlyReturns[[#This Row],[SPY]:[PE]])</f>
        <v>-2.8151441155473089E-2</v>
      </c>
      <c r="GF107" s="27">
        <f>IF(ISNUMBER(GF106),GF106*(1+PortfolioFrontier[[#This Row],[P47 Return]]),1+PortfolioFrontier[[#This Row],[P47 Return]])</f>
        <v>1.9917237368404752</v>
      </c>
      <c r="GG107" s="27">
        <f>MAX(GG106,PortfolioFrontier[[#This Row],[P47 Growth]])</f>
        <v>2.0494178014818711</v>
      </c>
      <c r="GH107" s="27">
        <f>PortfolioFrontier[[#This Row],[P47 Growth]]/PortfolioFrontier[[#This Row],[P47 HWM]]-1</f>
        <v>-2.8151441155473078E-2</v>
      </c>
      <c r="GI107" s="28">
        <f>SUMPRODUCT(INDEX(PortfolioRef[[SPY]:[PE]],MATCH(GI$1,PortfolioRef[Reference '#]),0),AssetMonthlyReturns[[#This Row],[SPY]:[PE]])</f>
        <v>-2.3051762649310664E-2</v>
      </c>
      <c r="GJ107" s="27">
        <f>IF(ISNUMBER(GJ106),GJ106*(1+PortfolioFrontier[[#This Row],[P48 Return]]),1+PortfolioFrontier[[#This Row],[P48 Return]])</f>
        <v>1.9812056577880537</v>
      </c>
      <c r="GK107" s="27">
        <f>MAX(GK106,PortfolioFrontier[[#This Row],[P48 Growth]])</f>
        <v>2.0279535619622311</v>
      </c>
      <c r="GL107" s="27">
        <f>PortfolioFrontier[[#This Row],[P48 Growth]]/PortfolioFrontier[[#This Row],[P48 HWM]]-1</f>
        <v>-2.3051762649310636E-2</v>
      </c>
      <c r="GM107" s="28">
        <f>SUMPRODUCT(INDEX(PortfolioRef[[SPY]:[PE]],MATCH(GM$1,PortfolioRef[Reference '#]),0),AssetMonthlyReturns[[#This Row],[SPY]:[PE]])</f>
        <v>-3.7171796005659438E-2</v>
      </c>
      <c r="GN107" s="27">
        <f>IF(ISNUMBER(GN106),GN106*(1+PortfolioFrontier[[#This Row],[P49 Return]]),1+PortfolioFrontier[[#This Row],[P49 Return]])</f>
        <v>1.9725196415462989</v>
      </c>
      <c r="GO107" s="27">
        <f>MAX(GO106,PortfolioFrontier[[#This Row],[P49 Growth]])</f>
        <v>2.0486724769415803</v>
      </c>
      <c r="GP107" s="27">
        <f>PortfolioFrontier[[#This Row],[P49 Growth]]/PortfolioFrontier[[#This Row],[P49 HWM]]-1</f>
        <v>-3.7171796005659452E-2</v>
      </c>
      <c r="GQ107" s="28">
        <f>SUMPRODUCT(INDEX(PortfolioRef[[SPY]:[PE]],MATCH(GQ$1,PortfolioRef[Reference '#]),0),AssetMonthlyReturns[[#This Row],[SPY]:[PE]])</f>
        <v>-3.207211749949701E-2</v>
      </c>
      <c r="GR107" s="27">
        <f>IF(ISNUMBER(GR106),GR106*(1+PortfolioFrontier[[#This Row],[P50 Return]]),1+PortfolioFrontier[[#This Row],[P50 Return]])</f>
        <v>1.9650445673347219</v>
      </c>
      <c r="GS107" s="27">
        <f>MAX(GS106,PortfolioFrontier[[#This Row],[P50 Growth]])</f>
        <v>2.0301559680854639</v>
      </c>
      <c r="GT107" s="27">
        <f>PortfolioFrontier[[#This Row],[P50 Growth]]/PortfolioFrontier[[#This Row],[P50 HWM]]-1</f>
        <v>-3.207211749949701E-2</v>
      </c>
      <c r="GU107" s="28">
        <f>SUMPRODUCT(INDEX(PortfolioRef[[SPY]:[PE]],MATCH(GU$1,PortfolioRef[Reference '#]),0),AssetMonthlyReturns[[#This Row],[SPY]:[PE]])</f>
        <v>-2.6972438993334583E-2</v>
      </c>
      <c r="GV107" s="27">
        <f>IF(ISNUMBER(GV106),GV106*(1+PortfolioFrontier[[#This Row],[P51 Return]]),1+PortfolioFrontier[[#This Row],[P51 Return]])</f>
        <v>1.955925294560964</v>
      </c>
      <c r="GW107" s="27">
        <f>MAX(GW106,PortfolioFrontier[[#This Row],[P51 Growth]])</f>
        <v>2.0101437748972102</v>
      </c>
      <c r="GX107" s="27">
        <f>PortfolioFrontier[[#This Row],[P51 Growth]]/PortfolioFrontier[[#This Row],[P51 HWM]]-1</f>
        <v>-2.6972438993334569E-2</v>
      </c>
      <c r="GY107" s="28">
        <f>SUMPRODUCT(INDEX(PortfolioRef[[SPY]:[PE]],MATCH(GY$1,PortfolioRef[Reference '#]),0),AssetMonthlyReturns[[#This Row],[SPY]:[PE]])</f>
        <v>-3.2950588091915645E-2</v>
      </c>
      <c r="GZ107" s="27">
        <f>IF(ISNUMBER(GZ106),GZ106*(1+PortfolioFrontier[[#This Row],[P52 Return]]),1+PortfolioFrontier[[#This Row],[P52 Return]])</f>
        <v>2.0637872214503554</v>
      </c>
      <c r="HA107" s="27">
        <f>MAX(HA106,PortfolioFrontier[[#This Row],[P52 Growth]])</f>
        <v>2.1341073124467327</v>
      </c>
      <c r="HB107" s="27">
        <f>PortfolioFrontier[[#This Row],[P52 Growth]]/PortfolioFrontier[[#This Row],[P52 HWM]]-1</f>
        <v>-3.2950588091915534E-2</v>
      </c>
      <c r="HC107" s="28">
        <f>SUMPRODUCT(INDEX(PortfolioRef[[SPY]:[PE]],MATCH(HC$1,PortfolioRef[Reference '#]),0),AssetMonthlyReturns[[#This Row],[SPY]:[PE]])</f>
        <v>-2.7850909585753213E-2</v>
      </c>
      <c r="HD107" s="27">
        <f>IF(ISNUMBER(HD106),HD106*(1+PortfolioFrontier[[#This Row],[P53 Return]]),1+PortfolioFrontier[[#This Row],[P53 Return]])</f>
        <v>2.0546464079752402</v>
      </c>
      <c r="HE107" s="27">
        <f>MAX(HE106,PortfolioFrontier[[#This Row],[P53 Growth]])</f>
        <v>2.1135095719728807</v>
      </c>
      <c r="HF107" s="27">
        <f>PortfolioFrontier[[#This Row],[P53 Growth]]/PortfolioFrontier[[#This Row],[P53 HWM]]-1</f>
        <v>-2.7850909585753092E-2</v>
      </c>
      <c r="HG107" s="28">
        <f>SUMPRODUCT(INDEX(PortfolioRef[[SPY]:[PE]],MATCH(HG$1,PortfolioRef[Reference '#]),0),AssetMonthlyReturns[[#This Row],[SPY]:[PE]])</f>
        <v>-2.2751231079590789E-2</v>
      </c>
      <c r="HH107" s="27">
        <f>IF(ISNUMBER(HH106),HH106*(1+PortfolioFrontier[[#This Row],[P54 Return]]),1+PortfolioFrontier[[#This Row],[P54 Return]])</f>
        <v>2.0438053686154154</v>
      </c>
      <c r="HI107" s="27">
        <f>MAX(HI106,PortfolioFrontier[[#This Row],[P54 Growth]])</f>
        <v>2.0913869974717465</v>
      </c>
      <c r="HJ107" s="27">
        <f>PortfolioFrontier[[#This Row],[P54 Growth]]/PortfolioFrontier[[#This Row],[P54 HWM]]-1</f>
        <v>-2.2751231079590761E-2</v>
      </c>
      <c r="HK107" s="28">
        <f>SUMPRODUCT(INDEX(PortfolioRef[[SPY]:[PE]],MATCH(HK$1,PortfolioRef[Reference '#]),0),AssetMonthlyReturns[[#This Row],[SPY]:[PE]])</f>
        <v>-3.6871264435939563E-2</v>
      </c>
      <c r="HL107" s="27">
        <f>IF(ISNUMBER(HL106),HL106*(1+PortfolioFrontier[[#This Row],[P55 Return]]),1+PortfolioFrontier[[#This Row],[P55 Return]])</f>
        <v>2.0354496847252559</v>
      </c>
      <c r="HM107" s="27">
        <f>MAX(HM106,PortfolioFrontier[[#This Row],[P55 Growth]])</f>
        <v>2.1133723972353353</v>
      </c>
      <c r="HN107" s="27">
        <f>PortfolioFrontier[[#This Row],[P55 Growth]]/PortfolioFrontier[[#This Row],[P55 HWM]]-1</f>
        <v>-3.6871264435939466E-2</v>
      </c>
      <c r="HO107" s="28">
        <f>SUMPRODUCT(INDEX(PortfolioRef[[SPY]:[PE]],MATCH(HO$1,PortfolioRef[Reference '#]),0),AssetMonthlyReturns[[#This Row],[SPY]:[PE]])</f>
        <v>-3.1771585929777135E-2</v>
      </c>
      <c r="HP107" s="27">
        <f>IF(ISNUMBER(HP106),HP106*(1+PortfolioFrontier[[#This Row],[P56 Return]]),1+PortfolioFrontier[[#This Row],[P56 Return]])</f>
        <v>2.0277436360533203</v>
      </c>
      <c r="HQ107" s="27">
        <f>MAX(HQ106,PortfolioFrontier[[#This Row],[P56 Growth]])</f>
        <v>2.0942823063094425</v>
      </c>
      <c r="HR107" s="27">
        <f>PortfolioFrontier[[#This Row],[P56 Growth]]/PortfolioFrontier[[#This Row],[P56 HWM]]-1</f>
        <v>-3.1771585929777024E-2</v>
      </c>
      <c r="HS107" s="28">
        <f>SUMPRODUCT(INDEX(PortfolioRef[[SPY]:[PE]],MATCH(HS$1,PortfolioRef[Reference '#]),0),AssetMonthlyReturns[[#This Row],[SPY]:[PE]])</f>
        <v>-2.6671907423614707E-2</v>
      </c>
      <c r="HT107" s="27">
        <f>IF(ISNUMBER(HT106),HT106*(1+PortfolioFrontier[[#This Row],[P57 Return]]),1+PortfolioFrontier[[#This Row],[P57 Return]])</f>
        <v>2.0183419530143261</v>
      </c>
      <c r="HU107" s="27">
        <f>MAX(HU106,PortfolioFrontier[[#This Row],[P57 Growth]])</f>
        <v>2.0736501580590407</v>
      </c>
      <c r="HV107" s="27">
        <f>PortfolioFrontier[[#This Row],[P57 Growth]]/PortfolioFrontier[[#This Row],[P57 HWM]]-1</f>
        <v>-2.6671907423614694E-2</v>
      </c>
      <c r="HW107" s="28">
        <f>SUMPRODUCT(INDEX(PortfolioRef[[SPY]:[PE]],MATCH(HW$1,PortfolioRef[Reference '#]),0),AssetMonthlyReturns[[#This Row],[SPY]:[PE]])</f>
        <v>-4.0791940779963481E-2</v>
      </c>
      <c r="HX107" s="27">
        <f>IF(ISNUMBER(HX106),HX106*(1+PortfolioFrontier[[#This Row],[P58 Return]]),1+PortfolioFrontier[[#This Row],[P58 Return]])</f>
        <v>2.0057178309354531</v>
      </c>
      <c r="HY107" s="27">
        <f>MAX(HY106,PortfolioFrontier[[#This Row],[P58 Growth]])</f>
        <v>2.0910143650860982</v>
      </c>
      <c r="HZ107" s="27">
        <f>PortfolioFrontier[[#This Row],[P58 Growth]]/PortfolioFrontier[[#This Row],[P58 HWM]]-1</f>
        <v>-4.0791940779963509E-2</v>
      </c>
      <c r="IA107" s="28">
        <f>SUMPRODUCT(INDEX(PortfolioRef[[SPY]:[PE]],MATCH(IA$1,PortfolioRef[Reference '#]),0),AssetMonthlyReturns[[#This Row],[SPY]:[PE]])</f>
        <v>-3.5692262273801054E-2</v>
      </c>
      <c r="IB107" s="27">
        <f>IF(ISNUMBER(IB106),IB106*(1+PortfolioFrontier[[#This Row],[P59 Return]]),1+PortfolioFrontier[[#This Row],[P59 Return]])</f>
        <v>1.9994214350287955</v>
      </c>
      <c r="IC107" s="27">
        <f>MAX(IC106,PortfolioFrontier[[#This Row],[P59 Growth]])</f>
        <v>2.0734267255216219</v>
      </c>
      <c r="ID107" s="27">
        <f>PortfolioFrontier[[#This Row],[P59 Growth]]/PortfolioFrontier[[#This Row],[P59 HWM]]-1</f>
        <v>-3.5692262273801068E-2</v>
      </c>
      <c r="IE107" s="28">
        <f>SUMPRODUCT(INDEX(PortfolioRef[[SPY]:[PE]],MATCH(IE$1,PortfolioRef[Reference '#]),0),AssetMonthlyReturns[[#This Row],[SPY]:[PE]])</f>
        <v>-3.0592583767638633E-2</v>
      </c>
      <c r="IF107" s="27">
        <f>IF(ISNUMBER(IF106),IF106*(1+PortfolioFrontier[[#This Row],[P60 Return]]),1+PortfolioFrontier[[#This Row],[P60 Return]])</f>
        <v>1.9914369780639787</v>
      </c>
      <c r="IG107" s="27">
        <f>MAX(IG106,PortfolioFrontier[[#This Row],[P60 Growth]])</f>
        <v>2.0542827966014268</v>
      </c>
      <c r="IH107" s="27">
        <f>PortfolioFrontier[[#This Row],[P60 Growth]]/PortfolioFrontier[[#This Row],[P60 HWM]]-1</f>
        <v>-3.0592583767638626E-2</v>
      </c>
      <c r="II107" s="28">
        <f>SUMPRODUCT(INDEX(PortfolioRef[[SPY]:[PE]],MATCH(II$1,PortfolioRef[Reference '#]),0),AssetMonthlyReturns[[#This Row],[SPY]:[PE]])</f>
        <v>-2.5949635307211439E-2</v>
      </c>
      <c r="IJ107" s="27">
        <f>IF(ISNUMBER(IJ106),IJ106*(1+PortfolioFrontier[[#This Row],[P61 Return]]),1+PortfolioFrontier[[#This Row],[P61 Return]])</f>
        <v>1.7679863714944768</v>
      </c>
      <c r="IK107" s="27">
        <f>MAX(IK106,PortfolioFrontier[[#This Row],[P61 Growth]])</f>
        <v>1.8150872229816291</v>
      </c>
      <c r="IL107" s="27">
        <f>PortfolioFrontier[[#This Row],[P61 Growth]]/PortfolioFrontier[[#This Row],[P61 HWM]]-1</f>
        <v>-2.5949635307211394E-2</v>
      </c>
      <c r="IM107" s="28">
        <f>SUMPRODUCT(INDEX(PortfolioRef[[SPY]:[PE]],MATCH(IM$1,PortfolioRef[Reference '#]),0),AssetMonthlyReturns[[#This Row],[SPY]:[PE]])</f>
        <v>-2.5649103737491564E-2</v>
      </c>
      <c r="IN107" s="27">
        <f>IF(ISNUMBER(IN106),IN106*(1+PortfolioFrontier[[#This Row],[P62 Return]]),1+PortfolioFrontier[[#This Row],[P62 Return]])</f>
        <v>1.8244640645619188</v>
      </c>
      <c r="IO107" s="27">
        <f>MAX(IO106,PortfolioFrontier[[#This Row],[P62 Growth]])</f>
        <v>1.8724918010137221</v>
      </c>
      <c r="IP107" s="27">
        <f>PortfolioFrontier[[#This Row],[P62 Growth]]/PortfolioFrontier[[#This Row],[P62 HWM]]-1</f>
        <v>-2.5649103737491519E-2</v>
      </c>
      <c r="IQ107" s="28">
        <f>SUMPRODUCT(INDEX(PortfolioRef[[SPY]:[PE]],MATCH(IQ$1,PortfolioRef[Reference '#]),0),AssetMonthlyReturns[[#This Row],[SPY]:[PE]])</f>
        <v>-2.9569780081515482E-2</v>
      </c>
      <c r="IR107" s="27">
        <f>IF(ISNUMBER(IR106),IR106*(1+PortfolioFrontier[[#This Row],[P63 Return]]),1+PortfolioFrontier[[#This Row],[P63 Return]])</f>
        <v>1.8016492978722674</v>
      </c>
      <c r="IS107" s="27">
        <f>MAX(IS106,PortfolioFrontier[[#This Row],[P63 Growth]])</f>
        <v>1.8565469838971056</v>
      </c>
      <c r="IT107" s="27">
        <f>PortfolioFrontier[[#This Row],[P63 Growth]]/PortfolioFrontier[[#This Row],[P63 HWM]]-1</f>
        <v>-2.9569780081515451E-2</v>
      </c>
      <c r="IU107" s="28">
        <f>SUMPRODUCT(INDEX(PortfolioRef[[SPY]:[PE]],MATCH(IU$1,PortfolioRef[Reference '#]),0),AssetMonthlyReturns[[#This Row],[SPY]:[PE]])</f>
        <v>-2.4470101575353061E-2</v>
      </c>
      <c r="IV107" s="27">
        <f>IF(ISNUMBER(IV106),IV106*(1+PortfolioFrontier[[#This Row],[P64 Return]]),1+PortfolioFrontier[[#This Row],[P64 Return]])</f>
        <v>1.7918100398080372</v>
      </c>
      <c r="IW107" s="27">
        <f>MAX(IW106,PortfolioFrontier[[#This Row],[P64 Growth]])</f>
        <v>1.8367556368098772</v>
      </c>
      <c r="IX107" s="27">
        <f>PortfolioFrontier[[#This Row],[P64 Growth]]/PortfolioFrontier[[#This Row],[P64 HWM]]-1</f>
        <v>-2.4470101575353009E-2</v>
      </c>
      <c r="IY107" s="28">
        <f>SUMPRODUCT(INDEX(PortfolioRef[[SPY]:[PE]],MATCH(IY$1,PortfolioRef[Reference '#]),0),AssetMonthlyReturns[[#This Row],[SPY]:[PE]])</f>
        <v>-2.5348572167771689E-2</v>
      </c>
      <c r="IZ107" s="27">
        <f>IF(ISNUMBER(IZ106),IZ106*(1+PortfolioFrontier[[#This Row],[P65 Return]]),1+PortfolioFrontier[[#This Row],[P65 Return]])</f>
        <v>1.8821470693006834</v>
      </c>
      <c r="JA107" s="27">
        <f>MAX(JA106,PortfolioFrontier[[#This Row],[P65 Growth]])</f>
        <v>1.9310976371181872</v>
      </c>
      <c r="JB107" s="27">
        <f>PortfolioFrontier[[#This Row],[P65 Growth]]/PortfolioFrontier[[#This Row],[P65 HWM]]-1</f>
        <v>-2.5348572167771644E-2</v>
      </c>
      <c r="JC107" s="28">
        <f>SUMPRODUCT(INDEX(PortfolioRef[[SPY]:[PE]],MATCH(JC$1,PortfolioRef[Reference '#]),0),AssetMonthlyReturns[[#This Row],[SPY]:[PE]])</f>
        <v>-2.9269248511795607E-2</v>
      </c>
      <c r="JD107" s="27">
        <f>IF(ISNUMBER(JD106),JD106*(1+PortfolioFrontier[[#This Row],[P66 Return]]),1+PortfolioFrontier[[#This Row],[P66 Return]])</f>
        <v>1.8591800212430638</v>
      </c>
      <c r="JE107" s="27">
        <f>MAX(JE106,PortfolioFrontier[[#This Row],[P66 Growth]])</f>
        <v>1.9152375861100503</v>
      </c>
      <c r="JF107" s="27">
        <f>PortfolioFrontier[[#This Row],[P66 Growth]]/PortfolioFrontier[[#This Row],[P66 HWM]]-1</f>
        <v>-2.9269248511795576E-2</v>
      </c>
      <c r="JG107" s="28">
        <f>SUMPRODUCT(INDEX(PortfolioRef[[SPY]:[PE]],MATCH(JG$1,PortfolioRef[Reference '#]),0),AssetMonthlyReturns[[#This Row],[SPY]:[PE]])</f>
        <v>-2.4169570005633186E-2</v>
      </c>
      <c r="JH107" s="27">
        <f>IF(ISNUMBER(JH106),JH106*(1+PortfolioFrontier[[#This Row],[P67 Return]]),1+PortfolioFrontier[[#This Row],[P67 Return]])</f>
        <v>1.8490351865508599</v>
      </c>
      <c r="JI107" s="27">
        <f>MAX(JI106,PortfolioFrontier[[#This Row],[P67 Growth]])</f>
        <v>1.8948324726474595</v>
      </c>
      <c r="JJ107" s="27">
        <f>PortfolioFrontier[[#This Row],[P67 Growth]]/PortfolioFrontier[[#This Row],[P67 HWM]]-1</f>
        <v>-2.4169570005633134E-2</v>
      </c>
      <c r="JK107" s="28">
        <f>SUMPRODUCT(INDEX(PortfolioRef[[SPY]:[PE]],MATCH(JK$1,PortfolioRef[Reference '#]),0),AssetMonthlyReturns[[#This Row],[SPY]:[PE]])</f>
        <v>-3.3189924855819536E-2</v>
      </c>
      <c r="JL107" s="27">
        <f>IF(ISNUMBER(JL106),JL106*(1+PortfolioFrontier[[#This Row],[P68 Return]]),1+PortfolioFrontier[[#This Row],[P68 Return]])</f>
        <v>1.8348725212264176</v>
      </c>
      <c r="JM107" s="27">
        <f>MAX(JM106,PortfolioFrontier[[#This Row],[P68 Growth]])</f>
        <v>1.8978624327562814</v>
      </c>
      <c r="JN107" s="27">
        <f>PortfolioFrontier[[#This Row],[P68 Growth]]/PortfolioFrontier[[#This Row],[P68 HWM]]-1</f>
        <v>-3.3189924855819508E-2</v>
      </c>
      <c r="JO107" s="28">
        <f>SUMPRODUCT(INDEX(PortfolioRef[[SPY]:[PE]],MATCH(JO$1,PortfolioRef[Reference '#]),0),AssetMonthlyReturns[[#This Row],[SPY]:[PE]])</f>
        <v>-2.8090246349657105E-2</v>
      </c>
      <c r="JP107" s="27">
        <f>IF(ISNUMBER(JP106),JP106*(1+PortfolioFrontier[[#This Row],[P69 Return]]),1+PortfolioFrontier[[#This Row],[P69 Return]])</f>
        <v>1.8260327667155647</v>
      </c>
      <c r="JQ107" s="27">
        <f>MAX(JQ106,PortfolioFrontier[[#This Row],[P69 Growth]])</f>
        <v>1.8788089736287423</v>
      </c>
      <c r="JR107" s="27">
        <f>PortfolioFrontier[[#This Row],[P69 Growth]]/PortfolioFrontier[[#This Row],[P69 HWM]]-1</f>
        <v>-2.8090246349657066E-2</v>
      </c>
      <c r="JS107" s="28">
        <f>SUMPRODUCT(INDEX(PortfolioRef[[SPY]:[PE]],MATCH(JS$1,PortfolioRef[Reference '#]),0),AssetMonthlyReturns[[#This Row],[SPY]:[PE]])</f>
        <v>-2.299056784349468E-2</v>
      </c>
      <c r="JT107" s="27">
        <f>IF(ISNUMBER(JT106),JT106*(1+PortfolioFrontier[[#This Row],[P70 Return]]),1+PortfolioFrontier[[#This Row],[P70 Return]])</f>
        <v>1.8156893121929432</v>
      </c>
      <c r="JU107" s="27">
        <f>MAX(JU106,PortfolioFrontier[[#This Row],[P70 Growth]])</f>
        <v>1.8584153360579752</v>
      </c>
      <c r="JV107" s="27">
        <f>PortfolioFrontier[[#This Row],[P70 Growth]]/PortfolioFrontier[[#This Row],[P70 HWM]]-1</f>
        <v>-2.2990567843494736E-2</v>
      </c>
      <c r="JW107" s="28">
        <f>SUMPRODUCT(INDEX(PortfolioRef[[SPY]:[PE]],MATCH(JW$1,PortfolioRef[Reference '#]),0),AssetMonthlyReturns[[#This Row],[SPY]:[PE]])</f>
        <v>-2.8968716942075732E-2</v>
      </c>
      <c r="JX107" s="27">
        <f>IF(ISNUMBER(JX106),JX106*(1+PortfolioFrontier[[#This Row],[P71 Return]]),1+PortfolioFrontier[[#This Row],[P71 Return]])</f>
        <v>1.9179381903943975</v>
      </c>
      <c r="JY107" s="27">
        <f>MAX(JY106,PortfolioFrontier[[#This Row],[P71 Growth]])</f>
        <v>1.9751559232515354</v>
      </c>
      <c r="JZ107" s="27">
        <f>PortfolioFrontier[[#This Row],[P71 Growth]]/PortfolioFrontier[[#This Row],[P71 HWM]]-1</f>
        <v>-2.8968716942075701E-2</v>
      </c>
      <c r="KA107" s="28">
        <f>SUMPRODUCT(INDEX(PortfolioRef[[SPY]:[PE]],MATCH(KA$1,PortfolioRef[Reference '#]),0),AssetMonthlyReturns[[#This Row],[SPY]:[PE]])</f>
        <v>-2.3869038435913311E-2</v>
      </c>
      <c r="KB107" s="27">
        <f>IF(ISNUMBER(KB106),KB106*(1+PortfolioFrontier[[#This Row],[P72 Return]]),1+PortfolioFrontier[[#This Row],[P72 Return]])</f>
        <v>1.9074815033451431</v>
      </c>
      <c r="KC107" s="27">
        <f>MAX(KC106,PortfolioFrontier[[#This Row],[P72 Growth]])</f>
        <v>1.9541245780061343</v>
      </c>
      <c r="KD107" s="27">
        <f>PortfolioFrontier[[#This Row],[P72 Growth]]/PortfolioFrontier[[#This Row],[P72 HWM]]-1</f>
        <v>-2.3869038435913259E-2</v>
      </c>
      <c r="KE107" s="28">
        <f>SUMPRODUCT(INDEX(PortfolioRef[[SPY]:[PE]],MATCH(KE$1,PortfolioRef[Reference '#]),0),AssetMonthlyReturns[[#This Row],[SPY]:[PE]])</f>
        <v>-3.2889393286099661E-2</v>
      </c>
      <c r="KF107" s="27">
        <f>IF(ISNUMBER(KF106),KF106*(1+PortfolioFrontier[[#This Row],[P73 Return]]),1+PortfolioFrontier[[#This Row],[P73 Return]])</f>
        <v>1.893442037459651</v>
      </c>
      <c r="KG107" s="27">
        <f>MAX(KG106,PortfolioFrontier[[#This Row],[P73 Growth]])</f>
        <v>1.9578340102103611</v>
      </c>
      <c r="KH107" s="27">
        <f>PortfolioFrontier[[#This Row],[P73 Growth]]/PortfolioFrontier[[#This Row],[P73 HWM]]-1</f>
        <v>-3.2889393286099633E-2</v>
      </c>
      <c r="KI107" s="28">
        <f>SUMPRODUCT(INDEX(PortfolioRef[[SPY]:[PE]],MATCH(KI$1,PortfolioRef[Reference '#]),0),AssetMonthlyReturns[[#This Row],[SPY]:[PE]])</f>
        <v>-2.7789714779937229E-2</v>
      </c>
      <c r="KJ107" s="27">
        <f>IF(ISNUMBER(KJ106),KJ106*(1+PortfolioFrontier[[#This Row],[P74 Return]]),1+PortfolioFrontier[[#This Row],[P74 Return]])</f>
        <v>1.8843281747643044</v>
      </c>
      <c r="KK107" s="27">
        <f>MAX(KK106,PortfolioFrontier[[#This Row],[P74 Growth]])</f>
        <v>1.9381899198256074</v>
      </c>
      <c r="KL107" s="27">
        <f>PortfolioFrontier[[#This Row],[P74 Growth]]/PortfolioFrontier[[#This Row],[P74 HWM]]-1</f>
        <v>-2.7789714779937191E-2</v>
      </c>
      <c r="KM107" s="28">
        <f>SUMPRODUCT(INDEX(PortfolioRef[[SPY]:[PE]],MATCH(KM$1,PortfolioRef[Reference '#]),0),AssetMonthlyReturns[[#This Row],[SPY]:[PE]])</f>
        <v>-2.2690036273774805E-2</v>
      </c>
      <c r="KN107" s="27">
        <f>IF(ISNUMBER(KN106),KN106*(1+PortfolioFrontier[[#This Row],[P75 Return]]),1+PortfolioFrontier[[#This Row],[P75 Return]])</f>
        <v>1.8736635321384261</v>
      </c>
      <c r="KO107" s="27">
        <f>MAX(KO106,PortfolioFrontier[[#This Row],[P75 Growth]])</f>
        <v>1.9171640540680062</v>
      </c>
      <c r="KP107" s="27">
        <f>PortfolioFrontier[[#This Row],[P75 Growth]]/PortfolioFrontier[[#This Row],[P75 HWM]]-1</f>
        <v>-2.269003627377475E-2</v>
      </c>
      <c r="KQ107" s="28">
        <f>SUMPRODUCT(INDEX(PortfolioRef[[SPY]:[PE]],MATCH(KQ$1,PortfolioRef[Reference '#]),0),AssetMonthlyReturns[[#This Row],[SPY]:[PE]])</f>
        <v>-3.6810069630123579E-2</v>
      </c>
      <c r="KR107" s="27">
        <f>IF(ISNUMBER(KR106),KR106*(1+PortfolioFrontier[[#This Row],[P76 Return]]),1+PortfolioFrontier[[#This Row],[P76 Return]])</f>
        <v>1.8676047113337872</v>
      </c>
      <c r="KS107" s="27">
        <f>MAX(KS106,PortfolioFrontier[[#This Row],[P76 Growth]])</f>
        <v>1.9389786504688693</v>
      </c>
      <c r="KT107" s="27">
        <f>PortfolioFrontier[[#This Row],[P76 Growth]]/PortfolioFrontier[[#This Row],[P76 HWM]]-1</f>
        <v>-3.6810069630123565E-2</v>
      </c>
      <c r="KU107" s="28">
        <f>SUMPRODUCT(INDEX(PortfolioRef[[SPY]:[PE]],MATCH(KU$1,PortfolioRef[Reference '#]),0),AssetMonthlyReturns[[#This Row],[SPY]:[PE]])</f>
        <v>-3.1710391123961151E-2</v>
      </c>
      <c r="KV107" s="27">
        <f>IF(ISNUMBER(KV106),KV106*(1+PortfolioFrontier[[#This Row],[P77 Return]]),1+PortfolioFrontier[[#This Row],[P77 Return]])</f>
        <v>1.8598140376433265</v>
      </c>
      <c r="KW107" s="27">
        <f>MAX(KW106,PortfolioFrontier[[#This Row],[P77 Growth]])</f>
        <v>1.9207208469397312</v>
      </c>
      <c r="KX107" s="27">
        <f>PortfolioFrontier[[#This Row],[P77 Growth]]/PortfolioFrontier[[#This Row],[P77 HWM]]-1</f>
        <v>-3.1710391123961124E-2</v>
      </c>
      <c r="KY107" s="28">
        <f>SUMPRODUCT(INDEX(PortfolioRef[[SPY]:[PE]],MATCH(KY$1,PortfolioRef[Reference '#]),0),AssetMonthlyReturns[[#This Row],[SPY]:[PE]])</f>
        <v>-2.6610712617798724E-2</v>
      </c>
      <c r="KZ107" s="27">
        <f>IF(ISNUMBER(KZ106),KZ106*(1+PortfolioFrontier[[#This Row],[P78 Return]]),1+PortfolioFrontier[[#This Row],[P78 Return]])</f>
        <v>1.8504757907469422</v>
      </c>
      <c r="LA107" s="27">
        <f>MAX(LA106,PortfolioFrontier[[#This Row],[P78 Growth]])</f>
        <v>1.9010644710540696</v>
      </c>
      <c r="LB107" s="27">
        <f>PortfolioFrontier[[#This Row],[P78 Growth]]/PortfolioFrontier[[#This Row],[P78 HWM]]-1</f>
        <v>-2.6610712617798682E-2</v>
      </c>
      <c r="LC107" s="28">
        <f>SUMPRODUCT(INDEX(PortfolioRef[[SPY]:[PE]],MATCH(LC$1,PortfolioRef[Reference '#]),0),AssetMonthlyReturns[[#This Row],[SPY]:[PE]])</f>
        <v>-3.2588861716379786E-2</v>
      </c>
      <c r="LD107" s="27">
        <f>IF(ISNUMBER(LD106),LD106*(1+PortfolioFrontier[[#This Row],[P79 Return]]),1+PortfolioFrontier[[#This Row],[P79 Return]])</f>
        <v>1.9532608308545181</v>
      </c>
      <c r="LE107" s="27">
        <f>MAX(LE106,PortfolioFrontier[[#This Row],[P79 Growth]])</f>
        <v>2.0190596878179337</v>
      </c>
      <c r="LF107" s="27">
        <f>PortfolioFrontier[[#This Row],[P79 Growth]]/PortfolioFrontier[[#This Row],[P79 HWM]]-1</f>
        <v>-3.2588861716379758E-2</v>
      </c>
      <c r="LG107" s="28">
        <f>SUMPRODUCT(INDEX(PortfolioRef[[SPY]:[PE]],MATCH(LG$1,PortfolioRef[Reference '#]),0),AssetMonthlyReturns[[#This Row],[SPY]:[PE]])</f>
        <v>-2.7489183210217354E-2</v>
      </c>
      <c r="LH107" s="27">
        <f>IF(ISNUMBER(LH106),LH106*(1+PortfolioFrontier[[#This Row],[P80 Return]]),1+PortfolioFrontier[[#This Row],[P80 Return]])</f>
        <v>1.9438672458268789</v>
      </c>
      <c r="LI107" s="27">
        <f>MAX(LI106,PortfolioFrontier[[#This Row],[P80 Growth]])</f>
        <v>1.9988129820946392</v>
      </c>
      <c r="LJ107" s="27">
        <f>PortfolioFrontier[[#This Row],[P80 Growth]]/PortfolioFrontier[[#This Row],[P80 HWM]]-1</f>
        <v>-2.7489183210217316E-2</v>
      </c>
      <c r="LK107" s="28">
        <f>SUMPRODUCT(INDEX(PortfolioRef[[SPY]:[PE]],MATCH(LK$1,PortfolioRef[Reference '#]),0),AssetMonthlyReturns[[#This Row],[SPY]:[PE]])</f>
        <v>-2.238950470405493E-2</v>
      </c>
      <c r="LL107" s="27">
        <f>IF(ISNUMBER(LL106),LL106*(1+PortfolioFrontier[[#This Row],[P81 Return]]),1+PortfolioFrontier[[#This Row],[P81 Return]])</f>
        <v>1.9328748165233831</v>
      </c>
      <c r="LM107" s="27">
        <f>MAX(LM106,PortfolioFrontier[[#This Row],[P81 Growth]])</f>
        <v>1.9771420477009689</v>
      </c>
      <c r="LN107" s="27">
        <f>PortfolioFrontier[[#This Row],[P81 Growth]]/PortfolioFrontier[[#This Row],[P81 HWM]]-1</f>
        <v>-2.2389504704054985E-2</v>
      </c>
      <c r="LO107" s="28">
        <f>SUMPRODUCT(INDEX(PortfolioRef[[SPY]:[PE]],MATCH(LO$1,PortfolioRef[Reference '#]),0),AssetMonthlyReturns[[#This Row],[SPY]:[PE]])</f>
        <v>-3.6509538060403704E-2</v>
      </c>
      <c r="LP107" s="27">
        <f>IF(ISNUMBER(LP106),LP106*(1+PortfolioFrontier[[#This Row],[P82 Return]]),1+PortfolioFrontier[[#This Row],[P82 Return]])</f>
        <v>1.9271971958328051</v>
      </c>
      <c r="LQ107" s="27">
        <f>MAX(LQ106,PortfolioFrontier[[#This Row],[P82 Growth]])</f>
        <v>2.0002244671454008</v>
      </c>
      <c r="LR107" s="27">
        <f>PortfolioFrontier[[#This Row],[P82 Growth]]/PortfolioFrontier[[#This Row],[P82 HWM]]-1</f>
        <v>-3.650953806040369E-2</v>
      </c>
      <c r="LS107" s="28">
        <f>SUMPRODUCT(INDEX(PortfolioRef[[SPY]:[PE]],MATCH(LS$1,PortfolioRef[Reference '#]),0),AssetMonthlyReturns[[#This Row],[SPY]:[PE]])</f>
        <v>-3.1409859554241276E-2</v>
      </c>
      <c r="LT107" s="27">
        <f>IF(ISNUMBER(LT106),LT106*(1+PortfolioFrontier[[#This Row],[P83 Return]]),1+PortfolioFrontier[[#This Row],[P83 Return]])</f>
        <v>1.9191654087819701</v>
      </c>
      <c r="LU107" s="27">
        <f>MAX(LU106,PortfolioFrontier[[#This Row],[P83 Growth]])</f>
        <v>1.9814009338343495</v>
      </c>
      <c r="LV107" s="27">
        <f>PortfolioFrontier[[#This Row],[P83 Growth]]/PortfolioFrontier[[#This Row],[P83 HWM]]-1</f>
        <v>-3.1409859554241248E-2</v>
      </c>
      <c r="LW107" s="28">
        <f>SUMPRODUCT(INDEX(PortfolioRef[[SPY]:[PE]],MATCH(LW$1,PortfolioRef[Reference '#]),0),AssetMonthlyReturns[[#This Row],[SPY]:[PE]])</f>
        <v>-2.6310181048078848E-2</v>
      </c>
      <c r="LX107" s="27">
        <f>IF(ISNUMBER(LX106),LX106*(1+PortfolioFrontier[[#This Row],[P84 Return]]),1+PortfolioFrontier[[#This Row],[P84 Return]])</f>
        <v>1.9095376216203035</v>
      </c>
      <c r="LY107" s="27">
        <f>MAX(LY106,PortfolioFrontier[[#This Row],[P84 Growth]])</f>
        <v>1.9611354503795961</v>
      </c>
      <c r="LZ107" s="27">
        <f>PortfolioFrontier[[#This Row],[P84 Growth]]/PortfolioFrontier[[#This Row],[P84 HWM]]-1</f>
        <v>-2.6310181048078807E-2</v>
      </c>
      <c r="MA107" s="28">
        <f>SUMPRODUCT(INDEX(PortfolioRef[[SPY]:[PE]],MATCH(MA$1,PortfolioRef[Reference '#]),0),AssetMonthlyReturns[[#This Row],[SPY]:[PE]])</f>
        <v>-4.0430214404427622E-2</v>
      </c>
      <c r="MB107" s="27">
        <f>IF(ISNUMBER(MB106),MB106*(1+PortfolioFrontier[[#This Row],[P85 Return]]),1+PortfolioFrontier[[#This Row],[P85 Return]])</f>
        <v>1.8997940650369549</v>
      </c>
      <c r="MC107" s="27">
        <f>MAX(MC106,PortfolioFrontier[[#This Row],[P85 Growth]])</f>
        <v>1.9798393963163579</v>
      </c>
      <c r="MD107" s="27">
        <f>PortfolioFrontier[[#This Row],[P85 Growth]]/PortfolioFrontier[[#This Row],[P85 HWM]]-1</f>
        <v>-4.0430214404427622E-2</v>
      </c>
      <c r="ME107" s="28">
        <f>SUMPRODUCT(INDEX(PortfolioRef[[SPY]:[PE]],MATCH(ME$1,PortfolioRef[Reference '#]),0),AssetMonthlyReturns[[#This Row],[SPY]:[PE]])</f>
        <v>-3.5330535898265195E-2</v>
      </c>
      <c r="MF107" s="27">
        <f>IF(ISNUMBER(MF106),MF106*(1+PortfolioFrontier[[#This Row],[P86 Return]]),1+PortfolioFrontier[[#This Row],[P86 Return]])</f>
        <v>1.8931017743015117</v>
      </c>
      <c r="MG107" s="27">
        <f>MAX(MG106,PortfolioFrontier[[#This Row],[P86 Growth]])</f>
        <v>1.9624356784883819</v>
      </c>
      <c r="MH107" s="27">
        <f>PortfolioFrontier[[#This Row],[P86 Growth]]/PortfolioFrontier[[#This Row],[P86 HWM]]-1</f>
        <v>-3.5330535898265181E-2</v>
      </c>
      <c r="MI107" s="28">
        <f>SUMPRODUCT(INDEX(PortfolioRef[[SPY]:[PE]],MATCH(MI$1,PortfolioRef[Reference '#]),0),AssetMonthlyReturns[[#This Row],[SPY]:[PE]])</f>
        <v>-3.0230857392102774E-2</v>
      </c>
      <c r="MJ107" s="27">
        <f>IF(ISNUMBER(MJ106),MJ106*(1+PortfolioFrontier[[#This Row],[P87 Return]]),1+PortfolioFrontier[[#This Row],[P87 Return]])</f>
        <v>1.8848191612165865</v>
      </c>
      <c r="MK107" s="27">
        <f>MAX(MK106,PortfolioFrontier[[#This Row],[P87 Growth]])</f>
        <v>1.9435751029857915</v>
      </c>
      <c r="ML107" s="27">
        <f>PortfolioFrontier[[#This Row],[P87 Growth]]/PortfolioFrontier[[#This Row],[P87 HWM]]-1</f>
        <v>-3.0230857392102739E-2</v>
      </c>
      <c r="MM107" s="28">
        <f>SUMPRODUCT(INDEX(PortfolioRef[[SPY]:[PE]],MATCH(MM$1,PortfolioRef[Reference '#]),0),AssetMonthlyReturns[[#This Row],[SPY]:[PE]])</f>
        <v>-3.6209006490683829E-2</v>
      </c>
      <c r="MN107" s="27">
        <f>IF(ISNUMBER(MN106),MN106*(1+PortfolioFrontier[[#This Row],[P88 Return]]),1+PortfolioFrontier[[#This Row],[P88 Return]])</f>
        <v>1.9880604533227662</v>
      </c>
      <c r="MO107" s="27">
        <f>MAX(MO106,PortfolioFrontier[[#This Row],[P88 Growth]])</f>
        <v>2.0627506033065552</v>
      </c>
      <c r="MP107" s="27">
        <f>PortfolioFrontier[[#This Row],[P88 Growth]]/PortfolioFrontier[[#This Row],[P88 HWM]]-1</f>
        <v>-3.6209006490683815E-2</v>
      </c>
      <c r="MQ107" s="28">
        <f>SUMPRODUCT(INDEX(PortfolioRef[[SPY]:[PE]],MATCH(MQ$1,PortfolioRef[Reference '#]),0),AssetMonthlyReturns[[#This Row],[SPY]:[PE]])</f>
        <v>-3.1109327984521404E-2</v>
      </c>
      <c r="MR107" s="27">
        <f>IF(ISNUMBER(MR106),MR106*(1+PortfolioFrontier[[#This Row],[P89 Return]]),1+PortfolioFrontier[[#This Row],[P89 Return]])</f>
        <v>1.979782631783215</v>
      </c>
      <c r="MS107" s="27">
        <f>MAX(MS106,PortfolioFrontier[[#This Row],[P89 Growth]])</f>
        <v>2.0433498731749444</v>
      </c>
      <c r="MT107" s="27">
        <f>PortfolioFrontier[[#This Row],[P89 Growth]]/PortfolioFrontier[[#This Row],[P89 HWM]]-1</f>
        <v>-3.1109327984521373E-2</v>
      </c>
      <c r="MU107" s="28">
        <f>SUMPRODUCT(INDEX(PortfolioRef[[SPY]:[PE]],MATCH(MU$1,PortfolioRef[Reference '#]),0),AssetMonthlyReturns[[#This Row],[SPY]:[PE]])</f>
        <v>-2.6009649478358973E-2</v>
      </c>
      <c r="MV107" s="27">
        <f>IF(ISNUMBER(MV106),MV106*(1+PortfolioFrontier[[#This Row],[P90 Return]]),1+PortfolioFrontier[[#This Row],[P90 Return]])</f>
        <v>1.9698593712257122</v>
      </c>
      <c r="MW107" s="27">
        <f>MAX(MW106,PortfolioFrontier[[#This Row],[P90 Growth]])</f>
        <v>2.0224629229342082</v>
      </c>
      <c r="MX107" s="27">
        <f>PortfolioFrontier[[#This Row],[P90 Growth]]/PortfolioFrontier[[#This Row],[P90 HWM]]-1</f>
        <v>-2.6009649478358932E-2</v>
      </c>
      <c r="MY107" s="28">
        <f>SUMPRODUCT(INDEX(PortfolioRef[[SPY]:[PE]],MATCH(MY$1,PortfolioRef[Reference '#]),0),AssetMonthlyReturns[[#This Row],[SPY]:[PE]])</f>
        <v>-4.0129682834707747E-2</v>
      </c>
      <c r="MZ107" s="27">
        <f>IF(ISNUMBER(MZ106),MZ106*(1+PortfolioFrontier[[#This Row],[P91 Return]]),1+PortfolioFrontier[[#This Row],[P91 Return]])</f>
        <v>1.9603920926976175</v>
      </c>
      <c r="NA107" s="27">
        <f>MAX(NA106,PortfolioFrontier[[#This Row],[P91 Growth]])</f>
        <v>2.042350990170303</v>
      </c>
      <c r="NB107" s="27">
        <f>PortfolioFrontier[[#This Row],[P91 Growth]]/PortfolioFrontier[[#This Row],[P91 HWM]]-1</f>
        <v>-4.0129682834707747E-2</v>
      </c>
      <c r="NC107" s="28">
        <f>SUMPRODUCT(INDEX(PortfolioRef[[SPY]:[PE]],MATCH(NC$1,PortfolioRef[Reference '#]),0),AssetMonthlyReturns[[#This Row],[SPY]:[PE]])</f>
        <v>-3.5030004328545319E-2</v>
      </c>
      <c r="ND107" s="27">
        <f>IF(ISNUMBER(ND106),ND106*(1+PortfolioFrontier[[#This Row],[P92 Return]]),1+PortfolioFrontier[[#This Row],[P92 Return]])</f>
        <v>1.9534932004202081</v>
      </c>
      <c r="NE107" s="27">
        <f>MAX(NE106,PortfolioFrontier[[#This Row],[P92 Growth]])</f>
        <v>2.0244082294609687</v>
      </c>
      <c r="NF107" s="27">
        <f>PortfolioFrontier[[#This Row],[P92 Growth]]/PortfolioFrontier[[#This Row],[P92 HWM]]-1</f>
        <v>-3.5030004328545306E-2</v>
      </c>
      <c r="NG107" s="28">
        <f>SUMPRODUCT(INDEX(PortfolioRef[[SPY]:[PE]],MATCH(NG$1,PortfolioRef[Reference '#]),0),AssetMonthlyReturns[[#This Row],[SPY]:[PE]])</f>
        <v>-2.9930325822382899E-2</v>
      </c>
      <c r="NH107" s="27">
        <f>IF(ISNUMBER(NH106),NH106*(1+PortfolioFrontier[[#This Row],[P93 Return]]),1+PortfolioFrontier[[#This Row],[P93 Return]])</f>
        <v>1.9449542470727181</v>
      </c>
      <c r="NI107" s="27">
        <f>MAX(NI106,PortfolioFrontier[[#This Row],[P93 Growth]])</f>
        <v>2.0049634565904411</v>
      </c>
      <c r="NJ107" s="27">
        <f>PortfolioFrontier[[#This Row],[P93 Growth]]/PortfolioFrontier[[#This Row],[P93 HWM]]-1</f>
        <v>-2.9930325822382864E-2</v>
      </c>
      <c r="NK107" s="28">
        <f>SUMPRODUCT(INDEX(PortfolioRef[[SPY]:[PE]],MATCH(NK$1,PortfolioRef[Reference '#]),0),AssetMonthlyReturns[[#This Row],[SPY]:[PE]])</f>
        <v>-4.4050359178731673E-2</v>
      </c>
      <c r="NL107" s="27">
        <f>IF(ISNUMBER(NL106),NL106*(1+PortfolioFrontier[[#This Row],[P94 Return]]),1+PortfolioFrontier[[#This Row],[P94 Return]])</f>
        <v>1.9313884065316342</v>
      </c>
      <c r="NM107" s="27">
        <f>MAX(NM106,PortfolioFrontier[[#This Row],[P94 Growth]])</f>
        <v>2.0203871878359139</v>
      </c>
      <c r="NN107" s="27">
        <f>PortfolioFrontier[[#This Row],[P94 Growth]]/PortfolioFrontier[[#This Row],[P94 HWM]]-1</f>
        <v>-4.4050359178731679E-2</v>
      </c>
      <c r="NO107" s="28">
        <f>SUMPRODUCT(INDEX(PortfolioRef[[SPY]:[PE]],MATCH(NO$1,PortfolioRef[Reference '#]),0),AssetMonthlyReturns[[#This Row],[SPY]:[PE]])</f>
        <v>-3.8950680672569238E-2</v>
      </c>
      <c r="NP107" s="27">
        <f>IF(ISNUMBER(NP106),NP106*(1+PortfolioFrontier[[#This Row],[P95 Return]]),1+PortfolioFrontier[[#This Row],[P95 Return]])</f>
        <v>1.9258434080697167</v>
      </c>
      <c r="NQ107" s="27">
        <f>MAX(NQ106,PortfolioFrontier[[#This Row],[P95 Growth]])</f>
        <v>2.0038965423933455</v>
      </c>
      <c r="NR107" s="27">
        <f>PortfolioFrontier[[#This Row],[P95 Growth]]/PortfolioFrontier[[#This Row],[P95 HWM]]-1</f>
        <v>-3.8950680672569238E-2</v>
      </c>
      <c r="NS107" s="28">
        <f>SUMPRODUCT(INDEX(PortfolioRef[[SPY]:[PE]],MATCH(NS$1,PortfolioRef[Reference '#]),0),AssetMonthlyReturns[[#This Row],[SPY]:[PE]])</f>
        <v>-3.3851002166406817E-2</v>
      </c>
      <c r="NT107" s="27">
        <f>IF(ISNUMBER(NT106),NT106*(1+PortfolioFrontier[[#This Row],[P96 Return]]),1+PortfolioFrontier[[#This Row],[P96 Return]])</f>
        <v>1.918666594145525</v>
      </c>
      <c r="NU107" s="27">
        <f>MAX(NU106,PortfolioFrontier[[#This Row],[P96 Growth]])</f>
        <v>1.985890994502683</v>
      </c>
      <c r="NV107" s="27">
        <f>PortfolioFrontier[[#This Row],[P96 Growth]]/PortfolioFrontier[[#This Row],[P96 HWM]]-1</f>
        <v>-3.3851002166406796E-2</v>
      </c>
      <c r="NW107" s="28">
        <f>SUMPRODUCT(INDEX(PortfolioRef[[SPY]:[PE]],MATCH(NW$1,PortfolioRef[Reference '#]),0),AssetMonthlyReturns[[#This Row],[SPY]:[PE]])</f>
        <v>-2.558790893167558E-2</v>
      </c>
      <c r="NX107" s="27">
        <f>IF(ISNUMBER(NX106),NX106*(1+PortfolioFrontier[[#This Row],[P97 Return]]),1+PortfolioFrontier[[#This Row],[P97 Return]])</f>
        <v>1.6711598423786118</v>
      </c>
      <c r="NY107" s="27">
        <f>MAX(NY106,PortfolioFrontier[[#This Row],[P97 Growth]])</f>
        <v>1.7150442381584041</v>
      </c>
      <c r="NZ107" s="27">
        <f>PortfolioFrontier[[#This Row],[P97 Growth]]/PortfolioFrontier[[#This Row],[P97 HWM]]-1</f>
        <v>-2.5587908931675618E-2</v>
      </c>
      <c r="OA107" s="28">
        <f>SUMPRODUCT(INDEX(PortfolioRef[[SPY]:[PE]],MATCH(OA$1,PortfolioRef[Reference '#]),0),AssetMonthlyReturns[[#This Row],[SPY]:[PE]])</f>
        <v>-2.5287377361955705E-2</v>
      </c>
      <c r="OB107" s="27">
        <f>IF(ISNUMBER(OB106),OB106*(1+PortfolioFrontier[[#This Row],[P98 Return]]),1+PortfolioFrontier[[#This Row],[P98 Return]])</f>
        <v>1.7245543755261763</v>
      </c>
      <c r="OC107" s="27">
        <f>MAX(OC106,PortfolioFrontier[[#This Row],[P98 Growth]])</f>
        <v>1.7692952111964009</v>
      </c>
      <c r="OD107" s="27">
        <f>PortfolioFrontier[[#This Row],[P98 Growth]]/PortfolioFrontier[[#This Row],[P98 HWM]]-1</f>
        <v>-2.5287377361955743E-2</v>
      </c>
      <c r="OE107" s="28">
        <f>SUMPRODUCT(INDEX(PortfolioRef[[SPY]:[PE]],MATCH(OE$1,PortfolioRef[Reference '#]),0),AssetMonthlyReturns[[#This Row],[SPY]:[PE]])</f>
        <v>-2.9208053705979623E-2</v>
      </c>
      <c r="OF107" s="27">
        <f>IF(ISNUMBER(OF106),OF106*(1+PortfolioFrontier[[#This Row],[P99 Return]]),1+PortfolioFrontier[[#This Row],[P99 Return]])</f>
        <v>1.7036510353049776</v>
      </c>
      <c r="OG107" s="27">
        <f>MAX(OG106,PortfolioFrontier[[#This Row],[P99 Growth]])</f>
        <v>1.7549084969324611</v>
      </c>
      <c r="OH107" s="27">
        <f>PortfolioFrontier[[#This Row],[P99 Growth]]/PortfolioFrontier[[#This Row],[P99 HWM]]-1</f>
        <v>-2.9208053705979675E-2</v>
      </c>
      <c r="OI107" s="28">
        <f>SUMPRODUCT(INDEX(PortfolioRef[[SPY]:[PE]],MATCH(OI$1,PortfolioRef[Reference '#]),0),AssetMonthlyReturns[[#This Row],[SPY]:[PE]])</f>
        <v>-2.4108375199817202E-2</v>
      </c>
      <c r="OJ107" s="27">
        <f>IF(ISNUMBER(OJ106),OJ106*(1+PortfolioFrontier[[#This Row],[P100 Return]]),1+PortfolioFrontier[[#This Row],[P100 Return]])</f>
        <v>1.6937023874489519</v>
      </c>
      <c r="OK107" s="27">
        <f>MAX(OK106,PortfolioFrontier[[#This Row],[P100 Growth]])</f>
        <v>1.7355435218493072</v>
      </c>
      <c r="OL107" s="27">
        <f>PortfolioFrontier[[#This Row],[P100 Growth]]/PortfolioFrontier[[#This Row],[P100 HWM]]-1</f>
        <v>-2.4108375199817234E-2</v>
      </c>
      <c r="OM107" s="28">
        <f>SUMPRODUCT(INDEX(PortfolioRef[[SPY]:[PE]],MATCH(OM$1,PortfolioRef[Reference '#]),0),AssetMonthlyReturns[[#This Row],[SPY]:[PE]])</f>
        <v>-2.498684579223583E-2</v>
      </c>
      <c r="ON107" s="27">
        <f>IF(ISNUMBER(ON106),ON106*(1+PortfolioFrontier[[#This Row],[P101 Return]]),1+PortfolioFrontier[[#This Row],[P101 Return]])</f>
        <v>1.779087794571818</v>
      </c>
      <c r="OO107" s="27">
        <f>MAX(OO106,PortfolioFrontier[[#This Row],[P101 Growth]])</f>
        <v>1.8246808126577487</v>
      </c>
      <c r="OP107" s="27">
        <f>PortfolioFrontier[[#This Row],[P101 Growth]]/PortfolioFrontier[[#This Row],[P101 HWM]]-1</f>
        <v>-2.4986845792235868E-2</v>
      </c>
      <c r="OQ107" s="28">
        <f>SUMPRODUCT(INDEX(PortfolioRef[[SPY]:[PE]],MATCH(OQ$1,PortfolioRef[Reference '#]),0),AssetMonthlyReturns[[#This Row],[SPY]:[PE]])</f>
        <v>-2.8907522136259748E-2</v>
      </c>
      <c r="OR107" s="27">
        <f>IF(ISNUMBER(OR106),OR106*(1+PortfolioFrontier[[#This Row],[P102 Return]]),1+PortfolioFrontier[[#This Row],[P102 Return]])</f>
        <v>1.7580622911783019</v>
      </c>
      <c r="OS107" s="27">
        <f>MAX(OS106,PortfolioFrontier[[#This Row],[P102 Growth]])</f>
        <v>1.8103963641503833</v>
      </c>
      <c r="OT107" s="27">
        <f>PortfolioFrontier[[#This Row],[P102 Growth]]/PortfolioFrontier[[#This Row],[P102 HWM]]-1</f>
        <v>-2.89075221362598E-2</v>
      </c>
      <c r="OU107" s="28">
        <f>SUMPRODUCT(INDEX(PortfolioRef[[SPY]:[PE]],MATCH(OU$1,PortfolioRef[Reference '#]),0),AssetMonthlyReturns[[#This Row],[SPY]:[PE]])</f>
        <v>-2.3807843630097327E-2</v>
      </c>
      <c r="OV107" s="27">
        <f>IF(ISNUMBER(OV106),OV106*(1+PortfolioFrontier[[#This Row],[P103 Return]]),1+PortfolioFrontier[[#This Row],[P103 Return]])</f>
        <v>1.7478043795070324</v>
      </c>
      <c r="OW107" s="27">
        <f>MAX(OW106,PortfolioFrontier[[#This Row],[P103 Growth]])</f>
        <v>1.7904306730003547</v>
      </c>
      <c r="OX107" s="27">
        <f>PortfolioFrontier[[#This Row],[P103 Growth]]/PortfolioFrontier[[#This Row],[P103 HWM]]-1</f>
        <v>-2.3807843630097358E-2</v>
      </c>
      <c r="OY107" s="28">
        <f>SUMPRODUCT(INDEX(PortfolioRef[[SPY]:[PE]],MATCH(OY$1,PortfolioRef[Reference '#]),0),AssetMonthlyReturns[[#This Row],[SPY]:[PE]])</f>
        <v>-3.2828198480283677E-2</v>
      </c>
      <c r="OZ107" s="27">
        <f>IF(ISNUMBER(OZ106),OZ106*(1+PortfolioFrontier[[#This Row],[P104 Return]]),1+PortfolioFrontier[[#This Row],[P104 Return]])</f>
        <v>1.7357534799005925</v>
      </c>
      <c r="PA107" s="27">
        <f>MAX(PA106,PortfolioFrontier[[#This Row],[P104 Growth]])</f>
        <v>1.7946692378470963</v>
      </c>
      <c r="PB107" s="27">
        <f>PortfolioFrontier[[#This Row],[P104 Growth]]/PortfolioFrontier[[#This Row],[P104 HWM]]-1</f>
        <v>-3.2828198480283621E-2</v>
      </c>
      <c r="PC107" s="28">
        <f>SUMPRODUCT(INDEX(PortfolioRef[[SPY]:[PE]],MATCH(PC$1,PortfolioRef[Reference '#]),0),AssetMonthlyReturns[[#This Row],[SPY]:[PE]])</f>
        <v>-2.7728519974121246E-2</v>
      </c>
      <c r="PD107" s="27">
        <f>IF(ISNUMBER(PD106),PD106*(1+PortfolioFrontier[[#This Row],[P105 Return]]),1+PortfolioFrontier[[#This Row],[P105 Return]])</f>
        <v>1.7267322264693354</v>
      </c>
      <c r="PE107" s="27">
        <f>MAX(PE106,PortfolioFrontier[[#This Row],[P105 Growth]])</f>
        <v>1.7759774527412606</v>
      </c>
      <c r="PF107" s="27">
        <f>PortfolioFrontier[[#This Row],[P105 Growth]]/PortfolioFrontier[[#This Row],[P105 HWM]]-1</f>
        <v>-2.7728519974121291E-2</v>
      </c>
      <c r="PG107" s="28">
        <f>SUMPRODUCT(INDEX(PortfolioRef[[SPY]:[PE]],MATCH(PG$1,PortfolioRef[Reference '#]),0),AssetMonthlyReturns[[#This Row],[SPY]:[PE]])</f>
        <v>-2.2628841467958821E-2</v>
      </c>
      <c r="PH107" s="27">
        <f>IF(ISNUMBER(PH106),PH106*(1+PortfolioFrontier[[#This Row],[P106 Return]]),1+PortfolioFrontier[[#This Row],[P106 Return]])</f>
        <v>1.7162980774291814</v>
      </c>
      <c r="PI107" s="27">
        <f>MAX(PI106,PortfolioFrontier[[#This Row],[P106 Growth]])</f>
        <v>1.7560351177202411</v>
      </c>
      <c r="PJ107" s="27">
        <f>PortfolioFrontier[[#This Row],[P106 Growth]]/PortfolioFrontier[[#This Row],[P106 HWM]]-1</f>
        <v>-2.2628841467958849E-2</v>
      </c>
      <c r="PK107" s="28">
        <f>SUMPRODUCT(INDEX(PortfolioRef[[SPY]:[PE]],MATCH(PK$1,PortfolioRef[Reference '#]),0),AssetMonthlyReturns[[#This Row],[SPY]:[PE]])</f>
        <v>-2.8606990566539873E-2</v>
      </c>
      <c r="PL107" s="27">
        <f>IF(ISNUMBER(PL106),PL106*(1+PortfolioFrontier[[#This Row],[P107 Return]]),1+PortfolioFrontier[[#This Row],[P107 Return]])</f>
        <v>1.8136337958275051</v>
      </c>
      <c r="PM107" s="27">
        <f>MAX(PM106,PortfolioFrontier[[#This Row],[P107 Growth]])</f>
        <v>1.867044314932079</v>
      </c>
      <c r="PN107" s="27">
        <f>PortfolioFrontier[[#This Row],[P107 Growth]]/PortfolioFrontier[[#This Row],[P107 HWM]]-1</f>
        <v>-2.8606990566539925E-2</v>
      </c>
      <c r="PO107" s="28">
        <f>SUMPRODUCT(INDEX(PortfolioRef[[SPY]:[PE]],MATCH(PO$1,PortfolioRef[Reference '#]),0),AssetMonthlyReturns[[#This Row],[SPY]:[PE]])</f>
        <v>-2.3507312060377452E-2</v>
      </c>
      <c r="PP107" s="27">
        <f>IF(ISNUMBER(PP106),PP106*(1+PortfolioFrontier[[#This Row],[P108 Return]]),1+PortfolioFrontier[[#This Row],[P108 Return]])</f>
        <v>1.8030602623748491</v>
      </c>
      <c r="PQ107" s="27">
        <f>MAX(PQ106,PortfolioFrontier[[#This Row],[P108 Growth]])</f>
        <v>1.8464657079811477</v>
      </c>
      <c r="PR107" s="27">
        <f>PortfolioFrontier[[#This Row],[P108 Growth]]/PortfolioFrontier[[#This Row],[P108 HWM]]-1</f>
        <v>-2.3507312060377483E-2</v>
      </c>
      <c r="PS107" s="28">
        <f>SUMPRODUCT(INDEX(PortfolioRef[[SPY]:[PE]],MATCH(PS$1,PortfolioRef[Reference '#]),0),AssetMonthlyReturns[[#This Row],[SPY]:[PE]])</f>
        <v>-3.2527666910563802E-2</v>
      </c>
      <c r="PT107" s="27">
        <f>IF(ISNUMBER(PT106),PT106*(1+PortfolioFrontier[[#This Row],[P109 Return]]),1+PortfolioFrontier[[#This Row],[P109 Return]])</f>
        <v>1.7911688276299722</v>
      </c>
      <c r="PU107" s="27">
        <f>MAX(PU106,PortfolioFrontier[[#This Row],[P109 Growth]])</f>
        <v>1.8513902324319915</v>
      </c>
      <c r="PV107" s="27">
        <f>PortfolioFrontier[[#This Row],[P109 Growth]]/PortfolioFrontier[[#This Row],[P109 HWM]]-1</f>
        <v>-3.2527666910563857E-2</v>
      </c>
      <c r="PW107" s="28">
        <f>SUMPRODUCT(INDEX(PortfolioRef[[SPY]:[PE]],MATCH(PW$1,PortfolioRef[Reference '#]),0),AssetMonthlyReturns[[#This Row],[SPY]:[PE]])</f>
        <v>-2.742798840440137E-2</v>
      </c>
      <c r="PX107" s="27">
        <f>IF(ISNUMBER(PX106),PX106*(1+PortfolioFrontier[[#This Row],[P110 Return]]),1+PortfolioFrontier[[#This Row],[P110 Return]])</f>
        <v>1.7818675264559407</v>
      </c>
      <c r="PY107" s="27">
        <f>MAX(PY106,PortfolioFrontier[[#This Row],[P110 Growth]])</f>
        <v>1.8321188613402666</v>
      </c>
      <c r="PZ107" s="27">
        <f>PortfolioFrontier[[#This Row],[P110 Growth]]/PortfolioFrontier[[#This Row],[P110 HWM]]-1</f>
        <v>-2.7427988404401416E-2</v>
      </c>
      <c r="QA107" s="28">
        <f>SUMPRODUCT(INDEX(PortfolioRef[[SPY]:[PE]],MATCH(QA$1,PortfolioRef[Reference '#]),0),AssetMonthlyReturns[[#This Row],[SPY]:[PE]])</f>
        <v>-2.2328309898238946E-2</v>
      </c>
      <c r="QB107" s="27">
        <f>IF(ISNUMBER(QB106),QB106*(1+PortfolioFrontier[[#This Row],[P111 Return]]),1+PortfolioFrontier[[#This Row],[P111 Return]])</f>
        <v>1.7711090788469723</v>
      </c>
      <c r="QC107" s="27">
        <f>MAX(QC106,PortfolioFrontier[[#This Row],[P111 Growth]])</f>
        <v>1.8115581097194564</v>
      </c>
      <c r="QD107" s="27">
        <f>PortfolioFrontier[[#This Row],[P111 Growth]]/PortfolioFrontier[[#This Row],[P111 HWM]]-1</f>
        <v>-2.2328309898238974E-2</v>
      </c>
      <c r="QE107" s="28">
        <f>SUMPRODUCT(INDEX(PortfolioRef[[SPY]:[PE]],MATCH(QE$1,PortfolioRef[Reference '#]),0),AssetMonthlyReturns[[#This Row],[SPY]:[PE]])</f>
        <v>-3.644834325458772E-2</v>
      </c>
      <c r="QF107" s="27">
        <f>IF(ISNUMBER(QF106),QF106*(1+PortfolioFrontier[[#This Row],[P112 Return]]),1+PortfolioFrontier[[#This Row],[P112 Return]])</f>
        <v>1.7674183564764478</v>
      </c>
      <c r="QG107" s="27">
        <f>MAX(QG106,PortfolioFrontier[[#This Row],[P112 Growth]])</f>
        <v>1.8342746277311748</v>
      </c>
      <c r="QH107" s="27">
        <f>PortfolioFrontier[[#This Row],[P112 Growth]]/PortfolioFrontier[[#This Row],[P112 HWM]]-1</f>
        <v>-3.6448343254587678E-2</v>
      </c>
      <c r="QI107" s="28">
        <f>SUMPRODUCT(INDEX(PortfolioRef[[SPY]:[PE]],MATCH(QI$1,PortfolioRef[Reference '#]),0),AssetMonthlyReturns[[#This Row],[SPY]:[PE]])</f>
        <v>-3.1348664748425292E-2</v>
      </c>
      <c r="QJ107" s="27">
        <f>IF(ISNUMBER(QJ106),QJ106*(1+PortfolioFrontier[[#This Row],[P113 Return]]),1+PortfolioFrontier[[#This Row],[P113 Return]])</f>
        <v>1.7593720921027185</v>
      </c>
      <c r="QK107" s="27">
        <f>MAX(QK106,PortfolioFrontier[[#This Row],[P113 Growth]])</f>
        <v>1.8163110172617278</v>
      </c>
      <c r="QL107" s="27">
        <f>PortfolioFrontier[[#This Row],[P113 Growth]]/PortfolioFrontier[[#This Row],[P113 HWM]]-1</f>
        <v>-3.1348664748425348E-2</v>
      </c>
      <c r="QM107" s="28">
        <f>SUMPRODUCT(INDEX(PortfolioRef[[SPY]:[PE]],MATCH(QM$1,PortfolioRef[Reference '#]),0),AssetMonthlyReturns[[#This Row],[SPY]:[PE]])</f>
        <v>-2.6248986242262864E-2</v>
      </c>
      <c r="QN107" s="27">
        <f>IF(ISNUMBER(QN106),QN106*(1+PortfolioFrontier[[#This Row],[P114 Return]]),1+PortfolioFrontier[[#This Row],[P114 Return]])</f>
        <v>1.7498703395972244</v>
      </c>
      <c r="QO107" s="27">
        <f>MAX(QO106,PortfolioFrontier[[#This Row],[P114 Growth]])</f>
        <v>1.7970408398800195</v>
      </c>
      <c r="QP107" s="27">
        <f>PortfolioFrontier[[#This Row],[P114 Growth]]/PortfolioFrontier[[#This Row],[P114 HWM]]-1</f>
        <v>-2.6248986242262906E-2</v>
      </c>
      <c r="QQ107" s="28">
        <f>SUMPRODUCT(INDEX(PortfolioRef[[SPY]:[PE]],MATCH(QQ$1,PortfolioRef[Reference '#]),0),AssetMonthlyReturns[[#This Row],[SPY]:[PE]])</f>
        <v>-3.2227135340843927E-2</v>
      </c>
      <c r="QR107" s="27">
        <f>IF(ISNUMBER(QR106),QR106*(1+PortfolioFrontier[[#This Row],[P115 Return]]),1+PortfolioFrontier[[#This Row],[P115 Return]])</f>
        <v>1.8477655181778736</v>
      </c>
      <c r="QS107" s="27">
        <f>MAX(QS106,PortfolioFrontier[[#This Row],[P115 Growth]])</f>
        <v>1.9092966807130365</v>
      </c>
      <c r="QT107" s="27">
        <f>PortfolioFrontier[[#This Row],[P115 Growth]]/PortfolioFrontier[[#This Row],[P115 HWM]]-1</f>
        <v>-3.222713534084376E-2</v>
      </c>
      <c r="QU107" s="28">
        <f>SUMPRODUCT(INDEX(PortfolioRef[[SPY]:[PE]],MATCH(QU$1,PortfolioRef[Reference '#]),0),AssetMonthlyReturns[[#This Row],[SPY]:[PE]])</f>
        <v>-2.7127456834681495E-2</v>
      </c>
      <c r="QV107" s="27">
        <f>IF(ISNUMBER(QV106),QV106*(1+PortfolioFrontier[[#This Row],[P116 Return]]),1+PortfolioFrontier[[#This Row],[P116 Return]])</f>
        <v>1.838178425461872</v>
      </c>
      <c r="QW107" s="27">
        <f>MAX(QW106,PortfolioFrontier[[#This Row],[P116 Growth]])</f>
        <v>1.8894339637556343</v>
      </c>
      <c r="QX107" s="27">
        <f>PortfolioFrontier[[#This Row],[P116 Growth]]/PortfolioFrontier[[#This Row],[P116 HWM]]-1</f>
        <v>-2.712745683468154E-2</v>
      </c>
      <c r="QY107" s="28">
        <f>SUMPRODUCT(INDEX(PortfolioRef[[SPY]:[PE]],MATCH(QY$1,PortfolioRef[Reference '#]),0),AssetMonthlyReturns[[#This Row],[SPY]:[PE]])</f>
        <v>-2.2027778328519071E-2</v>
      </c>
      <c r="QZ107" s="27">
        <f>IF(ISNUMBER(QZ106),QZ106*(1+PortfolioFrontier[[#This Row],[P117 Return]]),1+PortfolioFrontier[[#This Row],[P117 Return]])</f>
        <v>1.8270890104859809</v>
      </c>
      <c r="RA107" s="27">
        <f>MAX(RA106,PortfolioFrontier[[#This Row],[P117 Growth]])</f>
        <v>1.8682422363318762</v>
      </c>
      <c r="RB107" s="27">
        <f>PortfolioFrontier[[#This Row],[P117 Growth]]/PortfolioFrontier[[#This Row],[P117 HWM]]-1</f>
        <v>-2.2027778328519099E-2</v>
      </c>
      <c r="RC107" s="28">
        <f>SUMPRODUCT(INDEX(PortfolioRef[[SPY]:[PE]],MATCH(RC$1,PortfolioRef[Reference '#]),0),AssetMonthlyReturns[[#This Row],[SPY]:[PE]])</f>
        <v>-3.6147811684867845E-2</v>
      </c>
      <c r="RD107" s="27">
        <f>IF(ISNUMBER(RD106),RD106*(1+PortfolioFrontier[[#This Row],[P118 Return]]),1+PortfolioFrontier[[#This Row],[P118 Return]])</f>
        <v>1.8238236547870685</v>
      </c>
      <c r="RE107" s="27">
        <f>MAX(RE106,PortfolioFrontier[[#This Row],[P118 Growth]])</f>
        <v>1.8922233895377825</v>
      </c>
      <c r="RF107" s="27">
        <f>PortfolioFrontier[[#This Row],[P118 Growth]]/PortfolioFrontier[[#This Row],[P118 HWM]]-1</f>
        <v>-3.6147811684867803E-2</v>
      </c>
      <c r="RG107" s="28">
        <f>SUMPRODUCT(INDEX(PortfolioRef[[SPY]:[PE]],MATCH(RG$1,PortfolioRef[Reference '#]),0),AssetMonthlyReturns[[#This Row],[SPY]:[PE]])</f>
        <v>-3.1048133178705421E-2</v>
      </c>
      <c r="RH107" s="27">
        <f>IF(ISNUMBER(RH106),RH106*(1+PortfolioFrontier[[#This Row],[P119 Return]]),1+PortfolioFrontier[[#This Row],[P119 Return]])</f>
        <v>1.8155280247501466</v>
      </c>
      <c r="RI107" s="27">
        <f>MAX(RI106,PortfolioFrontier[[#This Row],[P119 Growth]])</f>
        <v>1.8737030051927106</v>
      </c>
      <c r="RJ107" s="27">
        <f>PortfolioFrontier[[#This Row],[P119 Growth]]/PortfolioFrontier[[#This Row],[P119 HWM]]-1</f>
        <v>-3.1048133178705473E-2</v>
      </c>
      <c r="RK107" s="28">
        <f>SUMPRODUCT(INDEX(PortfolioRef[[SPY]:[PE]],MATCH(RK$1,PortfolioRef[Reference '#]),0),AssetMonthlyReturns[[#This Row],[SPY]:[PE]])</f>
        <v>-2.5948454672542989E-2</v>
      </c>
      <c r="RL107" s="27">
        <f>IF(ISNUMBER(RL106),RL106*(1+PortfolioFrontier[[#This Row],[P120 Return]]),1+PortfolioFrontier[[#This Row],[P120 Return]])</f>
        <v>1.8057313475566792</v>
      </c>
      <c r="RM107" s="27">
        <f>MAX(RM106,PortfolioFrontier[[#This Row],[P120 Growth]])</f>
        <v>1.8538355143717038</v>
      </c>
      <c r="RN107" s="27">
        <f>PortfolioFrontier[[#This Row],[P120 Growth]]/PortfolioFrontier[[#This Row],[P120 HWM]]-1</f>
        <v>-2.5948454672543031E-2</v>
      </c>
      <c r="RO107" s="28">
        <f>SUMPRODUCT(INDEX(PortfolioRef[[SPY]:[PE]],MATCH(RO$1,PortfolioRef[Reference '#]),0),AssetMonthlyReturns[[#This Row],[SPY]:[PE]])</f>
        <v>-4.0068488028891763E-2</v>
      </c>
      <c r="RP107" s="27">
        <f>IF(ISNUMBER(RP106),RP106*(1+PortfolioFrontier[[#This Row],[P121 Return]]),1+PortfolioFrontier[[#This Row],[P121 Return]])</f>
        <v>1.798596330621502</v>
      </c>
      <c r="RQ107" s="27">
        <f>MAX(RQ106,PortfolioFrontier[[#This Row],[P121 Growth]])</f>
        <v>1.8736715153024748</v>
      </c>
      <c r="RR107" s="27">
        <f>PortfolioFrontier[[#This Row],[P121 Growth]]/PortfolioFrontier[[#This Row],[P121 HWM]]-1</f>
        <v>-4.0068488028891736E-2</v>
      </c>
      <c r="RS107" s="28">
        <f>SUMPRODUCT(INDEX(PortfolioRef[[SPY]:[PE]],MATCH(RS$1,PortfolioRef[Reference '#]),0),AssetMonthlyReturns[[#This Row],[SPY]:[PE]])</f>
        <v>-3.4968809522729336E-2</v>
      </c>
      <c r="RT107" s="27">
        <f>IF(ISNUMBER(RT106),RT106*(1+PortfolioFrontier[[#This Row],[P122 Return]]),1+PortfolioFrontier[[#This Row],[P122 Return]])</f>
        <v>1.7915724573631031</v>
      </c>
      <c r="RU107" s="27">
        <f>MAX(RU106,PortfolioFrontier[[#This Row],[P122 Growth]])</f>
        <v>1.8564917642475929</v>
      </c>
      <c r="RV107" s="27">
        <f>PortfolioFrontier[[#This Row],[P122 Growth]]/PortfolioFrontier[[#This Row],[P122 HWM]]-1</f>
        <v>-3.4968809522729294E-2</v>
      </c>
      <c r="RW107" s="28">
        <f>SUMPRODUCT(INDEX(PortfolioRef[[SPY]:[PE]],MATCH(RW$1,PortfolioRef[Reference '#]),0),AssetMonthlyReturns[[#This Row],[SPY]:[PE]])</f>
        <v>-2.9869131016566915E-2</v>
      </c>
      <c r="RX107" s="27">
        <f>IF(ISNUMBER(RX106),RX106*(1+PortfolioFrontier[[#This Row],[P123 Return]]),1+PortfolioFrontier[[#This Row],[P123 Return]])</f>
        <v>1.7830515018539674</v>
      </c>
      <c r="RY107" s="27">
        <f>MAX(RY106,PortfolioFrontier[[#This Row],[P123 Growth]])</f>
        <v>1.8379494549249487</v>
      </c>
      <c r="RZ107" s="27">
        <f>PortfolioFrontier[[#This Row],[P123 Growth]]/PortfolioFrontier[[#This Row],[P123 HWM]]-1</f>
        <v>-2.9869131016566963E-2</v>
      </c>
      <c r="SA107" s="28">
        <f>SUMPRODUCT(INDEX(PortfolioRef[[SPY]:[PE]],MATCH(SA$1,PortfolioRef[Reference '#]),0),AssetMonthlyReturns[[#This Row],[SPY]:[PE]])</f>
        <v>-3.584728011514797E-2</v>
      </c>
      <c r="SB107" s="27">
        <f>IF(ISNUMBER(SB106),SB106*(1+PortfolioFrontier[[#This Row],[P124 Return]]),1+PortfolioFrontier[[#This Row],[P124 Return]])</f>
        <v>1.8814310898907165</v>
      </c>
      <c r="SC107" s="27">
        <f>MAX(SC106,PortfolioFrontier[[#This Row],[P124 Growth]])</f>
        <v>1.9513828578064003</v>
      </c>
      <c r="SD107" s="27">
        <f>PortfolioFrontier[[#This Row],[P124 Growth]]/PortfolioFrontier[[#This Row],[P124 HWM]]-1</f>
        <v>-3.5847280115147928E-2</v>
      </c>
      <c r="SE107" s="28">
        <f>SUMPRODUCT(INDEX(PortfolioRef[[SPY]:[PE]],MATCH(SE$1,PortfolioRef[Reference '#]),0),AssetMonthlyReturns[[#This Row],[SPY]:[PE]])</f>
        <v>-3.0747601608985545E-2</v>
      </c>
      <c r="SF107" s="27">
        <f>IF(ISNUMBER(SF106),SF106*(1+PortfolioFrontier[[#This Row],[P125 Return]]),1+PortfolioFrontier[[#This Row],[P125 Return]])</f>
        <v>1.8728809947495124</v>
      </c>
      <c r="SG107" s="27">
        <f>MAX(SG106,PortfolioFrontier[[#This Row],[P125 Growth]])</f>
        <v>1.9322944135692068</v>
      </c>
      <c r="SH107" s="27">
        <f>PortfolioFrontier[[#This Row],[P125 Growth]]/PortfolioFrontier[[#This Row],[P125 HWM]]-1</f>
        <v>-3.0747601608985597E-2</v>
      </c>
      <c r="SI107" s="28">
        <f>SUMPRODUCT(INDEX(PortfolioRef[[SPY]:[PE]],MATCH(SI$1,PortfolioRef[Reference '#]),0),AssetMonthlyReturns[[#This Row],[SPY]:[PE]])</f>
        <v>-2.5647923102823114E-2</v>
      </c>
      <c r="SJ107" s="27">
        <f>IF(ISNUMBER(SJ106),SJ106*(1+PortfolioFrontier[[#This Row],[P126 Return]]),1+PortfolioFrontier[[#This Row],[P126 Return]])</f>
        <v>1.8627833416474942</v>
      </c>
      <c r="SK107" s="27">
        <f>MAX(SK106,PortfolioFrontier[[#This Row],[P126 Growth]])</f>
        <v>1.9118174896075819</v>
      </c>
      <c r="SL107" s="27">
        <f>PortfolioFrontier[[#This Row],[P126 Growth]]/PortfolioFrontier[[#This Row],[P126 HWM]]-1</f>
        <v>-2.5647923102823156E-2</v>
      </c>
      <c r="SM107" s="28">
        <f>SUMPRODUCT(INDEX(PortfolioRef[[SPY]:[PE]],MATCH(SM$1,PortfolioRef[Reference '#]),0),AssetMonthlyReturns[[#This Row],[SPY]:[PE]])</f>
        <v>-3.9767956459171888E-2</v>
      </c>
      <c r="SN107" s="27">
        <f>IF(ISNUMBER(SN106),SN106*(1+PortfolioFrontier[[#This Row],[P127 Return]]),1+PortfolioFrontier[[#This Row],[P127 Return]])</f>
        <v>1.8559759131416347</v>
      </c>
      <c r="SO107" s="27">
        <f>MAX(SO106,PortfolioFrontier[[#This Row],[P127 Growth]])</f>
        <v>1.9328410519375887</v>
      </c>
      <c r="SP107" s="27">
        <f>PortfolioFrontier[[#This Row],[P127 Growth]]/PortfolioFrontier[[#This Row],[P127 HWM]]-1</f>
        <v>-3.976795645917186E-2</v>
      </c>
      <c r="SQ107" s="28">
        <f>SUMPRODUCT(INDEX(PortfolioRef[[SPY]:[PE]],MATCH(SQ$1,PortfolioRef[Reference '#]),0),AssetMonthlyReturns[[#This Row],[SPY]:[PE]])</f>
        <v>-3.466827795300946E-2</v>
      </c>
      <c r="SR107" s="27">
        <f>IF(ISNUMBER(SR106),SR106*(1+PortfolioFrontier[[#This Row],[P128 Return]]),1+PortfolioFrontier[[#This Row],[P128 Return]])</f>
        <v>1.848734815484367</v>
      </c>
      <c r="SS107" s="27">
        <f>MAX(SS106,PortfolioFrontier[[#This Row],[P128 Growth]])</f>
        <v>1.9151290414077722</v>
      </c>
      <c r="ST107" s="27">
        <f>PortfolioFrontier[[#This Row],[P128 Growth]]/PortfolioFrontier[[#This Row],[P128 HWM]]-1</f>
        <v>-3.4668277953009419E-2</v>
      </c>
      <c r="SU107" s="28">
        <f>SUMPRODUCT(INDEX(PortfolioRef[[SPY]:[PE]],MATCH(SU$1,PortfolioRef[Reference '#]),0),AssetMonthlyReturns[[#This Row],[SPY]:[PE]])</f>
        <v>-2.956859944684704E-2</v>
      </c>
      <c r="SV107" s="27">
        <f>IF(ISNUMBER(SV106),SV106*(1+PortfolioFrontier[[#This Row],[P129 Return]]),1+PortfolioFrontier[[#This Row],[P129 Return]])</f>
        <v>1.8399497996628609</v>
      </c>
      <c r="SW107" s="27">
        <f>MAX(SW106,PortfolioFrontier[[#This Row],[P129 Growth]])</f>
        <v>1.8960122257112415</v>
      </c>
      <c r="SX107" s="27">
        <f>PortfolioFrontier[[#This Row],[P129 Growth]]/PortfolioFrontier[[#This Row],[P129 HWM]]-1</f>
        <v>-2.9568599446847088E-2</v>
      </c>
      <c r="SY107" s="28">
        <f>SUMPRODUCT(INDEX(PortfolioRef[[SPY]:[PE]],MATCH(SY$1,PortfolioRef[Reference '#]),0),AssetMonthlyReturns[[#This Row],[SPY]:[PE]])</f>
        <v>-4.3688632803195813E-2</v>
      </c>
      <c r="SZ107" s="27">
        <f>IF(ISNUMBER(SZ106),SZ106*(1+PortfolioFrontier[[#This Row],[P130 Return]]),1+PortfolioFrontier[[#This Row],[P130 Return]])</f>
        <v>1.8292376468281182</v>
      </c>
      <c r="TA107" s="27">
        <f>MAX(TA106,PortfolioFrontier[[#This Row],[P130 Growth]])</f>
        <v>1.9128055041216194</v>
      </c>
      <c r="TB107" s="27">
        <f>PortfolioFrontier[[#This Row],[P130 Growth]]/PortfolioFrontier[[#This Row],[P130 HWM]]-1</f>
        <v>-4.3688632803195793E-2</v>
      </c>
      <c r="TC107" s="28">
        <f>SUMPRODUCT(INDEX(PortfolioRef[[SPY]:[PE]],MATCH(TC$1,PortfolioRef[Reference '#]),0),AssetMonthlyReturns[[#This Row],[SPY]:[PE]])</f>
        <v>-3.8588954297033379E-2</v>
      </c>
      <c r="TD107" s="27">
        <f>IF(ISNUMBER(TD106),TD106*(1+PortfolioFrontier[[#This Row],[P131 Return]]),1+PortfolioFrontier[[#This Row],[P131 Return]])</f>
        <v>1.8232832631260179</v>
      </c>
      <c r="TE107" s="27">
        <f>MAX(TE106,PortfolioFrontier[[#This Row],[P131 Growth]])</f>
        <v>1.8964658990295515</v>
      </c>
      <c r="TF107" s="27">
        <f>PortfolioFrontier[[#This Row],[P131 Growth]]/PortfolioFrontier[[#This Row],[P131 HWM]]-1</f>
        <v>-3.8588954297033351E-2</v>
      </c>
      <c r="TG107" s="28">
        <f>SUMPRODUCT(INDEX(PortfolioRef[[SPY]:[PE]],MATCH(TG$1,PortfolioRef[Reference '#]),0),AssetMonthlyReturns[[#This Row],[SPY]:[PE]])</f>
        <v>-3.3489275790870958E-2</v>
      </c>
      <c r="TH107" s="27">
        <f>IF(ISNUMBER(TH106),TH106*(1+PortfolioFrontier[[#This Row],[P132 Return]]),1+PortfolioFrontier[[#This Row],[P132 Return]])</f>
        <v>1.815791327083156</v>
      </c>
      <c r="TI107" s="27">
        <f>MAX(TI106,PortfolioFrontier[[#This Row],[P132 Growth]])</f>
        <v>1.8787078938715052</v>
      </c>
      <c r="TJ107" s="27">
        <f>PortfolioFrontier[[#This Row],[P132 Growth]]/PortfolioFrontier[[#This Row],[P132 HWM]]-1</f>
        <v>-3.3489275790870909E-2</v>
      </c>
      <c r="TK107" s="28">
        <f>SUMPRODUCT(INDEX(PortfolioRef[[SPY]:[PE]],MATCH(TK$1,PortfolioRef[Reference '#]),0),AssetMonthlyReturns[[#This Row],[SPY]:[PE]])</f>
        <v>-3.9467424889452013E-2</v>
      </c>
      <c r="TL107" s="27">
        <f>IF(ISNUMBER(TL106),TL106*(1+PortfolioFrontier[[#This Row],[P133 Return]]),1+PortfolioFrontier[[#This Row],[P133 Return]])</f>
        <v>1.9145780948419284</v>
      </c>
      <c r="TM107" s="27">
        <f>MAX(TM106,PortfolioFrontier[[#This Row],[P133 Growth]])</f>
        <v>1.9932463973140933</v>
      </c>
      <c r="TN107" s="27">
        <f>PortfolioFrontier[[#This Row],[P133 Growth]]/PortfolioFrontier[[#This Row],[P133 HWM]]-1</f>
        <v>-3.9467424889451985E-2</v>
      </c>
      <c r="TO107" s="28">
        <f>SUMPRODUCT(INDEX(PortfolioRef[[SPY]:[PE]],MATCH(TO$1,PortfolioRef[Reference '#]),0),AssetMonthlyReturns[[#This Row],[SPY]:[PE]])</f>
        <v>-3.4367746383289585E-2</v>
      </c>
      <c r="TP107" s="27">
        <f>IF(ISNUMBER(TP106),TP106*(1+PortfolioFrontier[[#This Row],[P134 Return]]),1+PortfolioFrontier[[#This Row],[P134 Return]])</f>
        <v>1.907115347738908</v>
      </c>
      <c r="TQ107" s="27">
        <f>MAX(TQ106,PortfolioFrontier[[#This Row],[P134 Growth]])</f>
        <v>1.9749913495494129</v>
      </c>
      <c r="TR107" s="27">
        <f>PortfolioFrontier[[#This Row],[P134 Growth]]/PortfolioFrontier[[#This Row],[P134 HWM]]-1</f>
        <v>-3.4367746383289544E-2</v>
      </c>
      <c r="TS107" s="28">
        <f>SUMPRODUCT(INDEX(PortfolioRef[[SPY]:[PE]],MATCH(TS$1,PortfolioRef[Reference '#]),0),AssetMonthlyReturns[[#This Row],[SPY]:[PE]])</f>
        <v>-2.9268067877127161E-2</v>
      </c>
      <c r="TT107" s="27">
        <f>IF(ISNUMBER(TT106),TT106*(1+PortfolioFrontier[[#This Row],[P135 Return]]),1+PortfolioFrontier[[#This Row],[P135 Return]])</f>
        <v>1.8980608686541567</v>
      </c>
      <c r="TU107" s="27">
        <f>MAX(TU106,PortfolioFrontier[[#This Row],[P135 Growth]])</f>
        <v>1.9552883817299882</v>
      </c>
      <c r="TV107" s="27">
        <f>PortfolioFrontier[[#This Row],[P135 Growth]]/PortfolioFrontier[[#This Row],[P135 HWM]]-1</f>
        <v>-2.9268067877127213E-2</v>
      </c>
      <c r="TW107" s="28">
        <f>SUMPRODUCT(INDEX(PortfolioRef[[SPY]:[PE]],MATCH(TW$1,PortfolioRef[Reference '#]),0),AssetMonthlyReturns[[#This Row],[SPY]:[PE]])</f>
        <v>-4.3388101233475938E-2</v>
      </c>
      <c r="TX107" s="27">
        <f>IF(ISNUMBER(TX106),TX106*(1+PortfolioFrontier[[#This Row],[P136 Return]]),1+PortfolioFrontier[[#This Row],[P136 Return]])</f>
        <v>1.8875743102703073</v>
      </c>
      <c r="TY107" s="27">
        <f>MAX(TY106,PortfolioFrontier[[#This Row],[P136 Growth]])</f>
        <v>1.9731871542724757</v>
      </c>
      <c r="TZ107" s="27">
        <f>PortfolioFrontier[[#This Row],[P136 Growth]]/PortfolioFrontier[[#This Row],[P136 HWM]]-1</f>
        <v>-4.3388101233475918E-2</v>
      </c>
      <c r="UA107" s="28">
        <f>SUMPRODUCT(INDEX(PortfolioRef[[SPY]:[PE]],MATCH(UA$1,PortfolioRef[Reference '#]),0),AssetMonthlyReturns[[#This Row],[SPY]:[PE]])</f>
        <v>-3.8288422727313504E-2</v>
      </c>
      <c r="UB107" s="27">
        <f>IF(ISNUMBER(UB106),UB106*(1+PortfolioFrontier[[#This Row],[P137 Return]]),1+PortfolioFrontier[[#This Row],[P137 Return]])</f>
        <v>1.8814362924141188</v>
      </c>
      <c r="UC107" s="27">
        <f>MAX(UC106,PortfolioFrontier[[#This Row],[P137 Growth]])</f>
        <v>1.9563415236714476</v>
      </c>
      <c r="UD107" s="27">
        <f>PortfolioFrontier[[#This Row],[P137 Growth]]/PortfolioFrontier[[#This Row],[P137 HWM]]-1</f>
        <v>-3.8288422727313476E-2</v>
      </c>
      <c r="UE107" s="28">
        <f>SUMPRODUCT(INDEX(PortfolioRef[[SPY]:[PE]],MATCH(UE$1,PortfolioRef[Reference '#]),0),AssetMonthlyReturns[[#This Row],[SPY]:[PE]])</f>
        <v>-3.3188744221151083E-2</v>
      </c>
      <c r="UF107" s="27">
        <f>IF(ISNUMBER(UF106),UF106*(1+PortfolioFrontier[[#This Row],[P138 Return]]),1+PortfolioFrontier[[#This Row],[P138 Return]])</f>
        <v>1.8737126445330181</v>
      </c>
      <c r="UG107" s="27">
        <f>MAX(UG106,PortfolioFrontier[[#This Row],[P138 Growth]])</f>
        <v>1.938033544120856</v>
      </c>
      <c r="UH107" s="27">
        <f>PortfolioFrontier[[#This Row],[P138 Growth]]/PortfolioFrontier[[#This Row],[P138 HWM]]-1</f>
        <v>-3.3188744221151034E-2</v>
      </c>
      <c r="UI107" s="28">
        <f>SUMPRODUCT(INDEX(PortfolioRef[[SPY]:[PE]],MATCH(UI$1,PortfolioRef[Reference '#]),0),AssetMonthlyReturns[[#This Row],[SPY]:[PE]])</f>
        <v>-4.7308777577499857E-2</v>
      </c>
      <c r="UJ107" s="27">
        <f>IF(ISNUMBER(UJ106),UJ106*(1+PortfolioFrontier[[#This Row],[P139 Return]]),1+PortfolioFrontier[[#This Row],[P139 Return]])</f>
        <v>1.8592922258225244</v>
      </c>
      <c r="UK107" s="27">
        <f>MAX(UK106,PortfolioFrontier[[#This Row],[P139 Growth]])</f>
        <v>1.951621031098326</v>
      </c>
      <c r="UL107" s="27">
        <f>PortfolioFrontier[[#This Row],[P139 Growth]]/PortfolioFrontier[[#This Row],[P139 HWM]]-1</f>
        <v>-4.730877757749985E-2</v>
      </c>
      <c r="UM107" s="28">
        <f>SUMPRODUCT(INDEX(PortfolioRef[[SPY]:[PE]],MATCH(UM$1,PortfolioRef[Reference '#]),0),AssetMonthlyReturns[[#This Row],[SPY]:[PE]])</f>
        <v>-4.2209099071337429E-2</v>
      </c>
      <c r="UN107" s="27">
        <f>IF(ISNUMBER(UN106),UN106*(1+PortfolioFrontier[[#This Row],[P140 Return]]),1+PortfolioFrontier[[#This Row],[P140 Return]])</f>
        <v>1.8544540128438929</v>
      </c>
      <c r="UO107" s="27">
        <f>MAX(UO106,PortfolioFrontier[[#This Row],[P140 Growth]])</f>
        <v>1.9361783569313893</v>
      </c>
      <c r="UP107" s="27">
        <f>PortfolioFrontier[[#This Row],[P140 Growth]]/PortfolioFrontier[[#This Row],[P140 HWM]]-1</f>
        <v>-4.2209099071337519E-2</v>
      </c>
      <c r="UQ107" s="28">
        <f>SUMPRODUCT(INDEX(PortfolioRef[[SPY]:[PE]],MATCH(UQ$1,PortfolioRef[Reference '#]),0),AssetMonthlyReturns[[#This Row],[SPY]:[PE]])</f>
        <v>-3.7109420565175001E-2</v>
      </c>
      <c r="UR107" s="27">
        <f>IF(ISNUMBER(UR106),UR106*(1+PortfolioFrontier[[#This Row],[P141 Return]]),1+PortfolioFrontier[[#This Row],[P141 Return]])</f>
        <v>1.8480390283104731</v>
      </c>
      <c r="US107" s="27">
        <f>MAX(US106,PortfolioFrontier[[#This Row],[P141 Growth]])</f>
        <v>1.9192617186006657</v>
      </c>
      <c r="UT107" s="27">
        <f>PortfolioFrontier[[#This Row],[P141 Growth]]/PortfolioFrontier[[#This Row],[P141 HWM]]-1</f>
        <v>-3.7109420565174966E-2</v>
      </c>
    </row>
    <row r="108" spans="2:566" x14ac:dyDescent="0.2">
      <c r="B108" s="41">
        <f>AssetMonthlyReturns[[#This Row],[Date]]</f>
        <v>45658</v>
      </c>
      <c r="C108" s="28">
        <f>SUMPRODUCT(INDEX(PortfolioRef[[SPY]:[PE]],MATCH(C$1,PortfolioRef[Reference '#]),0),AssetMonthlyReturns[[#This Row],[SPY]:[PE]])</f>
        <v>2.8945028562242386E-2</v>
      </c>
      <c r="D108" s="29">
        <f>IF(ISNUMBER(D107),D107*(1+PortfolioFrontier[[#This Row],[P1 Return]]),1+PortfolioFrontier[[#This Row],[P1 Return]])</f>
        <v>2.3935866805943866</v>
      </c>
      <c r="E108" s="29">
        <f>MAX(E107,PortfolioFrontier[[#This Row],[P1 Growth]])</f>
        <v>2.3935866805943866</v>
      </c>
      <c r="F108" s="29">
        <f>PortfolioFrontier[[#This Row],[P1 Growth]]/PortfolioFrontier[[#This Row],[P1 HWM]]-1</f>
        <v>0</v>
      </c>
      <c r="G108" s="28">
        <f>SUMPRODUCT(INDEX(PortfolioRef[[SPY]:[PE]],MATCH(G$1,PortfolioRef[Reference '#]),0),AssetMonthlyReturns[[#This Row],[SPY]:[PE]])</f>
        <v>2.8009050801344772E-2</v>
      </c>
      <c r="H108" s="27">
        <f>IF(ISNUMBER(H107),H107*(1+PortfolioFrontier[[#This Row],[P2 Return]]),1+PortfolioFrontier[[#This Row],[P2 Return]])</f>
        <v>2.2658703812283547</v>
      </c>
      <c r="I108" s="27">
        <f>MAX(I107,PortfolioFrontier[[#This Row],[P2 Growth]])</f>
        <v>2.2662212854506913</v>
      </c>
      <c r="J108" s="27">
        <f>PortfolioFrontier[[#This Row],[P2 Growth]]/PortfolioFrontier[[#This Row],[P2 HWM]]-1</f>
        <v>-1.5484111132013645E-4</v>
      </c>
      <c r="K108" s="28">
        <f>SUMPRODUCT(INDEX(PortfolioRef[[SPY]:[PE]],MATCH(K$1,PortfolioRef[Reference '#]),0),AssetMonthlyReturns[[#This Row],[SPY]:[PE]])</f>
        <v>3.0822220498038535E-2</v>
      </c>
      <c r="L108" s="27">
        <f>IF(ISNUMBER(L107),L107*(1+PortfolioFrontier[[#This Row],[P3 Return]]),1+PortfolioFrontier[[#This Row],[P3 Return]])</f>
        <v>2.3446044024367287</v>
      </c>
      <c r="M108" s="27">
        <f>MAX(M107,PortfolioFrontier[[#This Row],[P3 Growth]])</f>
        <v>2.3446044024367287</v>
      </c>
      <c r="N108" s="27">
        <f>PortfolioFrontier[[#This Row],[P3 Growth]]/PortfolioFrontier[[#This Row],[P3 HWM]]-1</f>
        <v>0</v>
      </c>
      <c r="O108" s="28">
        <f>SUMPRODUCT(INDEX(PortfolioRef[[SPY]:[PE]],MATCH(O$1,PortfolioRef[Reference '#]),0),AssetMonthlyReturns[[#This Row],[SPY]:[PE]])</f>
        <v>2.8746259124051831E-2</v>
      </c>
      <c r="P108" s="27">
        <f>IF(ISNUMBER(P107),P107*(1+PortfolioFrontier[[#This Row],[P4 Return]]),1+PortfolioFrontier[[#This Row],[P4 Return]])</f>
        <v>2.3070136159821693</v>
      </c>
      <c r="Q108" s="27">
        <f>MAX(Q107,PortfolioFrontier[[#This Row],[P4 Growth]])</f>
        <v>2.3143316254805155</v>
      </c>
      <c r="R108" s="27">
        <f>PortfolioFrontier[[#This Row],[P4 Growth]]/PortfolioFrontier[[#This Row],[P4 HWM]]-1</f>
        <v>-3.162040140564093E-3</v>
      </c>
      <c r="S108" s="28">
        <f>SUMPRODUCT(INDEX(PortfolioRef[[SPY]:[PE]],MATCH(S$1,PortfolioRef[Reference '#]),0),AssetMonthlyReturns[[#This Row],[SPY]:[PE]])</f>
        <v>2.798696692924545E-2</v>
      </c>
      <c r="T108" s="27">
        <f>IF(ISNUMBER(T107),T107*(1+PortfolioFrontier[[#This Row],[P5 Return]]),1+PortfolioFrontier[[#This Row],[P5 Return]])</f>
        <v>2.2962266093712853</v>
      </c>
      <c r="U108" s="27">
        <f>MAX(U107,PortfolioFrontier[[#This Row],[P5 Growth]])</f>
        <v>2.2962266093712853</v>
      </c>
      <c r="V108" s="27">
        <f>PortfolioFrontier[[#This Row],[P5 Growth]]/PortfolioFrontier[[#This Row],[P5 HWM]]-1</f>
        <v>0</v>
      </c>
      <c r="W108" s="28">
        <f>SUMPRODUCT(INDEX(PortfolioRef[[SPY]:[PE]],MATCH(W$1,PortfolioRef[Reference '#]),0),AssetMonthlyReturns[[#This Row],[SPY]:[PE]])</f>
        <v>2.7073073040447159E-2</v>
      </c>
      <c r="X108" s="27">
        <f>IF(ISNUMBER(X107),X107*(1+PortfolioFrontier[[#This Row],[P6 Return]]),1+PortfolioFrontier[[#This Row],[P6 Return]])</f>
        <v>2.1439381074640784</v>
      </c>
      <c r="Y108" s="27">
        <f>MAX(Y107,PortfolioFrontier[[#This Row],[P6 Growth]])</f>
        <v>2.1454262972168117</v>
      </c>
      <c r="Z108" s="27">
        <f>PortfolioFrontier[[#This Row],[P6 Growth]]/PortfolioFrontier[[#This Row],[P6 HWM]]-1</f>
        <v>-6.9365689917377793E-4</v>
      </c>
      <c r="AA108" s="28">
        <f>SUMPRODUCT(INDEX(PortfolioRef[[SPY]:[PE]],MATCH(AA$1,PortfolioRef[Reference '#]),0),AssetMonthlyReturns[[#This Row],[SPY]:[PE]])</f>
        <v>2.9886242737140922E-2</v>
      </c>
      <c r="AB108" s="27">
        <f>IF(ISNUMBER(AB107),AB107*(1+PortfolioFrontier[[#This Row],[P7 Return]]),1+PortfolioFrontier[[#This Row],[P7 Return]])</f>
        <v>2.2184509195246851</v>
      </c>
      <c r="AC108" s="27">
        <f>MAX(AC107,PortfolioFrontier[[#This Row],[P7 Growth]])</f>
        <v>2.2184509195246851</v>
      </c>
      <c r="AD108" s="27">
        <f>PortfolioFrontier[[#This Row],[P7 Growth]]/PortfolioFrontier[[#This Row],[P7 HWM]]-1</f>
        <v>0</v>
      </c>
      <c r="AE108" s="28">
        <f>SUMPRODUCT(INDEX(PortfolioRef[[SPY]:[PE]],MATCH(AE$1,PortfolioRef[Reference '#]),0),AssetMonthlyReturns[[#This Row],[SPY]:[PE]])</f>
        <v>2.7810281363154218E-2</v>
      </c>
      <c r="AF108" s="27">
        <f>IF(ISNUMBER(AF107),AF107*(1+PortfolioFrontier[[#This Row],[P8 Return]]),1+PortfolioFrontier[[#This Row],[P8 Return]])</f>
        <v>2.1837348808670063</v>
      </c>
      <c r="AG108" s="27">
        <f>MAX(AG107,PortfolioFrontier[[#This Row],[P8 Growth]])</f>
        <v>2.1918385482891023</v>
      </c>
      <c r="AH108" s="27">
        <f>PortfolioFrontier[[#This Row],[P8 Growth]]/PortfolioFrontier[[#This Row],[P8 HWM]]-1</f>
        <v>-3.6972008857228955E-3</v>
      </c>
      <c r="AI108" s="28">
        <f>SUMPRODUCT(INDEX(PortfolioRef[[SPY]:[PE]],MATCH(AI$1,PortfolioRef[Reference '#]),0),AssetMonthlyReturns[[#This Row],[SPY]:[PE]])</f>
        <v>2.7050989168347837E-2</v>
      </c>
      <c r="AJ108" s="27">
        <f>IF(ISNUMBER(AJ107),AJ107*(1+PortfolioFrontier[[#This Row],[P9 Return]]),1+PortfolioFrontier[[#This Row],[P9 Return]])</f>
        <v>2.1726906863283846</v>
      </c>
      <c r="AK108" s="27">
        <f>MAX(AK107,PortfolioFrontier[[#This Row],[P9 Growth]])</f>
        <v>2.1726906863283846</v>
      </c>
      <c r="AL108" s="27">
        <f>PortfolioFrontier[[#This Row],[P9 Growth]]/PortfolioFrontier[[#This Row],[P9 HWM]]-1</f>
        <v>0</v>
      </c>
      <c r="AM108" s="28">
        <f>SUMPRODUCT(INDEX(PortfolioRef[[SPY]:[PE]],MATCH(AM$1,PortfolioRef[Reference '#]),0),AssetMonthlyReturns[[#This Row],[SPY]:[PE]])</f>
        <v>3.2699412433834688E-2</v>
      </c>
      <c r="AN108" s="27">
        <f>IF(ISNUMBER(AN107),AN107*(1+PortfolioFrontier[[#This Row],[P10 Return]]),1+PortfolioFrontier[[#This Row],[P10 Return]])</f>
        <v>2.294810085127104</v>
      </c>
      <c r="AO108" s="27">
        <f>MAX(AO107,PortfolioFrontier[[#This Row],[P10 Growth]])</f>
        <v>2.294810085127104</v>
      </c>
      <c r="AP108" s="27">
        <f>PortfolioFrontier[[#This Row],[P10 Growth]]/PortfolioFrontier[[#This Row],[P10 HWM]]-1</f>
        <v>0</v>
      </c>
      <c r="AQ108" s="28">
        <f>SUMPRODUCT(INDEX(PortfolioRef[[SPY]:[PE]],MATCH(AQ$1,PortfolioRef[Reference '#]),0),AssetMonthlyReturns[[#This Row],[SPY]:[PE]])</f>
        <v>3.062345105984798E-2</v>
      </c>
      <c r="AR108" s="27">
        <f>IF(ISNUMBER(AR107),AR107*(1+PortfolioFrontier[[#This Row],[P11 Return]]),1+PortfolioFrontier[[#This Row],[P11 Return]])</f>
        <v>2.259600389238186</v>
      </c>
      <c r="AS108" s="27">
        <f>MAX(AS107,PortfolioFrontier[[#This Row],[P11 Growth]])</f>
        <v>2.2610939184400127</v>
      </c>
      <c r="AT108" s="27">
        <f>PortfolioFrontier[[#This Row],[P11 Growth]]/PortfolioFrontier[[#This Row],[P11 HWM]]-1</f>
        <v>-6.6053390778975096E-4</v>
      </c>
      <c r="AU108" s="28">
        <f>SUMPRODUCT(INDEX(PortfolioRef[[SPY]:[PE]],MATCH(AU$1,PortfolioRef[Reference '#]),0),AssetMonthlyReturns[[#This Row],[SPY]:[PE]])</f>
        <v>2.9864158865041599E-2</v>
      </c>
      <c r="AV108" s="27">
        <f>IF(ISNUMBER(AV107),AV107*(1+PortfolioFrontier[[#This Row],[P12 Return]]),1+PortfolioFrontier[[#This Row],[P12 Return]])</f>
        <v>2.2481862177128966</v>
      </c>
      <c r="AW108" s="27">
        <f>MAX(AW107,PortfolioFrontier[[#This Row],[P12 Growth]])</f>
        <v>2.2481862177128966</v>
      </c>
      <c r="AX108" s="27">
        <f>PortfolioFrontier[[#This Row],[P12 Growth]]/PortfolioFrontier[[#This Row],[P12 HWM]]-1</f>
        <v>0</v>
      </c>
      <c r="AY108" s="28">
        <f>SUMPRODUCT(INDEX(PortfolioRef[[SPY]:[PE]],MATCH(AY$1,PortfolioRef[Reference '#]),0),AssetMonthlyReturns[[#This Row],[SPY]:[PE]])</f>
        <v>2.8547489685861283E-2</v>
      </c>
      <c r="AZ108" s="27">
        <f>IF(ISNUMBER(AZ107),AZ107*(1+PortfolioFrontier[[#This Row],[P13 Return]]),1+PortfolioFrontier[[#This Row],[P13 Return]])</f>
        <v>2.222952241451094</v>
      </c>
      <c r="BA108" s="27">
        <f>MAX(BA107,PortfolioFrontier[[#This Row],[P13 Growth]])</f>
        <v>2.2379601870388743</v>
      </c>
      <c r="BB108" s="27">
        <f>PortfolioFrontier[[#This Row],[P13 Growth]]/PortfolioFrontier[[#This Row],[P13 HWM]]-1</f>
        <v>-6.7060824739861857E-3</v>
      </c>
      <c r="BC108" s="28">
        <f>SUMPRODUCT(INDEX(PortfolioRef[[SPY]:[PE]],MATCH(BC$1,PortfolioRef[Reference '#]),0),AssetMonthlyReturns[[#This Row],[SPY]:[PE]])</f>
        <v>2.7788197491054902E-2</v>
      </c>
      <c r="BD108" s="27">
        <f>IF(ISNUMBER(BD107),BD107*(1+PortfolioFrontier[[#This Row],[P14 Return]]),1+PortfolioFrontier[[#This Row],[P14 Return]])</f>
        <v>2.2131501123068427</v>
      </c>
      <c r="BE108" s="27">
        <f>MAX(BE107,PortfolioFrontier[[#This Row],[P14 Growth]])</f>
        <v>2.2180252441153803</v>
      </c>
      <c r="BF108" s="27">
        <f>PortfolioFrontier[[#This Row],[P14 Growth]]/PortfolioFrontier[[#This Row],[P14 HWM]]-1</f>
        <v>-2.1979604702299094E-3</v>
      </c>
      <c r="BG108" s="28">
        <f>SUMPRODUCT(INDEX(PortfolioRef[[SPY]:[PE]],MATCH(BG$1,PortfolioRef[Reference '#]),0),AssetMonthlyReturns[[#This Row],[SPY]:[PE]])</f>
        <v>2.7028905296248518E-2</v>
      </c>
      <c r="BH108" s="27">
        <f>IF(ISNUMBER(BH107),BH107*(1+PortfolioFrontier[[#This Row],[P15 Return]]),1+PortfolioFrontier[[#This Row],[P15 Return]])</f>
        <v>2.2015071558229167</v>
      </c>
      <c r="BI108" s="27">
        <f>MAX(BI107,PortfolioFrontier[[#This Row],[P15 Growth]])</f>
        <v>2.2015071558229167</v>
      </c>
      <c r="BJ108" s="27">
        <f>PortfolioFrontier[[#This Row],[P15 Growth]]/PortfolioFrontier[[#This Row],[P15 HWM]]-1</f>
        <v>0</v>
      </c>
      <c r="BK108" s="28">
        <f>SUMPRODUCT(INDEX(PortfolioRef[[SPY]:[PE]],MATCH(BK$1,PortfolioRef[Reference '#]),0),AssetMonthlyReturns[[#This Row],[SPY]:[PE]])</f>
        <v>2.6137095279549549E-2</v>
      </c>
      <c r="BL108" s="27">
        <f>IF(ISNUMBER(BL107),BL107*(1+PortfolioFrontier[[#This Row],[P16 Return]]),1+PortfolioFrontier[[#This Row],[P16 Return]])</f>
        <v>2.0275926050301236</v>
      </c>
      <c r="BM108" s="27">
        <f>MAX(BM107,PortfolioFrontier[[#This Row],[P16 Growth]])</f>
        <v>2.0300960175742855</v>
      </c>
      <c r="BN108" s="27">
        <f>PortfolioFrontier[[#This Row],[P16 Growth]]/PortfolioFrontier[[#This Row],[P16 HWM]]-1</f>
        <v>-1.2331498227128312E-3</v>
      </c>
      <c r="BO108" s="28">
        <f>SUMPRODUCT(INDEX(PortfolioRef[[SPY]:[PE]],MATCH(BO$1,PortfolioRef[Reference '#]),0),AssetMonthlyReturns[[#This Row],[SPY]:[PE]])</f>
        <v>2.8950264976243312E-2</v>
      </c>
      <c r="BP108" s="27">
        <f>IF(ISNUMBER(BP107),BP107*(1+PortfolioFrontier[[#This Row],[P17 Return]]),1+PortfolioFrontier[[#This Row],[P17 Return]])</f>
        <v>2.0980772661832052</v>
      </c>
      <c r="BQ108" s="27">
        <f>MAX(BQ107,PortfolioFrontier[[#This Row],[P17 Growth]])</f>
        <v>2.0980772661832052</v>
      </c>
      <c r="BR108" s="27">
        <f>PortfolioFrontier[[#This Row],[P17 Growth]]/PortfolioFrontier[[#This Row],[P17 HWM]]-1</f>
        <v>0</v>
      </c>
      <c r="BS108" s="28">
        <f>SUMPRODUCT(INDEX(PortfolioRef[[SPY]:[PE]],MATCH(BS$1,PortfolioRef[Reference '#]),0),AssetMonthlyReturns[[#This Row],[SPY]:[PE]])</f>
        <v>2.6874303602256611E-2</v>
      </c>
      <c r="BT108" s="27">
        <f>IF(ISNUMBER(BT107),BT107*(1+PortfolioFrontier[[#This Row],[P18 Return]]),1+PortfolioFrontier[[#This Row],[P18 Return]])</f>
        <v>2.0660492148468466</v>
      </c>
      <c r="BU108" s="27">
        <f>MAX(BU107,PortfolioFrontier[[#This Row],[P18 Growth]])</f>
        <v>2.0748320593883545</v>
      </c>
      <c r="BV108" s="27">
        <f>PortfolioFrontier[[#This Row],[P18 Growth]]/PortfolioFrontier[[#This Row],[P18 HWM]]-1</f>
        <v>-4.2330387665674429E-3</v>
      </c>
      <c r="BW108" s="28">
        <f>SUMPRODUCT(INDEX(PortfolioRef[[SPY]:[PE]],MATCH(BW$1,PortfolioRef[Reference '#]),0),AssetMonthlyReturns[[#This Row],[SPY]:[PE]])</f>
        <v>2.611501140745023E-2</v>
      </c>
      <c r="BX108" s="27">
        <f>IF(ISNUMBER(BX107),BX107*(1+PortfolioFrontier[[#This Row],[P19 Return]]),1+PortfolioFrontier[[#This Row],[P19 Return]])</f>
        <v>2.0548132140874524</v>
      </c>
      <c r="BY108" s="27">
        <f>MAX(BY107,PortfolioFrontier[[#This Row],[P19 Growth]])</f>
        <v>2.0548132140874524</v>
      </c>
      <c r="BZ108" s="27">
        <f>PortfolioFrontier[[#This Row],[P19 Growth]]/PortfolioFrontier[[#This Row],[P19 HWM]]-1</f>
        <v>0</v>
      </c>
      <c r="CA108" s="28">
        <f>SUMPRODUCT(INDEX(PortfolioRef[[SPY]:[PE]],MATCH(CA$1,PortfolioRef[Reference '#]),0),AssetMonthlyReturns[[#This Row],[SPY]:[PE]])</f>
        <v>3.1763434672937081E-2</v>
      </c>
      <c r="CB108" s="27">
        <f>IF(ISNUMBER(CB107),CB107*(1+PortfolioFrontier[[#This Row],[P20 Return]]),1+PortfolioFrontier[[#This Row],[P20 Return]])</f>
        <v>2.1703078986044448</v>
      </c>
      <c r="CC108" s="27">
        <f>MAX(CC107,PortfolioFrontier[[#This Row],[P20 Growth]])</f>
        <v>2.1703078986044448</v>
      </c>
      <c r="CD108" s="27">
        <f>PortfolioFrontier[[#This Row],[P20 Growth]]/PortfolioFrontier[[#This Row],[P20 HWM]]-1</f>
        <v>0</v>
      </c>
      <c r="CE108" s="28">
        <f>SUMPRODUCT(INDEX(PortfolioRef[[SPY]:[PE]],MATCH(CE$1,PortfolioRef[Reference '#]),0),AssetMonthlyReturns[[#This Row],[SPY]:[PE]])</f>
        <v>2.9687473298950374E-2</v>
      </c>
      <c r="CF108" s="27">
        <f>IF(ISNUMBER(CF107),CF107*(1+PortfolioFrontier[[#This Row],[P21 Return]]),1+PortfolioFrontier[[#This Row],[P21 Return]])</f>
        <v>2.1378415685957348</v>
      </c>
      <c r="CG108" s="27">
        <f>MAX(CG107,PortfolioFrontier[[#This Row],[P21 Growth]])</f>
        <v>2.1404007076270903</v>
      </c>
      <c r="CH108" s="27">
        <f>PortfolioFrontier[[#This Row],[P21 Growth]]/PortfolioFrontier[[#This Row],[P21 HWM]]-1</f>
        <v>-1.1956354818218884E-3</v>
      </c>
      <c r="CI108" s="28">
        <f>SUMPRODUCT(INDEX(PortfolioRef[[SPY]:[PE]],MATCH(CI$1,PortfolioRef[Reference '#]),0),AssetMonthlyReturns[[#This Row],[SPY]:[PE]])</f>
        <v>2.8928181104143993E-2</v>
      </c>
      <c r="CJ108" s="27">
        <f>IF(ISNUMBER(CJ107),CJ107*(1+PortfolioFrontier[[#This Row],[P22 Return]]),1+PortfolioFrontier[[#This Row],[P22 Return]])</f>
        <v>2.1262285177836988</v>
      </c>
      <c r="CK108" s="27">
        <f>MAX(CK107,PortfolioFrontier[[#This Row],[P22 Growth]])</f>
        <v>2.1262285177836988</v>
      </c>
      <c r="CL108" s="27">
        <f>PortfolioFrontier[[#This Row],[P22 Growth]]/PortfolioFrontier[[#This Row],[P22 HWM]]-1</f>
        <v>0</v>
      </c>
      <c r="CM108" s="28">
        <f>SUMPRODUCT(INDEX(PortfolioRef[[SPY]:[PE]],MATCH(CM$1,PortfolioRef[Reference '#]),0),AssetMonthlyReturns[[#This Row],[SPY]:[PE]])</f>
        <v>2.7611511924963673E-2</v>
      </c>
      <c r="CN108" s="27">
        <f>IF(ISNUMBER(CN107),CN107*(1+PortfolioFrontier[[#This Row],[P23 Return]]),1+PortfolioFrontier[[#This Row],[P23 Return]])</f>
        <v>2.1039901939720966</v>
      </c>
      <c r="CO108" s="27">
        <f>MAX(CO107,PortfolioFrontier[[#This Row],[P23 Growth]])</f>
        <v>2.1193304701994951</v>
      </c>
      <c r="CP108" s="27">
        <f>PortfolioFrontier[[#This Row],[P23 Growth]]/PortfolioFrontier[[#This Row],[P23 HWM]]-1</f>
        <v>-7.2382653121362273E-3</v>
      </c>
      <c r="CQ108" s="28">
        <f>SUMPRODUCT(INDEX(PortfolioRef[[SPY]:[PE]],MATCH(CQ$1,PortfolioRef[Reference '#]),0),AssetMonthlyReturns[[#This Row],[SPY]:[PE]])</f>
        <v>2.6852219730157292E-2</v>
      </c>
      <c r="CR108" s="27">
        <f>IF(ISNUMBER(CR107),CR107*(1+PortfolioFrontier[[#This Row],[P24 Return]]),1+PortfolioFrontier[[#This Row],[P24 Return]])</f>
        <v>2.0939080320034855</v>
      </c>
      <c r="CS108" s="27">
        <f>MAX(CS107,PortfolioFrontier[[#This Row],[P24 Growth]])</f>
        <v>2.0996509787788624</v>
      </c>
      <c r="CT108" s="27">
        <f>PortfolioFrontier[[#This Row],[P24 Growth]]/PortfolioFrontier[[#This Row],[P24 HWM]]-1</f>
        <v>-2.7351911500629322E-3</v>
      </c>
      <c r="CU108" s="28">
        <f>SUMPRODUCT(INDEX(PortfolioRef[[SPY]:[PE]],MATCH(CU$1,PortfolioRef[Reference '#]),0),AssetMonthlyReturns[[#This Row],[SPY]:[PE]])</f>
        <v>2.6092927535350908E-2</v>
      </c>
      <c r="CV108" s="27">
        <f>IF(ISNUMBER(CV107),CV107*(1+PortfolioFrontier[[#This Row],[P25 Return]]),1+PortfolioFrontier[[#This Row],[P25 Return]])</f>
        <v>2.0820949746522883</v>
      </c>
      <c r="CW108" s="27">
        <f>MAX(CW107,PortfolioFrontier[[#This Row],[P25 Growth]])</f>
        <v>2.0820949746522883</v>
      </c>
      <c r="CX108" s="27">
        <f>PortfolioFrontier[[#This Row],[P25 Growth]]/PortfolioFrontier[[#This Row],[P25 HWM]]-1</f>
        <v>0</v>
      </c>
      <c r="CY108" s="28">
        <f>SUMPRODUCT(INDEX(PortfolioRef[[SPY]:[PE]],MATCH(CY$1,PortfolioRef[Reference '#]),0),AssetMonthlyReturns[[#This Row],[SPY]:[PE]])</f>
        <v>3.250064299564414E-2</v>
      </c>
      <c r="CZ108" s="27">
        <f>IF(ISNUMBER(CZ107),CZ107*(1+PortfolioFrontier[[#This Row],[P26 Return]]),1+PortfolioFrontier[[#This Row],[P26 Return]])</f>
        <v>2.2114116888569173</v>
      </c>
      <c r="DA108" s="27">
        <f>MAX(DA107,PortfolioFrontier[[#This Row],[P26 Growth]])</f>
        <v>2.2114116888569173</v>
      </c>
      <c r="DB108" s="27">
        <f>PortfolioFrontier[[#This Row],[P26 Growth]]/PortfolioFrontier[[#This Row],[P26 HWM]]-1</f>
        <v>0</v>
      </c>
      <c r="DC108" s="28">
        <f>SUMPRODUCT(INDEX(PortfolioRef[[SPY]:[PE]],MATCH(DC$1,PortfolioRef[Reference '#]),0),AssetMonthlyReturns[[#This Row],[SPY]:[PE]])</f>
        <v>3.1741350800837752E-2</v>
      </c>
      <c r="DD108" s="27">
        <f>IF(ISNUMBER(DD107),DD107*(1+PortfolioFrontier[[#This Row],[P27 Return]]),1+PortfolioFrontier[[#This Row],[P27 Return]])</f>
        <v>2.1994127016144516</v>
      </c>
      <c r="DE108" s="27">
        <f>MAX(DE107,PortfolioFrontier[[#This Row],[P27 Growth]])</f>
        <v>2.1994127016144516</v>
      </c>
      <c r="DF108" s="27">
        <f>PortfolioFrontier[[#This Row],[P27 Growth]]/PortfolioFrontier[[#This Row],[P27 HWM]]-1</f>
        <v>0</v>
      </c>
      <c r="DG108" s="28">
        <f>SUMPRODUCT(INDEX(PortfolioRef[[SPY]:[PE]],MATCH(DG$1,PortfolioRef[Reference '#]),0),AssetMonthlyReturns[[#This Row],[SPY]:[PE]])</f>
        <v>3.0424681621657432E-2</v>
      </c>
      <c r="DH108" s="27">
        <f>IF(ISNUMBER(DH107),DH107*(1+PortfolioFrontier[[#This Row],[P28 Return]]),1+PortfolioFrontier[[#This Row],[P28 Return]])</f>
        <v>2.1770719820024866</v>
      </c>
      <c r="DI108" s="27">
        <f>MAX(DI107,PortfolioFrontier[[#This Row],[P28 Growth]])</f>
        <v>2.1862780151518546</v>
      </c>
      <c r="DJ108" s="27">
        <f>PortfolioFrontier[[#This Row],[P28 Growth]]/PortfolioFrontier[[#This Row],[P28 HWM]]-1</f>
        <v>-4.2108245545928735E-3</v>
      </c>
      <c r="DK108" s="28">
        <f>SUMPRODUCT(INDEX(PortfolioRef[[SPY]:[PE]],MATCH(DK$1,PortfolioRef[Reference '#]),0),AssetMonthlyReturns[[#This Row],[SPY]:[PE]])</f>
        <v>2.9665389426851051E-2</v>
      </c>
      <c r="DL108" s="27">
        <f>IF(ISNUMBER(DL107),DL107*(1+PortfolioFrontier[[#This Row],[P29 Return]]),1+PortfolioFrontier[[#This Row],[P29 Return]])</f>
        <v>2.1666524211334663</v>
      </c>
      <c r="DM108" s="27">
        <f>MAX(DM107,PortfolioFrontier[[#This Row],[P29 Growth]])</f>
        <v>2.1666524211334663</v>
      </c>
      <c r="DN108" s="27">
        <f>PortfolioFrontier[[#This Row],[P29 Growth]]/PortfolioFrontier[[#This Row],[P29 HWM]]-1</f>
        <v>0</v>
      </c>
      <c r="DO108" s="28">
        <f>SUMPRODUCT(INDEX(PortfolioRef[[SPY]:[PE]],MATCH(DO$1,PortfolioRef[Reference '#]),0),AssetMonthlyReturns[[#This Row],[SPY]:[PE]])</f>
        <v>2.8906097232044667E-2</v>
      </c>
      <c r="DP108" s="27">
        <f>IF(ISNUMBER(DP107),DP107*(1+PortfolioFrontier[[#This Row],[P30 Return]]),1+PortfolioFrontier[[#This Row],[P30 Return]])</f>
        <v>2.1544428692147455</v>
      </c>
      <c r="DQ108" s="27">
        <f>MAX(DQ107,PortfolioFrontier[[#This Row],[P30 Growth]])</f>
        <v>2.1544428692147455</v>
      </c>
      <c r="DR108" s="27">
        <f>PortfolioFrontier[[#This Row],[P30 Growth]]/PortfolioFrontier[[#This Row],[P30 HWM]]-1</f>
        <v>0</v>
      </c>
      <c r="DS108" s="28">
        <f>SUMPRODUCT(INDEX(PortfolioRef[[SPY]:[PE]],MATCH(DS$1,PortfolioRef[Reference '#]),0),AssetMonthlyReturns[[#This Row],[SPY]:[PE]])</f>
        <v>2.8348720247670735E-2</v>
      </c>
      <c r="DT108" s="27">
        <f>IF(ISNUMBER(DT107),DT107*(1+PortfolioFrontier[[#This Row],[P31 Return]]),1+PortfolioFrontier[[#This Row],[P31 Return]])</f>
        <v>2.1413561525573201</v>
      </c>
      <c r="DU108" s="27">
        <f>MAX(DU107,PortfolioFrontier[[#This Row],[P31 Growth]])</f>
        <v>2.16352980051315</v>
      </c>
      <c r="DV108" s="27">
        <f>PortfolioFrontier[[#This Row],[P31 Growth]]/PortfolioFrontier[[#This Row],[P31 HWM]]-1</f>
        <v>-1.0248829459418851E-2</v>
      </c>
      <c r="DW108" s="28">
        <f>SUMPRODUCT(INDEX(PortfolioRef[[SPY]:[PE]],MATCH(DW$1,PortfolioRef[Reference '#]),0),AssetMonthlyReturns[[#This Row],[SPY]:[PE]])</f>
        <v>2.7589428052864354E-2</v>
      </c>
      <c r="DX108" s="27">
        <f>IF(ISNUMBER(DX107),DX107*(1+PortfolioFrontier[[#This Row],[P32 Return]]),1+PortfolioFrontier[[#This Row],[P32 Return]])</f>
        <v>2.1324850815009406</v>
      </c>
      <c r="DY108" s="27">
        <f>MAX(DY107,PortfolioFrontier[[#This Row],[P32 Growth]])</f>
        <v>2.1447945874545882</v>
      </c>
      <c r="DZ108" s="27">
        <f>PortfolioFrontier[[#This Row],[P32 Growth]]/PortfolioFrontier[[#This Row],[P32 HWM]]-1</f>
        <v>-5.7392470242366711E-3</v>
      </c>
      <c r="EA108" s="28">
        <f>SUMPRODUCT(INDEX(PortfolioRef[[SPY]:[PE]],MATCH(EA$1,PortfolioRef[Reference '#]),0),AssetMonthlyReturns[[#This Row],[SPY]:[PE]])</f>
        <v>2.683013585805797E-2</v>
      </c>
      <c r="EB108" s="27">
        <f>IF(ISNUMBER(EB107),EB107*(1+PortfolioFrontier[[#This Row],[P33 Return]]),1+PortfolioFrontier[[#This Row],[P33 Return]])</f>
        <v>2.1218324515805174</v>
      </c>
      <c r="EC108" s="27">
        <f>MAX(EC107,PortfolioFrontier[[#This Row],[P33 Growth]])</f>
        <v>2.1244612788347679</v>
      </c>
      <c r="ED108" s="27">
        <f>PortfolioFrontier[[#This Row],[P33 Growth]]/PortfolioFrontier[[#This Row],[P33 HWM]]-1</f>
        <v>-1.2374088812258099E-3</v>
      </c>
      <c r="EE108" s="28">
        <f>SUMPRODUCT(INDEX(PortfolioRef[[SPY]:[PE]],MATCH(EE$1,PortfolioRef[Reference '#]),0),AssetMonthlyReturns[[#This Row],[SPY]:[PE]])</f>
        <v>2.5201117518651939E-2</v>
      </c>
      <c r="EF108" s="27">
        <f>IF(ISNUMBER(EF107),EF107*(1+PortfolioFrontier[[#This Row],[P34 Return]]),1+PortfolioFrontier[[#This Row],[P34 Return]])</f>
        <v>1.9166393546186697</v>
      </c>
      <c r="EG108" s="27">
        <f>MAX(EG107,PortfolioFrontier[[#This Row],[P34 Growth]])</f>
        <v>1.9200442071854715</v>
      </c>
      <c r="EH108" s="27">
        <f>PortfolioFrontier[[#This Row],[P34 Growth]]/PortfolioFrontier[[#This Row],[P34 HWM]]-1</f>
        <v>-1.7733198819379625E-3</v>
      </c>
      <c r="EI108" s="28">
        <f>SUMPRODUCT(INDEX(PortfolioRef[[SPY]:[PE]],MATCH(EI$1,PortfolioRef[Reference '#]),0),AssetMonthlyReturns[[#This Row],[SPY]:[PE]])</f>
        <v>2.8014287215345698E-2</v>
      </c>
      <c r="EJ108" s="27">
        <f>IF(ISNUMBER(EJ107),EJ107*(1+PortfolioFrontier[[#This Row],[P35 Return]]),1+PortfolioFrontier[[#This Row],[P35 Return]])</f>
        <v>1.9832821774544862</v>
      </c>
      <c r="EK108" s="27">
        <f>MAX(EK107,PortfolioFrontier[[#This Row],[P35 Growth]])</f>
        <v>1.9832821774544862</v>
      </c>
      <c r="EL108" s="27">
        <f>PortfolioFrontier[[#This Row],[P35 Growth]]/PortfolioFrontier[[#This Row],[P35 HWM]]-1</f>
        <v>0</v>
      </c>
      <c r="EM108" s="28">
        <f>SUMPRODUCT(INDEX(PortfolioRef[[SPY]:[PE]],MATCH(EM$1,PortfolioRef[Reference '#]),0),AssetMonthlyReturns[[#This Row],[SPY]:[PE]])</f>
        <v>2.5938325841358998E-2</v>
      </c>
      <c r="EN108" s="27">
        <f>IF(ISNUMBER(EN107),EN107*(1+PortfolioFrontier[[#This Row],[P36 Return]]),1+PortfolioFrontier[[#This Row],[P36 Return]])</f>
        <v>1.9537653659310037</v>
      </c>
      <c r="EO108" s="27">
        <f>MAX(EO107,PortfolioFrontier[[#This Row],[P36 Growth]])</f>
        <v>1.9631286134359249</v>
      </c>
      <c r="EP108" s="27">
        <f>PortfolioFrontier[[#This Row],[P36 Growth]]/PortfolioFrontier[[#This Row],[P36 HWM]]-1</f>
        <v>-4.7695537830979573E-3</v>
      </c>
      <c r="EQ108" s="28">
        <f>SUMPRODUCT(INDEX(PortfolioRef[[SPY]:[PE]],MATCH(EQ$1,PortfolioRef[Reference '#]),0),AssetMonthlyReturns[[#This Row],[SPY]:[PE]])</f>
        <v>2.5179033646552617E-2</v>
      </c>
      <c r="ER108" s="27">
        <f>IF(ISNUMBER(ER107),ER107*(1+PortfolioFrontier[[#This Row],[P37 Return]]),1+PortfolioFrontier[[#This Row],[P37 Return]])</f>
        <v>1.9423972847730346</v>
      </c>
      <c r="ES108" s="27">
        <f>MAX(ES107,PortfolioFrontier[[#This Row],[P37 Growth]])</f>
        <v>1.9429374908279433</v>
      </c>
      <c r="ET108" s="27">
        <f>PortfolioFrontier[[#This Row],[P37 Growth]]/PortfolioFrontier[[#This Row],[P37 HWM]]-1</f>
        <v>-2.7803573581697272E-4</v>
      </c>
      <c r="EU108" s="28">
        <f>SUMPRODUCT(INDEX(PortfolioRef[[SPY]:[PE]],MATCH(EU$1,PortfolioRef[Reference '#]),0),AssetMonthlyReturns[[#This Row],[SPY]:[PE]])</f>
        <v>3.0827456912039464E-2</v>
      </c>
      <c r="EV108" s="27">
        <f>IF(ISNUMBER(EV107),EV107*(1+PortfolioFrontier[[#This Row],[P38 Return]]),1+PortfolioFrontier[[#This Row],[P38 Return]])</f>
        <v>2.0515752782334609</v>
      </c>
      <c r="EW108" s="27">
        <f>MAX(EW107,PortfolioFrontier[[#This Row],[P38 Growth]])</f>
        <v>2.0515752782334609</v>
      </c>
      <c r="EX108" s="27">
        <f>PortfolioFrontier[[#This Row],[P38 Growth]]/PortfolioFrontier[[#This Row],[P38 HWM]]-1</f>
        <v>0</v>
      </c>
      <c r="EY108" s="28">
        <f>SUMPRODUCT(INDEX(PortfolioRef[[SPY]:[PE]],MATCH(EY$1,PortfolioRef[Reference '#]),0),AssetMonthlyReturns[[#This Row],[SPY]:[PE]])</f>
        <v>2.8751495538052761E-2</v>
      </c>
      <c r="EZ108" s="27">
        <f>IF(ISNUMBER(EZ107),EZ107*(1+PortfolioFrontier[[#This Row],[P39 Return]]),1+PortfolioFrontier[[#This Row],[P39 Return]])</f>
        <v>2.0216711673848513</v>
      </c>
      <c r="FA108" s="27">
        <f>MAX(FA107,PortfolioFrontier[[#This Row],[P39 Growth]])</f>
        <v>2.0251775886021459</v>
      </c>
      <c r="FB108" s="27">
        <f>PortfolioFrontier[[#This Row],[P39 Growth]]/PortfolioFrontier[[#This Row],[P39 HWM]]-1</f>
        <v>-1.7314141915399928E-3</v>
      </c>
      <c r="FC108" s="28">
        <f>SUMPRODUCT(INDEX(PortfolioRef[[SPY]:[PE]],MATCH(FC$1,PortfolioRef[Reference '#]),0),AssetMonthlyReturns[[#This Row],[SPY]:[PE]])</f>
        <v>2.7992203343246379E-2</v>
      </c>
      <c r="FD108" s="27">
        <f>IF(ISNUMBER(FD107),FD107*(1+PortfolioFrontier[[#This Row],[P40 Return]]),1+PortfolioFrontier[[#This Row],[P40 Return]])</f>
        <v>2.0099210203000681</v>
      </c>
      <c r="FE108" s="27">
        <f>MAX(FE107,PortfolioFrontier[[#This Row],[P40 Growth]])</f>
        <v>2.0099210203000681</v>
      </c>
      <c r="FF108" s="27">
        <f>PortfolioFrontier[[#This Row],[P40 Growth]]/PortfolioFrontier[[#This Row],[P40 HWM]]-1</f>
        <v>0</v>
      </c>
      <c r="FG108" s="28">
        <f>SUMPRODUCT(INDEX(PortfolioRef[[SPY]:[PE]],MATCH(FG$1,PortfolioRef[Reference '#]),0),AssetMonthlyReturns[[#This Row],[SPY]:[PE]])</f>
        <v>2.667553416406606E-2</v>
      </c>
      <c r="FH108" s="27">
        <f>IF(ISNUMBER(FH107),FH107*(1+PortfolioFrontier[[#This Row],[P41 Return]]),1+PortfolioFrontier[[#This Row],[P41 Return]])</f>
        <v>1.9904350137417373</v>
      </c>
      <c r="FI108" s="27">
        <f>MAX(FI107,PortfolioFrontier[[#This Row],[P41 Growth]])</f>
        <v>2.0060240781799505</v>
      </c>
      <c r="FJ108" s="27">
        <f>PortfolioFrontier[[#This Row],[P41 Growth]]/PortfolioFrontier[[#This Row],[P41 HWM]]-1</f>
        <v>-7.7711252859722357E-3</v>
      </c>
      <c r="FK108" s="28">
        <f>SUMPRODUCT(INDEX(PortfolioRef[[SPY]:[PE]],MATCH(FK$1,PortfolioRef[Reference '#]),0),AssetMonthlyReturns[[#This Row],[SPY]:[PE]])</f>
        <v>2.5916241969259679E-2</v>
      </c>
      <c r="FL108" s="27">
        <f>IF(ISNUMBER(FL107),FL107*(1+PortfolioFrontier[[#This Row],[P42 Return]]),1+PortfolioFrontier[[#This Row],[P42 Return]])</f>
        <v>1.9801374784740124</v>
      </c>
      <c r="FM108" s="27">
        <f>MAX(FM107,PortfolioFrontier[[#This Row],[P42 Growth]])</f>
        <v>1.9866399476315892</v>
      </c>
      <c r="FN108" s="27">
        <f>PortfolioFrontier[[#This Row],[P42 Growth]]/PortfolioFrontier[[#This Row],[P42 HWM]]-1</f>
        <v>-3.2730989655820331E-3</v>
      </c>
      <c r="FO108" s="28">
        <f>SUMPRODUCT(INDEX(PortfolioRef[[SPY]:[PE]],MATCH(FO$1,PortfolioRef[Reference '#]),0),AssetMonthlyReturns[[#This Row],[SPY]:[PE]])</f>
        <v>2.5156949774453295E-2</v>
      </c>
      <c r="FP108" s="27">
        <f>IF(ISNUMBER(FP107),FP107*(1+PortfolioFrontier[[#This Row],[P43 Return]]),1+PortfolioFrontier[[#This Row],[P43 Return]])</f>
        <v>1.9682137020645398</v>
      </c>
      <c r="FQ108" s="27">
        <f>MAX(FQ107,PortfolioFrontier[[#This Row],[P43 Growth]])</f>
        <v>1.9682137020645398</v>
      </c>
      <c r="FR108" s="27">
        <f>PortfolioFrontier[[#This Row],[P43 Growth]]/PortfolioFrontier[[#This Row],[P43 HWM]]-1</f>
        <v>0</v>
      </c>
      <c r="FS108" s="28">
        <f>SUMPRODUCT(INDEX(PortfolioRef[[SPY]:[PE]],MATCH(FS$1,PortfolioRef[Reference '#]),0),AssetMonthlyReturns[[#This Row],[SPY]:[PE]])</f>
        <v>3.1564665234746526E-2</v>
      </c>
      <c r="FT108" s="27">
        <f>IF(ISNUMBER(FT107),FT107*(1+PortfolioFrontier[[#This Row],[P44 Return]]),1+PortfolioFrontier[[#This Row],[P44 Return]])</f>
        <v>2.0912579521907482</v>
      </c>
      <c r="FU108" s="27">
        <f>MAX(FU107,PortfolioFrontier[[#This Row],[P44 Growth]])</f>
        <v>2.0912579521907482</v>
      </c>
      <c r="FV108" s="27">
        <f>PortfolioFrontier[[#This Row],[P44 Growth]]/PortfolioFrontier[[#This Row],[P44 HWM]]-1</f>
        <v>0</v>
      </c>
      <c r="FW108" s="28">
        <f>SUMPRODUCT(INDEX(PortfolioRef[[SPY]:[PE]],MATCH(FW$1,PortfolioRef[Reference '#]),0),AssetMonthlyReturns[[#This Row],[SPY]:[PE]])</f>
        <v>3.0805373039940142E-2</v>
      </c>
      <c r="FX108" s="27">
        <f>IF(ISNUMBER(FX107),FX107*(1+PortfolioFrontier[[#This Row],[P45 Return]]),1+PortfolioFrontier[[#This Row],[P45 Return]])</f>
        <v>2.0791167154962049</v>
      </c>
      <c r="FY108" s="27">
        <f>MAX(FY107,PortfolioFrontier[[#This Row],[P45 Growth]])</f>
        <v>2.0791167154962049</v>
      </c>
      <c r="FZ108" s="27">
        <f>PortfolioFrontier[[#This Row],[P45 Growth]]/PortfolioFrontier[[#This Row],[P45 HWM]]-1</f>
        <v>0</v>
      </c>
      <c r="GA108" s="28">
        <f>SUMPRODUCT(INDEX(PortfolioRef[[SPY]:[PE]],MATCH(GA$1,PortfolioRef[Reference '#]),0),AssetMonthlyReturns[[#This Row],[SPY]:[PE]])</f>
        <v>2.9488703860759823E-2</v>
      </c>
      <c r="GB108" s="27">
        <f>IF(ISNUMBER(GB107),GB107*(1+PortfolioFrontier[[#This Row],[P46 Return]]),1+PortfolioFrontier[[#This Row],[P46 Return]])</f>
        <v>2.0595875732453668</v>
      </c>
      <c r="GC108" s="27">
        <f>MAX(GC107,PortfolioFrontier[[#This Row],[P46 Growth]])</f>
        <v>2.069402642829985</v>
      </c>
      <c r="GD108" s="27">
        <f>PortfolioFrontier[[#This Row],[P46 Growth]]/PortfolioFrontier[[#This Row],[P46 HWM]]-1</f>
        <v>-4.7429482216161389E-3</v>
      </c>
      <c r="GE108" s="28">
        <f>SUMPRODUCT(INDEX(PortfolioRef[[SPY]:[PE]],MATCH(GE$1,PortfolioRef[Reference '#]),0),AssetMonthlyReturns[[#This Row],[SPY]:[PE]])</f>
        <v>2.8729411665953442E-2</v>
      </c>
      <c r="GF108" s="27">
        <f>IF(ISNUMBER(GF107),GF107*(1+PortfolioFrontier[[#This Row],[P47 Return]]),1+PortfolioFrontier[[#This Row],[P47 Return]])</f>
        <v>2.0489447880010165</v>
      </c>
      <c r="GG108" s="27">
        <f>MAX(GG107,PortfolioFrontier[[#This Row],[P47 Growth]])</f>
        <v>2.0494178014818711</v>
      </c>
      <c r="GH108" s="27">
        <f>PortfolioFrontier[[#This Row],[P47 Growth]]/PortfolioFrontier[[#This Row],[P47 HWM]]-1</f>
        <v>-2.308038314650096E-4</v>
      </c>
      <c r="GI108" s="28">
        <f>SUMPRODUCT(INDEX(PortfolioRef[[SPY]:[PE]],MATCH(GI$1,PortfolioRef[Reference '#]),0),AssetMonthlyReturns[[#This Row],[SPY]:[PE]])</f>
        <v>2.7970119471147057E-2</v>
      </c>
      <c r="GJ108" s="27">
        <f>IF(ISNUMBER(GJ107),GJ107*(1+PortfolioFrontier[[#This Row],[P48 Return]]),1+PortfolioFrontier[[#This Row],[P48 Return]])</f>
        <v>2.0366202167332981</v>
      </c>
      <c r="GK108" s="27">
        <f>MAX(GK107,PortfolioFrontier[[#This Row],[P48 Growth]])</f>
        <v>2.0366202167332981</v>
      </c>
      <c r="GL108" s="27">
        <f>PortfolioFrontier[[#This Row],[P48 Growth]]/PortfolioFrontier[[#This Row],[P48 HWM]]-1</f>
        <v>0</v>
      </c>
      <c r="GM108" s="28">
        <f>SUMPRODUCT(INDEX(PortfolioRef[[SPY]:[PE]],MATCH(GM$1,PortfolioRef[Reference '#]),0),AssetMonthlyReturns[[#This Row],[SPY]:[PE]])</f>
        <v>2.7412742486773122E-2</v>
      </c>
      <c r="GN108" s="27">
        <f>IF(ISNUMBER(GN107),GN107*(1+PortfolioFrontier[[#This Row],[P49 Return]]),1+PortfolioFrontier[[#This Row],[P49 Return]])</f>
        <v>2.0265918145301098</v>
      </c>
      <c r="GO108" s="27">
        <f>MAX(GO107,PortfolioFrontier[[#This Row],[P49 Growth]])</f>
        <v>2.0486724769415803</v>
      </c>
      <c r="GP108" s="27">
        <f>PortfolioFrontier[[#This Row],[P49 Growth]]/PortfolioFrontier[[#This Row],[P49 HWM]]-1</f>
        <v>-1.0778034390560132E-2</v>
      </c>
      <c r="GQ108" s="28">
        <f>SUMPRODUCT(INDEX(PortfolioRef[[SPY]:[PE]],MATCH(GQ$1,PortfolioRef[Reference '#]),0),AssetMonthlyReturns[[#This Row],[SPY]:[PE]])</f>
        <v>2.6653450291966741E-2</v>
      </c>
      <c r="GR108" s="27">
        <f>IF(ISNUMBER(GR107),GR107*(1+PortfolioFrontier[[#This Row],[P50 Return]]),1+PortfolioFrontier[[#This Row],[P50 Return]])</f>
        <v>2.0174197850316768</v>
      </c>
      <c r="GS108" s="27">
        <f>MAX(GS107,PortfolioFrontier[[#This Row],[P50 Growth]])</f>
        <v>2.0301559680854639</v>
      </c>
      <c r="GT108" s="27">
        <f>PortfolioFrontier[[#This Row],[P50 Growth]]/PortfolioFrontier[[#This Row],[P50 HWM]]-1</f>
        <v>-6.2734997970613771E-3</v>
      </c>
      <c r="GU108" s="28">
        <f>SUMPRODUCT(INDEX(PortfolioRef[[SPY]:[PE]],MATCH(GU$1,PortfolioRef[Reference '#]),0),AssetMonthlyReturns[[#This Row],[SPY]:[PE]])</f>
        <v>2.5894158097160357E-2</v>
      </c>
      <c r="GV108" s="27">
        <f>IF(ISNUMBER(GV107),GV107*(1+PortfolioFrontier[[#This Row],[P51 Return]]),1+PortfolioFrontier[[#This Row],[P51 Return]])</f>
        <v>2.0065723333645606</v>
      </c>
      <c r="GW108" s="27">
        <f>MAX(GW107,PortfolioFrontier[[#This Row],[P51 Growth]])</f>
        <v>2.0101437748972102</v>
      </c>
      <c r="GX108" s="27">
        <f>PortfolioFrontier[[#This Row],[P51 Growth]]/PortfolioFrontier[[#This Row],[P51 HWM]]-1</f>
        <v>-1.7767094957334972E-3</v>
      </c>
      <c r="GY108" s="28">
        <f>SUMPRODUCT(INDEX(PortfolioRef[[SPY]:[PE]],MATCH(GY$1,PortfolioRef[Reference '#]),0),AssetMonthlyReturns[[#This Row],[SPY]:[PE]])</f>
        <v>3.2301873557453585E-2</v>
      </c>
      <c r="GZ108" s="27">
        <f>IF(ISNUMBER(GZ107),GZ107*(1+PortfolioFrontier[[#This Row],[P52 Return]]),1+PortfolioFrontier[[#This Row],[P52 Return]])</f>
        <v>2.1304514153271334</v>
      </c>
      <c r="HA108" s="27">
        <f>MAX(HA107,PortfolioFrontier[[#This Row],[P52 Growth]])</f>
        <v>2.1341073124467327</v>
      </c>
      <c r="HB108" s="27">
        <f>PortfolioFrontier[[#This Row],[P52 Growth]]/PortfolioFrontier[[#This Row],[P52 HWM]]-1</f>
        <v>-1.7130802646506682E-3</v>
      </c>
      <c r="HC108" s="28">
        <f>SUMPRODUCT(INDEX(PortfolioRef[[SPY]:[PE]],MATCH(HC$1,PortfolioRef[Reference '#]),0),AssetMonthlyReturns[[#This Row],[SPY]:[PE]])</f>
        <v>3.1542581362647204E-2</v>
      </c>
      <c r="HD108" s="27">
        <f>IF(ISNUMBER(HD107),HD107*(1+PortfolioFrontier[[#This Row],[P53 Return]]),1+PortfolioFrontier[[#This Row],[P53 Return]])</f>
        <v>2.1194552594702705</v>
      </c>
      <c r="HE108" s="27">
        <f>MAX(HE107,PortfolioFrontier[[#This Row],[P53 Growth]])</f>
        <v>2.1194552594702705</v>
      </c>
      <c r="HF108" s="27">
        <f>PortfolioFrontier[[#This Row],[P53 Growth]]/PortfolioFrontier[[#This Row],[P53 HWM]]-1</f>
        <v>0</v>
      </c>
      <c r="HG108" s="28">
        <f>SUMPRODUCT(INDEX(PortfolioRef[[SPY]:[PE]],MATCH(HG$1,PortfolioRef[Reference '#]),0),AssetMonthlyReturns[[#This Row],[SPY]:[PE]])</f>
        <v>3.078328916784082E-2</v>
      </c>
      <c r="HH108" s="27">
        <f>IF(ISNUMBER(HH107),HH107*(1+PortfolioFrontier[[#This Row],[P54 Return]]),1+PortfolioFrontier[[#This Row],[P54 Return]])</f>
        <v>2.1067204202802889</v>
      </c>
      <c r="HI108" s="27">
        <f>MAX(HI107,PortfolioFrontier[[#This Row],[P54 Growth]])</f>
        <v>2.1067204202802889</v>
      </c>
      <c r="HJ108" s="27">
        <f>PortfolioFrontier[[#This Row],[P54 Growth]]/PortfolioFrontier[[#This Row],[P54 HWM]]-1</f>
        <v>0</v>
      </c>
      <c r="HK108" s="28">
        <f>SUMPRODUCT(INDEX(PortfolioRef[[SPY]:[PE]],MATCH(HK$1,PortfolioRef[Reference '#]),0),AssetMonthlyReturns[[#This Row],[SPY]:[PE]])</f>
        <v>3.0225912183466885E-2</v>
      </c>
      <c r="HL108" s="27">
        <f>IF(ISNUMBER(HL107),HL107*(1+PortfolioFrontier[[#This Row],[P55 Return]]),1+PortfolioFrontier[[#This Row],[P55 Return]])</f>
        <v>2.0969730081496269</v>
      </c>
      <c r="HM108" s="27">
        <f>MAX(HM107,PortfolioFrontier[[#This Row],[P55 Growth]])</f>
        <v>2.1133723972353353</v>
      </c>
      <c r="HN108" s="27">
        <f>PortfolioFrontier[[#This Row],[P55 Growth]]/PortfolioFrontier[[#This Row],[P55 HWM]]-1</f>
        <v>-7.7598198534066798E-3</v>
      </c>
      <c r="HO108" s="28">
        <f>SUMPRODUCT(INDEX(PortfolioRef[[SPY]:[PE]],MATCH(HO$1,PortfolioRef[Reference '#]),0),AssetMonthlyReturns[[#This Row],[SPY]:[PE]])</f>
        <v>2.9466619988660504E-2</v>
      </c>
      <c r="HP108" s="27">
        <f>IF(ISNUMBER(HP107),HP107*(1+PortfolioFrontier[[#This Row],[P56 Return]]),1+PortfolioFrontier[[#This Row],[P56 Return]])</f>
        <v>2.0874943872113279</v>
      </c>
      <c r="HQ108" s="27">
        <f>MAX(HQ107,PortfolioFrontier[[#This Row],[P56 Growth]])</f>
        <v>2.0942823063094425</v>
      </c>
      <c r="HR108" s="27">
        <f>PortfolioFrontier[[#This Row],[P56 Growth]]/PortfolioFrontier[[#This Row],[P56 HWM]]-1</f>
        <v>-3.2411671901465544E-3</v>
      </c>
      <c r="HS108" s="28">
        <f>SUMPRODUCT(INDEX(PortfolioRef[[SPY]:[PE]],MATCH(HS$1,PortfolioRef[Reference '#]),0),AssetMonthlyReturns[[#This Row],[SPY]:[PE]])</f>
        <v>2.8707327793854119E-2</v>
      </c>
      <c r="HT108" s="27">
        <f>IF(ISNUMBER(HT107),HT107*(1+PortfolioFrontier[[#This Row],[P57 Return]]),1+PortfolioFrontier[[#This Row],[P57 Return]])</f>
        <v>2.0762831570595961</v>
      </c>
      <c r="HU108" s="27">
        <f>MAX(HU107,PortfolioFrontier[[#This Row],[P57 Growth]])</f>
        <v>2.0762831570595961</v>
      </c>
      <c r="HV108" s="27">
        <f>PortfolioFrontier[[#This Row],[P57 Growth]]/PortfolioFrontier[[#This Row],[P57 HWM]]-1</f>
        <v>0</v>
      </c>
      <c r="HW108" s="28">
        <f>SUMPRODUCT(INDEX(PortfolioRef[[SPY]:[PE]],MATCH(HW$1,PortfolioRef[Reference '#]),0),AssetMonthlyReturns[[#This Row],[SPY]:[PE]])</f>
        <v>2.8149950809480181E-2</v>
      </c>
      <c r="HX108" s="27">
        <f>IF(ISNUMBER(HX107),HX107*(1+PortfolioFrontier[[#This Row],[P58 Return]]),1+PortfolioFrontier[[#This Row],[P58 Return]])</f>
        <v>2.0621786892139835</v>
      </c>
      <c r="HY108" s="27">
        <f>MAX(HY107,PortfolioFrontier[[#This Row],[P58 Growth]])</f>
        <v>2.0910143650860982</v>
      </c>
      <c r="HZ108" s="27">
        <f>PortfolioFrontier[[#This Row],[P58 Growth]]/PortfolioFrontier[[#This Row],[P58 HWM]]-1</f>
        <v>-1.3790281096862422E-2</v>
      </c>
      <c r="IA108" s="28">
        <f>SUMPRODUCT(INDEX(PortfolioRef[[SPY]:[PE]],MATCH(IA$1,PortfolioRef[Reference '#]),0),AssetMonthlyReturns[[#This Row],[SPY]:[PE]])</f>
        <v>2.73906586146738E-2</v>
      </c>
      <c r="IB108" s="27">
        <f>IF(ISNUMBER(IB107),IB107*(1+PortfolioFrontier[[#This Row],[P59 Return]]),1+PortfolioFrontier[[#This Row],[P59 Return]])</f>
        <v>2.0541869049825303</v>
      </c>
      <c r="IC108" s="27">
        <f>MAX(IC107,PortfolioFrontier[[#This Row],[P59 Growth]])</f>
        <v>2.0734267255216219</v>
      </c>
      <c r="ID108" s="27">
        <f>PortfolioFrontier[[#This Row],[P59 Growth]]/PortfolioFrontier[[#This Row],[P59 HWM]]-1</f>
        <v>-9.2792382302544496E-3</v>
      </c>
      <c r="IE108" s="28">
        <f>SUMPRODUCT(INDEX(PortfolioRef[[SPY]:[PE]],MATCH(IE$1,PortfolioRef[Reference '#]),0),AssetMonthlyReturns[[#This Row],[SPY]:[PE]])</f>
        <v>2.6631366419867415E-2</v>
      </c>
      <c r="IF108" s="27">
        <f>IF(ISNUMBER(IF107),IF107*(1+PortfolioFrontier[[#This Row],[P60 Return]]),1+PortfolioFrontier[[#This Row],[P60 Return]])</f>
        <v>2.044471665928874</v>
      </c>
      <c r="IG108" s="27">
        <f>MAX(IG107,PortfolioFrontier[[#This Row],[P60 Growth]])</f>
        <v>2.0542827966014268</v>
      </c>
      <c r="IH108" s="27">
        <f>PortfolioFrontier[[#This Row],[P60 Growth]]/PortfolioFrontier[[#This Row],[P60 HWM]]-1</f>
        <v>-4.7759396558176848E-3</v>
      </c>
      <c r="II108" s="28">
        <f>SUMPRODUCT(INDEX(PortfolioRef[[SPY]:[PE]],MATCH(II$1,PortfolioRef[Reference '#]),0),AssetMonthlyReturns[[#This Row],[SPY]:[PE]])</f>
        <v>2.4265139757754326E-2</v>
      </c>
      <c r="IJ108" s="27">
        <f>IF(ISNUMBER(IJ107),IJ107*(1+PortfolioFrontier[[#This Row],[P61 Return]]),1+PortfolioFrontier[[#This Row],[P61 Return]])</f>
        <v>1.8108868078885951</v>
      </c>
      <c r="IK108" s="27">
        <f>MAX(IK107,PortfolioFrontier[[#This Row],[P61 Growth]])</f>
        <v>1.8150872229816291</v>
      </c>
      <c r="IL108" s="27">
        <f>PortfolioFrontier[[#This Row],[P61 Growth]]/PortfolioFrontier[[#This Row],[P61 HWM]]-1</f>
        <v>-2.3141670768492828E-3</v>
      </c>
      <c r="IM108" s="28">
        <f>SUMPRODUCT(INDEX(PortfolioRef[[SPY]:[PE]],MATCH(IM$1,PortfolioRef[Reference '#]),0),AssetMonthlyReturns[[#This Row],[SPY]:[PE]])</f>
        <v>2.7078309454448089E-2</v>
      </c>
      <c r="IN108" s="27">
        <f>IF(ISNUMBER(IN107),IN107*(1+PortfolioFrontier[[#This Row],[P62 Return]]),1+PortfolioFrontier[[#This Row],[P62 Return]])</f>
        <v>1.8738674670906463</v>
      </c>
      <c r="IO108" s="27">
        <f>MAX(IO107,PortfolioFrontier[[#This Row],[P62 Growth]])</f>
        <v>1.8738674670906463</v>
      </c>
      <c r="IP108" s="27">
        <f>PortfolioFrontier[[#This Row],[P62 Growth]]/PortfolioFrontier[[#This Row],[P62 HWM]]-1</f>
        <v>0</v>
      </c>
      <c r="IQ108" s="28">
        <f>SUMPRODUCT(INDEX(PortfolioRef[[SPY]:[PE]],MATCH(IQ$1,PortfolioRef[Reference '#]),0),AssetMonthlyReturns[[#This Row],[SPY]:[PE]])</f>
        <v>2.5002348080461392E-2</v>
      </c>
      <c r="IR108" s="27">
        <f>IF(ISNUMBER(IR107),IR107*(1+PortfolioFrontier[[#This Row],[P63 Return]]),1+PortfolioFrontier[[#This Row],[P63 Return]])</f>
        <v>1.8466947607365884</v>
      </c>
      <c r="IS108" s="27">
        <f>MAX(IS107,PortfolioFrontier[[#This Row],[P63 Growth]])</f>
        <v>1.8565469838971056</v>
      </c>
      <c r="IT108" s="27">
        <f>PortfolioFrontier[[#This Row],[P63 Growth]]/PortfolioFrontier[[#This Row],[P63 HWM]]-1</f>
        <v>-5.3067459353148827E-3</v>
      </c>
      <c r="IU108" s="28">
        <f>SUMPRODUCT(INDEX(PortfolioRef[[SPY]:[PE]],MATCH(IU$1,PortfolioRef[Reference '#]),0),AssetMonthlyReturns[[#This Row],[SPY]:[PE]])</f>
        <v>2.4243055885655011E-2</v>
      </c>
      <c r="IV108" s="27">
        <f>IF(ISNUMBER(IV107),IV107*(1+PortfolioFrontier[[#This Row],[P64 Return]]),1+PortfolioFrontier[[#This Row],[P64 Return]])</f>
        <v>1.8352489907395813</v>
      </c>
      <c r="IW108" s="27">
        <f>MAX(IW107,PortfolioFrontier[[#This Row],[P64 Growth]])</f>
        <v>1.8367556368098772</v>
      </c>
      <c r="IX108" s="27">
        <f>PortfolioFrontier[[#This Row],[P64 Growth]]/PortfolioFrontier[[#This Row],[P64 HWM]]-1</f>
        <v>-8.2027572971699048E-4</v>
      </c>
      <c r="IY108" s="28">
        <f>SUMPRODUCT(INDEX(PortfolioRef[[SPY]:[PE]],MATCH(IY$1,PortfolioRef[Reference '#]),0),AssetMonthlyReturns[[#This Row],[SPY]:[PE]])</f>
        <v>2.9891479151141851E-2</v>
      </c>
      <c r="IZ108" s="27">
        <f>IF(ISNUMBER(IZ107),IZ107*(1+PortfolioFrontier[[#This Row],[P65 Return]]),1+PortfolioFrontier[[#This Row],[P65 Return]])</f>
        <v>1.9384072291820673</v>
      </c>
      <c r="JA108" s="27">
        <f>MAX(JA107,PortfolioFrontier[[#This Row],[P65 Growth]])</f>
        <v>1.9384072291820673</v>
      </c>
      <c r="JB108" s="27">
        <f>PortfolioFrontier[[#This Row],[P65 Growth]]/PortfolioFrontier[[#This Row],[P65 HWM]]-1</f>
        <v>0</v>
      </c>
      <c r="JC108" s="28">
        <f>SUMPRODUCT(INDEX(PortfolioRef[[SPY]:[PE]],MATCH(JC$1,PortfolioRef[Reference '#]),0),AssetMonthlyReturns[[#This Row],[SPY]:[PE]])</f>
        <v>2.7815517777155151E-2</v>
      </c>
      <c r="JD108" s="27">
        <f>IF(ISNUMBER(JD107),JD107*(1+PortfolioFrontier[[#This Row],[P66 Return]]),1+PortfolioFrontier[[#This Row],[P66 Return]])</f>
        <v>1.9108940761748818</v>
      </c>
      <c r="JE108" s="27">
        <f>MAX(JE107,PortfolioFrontier[[#This Row],[P66 Growth]])</f>
        <v>1.9152375861100503</v>
      </c>
      <c r="JF108" s="27">
        <f>PortfolioFrontier[[#This Row],[P66 Growth]]/PortfolioFrontier[[#This Row],[P66 HWM]]-1</f>
        <v>-2.2678700369442861E-3</v>
      </c>
      <c r="JG108" s="28">
        <f>SUMPRODUCT(INDEX(PortfolioRef[[SPY]:[PE]],MATCH(JG$1,PortfolioRef[Reference '#]),0),AssetMonthlyReturns[[#This Row],[SPY]:[PE]])</f>
        <v>2.705622558234877E-2</v>
      </c>
      <c r="JH108" s="27">
        <f>IF(ISNUMBER(JH107),JH107*(1+PortfolioFrontier[[#This Row],[P67 Return]]),1+PortfolioFrontier[[#This Row],[P67 Return]])</f>
        <v>1.8990630996678803</v>
      </c>
      <c r="JI108" s="27">
        <f>MAX(JI107,PortfolioFrontier[[#This Row],[P67 Growth]])</f>
        <v>1.8990630996678803</v>
      </c>
      <c r="JJ108" s="27">
        <f>PortfolioFrontier[[#This Row],[P67 Growth]]/PortfolioFrontier[[#This Row],[P67 HWM]]-1</f>
        <v>0</v>
      </c>
      <c r="JK108" s="28">
        <f>SUMPRODUCT(INDEX(PortfolioRef[[SPY]:[PE]],MATCH(JK$1,PortfolioRef[Reference '#]),0),AssetMonthlyReturns[[#This Row],[SPY]:[PE]])</f>
        <v>2.573955640316845E-2</v>
      </c>
      <c r="JL108" s="27">
        <f>IF(ISNUMBER(JL107),JL107*(1+PortfolioFrontier[[#This Row],[P68 Return]]),1+PortfolioFrontier[[#This Row],[P68 Return]])</f>
        <v>1.8821013259791488</v>
      </c>
      <c r="JM108" s="27">
        <f>MAX(JM107,PortfolioFrontier[[#This Row],[P68 Growth]])</f>
        <v>1.8978624327562814</v>
      </c>
      <c r="JN108" s="27">
        <f>PortfolioFrontier[[#This Row],[P68 Growth]]/PortfolioFrontier[[#This Row],[P68 HWM]]-1</f>
        <v>-8.3046623954944332E-3</v>
      </c>
      <c r="JO108" s="28">
        <f>SUMPRODUCT(INDEX(PortfolioRef[[SPY]:[PE]],MATCH(JO$1,PortfolioRef[Reference '#]),0),AssetMonthlyReturns[[#This Row],[SPY]:[PE]])</f>
        <v>2.4980264208362069E-2</v>
      </c>
      <c r="JP108" s="27">
        <f>IF(ISNUMBER(JP107),JP107*(1+PortfolioFrontier[[#This Row],[P69 Return]]),1+PortfolioFrontier[[#This Row],[P69 Return]])</f>
        <v>1.871647547681246</v>
      </c>
      <c r="JQ108" s="27">
        <f>MAX(JQ107,PortfolioFrontier[[#This Row],[P69 Growth]])</f>
        <v>1.8788089736287423</v>
      </c>
      <c r="JR108" s="27">
        <f>PortfolioFrontier[[#This Row],[P69 Growth]]/PortfolioFrontier[[#This Row],[P69 HWM]]-1</f>
        <v>-3.8116839167873229E-3</v>
      </c>
      <c r="JS108" s="28">
        <f>SUMPRODUCT(INDEX(PortfolioRef[[SPY]:[PE]],MATCH(JS$1,PortfolioRef[Reference '#]),0),AssetMonthlyReturns[[#This Row],[SPY]:[PE]])</f>
        <v>2.4220972013555685E-2</v>
      </c>
      <c r="JT108" s="27">
        <f>IF(ISNUMBER(JT107),JT107*(1+PortfolioFrontier[[#This Row],[P70 Return]]),1+PortfolioFrontier[[#This Row],[P70 Return]])</f>
        <v>1.8596670722088808</v>
      </c>
      <c r="JU108" s="27">
        <f>MAX(JU107,PortfolioFrontier[[#This Row],[P70 Growth]])</f>
        <v>1.8596670722088808</v>
      </c>
      <c r="JV108" s="27">
        <f>PortfolioFrontier[[#This Row],[P70 Growth]]/PortfolioFrontier[[#This Row],[P70 HWM]]-1</f>
        <v>0</v>
      </c>
      <c r="JW108" s="28">
        <f>SUMPRODUCT(INDEX(PortfolioRef[[SPY]:[PE]],MATCH(JW$1,PortfolioRef[Reference '#]),0),AssetMonthlyReturns[[#This Row],[SPY]:[PE]])</f>
        <v>3.0628687473848917E-2</v>
      </c>
      <c r="JX108" s="27">
        <f>IF(ISNUMBER(JX107),JX107*(1+PortfolioFrontier[[#This Row],[P71 Return]]),1+PortfolioFrontier[[#This Row],[P71 Return]])</f>
        <v>1.9766821198221467</v>
      </c>
      <c r="JY108" s="27">
        <f>MAX(JY107,PortfolioFrontier[[#This Row],[P71 Growth]])</f>
        <v>1.9766821198221467</v>
      </c>
      <c r="JZ108" s="27">
        <f>PortfolioFrontier[[#This Row],[P71 Growth]]/PortfolioFrontier[[#This Row],[P71 HWM]]-1</f>
        <v>0</v>
      </c>
      <c r="KA108" s="28">
        <f>SUMPRODUCT(INDEX(PortfolioRef[[SPY]:[PE]],MATCH(KA$1,PortfolioRef[Reference '#]),0),AssetMonthlyReturns[[#This Row],[SPY]:[PE]])</f>
        <v>2.9869395279042536E-2</v>
      </c>
      <c r="KB108" s="27">
        <f>IF(ISNUMBER(KB107),KB107*(1+PortfolioFrontier[[#This Row],[P72 Return]]),1+PortfolioFrontier[[#This Row],[P72 Return]])</f>
        <v>1.9644568223560215</v>
      </c>
      <c r="KC108" s="27">
        <f>MAX(KC107,PortfolioFrontier[[#This Row],[P72 Growth]])</f>
        <v>1.9644568223560215</v>
      </c>
      <c r="KD108" s="27">
        <f>PortfolioFrontier[[#This Row],[P72 Growth]]/PortfolioFrontier[[#This Row],[P72 HWM]]-1</f>
        <v>0</v>
      </c>
      <c r="KE108" s="28">
        <f>SUMPRODUCT(INDEX(PortfolioRef[[SPY]:[PE]],MATCH(KE$1,PortfolioRef[Reference '#]),0),AssetMonthlyReturns[[#This Row],[SPY]:[PE]])</f>
        <v>2.8552726099862213E-2</v>
      </c>
      <c r="KF108" s="27">
        <f>IF(ISNUMBER(KF107),KF107*(1+PortfolioFrontier[[#This Row],[P73 Return]]),1+PortfolioFrontier[[#This Row],[P73 Return]])</f>
        <v>1.9475049693412014</v>
      </c>
      <c r="KG108" s="27">
        <f>MAX(KG107,PortfolioFrontier[[#This Row],[P73 Growth]])</f>
        <v>1.9578340102103611</v>
      </c>
      <c r="KH108" s="27">
        <f>PortfolioFrontier[[#This Row],[P73 Growth]]/PortfolioFrontier[[#This Row],[P73 HWM]]-1</f>
        <v>-5.2757490243260374E-3</v>
      </c>
      <c r="KI108" s="28">
        <f>SUMPRODUCT(INDEX(PortfolioRef[[SPY]:[PE]],MATCH(KI$1,PortfolioRef[Reference '#]),0),AssetMonthlyReturns[[#This Row],[SPY]:[PE]])</f>
        <v>2.7793433905055832E-2</v>
      </c>
      <c r="KJ108" s="27">
        <f>IF(ISNUMBER(KJ107),KJ107*(1+PortfolioFrontier[[#This Row],[P74 Return]]),1+PortfolioFrontier[[#This Row],[P74 Return]])</f>
        <v>1.9367001253450506</v>
      </c>
      <c r="KK108" s="27">
        <f>MAX(KK107,PortfolioFrontier[[#This Row],[P74 Growth]])</f>
        <v>1.9381899198256074</v>
      </c>
      <c r="KL108" s="27">
        <f>PortfolioFrontier[[#This Row],[P74 Growth]]/PortfolioFrontier[[#This Row],[P74 HWM]]-1</f>
        <v>-7.6865247585788943E-4</v>
      </c>
      <c r="KM108" s="28">
        <f>SUMPRODUCT(INDEX(PortfolioRef[[SPY]:[PE]],MATCH(KM$1,PortfolioRef[Reference '#]),0),AssetMonthlyReturns[[#This Row],[SPY]:[PE]])</f>
        <v>2.7034141710249447E-2</v>
      </c>
      <c r="KN108" s="27">
        <f>IF(ISNUMBER(KN107),KN107*(1+PortfolioFrontier[[#This Row],[P75 Return]]),1+PortfolioFrontier[[#This Row],[P75 Return]])</f>
        <v>1.924316417583583</v>
      </c>
      <c r="KO108" s="27">
        <f>MAX(KO107,PortfolioFrontier[[#This Row],[P75 Growth]])</f>
        <v>1.924316417583583</v>
      </c>
      <c r="KP108" s="27">
        <f>PortfolioFrontier[[#This Row],[P75 Growth]]/PortfolioFrontier[[#This Row],[P75 HWM]]-1</f>
        <v>0</v>
      </c>
      <c r="KQ108" s="28">
        <f>SUMPRODUCT(INDEX(PortfolioRef[[SPY]:[PE]],MATCH(KQ$1,PortfolioRef[Reference '#]),0),AssetMonthlyReturns[[#This Row],[SPY]:[PE]])</f>
        <v>2.6476764725875512E-2</v>
      </c>
      <c r="KR108" s="27">
        <f>IF(ISNUMBER(KR107),KR107*(1+PortfolioFrontier[[#This Row],[P76 Return]]),1+PortfolioFrontier[[#This Row],[P76 Return]])</f>
        <v>1.9170528418767085</v>
      </c>
      <c r="KS108" s="27">
        <f>MAX(KS107,PortfolioFrontier[[#This Row],[P76 Growth]])</f>
        <v>1.9389786504688693</v>
      </c>
      <c r="KT108" s="27">
        <f>PortfolioFrontier[[#This Row],[P76 Growth]]/PortfolioFrontier[[#This Row],[P76 HWM]]-1</f>
        <v>-1.1307916457387934E-2</v>
      </c>
      <c r="KU108" s="28">
        <f>SUMPRODUCT(INDEX(PortfolioRef[[SPY]:[PE]],MATCH(KU$1,PortfolioRef[Reference '#]),0),AssetMonthlyReturns[[#This Row],[SPY]:[PE]])</f>
        <v>2.5717472531069131E-2</v>
      </c>
      <c r="KV108" s="27">
        <f>IF(ISNUMBER(KV107),KV107*(1+PortfolioFrontier[[#This Row],[P77 Return]]),1+PortfolioFrontier[[#This Row],[P77 Return]])</f>
        <v>1.9076437540693156</v>
      </c>
      <c r="KW108" s="27">
        <f>MAX(KW107,PortfolioFrontier[[#This Row],[P77 Growth]])</f>
        <v>1.9207208469397312</v>
      </c>
      <c r="KX108" s="27">
        <f>PortfolioFrontier[[#This Row],[P77 Growth]]/PortfolioFrontier[[#This Row],[P77 HWM]]-1</f>
        <v>-6.8084297055718279E-3</v>
      </c>
      <c r="KY108" s="28">
        <f>SUMPRODUCT(INDEX(PortfolioRef[[SPY]:[PE]],MATCH(KY$1,PortfolioRef[Reference '#]),0),AssetMonthlyReturns[[#This Row],[SPY]:[PE]])</f>
        <v>2.4958180336262747E-2</v>
      </c>
      <c r="KZ108" s="27">
        <f>IF(ISNUMBER(KZ107),KZ107*(1+PortfolioFrontier[[#This Row],[P78 Return]]),1+PortfolioFrontier[[#This Row],[P78 Return]])</f>
        <v>1.896660299240293</v>
      </c>
      <c r="LA108" s="27">
        <f>MAX(LA107,PortfolioFrontier[[#This Row],[P78 Growth]])</f>
        <v>1.9010644710540696</v>
      </c>
      <c r="LB108" s="27">
        <f>PortfolioFrontier[[#This Row],[P78 Growth]]/PortfolioFrontier[[#This Row],[P78 HWM]]-1</f>
        <v>-2.3166872459273735E-3</v>
      </c>
      <c r="LC108" s="28">
        <f>SUMPRODUCT(INDEX(PortfolioRef[[SPY]:[PE]],MATCH(LC$1,PortfolioRef[Reference '#]),0),AssetMonthlyReturns[[#This Row],[SPY]:[PE]])</f>
        <v>3.1365895796555979E-2</v>
      </c>
      <c r="LD108" s="27">
        <f>IF(ISNUMBER(LD107),LD107*(1+PortfolioFrontier[[#This Row],[P79 Return]]),1+PortfolioFrontier[[#This Row],[P79 Return]])</f>
        <v>2.0145266065385949</v>
      </c>
      <c r="LE108" s="27">
        <f>MAX(LE107,PortfolioFrontier[[#This Row],[P79 Growth]])</f>
        <v>2.0190596878179337</v>
      </c>
      <c r="LF108" s="27">
        <f>PortfolioFrontier[[#This Row],[P79 Growth]]/PortfolioFrontier[[#This Row],[P79 HWM]]-1</f>
        <v>-2.2451447605482677E-3</v>
      </c>
      <c r="LG108" s="28">
        <f>SUMPRODUCT(INDEX(PortfolioRef[[SPY]:[PE]],MATCH(LG$1,PortfolioRef[Reference '#]),0),AssetMonthlyReturns[[#This Row],[SPY]:[PE]])</f>
        <v>3.0606603601749594E-2</v>
      </c>
      <c r="LH108" s="27">
        <f>IF(ISNUMBER(LH107),LH107*(1+PortfolioFrontier[[#This Row],[P80 Return]]),1+PortfolioFrontier[[#This Row],[P80 Return]])</f>
        <v>2.003362420074327</v>
      </c>
      <c r="LI108" s="27">
        <f>MAX(LI107,PortfolioFrontier[[#This Row],[P80 Growth]])</f>
        <v>2.003362420074327</v>
      </c>
      <c r="LJ108" s="27">
        <f>PortfolioFrontier[[#This Row],[P80 Growth]]/PortfolioFrontier[[#This Row],[P80 HWM]]-1</f>
        <v>0</v>
      </c>
      <c r="LK108" s="28">
        <f>SUMPRODUCT(INDEX(PortfolioRef[[SPY]:[PE]],MATCH(LK$1,PortfolioRef[Reference '#]),0),AssetMonthlyReturns[[#This Row],[SPY]:[PE]])</f>
        <v>2.984731140694321E-2</v>
      </c>
      <c r="LL108" s="27">
        <f>IF(ISNUMBER(LL107),LL107*(1+PortfolioFrontier[[#This Row],[P81 Return]]),1+PortfolioFrontier[[#This Row],[P81 Return]])</f>
        <v>1.9905659330827949</v>
      </c>
      <c r="LM108" s="27">
        <f>MAX(LM107,PortfolioFrontier[[#This Row],[P81 Growth]])</f>
        <v>1.9905659330827949</v>
      </c>
      <c r="LN108" s="27">
        <f>PortfolioFrontier[[#This Row],[P81 Growth]]/PortfolioFrontier[[#This Row],[P81 HWM]]-1</f>
        <v>0</v>
      </c>
      <c r="LO108" s="28">
        <f>SUMPRODUCT(INDEX(PortfolioRef[[SPY]:[PE]],MATCH(LO$1,PortfolioRef[Reference '#]),0),AssetMonthlyReturns[[#This Row],[SPY]:[PE]])</f>
        <v>2.9289934422569275E-2</v>
      </c>
      <c r="LP108" s="27">
        <f>IF(ISNUMBER(LP107),LP107*(1+PortfolioFrontier[[#This Row],[P82 Return]]),1+PortfolioFrontier[[#This Row],[P82 Return]])</f>
        <v>1.9836446753181072</v>
      </c>
      <c r="LQ108" s="27">
        <f>MAX(LQ107,PortfolioFrontier[[#This Row],[P82 Growth]])</f>
        <v>2.0002244671454008</v>
      </c>
      <c r="LR108" s="27">
        <f>PortfolioFrontier[[#This Row],[P82 Growth]]/PortfolioFrontier[[#This Row],[P82 HWM]]-1</f>
        <v>-8.2889656134220724E-3</v>
      </c>
      <c r="LS108" s="28">
        <f>SUMPRODUCT(INDEX(PortfolioRef[[SPY]:[PE]],MATCH(LS$1,PortfolioRef[Reference '#]),0),AssetMonthlyReturns[[#This Row],[SPY]:[PE]])</f>
        <v>2.8530642227762894E-2</v>
      </c>
      <c r="LT108" s="27">
        <f>IF(ISNUMBER(LT107),LT107*(1+PortfolioFrontier[[#This Row],[P83 Return]]),1+PortfolioFrontier[[#This Row],[P83 Return]])</f>
        <v>1.9739204304358269</v>
      </c>
      <c r="LU108" s="27">
        <f>MAX(LU107,PortfolioFrontier[[#This Row],[P83 Growth]])</f>
        <v>1.9814009338343495</v>
      </c>
      <c r="LV108" s="27">
        <f>PortfolioFrontier[[#This Row],[P83 Growth]]/PortfolioFrontier[[#This Row],[P83 HWM]]-1</f>
        <v>-3.7753607918445953E-3</v>
      </c>
      <c r="LW108" s="28">
        <f>SUMPRODUCT(INDEX(PortfolioRef[[SPY]:[PE]],MATCH(LW$1,PortfolioRef[Reference '#]),0),AssetMonthlyReturns[[#This Row],[SPY]:[PE]])</f>
        <v>2.7771350032956509E-2</v>
      </c>
      <c r="LX108" s="27">
        <f>IF(ISNUMBER(LX107),LX107*(1+PortfolioFrontier[[#This Row],[P84 Return]]),1+PortfolioFrontier[[#This Row],[P84 Return]])</f>
        <v>1.9625680593114203</v>
      </c>
      <c r="LY108" s="27">
        <f>MAX(LY107,PortfolioFrontier[[#This Row],[P84 Growth]])</f>
        <v>1.9625680593114203</v>
      </c>
      <c r="LZ108" s="27">
        <f>PortfolioFrontier[[#This Row],[P84 Growth]]/PortfolioFrontier[[#This Row],[P84 HWM]]-1</f>
        <v>0</v>
      </c>
      <c r="MA108" s="28">
        <f>SUMPRODUCT(INDEX(PortfolioRef[[SPY]:[PE]],MATCH(MA$1,PortfolioRef[Reference '#]),0),AssetMonthlyReturns[[#This Row],[SPY]:[PE]])</f>
        <v>2.7213973048582574E-2</v>
      </c>
      <c r="MB108" s="27">
        <f>IF(ISNUMBER(MB107),MB107*(1+PortfolioFrontier[[#This Row],[P85 Return]]),1+PortfolioFrontier[[#This Row],[P85 Return]])</f>
        <v>1.9514950095207277</v>
      </c>
      <c r="MC108" s="27">
        <f>MAX(MC107,PortfolioFrontier[[#This Row],[P85 Growth]])</f>
        <v>1.9798393963163579</v>
      </c>
      <c r="MD108" s="27">
        <f>PortfolioFrontier[[#This Row],[P85 Growth]]/PortfolioFrontier[[#This Row],[P85 HWM]]-1</f>
        <v>-1.4316508120995608E-2</v>
      </c>
      <c r="ME108" s="28">
        <f>SUMPRODUCT(INDEX(PortfolioRef[[SPY]:[PE]],MATCH(ME$1,PortfolioRef[Reference '#]),0),AssetMonthlyReturns[[#This Row],[SPY]:[PE]])</f>
        <v>2.6454680853776193E-2</v>
      </c>
      <c r="MF108" s="27">
        <f>IF(ISNUMBER(MF107),MF107*(1+PortfolioFrontier[[#This Row],[P86 Return]]),1+PortfolioFrontier[[#This Row],[P86 Return]])</f>
        <v>1.9431831775643758</v>
      </c>
      <c r="MG108" s="27">
        <f>MAX(MG107,PortfolioFrontier[[#This Row],[P86 Growth]])</f>
        <v>1.9624356784883819</v>
      </c>
      <c r="MH108" s="27">
        <f>PortfolioFrontier[[#This Row],[P86 Growth]]/PortfolioFrontier[[#This Row],[P86 HWM]]-1</f>
        <v>-9.8105130960703946E-3</v>
      </c>
      <c r="MI108" s="28">
        <f>SUMPRODUCT(INDEX(PortfolioRef[[SPY]:[PE]],MATCH(MI$1,PortfolioRef[Reference '#]),0),AssetMonthlyReturns[[#This Row],[SPY]:[PE]])</f>
        <v>2.5695388658969809E-2</v>
      </c>
      <c r="MJ108" s="27">
        <f>IF(ISNUMBER(MJ107),MJ107*(1+PortfolioFrontier[[#This Row],[P87 Return]]),1+PortfolioFrontier[[#This Row],[P87 Return]])</f>
        <v>1.9332503221159201</v>
      </c>
      <c r="MK108" s="27">
        <f>MAX(MK107,PortfolioFrontier[[#This Row],[P87 Growth]])</f>
        <v>1.9435751029857915</v>
      </c>
      <c r="ML108" s="27">
        <f>PortfolioFrontier[[#This Row],[P87 Growth]]/PortfolioFrontier[[#This Row],[P87 HWM]]-1</f>
        <v>-5.3122623633170551E-3</v>
      </c>
      <c r="MM108" s="28">
        <f>SUMPRODUCT(INDEX(PortfolioRef[[SPY]:[PE]],MATCH(MM$1,PortfolioRef[Reference '#]),0),AssetMonthlyReturns[[#This Row],[SPY]:[PE]])</f>
        <v>3.2103104119263037E-2</v>
      </c>
      <c r="MN108" s="27">
        <f>IF(ISNUMBER(MN107),MN107*(1+PortfolioFrontier[[#This Row],[P88 Return]]),1+PortfolioFrontier[[#This Row],[P88 Return]])</f>
        <v>2.0518833650511761</v>
      </c>
      <c r="MO108" s="27">
        <f>MAX(MO107,PortfolioFrontier[[#This Row],[P88 Growth]])</f>
        <v>2.0627506033065552</v>
      </c>
      <c r="MP108" s="27">
        <f>PortfolioFrontier[[#This Row],[P88 Growth]]/PortfolioFrontier[[#This Row],[P88 HWM]]-1</f>
        <v>-5.2683238768463925E-3</v>
      </c>
      <c r="MQ108" s="28">
        <f>SUMPRODUCT(INDEX(PortfolioRef[[SPY]:[PE]],MATCH(MQ$1,PortfolioRef[Reference '#]),0),AssetMonthlyReturns[[#This Row],[SPY]:[PE]])</f>
        <v>3.1343811924456656E-2</v>
      </c>
      <c r="MR108" s="27">
        <f>IF(ISNUMBER(MR107),MR107*(1+PortfolioFrontier[[#This Row],[P89 Return]]),1+PortfolioFrontier[[#This Row],[P89 Return]])</f>
        <v>2.0418365662451339</v>
      </c>
      <c r="MS108" s="27">
        <f>MAX(MS107,PortfolioFrontier[[#This Row],[P89 Growth]])</f>
        <v>2.0433498731749444</v>
      </c>
      <c r="MT108" s="27">
        <f>PortfolioFrontier[[#This Row],[P89 Growth]]/PortfolioFrontier[[#This Row],[P89 HWM]]-1</f>
        <v>-7.4060098550776665E-4</v>
      </c>
      <c r="MU108" s="28">
        <f>SUMPRODUCT(INDEX(PortfolioRef[[SPY]:[PE]],MATCH(MU$1,PortfolioRef[Reference '#]),0),AssetMonthlyReturns[[#This Row],[SPY]:[PE]])</f>
        <v>3.0584519729650272E-2</v>
      </c>
      <c r="MV108" s="27">
        <f>IF(ISNUMBER(MV107),MV107*(1+PortfolioFrontier[[#This Row],[P90 Return]]),1+PortfolioFrontier[[#This Row],[P90 Return]])</f>
        <v>2.0301065740296016</v>
      </c>
      <c r="MW108" s="27">
        <f>MAX(MW107,PortfolioFrontier[[#This Row],[P90 Growth]])</f>
        <v>2.0301065740296016</v>
      </c>
      <c r="MX108" s="27">
        <f>PortfolioFrontier[[#This Row],[P90 Growth]]/PortfolioFrontier[[#This Row],[P90 HWM]]-1</f>
        <v>0</v>
      </c>
      <c r="MY108" s="28">
        <f>SUMPRODUCT(INDEX(PortfolioRef[[SPY]:[PE]],MATCH(MY$1,PortfolioRef[Reference '#]),0),AssetMonthlyReturns[[#This Row],[SPY]:[PE]])</f>
        <v>3.0027142745276337E-2</v>
      </c>
      <c r="MZ108" s="27">
        <f>IF(ISNUMBER(MZ107),MZ107*(1+PortfolioFrontier[[#This Row],[P91 Return]]),1+PortfolioFrontier[[#This Row],[P91 Return]])</f>
        <v>2.0192570659017597</v>
      </c>
      <c r="NA108" s="27">
        <f>MAX(NA107,PortfolioFrontier[[#This Row],[P91 Growth]])</f>
        <v>2.042350990170303</v>
      </c>
      <c r="NB108" s="27">
        <f>PortfolioFrontier[[#This Row],[P91 Growth]]/PortfolioFrontier[[#This Row],[P91 HWM]]-1</f>
        <v>-1.1307519804231836E-2</v>
      </c>
      <c r="NC108" s="28">
        <f>SUMPRODUCT(INDEX(PortfolioRef[[SPY]:[PE]],MATCH(NC$1,PortfolioRef[Reference '#]),0),AssetMonthlyReturns[[#This Row],[SPY]:[PE]])</f>
        <v>2.9267850550469956E-2</v>
      </c>
      <c r="ND108" s="27">
        <f>IF(ISNUMBER(ND107),ND107*(1+PortfolioFrontier[[#This Row],[P92 Return]]),1+PortfolioFrontier[[#This Row],[P92 Return]])</f>
        <v>2.0106677474614663</v>
      </c>
      <c r="NE108" s="27">
        <f>MAX(NE107,PortfolioFrontier[[#This Row],[P92 Growth]])</f>
        <v>2.0244082294609687</v>
      </c>
      <c r="NF108" s="27">
        <f>PortfolioFrontier[[#This Row],[P92 Growth]]/PortfolioFrontier[[#This Row],[P92 HWM]]-1</f>
        <v>-6.7874067095454738E-3</v>
      </c>
      <c r="NG108" s="28">
        <f>SUMPRODUCT(INDEX(PortfolioRef[[SPY]:[PE]],MATCH(NG$1,PortfolioRef[Reference '#]),0),AssetMonthlyReturns[[#This Row],[SPY]:[PE]])</f>
        <v>2.8508558355663571E-2</v>
      </c>
      <c r="NH108" s="27">
        <f>IF(ISNUMBER(NH107),NH107*(1+PortfolioFrontier[[#This Row],[P93 Return]]),1+PortfolioFrontier[[#This Row],[P93 Return]])</f>
        <v>2.0004020887244862</v>
      </c>
      <c r="NI108" s="27">
        <f>MAX(NI107,PortfolioFrontier[[#This Row],[P93 Growth]])</f>
        <v>2.0049634565904411</v>
      </c>
      <c r="NJ108" s="27">
        <f>PortfolioFrontier[[#This Row],[P93 Growth]]/PortfolioFrontier[[#This Row],[P93 HWM]]-1</f>
        <v>-2.2750379070308746E-3</v>
      </c>
      <c r="NK108" s="28">
        <f>SUMPRODUCT(INDEX(PortfolioRef[[SPY]:[PE]],MATCH(NK$1,PortfolioRef[Reference '#]),0),AssetMonthlyReturns[[#This Row],[SPY]:[PE]])</f>
        <v>2.7951181371289633E-2</v>
      </c>
      <c r="NL108" s="27">
        <f>IF(ISNUMBER(NL107),NL107*(1+PortfolioFrontier[[#This Row],[P94 Return]]),1+PortfolioFrontier[[#This Row],[P94 Return]])</f>
        <v>1.9853729941810059</v>
      </c>
      <c r="NM108" s="27">
        <f>MAX(NM107,PortfolioFrontier[[#This Row],[P94 Growth]])</f>
        <v>2.0203871878359139</v>
      </c>
      <c r="NN108" s="27">
        <f>PortfolioFrontier[[#This Row],[P94 Growth]]/PortfolioFrontier[[#This Row],[P94 HWM]]-1</f>
        <v>-1.7330437386317343E-2</v>
      </c>
      <c r="NO108" s="28">
        <f>SUMPRODUCT(INDEX(PortfolioRef[[SPY]:[PE]],MATCH(NO$1,PortfolioRef[Reference '#]),0),AssetMonthlyReturns[[#This Row],[SPY]:[PE]])</f>
        <v>2.7191889176483252E-2</v>
      </c>
      <c r="NP108" s="27">
        <f>IF(ISNUMBER(NP107),NP107*(1+PortfolioFrontier[[#This Row],[P95 Return]]),1+PortfolioFrontier[[#This Row],[P95 Return]])</f>
        <v>1.9782107285932093</v>
      </c>
      <c r="NQ108" s="27">
        <f>MAX(NQ107,PortfolioFrontier[[#This Row],[P95 Growth]])</f>
        <v>2.0038965423933455</v>
      </c>
      <c r="NR108" s="27">
        <f>PortfolioFrontier[[#This Row],[P95 Growth]]/PortfolioFrontier[[#This Row],[P95 HWM]]-1</f>
        <v>-1.2817934088283023E-2</v>
      </c>
      <c r="NS108" s="28">
        <f>SUMPRODUCT(INDEX(PortfolioRef[[SPY]:[PE]],MATCH(NS$1,PortfolioRef[Reference '#]),0),AssetMonthlyReturns[[#This Row],[SPY]:[PE]])</f>
        <v>2.6432596981676867E-2</v>
      </c>
      <c r="NT108" s="27">
        <f>IF(ISNUMBER(NT107),NT107*(1+PortfolioFrontier[[#This Row],[P96 Return]]),1+PortfolioFrontier[[#This Row],[P96 Return]])</f>
        <v>1.96938193497078</v>
      </c>
      <c r="NU108" s="27">
        <f>MAX(NU107,PortfolioFrontier[[#This Row],[P96 Growth]])</f>
        <v>1.985890994502683</v>
      </c>
      <c r="NV108" s="27">
        <f>PortfolioFrontier[[#This Row],[P96 Growth]]/PortfolioFrontier[[#This Row],[P96 HWM]]-1</f>
        <v>-8.3131750824205763E-3</v>
      </c>
      <c r="NW108" s="28">
        <f>SUMPRODUCT(INDEX(PortfolioRef[[SPY]:[PE]],MATCH(NW$1,PortfolioRef[Reference '#]),0),AssetMonthlyReturns[[#This Row],[SPY]:[PE]])</f>
        <v>2.332916199685672E-2</v>
      </c>
      <c r="NX108" s="27">
        <f>IF(ISNUMBER(NX107),NX107*(1+PortfolioFrontier[[#This Row],[P97 Return]]),1+PortfolioFrontier[[#This Row],[P97 Return]])</f>
        <v>1.710146601064104</v>
      </c>
      <c r="NY108" s="27">
        <f>MAX(NY107,PortfolioFrontier[[#This Row],[P97 Growth]])</f>
        <v>1.7150442381584041</v>
      </c>
      <c r="NZ108" s="27">
        <f>PortfolioFrontier[[#This Row],[P97 Growth]]/PortfolioFrontier[[#This Row],[P97 HWM]]-1</f>
        <v>-2.8556914074467921E-3</v>
      </c>
      <c r="OA108" s="28">
        <f>SUMPRODUCT(INDEX(PortfolioRef[[SPY]:[PE]],MATCH(OA$1,PortfolioRef[Reference '#]),0),AssetMonthlyReturns[[#This Row],[SPY]:[PE]])</f>
        <v>2.6142331693550482E-2</v>
      </c>
      <c r="OB108" s="27">
        <f>IF(ISNUMBER(OB107),OB107*(1+PortfolioFrontier[[#This Row],[P98 Return]]),1+PortfolioFrontier[[#This Row],[P98 Return]])</f>
        <v>1.7696382480347455</v>
      </c>
      <c r="OC108" s="27">
        <f>MAX(OC107,PortfolioFrontier[[#This Row],[P98 Growth]])</f>
        <v>1.7696382480347455</v>
      </c>
      <c r="OD108" s="27">
        <f>PortfolioFrontier[[#This Row],[P98 Growth]]/PortfolioFrontier[[#This Row],[P98 HWM]]-1</f>
        <v>0</v>
      </c>
      <c r="OE108" s="28">
        <f>SUMPRODUCT(INDEX(PortfolioRef[[SPY]:[PE]],MATCH(OE$1,PortfolioRef[Reference '#]),0),AssetMonthlyReturns[[#This Row],[SPY]:[PE]])</f>
        <v>2.4066370319563778E-2</v>
      </c>
      <c r="OF108" s="27">
        <f>IF(ISNUMBER(OF107),OF107*(1+PortfolioFrontier[[#This Row],[P99 Return]]),1+PortfolioFrontier[[#This Row],[P99 Return]])</f>
        <v>1.7446517320159356</v>
      </c>
      <c r="OG108" s="27">
        <f>MAX(OG107,PortfolioFrontier[[#This Row],[P99 Growth]])</f>
        <v>1.7549084969324611</v>
      </c>
      <c r="OH108" s="27">
        <f>PortfolioFrontier[[#This Row],[P99 Growth]]/PortfolioFrontier[[#This Row],[P99 HWM]]-1</f>
        <v>-5.844615223217664E-3</v>
      </c>
      <c r="OI108" s="28">
        <f>SUMPRODUCT(INDEX(PortfolioRef[[SPY]:[PE]],MATCH(OI$1,PortfolioRef[Reference '#]),0),AssetMonthlyReturns[[#This Row],[SPY]:[PE]])</f>
        <v>2.3307078124757397E-2</v>
      </c>
      <c r="OJ108" s="27">
        <f>IF(ISNUMBER(OJ107),OJ107*(1+PortfolioFrontier[[#This Row],[P100 Return]]),1+PortfolioFrontier[[#This Row],[P100 Return]])</f>
        <v>1.7331776413133124</v>
      </c>
      <c r="OK108" s="27">
        <f>MAX(OK107,PortfolioFrontier[[#This Row],[P100 Growth]])</f>
        <v>1.7355435218493072</v>
      </c>
      <c r="OL108" s="27">
        <f>PortfolioFrontier[[#This Row],[P100 Growth]]/PortfolioFrontier[[#This Row],[P100 HWM]]-1</f>
        <v>-1.3631928593030862E-3</v>
      </c>
      <c r="OM108" s="28">
        <f>SUMPRODUCT(INDEX(PortfolioRef[[SPY]:[PE]],MATCH(OM$1,PortfolioRef[Reference '#]),0),AssetMonthlyReturns[[#This Row],[SPY]:[PE]])</f>
        <v>2.8955501390244241E-2</v>
      </c>
      <c r="ON108" s="27">
        <f>IF(ISNUMBER(ON107),ON107*(1+PortfolioFrontier[[#This Row],[P101 Return]]),1+PortfolioFrontier[[#This Row],[P101 Return]])</f>
        <v>1.8306021736809088</v>
      </c>
      <c r="OO108" s="27">
        <f>MAX(OO107,PortfolioFrontier[[#This Row],[P101 Growth]])</f>
        <v>1.8306021736809088</v>
      </c>
      <c r="OP108" s="27">
        <f>PortfolioFrontier[[#This Row],[P101 Growth]]/PortfolioFrontier[[#This Row],[P101 HWM]]-1</f>
        <v>0</v>
      </c>
      <c r="OQ108" s="28">
        <f>SUMPRODUCT(INDEX(PortfolioRef[[SPY]:[PE]],MATCH(OQ$1,PortfolioRef[Reference '#]),0),AssetMonthlyReturns[[#This Row],[SPY]:[PE]])</f>
        <v>2.6879540016257541E-2</v>
      </c>
      <c r="OR108" s="27">
        <f>IF(ISNUMBER(OR107),OR107*(1+PortfolioFrontier[[#This Row],[P102 Return]]),1+PortfolioFrontier[[#This Row],[P102 Return]])</f>
        <v>1.8053181968851026</v>
      </c>
      <c r="OS108" s="27">
        <f>MAX(OS107,PortfolioFrontier[[#This Row],[P102 Growth]])</f>
        <v>1.8103963641503833</v>
      </c>
      <c r="OT108" s="27">
        <f>PortfolioFrontier[[#This Row],[P102 Growth]]/PortfolioFrontier[[#This Row],[P102 HWM]]-1</f>
        <v>-2.8050030180345464E-3</v>
      </c>
      <c r="OU108" s="28">
        <f>SUMPRODUCT(INDEX(PortfolioRef[[SPY]:[PE]],MATCH(OU$1,PortfolioRef[Reference '#]),0),AssetMonthlyReturns[[#This Row],[SPY]:[PE]])</f>
        <v>2.612024782145116E-2</v>
      </c>
      <c r="OV108" s="27">
        <f>IF(ISNUMBER(OV107),OV107*(1+PortfolioFrontier[[#This Row],[P103 Return]]),1+PortfolioFrontier[[#This Row],[P103 Return]])</f>
        <v>1.7934574630431737</v>
      </c>
      <c r="OW108" s="27">
        <f>MAX(OW107,PortfolioFrontier[[#This Row],[P103 Growth]])</f>
        <v>1.7934574630431737</v>
      </c>
      <c r="OX108" s="27">
        <f>PortfolioFrontier[[#This Row],[P103 Growth]]/PortfolioFrontier[[#This Row],[P103 HWM]]-1</f>
        <v>0</v>
      </c>
      <c r="OY108" s="28">
        <f>SUMPRODUCT(INDEX(PortfolioRef[[SPY]:[PE]],MATCH(OY$1,PortfolioRef[Reference '#]),0),AssetMonthlyReturns[[#This Row],[SPY]:[PE]])</f>
        <v>2.4803578642270837E-2</v>
      </c>
      <c r="OZ108" s="27">
        <f>IF(ISNUMBER(OZ107),OZ107*(1+PortfolioFrontier[[#This Row],[P104 Return]]),1+PortfolioFrontier[[#This Row],[P104 Return]])</f>
        <v>1.7788063778429022</v>
      </c>
      <c r="PA108" s="27">
        <f>MAX(PA107,PortfolioFrontier[[#This Row],[P104 Growth]])</f>
        <v>1.7946692378470963</v>
      </c>
      <c r="PB108" s="27">
        <f>PortfolioFrontier[[#This Row],[P104 Growth]]/PortfolioFrontier[[#This Row],[P104 HWM]]-1</f>
        <v>-8.8388766407024866E-3</v>
      </c>
      <c r="PC108" s="28">
        <f>SUMPRODUCT(INDEX(PortfolioRef[[SPY]:[PE]],MATCH(PC$1,PortfolioRef[Reference '#]),0),AssetMonthlyReturns[[#This Row],[SPY]:[PE]])</f>
        <v>2.4044286447464456E-2</v>
      </c>
      <c r="PD108" s="27">
        <f>IF(ISNUMBER(PD107),PD107*(1+PortfolioFrontier[[#This Row],[P105 Return]]),1+PortfolioFrontier[[#This Row],[P105 Return]])</f>
        <v>1.768250270740632</v>
      </c>
      <c r="PE108" s="27">
        <f>MAX(PE107,PortfolioFrontier[[#This Row],[P105 Growth]])</f>
        <v>1.7759774527412606</v>
      </c>
      <c r="PF108" s="27">
        <f>PortfolioFrontier[[#This Row],[P105 Growth]]/PortfolioFrontier[[#This Row],[P105 HWM]]-1</f>
        <v>-4.3509460036790237E-3</v>
      </c>
      <c r="PG108" s="28">
        <f>SUMPRODUCT(INDEX(PortfolioRef[[SPY]:[PE]],MATCH(PG$1,PortfolioRef[Reference '#]),0),AssetMonthlyReturns[[#This Row],[SPY]:[PE]])</f>
        <v>2.3284994252658071E-2</v>
      </c>
      <c r="PH108" s="27">
        <f>IF(ISNUMBER(PH107),PH107*(1+PortfolioFrontier[[#This Row],[P106 Return]]),1+PortfolioFrontier[[#This Row],[P106 Return]])</f>
        <v>1.7562620682979679</v>
      </c>
      <c r="PI108" s="27">
        <f>MAX(PI107,PortfolioFrontier[[#This Row],[P106 Growth]])</f>
        <v>1.7562620682979679</v>
      </c>
      <c r="PJ108" s="27">
        <f>PortfolioFrontier[[#This Row],[P106 Growth]]/PortfolioFrontier[[#This Row],[P106 HWM]]-1</f>
        <v>0</v>
      </c>
      <c r="PK108" s="28">
        <f>SUMPRODUCT(INDEX(PortfolioRef[[SPY]:[PE]],MATCH(PK$1,PortfolioRef[Reference '#]),0),AssetMonthlyReturns[[#This Row],[SPY]:[PE]])</f>
        <v>2.9692709712951303E-2</v>
      </c>
      <c r="PL108" s="27">
        <f>IF(ISNUMBER(PL107),PL107*(1+PortfolioFrontier[[#This Row],[P107 Return]]),1+PortfolioFrontier[[#This Row],[P107 Return]])</f>
        <v>1.8674854976526092</v>
      </c>
      <c r="PM108" s="27">
        <f>MAX(PM107,PortfolioFrontier[[#This Row],[P107 Growth]])</f>
        <v>1.8674854976526092</v>
      </c>
      <c r="PN108" s="27">
        <f>PortfolioFrontier[[#This Row],[P107 Growth]]/PortfolioFrontier[[#This Row],[P107 HWM]]-1</f>
        <v>0</v>
      </c>
      <c r="PO108" s="28">
        <f>SUMPRODUCT(INDEX(PortfolioRef[[SPY]:[PE]],MATCH(PO$1,PortfolioRef[Reference '#]),0),AssetMonthlyReturns[[#This Row],[SPY]:[PE]])</f>
        <v>2.8933417518144922E-2</v>
      </c>
      <c r="PP108" s="27">
        <f>IF(ISNUMBER(PP107),PP107*(1+PortfolioFrontier[[#This Row],[P108 Return]]),1+PortfolioFrontier[[#This Row],[P108 Return]])</f>
        <v>1.8552289577565164</v>
      </c>
      <c r="PQ108" s="27">
        <f>MAX(PQ107,PortfolioFrontier[[#This Row],[P108 Growth]])</f>
        <v>1.8552289577565164</v>
      </c>
      <c r="PR108" s="27">
        <f>PortfolioFrontier[[#This Row],[P108 Growth]]/PortfolioFrontier[[#This Row],[P108 HWM]]-1</f>
        <v>0</v>
      </c>
      <c r="PS108" s="28">
        <f>SUMPRODUCT(INDEX(PortfolioRef[[SPY]:[PE]],MATCH(PS$1,PortfolioRef[Reference '#]),0),AssetMonthlyReturns[[#This Row],[SPY]:[PE]])</f>
        <v>2.7616748338964599E-2</v>
      </c>
      <c r="PT108" s="27">
        <f>IF(ISNUMBER(PT107),PT107*(1+PortfolioFrontier[[#This Row],[P109 Return]]),1+PortfolioFrontier[[#This Row],[P109 Return]])</f>
        <v>1.8406350863752274</v>
      </c>
      <c r="PU108" s="27">
        <f>MAX(PU107,PortfolioFrontier[[#This Row],[P109 Growth]])</f>
        <v>1.8513902324319915</v>
      </c>
      <c r="PV108" s="27">
        <f>PortfolioFrontier[[#This Row],[P109 Growth]]/PortfolioFrontier[[#This Row],[P109 HWM]]-1</f>
        <v>-5.8092269627220139E-3</v>
      </c>
      <c r="PW108" s="28">
        <f>SUMPRODUCT(INDEX(PortfolioRef[[SPY]:[PE]],MATCH(PW$1,PortfolioRef[Reference '#]),0),AssetMonthlyReturns[[#This Row],[SPY]:[PE]])</f>
        <v>2.6857456144158218E-2</v>
      </c>
      <c r="PX108" s="27">
        <f>IF(ISNUMBER(PX107),PX107*(1+PortfolioFrontier[[#This Row],[P110 Return]]),1+PortfolioFrontier[[#This Row],[P110 Return]])</f>
        <v>1.8297239554024307</v>
      </c>
      <c r="PY108" s="27">
        <f>MAX(PY107,PortfolioFrontier[[#This Row],[P110 Growth]])</f>
        <v>1.8321188613402666</v>
      </c>
      <c r="PZ108" s="27">
        <f>PortfolioFrontier[[#This Row],[P110 Growth]]/PortfolioFrontier[[#This Row],[P110 HWM]]-1</f>
        <v>-1.3071782559368472E-3</v>
      </c>
      <c r="QA108" s="28">
        <f>SUMPRODUCT(INDEX(PortfolioRef[[SPY]:[PE]],MATCH(QA$1,PortfolioRef[Reference '#]),0),AssetMonthlyReturns[[#This Row],[SPY]:[PE]])</f>
        <v>2.6098163949351834E-2</v>
      </c>
      <c r="QB108" s="27">
        <f>IF(ISNUMBER(QB107),QB107*(1+PortfolioFrontier[[#This Row],[P111 Return]]),1+PortfolioFrontier[[#This Row],[P111 Return]])</f>
        <v>1.8173317739589061</v>
      </c>
      <c r="QC108" s="27">
        <f>MAX(QC107,PortfolioFrontier[[#This Row],[P111 Growth]])</f>
        <v>1.8173317739589061</v>
      </c>
      <c r="QD108" s="27">
        <f>PortfolioFrontier[[#This Row],[P111 Growth]]/PortfolioFrontier[[#This Row],[P111 HWM]]-1</f>
        <v>0</v>
      </c>
      <c r="QE108" s="28">
        <f>SUMPRODUCT(INDEX(PortfolioRef[[SPY]:[PE]],MATCH(QE$1,PortfolioRef[Reference '#]),0),AssetMonthlyReturns[[#This Row],[SPY]:[PE]])</f>
        <v>2.5540786964977902E-2</v>
      </c>
      <c r="QF108" s="27">
        <f>IF(ISNUMBER(QF107),QF107*(1+PortfolioFrontier[[#This Row],[P112 Return]]),1+PortfolioFrontier[[#This Row],[P112 Return]])</f>
        <v>1.8125596121972043</v>
      </c>
      <c r="QG108" s="27">
        <f>MAX(QG107,PortfolioFrontier[[#This Row],[P112 Growth]])</f>
        <v>1.8342746277311748</v>
      </c>
      <c r="QH108" s="27">
        <f>PortfolioFrontier[[#This Row],[P112 Growth]]/PortfolioFrontier[[#This Row],[P112 HWM]]-1</f>
        <v>-1.1838475659901593E-2</v>
      </c>
      <c r="QI108" s="28">
        <f>SUMPRODUCT(INDEX(PortfolioRef[[SPY]:[PE]],MATCH(QI$1,PortfolioRef[Reference '#]),0),AssetMonthlyReturns[[#This Row],[SPY]:[PE]])</f>
        <v>2.4781494770171521E-2</v>
      </c>
      <c r="QJ108" s="27">
        <f>IF(ISNUMBER(QJ107),QJ107*(1+PortfolioFrontier[[#This Row],[P113 Return]]),1+PortfolioFrontier[[#This Row],[P113 Return]])</f>
        <v>1.8029719624019476</v>
      </c>
      <c r="QK108" s="27">
        <f>MAX(QK107,PortfolioFrontier[[#This Row],[P113 Growth]])</f>
        <v>1.8163110172617278</v>
      </c>
      <c r="QL108" s="27">
        <f>PortfolioFrontier[[#This Row],[P113 Growth]]/PortfolioFrontier[[#This Row],[P113 HWM]]-1</f>
        <v>-7.3440367497689119E-3</v>
      </c>
      <c r="QM108" s="28">
        <f>SUMPRODUCT(INDEX(PortfolioRef[[SPY]:[PE]],MATCH(QM$1,PortfolioRef[Reference '#]),0),AssetMonthlyReturns[[#This Row],[SPY]:[PE]])</f>
        <v>2.4022202575365137E-2</v>
      </c>
      <c r="QN108" s="27">
        <f>IF(ISNUMBER(QN107),QN107*(1+PortfolioFrontier[[#This Row],[P114 Return]]),1+PortfolioFrontier[[#This Row],[P114 Return]])</f>
        <v>1.7919060793756518</v>
      </c>
      <c r="QO108" s="27">
        <f>MAX(QO107,PortfolioFrontier[[#This Row],[P114 Growth]])</f>
        <v>1.7970408398800195</v>
      </c>
      <c r="QP108" s="27">
        <f>PortfolioFrontier[[#This Row],[P114 Growth]]/PortfolioFrontier[[#This Row],[P114 HWM]]-1</f>
        <v>-2.8573421318073278E-3</v>
      </c>
      <c r="QQ108" s="28">
        <f>SUMPRODUCT(INDEX(PortfolioRef[[SPY]:[PE]],MATCH(QQ$1,PortfolioRef[Reference '#]),0),AssetMonthlyReturns[[#This Row],[SPY]:[PE]])</f>
        <v>3.0429918035658365E-2</v>
      </c>
      <c r="QR108" s="27">
        <f>IF(ISNUMBER(QR107),QR107*(1+PortfolioFrontier[[#This Row],[P115 Return]]),1+PortfolioFrontier[[#This Row],[P115 Return]])</f>
        <v>1.9039928714451422</v>
      </c>
      <c r="QS108" s="27">
        <f>MAX(QS107,PortfolioFrontier[[#This Row],[P115 Growth]])</f>
        <v>1.9092966807130365</v>
      </c>
      <c r="QT108" s="27">
        <f>PortfolioFrontier[[#This Row],[P115 Growth]]/PortfolioFrontier[[#This Row],[P115 HWM]]-1</f>
        <v>-2.7778863921313901E-3</v>
      </c>
      <c r="QU108" s="28">
        <f>SUMPRODUCT(INDEX(PortfolioRef[[SPY]:[PE]],MATCH(QU$1,PortfolioRef[Reference '#]),0),AssetMonthlyReturns[[#This Row],[SPY]:[PE]])</f>
        <v>2.9670625840851984E-2</v>
      </c>
      <c r="QV108" s="27">
        <f>IF(ISNUMBER(QV107),QV107*(1+PortfolioFrontier[[#This Row],[P116 Return]]),1+PortfolioFrontier[[#This Row],[P116 Return]])</f>
        <v>1.8927183297524774</v>
      </c>
      <c r="QW108" s="27">
        <f>MAX(QW107,PortfolioFrontier[[#This Row],[P116 Growth]])</f>
        <v>1.8927183297524774</v>
      </c>
      <c r="QX108" s="27">
        <f>PortfolioFrontier[[#This Row],[P116 Growth]]/PortfolioFrontier[[#This Row],[P116 HWM]]-1</f>
        <v>0</v>
      </c>
      <c r="QY108" s="28">
        <f>SUMPRODUCT(INDEX(PortfolioRef[[SPY]:[PE]],MATCH(QY$1,PortfolioRef[Reference '#]),0),AssetMonthlyReturns[[#This Row],[SPY]:[PE]])</f>
        <v>2.89113336460456E-2</v>
      </c>
      <c r="QZ108" s="27">
        <f>IF(ISNUMBER(QZ107),QZ107*(1+PortfolioFrontier[[#This Row],[P117 Return]]),1+PortfolioFrontier[[#This Row],[P117 Return]])</f>
        <v>1.8799125904691645</v>
      </c>
      <c r="RA108" s="27">
        <f>MAX(RA107,PortfolioFrontier[[#This Row],[P117 Growth]])</f>
        <v>1.8799125904691645</v>
      </c>
      <c r="RB108" s="27">
        <f>PortfolioFrontier[[#This Row],[P117 Growth]]/PortfolioFrontier[[#This Row],[P117 HWM]]-1</f>
        <v>0</v>
      </c>
      <c r="RC108" s="28">
        <f>SUMPRODUCT(INDEX(PortfolioRef[[SPY]:[PE]],MATCH(RC$1,PortfolioRef[Reference '#]),0),AssetMonthlyReturns[[#This Row],[SPY]:[PE]])</f>
        <v>2.8353956661671665E-2</v>
      </c>
      <c r="RD108" s="27">
        <f>IF(ISNUMBER(RD107),RD107*(1+PortfolioFrontier[[#This Row],[P118 Return]]),1+PortfolioFrontier[[#This Row],[P118 Return]])</f>
        <v>1.8755362716534327</v>
      </c>
      <c r="RE108" s="27">
        <f>MAX(RE107,PortfolioFrontier[[#This Row],[P118 Growth]])</f>
        <v>1.8922233895377825</v>
      </c>
      <c r="RF108" s="27">
        <f>PortfolioFrontier[[#This Row],[P118 Growth]]/PortfolioFrontier[[#This Row],[P118 HWM]]-1</f>
        <v>-8.8187885091230989E-3</v>
      </c>
      <c r="RG108" s="28">
        <f>SUMPRODUCT(INDEX(PortfolioRef[[SPY]:[PE]],MATCH(RG$1,PortfolioRef[Reference '#]),0),AssetMonthlyReturns[[#This Row],[SPY]:[PE]])</f>
        <v>2.7594664466865284E-2</v>
      </c>
      <c r="RH108" s="27">
        <f>IF(ISNUMBER(RH107),RH107*(1+PortfolioFrontier[[#This Row],[P119 Return]]),1+PortfolioFrontier[[#This Row],[P119 Return]])</f>
        <v>1.8656269114233175</v>
      </c>
      <c r="RI108" s="27">
        <f>MAX(RI107,PortfolioFrontier[[#This Row],[P119 Growth]])</f>
        <v>1.8737030051927106</v>
      </c>
      <c r="RJ108" s="27">
        <f>PortfolioFrontier[[#This Row],[P119 Growth]]/PortfolioFrontier[[#This Row],[P119 HWM]]-1</f>
        <v>-4.3102315292291582E-3</v>
      </c>
      <c r="RK108" s="28">
        <f>SUMPRODUCT(INDEX(PortfolioRef[[SPY]:[PE]],MATCH(RK$1,PortfolioRef[Reference '#]),0),AssetMonthlyReturns[[#This Row],[SPY]:[PE]])</f>
        <v>2.6835372272058899E-2</v>
      </c>
      <c r="RL108" s="27">
        <f>IF(ISNUMBER(RL107),RL107*(1+PortfolioFrontier[[#This Row],[P120 Return]]),1+PortfolioFrontier[[#This Row],[P120 Return]])</f>
        <v>1.8541888204916892</v>
      </c>
      <c r="RM108" s="27">
        <f>MAX(RM107,PortfolioFrontier[[#This Row],[P120 Growth]])</f>
        <v>1.8541888204916892</v>
      </c>
      <c r="RN108" s="27">
        <f>PortfolioFrontier[[#This Row],[P120 Growth]]/PortfolioFrontier[[#This Row],[P120 HWM]]-1</f>
        <v>0</v>
      </c>
      <c r="RO108" s="28">
        <f>SUMPRODUCT(INDEX(PortfolioRef[[SPY]:[PE]],MATCH(RO$1,PortfolioRef[Reference '#]),0),AssetMonthlyReturns[[#This Row],[SPY]:[PE]])</f>
        <v>2.6277995287684961E-2</v>
      </c>
      <c r="RP108" s="27">
        <f>IF(ISNUMBER(RP107),RP107*(1+PortfolioFrontier[[#This Row],[P121 Return]]),1+PortfolioFrontier[[#This Row],[P121 Return]])</f>
        <v>1.8458598365220216</v>
      </c>
      <c r="RQ108" s="27">
        <f>MAX(RQ107,PortfolioFrontier[[#This Row],[P121 Growth]])</f>
        <v>1.8736715153024748</v>
      </c>
      <c r="RR108" s="27">
        <f>PortfolioFrontier[[#This Row],[P121 Growth]]/PortfolioFrontier[[#This Row],[P121 HWM]]-1</f>
        <v>-1.4843412280814539E-2</v>
      </c>
      <c r="RS108" s="28">
        <f>SUMPRODUCT(INDEX(PortfolioRef[[SPY]:[PE]],MATCH(RS$1,PortfolioRef[Reference '#]),0),AssetMonthlyReturns[[#This Row],[SPY]:[PE]])</f>
        <v>2.551870309287858E-2</v>
      </c>
      <c r="RT108" s="27">
        <f>IF(ISNUMBER(RT107),RT107*(1+PortfolioFrontier[[#This Row],[P122 Return]]),1+PortfolioFrontier[[#This Row],[P122 Return]])</f>
        <v>1.8372910629719308</v>
      </c>
      <c r="RU108" s="27">
        <f>MAX(RU107,PortfolioFrontier[[#This Row],[P122 Growth]])</f>
        <v>1.8564917642475929</v>
      </c>
      <c r="RV108" s="27">
        <f>PortfolioFrontier[[#This Row],[P122 Growth]]/PortfolioFrontier[[#This Row],[P122 HWM]]-1</f>
        <v>-1.0342465097572751E-2</v>
      </c>
      <c r="RW108" s="28">
        <f>SUMPRODUCT(INDEX(PortfolioRef[[SPY]:[PE]],MATCH(RW$1,PortfolioRef[Reference '#]),0),AssetMonthlyReturns[[#This Row],[SPY]:[PE]])</f>
        <v>2.4759410898072196E-2</v>
      </c>
      <c r="RX108" s="27">
        <f>IF(ISNUMBER(RX107),RX107*(1+PortfolioFrontier[[#This Row],[P123 Return]]),1+PortfolioFrontier[[#This Row],[P123 Return]])</f>
        <v>1.8271988066407945</v>
      </c>
      <c r="RY108" s="27">
        <f>MAX(RY107,PortfolioFrontier[[#This Row],[P123 Growth]])</f>
        <v>1.8379494549249487</v>
      </c>
      <c r="RZ108" s="27">
        <f>PortfolioFrontier[[#This Row],[P123 Growth]]/PortfolioFrontier[[#This Row],[P123 HWM]]-1</f>
        <v>-5.8492622065023925E-3</v>
      </c>
      <c r="SA108" s="28">
        <f>SUMPRODUCT(INDEX(PortfolioRef[[SPY]:[PE]],MATCH(SA$1,PortfolioRef[Reference '#]),0),AssetMonthlyReturns[[#This Row],[SPY]:[PE]])</f>
        <v>3.1167126358365427E-2</v>
      </c>
      <c r="SB108" s="27">
        <f>IF(ISNUMBER(SB107),SB107*(1+PortfolioFrontier[[#This Row],[P124 Return]]),1+PortfolioFrontier[[#This Row],[P124 Return]])</f>
        <v>1.9400698904038978</v>
      </c>
      <c r="SC108" s="27">
        <f>MAX(SC107,PortfolioFrontier[[#This Row],[P124 Growth]])</f>
        <v>1.9513828578064003</v>
      </c>
      <c r="SD108" s="27">
        <f>PortfolioFrontier[[#This Row],[P124 Growth]]/PortfolioFrontier[[#This Row],[P124 HWM]]-1</f>
        <v>-5.7974104657348979E-3</v>
      </c>
      <c r="SE108" s="28">
        <f>SUMPRODUCT(INDEX(PortfolioRef[[SPY]:[PE]],MATCH(SE$1,PortfolioRef[Reference '#]),0),AssetMonthlyReturns[[#This Row],[SPY]:[PE]])</f>
        <v>3.0407834163559046E-2</v>
      </c>
      <c r="SF108" s="27">
        <f>IF(ISNUMBER(SF107),SF107*(1+PortfolioFrontier[[#This Row],[P125 Return]]),1+PortfolioFrontier[[#This Row],[P125 Return]])</f>
        <v>1.9298312494459369</v>
      </c>
      <c r="SG108" s="27">
        <f>MAX(SG107,PortfolioFrontier[[#This Row],[P125 Growth]])</f>
        <v>1.9322944135692068</v>
      </c>
      <c r="SH108" s="27">
        <f>PortfolioFrontier[[#This Row],[P125 Growth]]/PortfolioFrontier[[#This Row],[P125 HWM]]-1</f>
        <v>-1.2747354160799196E-3</v>
      </c>
      <c r="SI108" s="28">
        <f>SUMPRODUCT(INDEX(PortfolioRef[[SPY]:[PE]],MATCH(SI$1,PortfolioRef[Reference '#]),0),AssetMonthlyReturns[[#This Row],[SPY]:[PE]])</f>
        <v>2.9648541968752662E-2</v>
      </c>
      <c r="SJ108" s="27">
        <f>IF(ISNUMBER(SJ107),SJ107*(1+PortfolioFrontier[[#This Row],[P126 Return]]),1+PortfolioFrontier[[#This Row],[P126 Return]])</f>
        <v>1.9180121517310231</v>
      </c>
      <c r="SK108" s="27">
        <f>MAX(SK107,PortfolioFrontier[[#This Row],[P126 Growth]])</f>
        <v>1.9180121517310231</v>
      </c>
      <c r="SL108" s="27">
        <f>PortfolioFrontier[[#This Row],[P126 Growth]]/PortfolioFrontier[[#This Row],[P126 HWM]]-1</f>
        <v>0</v>
      </c>
      <c r="SM108" s="28">
        <f>SUMPRODUCT(INDEX(PortfolioRef[[SPY]:[PE]],MATCH(SM$1,PortfolioRef[Reference '#]),0),AssetMonthlyReturns[[#This Row],[SPY]:[PE]])</f>
        <v>2.9091164984378724E-2</v>
      </c>
      <c r="SN108" s="27">
        <f>IF(ISNUMBER(SN107),SN107*(1+PortfolioFrontier[[#This Row],[P127 Return]]),1+PortfolioFrontier[[#This Row],[P127 Return]])</f>
        <v>1.909968414637871</v>
      </c>
      <c r="SO108" s="27">
        <f>MAX(SO107,PortfolioFrontier[[#This Row],[P127 Growth]])</f>
        <v>1.9328410519375887</v>
      </c>
      <c r="SP108" s="27">
        <f>PortfolioFrontier[[#This Row],[P127 Growth]]/PortfolioFrontier[[#This Row],[P127 HWM]]-1</f>
        <v>-1.1833687657238467E-2</v>
      </c>
      <c r="SQ108" s="28">
        <f>SUMPRODUCT(INDEX(PortfolioRef[[SPY]:[PE]],MATCH(SQ$1,PortfolioRef[Reference '#]),0),AssetMonthlyReturns[[#This Row],[SPY]:[PE]])</f>
        <v>2.8331872789572343E-2</v>
      </c>
      <c r="SR108" s="27">
        <f>IF(ISNUMBER(SR107),SR107*(1+PortfolioFrontier[[#This Row],[P128 Return]]),1+PortfolioFrontier[[#This Row],[P128 Return]])</f>
        <v>1.9011129350983236</v>
      </c>
      <c r="SS108" s="27">
        <f>MAX(SS107,PortfolioFrontier[[#This Row],[P128 Growth]])</f>
        <v>1.9151290414077722</v>
      </c>
      <c r="ST108" s="27">
        <f>PortfolioFrontier[[#This Row],[P128 Growth]]/PortfolioFrontier[[#This Row],[P128 HWM]]-1</f>
        <v>-7.3186224042353087E-3</v>
      </c>
      <c r="SU108" s="28">
        <f>SUMPRODUCT(INDEX(PortfolioRef[[SPY]:[PE]],MATCH(SU$1,PortfolioRef[Reference '#]),0),AssetMonthlyReturns[[#This Row],[SPY]:[PE]])</f>
        <v>2.7572580594765958E-2</v>
      </c>
      <c r="SV108" s="27">
        <f>IF(ISNUMBER(SV107),SV107*(1+PortfolioFrontier[[#This Row],[P129 Return]]),1+PortfolioFrontier[[#This Row],[P129 Return]])</f>
        <v>1.8906819638043886</v>
      </c>
      <c r="SW108" s="27">
        <f>MAX(SW107,PortfolioFrontier[[#This Row],[P129 Growth]])</f>
        <v>1.8960122257112415</v>
      </c>
      <c r="SX108" s="27">
        <f>PortfolioFrontier[[#This Row],[P129 Growth]]/PortfolioFrontier[[#This Row],[P129 HWM]]-1</f>
        <v>-2.8113014434035799E-3</v>
      </c>
      <c r="SY108" s="28">
        <f>SUMPRODUCT(INDEX(PortfolioRef[[SPY]:[PE]],MATCH(SY$1,PortfolioRef[Reference '#]),0),AssetMonthlyReturns[[#This Row],[SPY]:[PE]])</f>
        <v>2.7015203610392027E-2</v>
      </c>
      <c r="SZ108" s="27">
        <f>IF(ISNUMBER(SZ107),SZ107*(1+PortfolioFrontier[[#This Row],[P130 Return]]),1+PortfolioFrontier[[#This Row],[P130 Return]])</f>
        <v>1.8786548743089744</v>
      </c>
      <c r="TA108" s="27">
        <f>MAX(TA107,PortfolioFrontier[[#This Row],[P130 Growth]])</f>
        <v>1.9128055041216194</v>
      </c>
      <c r="TB108" s="27">
        <f>PortfolioFrontier[[#This Row],[P130 Growth]]/PortfolioFrontier[[#This Row],[P130 HWM]]-1</f>
        <v>-1.7853686503441657E-2</v>
      </c>
      <c r="TC108" s="28">
        <f>SUMPRODUCT(INDEX(PortfolioRef[[SPY]:[PE]],MATCH(TC$1,PortfolioRef[Reference '#]),0),AssetMonthlyReturns[[#This Row],[SPY]:[PE]])</f>
        <v>2.6255911415585646E-2</v>
      </c>
      <c r="TD108" s="27">
        <f>IF(ISNUMBER(TD107),TD107*(1+PortfolioFrontier[[#This Row],[P131 Return]]),1+PortfolioFrontier[[#This Row],[P131 Return]])</f>
        <v>1.8711552269681744</v>
      </c>
      <c r="TE108" s="27">
        <f>MAX(TE107,PortfolioFrontier[[#This Row],[P131 Growth]])</f>
        <v>1.8964658990295515</v>
      </c>
      <c r="TF108" s="27">
        <f>PortfolioFrontier[[#This Row],[P131 Growth]]/PortfolioFrontier[[#This Row],[P131 HWM]]-1</f>
        <v>-1.3346231047090762E-2</v>
      </c>
      <c r="TG108" s="28">
        <f>SUMPRODUCT(INDEX(PortfolioRef[[SPY]:[PE]],MATCH(TG$1,PortfolioRef[Reference '#]),0),AssetMonthlyReturns[[#This Row],[SPY]:[PE]])</f>
        <v>2.5496619220779261E-2</v>
      </c>
      <c r="TH108" s="27">
        <f>IF(ISNUMBER(TH107),TH107*(1+PortfolioFrontier[[#This Row],[P132 Return]]),1+PortfolioFrontier[[#This Row],[P132 Return]])</f>
        <v>1.8620878671341887</v>
      </c>
      <c r="TI108" s="27">
        <f>MAX(TI107,PortfolioFrontier[[#This Row],[P132 Growth]])</f>
        <v>1.8787078938715052</v>
      </c>
      <c r="TJ108" s="27">
        <f>PortfolioFrontier[[#This Row],[P132 Growth]]/PortfolioFrontier[[#This Row],[P132 HWM]]-1</f>
        <v>-8.8465198829111857E-3</v>
      </c>
      <c r="TK108" s="28">
        <f>SUMPRODUCT(INDEX(PortfolioRef[[SPY]:[PE]],MATCH(TK$1,PortfolioRef[Reference '#]),0),AssetMonthlyReturns[[#This Row],[SPY]:[PE]])</f>
        <v>3.190433468107249E-2</v>
      </c>
      <c r="TL108" s="27">
        <f>IF(ISNUMBER(TL107),TL107*(1+PortfolioFrontier[[#This Row],[P133 Return]]),1+PortfolioFrontier[[#This Row],[P133 Return]])</f>
        <v>1.9756614351528157</v>
      </c>
      <c r="TM108" s="27">
        <f>MAX(TM107,PortfolioFrontier[[#This Row],[P133 Growth]])</f>
        <v>1.9932463973140933</v>
      </c>
      <c r="TN108" s="27">
        <f>PortfolioFrontier[[#This Row],[P133 Growth]]/PortfolioFrontier[[#This Row],[P133 HWM]]-1</f>
        <v>-8.8222721410525784E-3</v>
      </c>
      <c r="TO108" s="28">
        <f>SUMPRODUCT(INDEX(PortfolioRef[[SPY]:[PE]],MATCH(TO$1,PortfolioRef[Reference '#]),0),AssetMonthlyReturns[[#This Row],[SPY]:[PE]])</f>
        <v>3.1145042486266105E-2</v>
      </c>
      <c r="TP108" s="27">
        <f>IF(ISNUMBER(TP107),TP107*(1+PortfolioFrontier[[#This Row],[P134 Return]]),1+PortfolioFrontier[[#This Row],[P134 Return]])</f>
        <v>1.9665125362704463</v>
      </c>
      <c r="TQ108" s="27">
        <f>MAX(TQ107,PortfolioFrontier[[#This Row],[P134 Growth]])</f>
        <v>1.9749913495494129</v>
      </c>
      <c r="TR108" s="27">
        <f>PortfolioFrontier[[#This Row],[P134 Growth]]/PortfolioFrontier[[#This Row],[P134 HWM]]-1</f>
        <v>-4.2930888182882709E-3</v>
      </c>
      <c r="TS108" s="28">
        <f>SUMPRODUCT(INDEX(PortfolioRef[[SPY]:[PE]],MATCH(TS$1,PortfolioRef[Reference '#]),0),AssetMonthlyReturns[[#This Row],[SPY]:[PE]])</f>
        <v>3.0385750291459721E-2</v>
      </c>
      <c r="TT108" s="27">
        <f>IF(ISNUMBER(TT107),TT107*(1+PortfolioFrontier[[#This Row],[P135 Return]]),1+PortfolioFrontier[[#This Row],[P135 Return]])</f>
        <v>1.9557348722470731</v>
      </c>
      <c r="TU108" s="27">
        <f>MAX(TU107,PortfolioFrontier[[#This Row],[P135 Growth]])</f>
        <v>1.9557348722470731</v>
      </c>
      <c r="TV108" s="27">
        <f>PortfolioFrontier[[#This Row],[P135 Growth]]/PortfolioFrontier[[#This Row],[P135 HWM]]-1</f>
        <v>0</v>
      </c>
      <c r="TW108" s="28">
        <f>SUMPRODUCT(INDEX(PortfolioRef[[SPY]:[PE]],MATCH(TW$1,PortfolioRef[Reference '#]),0),AssetMonthlyReturns[[#This Row],[SPY]:[PE]])</f>
        <v>2.9828373307085786E-2</v>
      </c>
      <c r="TX108" s="27">
        <f>IF(ISNUMBER(TX107),TX107*(1+PortfolioFrontier[[#This Row],[P136 Return]]),1+PortfolioFrontier[[#This Row],[P136 Return]])</f>
        <v>1.9438775814419151</v>
      </c>
      <c r="TY108" s="27">
        <f>MAX(TY107,PortfolioFrontier[[#This Row],[P136 Growth]])</f>
        <v>1.9731871542724757</v>
      </c>
      <c r="TZ108" s="27">
        <f>PortfolioFrontier[[#This Row],[P136 Growth]]/PortfolioFrontier[[#This Row],[P136 HWM]]-1</f>
        <v>-1.4853924407067787E-2</v>
      </c>
      <c r="UA108" s="28">
        <f>SUMPRODUCT(INDEX(PortfolioRef[[SPY]:[PE]],MATCH(UA$1,PortfolioRef[Reference '#]),0),AssetMonthlyReturns[[#This Row],[SPY]:[PE]])</f>
        <v>2.9069081112279405E-2</v>
      </c>
      <c r="UB108" s="27">
        <f>IF(ISNUMBER(UB107),UB107*(1+PortfolioFrontier[[#This Row],[P137 Return]]),1+PortfolioFrontier[[#This Row],[P137 Return]])</f>
        <v>1.9361279166058909</v>
      </c>
      <c r="UC108" s="27">
        <f>MAX(UC107,PortfolioFrontier[[#This Row],[P137 Growth]])</f>
        <v>1.9563415236714476</v>
      </c>
      <c r="UD108" s="27">
        <f>PortfolioFrontier[[#This Row],[P137 Growth]]/PortfolioFrontier[[#This Row],[P137 HWM]]-1</f>
        <v>-1.0332350880955632E-2</v>
      </c>
      <c r="UE108" s="28">
        <f>SUMPRODUCT(INDEX(PortfolioRef[[SPY]:[PE]],MATCH(UE$1,PortfolioRef[Reference '#]),0),AssetMonthlyReturns[[#This Row],[SPY]:[PE]])</f>
        <v>2.830978891747302E-2</v>
      </c>
      <c r="UF108" s="27">
        <f>IF(ISNUMBER(UF107),UF107*(1+PortfolioFrontier[[#This Row],[P138 Return]]),1+PortfolioFrontier[[#This Row],[P138 Return]])</f>
        <v>1.926757053991748</v>
      </c>
      <c r="UG108" s="27">
        <f>MAX(UG107,PortfolioFrontier[[#This Row],[P138 Growth]])</f>
        <v>1.938033544120856</v>
      </c>
      <c r="UH108" s="27">
        <f>PortfolioFrontier[[#This Row],[P138 Growth]]/PortfolioFrontier[[#This Row],[P138 HWM]]-1</f>
        <v>-5.818521647014796E-3</v>
      </c>
      <c r="UI108" s="28">
        <f>SUMPRODUCT(INDEX(PortfolioRef[[SPY]:[PE]],MATCH(UI$1,PortfolioRef[Reference '#]),0),AssetMonthlyReturns[[#This Row],[SPY]:[PE]])</f>
        <v>2.7752411933099085E-2</v>
      </c>
      <c r="UJ108" s="27">
        <f>IF(ISNUMBER(UJ107),UJ107*(1+PortfolioFrontier[[#This Row],[P139 Return]]),1+PortfolioFrontier[[#This Row],[P139 Return]])</f>
        <v>1.91089206957756</v>
      </c>
      <c r="UK108" s="27">
        <f>MAX(UK107,PortfolioFrontier[[#This Row],[P139 Growth]])</f>
        <v>1.951621031098326</v>
      </c>
      <c r="UL108" s="27">
        <f>PortfolioFrontier[[#This Row],[P139 Growth]]/PortfolioFrontier[[#This Row],[P139 HWM]]-1</f>
        <v>-2.0869298327782726E-2</v>
      </c>
      <c r="UM108" s="28">
        <f>SUMPRODUCT(INDEX(PortfolioRef[[SPY]:[PE]],MATCH(UM$1,PortfolioRef[Reference '#]),0),AssetMonthlyReturns[[#This Row],[SPY]:[PE]])</f>
        <v>2.6993119738292704E-2</v>
      </c>
      <c r="UN108" s="27">
        <f>IF(ISNUMBER(UN107),UN107*(1+PortfolioFrontier[[#This Row],[P140 Return]]),1+PortfolioFrontier[[#This Row],[P140 Return]])</f>
        <v>1.9045115120617453</v>
      </c>
      <c r="UO108" s="27">
        <f>MAX(UO107,PortfolioFrontier[[#This Row],[P140 Growth]])</f>
        <v>1.9361783569313893</v>
      </c>
      <c r="UP108" s="27">
        <f>PortfolioFrontier[[#This Row],[P140 Growth]]/PortfolioFrontier[[#This Row],[P140 HWM]]-1</f>
        <v>-1.6355334598322946E-2</v>
      </c>
      <c r="UQ108" s="28">
        <f>SUMPRODUCT(INDEX(PortfolioRef[[SPY]:[PE]],MATCH(UQ$1,PortfolioRef[Reference '#]),0),AssetMonthlyReturns[[#This Row],[SPY]:[PE]])</f>
        <v>2.623382754348632E-2</v>
      </c>
      <c r="UR108" s="27">
        <f>IF(ISNUMBER(UR107),UR107*(1+PortfolioFrontier[[#This Row],[P141 Return]]),1+PortfolioFrontier[[#This Row],[P141 Return]])</f>
        <v>1.8965201654728021</v>
      </c>
      <c r="US108" s="27">
        <f>MAX(US107,PortfolioFrontier[[#This Row],[P141 Growth]])</f>
        <v>1.9192617186006657</v>
      </c>
      <c r="UT108" s="27">
        <f>PortfolioFrontier[[#This Row],[P141 Growth]]/PortfolioFrontier[[#This Row],[P141 HWM]]-1</f>
        <v>-1.1849115161034152E-2</v>
      </c>
    </row>
    <row r="109" spans="2:566" x14ac:dyDescent="0.2">
      <c r="B109" s="41">
        <f>AssetMonthlyReturns[[#This Row],[Date]]</f>
        <v>45689</v>
      </c>
      <c r="C109" s="28">
        <f>SUMPRODUCT(INDEX(PortfolioRef[[SPY]:[PE]],MATCH(C$1,PortfolioRef[Reference '#]),0),AssetMonthlyReturns[[#This Row],[SPY]:[PE]])</f>
        <v>1.8392608684976225E-3</v>
      </c>
      <c r="D109" s="29">
        <f>IF(ISNUMBER(D108),D108*(1+PortfolioFrontier[[#This Row],[P1 Return]]),1+PortfolioFrontier[[#This Row],[P1 Return]])</f>
        <v>2.3979891109113609</v>
      </c>
      <c r="E109" s="29">
        <f>MAX(E108,PortfolioFrontier[[#This Row],[P1 Growth]])</f>
        <v>2.3979891109113609</v>
      </c>
      <c r="F109" s="29">
        <f>PortfolioFrontier[[#This Row],[P1 Growth]]/PortfolioFrontier[[#This Row],[P1 HWM]]-1</f>
        <v>0</v>
      </c>
      <c r="G109" s="28">
        <f>SUMPRODUCT(INDEX(PortfolioRef[[SPY]:[PE]],MATCH(G$1,PortfolioRef[Reference '#]),0),AssetMonthlyReturns[[#This Row],[SPY]:[PE]])</f>
        <v>3.423698386655983E-3</v>
      </c>
      <c r="H109" s="27">
        <f>IF(ISNUMBER(H108),H108*(1+PortfolioFrontier[[#This Row],[P2 Return]]),1+PortfolioFrontier[[#This Row],[P2 Return]])</f>
        <v>2.273628037996938</v>
      </c>
      <c r="I109" s="27">
        <f>MAX(I108,PortfolioFrontier[[#This Row],[P2 Growth]])</f>
        <v>2.273628037996938</v>
      </c>
      <c r="J109" s="27">
        <f>PortfolioFrontier[[#This Row],[P2 Growth]]/PortfolioFrontier[[#This Row],[P2 HWM]]-1</f>
        <v>0</v>
      </c>
      <c r="K109" s="28">
        <f>SUMPRODUCT(INDEX(PortfolioRef[[SPY]:[PE]],MATCH(K$1,PortfolioRef[Reference '#]),0),AssetMonthlyReturns[[#This Row],[SPY]:[PE]])</f>
        <v>3.3848146578825291E-3</v>
      </c>
      <c r="L109" s="27">
        <f>IF(ISNUMBER(L108),L108*(1+PortfolioFrontier[[#This Row],[P3 Return]]),1+PortfolioFrontier[[#This Row],[P3 Return]])</f>
        <v>2.3525404537850325</v>
      </c>
      <c r="M109" s="27">
        <f>MAX(M108,PortfolioFrontier[[#This Row],[P3 Growth]])</f>
        <v>2.3525404537850325</v>
      </c>
      <c r="N109" s="27">
        <f>PortfolioFrontier[[#This Row],[P3 Growth]]/PortfolioFrontier[[#This Row],[P3 HWM]]-1</f>
        <v>0</v>
      </c>
      <c r="O109" s="28">
        <f>SUMPRODUCT(INDEX(PortfolioRef[[SPY]:[PE]],MATCH(O$1,PortfolioRef[Reference '#]),0),AssetMonthlyReturns[[#This Row],[SPY]:[PE]])</f>
        <v>4.3238025166572941E-3</v>
      </c>
      <c r="P109" s="27">
        <f>IF(ISNUMBER(P108),P108*(1+PortfolioFrontier[[#This Row],[P4 Return]]),1+PortfolioFrontier[[#This Row],[P4 Return]])</f>
        <v>2.3169886872609156</v>
      </c>
      <c r="Q109" s="27">
        <f>MAX(Q108,PortfolioFrontier[[#This Row],[P4 Growth]])</f>
        <v>2.3169886872609156</v>
      </c>
      <c r="R109" s="27">
        <f>PortfolioFrontier[[#This Row],[P4 Growth]]/PortfolioFrontier[[#This Row],[P4 HWM]]-1</f>
        <v>0</v>
      </c>
      <c r="S109" s="28">
        <f>SUMPRODUCT(INDEX(PortfolioRef[[SPY]:[PE]],MATCH(S$1,PortfolioRef[Reference '#]),0),AssetMonthlyReturns[[#This Row],[SPY]:[PE]])</f>
        <v>2.6995566516017648E-3</v>
      </c>
      <c r="T109" s="27">
        <f>IF(ISNUMBER(T108),T108*(1+PortfolioFrontier[[#This Row],[P5 Return]]),1+PortfolioFrontier[[#This Row],[P5 Return]])</f>
        <v>2.3024254031881983</v>
      </c>
      <c r="U109" s="27">
        <f>MAX(U108,PortfolioFrontier[[#This Row],[P5 Growth]])</f>
        <v>2.3024254031881983</v>
      </c>
      <c r="V109" s="27">
        <f>PortfolioFrontier[[#This Row],[P5 Growth]]/PortfolioFrontier[[#This Row],[P5 HWM]]-1</f>
        <v>0</v>
      </c>
      <c r="W109" s="28">
        <f>SUMPRODUCT(INDEX(PortfolioRef[[SPY]:[PE]],MATCH(W$1,PortfolioRef[Reference '#]),0),AssetMonthlyReturns[[#This Row],[SPY]:[PE]])</f>
        <v>5.0081359048143419E-3</v>
      </c>
      <c r="X109" s="27">
        <f>IF(ISNUMBER(X108),X108*(1+PortfolioFrontier[[#This Row],[P6 Return]]),1+PortfolioFrontier[[#This Row],[P6 Return]])</f>
        <v>2.154675240877769</v>
      </c>
      <c r="Y109" s="27">
        <f>MAX(Y108,PortfolioFrontier[[#This Row],[P6 Growth]])</f>
        <v>2.154675240877769</v>
      </c>
      <c r="Z109" s="27">
        <f>PortfolioFrontier[[#This Row],[P6 Growth]]/PortfolioFrontier[[#This Row],[P6 HWM]]-1</f>
        <v>0</v>
      </c>
      <c r="AA109" s="28">
        <f>SUMPRODUCT(INDEX(PortfolioRef[[SPY]:[PE]],MATCH(AA$1,PortfolioRef[Reference '#]),0),AssetMonthlyReturns[[#This Row],[SPY]:[PE]])</f>
        <v>4.9692521760408889E-3</v>
      </c>
      <c r="AB109" s="27">
        <f>IF(ISNUMBER(AB108),AB108*(1+PortfolioFrontier[[#This Row],[P7 Return]]),1+PortfolioFrontier[[#This Row],[P7 Return]])</f>
        <v>2.2294749615839731</v>
      </c>
      <c r="AC109" s="27">
        <f>MAX(AC108,PortfolioFrontier[[#This Row],[P7 Growth]])</f>
        <v>2.2294749615839731</v>
      </c>
      <c r="AD109" s="27">
        <f>PortfolioFrontier[[#This Row],[P7 Growth]]/PortfolioFrontier[[#This Row],[P7 HWM]]-1</f>
        <v>0</v>
      </c>
      <c r="AE109" s="28">
        <f>SUMPRODUCT(INDEX(PortfolioRef[[SPY]:[PE]],MATCH(AE$1,PortfolioRef[Reference '#]),0),AssetMonthlyReturns[[#This Row],[SPY]:[PE]])</f>
        <v>5.9082400348156542E-3</v>
      </c>
      <c r="AF109" s="27">
        <f>IF(ISNUMBER(AF108),AF108*(1+PortfolioFrontier[[#This Row],[P8 Return]]),1+PortfolioFrontier[[#This Row],[P8 Return]])</f>
        <v>2.1966369107155681</v>
      </c>
      <c r="AG109" s="27">
        <f>MAX(AG108,PortfolioFrontier[[#This Row],[P8 Growth]])</f>
        <v>2.1966369107155681</v>
      </c>
      <c r="AH109" s="27">
        <f>PortfolioFrontier[[#This Row],[P8 Growth]]/PortfolioFrontier[[#This Row],[P8 HWM]]-1</f>
        <v>0</v>
      </c>
      <c r="AI109" s="28">
        <f>SUMPRODUCT(INDEX(PortfolioRef[[SPY]:[PE]],MATCH(AI$1,PortfolioRef[Reference '#]),0),AssetMonthlyReturns[[#This Row],[SPY]:[PE]])</f>
        <v>4.2839941697601254E-3</v>
      </c>
      <c r="AJ109" s="27">
        <f>IF(ISNUMBER(AJ108),AJ108*(1+PortfolioFrontier[[#This Row],[P9 Return]]),1+PortfolioFrontier[[#This Row],[P9 Return]])</f>
        <v>2.1819984805613073</v>
      </c>
      <c r="AK109" s="27">
        <f>MAX(AK108,PortfolioFrontier[[#This Row],[P9 Growth]])</f>
        <v>2.1819984805613073</v>
      </c>
      <c r="AL109" s="27">
        <f>PortfolioFrontier[[#This Row],[P9 Growth]]/PortfolioFrontier[[#This Row],[P9 HWM]]-1</f>
        <v>0</v>
      </c>
      <c r="AM109" s="28">
        <f>SUMPRODUCT(INDEX(PortfolioRef[[SPY]:[PE]],MATCH(AM$1,PortfolioRef[Reference '#]),0),AssetMonthlyReturns[[#This Row],[SPY]:[PE]])</f>
        <v>4.9303684472674358E-3</v>
      </c>
      <c r="AN109" s="27">
        <f>IF(ISNUMBER(AN108),AN108*(1+PortfolioFrontier[[#This Row],[P10 Return]]),1+PortfolioFrontier[[#This Row],[P10 Return]])</f>
        <v>2.3061243443632859</v>
      </c>
      <c r="AO109" s="27">
        <f>MAX(AO108,PortfolioFrontier[[#This Row],[P10 Growth]])</f>
        <v>2.3061243443632859</v>
      </c>
      <c r="AP109" s="27">
        <f>PortfolioFrontier[[#This Row],[P10 Growth]]/PortfolioFrontier[[#This Row],[P10 HWM]]-1</f>
        <v>0</v>
      </c>
      <c r="AQ109" s="28">
        <f>SUMPRODUCT(INDEX(PortfolioRef[[SPY]:[PE]],MATCH(AQ$1,PortfolioRef[Reference '#]),0),AssetMonthlyReturns[[#This Row],[SPY]:[PE]])</f>
        <v>5.8693563060421994E-3</v>
      </c>
      <c r="AR109" s="27">
        <f>IF(ISNUMBER(AR108),AR108*(1+PortfolioFrontier[[#This Row],[P11 Return]]),1+PortfolioFrontier[[#This Row],[P11 Return]])</f>
        <v>2.2728627890318962</v>
      </c>
      <c r="AS109" s="27">
        <f>MAX(AS108,PortfolioFrontier[[#This Row],[P11 Growth]])</f>
        <v>2.2728627890318962</v>
      </c>
      <c r="AT109" s="27">
        <f>PortfolioFrontier[[#This Row],[P11 Growth]]/PortfolioFrontier[[#This Row],[P11 HWM]]-1</f>
        <v>0</v>
      </c>
      <c r="AU109" s="28">
        <f>SUMPRODUCT(INDEX(PortfolioRef[[SPY]:[PE]],MATCH(AU$1,PortfolioRef[Reference '#]),0),AssetMonthlyReturns[[#This Row],[SPY]:[PE]])</f>
        <v>4.2451104409866715E-3</v>
      </c>
      <c r="AV109" s="27">
        <f>IF(ISNUMBER(AV108),AV108*(1+PortfolioFrontier[[#This Row],[P12 Return]]),1+PortfolioFrontier[[#This Row],[P12 Return]])</f>
        <v>2.257730016498992</v>
      </c>
      <c r="AW109" s="27">
        <f>MAX(AW108,PortfolioFrontier[[#This Row],[P12 Growth]])</f>
        <v>2.257730016498992</v>
      </c>
      <c r="AX109" s="27">
        <f>PortfolioFrontier[[#This Row],[P12 Growth]]/PortfolioFrontier[[#This Row],[P12 HWM]]-1</f>
        <v>0</v>
      </c>
      <c r="AY109" s="28">
        <f>SUMPRODUCT(INDEX(PortfolioRef[[SPY]:[PE]],MATCH(AY$1,PortfolioRef[Reference '#]),0),AssetMonthlyReturns[[#This Row],[SPY]:[PE]])</f>
        <v>6.8083441648169648E-3</v>
      </c>
      <c r="AZ109" s="27">
        <f>IF(ISNUMBER(AZ108),AZ108*(1+PortfolioFrontier[[#This Row],[P13 Return]]),1+PortfolioFrontier[[#This Row],[P13 Return]])</f>
        <v>2.2380868653728445</v>
      </c>
      <c r="BA109" s="27">
        <f>MAX(BA108,PortfolioFrontier[[#This Row],[P13 Growth]])</f>
        <v>2.2380868653728445</v>
      </c>
      <c r="BB109" s="27">
        <f>PortfolioFrontier[[#This Row],[P13 Growth]]/PortfolioFrontier[[#This Row],[P13 HWM]]-1</f>
        <v>0</v>
      </c>
      <c r="BC109" s="28">
        <f>SUMPRODUCT(INDEX(PortfolioRef[[SPY]:[PE]],MATCH(BC$1,PortfolioRef[Reference '#]),0),AssetMonthlyReturns[[#This Row],[SPY]:[PE]])</f>
        <v>5.184098299761436E-3</v>
      </c>
      <c r="BD109" s="27">
        <f>IF(ISNUMBER(BD108),BD108*(1+PortfolioFrontier[[#This Row],[P14 Return]]),1+PortfolioFrontier[[#This Row],[P14 Return]])</f>
        <v>2.2246233000411695</v>
      </c>
      <c r="BE109" s="27">
        <f>MAX(BE108,PortfolioFrontier[[#This Row],[P14 Growth]])</f>
        <v>2.2246233000411695</v>
      </c>
      <c r="BF109" s="27">
        <f>PortfolioFrontier[[#This Row],[P14 Growth]]/PortfolioFrontier[[#This Row],[P14 HWM]]-1</f>
        <v>0</v>
      </c>
      <c r="BG109" s="28">
        <f>SUMPRODUCT(INDEX(PortfolioRef[[SPY]:[PE]],MATCH(BG$1,PortfolioRef[Reference '#]),0),AssetMonthlyReturns[[#This Row],[SPY]:[PE]])</f>
        <v>3.5598524347059072E-3</v>
      </c>
      <c r="BH109" s="27">
        <f>IF(ISNUMBER(BH108),BH108*(1+PortfolioFrontier[[#This Row],[P15 Return]]),1+PortfolioFrontier[[#This Row],[P15 Return]])</f>
        <v>2.2093441964315952</v>
      </c>
      <c r="BI109" s="27">
        <f>MAX(BI108,PortfolioFrontier[[#This Row],[P15 Growth]])</f>
        <v>2.2093441964315952</v>
      </c>
      <c r="BJ109" s="27">
        <f>PortfolioFrontier[[#This Row],[P15 Growth]]/PortfolioFrontier[[#This Row],[P15 HWM]]-1</f>
        <v>0</v>
      </c>
      <c r="BK109" s="28">
        <f>SUMPRODUCT(INDEX(PortfolioRef[[SPY]:[PE]],MATCH(BK$1,PortfolioRef[Reference '#]),0),AssetMonthlyReturns[[#This Row],[SPY]:[PE]])</f>
        <v>6.5925734229727029E-3</v>
      </c>
      <c r="BL109" s="27">
        <f>IF(ISNUMBER(BL108),BL108*(1+PortfolioFrontier[[#This Row],[P16 Return]]),1+PortfolioFrontier[[#This Row],[P16 Return]])</f>
        <v>2.040959658150661</v>
      </c>
      <c r="BM109" s="27">
        <f>MAX(BM108,PortfolioFrontier[[#This Row],[P16 Growth]])</f>
        <v>2.040959658150661</v>
      </c>
      <c r="BN109" s="27">
        <f>PortfolioFrontier[[#This Row],[P16 Growth]]/PortfolioFrontier[[#This Row],[P16 HWM]]-1</f>
        <v>0</v>
      </c>
      <c r="BO109" s="28">
        <f>SUMPRODUCT(INDEX(PortfolioRef[[SPY]:[PE]],MATCH(BO$1,PortfolioRef[Reference '#]),0),AssetMonthlyReturns[[#This Row],[SPY]:[PE]])</f>
        <v>6.5536896941992481E-3</v>
      </c>
      <c r="BP109" s="27">
        <f>IF(ISNUMBER(BP108),BP108*(1+PortfolioFrontier[[#This Row],[P17 Return]]),1+PortfolioFrontier[[#This Row],[P17 Return]])</f>
        <v>2.1118274135402242</v>
      </c>
      <c r="BQ109" s="27">
        <f>MAX(BQ108,PortfolioFrontier[[#This Row],[P17 Growth]])</f>
        <v>2.1118274135402242</v>
      </c>
      <c r="BR109" s="27">
        <f>PortfolioFrontier[[#This Row],[P17 Growth]]/PortfolioFrontier[[#This Row],[P17 HWM]]-1</f>
        <v>0</v>
      </c>
      <c r="BS109" s="28">
        <f>SUMPRODUCT(INDEX(PortfolioRef[[SPY]:[PE]],MATCH(BS$1,PortfolioRef[Reference '#]),0),AssetMonthlyReturns[[#This Row],[SPY]:[PE]])</f>
        <v>7.4926775529740135E-3</v>
      </c>
      <c r="BT109" s="27">
        <f>IF(ISNUMBER(BT108),BT108*(1+PortfolioFrontier[[#This Row],[P18 Return]]),1+PortfolioFrontier[[#This Row],[P18 Return]])</f>
        <v>2.081529455422269</v>
      </c>
      <c r="BU109" s="27">
        <f>MAX(BU108,PortfolioFrontier[[#This Row],[P18 Growth]])</f>
        <v>2.081529455422269</v>
      </c>
      <c r="BV109" s="27">
        <f>PortfolioFrontier[[#This Row],[P18 Growth]]/PortfolioFrontier[[#This Row],[P18 HWM]]-1</f>
        <v>0</v>
      </c>
      <c r="BW109" s="28">
        <f>SUMPRODUCT(INDEX(PortfolioRef[[SPY]:[PE]],MATCH(BW$1,PortfolioRef[Reference '#]),0),AssetMonthlyReturns[[#This Row],[SPY]:[PE]])</f>
        <v>5.8684316879184847E-3</v>
      </c>
      <c r="BX109" s="27">
        <f>IF(ISNUMBER(BX108),BX108*(1+PortfolioFrontier[[#This Row],[P19 Return]]),1+PortfolioFrontier[[#This Row],[P19 Return]])</f>
        <v>2.066871745065757</v>
      </c>
      <c r="BY109" s="27">
        <f>MAX(BY108,PortfolioFrontier[[#This Row],[P19 Growth]])</f>
        <v>2.066871745065757</v>
      </c>
      <c r="BZ109" s="27">
        <f>PortfolioFrontier[[#This Row],[P19 Growth]]/PortfolioFrontier[[#This Row],[P19 HWM]]-1</f>
        <v>0</v>
      </c>
      <c r="CA109" s="28">
        <f>SUMPRODUCT(INDEX(PortfolioRef[[SPY]:[PE]],MATCH(CA$1,PortfolioRef[Reference '#]),0),AssetMonthlyReturns[[#This Row],[SPY]:[PE]])</f>
        <v>6.514805965425796E-3</v>
      </c>
      <c r="CB109" s="27">
        <f>IF(ISNUMBER(CB108),CB108*(1+PortfolioFrontier[[#This Row],[P20 Return]]),1+PortfolioFrontier[[#This Row],[P20 Return]])</f>
        <v>2.184447033449084</v>
      </c>
      <c r="CC109" s="27">
        <f>MAX(CC108,PortfolioFrontier[[#This Row],[P20 Growth]])</f>
        <v>2.184447033449084</v>
      </c>
      <c r="CD109" s="27">
        <f>PortfolioFrontier[[#This Row],[P20 Growth]]/PortfolioFrontier[[#This Row],[P20 HWM]]-1</f>
        <v>0</v>
      </c>
      <c r="CE109" s="28">
        <f>SUMPRODUCT(INDEX(PortfolioRef[[SPY]:[PE]],MATCH(CE$1,PortfolioRef[Reference '#]),0),AssetMonthlyReturns[[#This Row],[SPY]:[PE]])</f>
        <v>7.4537938242005605E-3</v>
      </c>
      <c r="CF109" s="27">
        <f>IF(ISNUMBER(CF108),CF108*(1+PortfolioFrontier[[#This Row],[P21 Return]]),1+PortfolioFrontier[[#This Row],[P21 Return]])</f>
        <v>2.1537765988768527</v>
      </c>
      <c r="CG109" s="27">
        <f>MAX(CG108,PortfolioFrontier[[#This Row],[P21 Growth]])</f>
        <v>2.1537765988768527</v>
      </c>
      <c r="CH109" s="27">
        <f>PortfolioFrontier[[#This Row],[P21 Growth]]/PortfolioFrontier[[#This Row],[P21 HWM]]-1</f>
        <v>0</v>
      </c>
      <c r="CI109" s="28">
        <f>SUMPRODUCT(INDEX(PortfolioRef[[SPY]:[PE]],MATCH(CI$1,PortfolioRef[Reference '#]),0),AssetMonthlyReturns[[#This Row],[SPY]:[PE]])</f>
        <v>5.8295479591450317E-3</v>
      </c>
      <c r="CJ109" s="27">
        <f>IF(ISNUMBER(CJ108),CJ108*(1+PortfolioFrontier[[#This Row],[P22 Return]]),1+PortfolioFrontier[[#This Row],[P22 Return]])</f>
        <v>2.1386234689002208</v>
      </c>
      <c r="CK109" s="27">
        <f>MAX(CK108,PortfolioFrontier[[#This Row],[P22 Growth]])</f>
        <v>2.1386234689002208</v>
      </c>
      <c r="CL109" s="27">
        <f>PortfolioFrontier[[#This Row],[P22 Growth]]/PortfolioFrontier[[#This Row],[P22 HWM]]-1</f>
        <v>0</v>
      </c>
      <c r="CM109" s="28">
        <f>SUMPRODUCT(INDEX(PortfolioRef[[SPY]:[PE]],MATCH(CM$1,PortfolioRef[Reference '#]),0),AssetMonthlyReturns[[#This Row],[SPY]:[PE]])</f>
        <v>8.3927816829753258E-3</v>
      </c>
      <c r="CN109" s="27">
        <f>IF(ISNUMBER(CN108),CN108*(1+PortfolioFrontier[[#This Row],[P23 Return]]),1+PortfolioFrontier[[#This Row],[P23 Return]])</f>
        <v>2.1216485243332257</v>
      </c>
      <c r="CO109" s="27">
        <f>MAX(CO108,PortfolioFrontier[[#This Row],[P23 Growth]])</f>
        <v>2.1216485243332257</v>
      </c>
      <c r="CP109" s="27">
        <f>PortfolioFrontier[[#This Row],[P23 Growth]]/PortfolioFrontier[[#This Row],[P23 HWM]]-1</f>
        <v>0</v>
      </c>
      <c r="CQ109" s="28">
        <f>SUMPRODUCT(INDEX(PortfolioRef[[SPY]:[PE]],MATCH(CQ$1,PortfolioRef[Reference '#]),0),AssetMonthlyReturns[[#This Row],[SPY]:[PE]])</f>
        <v>6.768535817919797E-3</v>
      </c>
      <c r="CR109" s="27">
        <f>IF(ISNUMBER(CR108),CR108*(1+PortfolioFrontier[[#This Row],[P24 Return]]),1+PortfolioFrontier[[#This Row],[P24 Return]])</f>
        <v>2.108080723517531</v>
      </c>
      <c r="CS109" s="27">
        <f>MAX(CS108,PortfolioFrontier[[#This Row],[P24 Growth]])</f>
        <v>2.108080723517531</v>
      </c>
      <c r="CT109" s="27">
        <f>PortfolioFrontier[[#This Row],[P24 Growth]]/PortfolioFrontier[[#This Row],[P24 HWM]]-1</f>
        <v>0</v>
      </c>
      <c r="CU109" s="28">
        <f>SUMPRODUCT(INDEX(PortfolioRef[[SPY]:[PE]],MATCH(CU$1,PortfolioRef[Reference '#]),0),AssetMonthlyReturns[[#This Row],[SPY]:[PE]])</f>
        <v>5.1442899528642673E-3</v>
      </c>
      <c r="CV109" s="27">
        <f>IF(ISNUMBER(CV108),CV108*(1+PortfolioFrontier[[#This Row],[P25 Return]]),1+PortfolioFrontier[[#This Row],[P25 Return]])</f>
        <v>2.092805874911301</v>
      </c>
      <c r="CW109" s="27">
        <f>MAX(CW108,PortfolioFrontier[[#This Row],[P25 Growth]])</f>
        <v>2.092805874911301</v>
      </c>
      <c r="CX109" s="27">
        <f>PortfolioFrontier[[#This Row],[P25 Growth]]/PortfolioFrontier[[#This Row],[P25 HWM]]-1</f>
        <v>0</v>
      </c>
      <c r="CY109" s="28">
        <f>SUMPRODUCT(INDEX(PortfolioRef[[SPY]:[PE]],MATCH(CY$1,PortfolioRef[Reference '#]),0),AssetMonthlyReturns[[#This Row],[SPY]:[PE]])</f>
        <v>7.4149100954271074E-3</v>
      </c>
      <c r="CZ109" s="27">
        <f>IF(ISNUMBER(CZ108),CZ108*(1+PortfolioFrontier[[#This Row],[P26 Return]]),1+PortfolioFrontier[[#This Row],[P26 Return]])</f>
        <v>2.2278091077137678</v>
      </c>
      <c r="DA109" s="27">
        <f>MAX(DA108,PortfolioFrontier[[#This Row],[P26 Growth]])</f>
        <v>2.2278091077137678</v>
      </c>
      <c r="DB109" s="27">
        <f>PortfolioFrontier[[#This Row],[P26 Growth]]/PortfolioFrontier[[#This Row],[P26 HWM]]-1</f>
        <v>0</v>
      </c>
      <c r="DC109" s="28">
        <f>SUMPRODUCT(INDEX(PortfolioRef[[SPY]:[PE]],MATCH(DC$1,PortfolioRef[Reference '#]),0),AssetMonthlyReturns[[#This Row],[SPY]:[PE]])</f>
        <v>5.7906642303715786E-3</v>
      </c>
      <c r="DD109" s="27">
        <f>IF(ISNUMBER(DD108),DD108*(1+PortfolioFrontier[[#This Row],[P27 Return]]),1+PortfolioFrontier[[#This Row],[P27 Return]])</f>
        <v>2.2121487620735154</v>
      </c>
      <c r="DE109" s="27">
        <f>MAX(DE108,PortfolioFrontier[[#This Row],[P27 Growth]])</f>
        <v>2.2121487620735154</v>
      </c>
      <c r="DF109" s="27">
        <f>PortfolioFrontier[[#This Row],[P27 Growth]]/PortfolioFrontier[[#This Row],[P27 HWM]]-1</f>
        <v>0</v>
      </c>
      <c r="DG109" s="28">
        <f>SUMPRODUCT(INDEX(PortfolioRef[[SPY]:[PE]],MATCH(DG$1,PortfolioRef[Reference '#]),0),AssetMonthlyReturns[[#This Row],[SPY]:[PE]])</f>
        <v>8.353897954201871E-3</v>
      </c>
      <c r="DH109" s="27">
        <f>IF(ISNUMBER(DH108),DH108*(1+PortfolioFrontier[[#This Row],[P28 Return]]),1+PortfolioFrontier[[#This Row],[P28 Return]])</f>
        <v>2.1952590191790877</v>
      </c>
      <c r="DI109" s="27">
        <f>MAX(DI108,PortfolioFrontier[[#This Row],[P28 Growth]])</f>
        <v>2.1952590191790877</v>
      </c>
      <c r="DJ109" s="27">
        <f>PortfolioFrontier[[#This Row],[P28 Growth]]/PortfolioFrontier[[#This Row],[P28 HWM]]-1</f>
        <v>0</v>
      </c>
      <c r="DK109" s="28">
        <f>SUMPRODUCT(INDEX(PortfolioRef[[SPY]:[PE]],MATCH(DK$1,PortfolioRef[Reference '#]),0),AssetMonthlyReturns[[#This Row],[SPY]:[PE]])</f>
        <v>6.7296520891463422E-3</v>
      </c>
      <c r="DL109" s="27">
        <f>IF(ISNUMBER(DL108),DL108*(1+PortfolioFrontier[[#This Row],[P29 Return]]),1+PortfolioFrontier[[#This Row],[P29 Return]])</f>
        <v>2.1812332381258015</v>
      </c>
      <c r="DM109" s="27">
        <f>MAX(DM108,PortfolioFrontier[[#This Row],[P29 Growth]])</f>
        <v>2.1812332381258015</v>
      </c>
      <c r="DN109" s="27">
        <f>PortfolioFrontier[[#This Row],[P29 Growth]]/PortfolioFrontier[[#This Row],[P29 HWM]]-1</f>
        <v>0</v>
      </c>
      <c r="DO109" s="28">
        <f>SUMPRODUCT(INDEX(PortfolioRef[[SPY]:[PE]],MATCH(DO$1,PortfolioRef[Reference '#]),0),AssetMonthlyReturns[[#This Row],[SPY]:[PE]])</f>
        <v>5.1054062240908134E-3</v>
      </c>
      <c r="DP109" s="27">
        <f>IF(ISNUMBER(DP108),DP108*(1+PortfolioFrontier[[#This Row],[P30 Return]]),1+PortfolioFrontier[[#This Row],[P30 Return]])</f>
        <v>2.1654421752486823</v>
      </c>
      <c r="DQ109" s="27">
        <f>MAX(DQ108,PortfolioFrontier[[#This Row],[P30 Growth]])</f>
        <v>2.1654421752486823</v>
      </c>
      <c r="DR109" s="27">
        <f>PortfolioFrontier[[#This Row],[P30 Growth]]/PortfolioFrontier[[#This Row],[P30 HWM]]-1</f>
        <v>0</v>
      </c>
      <c r="DS109" s="28">
        <f>SUMPRODUCT(INDEX(PortfolioRef[[SPY]:[PE]],MATCH(DS$1,PortfolioRef[Reference '#]),0),AssetMonthlyReturns[[#This Row],[SPY]:[PE]])</f>
        <v>9.2928858129766364E-3</v>
      </c>
      <c r="DT109" s="27">
        <f>IF(ISNUMBER(DT108),DT108*(1+PortfolioFrontier[[#This Row],[P31 Return]]),1+PortfolioFrontier[[#This Row],[P31 Return]])</f>
        <v>2.1612555307679502</v>
      </c>
      <c r="DU109" s="27">
        <f>MAX(DU108,PortfolioFrontier[[#This Row],[P31 Growth]])</f>
        <v>2.16352980051315</v>
      </c>
      <c r="DV109" s="27">
        <f>PortfolioFrontier[[#This Row],[P31 Growth]]/PortfolioFrontier[[#This Row],[P31 HWM]]-1</f>
        <v>-1.0511848483253372E-3</v>
      </c>
      <c r="DW109" s="28">
        <f>SUMPRODUCT(INDEX(PortfolioRef[[SPY]:[PE]],MATCH(DW$1,PortfolioRef[Reference '#]),0),AssetMonthlyReturns[[#This Row],[SPY]:[PE]])</f>
        <v>7.6686399479211076E-3</v>
      </c>
      <c r="DX109" s="27">
        <f>IF(ISNUMBER(DX108),DX108*(1+PortfolioFrontier[[#This Row],[P32 Return]]),1+PortfolioFrontier[[#This Row],[P32 Return]])</f>
        <v>2.1488383417852845</v>
      </c>
      <c r="DY109" s="27">
        <f>MAX(DY108,PortfolioFrontier[[#This Row],[P32 Growth]])</f>
        <v>2.1488383417852845</v>
      </c>
      <c r="DZ109" s="27">
        <f>PortfolioFrontier[[#This Row],[P32 Growth]]/PortfolioFrontier[[#This Row],[P32 HWM]]-1</f>
        <v>0</v>
      </c>
      <c r="EA109" s="28">
        <f>SUMPRODUCT(INDEX(PortfolioRef[[SPY]:[PE]],MATCH(EA$1,PortfolioRef[Reference '#]),0),AssetMonthlyReturns[[#This Row],[SPY]:[PE]])</f>
        <v>6.0443940828655779E-3</v>
      </c>
      <c r="EB109" s="27">
        <f>IF(ISNUMBER(EB108),EB108*(1+PortfolioFrontier[[#This Row],[P33 Return]]),1+PortfolioFrontier[[#This Row],[P33 Return]])</f>
        <v>2.1346576430956827</v>
      </c>
      <c r="EC109" s="27">
        <f>MAX(EC108,PortfolioFrontier[[#This Row],[P33 Growth]])</f>
        <v>2.1346576430956827</v>
      </c>
      <c r="ED109" s="27">
        <f>PortfolioFrontier[[#This Row],[P33 Growth]]/PortfolioFrontier[[#This Row],[P33 HWM]]-1</f>
        <v>0</v>
      </c>
      <c r="EE109" s="28">
        <f>SUMPRODUCT(INDEX(PortfolioRef[[SPY]:[PE]],MATCH(EE$1,PortfolioRef[Reference '#]),0),AssetMonthlyReturns[[#This Row],[SPY]:[PE]])</f>
        <v>8.1770109411310639E-3</v>
      </c>
      <c r="EF109" s="27">
        <f>IF(ISNUMBER(EF108),EF108*(1+PortfolioFrontier[[#This Row],[P34 Return]]),1+PortfolioFrontier[[#This Row],[P34 Return]])</f>
        <v>1.9323117355915889</v>
      </c>
      <c r="EG109" s="27">
        <f>MAX(EG108,PortfolioFrontier[[#This Row],[P34 Growth]])</f>
        <v>1.9323117355915889</v>
      </c>
      <c r="EH109" s="27">
        <f>PortfolioFrontier[[#This Row],[P34 Growth]]/PortfolioFrontier[[#This Row],[P34 HWM]]-1</f>
        <v>0</v>
      </c>
      <c r="EI109" s="28">
        <f>SUMPRODUCT(INDEX(PortfolioRef[[SPY]:[PE]],MATCH(EI$1,PortfolioRef[Reference '#]),0),AssetMonthlyReturns[[#This Row],[SPY]:[PE]])</f>
        <v>8.1381272123576109E-3</v>
      </c>
      <c r="EJ109" s="27">
        <f>IF(ISNUMBER(EJ108),EJ108*(1+PortfolioFrontier[[#This Row],[P35 Return]]),1+PortfolioFrontier[[#This Row],[P35 Return]])</f>
        <v>1.9994223801126123</v>
      </c>
      <c r="EK109" s="27">
        <f>MAX(EK108,PortfolioFrontier[[#This Row],[P35 Growth]])</f>
        <v>1.9994223801126123</v>
      </c>
      <c r="EL109" s="27">
        <f>PortfolioFrontier[[#This Row],[P35 Growth]]/PortfolioFrontier[[#This Row],[P35 HWM]]-1</f>
        <v>0</v>
      </c>
      <c r="EM109" s="28">
        <f>SUMPRODUCT(INDEX(PortfolioRef[[SPY]:[PE]],MATCH(EM$1,PortfolioRef[Reference '#]),0),AssetMonthlyReturns[[#This Row],[SPY]:[PE]])</f>
        <v>9.0771150711323762E-3</v>
      </c>
      <c r="EN109" s="27">
        <f>IF(ISNUMBER(EN108),EN108*(1+PortfolioFrontier[[#This Row],[P36 Return]]),1+PortfolioFrontier[[#This Row],[P36 Return]])</f>
        <v>1.9714999189795526</v>
      </c>
      <c r="EO109" s="27">
        <f>MAX(EO108,PortfolioFrontier[[#This Row],[P36 Growth]])</f>
        <v>1.9714999189795526</v>
      </c>
      <c r="EP109" s="27">
        <f>PortfolioFrontier[[#This Row],[P36 Growth]]/PortfolioFrontier[[#This Row],[P36 HWM]]-1</f>
        <v>0</v>
      </c>
      <c r="EQ109" s="28">
        <f>SUMPRODUCT(INDEX(PortfolioRef[[SPY]:[PE]],MATCH(EQ$1,PortfolioRef[Reference '#]),0),AssetMonthlyReturns[[#This Row],[SPY]:[PE]])</f>
        <v>7.4528692060768474E-3</v>
      </c>
      <c r="ER109" s="27">
        <f>IF(ISNUMBER(ER108),ER108*(1+PortfolioFrontier[[#This Row],[P37 Return]]),1+PortfolioFrontier[[#This Row],[P37 Return]])</f>
        <v>1.9568737176826869</v>
      </c>
      <c r="ES109" s="27">
        <f>MAX(ES108,PortfolioFrontier[[#This Row],[P37 Growth]])</f>
        <v>1.9568737176826869</v>
      </c>
      <c r="ET109" s="27">
        <f>PortfolioFrontier[[#This Row],[P37 Growth]]/PortfolioFrontier[[#This Row],[P37 HWM]]-1</f>
        <v>0</v>
      </c>
      <c r="EU109" s="28">
        <f>SUMPRODUCT(INDEX(PortfolioRef[[SPY]:[PE]],MATCH(EU$1,PortfolioRef[Reference '#]),0),AssetMonthlyReturns[[#This Row],[SPY]:[PE]])</f>
        <v>8.0992434835841579E-3</v>
      </c>
      <c r="EV109" s="27">
        <f>IF(ISNUMBER(EV108),EV108*(1+PortfolioFrontier[[#This Row],[P38 Return]]),1+PortfolioFrontier[[#This Row],[P38 Return]])</f>
        <v>2.0681914859367758</v>
      </c>
      <c r="EW109" s="27">
        <f>MAX(EW108,PortfolioFrontier[[#This Row],[P38 Growth]])</f>
        <v>2.0681914859367758</v>
      </c>
      <c r="EX109" s="27">
        <f>PortfolioFrontier[[#This Row],[P38 Growth]]/PortfolioFrontier[[#This Row],[P38 HWM]]-1</f>
        <v>0</v>
      </c>
      <c r="EY109" s="28">
        <f>SUMPRODUCT(INDEX(PortfolioRef[[SPY]:[PE]],MATCH(EY$1,PortfolioRef[Reference '#]),0),AssetMonthlyReturns[[#This Row],[SPY]:[PE]])</f>
        <v>9.0382313423589215E-3</v>
      </c>
      <c r="EZ109" s="27">
        <f>IF(ISNUMBER(EZ108),EZ108*(1+PortfolioFrontier[[#This Row],[P39 Return]]),1+PortfolioFrontier[[#This Row],[P39 Return]])</f>
        <v>2.0399434990938525</v>
      </c>
      <c r="FA109" s="27">
        <f>MAX(FA108,PortfolioFrontier[[#This Row],[P39 Growth]])</f>
        <v>2.0399434990938525</v>
      </c>
      <c r="FB109" s="27">
        <f>PortfolioFrontier[[#This Row],[P39 Growth]]/PortfolioFrontier[[#This Row],[P39 HWM]]-1</f>
        <v>0</v>
      </c>
      <c r="FC109" s="28">
        <f>SUMPRODUCT(INDEX(PortfolioRef[[SPY]:[PE]],MATCH(FC$1,PortfolioRef[Reference '#]),0),AssetMonthlyReturns[[#This Row],[SPY]:[PE]])</f>
        <v>7.4139854773033927E-3</v>
      </c>
      <c r="FD109" s="27">
        <f>IF(ISNUMBER(FD108),FD108*(1+PortfolioFrontier[[#This Row],[P40 Return]]),1+PortfolioFrontier[[#This Row],[P40 Return]])</f>
        <v>2.0248225455550997</v>
      </c>
      <c r="FE109" s="27">
        <f>MAX(FE108,PortfolioFrontier[[#This Row],[P40 Growth]])</f>
        <v>2.0248225455550997</v>
      </c>
      <c r="FF109" s="27">
        <f>PortfolioFrontier[[#This Row],[P40 Growth]]/PortfolioFrontier[[#This Row],[P40 HWM]]-1</f>
        <v>0</v>
      </c>
      <c r="FG109" s="28">
        <f>SUMPRODUCT(INDEX(PortfolioRef[[SPY]:[PE]],MATCH(FG$1,PortfolioRef[Reference '#]),0),AssetMonthlyReturns[[#This Row],[SPY]:[PE]])</f>
        <v>9.9772192011336868E-3</v>
      </c>
      <c r="FH109" s="27">
        <f>IF(ISNUMBER(FH108),FH108*(1+PortfolioFrontier[[#This Row],[P41 Return]]),1+PortfolioFrontier[[#This Row],[P41 Return]])</f>
        <v>2.0102940201794501</v>
      </c>
      <c r="FI109" s="27">
        <f>MAX(FI108,PortfolioFrontier[[#This Row],[P41 Growth]])</f>
        <v>2.0102940201794501</v>
      </c>
      <c r="FJ109" s="27">
        <f>PortfolioFrontier[[#This Row],[P41 Growth]]/PortfolioFrontier[[#This Row],[P41 HWM]]-1</f>
        <v>0</v>
      </c>
      <c r="FK109" s="28">
        <f>SUMPRODUCT(INDEX(PortfolioRef[[SPY]:[PE]],MATCH(FK$1,PortfolioRef[Reference '#]),0),AssetMonthlyReturns[[#This Row],[SPY]:[PE]])</f>
        <v>8.352973336078158E-3</v>
      </c>
      <c r="FL109" s="27">
        <f>IF(ISNUMBER(FL108),FL108*(1+PortfolioFrontier[[#This Row],[P42 Return]]),1+PortfolioFrontier[[#This Row],[P42 Return]])</f>
        <v>1.9966775140334747</v>
      </c>
      <c r="FM109" s="27">
        <f>MAX(FM108,PortfolioFrontier[[#This Row],[P42 Growth]])</f>
        <v>1.9966775140334747</v>
      </c>
      <c r="FN109" s="27">
        <f>PortfolioFrontier[[#This Row],[P42 Growth]]/PortfolioFrontier[[#This Row],[P42 HWM]]-1</f>
        <v>0</v>
      </c>
      <c r="FO109" s="28">
        <f>SUMPRODUCT(INDEX(PortfolioRef[[SPY]:[PE]],MATCH(FO$1,PortfolioRef[Reference '#]),0),AssetMonthlyReturns[[#This Row],[SPY]:[PE]])</f>
        <v>6.7287274710226283E-3</v>
      </c>
      <c r="FP109" s="27">
        <f>IF(ISNUMBER(FP108),FP108*(1+PortfolioFrontier[[#This Row],[P43 Return]]),1+PortfolioFrontier[[#This Row],[P43 Return]])</f>
        <v>1.9814572756704645</v>
      </c>
      <c r="FQ109" s="27">
        <f>MAX(FQ108,PortfolioFrontier[[#This Row],[P43 Growth]])</f>
        <v>1.9814572756704645</v>
      </c>
      <c r="FR109" s="27">
        <f>PortfolioFrontier[[#This Row],[P43 Growth]]/PortfolioFrontier[[#This Row],[P43 HWM]]-1</f>
        <v>0</v>
      </c>
      <c r="FS109" s="28">
        <f>SUMPRODUCT(INDEX(PortfolioRef[[SPY]:[PE]],MATCH(FS$1,PortfolioRef[Reference '#]),0),AssetMonthlyReturns[[#This Row],[SPY]:[PE]])</f>
        <v>8.9993476135854684E-3</v>
      </c>
      <c r="FT109" s="27">
        <f>IF(ISNUMBER(FT108),FT108*(1+PortfolioFrontier[[#This Row],[P44 Return]]),1+PortfolioFrontier[[#This Row],[P44 Return]])</f>
        <v>2.1100779094521878</v>
      </c>
      <c r="FU109" s="27">
        <f>MAX(FU108,PortfolioFrontier[[#This Row],[P44 Growth]])</f>
        <v>2.1100779094521878</v>
      </c>
      <c r="FV109" s="27">
        <f>PortfolioFrontier[[#This Row],[P44 Growth]]/PortfolioFrontier[[#This Row],[P44 HWM]]-1</f>
        <v>0</v>
      </c>
      <c r="FW109" s="28">
        <f>SUMPRODUCT(INDEX(PortfolioRef[[SPY]:[PE]],MATCH(FW$1,PortfolioRef[Reference '#]),0),AssetMonthlyReturns[[#This Row],[SPY]:[PE]])</f>
        <v>7.3751017485299405E-3</v>
      </c>
      <c r="FX109" s="27">
        <f>IF(ISNUMBER(FX108),FX108*(1+PortfolioFrontier[[#This Row],[P45 Return]]),1+PortfolioFrontier[[#This Row],[P45 Return]])</f>
        <v>2.0944504128200587</v>
      </c>
      <c r="FY109" s="27">
        <f>MAX(FY108,PortfolioFrontier[[#This Row],[P45 Growth]])</f>
        <v>2.0944504128200587</v>
      </c>
      <c r="FZ109" s="27">
        <f>PortfolioFrontier[[#This Row],[P45 Growth]]/PortfolioFrontier[[#This Row],[P45 HWM]]-1</f>
        <v>0</v>
      </c>
      <c r="GA109" s="28">
        <f>SUMPRODUCT(INDEX(PortfolioRef[[SPY]:[PE]],MATCH(GA$1,PortfolioRef[Reference '#]),0),AssetMonthlyReturns[[#This Row],[SPY]:[PE]])</f>
        <v>9.9383354723602338E-3</v>
      </c>
      <c r="GB109" s="27">
        <f>IF(ISNUMBER(GB108),GB108*(1+PortfolioFrontier[[#This Row],[P46 Return]]),1+PortfolioFrontier[[#This Row],[P46 Return]])</f>
        <v>2.0800564454829837</v>
      </c>
      <c r="GC109" s="27">
        <f>MAX(GC108,PortfolioFrontier[[#This Row],[P46 Growth]])</f>
        <v>2.0800564454829837</v>
      </c>
      <c r="GD109" s="27">
        <f>PortfolioFrontier[[#This Row],[P46 Growth]]/PortfolioFrontier[[#This Row],[P46 HWM]]-1</f>
        <v>0</v>
      </c>
      <c r="GE109" s="28">
        <f>SUMPRODUCT(INDEX(PortfolioRef[[SPY]:[PE]],MATCH(GE$1,PortfolioRef[Reference '#]),0),AssetMonthlyReturns[[#This Row],[SPY]:[PE]])</f>
        <v>8.314089607304705E-3</v>
      </c>
      <c r="GF109" s="27">
        <f>IF(ISNUMBER(GF108),GF108*(1+PortfolioFrontier[[#This Row],[P47 Return]]),1+PortfolioFrontier[[#This Row],[P47 Return]])</f>
        <v>2.0659798985688766</v>
      </c>
      <c r="GG109" s="27">
        <f>MAX(GG108,PortfolioFrontier[[#This Row],[P47 Growth]])</f>
        <v>2.0659798985688766</v>
      </c>
      <c r="GH109" s="27">
        <f>PortfolioFrontier[[#This Row],[P47 Growth]]/PortfolioFrontier[[#This Row],[P47 HWM]]-1</f>
        <v>0</v>
      </c>
      <c r="GI109" s="28">
        <f>SUMPRODUCT(INDEX(PortfolioRef[[SPY]:[PE]],MATCH(GI$1,PortfolioRef[Reference '#]),0),AssetMonthlyReturns[[#This Row],[SPY]:[PE]])</f>
        <v>6.6898437422491753E-3</v>
      </c>
      <c r="GJ109" s="27">
        <f>IF(ISNUMBER(GJ108),GJ108*(1+PortfolioFrontier[[#This Row],[P48 Return]]),1+PortfolioFrontier[[#This Row],[P48 Return]])</f>
        <v>2.0502448877455492</v>
      </c>
      <c r="GK109" s="27">
        <f>MAX(GK108,PortfolioFrontier[[#This Row],[P48 Growth]])</f>
        <v>2.0502448877455492</v>
      </c>
      <c r="GL109" s="27">
        <f>PortfolioFrontier[[#This Row],[P48 Growth]]/PortfolioFrontier[[#This Row],[P48 HWM]]-1</f>
        <v>0</v>
      </c>
      <c r="GM109" s="28">
        <f>SUMPRODUCT(INDEX(PortfolioRef[[SPY]:[PE]],MATCH(GM$1,PortfolioRef[Reference '#]),0),AssetMonthlyReturns[[#This Row],[SPY]:[PE]])</f>
        <v>1.0877323331134997E-2</v>
      </c>
      <c r="GN109" s="27">
        <f>IF(ISNUMBER(GN108),GN108*(1+PortfolioFrontier[[#This Row],[P49 Return]]),1+PortfolioFrontier[[#This Row],[P49 Return]])</f>
        <v>2.0486357089569855</v>
      </c>
      <c r="GO109" s="27">
        <f>MAX(GO108,PortfolioFrontier[[#This Row],[P49 Growth]])</f>
        <v>2.0486724769415803</v>
      </c>
      <c r="GP109" s="27">
        <f>PortfolioFrontier[[#This Row],[P49 Growth]]/PortfolioFrontier[[#This Row],[P49 HWM]]-1</f>
        <v>-1.7947224365322256E-5</v>
      </c>
      <c r="GQ109" s="28">
        <f>SUMPRODUCT(INDEX(PortfolioRef[[SPY]:[PE]],MATCH(GQ$1,PortfolioRef[Reference '#]),0),AssetMonthlyReturns[[#This Row],[SPY]:[PE]])</f>
        <v>9.2530774660794703E-3</v>
      </c>
      <c r="GR109" s="27">
        <f>IF(ISNUMBER(GR108),GR108*(1+PortfolioFrontier[[#This Row],[P50 Return]]),1+PortfolioFrontier[[#This Row],[P50 Return]])</f>
        <v>2.0360871265841762</v>
      </c>
      <c r="GS109" s="27">
        <f>MAX(GS108,PortfolioFrontier[[#This Row],[P50 Growth]])</f>
        <v>2.0360871265841762</v>
      </c>
      <c r="GT109" s="27">
        <f>PortfolioFrontier[[#This Row],[P50 Growth]]/PortfolioFrontier[[#This Row],[P50 HWM]]-1</f>
        <v>0</v>
      </c>
      <c r="GU109" s="28">
        <f>SUMPRODUCT(INDEX(PortfolioRef[[SPY]:[PE]],MATCH(GU$1,PortfolioRef[Reference '#]),0),AssetMonthlyReturns[[#This Row],[SPY]:[PE]])</f>
        <v>7.6288316010239407E-3</v>
      </c>
      <c r="GV109" s="27">
        <f>IF(ISNUMBER(GV108),GV108*(1+PortfolioFrontier[[#This Row],[P51 Return]]),1+PortfolioFrontier[[#This Row],[P51 Return]])</f>
        <v>2.0218801357910725</v>
      </c>
      <c r="GW109" s="27">
        <f>MAX(GW108,PortfolioFrontier[[#This Row],[P51 Growth]])</f>
        <v>2.0218801357910725</v>
      </c>
      <c r="GX109" s="27">
        <f>PortfolioFrontier[[#This Row],[P51 Growth]]/PortfolioFrontier[[#This Row],[P51 HWM]]-1</f>
        <v>0</v>
      </c>
      <c r="GY109" s="28">
        <f>SUMPRODUCT(INDEX(PortfolioRef[[SPY]:[PE]],MATCH(GY$1,PortfolioRef[Reference '#]),0),AssetMonthlyReturns[[#This Row],[SPY]:[PE]])</f>
        <v>9.8994517435867808E-3</v>
      </c>
      <c r="GZ109" s="27">
        <f>IF(ISNUMBER(GZ108),GZ108*(1+PortfolioFrontier[[#This Row],[P52 Return]]),1+PortfolioFrontier[[#This Row],[P52 Return]])</f>
        <v>2.1515417163052208</v>
      </c>
      <c r="HA109" s="27">
        <f>MAX(HA108,PortfolioFrontier[[#This Row],[P52 Growth]])</f>
        <v>2.1515417163052208</v>
      </c>
      <c r="HB109" s="27">
        <f>PortfolioFrontier[[#This Row],[P52 Growth]]/PortfolioFrontier[[#This Row],[P52 HWM]]-1</f>
        <v>0</v>
      </c>
      <c r="HC109" s="28">
        <f>SUMPRODUCT(INDEX(PortfolioRef[[SPY]:[PE]],MATCH(HC$1,PortfolioRef[Reference '#]),0),AssetMonthlyReturns[[#This Row],[SPY]:[PE]])</f>
        <v>8.275205878531252E-3</v>
      </c>
      <c r="HD109" s="27">
        <f>IF(ISNUMBER(HD108),HD108*(1+PortfolioFrontier[[#This Row],[P53 Return]]),1+PortfolioFrontier[[#This Row],[P53 Return]])</f>
        <v>2.1369941880927228</v>
      </c>
      <c r="HE109" s="27">
        <f>MAX(HE108,PortfolioFrontier[[#This Row],[P53 Growth]])</f>
        <v>2.1369941880927228</v>
      </c>
      <c r="HF109" s="27">
        <f>PortfolioFrontier[[#This Row],[P53 Growth]]/PortfolioFrontier[[#This Row],[P53 HWM]]-1</f>
        <v>0</v>
      </c>
      <c r="HG109" s="28">
        <f>SUMPRODUCT(INDEX(PortfolioRef[[SPY]:[PE]],MATCH(HG$1,PortfolioRef[Reference '#]),0),AssetMonthlyReturns[[#This Row],[SPY]:[PE]])</f>
        <v>6.6509600134757223E-3</v>
      </c>
      <c r="HH109" s="27">
        <f>IF(ISNUMBER(HH108),HH108*(1+PortfolioFrontier[[#This Row],[P54 Return]]),1+PortfolioFrontier[[#This Row],[P54 Return]])</f>
        <v>2.1207321335551459</v>
      </c>
      <c r="HI109" s="27">
        <f>MAX(HI108,PortfolioFrontier[[#This Row],[P54 Growth]])</f>
        <v>2.1207321335551459</v>
      </c>
      <c r="HJ109" s="27">
        <f>PortfolioFrontier[[#This Row],[P54 Growth]]/PortfolioFrontier[[#This Row],[P54 HWM]]-1</f>
        <v>0</v>
      </c>
      <c r="HK109" s="28">
        <f>SUMPRODUCT(INDEX(PortfolioRef[[SPY]:[PE]],MATCH(HK$1,PortfolioRef[Reference '#]),0),AssetMonthlyReturns[[#This Row],[SPY]:[PE]])</f>
        <v>1.0838439602361544E-2</v>
      </c>
      <c r="HL109" s="27">
        <f>IF(ISNUMBER(HL108),HL108*(1+PortfolioFrontier[[#This Row],[P55 Return]]),1+PortfolioFrontier[[#This Row],[P55 Return]])</f>
        <v>2.1197009234462389</v>
      </c>
      <c r="HM109" s="27">
        <f>MAX(HM108,PortfolioFrontier[[#This Row],[P55 Growth]])</f>
        <v>2.1197009234462389</v>
      </c>
      <c r="HN109" s="27">
        <f>PortfolioFrontier[[#This Row],[P55 Growth]]/PortfolioFrontier[[#This Row],[P55 HWM]]-1</f>
        <v>0</v>
      </c>
      <c r="HO109" s="28">
        <f>SUMPRODUCT(INDEX(PortfolioRef[[SPY]:[PE]],MATCH(HO$1,PortfolioRef[Reference '#]),0),AssetMonthlyReturns[[#This Row],[SPY]:[PE]])</f>
        <v>9.2141937373060156E-3</v>
      </c>
      <c r="HP109" s="27">
        <f>IF(ISNUMBER(HP108),HP108*(1+PortfolioFrontier[[#This Row],[P56 Return]]),1+PortfolioFrontier[[#This Row],[P56 Return]])</f>
        <v>2.1067289649206318</v>
      </c>
      <c r="HQ109" s="27">
        <f>MAX(HQ108,PortfolioFrontier[[#This Row],[P56 Growth]])</f>
        <v>2.1067289649206318</v>
      </c>
      <c r="HR109" s="27">
        <f>PortfolioFrontier[[#This Row],[P56 Growth]]/PortfolioFrontier[[#This Row],[P56 HWM]]-1</f>
        <v>0</v>
      </c>
      <c r="HS109" s="28">
        <f>SUMPRODUCT(INDEX(PortfolioRef[[SPY]:[PE]],MATCH(HS$1,PortfolioRef[Reference '#]),0),AssetMonthlyReturns[[#This Row],[SPY]:[PE]])</f>
        <v>7.5899478722504859E-3</v>
      </c>
      <c r="HT109" s="27">
        <f>IF(ISNUMBER(HT108),HT108*(1+PortfolioFrontier[[#This Row],[P57 Return]]),1+PortfolioFrontier[[#This Row],[P57 Return]])</f>
        <v>2.0920420379897102</v>
      </c>
      <c r="HU109" s="27">
        <f>MAX(HU108,PortfolioFrontier[[#This Row],[P57 Growth]])</f>
        <v>2.0920420379897102</v>
      </c>
      <c r="HV109" s="27">
        <f>PortfolioFrontier[[#This Row],[P57 Growth]]/PortfolioFrontier[[#This Row],[P57 HWM]]-1</f>
        <v>0</v>
      </c>
      <c r="HW109" s="28">
        <f>SUMPRODUCT(INDEX(PortfolioRef[[SPY]:[PE]],MATCH(HW$1,PortfolioRef[Reference '#]),0),AssetMonthlyReturns[[#This Row],[SPY]:[PE]])</f>
        <v>1.177742746113631E-2</v>
      </c>
      <c r="HX109" s="27">
        <f>IF(ISNUMBER(HX108),HX108*(1+PortfolioFrontier[[#This Row],[P58 Return]]),1+PortfolioFrontier[[#This Row],[P58 Return]])</f>
        <v>2.0864658491381025</v>
      </c>
      <c r="HY109" s="27">
        <f>MAX(HY108,PortfolioFrontier[[#This Row],[P58 Growth]])</f>
        <v>2.0910143650860982</v>
      </c>
      <c r="HZ109" s="27">
        <f>PortfolioFrontier[[#This Row],[P58 Growth]]/PortfolioFrontier[[#This Row],[P58 HWM]]-1</f>
        <v>-2.1752676710130592E-3</v>
      </c>
      <c r="IA109" s="28">
        <f>SUMPRODUCT(INDEX(PortfolioRef[[SPY]:[PE]],MATCH(IA$1,PortfolioRef[Reference '#]),0),AssetMonthlyReturns[[#This Row],[SPY]:[PE]])</f>
        <v>1.0153181596080781E-2</v>
      </c>
      <c r="IB109" s="27">
        <f>IF(ISNUMBER(IB108),IB108*(1+PortfolioFrontier[[#This Row],[P59 Return]]),1+PortfolioFrontier[[#This Row],[P59 Return]])</f>
        <v>2.0750434376611091</v>
      </c>
      <c r="IC109" s="27">
        <f>MAX(IC108,PortfolioFrontier[[#This Row],[P59 Growth]])</f>
        <v>2.0750434376611091</v>
      </c>
      <c r="ID109" s="27">
        <f>PortfolioFrontier[[#This Row],[P59 Growth]]/PortfolioFrontier[[#This Row],[P59 HWM]]-1</f>
        <v>0</v>
      </c>
      <c r="IE109" s="28">
        <f>SUMPRODUCT(INDEX(PortfolioRef[[SPY]:[PE]],MATCH(IE$1,PortfolioRef[Reference '#]),0),AssetMonthlyReturns[[#This Row],[SPY]:[PE]])</f>
        <v>8.5289357310252504E-3</v>
      </c>
      <c r="IF109" s="27">
        <f>IF(ISNUMBER(IF108),IF108*(1+PortfolioFrontier[[#This Row],[P60 Return]]),1+PortfolioFrontier[[#This Row],[P60 Return]])</f>
        <v>2.0619088333714832</v>
      </c>
      <c r="IG109" s="27">
        <f>MAX(IG108,PortfolioFrontier[[#This Row],[P60 Growth]])</f>
        <v>2.0619088333714832</v>
      </c>
      <c r="IH109" s="27">
        <f>PortfolioFrontier[[#This Row],[P60 Growth]]/PortfolioFrontier[[#This Row],[P60 HWM]]-1</f>
        <v>0</v>
      </c>
      <c r="II109" s="28">
        <f>SUMPRODUCT(INDEX(PortfolioRef[[SPY]:[PE]],MATCH(II$1,PortfolioRef[Reference '#]),0),AssetMonthlyReturns[[#This Row],[SPY]:[PE]])</f>
        <v>9.7614484592894249E-3</v>
      </c>
      <c r="IJ109" s="27">
        <f>IF(ISNUMBER(IJ108),IJ108*(1+PortfolioFrontier[[#This Row],[P61 Return]]),1+PortfolioFrontier[[#This Row],[P61 Return]])</f>
        <v>1.8285636861294068</v>
      </c>
      <c r="IK109" s="27">
        <f>MAX(IK108,PortfolioFrontier[[#This Row],[P61 Growth]])</f>
        <v>1.8285636861294068</v>
      </c>
      <c r="IL109" s="27">
        <f>PortfolioFrontier[[#This Row],[P61 Growth]]/PortfolioFrontier[[#This Row],[P61 HWM]]-1</f>
        <v>0</v>
      </c>
      <c r="IM109" s="28">
        <f>SUMPRODUCT(INDEX(PortfolioRef[[SPY]:[PE]],MATCH(IM$1,PortfolioRef[Reference '#]),0),AssetMonthlyReturns[[#This Row],[SPY]:[PE]])</f>
        <v>9.7225647305159701E-3</v>
      </c>
      <c r="IN109" s="27">
        <f>IF(ISNUMBER(IN108),IN108*(1+PortfolioFrontier[[#This Row],[P62 Return]]),1+PortfolioFrontier[[#This Row],[P62 Return]])</f>
        <v>1.892086264835843</v>
      </c>
      <c r="IO109" s="27">
        <f>MAX(IO108,PortfolioFrontier[[#This Row],[P62 Growth]])</f>
        <v>1.892086264835843</v>
      </c>
      <c r="IP109" s="27">
        <f>PortfolioFrontier[[#This Row],[P62 Growth]]/PortfolioFrontier[[#This Row],[P62 HWM]]-1</f>
        <v>0</v>
      </c>
      <c r="IQ109" s="28">
        <f>SUMPRODUCT(INDEX(PortfolioRef[[SPY]:[PE]],MATCH(IQ$1,PortfolioRef[Reference '#]),0),AssetMonthlyReturns[[#This Row],[SPY]:[PE]])</f>
        <v>1.0661552589290734E-2</v>
      </c>
      <c r="IR109" s="27">
        <f>IF(ISNUMBER(IR108),IR108*(1+PortfolioFrontier[[#This Row],[P63 Return]]),1+PortfolioFrontier[[#This Row],[P63 Return]])</f>
        <v>1.8663833940445493</v>
      </c>
      <c r="IS109" s="27">
        <f>MAX(IS108,PortfolioFrontier[[#This Row],[P63 Growth]])</f>
        <v>1.8663833940445493</v>
      </c>
      <c r="IT109" s="27">
        <f>PortfolioFrontier[[#This Row],[P63 Growth]]/PortfolioFrontier[[#This Row],[P63 HWM]]-1</f>
        <v>0</v>
      </c>
      <c r="IU109" s="28">
        <f>SUMPRODUCT(INDEX(PortfolioRef[[SPY]:[PE]],MATCH(IU$1,PortfolioRef[Reference '#]),0),AssetMonthlyReturns[[#This Row],[SPY]:[PE]])</f>
        <v>9.0373067242352067E-3</v>
      </c>
      <c r="IV109" s="27">
        <f>IF(ISNUMBER(IV108),IV108*(1+PortfolioFrontier[[#This Row],[P64 Return]]),1+PortfolioFrontier[[#This Row],[P64 Return]])</f>
        <v>1.8518346987842382</v>
      </c>
      <c r="IW109" s="27">
        <f>MAX(IW108,PortfolioFrontier[[#This Row],[P64 Growth]])</f>
        <v>1.8518346987842382</v>
      </c>
      <c r="IX109" s="27">
        <f>PortfolioFrontier[[#This Row],[P64 Growth]]/PortfolioFrontier[[#This Row],[P64 HWM]]-1</f>
        <v>0</v>
      </c>
      <c r="IY109" s="28">
        <f>SUMPRODUCT(INDEX(PortfolioRef[[SPY]:[PE]],MATCH(IY$1,PortfolioRef[Reference '#]),0),AssetMonthlyReturns[[#This Row],[SPY]:[PE]])</f>
        <v>9.6836810017425171E-3</v>
      </c>
      <c r="IZ109" s="27">
        <f>IF(ISNUMBER(IZ108),IZ108*(1+PortfolioFrontier[[#This Row],[P65 Return]]),1+PortfolioFrontier[[#This Row],[P65 Return]])</f>
        <v>1.9571781464409379</v>
      </c>
      <c r="JA109" s="27">
        <f>MAX(JA108,PortfolioFrontier[[#This Row],[P65 Growth]])</f>
        <v>1.9571781464409379</v>
      </c>
      <c r="JB109" s="27">
        <f>PortfolioFrontier[[#This Row],[P65 Growth]]/PortfolioFrontier[[#This Row],[P65 HWM]]-1</f>
        <v>0</v>
      </c>
      <c r="JC109" s="28">
        <f>SUMPRODUCT(INDEX(PortfolioRef[[SPY]:[PE]],MATCH(JC$1,PortfolioRef[Reference '#]),0),AssetMonthlyReturns[[#This Row],[SPY]:[PE]])</f>
        <v>1.0622668860517282E-2</v>
      </c>
      <c r="JD109" s="27">
        <f>IF(ISNUMBER(JD108),JD108*(1+PortfolioFrontier[[#This Row],[P66 Return]]),1+PortfolioFrontier[[#This Row],[P66 Return]])</f>
        <v>1.9311928711736117</v>
      </c>
      <c r="JE109" s="27">
        <f>MAX(JE108,PortfolioFrontier[[#This Row],[P66 Growth]])</f>
        <v>1.9311928711736117</v>
      </c>
      <c r="JF109" s="27">
        <f>PortfolioFrontier[[#This Row],[P66 Growth]]/PortfolioFrontier[[#This Row],[P66 HWM]]-1</f>
        <v>0</v>
      </c>
      <c r="JG109" s="28">
        <f>SUMPRODUCT(INDEX(PortfolioRef[[SPY]:[PE]],MATCH(JG$1,PortfolioRef[Reference '#]),0),AssetMonthlyReturns[[#This Row],[SPY]:[PE]])</f>
        <v>8.9984229954617537E-3</v>
      </c>
      <c r="JH109" s="27">
        <f>IF(ISNUMBER(JH108),JH108*(1+PortfolioFrontier[[#This Row],[P67 Return]]),1+PortfolioFrontier[[#This Row],[P67 Return]])</f>
        <v>1.9161516727337649</v>
      </c>
      <c r="JI109" s="27">
        <f>MAX(JI108,PortfolioFrontier[[#This Row],[P67 Growth]])</f>
        <v>1.9161516727337649</v>
      </c>
      <c r="JJ109" s="27">
        <f>PortfolioFrontier[[#This Row],[P67 Growth]]/PortfolioFrontier[[#This Row],[P67 HWM]]-1</f>
        <v>0</v>
      </c>
      <c r="JK109" s="28">
        <f>SUMPRODUCT(INDEX(PortfolioRef[[SPY]:[PE]],MATCH(JK$1,PortfolioRef[Reference '#]),0),AssetMonthlyReturns[[#This Row],[SPY]:[PE]])</f>
        <v>1.1561656719292048E-2</v>
      </c>
      <c r="JL109" s="27">
        <f>IF(ISNUMBER(JL108),JL108*(1+PortfolioFrontier[[#This Row],[P68 Return]]),1+PortfolioFrontier[[#This Row],[P68 Return]])</f>
        <v>1.903861535421044</v>
      </c>
      <c r="JM109" s="27">
        <f>MAX(JM108,PortfolioFrontier[[#This Row],[P68 Growth]])</f>
        <v>1.903861535421044</v>
      </c>
      <c r="JN109" s="27">
        <f>PortfolioFrontier[[#This Row],[P68 Growth]]/PortfolioFrontier[[#This Row],[P68 HWM]]-1</f>
        <v>0</v>
      </c>
      <c r="JO109" s="28">
        <f>SUMPRODUCT(INDEX(PortfolioRef[[SPY]:[PE]],MATCH(JO$1,PortfolioRef[Reference '#]),0),AssetMonthlyReturns[[#This Row],[SPY]:[PE]])</f>
        <v>9.9374108542365173E-3</v>
      </c>
      <c r="JP109" s="27">
        <f>IF(ISNUMBER(JP108),JP108*(1+PortfolioFrontier[[#This Row],[P69 Return]]),1+PortfolioFrontier[[#This Row],[P69 Return]])</f>
        <v>1.8902468783368787</v>
      </c>
      <c r="JQ109" s="27">
        <f>MAX(JQ108,PortfolioFrontier[[#This Row],[P69 Growth]])</f>
        <v>1.8902468783368787</v>
      </c>
      <c r="JR109" s="27">
        <f>PortfolioFrontier[[#This Row],[P69 Growth]]/PortfolioFrontier[[#This Row],[P69 HWM]]-1</f>
        <v>0</v>
      </c>
      <c r="JS109" s="28">
        <f>SUMPRODUCT(INDEX(PortfolioRef[[SPY]:[PE]],MATCH(JS$1,PortfolioRef[Reference '#]),0),AssetMonthlyReturns[[#This Row],[SPY]:[PE]])</f>
        <v>8.3131649891809885E-3</v>
      </c>
      <c r="JT109" s="27">
        <f>IF(ISNUMBER(JT108),JT108*(1+PortfolioFrontier[[#This Row],[P70 Return]]),1+PortfolioFrontier[[#This Row],[P70 Return]])</f>
        <v>1.8751267914051004</v>
      </c>
      <c r="JU109" s="27">
        <f>MAX(JU108,PortfolioFrontier[[#This Row],[P70 Growth]])</f>
        <v>1.8751267914051004</v>
      </c>
      <c r="JV109" s="27">
        <f>PortfolioFrontier[[#This Row],[P70 Growth]]/PortfolioFrontier[[#This Row],[P70 HWM]]-1</f>
        <v>0</v>
      </c>
      <c r="JW109" s="28">
        <f>SUMPRODUCT(INDEX(PortfolioRef[[SPY]:[PE]],MATCH(JW$1,PortfolioRef[Reference '#]),0),AssetMonthlyReturns[[#This Row],[SPY]:[PE]])</f>
        <v>1.0583785131743828E-2</v>
      </c>
      <c r="JX109" s="27">
        <f>IF(ISNUMBER(JX108),JX108*(1+PortfolioFrontier[[#This Row],[P71 Return]]),1+PortfolioFrontier[[#This Row],[P71 Return]])</f>
        <v>1.9976028986521042</v>
      </c>
      <c r="JY109" s="27">
        <f>MAX(JY108,PortfolioFrontier[[#This Row],[P71 Growth]])</f>
        <v>1.9976028986521042</v>
      </c>
      <c r="JZ109" s="27">
        <f>PortfolioFrontier[[#This Row],[P71 Growth]]/PortfolioFrontier[[#This Row],[P71 HWM]]-1</f>
        <v>0</v>
      </c>
      <c r="KA109" s="28">
        <f>SUMPRODUCT(INDEX(PortfolioRef[[SPY]:[PE]],MATCH(KA$1,PortfolioRef[Reference '#]),0),AssetMonthlyReturns[[#This Row],[SPY]:[PE]])</f>
        <v>8.9595392666883007E-3</v>
      </c>
      <c r="KB109" s="27">
        <f>IF(ISNUMBER(KB108),KB108*(1+PortfolioFrontier[[#This Row],[P72 Return]]),1+PortfolioFrontier[[#This Row],[P72 Return]])</f>
        <v>1.9820574503936341</v>
      </c>
      <c r="KC109" s="27">
        <f>MAX(KC108,PortfolioFrontier[[#This Row],[P72 Growth]])</f>
        <v>1.9820574503936341</v>
      </c>
      <c r="KD109" s="27">
        <f>PortfolioFrontier[[#This Row],[P72 Growth]]/PortfolioFrontier[[#This Row],[P72 HWM]]-1</f>
        <v>0</v>
      </c>
      <c r="KE109" s="28">
        <f>SUMPRODUCT(INDEX(PortfolioRef[[SPY]:[PE]],MATCH(KE$1,PortfolioRef[Reference '#]),0),AssetMonthlyReturns[[#This Row],[SPY]:[PE]])</f>
        <v>1.1522772990518593E-2</v>
      </c>
      <c r="KF109" s="27">
        <f>IF(ISNUMBER(KF108),KF108*(1+PortfolioFrontier[[#This Row],[P73 Return]]),1+PortfolioFrontier[[#This Row],[P73 Return]])</f>
        <v>1.9699456270008269</v>
      </c>
      <c r="KG109" s="27">
        <f>MAX(KG108,PortfolioFrontier[[#This Row],[P73 Growth]])</f>
        <v>1.9699456270008269</v>
      </c>
      <c r="KH109" s="27">
        <f>PortfolioFrontier[[#This Row],[P73 Growth]]/PortfolioFrontier[[#This Row],[P73 HWM]]-1</f>
        <v>0</v>
      </c>
      <c r="KI109" s="28">
        <f>SUMPRODUCT(INDEX(PortfolioRef[[SPY]:[PE]],MATCH(KI$1,PortfolioRef[Reference '#]),0),AssetMonthlyReturns[[#This Row],[SPY]:[PE]])</f>
        <v>9.8985271254630643E-3</v>
      </c>
      <c r="KJ109" s="27">
        <f>IF(ISNUMBER(KJ108),KJ108*(1+PortfolioFrontier[[#This Row],[P74 Return]]),1+PortfolioFrontier[[#This Row],[P74 Return]])</f>
        <v>1.9558706040696663</v>
      </c>
      <c r="KK109" s="27">
        <f>MAX(KK108,PortfolioFrontier[[#This Row],[P74 Growth]])</f>
        <v>1.9558706040696663</v>
      </c>
      <c r="KL109" s="27">
        <f>PortfolioFrontier[[#This Row],[P74 Growth]]/PortfolioFrontier[[#This Row],[P74 HWM]]-1</f>
        <v>0</v>
      </c>
      <c r="KM109" s="28">
        <f>SUMPRODUCT(INDEX(PortfolioRef[[SPY]:[PE]],MATCH(KM$1,PortfolioRef[Reference '#]),0),AssetMonthlyReturns[[#This Row],[SPY]:[PE]])</f>
        <v>8.2742812604075337E-3</v>
      </c>
      <c r="KN109" s="27">
        <f>IF(ISNUMBER(KN108),KN108*(1+PortfolioFrontier[[#This Row],[P75 Return]]),1+PortfolioFrontier[[#This Row],[P75 Return]])</f>
        <v>1.9402387528566893</v>
      </c>
      <c r="KO109" s="27">
        <f>MAX(KO108,PortfolioFrontier[[#This Row],[P75 Growth]])</f>
        <v>1.9402387528566893</v>
      </c>
      <c r="KP109" s="27">
        <f>PortfolioFrontier[[#This Row],[P75 Growth]]/PortfolioFrontier[[#This Row],[P75 HWM]]-1</f>
        <v>0</v>
      </c>
      <c r="KQ109" s="28">
        <f>SUMPRODUCT(INDEX(PortfolioRef[[SPY]:[PE]],MATCH(KQ$1,PortfolioRef[Reference '#]),0),AssetMonthlyReturns[[#This Row],[SPY]:[PE]])</f>
        <v>1.2461760849293358E-2</v>
      </c>
      <c r="KR109" s="27">
        <f>IF(ISNUMBER(KR108),KR108*(1+PortfolioFrontier[[#This Row],[P76 Return]]),1+PortfolioFrontier[[#This Row],[P76 Return]])</f>
        <v>1.9409426959276344</v>
      </c>
      <c r="KS109" s="27">
        <f>MAX(KS108,PortfolioFrontier[[#This Row],[P76 Growth]])</f>
        <v>1.9409426959276344</v>
      </c>
      <c r="KT109" s="27">
        <f>PortfolioFrontier[[#This Row],[P76 Growth]]/PortfolioFrontier[[#This Row],[P76 HWM]]-1</f>
        <v>0</v>
      </c>
      <c r="KU109" s="28">
        <f>SUMPRODUCT(INDEX(PortfolioRef[[SPY]:[PE]],MATCH(KU$1,PortfolioRef[Reference '#]),0),AssetMonthlyReturns[[#This Row],[SPY]:[PE]])</f>
        <v>1.083751498423783E-2</v>
      </c>
      <c r="KV109" s="27">
        <f>IF(ISNUMBER(KV108),KV108*(1+PortfolioFrontier[[#This Row],[P77 Return]]),1+PortfolioFrontier[[#This Row],[P77 Return]])</f>
        <v>1.9283178718386298</v>
      </c>
      <c r="KW109" s="27">
        <f>MAX(KW108,PortfolioFrontier[[#This Row],[P77 Growth]])</f>
        <v>1.9283178718386298</v>
      </c>
      <c r="KX109" s="27">
        <f>PortfolioFrontier[[#This Row],[P77 Growth]]/PortfolioFrontier[[#This Row],[P77 HWM]]-1</f>
        <v>0</v>
      </c>
      <c r="KY109" s="28">
        <f>SUMPRODUCT(INDEX(PortfolioRef[[SPY]:[PE]],MATCH(KY$1,PortfolioRef[Reference '#]),0),AssetMonthlyReturns[[#This Row],[SPY]:[PE]])</f>
        <v>9.2132691191822991E-3</v>
      </c>
      <c r="KZ109" s="27">
        <f>IF(ISNUMBER(KZ108),KZ108*(1+PortfolioFrontier[[#This Row],[P78 Return]]),1+PortfolioFrontier[[#This Row],[P78 Return]])</f>
        <v>1.9141347410048628</v>
      </c>
      <c r="LA109" s="27">
        <f>MAX(LA108,PortfolioFrontier[[#This Row],[P78 Growth]])</f>
        <v>1.9141347410048628</v>
      </c>
      <c r="LB109" s="27">
        <f>PortfolioFrontier[[#This Row],[P78 Growth]]/PortfolioFrontier[[#This Row],[P78 HWM]]-1</f>
        <v>0</v>
      </c>
      <c r="LC109" s="28">
        <f>SUMPRODUCT(INDEX(PortfolioRef[[SPY]:[PE]],MATCH(LC$1,PortfolioRef[Reference '#]),0),AssetMonthlyReturns[[#This Row],[SPY]:[PE]])</f>
        <v>1.148388926174514E-2</v>
      </c>
      <c r="LD109" s="27">
        <f>IF(ISNUMBER(LD108),LD108*(1+PortfolioFrontier[[#This Row],[P79 Return]]),1+PortfolioFrontier[[#This Row],[P79 Return]])</f>
        <v>2.0376612070029232</v>
      </c>
      <c r="LE109" s="27">
        <f>MAX(LE108,PortfolioFrontier[[#This Row],[P79 Growth]])</f>
        <v>2.0376612070029232</v>
      </c>
      <c r="LF109" s="27">
        <f>PortfolioFrontier[[#This Row],[P79 Growth]]/PortfolioFrontier[[#This Row],[P79 HWM]]-1</f>
        <v>0</v>
      </c>
      <c r="LG109" s="28">
        <f>SUMPRODUCT(INDEX(PortfolioRef[[SPY]:[PE]],MATCH(LG$1,PortfolioRef[Reference '#]),0),AssetMonthlyReturns[[#This Row],[SPY]:[PE]])</f>
        <v>9.8596433966896112E-3</v>
      </c>
      <c r="LH109" s="27">
        <f>IF(ISNUMBER(LH108),LH108*(1+PortfolioFrontier[[#This Row],[P80 Return]]),1+PortfolioFrontier[[#This Row],[P80 Return]])</f>
        <v>2.023114859130589</v>
      </c>
      <c r="LI109" s="27">
        <f>MAX(LI108,PortfolioFrontier[[#This Row],[P80 Growth]])</f>
        <v>2.023114859130589</v>
      </c>
      <c r="LJ109" s="27">
        <f>PortfolioFrontier[[#This Row],[P80 Growth]]/PortfolioFrontier[[#This Row],[P80 HWM]]-1</f>
        <v>0</v>
      </c>
      <c r="LK109" s="28">
        <f>SUMPRODUCT(INDEX(PortfolioRef[[SPY]:[PE]],MATCH(LK$1,PortfolioRef[Reference '#]),0),AssetMonthlyReturns[[#This Row],[SPY]:[PE]])</f>
        <v>8.2353975316340824E-3</v>
      </c>
      <c r="LL109" s="27">
        <f>IF(ISNUMBER(LL108),LL108*(1+PortfolioFrontier[[#This Row],[P81 Return]]),1+PortfolioFrontier[[#This Row],[P81 Return]])</f>
        <v>2.0069590348546598</v>
      </c>
      <c r="LM109" s="27">
        <f>MAX(LM108,PortfolioFrontier[[#This Row],[P81 Growth]])</f>
        <v>2.0069590348546598</v>
      </c>
      <c r="LN109" s="27">
        <f>PortfolioFrontier[[#This Row],[P81 Growth]]/PortfolioFrontier[[#This Row],[P81 HWM]]-1</f>
        <v>0</v>
      </c>
      <c r="LO109" s="28">
        <f>SUMPRODUCT(INDEX(PortfolioRef[[SPY]:[PE]],MATCH(LO$1,PortfolioRef[Reference '#]),0),AssetMonthlyReturns[[#This Row],[SPY]:[PE]])</f>
        <v>1.2422877120519904E-2</v>
      </c>
      <c r="LP109" s="27">
        <f>IF(ISNUMBER(LP108),LP108*(1+PortfolioFrontier[[#This Row],[P82 Return]]),1+PortfolioFrontier[[#This Row],[P82 Return]])</f>
        <v>2.0082872493703579</v>
      </c>
      <c r="LQ109" s="27">
        <f>MAX(LQ108,PortfolioFrontier[[#This Row],[P82 Growth]])</f>
        <v>2.0082872493703579</v>
      </c>
      <c r="LR109" s="27">
        <f>PortfolioFrontier[[#This Row],[P82 Growth]]/PortfolioFrontier[[#This Row],[P82 HWM]]-1</f>
        <v>0</v>
      </c>
      <c r="LS109" s="28">
        <f>SUMPRODUCT(INDEX(PortfolioRef[[SPY]:[PE]],MATCH(LS$1,PortfolioRef[Reference '#]),0),AssetMonthlyReturns[[#This Row],[SPY]:[PE]])</f>
        <v>1.0798631255464377E-2</v>
      </c>
      <c r="LT109" s="27">
        <f>IF(ISNUMBER(LT108),LT108*(1+PortfolioFrontier[[#This Row],[P83 Return]]),1+PortfolioFrontier[[#This Row],[P83 Return]])</f>
        <v>1.995236069291731</v>
      </c>
      <c r="LU109" s="27">
        <f>MAX(LU108,PortfolioFrontier[[#This Row],[P83 Growth]])</f>
        <v>1.995236069291731</v>
      </c>
      <c r="LV109" s="27">
        <f>PortfolioFrontier[[#This Row],[P83 Growth]]/PortfolioFrontier[[#This Row],[P83 HWM]]-1</f>
        <v>0</v>
      </c>
      <c r="LW109" s="28">
        <f>SUMPRODUCT(INDEX(PortfolioRef[[SPY]:[PE]],MATCH(LW$1,PortfolioRef[Reference '#]),0),AssetMonthlyReturns[[#This Row],[SPY]:[PE]])</f>
        <v>9.1743853904088461E-3</v>
      </c>
      <c r="LX109" s="27">
        <f>IF(ISNUMBER(LX108),LX108*(1+PortfolioFrontier[[#This Row],[P84 Return]]),1+PortfolioFrontier[[#This Row],[P84 Return]])</f>
        <v>1.9805734150424503</v>
      </c>
      <c r="LY109" s="27">
        <f>MAX(LY108,PortfolioFrontier[[#This Row],[P84 Growth]])</f>
        <v>1.9805734150424503</v>
      </c>
      <c r="LZ109" s="27">
        <f>PortfolioFrontier[[#This Row],[P84 Growth]]/PortfolioFrontier[[#This Row],[P84 HWM]]-1</f>
        <v>0</v>
      </c>
      <c r="MA109" s="28">
        <f>SUMPRODUCT(INDEX(PortfolioRef[[SPY]:[PE]],MATCH(MA$1,PortfolioRef[Reference '#]),0),AssetMonthlyReturns[[#This Row],[SPY]:[PE]])</f>
        <v>1.3361864979294669E-2</v>
      </c>
      <c r="MB109" s="27">
        <f>IF(ISNUMBER(MB108),MB108*(1+PortfolioFrontier[[#This Row],[P85 Return]]),1+PortfolioFrontier[[#This Row],[P85 Return]])</f>
        <v>1.977570622345711</v>
      </c>
      <c r="MC109" s="27">
        <f>MAX(MC108,PortfolioFrontier[[#This Row],[P85 Growth]])</f>
        <v>1.9798393963163579</v>
      </c>
      <c r="MD109" s="27">
        <f>PortfolioFrontier[[#This Row],[P85 Growth]]/PortfolioFrontier[[#This Row],[P85 HWM]]-1</f>
        <v>-1.1459383901886167E-3</v>
      </c>
      <c r="ME109" s="28">
        <f>SUMPRODUCT(INDEX(PortfolioRef[[SPY]:[PE]],MATCH(ME$1,PortfolioRef[Reference '#]),0),AssetMonthlyReturns[[#This Row],[SPY]:[PE]])</f>
        <v>1.173761911423914E-2</v>
      </c>
      <c r="MF109" s="27">
        <f>IF(ISNUMBER(MF108),MF108*(1+PortfolioFrontier[[#This Row],[P86 Return]]),1+PortfolioFrontier[[#This Row],[P86 Return]])</f>
        <v>1.9659915215718233</v>
      </c>
      <c r="MG109" s="27">
        <f>MAX(MG108,PortfolioFrontier[[#This Row],[P86 Growth]])</f>
        <v>1.9659915215718233</v>
      </c>
      <c r="MH109" s="27">
        <f>PortfolioFrontier[[#This Row],[P86 Growth]]/PortfolioFrontier[[#This Row],[P86 HWM]]-1</f>
        <v>0</v>
      </c>
      <c r="MI109" s="28">
        <f>SUMPRODUCT(INDEX(PortfolioRef[[SPY]:[PE]],MATCH(MI$1,PortfolioRef[Reference '#]),0),AssetMonthlyReturns[[#This Row],[SPY]:[PE]])</f>
        <v>1.0113373249183611E-2</v>
      </c>
      <c r="MJ109" s="27">
        <f>IF(ISNUMBER(MJ108),MJ108*(1+PortfolioFrontier[[#This Row],[P87 Return]]),1+PortfolioFrontier[[#This Row],[P87 Return]])</f>
        <v>1.9528020042075829</v>
      </c>
      <c r="MK109" s="27">
        <f>MAX(MK108,PortfolioFrontier[[#This Row],[P87 Growth]])</f>
        <v>1.9528020042075829</v>
      </c>
      <c r="ML109" s="27">
        <f>PortfolioFrontier[[#This Row],[P87 Growth]]/PortfolioFrontier[[#This Row],[P87 HWM]]-1</f>
        <v>0</v>
      </c>
      <c r="MM109" s="28">
        <f>SUMPRODUCT(INDEX(PortfolioRef[[SPY]:[PE]],MATCH(MM$1,PortfolioRef[Reference '#]),0),AssetMonthlyReturns[[#This Row],[SPY]:[PE]])</f>
        <v>1.2383993391746451E-2</v>
      </c>
      <c r="MN109" s="27">
        <f>IF(ISNUMBER(MN108),MN108*(1+PortfolioFrontier[[#This Row],[P88 Return]]),1+PortfolioFrontier[[#This Row],[P88 Return]])</f>
        <v>2.0772938750846044</v>
      </c>
      <c r="MO109" s="27">
        <f>MAX(MO108,PortfolioFrontier[[#This Row],[P88 Growth]])</f>
        <v>2.0772938750846044</v>
      </c>
      <c r="MP109" s="27">
        <f>PortfolioFrontier[[#This Row],[P88 Growth]]/PortfolioFrontier[[#This Row],[P88 HWM]]-1</f>
        <v>0</v>
      </c>
      <c r="MQ109" s="28">
        <f>SUMPRODUCT(INDEX(PortfolioRef[[SPY]:[PE]],MATCH(MQ$1,PortfolioRef[Reference '#]),0),AssetMonthlyReturns[[#This Row],[SPY]:[PE]])</f>
        <v>1.0759747526690924E-2</v>
      </c>
      <c r="MR109" s="27">
        <f>IF(ISNUMBER(MR108),MR108*(1+PortfolioFrontier[[#This Row],[P89 Return]]),1+PortfolioFrontier[[#This Row],[P89 Return]])</f>
        <v>2.0638062121886973</v>
      </c>
      <c r="MS109" s="27">
        <f>MAX(MS108,PortfolioFrontier[[#This Row],[P89 Growth]])</f>
        <v>2.0638062121886973</v>
      </c>
      <c r="MT109" s="27">
        <f>PortfolioFrontier[[#This Row],[P89 Growth]]/PortfolioFrontier[[#This Row],[P89 HWM]]-1</f>
        <v>0</v>
      </c>
      <c r="MU109" s="28">
        <f>SUMPRODUCT(INDEX(PortfolioRef[[SPY]:[PE]],MATCH(MU$1,PortfolioRef[Reference '#]),0),AssetMonthlyReturns[[#This Row],[SPY]:[PE]])</f>
        <v>9.135501661635393E-3</v>
      </c>
      <c r="MV109" s="27">
        <f>IF(ISNUMBER(MV108),MV108*(1+PortfolioFrontier[[#This Row],[P90 Return]]),1+PortfolioFrontier[[#This Row],[P90 Return]])</f>
        <v>2.0486526160099463</v>
      </c>
      <c r="MW109" s="27">
        <f>MAX(MW108,PortfolioFrontier[[#This Row],[P90 Growth]])</f>
        <v>2.0486526160099463</v>
      </c>
      <c r="MX109" s="27">
        <f>PortfolioFrontier[[#This Row],[P90 Growth]]/PortfolioFrontier[[#This Row],[P90 HWM]]-1</f>
        <v>0</v>
      </c>
      <c r="MY109" s="28">
        <f>SUMPRODUCT(INDEX(PortfolioRef[[SPY]:[PE]],MATCH(MY$1,PortfolioRef[Reference '#]),0),AssetMonthlyReturns[[#This Row],[SPY]:[PE]])</f>
        <v>1.3322981250521216E-2</v>
      </c>
      <c r="MZ109" s="27">
        <f>IF(ISNUMBER(MZ108),MZ108*(1+PortfolioFrontier[[#This Row],[P91 Return]]),1+PortfolioFrontier[[#This Row],[P91 Return]])</f>
        <v>2.0461595899307512</v>
      </c>
      <c r="NA109" s="27">
        <f>MAX(NA108,PortfolioFrontier[[#This Row],[P91 Growth]])</f>
        <v>2.0461595899307512</v>
      </c>
      <c r="NB109" s="27">
        <f>PortfolioFrontier[[#This Row],[P91 Growth]]/PortfolioFrontier[[#This Row],[P91 HWM]]-1</f>
        <v>0</v>
      </c>
      <c r="NC109" s="28">
        <f>SUMPRODUCT(INDEX(PortfolioRef[[SPY]:[PE]],MATCH(NC$1,PortfolioRef[Reference '#]),0),AssetMonthlyReturns[[#This Row],[SPY]:[PE]])</f>
        <v>1.1698735385465687E-2</v>
      </c>
      <c r="ND109" s="27">
        <f>IF(ISNUMBER(ND108),ND108*(1+PortfolioFrontier[[#This Row],[P92 Return]]),1+PortfolioFrontier[[#This Row],[P92 Return]])</f>
        <v>2.0341900173871084</v>
      </c>
      <c r="NE109" s="27">
        <f>MAX(NE108,PortfolioFrontier[[#This Row],[P92 Growth]])</f>
        <v>2.0341900173871084</v>
      </c>
      <c r="NF109" s="27">
        <f>PortfolioFrontier[[#This Row],[P92 Growth]]/PortfolioFrontier[[#This Row],[P92 HWM]]-1</f>
        <v>0</v>
      </c>
      <c r="NG109" s="28">
        <f>SUMPRODUCT(INDEX(PortfolioRef[[SPY]:[PE]],MATCH(NG$1,PortfolioRef[Reference '#]),0),AssetMonthlyReturns[[#This Row],[SPY]:[PE]])</f>
        <v>1.0074489520410157E-2</v>
      </c>
      <c r="NH109" s="27">
        <f>IF(ISNUMBER(NH108),NH108*(1+PortfolioFrontier[[#This Row],[P93 Return]]),1+PortfolioFrontier[[#This Row],[P93 Return]])</f>
        <v>2.0205551186039474</v>
      </c>
      <c r="NI109" s="27">
        <f>MAX(NI108,PortfolioFrontier[[#This Row],[P93 Growth]])</f>
        <v>2.0205551186039474</v>
      </c>
      <c r="NJ109" s="27">
        <f>PortfolioFrontier[[#This Row],[P93 Growth]]/PortfolioFrontier[[#This Row],[P93 HWM]]-1</f>
        <v>0</v>
      </c>
      <c r="NK109" s="28">
        <f>SUMPRODUCT(INDEX(PortfolioRef[[SPY]:[PE]],MATCH(NK$1,PortfolioRef[Reference '#]),0),AssetMonthlyReturns[[#This Row],[SPY]:[PE]])</f>
        <v>1.426196910929598E-2</v>
      </c>
      <c r="NL109" s="27">
        <f>IF(ISNUMBER(NL108),NL108*(1+PortfolioFrontier[[#This Row],[P94 Return]]),1+PortfolioFrontier[[#This Row],[P94 Return]])</f>
        <v>2.013688322494446</v>
      </c>
      <c r="NM109" s="27">
        <f>MAX(NM108,PortfolioFrontier[[#This Row],[P94 Growth]])</f>
        <v>2.0203871878359139</v>
      </c>
      <c r="NN109" s="27">
        <f>PortfolioFrontier[[#This Row],[P94 Growth]]/PortfolioFrontier[[#This Row],[P94 HWM]]-1</f>
        <v>-3.31563443967553E-3</v>
      </c>
      <c r="NO109" s="28">
        <f>SUMPRODUCT(INDEX(PortfolioRef[[SPY]:[PE]],MATCH(NO$1,PortfolioRef[Reference '#]),0),AssetMonthlyReturns[[#This Row],[SPY]:[PE]])</f>
        <v>1.2637723244240453E-2</v>
      </c>
      <c r="NP109" s="27">
        <f>IF(ISNUMBER(NP108),NP108*(1+PortfolioFrontier[[#This Row],[P95 Return]]),1+PortfolioFrontier[[#This Row],[P95 Return]])</f>
        <v>2.0032108082999578</v>
      </c>
      <c r="NQ109" s="27">
        <f>MAX(NQ108,PortfolioFrontier[[#This Row],[P95 Growth]])</f>
        <v>2.0038965423933455</v>
      </c>
      <c r="NR109" s="27">
        <f>PortfolioFrontier[[#This Row],[P95 Growth]]/PortfolioFrontier[[#This Row],[P95 HWM]]-1</f>
        <v>-3.4220034761311968E-4</v>
      </c>
      <c r="NS109" s="28">
        <f>SUMPRODUCT(INDEX(PortfolioRef[[SPY]:[PE]],MATCH(NS$1,PortfolioRef[Reference '#]),0),AssetMonthlyReturns[[#This Row],[SPY]:[PE]])</f>
        <v>1.1013477379184922E-2</v>
      </c>
      <c r="NT109" s="27">
        <f>IF(ISNUMBER(NT108),NT108*(1+PortfolioFrontier[[#This Row],[P96 Return]]),1+PortfolioFrontier[[#This Row],[P96 Return]])</f>
        <v>1.9910716783625562</v>
      </c>
      <c r="NU109" s="27">
        <f>MAX(NU108,PortfolioFrontier[[#This Row],[P96 Growth]])</f>
        <v>1.9910716783625562</v>
      </c>
      <c r="NV109" s="27">
        <f>PortfolioFrontier[[#This Row],[P96 Growth]]/PortfolioFrontier[[#This Row],[P96 HWM]]-1</f>
        <v>0</v>
      </c>
      <c r="NW109" s="28">
        <f>SUMPRODUCT(INDEX(PortfolioRef[[SPY]:[PE]],MATCH(NW$1,PortfolioRef[Reference '#]),0),AssetMonthlyReturns[[#This Row],[SPY]:[PE]])</f>
        <v>1.1345885977447784E-2</v>
      </c>
      <c r="NX109" s="27">
        <f>IF(ISNUMBER(NX108),NX108*(1+PortfolioFrontier[[#This Row],[P97 Return]]),1+PortfolioFrontier[[#This Row],[P97 Return]])</f>
        <v>1.7295497294044972</v>
      </c>
      <c r="NY109" s="27">
        <f>MAX(NY108,PortfolioFrontier[[#This Row],[P97 Growth]])</f>
        <v>1.7295497294044972</v>
      </c>
      <c r="NZ109" s="27">
        <f>PortfolioFrontier[[#This Row],[P97 Growth]]/PortfolioFrontier[[#This Row],[P97 HWM]]-1</f>
        <v>0</v>
      </c>
      <c r="OA109" s="28">
        <f>SUMPRODUCT(INDEX(PortfolioRef[[SPY]:[PE]],MATCH(OA$1,PortfolioRef[Reference '#]),0),AssetMonthlyReturns[[#This Row],[SPY]:[PE]])</f>
        <v>1.1307002248674331E-2</v>
      </c>
      <c r="OB109" s="27">
        <f>IF(ISNUMBER(OB108),OB108*(1+PortfolioFrontier[[#This Row],[P98 Return]]),1+PortfolioFrontier[[#This Row],[P98 Return]])</f>
        <v>1.7896475516846144</v>
      </c>
      <c r="OC109" s="27">
        <f>MAX(OC108,PortfolioFrontier[[#This Row],[P98 Growth]])</f>
        <v>1.7896475516846144</v>
      </c>
      <c r="OD109" s="27">
        <f>PortfolioFrontier[[#This Row],[P98 Growth]]/PortfolioFrontier[[#This Row],[P98 HWM]]-1</f>
        <v>0</v>
      </c>
      <c r="OE109" s="28">
        <f>SUMPRODUCT(INDEX(PortfolioRef[[SPY]:[PE]],MATCH(OE$1,PortfolioRef[Reference '#]),0),AssetMonthlyReturns[[#This Row],[SPY]:[PE]])</f>
        <v>1.2245990107449095E-2</v>
      </c>
      <c r="OF109" s="27">
        <f>IF(ISNUMBER(OF108),OF108*(1+PortfolioFrontier[[#This Row],[P99 Return]]),1+PortfolioFrontier[[#This Row],[P99 Return]])</f>
        <v>1.7660167198671468</v>
      </c>
      <c r="OG109" s="27">
        <f>MAX(OG108,PortfolioFrontier[[#This Row],[P99 Growth]])</f>
        <v>1.7660167198671468</v>
      </c>
      <c r="OH109" s="27">
        <f>PortfolioFrontier[[#This Row],[P99 Growth]]/PortfolioFrontier[[#This Row],[P99 HWM]]-1</f>
        <v>0</v>
      </c>
      <c r="OI109" s="28">
        <f>SUMPRODUCT(INDEX(PortfolioRef[[SPY]:[PE]],MATCH(OI$1,PortfolioRef[Reference '#]),0),AssetMonthlyReturns[[#This Row],[SPY]:[PE]])</f>
        <v>1.0621744242393568E-2</v>
      </c>
      <c r="OJ109" s="27">
        <f>IF(ISNUMBER(OJ108),OJ108*(1+PortfolioFrontier[[#This Row],[P100 Return]]),1+PortfolioFrontier[[#This Row],[P100 Return]])</f>
        <v>1.7515870109459772</v>
      </c>
      <c r="OK109" s="27">
        <f>MAX(OK108,PortfolioFrontier[[#This Row],[P100 Growth]])</f>
        <v>1.7515870109459772</v>
      </c>
      <c r="OL109" s="27">
        <f>PortfolioFrontier[[#This Row],[P100 Growth]]/PortfolioFrontier[[#This Row],[P100 HWM]]-1</f>
        <v>0</v>
      </c>
      <c r="OM109" s="28">
        <f>SUMPRODUCT(INDEX(PortfolioRef[[SPY]:[PE]],MATCH(OM$1,PortfolioRef[Reference '#]),0),AssetMonthlyReturns[[#This Row],[SPY]:[PE]])</f>
        <v>1.1268118519900876E-2</v>
      </c>
      <c r="ON109" s="27">
        <f>IF(ISNUMBER(ON108),ON108*(1+PortfolioFrontier[[#This Row],[P101 Return]]),1+PortfolioFrontier[[#This Row],[P101 Return]])</f>
        <v>1.8512296159367334</v>
      </c>
      <c r="OO109" s="27">
        <f>MAX(OO108,PortfolioFrontier[[#This Row],[P101 Growth]])</f>
        <v>1.8512296159367334</v>
      </c>
      <c r="OP109" s="27">
        <f>PortfolioFrontier[[#This Row],[P101 Growth]]/PortfolioFrontier[[#This Row],[P101 HWM]]-1</f>
        <v>0</v>
      </c>
      <c r="OQ109" s="28">
        <f>SUMPRODUCT(INDEX(PortfolioRef[[SPY]:[PE]],MATCH(OQ$1,PortfolioRef[Reference '#]),0),AssetMonthlyReturns[[#This Row],[SPY]:[PE]])</f>
        <v>1.220710637867564E-2</v>
      </c>
      <c r="OR109" s="27">
        <f>IF(ISNUMBER(OR108),OR108*(1+PortfolioFrontier[[#This Row],[P102 Return]]),1+PortfolioFrontier[[#This Row],[P102 Return]])</f>
        <v>1.8273559081618382</v>
      </c>
      <c r="OS109" s="27">
        <f>MAX(OS108,PortfolioFrontier[[#This Row],[P102 Growth]])</f>
        <v>1.8273559081618382</v>
      </c>
      <c r="OT109" s="27">
        <f>PortfolioFrontier[[#This Row],[P102 Growth]]/PortfolioFrontier[[#This Row],[P102 HWM]]-1</f>
        <v>0</v>
      </c>
      <c r="OU109" s="28">
        <f>SUMPRODUCT(INDEX(PortfolioRef[[SPY]:[PE]],MATCH(OU$1,PortfolioRef[Reference '#]),0),AssetMonthlyReturns[[#This Row],[SPY]:[PE]])</f>
        <v>1.0582860513620113E-2</v>
      </c>
      <c r="OV109" s="27">
        <f>IF(ISNUMBER(OV108),OV108*(1+PortfolioFrontier[[#This Row],[P103 Return]]),1+PortfolioFrontier[[#This Row],[P103 Return]])</f>
        <v>1.8124373732116703</v>
      </c>
      <c r="OW109" s="27">
        <f>MAX(OW108,PortfolioFrontier[[#This Row],[P103 Growth]])</f>
        <v>1.8124373732116703</v>
      </c>
      <c r="OX109" s="27">
        <f>PortfolioFrontier[[#This Row],[P103 Growth]]/PortfolioFrontier[[#This Row],[P103 HWM]]-1</f>
        <v>0</v>
      </c>
      <c r="OY109" s="28">
        <f>SUMPRODUCT(INDEX(PortfolioRef[[SPY]:[PE]],MATCH(OY$1,PortfolioRef[Reference '#]),0),AssetMonthlyReturns[[#This Row],[SPY]:[PE]])</f>
        <v>1.3146094237450405E-2</v>
      </c>
      <c r="OZ109" s="27">
        <f>IF(ISNUMBER(OZ108),OZ108*(1+PortfolioFrontier[[#This Row],[P104 Return]]),1+PortfolioFrontier[[#This Row],[P104 Return]])</f>
        <v>1.8021907341162027</v>
      </c>
      <c r="PA109" s="27">
        <f>MAX(PA108,PortfolioFrontier[[#This Row],[P104 Growth]])</f>
        <v>1.8021907341162027</v>
      </c>
      <c r="PB109" s="27">
        <f>PortfolioFrontier[[#This Row],[P104 Growth]]/PortfolioFrontier[[#This Row],[P104 HWM]]-1</f>
        <v>0</v>
      </c>
      <c r="PC109" s="28">
        <f>SUMPRODUCT(INDEX(PortfolioRef[[SPY]:[PE]],MATCH(PC$1,PortfolioRef[Reference '#]),0),AssetMonthlyReturns[[#This Row],[SPY]:[PE]])</f>
        <v>1.1521848372394878E-2</v>
      </c>
      <c r="PD109" s="27">
        <f>IF(ISNUMBER(PD108),PD108*(1+PortfolioFrontier[[#This Row],[P105 Return]]),1+PortfolioFrontier[[#This Row],[P105 Return]])</f>
        <v>1.7886237822445519</v>
      </c>
      <c r="PE109" s="27">
        <f>MAX(PE108,PortfolioFrontier[[#This Row],[P105 Growth]])</f>
        <v>1.7886237822445519</v>
      </c>
      <c r="PF109" s="27">
        <f>PortfolioFrontier[[#This Row],[P105 Growth]]/PortfolioFrontier[[#This Row],[P105 HWM]]-1</f>
        <v>0</v>
      </c>
      <c r="PG109" s="28">
        <f>SUMPRODUCT(INDEX(PortfolioRef[[SPY]:[PE]],MATCH(PG$1,PortfolioRef[Reference '#]),0),AssetMonthlyReturns[[#This Row],[SPY]:[PE]])</f>
        <v>9.8976025073393478E-3</v>
      </c>
      <c r="PH109" s="27">
        <f>IF(ISNUMBER(PH108),PH108*(1+PortfolioFrontier[[#This Row],[P106 Return]]),1+PortfolioFrontier[[#This Row],[P106 Return]])</f>
        <v>1.7736448521486989</v>
      </c>
      <c r="PI109" s="27">
        <f>MAX(PI108,PortfolioFrontier[[#This Row],[P106 Growth]])</f>
        <v>1.7736448521486989</v>
      </c>
      <c r="PJ109" s="27">
        <f>PortfolioFrontier[[#This Row],[P106 Growth]]/PortfolioFrontier[[#This Row],[P106 HWM]]-1</f>
        <v>0</v>
      </c>
      <c r="PK109" s="28">
        <f>SUMPRODUCT(INDEX(PortfolioRef[[SPY]:[PE]],MATCH(PK$1,PortfolioRef[Reference '#]),0),AssetMonthlyReturns[[#This Row],[SPY]:[PE]])</f>
        <v>1.2168222649902189E-2</v>
      </c>
      <c r="PL109" s="27">
        <f>IF(ISNUMBER(PL108),PL108*(1+PortfolioFrontier[[#This Row],[P107 Return]]),1+PortfolioFrontier[[#This Row],[P107 Return]])</f>
        <v>1.8902094769835096</v>
      </c>
      <c r="PM109" s="27">
        <f>MAX(PM108,PortfolioFrontier[[#This Row],[P107 Growth]])</f>
        <v>1.8902094769835096</v>
      </c>
      <c r="PN109" s="27">
        <f>PortfolioFrontier[[#This Row],[P107 Growth]]/PortfolioFrontier[[#This Row],[P107 HWM]]-1</f>
        <v>0</v>
      </c>
      <c r="PO109" s="28">
        <f>SUMPRODUCT(INDEX(PortfolioRef[[SPY]:[PE]],MATCH(PO$1,PortfolioRef[Reference '#]),0),AssetMonthlyReturns[[#This Row],[SPY]:[PE]])</f>
        <v>1.054397678484666E-2</v>
      </c>
      <c r="PP109" s="27">
        <f>IF(ISNUMBER(PP108),PP108*(1+PortfolioFrontier[[#This Row],[P108 Return]]),1+PortfolioFrontier[[#This Row],[P108 Return]])</f>
        <v>1.8747904488176765</v>
      </c>
      <c r="PQ109" s="27">
        <f>MAX(PQ108,PortfolioFrontier[[#This Row],[P108 Growth]])</f>
        <v>1.8747904488176765</v>
      </c>
      <c r="PR109" s="27">
        <f>PortfolioFrontier[[#This Row],[P108 Growth]]/PortfolioFrontier[[#This Row],[P108 HWM]]-1</f>
        <v>0</v>
      </c>
      <c r="PS109" s="28">
        <f>SUMPRODUCT(INDEX(PortfolioRef[[SPY]:[PE]],MATCH(PS$1,PortfolioRef[Reference '#]),0),AssetMonthlyReturns[[#This Row],[SPY]:[PE]])</f>
        <v>1.3107210508676954E-2</v>
      </c>
      <c r="PT109" s="27">
        <f>IF(ISNUMBER(PT108),PT108*(1+PortfolioFrontier[[#This Row],[P109 Return]]),1+PortfolioFrontier[[#This Row],[P109 Return]])</f>
        <v>1.8647606779220043</v>
      </c>
      <c r="PU109" s="27">
        <f>MAX(PU108,PortfolioFrontier[[#This Row],[P109 Growth]])</f>
        <v>1.8647606779220043</v>
      </c>
      <c r="PV109" s="27">
        <f>PortfolioFrontier[[#This Row],[P109 Growth]]/PortfolioFrontier[[#This Row],[P109 HWM]]-1</f>
        <v>0</v>
      </c>
      <c r="PW109" s="28">
        <f>SUMPRODUCT(INDEX(PortfolioRef[[SPY]:[PE]],MATCH(PW$1,PortfolioRef[Reference '#]),0),AssetMonthlyReturns[[#This Row],[SPY]:[PE]])</f>
        <v>1.1482964643621424E-2</v>
      </c>
      <c r="PX109" s="27">
        <f>IF(ISNUMBER(PX108),PX108*(1+PortfolioFrontier[[#This Row],[P110 Return]]),1+PortfolioFrontier[[#This Row],[P110 Return]])</f>
        <v>1.8507346108899039</v>
      </c>
      <c r="PY109" s="27">
        <f>MAX(PY108,PortfolioFrontier[[#This Row],[P110 Growth]])</f>
        <v>1.8507346108899039</v>
      </c>
      <c r="PZ109" s="27">
        <f>PortfolioFrontier[[#This Row],[P110 Growth]]/PortfolioFrontier[[#This Row],[P110 HWM]]-1</f>
        <v>0</v>
      </c>
      <c r="QA109" s="28">
        <f>SUMPRODUCT(INDEX(PortfolioRef[[SPY]:[PE]],MATCH(QA$1,PortfolioRef[Reference '#]),0),AssetMonthlyReturns[[#This Row],[SPY]:[PE]])</f>
        <v>9.8587187785658947E-3</v>
      </c>
      <c r="QB109" s="27">
        <f>IF(ISNUMBER(QB108),QB108*(1+PortfolioFrontier[[#This Row],[P111 Return]]),1+PortfolioFrontier[[#This Row],[P111 Return]])</f>
        <v>1.8352483368457193</v>
      </c>
      <c r="QC109" s="27">
        <f>MAX(QC108,PortfolioFrontier[[#This Row],[P111 Growth]])</f>
        <v>1.8352483368457193</v>
      </c>
      <c r="QD109" s="27">
        <f>PortfolioFrontier[[#This Row],[P111 Growth]]/PortfolioFrontier[[#This Row],[P111 HWM]]-1</f>
        <v>0</v>
      </c>
      <c r="QE109" s="28">
        <f>SUMPRODUCT(INDEX(PortfolioRef[[SPY]:[PE]],MATCH(QE$1,PortfolioRef[Reference '#]),0),AssetMonthlyReturns[[#This Row],[SPY]:[PE]])</f>
        <v>1.4046198367451718E-2</v>
      </c>
      <c r="QF109" s="27">
        <f>IF(ISNUMBER(QF108),QF108*(1+PortfolioFrontier[[#This Row],[P112 Return]]),1+PortfolioFrontier[[#This Row],[P112 Return]])</f>
        <v>1.8380191840629578</v>
      </c>
      <c r="QG109" s="27">
        <f>MAX(QG108,PortfolioFrontier[[#This Row],[P112 Growth]])</f>
        <v>1.8380191840629578</v>
      </c>
      <c r="QH109" s="27">
        <f>PortfolioFrontier[[#This Row],[P112 Growth]]/PortfolioFrontier[[#This Row],[P112 HWM]]-1</f>
        <v>0</v>
      </c>
      <c r="QI109" s="28">
        <f>SUMPRODUCT(INDEX(PortfolioRef[[SPY]:[PE]],MATCH(QI$1,PortfolioRef[Reference '#]),0),AssetMonthlyReturns[[#This Row],[SPY]:[PE]])</f>
        <v>1.2421952502396189E-2</v>
      </c>
      <c r="QJ109" s="27">
        <f>IF(ISNUMBER(QJ108),QJ108*(1+PortfolioFrontier[[#This Row],[P113 Return]]),1+PortfolioFrontier[[#This Row],[P113 Return]])</f>
        <v>1.8253683944820565</v>
      </c>
      <c r="QK109" s="27">
        <f>MAX(QK108,PortfolioFrontier[[#This Row],[P113 Growth]])</f>
        <v>1.8253683944820565</v>
      </c>
      <c r="QL109" s="27">
        <f>PortfolioFrontier[[#This Row],[P113 Growth]]/PortfolioFrontier[[#This Row],[P113 HWM]]-1</f>
        <v>0</v>
      </c>
      <c r="QM109" s="28">
        <f>SUMPRODUCT(INDEX(PortfolioRef[[SPY]:[PE]],MATCH(QM$1,PortfolioRef[Reference '#]),0),AssetMonthlyReturns[[#This Row],[SPY]:[PE]])</f>
        <v>1.079770663734066E-2</v>
      </c>
      <c r="QN109" s="27">
        <f>IF(ISNUMBER(QN108),QN108*(1+PortfolioFrontier[[#This Row],[P114 Return]]),1+PortfolioFrontier[[#This Row],[P114 Return]])</f>
        <v>1.8112545555424173</v>
      </c>
      <c r="QO109" s="27">
        <f>MAX(QO108,PortfolioFrontier[[#This Row],[P114 Growth]])</f>
        <v>1.8112545555424173</v>
      </c>
      <c r="QP109" s="27">
        <f>PortfolioFrontier[[#This Row],[P114 Growth]]/PortfolioFrontier[[#This Row],[P114 HWM]]-1</f>
        <v>0</v>
      </c>
      <c r="QQ109" s="28">
        <f>SUMPRODUCT(INDEX(PortfolioRef[[SPY]:[PE]],MATCH(QQ$1,PortfolioRef[Reference '#]),0),AssetMonthlyReturns[[#This Row],[SPY]:[PE]])</f>
        <v>1.3068326779903499E-2</v>
      </c>
      <c r="QR109" s="27">
        <f>IF(ISNUMBER(QR108),QR108*(1+PortfolioFrontier[[#This Row],[P115 Return]]),1+PortfolioFrontier[[#This Row],[P115 Return]])</f>
        <v>1.928874872475794</v>
      </c>
      <c r="QS109" s="27">
        <f>MAX(QS108,PortfolioFrontier[[#This Row],[P115 Growth]])</f>
        <v>1.928874872475794</v>
      </c>
      <c r="QT109" s="27">
        <f>PortfolioFrontier[[#This Row],[P115 Growth]]/PortfolioFrontier[[#This Row],[P115 HWM]]-1</f>
        <v>0</v>
      </c>
      <c r="QU109" s="28">
        <f>SUMPRODUCT(INDEX(PortfolioRef[[SPY]:[PE]],MATCH(QU$1,PortfolioRef[Reference '#]),0),AssetMonthlyReturns[[#This Row],[SPY]:[PE]])</f>
        <v>1.1444080914847972E-2</v>
      </c>
      <c r="QV109" s="27">
        <f>IF(ISNUMBER(QV108),QV108*(1+PortfolioFrontier[[#This Row],[P116 Return]]),1+PortfolioFrontier[[#This Row],[P116 Return]])</f>
        <v>1.9143787514671806</v>
      </c>
      <c r="QW109" s="27">
        <f>MAX(QW108,PortfolioFrontier[[#This Row],[P116 Growth]])</f>
        <v>1.9143787514671806</v>
      </c>
      <c r="QX109" s="27">
        <f>PortfolioFrontier[[#This Row],[P116 Growth]]/PortfolioFrontier[[#This Row],[P116 HWM]]-1</f>
        <v>0</v>
      </c>
      <c r="QY109" s="28">
        <f>SUMPRODUCT(INDEX(PortfolioRef[[SPY]:[PE]],MATCH(QY$1,PortfolioRef[Reference '#]),0),AssetMonthlyReturns[[#This Row],[SPY]:[PE]])</f>
        <v>9.8198350497924417E-3</v>
      </c>
      <c r="QZ109" s="27">
        <f>IF(ISNUMBER(QZ108),QZ108*(1+PortfolioFrontier[[#This Row],[P117 Return]]),1+PortfolioFrontier[[#This Row],[P117 Return]])</f>
        <v>1.8983730220155997</v>
      </c>
      <c r="RA109" s="27">
        <f>MAX(RA108,PortfolioFrontier[[#This Row],[P117 Growth]])</f>
        <v>1.8983730220155997</v>
      </c>
      <c r="RB109" s="27">
        <f>PortfolioFrontier[[#This Row],[P117 Growth]]/PortfolioFrontier[[#This Row],[P117 HWM]]-1</f>
        <v>0</v>
      </c>
      <c r="RC109" s="28">
        <f>SUMPRODUCT(INDEX(PortfolioRef[[SPY]:[PE]],MATCH(RC$1,PortfolioRef[Reference '#]),0),AssetMonthlyReturns[[#This Row],[SPY]:[PE]])</f>
        <v>1.4007314638678265E-2</v>
      </c>
      <c r="RD109" s="27">
        <f>IF(ISNUMBER(RD108),RD108*(1+PortfolioFrontier[[#This Row],[P118 Return]]),1+PortfolioFrontier[[#This Row],[P118 Return]])</f>
        <v>1.9018074983267361</v>
      </c>
      <c r="RE109" s="27">
        <f>MAX(RE108,PortfolioFrontier[[#This Row],[P118 Growth]])</f>
        <v>1.9018074983267361</v>
      </c>
      <c r="RF109" s="27">
        <f>PortfolioFrontier[[#This Row],[P118 Growth]]/PortfolioFrontier[[#This Row],[P118 HWM]]-1</f>
        <v>0</v>
      </c>
      <c r="RG109" s="28">
        <f>SUMPRODUCT(INDEX(PortfolioRef[[SPY]:[PE]],MATCH(RG$1,PortfolioRef[Reference '#]),0),AssetMonthlyReturns[[#This Row],[SPY]:[PE]])</f>
        <v>1.2383068773622736E-2</v>
      </c>
      <c r="RH109" s="27">
        <f>IF(ISNUMBER(RH108),RH108*(1+PortfolioFrontier[[#This Row],[P119 Return]]),1+PortfolioFrontier[[#This Row],[P119 Return]])</f>
        <v>1.8887290977733939</v>
      </c>
      <c r="RI109" s="27">
        <f>MAX(RI108,PortfolioFrontier[[#This Row],[P119 Growth]])</f>
        <v>1.8887290977733939</v>
      </c>
      <c r="RJ109" s="27">
        <f>PortfolioFrontier[[#This Row],[P119 Growth]]/PortfolioFrontier[[#This Row],[P119 HWM]]-1</f>
        <v>0</v>
      </c>
      <c r="RK109" s="28">
        <f>SUMPRODUCT(INDEX(PortfolioRef[[SPY]:[PE]],MATCH(RK$1,PortfolioRef[Reference '#]),0),AssetMonthlyReturns[[#This Row],[SPY]:[PE]])</f>
        <v>1.0758822908567205E-2</v>
      </c>
      <c r="RL109" s="27">
        <f>IF(ISNUMBER(RL108),RL108*(1+PortfolioFrontier[[#This Row],[P120 Return]]),1+PortfolioFrontier[[#This Row],[P120 Return]])</f>
        <v>1.8741377096504042</v>
      </c>
      <c r="RM109" s="27">
        <f>MAX(RM108,PortfolioFrontier[[#This Row],[P120 Growth]])</f>
        <v>1.8741377096504042</v>
      </c>
      <c r="RN109" s="27">
        <f>PortfolioFrontier[[#This Row],[P120 Growth]]/PortfolioFrontier[[#This Row],[P120 HWM]]-1</f>
        <v>0</v>
      </c>
      <c r="RO109" s="28">
        <f>SUMPRODUCT(INDEX(PortfolioRef[[SPY]:[PE]],MATCH(RO$1,PortfolioRef[Reference '#]),0),AssetMonthlyReturns[[#This Row],[SPY]:[PE]])</f>
        <v>1.494630249745303E-2</v>
      </c>
      <c r="RP109" s="27">
        <f>IF(ISNUMBER(RP108),RP108*(1+PortfolioFrontier[[#This Row],[P121 Return]]),1+PortfolioFrontier[[#This Row],[P121 Return]])</f>
        <v>1.8734486160065789</v>
      </c>
      <c r="RQ109" s="27">
        <f>MAX(RQ108,PortfolioFrontier[[#This Row],[P121 Growth]])</f>
        <v>1.8736715153024748</v>
      </c>
      <c r="RR109" s="27">
        <f>PortfolioFrontier[[#This Row],[P121 Growth]]/PortfolioFrontier[[#This Row],[P121 HWM]]-1</f>
        <v>-1.1896391340504575E-4</v>
      </c>
      <c r="RS109" s="28">
        <f>SUMPRODUCT(INDEX(PortfolioRef[[SPY]:[PE]],MATCH(RS$1,PortfolioRef[Reference '#]),0),AssetMonthlyReturns[[#This Row],[SPY]:[PE]])</f>
        <v>1.3322056632397499E-2</v>
      </c>
      <c r="RT109" s="27">
        <f>IF(ISNUMBER(RT108),RT108*(1+PortfolioFrontier[[#This Row],[P122 Return]]),1+PortfolioFrontier[[#This Row],[P122 Return]])</f>
        <v>1.8617675585630407</v>
      </c>
      <c r="RU109" s="27">
        <f>MAX(RU108,PortfolioFrontier[[#This Row],[P122 Growth]])</f>
        <v>1.8617675585630407</v>
      </c>
      <c r="RV109" s="27">
        <f>PortfolioFrontier[[#This Row],[P122 Growth]]/PortfolioFrontier[[#This Row],[P122 HWM]]-1</f>
        <v>0</v>
      </c>
      <c r="RW109" s="28">
        <f>SUMPRODUCT(INDEX(PortfolioRef[[SPY]:[PE]],MATCH(RW$1,PortfolioRef[Reference '#]),0),AssetMonthlyReturns[[#This Row],[SPY]:[PE]])</f>
        <v>1.1697810767341971E-2</v>
      </c>
      <c r="RX109" s="27">
        <f>IF(ISNUMBER(RX108),RX108*(1+PortfolioFrontier[[#This Row],[P123 Return]]),1+PortfolioFrontier[[#This Row],[P123 Return]])</f>
        <v>1.8485730325151917</v>
      </c>
      <c r="RY109" s="27">
        <f>MAX(RY108,PortfolioFrontier[[#This Row],[P123 Growth]])</f>
        <v>1.8485730325151917</v>
      </c>
      <c r="RZ109" s="27">
        <f>PortfolioFrontier[[#This Row],[P123 Growth]]/PortfolioFrontier[[#This Row],[P123 HWM]]-1</f>
        <v>0</v>
      </c>
      <c r="SA109" s="28">
        <f>SUMPRODUCT(INDEX(PortfolioRef[[SPY]:[PE]],MATCH(SA$1,PortfolioRef[Reference '#]),0),AssetMonthlyReturns[[#This Row],[SPY]:[PE]])</f>
        <v>1.3968430909904812E-2</v>
      </c>
      <c r="SB109" s="27">
        <f>IF(ISNUMBER(SB108),SB108*(1+PortfolioFrontier[[#This Row],[P124 Return]]),1+PortfolioFrontier[[#This Row],[P124 Return]])</f>
        <v>1.9671696226283912</v>
      </c>
      <c r="SC109" s="27">
        <f>MAX(SC108,PortfolioFrontier[[#This Row],[P124 Growth]])</f>
        <v>1.9671696226283912</v>
      </c>
      <c r="SD109" s="27">
        <f>PortfolioFrontier[[#This Row],[P124 Growth]]/PortfolioFrontier[[#This Row],[P124 HWM]]-1</f>
        <v>0</v>
      </c>
      <c r="SE109" s="28">
        <f>SUMPRODUCT(INDEX(PortfolioRef[[SPY]:[PE]],MATCH(SE$1,PortfolioRef[Reference '#]),0),AssetMonthlyReturns[[#This Row],[SPY]:[PE]])</f>
        <v>1.2344185044849283E-2</v>
      </c>
      <c r="SF109" s="27">
        <f>IF(ISNUMBER(SF108),SF108*(1+PortfolioFrontier[[#This Row],[P125 Return]]),1+PortfolioFrontier[[#This Row],[P125 Return]])</f>
        <v>1.9536534434944304</v>
      </c>
      <c r="SG109" s="27">
        <f>MAX(SG108,PortfolioFrontier[[#This Row],[P125 Growth]])</f>
        <v>1.9536534434944304</v>
      </c>
      <c r="SH109" s="27">
        <f>PortfolioFrontier[[#This Row],[P125 Growth]]/PortfolioFrontier[[#This Row],[P125 HWM]]-1</f>
        <v>0</v>
      </c>
      <c r="SI109" s="28">
        <f>SUMPRODUCT(INDEX(PortfolioRef[[SPY]:[PE]],MATCH(SI$1,PortfolioRef[Reference '#]),0),AssetMonthlyReturns[[#This Row],[SPY]:[PE]])</f>
        <v>1.0719939179793754E-2</v>
      </c>
      <c r="SJ109" s="27">
        <f>IF(ISNUMBER(SJ108),SJ108*(1+PortfolioFrontier[[#This Row],[P126 Return]]),1+PortfolioFrontier[[#This Row],[P126 Return]])</f>
        <v>1.9385731253436853</v>
      </c>
      <c r="SK109" s="27">
        <f>MAX(SK108,PortfolioFrontier[[#This Row],[P126 Growth]])</f>
        <v>1.9385731253436853</v>
      </c>
      <c r="SL109" s="27">
        <f>PortfolioFrontier[[#This Row],[P126 Growth]]/PortfolioFrontier[[#This Row],[P126 HWM]]-1</f>
        <v>0</v>
      </c>
      <c r="SM109" s="28">
        <f>SUMPRODUCT(INDEX(PortfolioRef[[SPY]:[PE]],MATCH(SM$1,PortfolioRef[Reference '#]),0),AssetMonthlyReturns[[#This Row],[SPY]:[PE]])</f>
        <v>1.4907418768679575E-2</v>
      </c>
      <c r="SN109" s="27">
        <f>IF(ISNUMBER(SN108),SN108*(1+PortfolioFrontier[[#This Row],[P127 Return]]),1+PortfolioFrontier[[#This Row],[P127 Return]])</f>
        <v>1.9384411136298287</v>
      </c>
      <c r="SO109" s="27">
        <f>MAX(SO108,PortfolioFrontier[[#This Row],[P127 Growth]])</f>
        <v>1.9384411136298287</v>
      </c>
      <c r="SP109" s="27">
        <f>PortfolioFrontier[[#This Row],[P127 Growth]]/PortfolioFrontier[[#This Row],[P127 HWM]]-1</f>
        <v>0</v>
      </c>
      <c r="SQ109" s="28">
        <f>SUMPRODUCT(INDEX(PortfolioRef[[SPY]:[PE]],MATCH(SQ$1,PortfolioRef[Reference '#]),0),AssetMonthlyReturns[[#This Row],[SPY]:[PE]])</f>
        <v>1.3283172903624046E-2</v>
      </c>
      <c r="SR109" s="27">
        <f>IF(ISNUMBER(SR108),SR108*(1+PortfolioFrontier[[#This Row],[P128 Return]]),1+PortfolioFrontier[[#This Row],[P128 Return]])</f>
        <v>1.9263657469245508</v>
      </c>
      <c r="SS109" s="27">
        <f>MAX(SS108,PortfolioFrontier[[#This Row],[P128 Growth]])</f>
        <v>1.9263657469245508</v>
      </c>
      <c r="ST109" s="27">
        <f>PortfolioFrontier[[#This Row],[P128 Growth]]/PortfolioFrontier[[#This Row],[P128 HWM]]-1</f>
        <v>0</v>
      </c>
      <c r="SU109" s="28">
        <f>SUMPRODUCT(INDEX(PortfolioRef[[SPY]:[PE]],MATCH(SU$1,PortfolioRef[Reference '#]),0),AssetMonthlyReturns[[#This Row],[SPY]:[PE]])</f>
        <v>1.1658927038568518E-2</v>
      </c>
      <c r="SV109" s="27">
        <f>IF(ISNUMBER(SV108),SV108*(1+PortfolioFrontier[[#This Row],[P129 Return]]),1+PortfolioFrontier[[#This Row],[P129 Return]])</f>
        <v>1.9127252868735214</v>
      </c>
      <c r="SW109" s="27">
        <f>MAX(SW108,PortfolioFrontier[[#This Row],[P129 Growth]])</f>
        <v>1.9127252868735214</v>
      </c>
      <c r="SX109" s="27">
        <f>PortfolioFrontier[[#This Row],[P129 Growth]]/PortfolioFrontier[[#This Row],[P129 HWM]]-1</f>
        <v>0</v>
      </c>
      <c r="SY109" s="28">
        <f>SUMPRODUCT(INDEX(PortfolioRef[[SPY]:[PE]],MATCH(SY$1,PortfolioRef[Reference '#]),0),AssetMonthlyReturns[[#This Row],[SPY]:[PE]])</f>
        <v>1.5846406627454339E-2</v>
      </c>
      <c r="SZ109" s="27">
        <f>IF(ISNUMBER(SZ108),SZ108*(1+PortfolioFrontier[[#This Row],[P130 Return]]),1+PortfolioFrontier[[#This Row],[P130 Return]])</f>
        <v>1.9084248033599236</v>
      </c>
      <c r="TA109" s="27">
        <f>MAX(TA108,PortfolioFrontier[[#This Row],[P130 Growth]])</f>
        <v>1.9128055041216194</v>
      </c>
      <c r="TB109" s="27">
        <f>PortfolioFrontier[[#This Row],[P130 Growth]]/PortfolioFrontier[[#This Row],[P130 HWM]]-1</f>
        <v>-2.2901966521199357E-3</v>
      </c>
      <c r="TC109" s="28">
        <f>SUMPRODUCT(INDEX(PortfolioRef[[SPY]:[PE]],MATCH(TC$1,PortfolioRef[Reference '#]),0),AssetMonthlyReturns[[#This Row],[SPY]:[PE]])</f>
        <v>1.4222160762398812E-2</v>
      </c>
      <c r="TD109" s="27">
        <f>IF(ISNUMBER(TD108),TD108*(1+PortfolioFrontier[[#This Row],[P131 Return]]),1+PortfolioFrontier[[#This Row],[P131 Return]])</f>
        <v>1.8977670974175187</v>
      </c>
      <c r="TE109" s="27">
        <f>MAX(TE108,PortfolioFrontier[[#This Row],[P131 Growth]])</f>
        <v>1.8977670974175187</v>
      </c>
      <c r="TF109" s="27">
        <f>PortfolioFrontier[[#This Row],[P131 Growth]]/PortfolioFrontier[[#This Row],[P131 HWM]]-1</f>
        <v>0</v>
      </c>
      <c r="TG109" s="28">
        <f>SUMPRODUCT(INDEX(PortfolioRef[[SPY]:[PE]],MATCH(TG$1,PortfolioRef[Reference '#]),0),AssetMonthlyReturns[[#This Row],[SPY]:[PE]])</f>
        <v>1.2597914897343281E-2</v>
      </c>
      <c r="TH109" s="27">
        <f>IF(ISNUMBER(TH108),TH108*(1+PortfolioFrontier[[#This Row],[P132 Return]]),1+PortfolioFrontier[[#This Row],[P132 Return]])</f>
        <v>1.8855462916157206</v>
      </c>
      <c r="TI109" s="27">
        <f>MAX(TI108,PortfolioFrontier[[#This Row],[P132 Growth]])</f>
        <v>1.8855462916157206</v>
      </c>
      <c r="TJ109" s="27">
        <f>PortfolioFrontier[[#This Row],[P132 Growth]]/PortfolioFrontier[[#This Row],[P132 HWM]]-1</f>
        <v>0</v>
      </c>
      <c r="TK109" s="28">
        <f>SUMPRODUCT(INDEX(PortfolioRef[[SPY]:[PE]],MATCH(TK$1,PortfolioRef[Reference '#]),0),AssetMonthlyReturns[[#This Row],[SPY]:[PE]])</f>
        <v>1.4868535039906122E-2</v>
      </c>
      <c r="TL109" s="27">
        <f>IF(ISNUMBER(TL108),TL108*(1+PortfolioFrontier[[#This Row],[P133 Return]]),1+PortfolioFrontier[[#This Row],[P133 Return]])</f>
        <v>2.0050366264283763</v>
      </c>
      <c r="TM109" s="27">
        <f>MAX(TM108,PortfolioFrontier[[#This Row],[P133 Growth]])</f>
        <v>2.0050366264283763</v>
      </c>
      <c r="TN109" s="27">
        <f>PortfolioFrontier[[#This Row],[P133 Growth]]/PortfolioFrontier[[#This Row],[P133 HWM]]-1</f>
        <v>0</v>
      </c>
      <c r="TO109" s="28">
        <f>SUMPRODUCT(INDEX(PortfolioRef[[SPY]:[PE]],MATCH(TO$1,PortfolioRef[Reference '#]),0),AssetMonthlyReturns[[#This Row],[SPY]:[PE]])</f>
        <v>1.3244289174850593E-2</v>
      </c>
      <c r="TP109" s="27">
        <f>IF(ISNUMBER(TP108),TP108*(1+PortfolioFrontier[[#This Row],[P134 Return]]),1+PortfolioFrontier[[#This Row],[P134 Return]])</f>
        <v>1.9925575969667808</v>
      </c>
      <c r="TQ109" s="27">
        <f>MAX(TQ108,PortfolioFrontier[[#This Row],[P134 Growth]])</f>
        <v>1.9925575969667808</v>
      </c>
      <c r="TR109" s="27">
        <f>PortfolioFrontier[[#This Row],[P134 Growth]]/PortfolioFrontier[[#This Row],[P134 HWM]]-1</f>
        <v>0</v>
      </c>
      <c r="TS109" s="28">
        <f>SUMPRODUCT(INDEX(PortfolioRef[[SPY]:[PE]],MATCH(TS$1,PortfolioRef[Reference '#]),0),AssetMonthlyReturns[[#This Row],[SPY]:[PE]])</f>
        <v>1.1620043309795065E-2</v>
      </c>
      <c r="TT109" s="27">
        <f>IF(ISNUMBER(TT108),TT108*(1+PortfolioFrontier[[#This Row],[P135 Return]]),1+PortfolioFrontier[[#This Row],[P135 Return]])</f>
        <v>1.9784605961650605</v>
      </c>
      <c r="TU109" s="27">
        <f>MAX(TU108,PortfolioFrontier[[#This Row],[P135 Growth]])</f>
        <v>1.9784605961650605</v>
      </c>
      <c r="TV109" s="27">
        <f>PortfolioFrontier[[#This Row],[P135 Growth]]/PortfolioFrontier[[#This Row],[P135 HWM]]-1</f>
        <v>0</v>
      </c>
      <c r="TW109" s="28">
        <f>SUMPRODUCT(INDEX(PortfolioRef[[SPY]:[PE]],MATCH(TW$1,PortfolioRef[Reference '#]),0),AssetMonthlyReturns[[#This Row],[SPY]:[PE]])</f>
        <v>1.5807522898680888E-2</v>
      </c>
      <c r="TX109" s="27">
        <f>IF(ISNUMBER(TX108),TX108*(1+PortfolioFrontier[[#This Row],[P136 Return]]),1+PortfolioFrontier[[#This Row],[P136 Return]])</f>
        <v>1.9746054708227907</v>
      </c>
      <c r="TY109" s="27">
        <f>MAX(TY108,PortfolioFrontier[[#This Row],[P136 Growth]])</f>
        <v>1.9746054708227907</v>
      </c>
      <c r="TZ109" s="27">
        <f>PortfolioFrontier[[#This Row],[P136 Growth]]/PortfolioFrontier[[#This Row],[P136 HWM]]-1</f>
        <v>0</v>
      </c>
      <c r="UA109" s="28">
        <f>SUMPRODUCT(INDEX(PortfolioRef[[SPY]:[PE]],MATCH(UA$1,PortfolioRef[Reference '#]),0),AssetMonthlyReturns[[#This Row],[SPY]:[PE]])</f>
        <v>1.4183277033625359E-2</v>
      </c>
      <c r="UB109" s="27">
        <f>IF(ISNUMBER(UB108),UB108*(1+PortfolioFrontier[[#This Row],[P137 Return]]),1+PortfolioFrontier[[#This Row],[P137 Return]])</f>
        <v>1.9635885552196484</v>
      </c>
      <c r="UC109" s="27">
        <f>MAX(UC108,PortfolioFrontier[[#This Row],[P137 Growth]])</f>
        <v>1.9635885552196484</v>
      </c>
      <c r="UD109" s="27">
        <f>PortfolioFrontier[[#This Row],[P137 Growth]]/PortfolioFrontier[[#This Row],[P137 HWM]]-1</f>
        <v>0</v>
      </c>
      <c r="UE109" s="28">
        <f>SUMPRODUCT(INDEX(PortfolioRef[[SPY]:[PE]],MATCH(UE$1,PortfolioRef[Reference '#]),0),AssetMonthlyReturns[[#This Row],[SPY]:[PE]])</f>
        <v>1.2559031168569828E-2</v>
      </c>
      <c r="UF109" s="27">
        <f>IF(ISNUMBER(UF108),UF108*(1+PortfolioFrontier[[#This Row],[P138 Return]]),1+PortfolioFrontier[[#This Row],[P138 Return]])</f>
        <v>1.9509552558870924</v>
      </c>
      <c r="UG109" s="27">
        <f>MAX(UG108,PortfolioFrontier[[#This Row],[P138 Growth]])</f>
        <v>1.9509552558870924</v>
      </c>
      <c r="UH109" s="27">
        <f>PortfolioFrontier[[#This Row],[P138 Growth]]/PortfolioFrontier[[#This Row],[P138 HWM]]-1</f>
        <v>0</v>
      </c>
      <c r="UI109" s="28">
        <f>SUMPRODUCT(INDEX(PortfolioRef[[SPY]:[PE]],MATCH(UI$1,PortfolioRef[Reference '#]),0),AssetMonthlyReturns[[#This Row],[SPY]:[PE]])</f>
        <v>1.6746510757455653E-2</v>
      </c>
      <c r="UJ109" s="27">
        <f>IF(ISNUMBER(UJ108),UJ108*(1+PortfolioFrontier[[#This Row],[P139 Return]]),1+PortfolioFrontier[[#This Row],[P139 Return]])</f>
        <v>1.9428928441770772</v>
      </c>
      <c r="UK109" s="27">
        <f>MAX(UK108,PortfolioFrontier[[#This Row],[P139 Growth]])</f>
        <v>1.951621031098326</v>
      </c>
      <c r="UL109" s="27">
        <f>PortfolioFrontier[[#This Row],[P139 Growth]]/PortfolioFrontier[[#This Row],[P139 HWM]]-1</f>
        <v>-4.472275499273981E-3</v>
      </c>
      <c r="UM109" s="28">
        <f>SUMPRODUCT(INDEX(PortfolioRef[[SPY]:[PE]],MATCH(UM$1,PortfolioRef[Reference '#]),0),AssetMonthlyReturns[[#This Row],[SPY]:[PE]])</f>
        <v>1.5122264892400122E-2</v>
      </c>
      <c r="UN109" s="27">
        <f>IF(ISNUMBER(UN108),UN108*(1+PortfolioFrontier[[#This Row],[P140 Return]]),1+PortfolioFrontier[[#This Row],[P140 Return]])</f>
        <v>1.9333120396377685</v>
      </c>
      <c r="UO109" s="27">
        <f>MAX(UO108,PortfolioFrontier[[#This Row],[P140 Growth]])</f>
        <v>1.9361783569313893</v>
      </c>
      <c r="UP109" s="27">
        <f>PortfolioFrontier[[#This Row],[P140 Growth]]/PortfolioFrontier[[#This Row],[P140 HWM]]-1</f>
        <v>-1.4803994081225014E-3</v>
      </c>
      <c r="UQ109" s="28">
        <f>SUMPRODUCT(INDEX(PortfolioRef[[SPY]:[PE]],MATCH(UQ$1,PortfolioRef[Reference '#]),0),AssetMonthlyReturns[[#This Row],[SPY]:[PE]])</f>
        <v>1.3498019027344594E-2</v>
      </c>
      <c r="UR109" s="27">
        <f>IF(ISNUMBER(UR108),UR108*(1+PortfolioFrontier[[#This Row],[P141 Return]]),1+PortfolioFrontier[[#This Row],[P141 Return]])</f>
        <v>1.9221194307520968</v>
      </c>
      <c r="US109" s="27">
        <f>MAX(US108,PortfolioFrontier[[#This Row],[P141 Growth]])</f>
        <v>1.9221194307520968</v>
      </c>
      <c r="UT109" s="27">
        <f>PortfolioFrontier[[#This Row],[P141 Growth]]/PortfolioFrontier[[#This Row],[P141 HWM]]-1</f>
        <v>0</v>
      </c>
    </row>
    <row r="110" spans="2:566" x14ac:dyDescent="0.2">
      <c r="B110" s="41">
        <f>AssetMonthlyReturns[[#This Row],[Date]]</f>
        <v>45717</v>
      </c>
      <c r="C110" s="28">
        <f>SUMPRODUCT(INDEX(PortfolioRef[[SPY]:[PE]],MATCH(C$1,PortfolioRef[Reference '#]),0),AssetMonthlyReturns[[#This Row],[SPY]:[PE]])</f>
        <v>-2.9576552422297116E-2</v>
      </c>
      <c r="D110" s="29">
        <f>IF(ISNUMBER(D109),D109*(1+PortfolioFrontier[[#This Row],[P1 Return]]),1+PortfolioFrontier[[#This Row],[P1 Return]])</f>
        <v>2.3270648602643935</v>
      </c>
      <c r="E110" s="29">
        <f>MAX(E109,PortfolioFrontier[[#This Row],[P1 Growth]])</f>
        <v>2.3979891109113609</v>
      </c>
      <c r="F110" s="29">
        <f>PortfolioFrontier[[#This Row],[P1 Growth]]/PortfolioFrontier[[#This Row],[P1 HWM]]-1</f>
        <v>-2.9576552422297064E-2</v>
      </c>
      <c r="G110" s="28">
        <f>SUMPRODUCT(INDEX(PortfolioRef[[SPY]:[PE]],MATCH(G$1,PortfolioRef[Reference '#]),0),AssetMonthlyReturns[[#This Row],[SPY]:[PE]])</f>
        <v>-2.6649821905917918E-2</v>
      </c>
      <c r="H110" s="27">
        <f>IF(ISNUMBER(H109),H109*(1+PortfolioFrontier[[#This Row],[P2 Return]]),1+PortfolioFrontier[[#This Row],[P2 Return]])</f>
        <v>2.2130362557040182</v>
      </c>
      <c r="I110" s="27">
        <f>MAX(I109,PortfolioFrontier[[#This Row],[P2 Growth]])</f>
        <v>2.273628037996938</v>
      </c>
      <c r="J110" s="27">
        <f>PortfolioFrontier[[#This Row],[P2 Growth]]/PortfolioFrontier[[#This Row],[P2 HWM]]-1</f>
        <v>-2.6649821905917803E-2</v>
      </c>
      <c r="K110" s="28">
        <f>SUMPRODUCT(INDEX(PortfolioRef[[SPY]:[PE]],MATCH(K$1,PortfolioRef[Reference '#]),0),AssetMonthlyReturns[[#This Row],[SPY]:[PE]])</f>
        <v>-2.1925579638889189E-2</v>
      </c>
      <c r="L110" s="27">
        <f>IF(ISNUMBER(L109),L109*(1+PortfolioFrontier[[#This Row],[P3 Return]]),1+PortfolioFrontier[[#This Row],[P3 Return]])</f>
        <v>2.3009596407118602</v>
      </c>
      <c r="M110" s="27">
        <f>MAX(M109,PortfolioFrontier[[#This Row],[P3 Growth]])</f>
        <v>2.3525404537850325</v>
      </c>
      <c r="N110" s="27">
        <f>PortfolioFrontier[[#This Row],[P3 Growth]]/PortfolioFrontier[[#This Row],[P3 HWM]]-1</f>
        <v>-2.1925579638889192E-2</v>
      </c>
      <c r="O110" s="28">
        <f>SUMPRODUCT(INDEX(PortfolioRef[[SPY]:[PE]],MATCH(O$1,PortfolioRef[Reference '#]),0),AssetMonthlyReturns[[#This Row],[SPY]:[PE]])</f>
        <v>-2.8438007398144647E-2</v>
      </c>
      <c r="P110" s="27">
        <f>IF(ISNUMBER(P109),P109*(1+PortfolioFrontier[[#This Row],[P4 Return]]),1+PortfolioFrontier[[#This Row],[P4 Return]])</f>
        <v>2.2510981458311723</v>
      </c>
      <c r="Q110" s="27">
        <f>MAX(Q109,PortfolioFrontier[[#This Row],[P4 Growth]])</f>
        <v>2.3169886872609156</v>
      </c>
      <c r="R110" s="27">
        <f>PortfolioFrontier[[#This Row],[P4 Growth]]/PortfolioFrontier[[#This Row],[P4 HWM]]-1</f>
        <v>-2.8438007398144616E-2</v>
      </c>
      <c r="S110" s="28">
        <f>SUMPRODUCT(INDEX(PortfolioRef[[SPY]:[PE]],MATCH(S$1,PortfolioRef[Reference '#]),0),AssetMonthlyReturns[[#This Row],[SPY]:[PE]])</f>
        <v>-2.8267643767913377E-2</v>
      </c>
      <c r="T110" s="27">
        <f>IF(ISNUMBER(T109),T109*(1+PortfolioFrontier[[#This Row],[P5 Return]]),1+PortfolioFrontier[[#This Row],[P5 Return]])</f>
        <v>2.2373412620886799</v>
      </c>
      <c r="U110" s="27">
        <f>MAX(U109,PortfolioFrontier[[#This Row],[P5 Growth]])</f>
        <v>2.3024254031881983</v>
      </c>
      <c r="V110" s="27">
        <f>PortfolioFrontier[[#This Row],[P5 Growth]]/PortfolioFrontier[[#This Row],[P5 HWM]]-1</f>
        <v>-2.8267643767913464E-2</v>
      </c>
      <c r="W110" s="28">
        <f>SUMPRODUCT(INDEX(PortfolioRef[[SPY]:[PE]],MATCH(W$1,PortfolioRef[Reference '#]),0),AssetMonthlyReturns[[#This Row],[SPY]:[PE]])</f>
        <v>-2.3723091389538719E-2</v>
      </c>
      <c r="X110" s="27">
        <f>IF(ISNUMBER(X109),X109*(1+PortfolioFrontier[[#This Row],[P6 Return]]),1+PortfolioFrontier[[#This Row],[P6 Return]])</f>
        <v>2.1035596832236494</v>
      </c>
      <c r="Y110" s="27">
        <f>MAX(Y109,PortfolioFrontier[[#This Row],[P6 Growth]])</f>
        <v>2.154675240877769</v>
      </c>
      <c r="Z110" s="27">
        <f>PortfolioFrontier[[#This Row],[P6 Growth]]/PortfolioFrontier[[#This Row],[P6 HWM]]-1</f>
        <v>-2.3723091389538653E-2</v>
      </c>
      <c r="AA110" s="28">
        <f>SUMPRODUCT(INDEX(PortfolioRef[[SPY]:[PE]],MATCH(AA$1,PortfolioRef[Reference '#]),0),AssetMonthlyReturns[[#This Row],[SPY]:[PE]])</f>
        <v>-1.8998849122509997E-2</v>
      </c>
      <c r="AB110" s="27">
        <f>IF(ISNUMBER(AB109),AB109*(1+PortfolioFrontier[[#This Row],[P7 Return]]),1+PortfolioFrontier[[#This Row],[P7 Return]])</f>
        <v>2.1871175031664252</v>
      </c>
      <c r="AC110" s="27">
        <f>MAX(AC109,PortfolioFrontier[[#This Row],[P7 Growth]])</f>
        <v>2.2294749615839731</v>
      </c>
      <c r="AD110" s="27">
        <f>PortfolioFrontier[[#This Row],[P7 Growth]]/PortfolioFrontier[[#This Row],[P7 HWM]]-1</f>
        <v>-1.8998849122510042E-2</v>
      </c>
      <c r="AE110" s="28">
        <f>SUMPRODUCT(INDEX(PortfolioRef[[SPY]:[PE]],MATCH(AE$1,PortfolioRef[Reference '#]),0),AssetMonthlyReturns[[#This Row],[SPY]:[PE]])</f>
        <v>-2.5511276881765455E-2</v>
      </c>
      <c r="AF110" s="27">
        <f>IF(ISNUMBER(AF109),AF109*(1+PortfolioFrontier[[#This Row],[P8 Return]]),1+PortfolioFrontier[[#This Row],[P8 Return]])</f>
        <v>2.1405978982775973</v>
      </c>
      <c r="AG110" s="27">
        <f>MAX(AG109,PortfolioFrontier[[#This Row],[P8 Growth]])</f>
        <v>2.1966369107155681</v>
      </c>
      <c r="AH110" s="27">
        <f>PortfolioFrontier[[#This Row],[P8 Growth]]/PortfolioFrontier[[#This Row],[P8 HWM]]-1</f>
        <v>-2.5511276881765466E-2</v>
      </c>
      <c r="AI110" s="28">
        <f>SUMPRODUCT(INDEX(PortfolioRef[[SPY]:[PE]],MATCH(AI$1,PortfolioRef[Reference '#]),0),AssetMonthlyReturns[[#This Row],[SPY]:[PE]])</f>
        <v>-2.5340913251534185E-2</v>
      </c>
      <c r="AJ110" s="27">
        <f>IF(ISNUMBER(AJ109),AJ109*(1+PortfolioFrontier[[#This Row],[P9 Return]]),1+PortfolioFrontier[[#This Row],[P9 Return]])</f>
        <v>2.1267046463504236</v>
      </c>
      <c r="AK110" s="27">
        <f>MAX(AK109,PortfolioFrontier[[#This Row],[P9 Growth]])</f>
        <v>2.1819984805613073</v>
      </c>
      <c r="AL110" s="27">
        <f>PortfolioFrontier[[#This Row],[P9 Growth]]/PortfolioFrontier[[#This Row],[P9 HWM]]-1</f>
        <v>-2.5340913251534314E-2</v>
      </c>
      <c r="AM110" s="28">
        <f>SUMPRODUCT(INDEX(PortfolioRef[[SPY]:[PE]],MATCH(AM$1,PortfolioRef[Reference '#]),0),AssetMonthlyReturns[[#This Row],[SPY]:[PE]])</f>
        <v>-1.4274606855481264E-2</v>
      </c>
      <c r="AN110" s="27">
        <f>IF(ISNUMBER(AN109),AN109*(1+PortfolioFrontier[[#This Row],[P10 Return]]),1+PortfolioFrontier[[#This Row],[P10 Return]])</f>
        <v>2.2732053259876452</v>
      </c>
      <c r="AO110" s="27">
        <f>MAX(AO109,PortfolioFrontier[[#This Row],[P10 Growth]])</f>
        <v>2.3061243443632859</v>
      </c>
      <c r="AP110" s="27">
        <f>PortfolioFrontier[[#This Row],[P10 Growth]]/PortfolioFrontier[[#This Row],[P10 HWM]]-1</f>
        <v>-1.4274606855481431E-2</v>
      </c>
      <c r="AQ110" s="28">
        <f>SUMPRODUCT(INDEX(PortfolioRef[[SPY]:[PE]],MATCH(AQ$1,PortfolioRef[Reference '#]),0),AssetMonthlyReturns[[#This Row],[SPY]:[PE]])</f>
        <v>-2.0787034614736726E-2</v>
      </c>
      <c r="AR110" s="27">
        <f>IF(ISNUMBER(AR109),AR109*(1+PortfolioFrontier[[#This Row],[P11 Return]]),1+PortfolioFrontier[[#This Row],[P11 Return]])</f>
        <v>2.2256167115617429</v>
      </c>
      <c r="AS110" s="27">
        <f>MAX(AS109,PortfolioFrontier[[#This Row],[P11 Growth]])</f>
        <v>2.2728627890318962</v>
      </c>
      <c r="AT110" s="27">
        <f>PortfolioFrontier[[#This Row],[P11 Growth]]/PortfolioFrontier[[#This Row],[P11 HWM]]-1</f>
        <v>-2.0787034614736855E-2</v>
      </c>
      <c r="AU110" s="28">
        <f>SUMPRODUCT(INDEX(PortfolioRef[[SPY]:[PE]],MATCH(AU$1,PortfolioRef[Reference '#]),0),AssetMonthlyReturns[[#This Row],[SPY]:[PE]])</f>
        <v>-2.0616670984505456E-2</v>
      </c>
      <c r="AV110" s="27">
        <f>IF(ISNUMBER(AV109),AV109*(1+PortfolioFrontier[[#This Row],[P12 Return]]),1+PortfolioFrontier[[#This Row],[P12 Return]])</f>
        <v>2.2111831395769901</v>
      </c>
      <c r="AW110" s="27">
        <f>MAX(AW109,PortfolioFrontier[[#This Row],[P12 Growth]])</f>
        <v>2.257730016498992</v>
      </c>
      <c r="AX110" s="27">
        <f>PortfolioFrontier[[#This Row],[P12 Growth]]/PortfolioFrontier[[#This Row],[P12 HWM]]-1</f>
        <v>-2.0616670984505481E-2</v>
      </c>
      <c r="AY110" s="28">
        <f>SUMPRODUCT(INDEX(PortfolioRef[[SPY]:[PE]],MATCH(AY$1,PortfolioRef[Reference '#]),0),AssetMonthlyReturns[[#This Row],[SPY]:[PE]])</f>
        <v>-2.7299462373992191E-2</v>
      </c>
      <c r="AZ110" s="27">
        <f>IF(ISNUMBER(AZ109),AZ109*(1+PortfolioFrontier[[#This Row],[P13 Return]]),1+PortfolioFrontier[[#This Row],[P13 Return]])</f>
        <v>2.1769882972018726</v>
      </c>
      <c r="BA110" s="27">
        <f>MAX(BA109,PortfolioFrontier[[#This Row],[P13 Growth]])</f>
        <v>2.2380868653728445</v>
      </c>
      <c r="BB110" s="27">
        <f>PortfolioFrontier[[#This Row],[P13 Growth]]/PortfolioFrontier[[#This Row],[P13 HWM]]-1</f>
        <v>-2.7299462373992167E-2</v>
      </c>
      <c r="BC110" s="28">
        <f>SUMPRODUCT(INDEX(PortfolioRef[[SPY]:[PE]],MATCH(BC$1,PortfolioRef[Reference '#]),0),AssetMonthlyReturns[[#This Row],[SPY]:[PE]])</f>
        <v>-2.7129098743760922E-2</v>
      </c>
      <c r="BD110" s="27">
        <f>IF(ISNUMBER(BD109),BD109*(1+PortfolioFrontier[[#This Row],[P14 Return]]),1+PortfolioFrontier[[#This Row],[P14 Return]])</f>
        <v>2.1642712748666812</v>
      </c>
      <c r="BE110" s="27">
        <f>MAX(BE109,PortfolioFrontier[[#This Row],[P14 Growth]])</f>
        <v>2.2246233000411695</v>
      </c>
      <c r="BF110" s="27">
        <f>PortfolioFrontier[[#This Row],[P14 Growth]]/PortfolioFrontier[[#This Row],[P14 HWM]]-1</f>
        <v>-2.7129098743760904E-2</v>
      </c>
      <c r="BG110" s="28">
        <f>SUMPRODUCT(INDEX(PortfolioRef[[SPY]:[PE]],MATCH(BG$1,PortfolioRef[Reference '#]),0),AssetMonthlyReturns[[#This Row],[SPY]:[PE]])</f>
        <v>-2.6958735113529655E-2</v>
      </c>
      <c r="BH110" s="27">
        <f>IF(ISNUMBER(BH109),BH109*(1+PortfolioFrontier[[#This Row],[P15 Return]]),1+PortfolioFrontier[[#This Row],[P15 Return]])</f>
        <v>2.1497830714653818</v>
      </c>
      <c r="BI110" s="27">
        <f>MAX(BI109,PortfolioFrontier[[#This Row],[P15 Growth]])</f>
        <v>2.2093441964315952</v>
      </c>
      <c r="BJ110" s="27">
        <f>PortfolioFrontier[[#This Row],[P15 Growth]]/PortfolioFrontier[[#This Row],[P15 HWM]]-1</f>
        <v>-2.6958735113529642E-2</v>
      </c>
      <c r="BK110" s="28">
        <f>SUMPRODUCT(INDEX(PortfolioRef[[SPY]:[PE]],MATCH(BK$1,PortfolioRef[Reference '#]),0),AssetMonthlyReturns[[#This Row],[SPY]:[PE]])</f>
        <v>-2.0796360873159527E-2</v>
      </c>
      <c r="BL110" s="27">
        <f>IF(ISNUMBER(BL109),BL109*(1+PortfolioFrontier[[#This Row],[P16 Return]]),1+PortfolioFrontier[[#This Row],[P16 Return]])</f>
        <v>1.9985151245721997</v>
      </c>
      <c r="BM110" s="27">
        <f>MAX(BM109,PortfolioFrontier[[#This Row],[P16 Growth]])</f>
        <v>2.040959658150661</v>
      </c>
      <c r="BN110" s="27">
        <f>PortfolioFrontier[[#This Row],[P16 Growth]]/PortfolioFrontier[[#This Row],[P16 HWM]]-1</f>
        <v>-2.0796360873159503E-2</v>
      </c>
      <c r="BO110" s="28">
        <f>SUMPRODUCT(INDEX(PortfolioRef[[SPY]:[PE]],MATCH(BO$1,PortfolioRef[Reference '#]),0),AssetMonthlyReturns[[#This Row],[SPY]:[PE]])</f>
        <v>-1.6072118606130798E-2</v>
      </c>
      <c r="BP110" s="27">
        <f>IF(ISNUMBER(BP109),BP109*(1+PortfolioFrontier[[#This Row],[P17 Return]]),1+PortfolioFrontier[[#This Row],[P17 Return]])</f>
        <v>2.0778858728741274</v>
      </c>
      <c r="BQ110" s="27">
        <f>MAX(BQ109,PortfolioFrontier[[#This Row],[P17 Growth]])</f>
        <v>2.1118274135402242</v>
      </c>
      <c r="BR110" s="27">
        <f>PortfolioFrontier[[#This Row],[P17 Growth]]/PortfolioFrontier[[#This Row],[P17 HWM]]-1</f>
        <v>-1.6072118606130781E-2</v>
      </c>
      <c r="BS110" s="28">
        <f>SUMPRODUCT(INDEX(PortfolioRef[[SPY]:[PE]],MATCH(BS$1,PortfolioRef[Reference '#]),0),AssetMonthlyReturns[[#This Row],[SPY]:[PE]])</f>
        <v>-2.2584546365386263E-2</v>
      </c>
      <c r="BT110" s="27">
        <f>IF(ISNUMBER(BT109),BT109*(1+PortfolioFrontier[[#This Row],[P18 Return]]),1+PortfolioFrontier[[#This Row],[P18 Return]])</f>
        <v>2.0345190569253675</v>
      </c>
      <c r="BU110" s="27">
        <f>MAX(BU109,PortfolioFrontier[[#This Row],[P18 Growth]])</f>
        <v>2.081529455422269</v>
      </c>
      <c r="BV110" s="27">
        <f>PortfolioFrontier[[#This Row],[P18 Growth]]/PortfolioFrontier[[#This Row],[P18 HWM]]-1</f>
        <v>-2.2584546365386315E-2</v>
      </c>
      <c r="BW110" s="28">
        <f>SUMPRODUCT(INDEX(PortfolioRef[[SPY]:[PE]],MATCH(BW$1,PortfolioRef[Reference '#]),0),AssetMonthlyReturns[[#This Row],[SPY]:[PE]])</f>
        <v>-2.2414182735154994E-2</v>
      </c>
      <c r="BX110" s="27">
        <f>IF(ISNUMBER(BX109),BX109*(1+PortfolioFrontier[[#This Row],[P19 Return]]),1+PortfolioFrontier[[#This Row],[P19 Return]])</f>
        <v>2.0205445040817245</v>
      </c>
      <c r="BY110" s="27">
        <f>MAX(BY109,PortfolioFrontier[[#This Row],[P19 Growth]])</f>
        <v>2.066871745065757</v>
      </c>
      <c r="BZ110" s="27">
        <f>PortfolioFrontier[[#This Row],[P19 Growth]]/PortfolioFrontier[[#This Row],[P19 HWM]]-1</f>
        <v>-2.2414182735154942E-2</v>
      </c>
      <c r="CA110" s="28">
        <f>SUMPRODUCT(INDEX(PortfolioRef[[SPY]:[PE]],MATCH(CA$1,PortfolioRef[Reference '#]),0),AssetMonthlyReturns[[#This Row],[SPY]:[PE]])</f>
        <v>-1.1347876339102073E-2</v>
      </c>
      <c r="CB110" s="27">
        <f>IF(ISNUMBER(CB109),CB109*(1+PortfolioFrontier[[#This Row],[P20 Return]]),1+PortfolioFrontier[[#This Row],[P20 Return]])</f>
        <v>2.1596581986441854</v>
      </c>
      <c r="CC110" s="27">
        <f>MAX(CC109,PortfolioFrontier[[#This Row],[P20 Growth]])</f>
        <v>2.184447033449084</v>
      </c>
      <c r="CD110" s="27">
        <f>PortfolioFrontier[[#This Row],[P20 Growth]]/PortfolioFrontier[[#This Row],[P20 HWM]]-1</f>
        <v>-1.1347876339102059E-2</v>
      </c>
      <c r="CE110" s="28">
        <f>SUMPRODUCT(INDEX(PortfolioRef[[SPY]:[PE]],MATCH(CE$1,PortfolioRef[Reference '#]),0),AssetMonthlyReturns[[#This Row],[SPY]:[PE]])</f>
        <v>-1.7860304098357534E-2</v>
      </c>
      <c r="CF110" s="27">
        <f>IF(ISNUMBER(CF109),CF109*(1+PortfolioFrontier[[#This Row],[P21 Return]]),1+PortfolioFrontier[[#This Row],[P21 Return]])</f>
        <v>2.1153094938609862</v>
      </c>
      <c r="CG110" s="27">
        <f>MAX(CG109,PortfolioFrontier[[#This Row],[P21 Growth]])</f>
        <v>2.1537765988768527</v>
      </c>
      <c r="CH110" s="27">
        <f>PortfolioFrontier[[#This Row],[P21 Growth]]/PortfolioFrontier[[#This Row],[P21 HWM]]-1</f>
        <v>-1.7860304098357371E-2</v>
      </c>
      <c r="CI110" s="28">
        <f>SUMPRODUCT(INDEX(PortfolioRef[[SPY]:[PE]],MATCH(CI$1,PortfolioRef[Reference '#]),0),AssetMonthlyReturns[[#This Row],[SPY]:[PE]])</f>
        <v>-1.7689940468126268E-2</v>
      </c>
      <c r="CJ110" s="27">
        <f>IF(ISNUMBER(CJ109),CJ109*(1+PortfolioFrontier[[#This Row],[P22 Return]]),1+PortfolioFrontier[[#This Row],[P22 Return]])</f>
        <v>2.1007913470516382</v>
      </c>
      <c r="CK110" s="27">
        <f>MAX(CK109,PortfolioFrontier[[#This Row],[P22 Growth]])</f>
        <v>2.1386234689002208</v>
      </c>
      <c r="CL110" s="27">
        <f>PortfolioFrontier[[#This Row],[P22 Growth]]/PortfolioFrontier[[#This Row],[P22 HWM]]-1</f>
        <v>-1.7689940468126331E-2</v>
      </c>
      <c r="CM110" s="28">
        <f>SUMPRODUCT(INDEX(PortfolioRef[[SPY]:[PE]],MATCH(CM$1,PortfolioRef[Reference '#]),0),AssetMonthlyReturns[[#This Row],[SPY]:[PE]])</f>
        <v>-2.4372731857613E-2</v>
      </c>
      <c r="CN110" s="27">
        <f>IF(ISNUMBER(CN109),CN109*(1+PortfolioFrontier[[#This Row],[P23 Return]]),1+PortfolioFrontier[[#This Row],[P23 Return]])</f>
        <v>2.0699381537535517</v>
      </c>
      <c r="CO110" s="27">
        <f>MAX(CO109,PortfolioFrontier[[#This Row],[P23 Growth]])</f>
        <v>2.1216485243332257</v>
      </c>
      <c r="CP110" s="27">
        <f>PortfolioFrontier[[#This Row],[P23 Growth]]/PortfolioFrontier[[#This Row],[P23 HWM]]-1</f>
        <v>-2.4372731857613017E-2</v>
      </c>
      <c r="CQ110" s="28">
        <f>SUMPRODUCT(INDEX(PortfolioRef[[SPY]:[PE]],MATCH(CQ$1,PortfolioRef[Reference '#]),0),AssetMonthlyReturns[[#This Row],[SPY]:[PE]])</f>
        <v>-2.420236822738173E-2</v>
      </c>
      <c r="CR110" s="27">
        <f>IF(ISNUMBER(CR109),CR109*(1+PortfolioFrontier[[#This Row],[P24 Return]]),1+PortfolioFrontier[[#This Row],[P24 Return]])</f>
        <v>2.0570601775939141</v>
      </c>
      <c r="CS110" s="27">
        <f>MAX(CS109,PortfolioFrontier[[#This Row],[P24 Growth]])</f>
        <v>2.108080723517531</v>
      </c>
      <c r="CT110" s="27">
        <f>PortfolioFrontier[[#This Row],[P24 Growth]]/PortfolioFrontier[[#This Row],[P24 HWM]]-1</f>
        <v>-2.4202368227381865E-2</v>
      </c>
      <c r="CU110" s="28">
        <f>SUMPRODUCT(INDEX(PortfolioRef[[SPY]:[PE]],MATCH(CU$1,PortfolioRef[Reference '#]),0),AssetMonthlyReturns[[#This Row],[SPY]:[PE]])</f>
        <v>-2.4032004597150464E-2</v>
      </c>
      <c r="CV110" s="27">
        <f>IF(ISNUMBER(CV109),CV109*(1+PortfolioFrontier[[#This Row],[P25 Return]]),1+PortfolioFrontier[[#This Row],[P25 Return]])</f>
        <v>2.0425115545044892</v>
      </c>
      <c r="CW110" s="27">
        <f>MAX(CW109,PortfolioFrontier[[#This Row],[P25 Growth]])</f>
        <v>2.092805874911301</v>
      </c>
      <c r="CX110" s="27">
        <f>PortfolioFrontier[[#This Row],[P25 Growth]]/PortfolioFrontier[[#This Row],[P25 HWM]]-1</f>
        <v>-2.403200459715038E-2</v>
      </c>
      <c r="CY110" s="28">
        <f>SUMPRODUCT(INDEX(PortfolioRef[[SPY]:[PE]],MATCH(CY$1,PortfolioRef[Reference '#]),0),AssetMonthlyReturns[[#This Row],[SPY]:[PE]])</f>
        <v>-1.3136061831328805E-2</v>
      </c>
      <c r="CZ110" s="27">
        <f>IF(ISNUMBER(CZ109),CZ109*(1+PortfolioFrontier[[#This Row],[P26 Return]]),1+PortfolioFrontier[[#This Row],[P26 Return]])</f>
        <v>2.1985444695264422</v>
      </c>
      <c r="DA110" s="27">
        <f>MAX(DA109,PortfolioFrontier[[#This Row],[P26 Growth]])</f>
        <v>2.2278091077137678</v>
      </c>
      <c r="DB110" s="27">
        <f>PortfolioFrontier[[#This Row],[P26 Growth]]/PortfolioFrontier[[#This Row],[P26 HWM]]-1</f>
        <v>-1.3136061831328871E-2</v>
      </c>
      <c r="DC110" s="28">
        <f>SUMPRODUCT(INDEX(PortfolioRef[[SPY]:[PE]],MATCH(DC$1,PortfolioRef[Reference '#]),0),AssetMonthlyReturns[[#This Row],[SPY]:[PE]])</f>
        <v>-1.2965698201097536E-2</v>
      </c>
      <c r="DD110" s="27">
        <f>IF(ISNUMBER(DD109),DD109*(1+PortfolioFrontier[[#This Row],[P27 Return]]),1+PortfolioFrontier[[#This Row],[P27 Return]])</f>
        <v>2.1834667088485387</v>
      </c>
      <c r="DE110" s="27">
        <f>MAX(DE109,PortfolioFrontier[[#This Row],[P27 Growth]])</f>
        <v>2.2121487620735154</v>
      </c>
      <c r="DF110" s="27">
        <f>PortfolioFrontier[[#This Row],[P27 Growth]]/PortfolioFrontier[[#This Row],[P27 HWM]]-1</f>
        <v>-1.2965698201097497E-2</v>
      </c>
      <c r="DG110" s="28">
        <f>SUMPRODUCT(INDEX(PortfolioRef[[SPY]:[PE]],MATCH(DG$1,PortfolioRef[Reference '#]),0),AssetMonthlyReturns[[#This Row],[SPY]:[PE]])</f>
        <v>-1.9648489590584271E-2</v>
      </c>
      <c r="DH110" s="27">
        <f>IF(ISNUMBER(DH109),DH109*(1+PortfolioFrontier[[#This Row],[P28 Return]]),1+PortfolioFrontier[[#This Row],[P28 Return]])</f>
        <v>2.1521254951921112</v>
      </c>
      <c r="DI110" s="27">
        <f>MAX(DI109,PortfolioFrontier[[#This Row],[P28 Growth]])</f>
        <v>2.1952590191790877</v>
      </c>
      <c r="DJ110" s="27">
        <f>PortfolioFrontier[[#This Row],[P28 Growth]]/PortfolioFrontier[[#This Row],[P28 HWM]]-1</f>
        <v>-1.9648489590584295E-2</v>
      </c>
      <c r="DK110" s="28">
        <f>SUMPRODUCT(INDEX(PortfolioRef[[SPY]:[PE]],MATCH(DK$1,PortfolioRef[Reference '#]),0),AssetMonthlyReturns[[#This Row],[SPY]:[PE]])</f>
        <v>-1.9478125960353001E-2</v>
      </c>
      <c r="DL110" s="27">
        <f>IF(ISNUMBER(DL109),DL109*(1+PortfolioFrontier[[#This Row],[P29 Return]]),1+PortfolioFrontier[[#This Row],[P29 Return]])</f>
        <v>2.1387469023646783</v>
      </c>
      <c r="DM110" s="27">
        <f>MAX(DM109,PortfolioFrontier[[#This Row],[P29 Growth]])</f>
        <v>2.1812332381258015</v>
      </c>
      <c r="DN110" s="27">
        <f>PortfolioFrontier[[#This Row],[P29 Growth]]/PortfolioFrontier[[#This Row],[P29 HWM]]-1</f>
        <v>-1.9478125960353032E-2</v>
      </c>
      <c r="DO110" s="28">
        <f>SUMPRODUCT(INDEX(PortfolioRef[[SPY]:[PE]],MATCH(DO$1,PortfolioRef[Reference '#]),0),AssetMonthlyReturns[[#This Row],[SPY]:[PE]])</f>
        <v>-1.9307762330121731E-2</v>
      </c>
      <c r="DP110" s="27">
        <f>IF(ISNUMBER(DP109),DP109*(1+PortfolioFrontier[[#This Row],[P30 Return]]),1+PortfolioFrontier[[#This Row],[P30 Return]])</f>
        <v>2.1236323323893589</v>
      </c>
      <c r="DQ110" s="27">
        <f>MAX(DQ109,PortfolioFrontier[[#This Row],[P30 Growth]])</f>
        <v>2.1654421752486823</v>
      </c>
      <c r="DR110" s="27">
        <f>PortfolioFrontier[[#This Row],[P30 Growth]]/PortfolioFrontier[[#This Row],[P30 HWM]]-1</f>
        <v>-1.9307762330121769E-2</v>
      </c>
      <c r="DS110" s="28">
        <f>SUMPRODUCT(INDEX(PortfolioRef[[SPY]:[PE]],MATCH(DS$1,PortfolioRef[Reference '#]),0),AssetMonthlyReturns[[#This Row],[SPY]:[PE]])</f>
        <v>-2.6160917349839729E-2</v>
      </c>
      <c r="DT110" s="27">
        <f>IF(ISNUMBER(DT109),DT109*(1+PortfolioFrontier[[#This Row],[P31 Return]]),1+PortfolioFrontier[[#This Row],[P31 Return]])</f>
        <v>2.1047151034556459</v>
      </c>
      <c r="DU110" s="27">
        <f>MAX(DU109,PortfolioFrontier[[#This Row],[P31 Growth]])</f>
        <v>2.16352980051315</v>
      </c>
      <c r="DV110" s="27">
        <f>PortfolioFrontier[[#This Row],[P31 Growth]]/PortfolioFrontier[[#This Row],[P31 HWM]]-1</f>
        <v>-2.7184602238228606E-2</v>
      </c>
      <c r="DW110" s="28">
        <f>SUMPRODUCT(INDEX(PortfolioRef[[SPY]:[PE]],MATCH(DW$1,PortfolioRef[Reference '#]),0),AssetMonthlyReturns[[#This Row],[SPY]:[PE]])</f>
        <v>-2.5990553719608459E-2</v>
      </c>
      <c r="DX110" s="27">
        <f>IF(ISNUMBER(DX109),DX109*(1+PortfolioFrontier[[#This Row],[P32 Return]]),1+PortfolioFrontier[[#This Row],[P32 Return]])</f>
        <v>2.0929888434283597</v>
      </c>
      <c r="DY110" s="27">
        <f>MAX(DY109,PortfolioFrontier[[#This Row],[P32 Growth]])</f>
        <v>2.1488383417852845</v>
      </c>
      <c r="DZ110" s="27">
        <f>PortfolioFrontier[[#This Row],[P32 Growth]]/PortfolioFrontier[[#This Row],[P32 HWM]]-1</f>
        <v>-2.5990553719608456E-2</v>
      </c>
      <c r="EA110" s="28">
        <f>SUMPRODUCT(INDEX(PortfolioRef[[SPY]:[PE]],MATCH(EA$1,PortfolioRef[Reference '#]),0),AssetMonthlyReturns[[#This Row],[SPY]:[PE]])</f>
        <v>-2.5820190089377193E-2</v>
      </c>
      <c r="EB110" s="27">
        <f>IF(ISNUMBER(EB109),EB109*(1+PortfolioFrontier[[#This Row],[P33 Return]]),1+PortfolioFrontier[[#This Row],[P33 Return]])</f>
        <v>2.0795403769752103</v>
      </c>
      <c r="EC110" s="27">
        <f>MAX(EC109,PortfolioFrontier[[#This Row],[P33 Growth]])</f>
        <v>2.1346576430956827</v>
      </c>
      <c r="ED110" s="27">
        <f>PortfolioFrontier[[#This Row],[P33 Growth]]/PortfolioFrontier[[#This Row],[P33 HWM]]-1</f>
        <v>-2.5820190089377193E-2</v>
      </c>
      <c r="EE110" s="28">
        <f>SUMPRODUCT(INDEX(PortfolioRef[[SPY]:[PE]],MATCH(EE$1,PortfolioRef[Reference '#]),0),AssetMonthlyReturns[[#This Row],[SPY]:[PE]])</f>
        <v>-1.7869630356780328E-2</v>
      </c>
      <c r="EF110" s="27">
        <f>IF(ISNUMBER(EF109),EF109*(1+PortfolioFrontier[[#This Row],[P34 Return]]),1+PortfolioFrontier[[#This Row],[P34 Return]])</f>
        <v>1.8977820391424984</v>
      </c>
      <c r="EG110" s="27">
        <f>MAX(EG109,PortfolioFrontier[[#This Row],[P34 Growth]])</f>
        <v>1.9323117355915889</v>
      </c>
      <c r="EH110" s="27">
        <f>PortfolioFrontier[[#This Row],[P34 Growth]]/PortfolioFrontier[[#This Row],[P34 HWM]]-1</f>
        <v>-1.7869630356780353E-2</v>
      </c>
      <c r="EI110" s="28">
        <f>SUMPRODUCT(INDEX(PortfolioRef[[SPY]:[PE]],MATCH(EI$1,PortfolioRef[Reference '#]),0),AssetMonthlyReturns[[#This Row],[SPY]:[PE]])</f>
        <v>-1.3145388089751601E-2</v>
      </c>
      <c r="EJ110" s="27">
        <f>IF(ISNUMBER(EJ109),EJ109*(1+PortfolioFrontier[[#This Row],[P35 Return]]),1+PortfolioFrontier[[#This Row],[P35 Return]])</f>
        <v>1.9731391969706971</v>
      </c>
      <c r="EK110" s="27">
        <f>MAX(EK109,PortfolioFrontier[[#This Row],[P35 Growth]])</f>
        <v>1.9994223801126123</v>
      </c>
      <c r="EL110" s="27">
        <f>PortfolioFrontier[[#This Row],[P35 Growth]]/PortfolioFrontier[[#This Row],[P35 HWM]]-1</f>
        <v>-1.3145388089751631E-2</v>
      </c>
      <c r="EM110" s="28">
        <f>SUMPRODUCT(INDEX(PortfolioRef[[SPY]:[PE]],MATCH(EM$1,PortfolioRef[Reference '#]),0),AssetMonthlyReturns[[#This Row],[SPY]:[PE]])</f>
        <v>-1.9657815849007065E-2</v>
      </c>
      <c r="EN110" s="27">
        <f>IF(ISNUMBER(EN109),EN109*(1+PortfolioFrontier[[#This Row],[P36 Return]]),1+PortfolioFrontier[[#This Row],[P36 Return]])</f>
        <v>1.9327445366259202</v>
      </c>
      <c r="EO110" s="27">
        <f>MAX(EO109,PortfolioFrontier[[#This Row],[P36 Growth]])</f>
        <v>1.9714999189795526</v>
      </c>
      <c r="EP110" s="27">
        <f>PortfolioFrontier[[#This Row],[P36 Growth]]/PortfolioFrontier[[#This Row],[P36 HWM]]-1</f>
        <v>-1.9657815849007054E-2</v>
      </c>
      <c r="EQ110" s="28">
        <f>SUMPRODUCT(INDEX(PortfolioRef[[SPY]:[PE]],MATCH(EQ$1,PortfolioRef[Reference '#]),0),AssetMonthlyReturns[[#This Row],[SPY]:[PE]])</f>
        <v>-1.9487452218775795E-2</v>
      </c>
      <c r="ER110" s="27">
        <f>IF(ISNUMBER(ER109),ER109*(1+PortfolioFrontier[[#This Row],[P37 Return]]),1+PortfolioFrontier[[#This Row],[P37 Return]])</f>
        <v>1.9187392346111674</v>
      </c>
      <c r="ES110" s="27">
        <f>MAX(ES109,PortfolioFrontier[[#This Row],[P37 Growth]])</f>
        <v>1.9568737176826869</v>
      </c>
      <c r="ET110" s="27">
        <f>PortfolioFrontier[[#This Row],[P37 Growth]]/PortfolioFrontier[[#This Row],[P37 HWM]]-1</f>
        <v>-1.9487452218775791E-2</v>
      </c>
      <c r="EU110" s="28">
        <f>SUMPRODUCT(INDEX(PortfolioRef[[SPY]:[PE]],MATCH(EU$1,PortfolioRef[Reference '#]),0),AssetMonthlyReturns[[#This Row],[SPY]:[PE]])</f>
        <v>-8.4211458227228739E-3</v>
      </c>
      <c r="EV110" s="27">
        <f>IF(ISNUMBER(EV109),EV109*(1+PortfolioFrontier[[#This Row],[P38 Return]]),1+PortfolioFrontier[[#This Row],[P38 Return]])</f>
        <v>2.0507749438443881</v>
      </c>
      <c r="EW110" s="27">
        <f>MAX(EW109,PortfolioFrontier[[#This Row],[P38 Growth]])</f>
        <v>2.0681914859367758</v>
      </c>
      <c r="EX110" s="27">
        <f>PortfolioFrontier[[#This Row],[P38 Growth]]/PortfolioFrontier[[#This Row],[P38 HWM]]-1</f>
        <v>-8.4211458227230196E-3</v>
      </c>
      <c r="EY110" s="28">
        <f>SUMPRODUCT(INDEX(PortfolioRef[[SPY]:[PE]],MATCH(EY$1,PortfolioRef[Reference '#]),0),AssetMonthlyReturns[[#This Row],[SPY]:[PE]])</f>
        <v>-1.4933573581978337E-2</v>
      </c>
      <c r="EZ110" s="27">
        <f>IF(ISNUMBER(EZ109),EZ109*(1+PortfolioFrontier[[#This Row],[P39 Return]]),1+PortfolioFrontier[[#This Row],[P39 Return]])</f>
        <v>2.0094798527470563</v>
      </c>
      <c r="FA110" s="27">
        <f>MAX(FA109,PortfolioFrontier[[#This Row],[P39 Growth]])</f>
        <v>2.0399434990938525</v>
      </c>
      <c r="FB110" s="27">
        <f>PortfolioFrontier[[#This Row],[P39 Growth]]/PortfolioFrontier[[#This Row],[P39 HWM]]-1</f>
        <v>-1.4933573581978221E-2</v>
      </c>
      <c r="FC110" s="28">
        <f>SUMPRODUCT(INDEX(PortfolioRef[[SPY]:[PE]],MATCH(FC$1,PortfolioRef[Reference '#]),0),AssetMonthlyReturns[[#This Row],[SPY]:[PE]])</f>
        <v>-1.4763209951747069E-2</v>
      </c>
      <c r="FD110" s="27">
        <f>IF(ISNUMBER(FD109),FD109*(1+PortfolioFrontier[[#This Row],[P40 Return]]),1+PortfolioFrontier[[#This Row],[P40 Return]])</f>
        <v>1.9949296652000388</v>
      </c>
      <c r="FE110" s="27">
        <f>MAX(FE109,PortfolioFrontier[[#This Row],[P40 Growth]])</f>
        <v>2.0248225455550997</v>
      </c>
      <c r="FF110" s="27">
        <f>PortfolioFrontier[[#This Row],[P40 Growth]]/PortfolioFrontier[[#This Row],[P40 HWM]]-1</f>
        <v>-1.4763209951747069E-2</v>
      </c>
      <c r="FG110" s="28">
        <f>SUMPRODUCT(INDEX(PortfolioRef[[SPY]:[PE]],MATCH(FG$1,PortfolioRef[Reference '#]),0),AssetMonthlyReturns[[#This Row],[SPY]:[PE]])</f>
        <v>-2.1446001341233801E-2</v>
      </c>
      <c r="FH110" s="27">
        <f>IF(ISNUMBER(FH109),FH109*(1+PortfolioFrontier[[#This Row],[P41 Return]]),1+PortfolioFrontier[[#This Row],[P41 Return]])</f>
        <v>1.9671812519264074</v>
      </c>
      <c r="FI110" s="27">
        <f>MAX(FI109,PortfolioFrontier[[#This Row],[P41 Growth]])</f>
        <v>2.0102940201794501</v>
      </c>
      <c r="FJ110" s="27">
        <f>PortfolioFrontier[[#This Row],[P41 Growth]]/PortfolioFrontier[[#This Row],[P41 HWM]]-1</f>
        <v>-2.1446001341233756E-2</v>
      </c>
      <c r="FK110" s="28">
        <f>SUMPRODUCT(INDEX(PortfolioRef[[SPY]:[PE]],MATCH(FK$1,PortfolioRef[Reference '#]),0),AssetMonthlyReturns[[#This Row],[SPY]:[PE]])</f>
        <v>-2.1275637711002531E-2</v>
      </c>
      <c r="FL110" s="27">
        <f>IF(ISNUMBER(FL109),FL109*(1+PortfolioFrontier[[#This Row],[P42 Return]]),1+PortfolioFrontier[[#This Row],[P42 Return]])</f>
        <v>1.9541969266191934</v>
      </c>
      <c r="FM110" s="27">
        <f>MAX(FM109,PortfolioFrontier[[#This Row],[P42 Growth]])</f>
        <v>1.9966775140334747</v>
      </c>
      <c r="FN110" s="27">
        <f>PortfolioFrontier[[#This Row],[P42 Growth]]/PortfolioFrontier[[#This Row],[P42 HWM]]-1</f>
        <v>-2.1275637711002493E-2</v>
      </c>
      <c r="FO110" s="28">
        <f>SUMPRODUCT(INDEX(PortfolioRef[[SPY]:[PE]],MATCH(FO$1,PortfolioRef[Reference '#]),0),AssetMonthlyReturns[[#This Row],[SPY]:[PE]])</f>
        <v>-2.1105274080771261E-2</v>
      </c>
      <c r="FP110" s="27">
        <f>IF(ISNUMBER(FP109),FP109*(1+PortfolioFrontier[[#This Row],[P43 Return]]),1+PortfolioFrontier[[#This Row],[P43 Return]])</f>
        <v>1.939638076788101</v>
      </c>
      <c r="FQ110" s="27">
        <f>MAX(FQ109,PortfolioFrontier[[#This Row],[P43 Growth]])</f>
        <v>1.9814572756704645</v>
      </c>
      <c r="FR110" s="27">
        <f>PortfolioFrontier[[#This Row],[P43 Growth]]/PortfolioFrontier[[#This Row],[P43 HWM]]-1</f>
        <v>-2.110527408077123E-2</v>
      </c>
      <c r="FS110" s="28">
        <f>SUMPRODUCT(INDEX(PortfolioRef[[SPY]:[PE]],MATCH(FS$1,PortfolioRef[Reference '#]),0),AssetMonthlyReturns[[#This Row],[SPY]:[PE]])</f>
        <v>-1.020933131494961E-2</v>
      </c>
      <c r="FT110" s="27">
        <f>IF(ISNUMBER(FT109),FT109*(1+PortfolioFrontier[[#This Row],[P44 Return]]),1+PortfolioFrontier[[#This Row],[P44 Return]])</f>
        <v>2.0885354249742343</v>
      </c>
      <c r="FU110" s="27">
        <f>MAX(FU109,PortfolioFrontier[[#This Row],[P44 Growth]])</f>
        <v>2.1100779094521878</v>
      </c>
      <c r="FV110" s="27">
        <f>PortfolioFrontier[[#This Row],[P44 Growth]]/PortfolioFrontier[[#This Row],[P44 HWM]]-1</f>
        <v>-1.0209331314949499E-2</v>
      </c>
      <c r="FW110" s="28">
        <f>SUMPRODUCT(INDEX(PortfolioRef[[SPY]:[PE]],MATCH(FW$1,PortfolioRef[Reference '#]),0),AssetMonthlyReturns[[#This Row],[SPY]:[PE]])</f>
        <v>-1.003896768471834E-2</v>
      </c>
      <c r="FX110" s="27">
        <f>IF(ISNUMBER(FX109),FX109*(1+PortfolioFrontier[[#This Row],[P45 Return]]),1+PortfolioFrontier[[#This Row],[P45 Return]])</f>
        <v>2.0734242928085131</v>
      </c>
      <c r="FY110" s="27">
        <f>MAX(FY109,PortfolioFrontier[[#This Row],[P45 Growth]])</f>
        <v>2.0944504128200587</v>
      </c>
      <c r="FZ110" s="27">
        <f>PortfolioFrontier[[#This Row],[P45 Growth]]/PortfolioFrontier[[#This Row],[P45 HWM]]-1</f>
        <v>-1.0038967684718347E-2</v>
      </c>
      <c r="GA110" s="28">
        <f>SUMPRODUCT(INDEX(PortfolioRef[[SPY]:[PE]],MATCH(GA$1,PortfolioRef[Reference '#]),0),AssetMonthlyReturns[[#This Row],[SPY]:[PE]])</f>
        <v>-1.6721759074205072E-2</v>
      </c>
      <c r="GB110" s="27">
        <f>IF(ISNUMBER(GB109),GB109*(1+PortfolioFrontier[[#This Row],[P46 Return]]),1+PortfolioFrontier[[#This Row],[P46 Return]])</f>
        <v>2.0452742427408701</v>
      </c>
      <c r="GC110" s="27">
        <f>MAX(GC109,PortfolioFrontier[[#This Row],[P46 Growth]])</f>
        <v>2.0800564454829837</v>
      </c>
      <c r="GD110" s="27">
        <f>PortfolioFrontier[[#This Row],[P46 Growth]]/PortfolioFrontier[[#This Row],[P46 HWM]]-1</f>
        <v>-1.6721759074204923E-2</v>
      </c>
      <c r="GE110" s="28">
        <f>SUMPRODUCT(INDEX(PortfolioRef[[SPY]:[PE]],MATCH(GE$1,PortfolioRef[Reference '#]),0),AssetMonthlyReturns[[#This Row],[SPY]:[PE]])</f>
        <v>-1.6551395443973806E-2</v>
      </c>
      <c r="GF110" s="27">
        <f>IF(ISNUMBER(GF109),GF109*(1+PortfolioFrontier[[#This Row],[P47 Return]]),1+PortfolioFrontier[[#This Row],[P47 Return]])</f>
        <v>2.0317850482883624</v>
      </c>
      <c r="GG110" s="27">
        <f>MAX(GG109,PortfolioFrontier[[#This Row],[P47 Growth]])</f>
        <v>2.0659798985688766</v>
      </c>
      <c r="GH110" s="27">
        <f>PortfolioFrontier[[#This Row],[P47 Growth]]/PortfolioFrontier[[#This Row],[P47 HWM]]-1</f>
        <v>-1.6551395443973771E-2</v>
      </c>
      <c r="GI110" s="28">
        <f>SUMPRODUCT(INDEX(PortfolioRef[[SPY]:[PE]],MATCH(GI$1,PortfolioRef[Reference '#]),0),AssetMonthlyReturns[[#This Row],[SPY]:[PE]])</f>
        <v>-1.6381031813742536E-2</v>
      </c>
      <c r="GJ110" s="27">
        <f>IF(ISNUMBER(GJ109),GJ109*(1+PortfolioFrontier[[#This Row],[P48 Return]]),1+PortfolioFrontier[[#This Row],[P48 Return]])</f>
        <v>2.0166597610134263</v>
      </c>
      <c r="GK110" s="27">
        <f>MAX(GK109,PortfolioFrontier[[#This Row],[P48 Growth]])</f>
        <v>2.0502448877455492</v>
      </c>
      <c r="GL110" s="27">
        <f>PortfolioFrontier[[#This Row],[P48 Growth]]/PortfolioFrontier[[#This Row],[P48 HWM]]-1</f>
        <v>-1.6381031813742619E-2</v>
      </c>
      <c r="GM110" s="28">
        <f>SUMPRODUCT(INDEX(PortfolioRef[[SPY]:[PE]],MATCH(GM$1,PortfolioRef[Reference '#]),0),AssetMonthlyReturns[[#This Row],[SPY]:[PE]])</f>
        <v>-2.3234186833460537E-2</v>
      </c>
      <c r="GN110" s="27">
        <f>IF(ISNUMBER(GN109),GN109*(1+PortfolioFrontier[[#This Row],[P49 Return]]),1+PortfolioFrontier[[#This Row],[P49 Return]])</f>
        <v>2.0010373241413801</v>
      </c>
      <c r="GO110" s="27">
        <f>MAX(GO109,PortfolioFrontier[[#This Row],[P49 Growth]])</f>
        <v>2.0486724769415803</v>
      </c>
      <c r="GP110" s="27">
        <f>PortfolioFrontier[[#This Row],[P49 Growth]]/PortfolioFrontier[[#This Row],[P49 HWM]]-1</f>
        <v>-2.3251717068661804E-2</v>
      </c>
      <c r="GQ110" s="28">
        <f>SUMPRODUCT(INDEX(PortfolioRef[[SPY]:[PE]],MATCH(GQ$1,PortfolioRef[Reference '#]),0),AssetMonthlyReturns[[#This Row],[SPY]:[PE]])</f>
        <v>-2.3063823203229267E-2</v>
      </c>
      <c r="GR110" s="27">
        <f>IF(ISNUMBER(GR109),GR109*(1+PortfolioFrontier[[#This Row],[P50 Return]]),1+PortfolioFrontier[[#This Row],[P50 Return]])</f>
        <v>1.9891271730702675</v>
      </c>
      <c r="GS110" s="27">
        <f>MAX(GS109,PortfolioFrontier[[#This Row],[P50 Growth]])</f>
        <v>2.0360871265841762</v>
      </c>
      <c r="GT110" s="27">
        <f>PortfolioFrontier[[#This Row],[P50 Growth]]/PortfolioFrontier[[#This Row],[P50 HWM]]-1</f>
        <v>-2.3063823203229306E-2</v>
      </c>
      <c r="GU110" s="28">
        <f>SUMPRODUCT(INDEX(PortfolioRef[[SPY]:[PE]],MATCH(GU$1,PortfolioRef[Reference '#]),0),AssetMonthlyReturns[[#This Row],[SPY]:[PE]])</f>
        <v>-2.2893459572998001E-2</v>
      </c>
      <c r="GV110" s="27">
        <f>IF(ISNUMBER(GV109),GV109*(1+PortfolioFrontier[[#This Row],[P51 Return]]),1+PortfolioFrontier[[#This Row],[P51 Return]])</f>
        <v>1.9755923046408919</v>
      </c>
      <c r="GW110" s="27">
        <f>MAX(GW109,PortfolioFrontier[[#This Row],[P51 Growth]])</f>
        <v>2.0218801357910725</v>
      </c>
      <c r="GX110" s="27">
        <f>PortfolioFrontier[[#This Row],[P51 Growth]]/PortfolioFrontier[[#This Row],[P51 HWM]]-1</f>
        <v>-2.2893459572998043E-2</v>
      </c>
      <c r="GY110" s="28">
        <f>SUMPRODUCT(INDEX(PortfolioRef[[SPY]:[PE]],MATCH(GY$1,PortfolioRef[Reference '#]),0),AssetMonthlyReturns[[#This Row],[SPY]:[PE]])</f>
        <v>-1.1997516807176343E-2</v>
      </c>
      <c r="GZ110" s="27">
        <f>IF(ISNUMBER(GZ109),GZ109*(1+PortfolioFrontier[[#This Row],[P52 Return]]),1+PortfolioFrontier[[#This Row],[P52 Return]])</f>
        <v>2.1257285584025079</v>
      </c>
      <c r="HA110" s="27">
        <f>MAX(HA109,PortfolioFrontier[[#This Row],[P52 Growth]])</f>
        <v>2.1515417163052208</v>
      </c>
      <c r="HB110" s="27">
        <f>PortfolioFrontier[[#This Row],[P52 Growth]]/PortfolioFrontier[[#This Row],[P52 HWM]]-1</f>
        <v>-1.1997516807176423E-2</v>
      </c>
      <c r="HC110" s="28">
        <f>SUMPRODUCT(INDEX(PortfolioRef[[SPY]:[PE]],MATCH(HC$1,PortfolioRef[Reference '#]),0),AssetMonthlyReturns[[#This Row],[SPY]:[PE]])</f>
        <v>-1.1827153176945073E-2</v>
      </c>
      <c r="HD110" s="27">
        <f>IF(ISNUMBER(HD109),HD109*(1+PortfolioFrontier[[#This Row],[P53 Return]]),1+PortfolioFrontier[[#This Row],[P53 Return]])</f>
        <v>2.1117196304919088</v>
      </c>
      <c r="HE110" s="27">
        <f>MAX(HE109,PortfolioFrontier[[#This Row],[P53 Growth]])</f>
        <v>2.1369941880927228</v>
      </c>
      <c r="HF110" s="27">
        <f>PortfolioFrontier[[#This Row],[P53 Growth]]/PortfolioFrontier[[#This Row],[P53 HWM]]-1</f>
        <v>-1.1827153176945049E-2</v>
      </c>
      <c r="HG110" s="28">
        <f>SUMPRODUCT(INDEX(PortfolioRef[[SPY]:[PE]],MATCH(HG$1,PortfolioRef[Reference '#]),0),AssetMonthlyReturns[[#This Row],[SPY]:[PE]])</f>
        <v>-1.1656789546713807E-2</v>
      </c>
      <c r="HH110" s="27">
        <f>IF(ISNUMBER(HH109),HH109*(1+PortfolioFrontier[[#This Row],[P54 Return]]),1+PortfolioFrontier[[#This Row],[P54 Return]])</f>
        <v>2.09601120538934</v>
      </c>
      <c r="HI110" s="27">
        <f>MAX(HI109,PortfolioFrontier[[#This Row],[P54 Growth]])</f>
        <v>2.1207321335551459</v>
      </c>
      <c r="HJ110" s="27">
        <f>PortfolioFrontier[[#This Row],[P54 Growth]]/PortfolioFrontier[[#This Row],[P54 HWM]]-1</f>
        <v>-1.1656789546713897E-2</v>
      </c>
      <c r="HK110" s="28">
        <f>SUMPRODUCT(INDEX(PortfolioRef[[SPY]:[PE]],MATCH(HK$1,PortfolioRef[Reference '#]),0),AssetMonthlyReturns[[#This Row],[SPY]:[PE]])</f>
        <v>-1.8509944566431805E-2</v>
      </c>
      <c r="HL110" s="27">
        <f>IF(ISNUMBER(HL109),HL109*(1+PortfolioFrontier[[#This Row],[P55 Return]]),1+PortfolioFrontier[[#This Row],[P55 Return]])</f>
        <v>2.0804653768558348</v>
      </c>
      <c r="HM110" s="27">
        <f>MAX(HM109,PortfolioFrontier[[#This Row],[P55 Growth]])</f>
        <v>2.1197009234462389</v>
      </c>
      <c r="HN110" s="27">
        <f>PortfolioFrontier[[#This Row],[P55 Growth]]/PortfolioFrontier[[#This Row],[P55 HWM]]-1</f>
        <v>-1.8509944566431846E-2</v>
      </c>
      <c r="HO110" s="28">
        <f>SUMPRODUCT(INDEX(PortfolioRef[[SPY]:[PE]],MATCH(HO$1,PortfolioRef[Reference '#]),0),AssetMonthlyReturns[[#This Row],[SPY]:[PE]])</f>
        <v>-1.8339580936200538E-2</v>
      </c>
      <c r="HP110" s="27">
        <f>IF(ISNUMBER(HP109),HP109*(1+PortfolioFrontier[[#This Row],[P56 Return]]),1+PortfolioFrontier[[#This Row],[P56 Return]])</f>
        <v>2.0680924385578319</v>
      </c>
      <c r="HQ110" s="27">
        <f>MAX(HQ109,PortfolioFrontier[[#This Row],[P56 Growth]])</f>
        <v>2.1067289649206318</v>
      </c>
      <c r="HR110" s="27">
        <f>PortfolioFrontier[[#This Row],[P56 Growth]]/PortfolioFrontier[[#This Row],[P56 HWM]]-1</f>
        <v>-1.8339580936200583E-2</v>
      </c>
      <c r="HS110" s="28">
        <f>SUMPRODUCT(INDEX(PortfolioRef[[SPY]:[PE]],MATCH(HS$1,PortfolioRef[Reference '#]),0),AssetMonthlyReturns[[#This Row],[SPY]:[PE]])</f>
        <v>-1.8169217305969269E-2</v>
      </c>
      <c r="HT110" s="27">
        <f>IF(ISNUMBER(HT109),HT109*(1+PortfolioFrontier[[#This Row],[P57 Return]]),1+PortfolioFrontier[[#This Row],[P57 Return]])</f>
        <v>2.0540312715882521</v>
      </c>
      <c r="HU110" s="27">
        <f>MAX(HU109,PortfolioFrontier[[#This Row],[P57 Growth]])</f>
        <v>2.0920420379897102</v>
      </c>
      <c r="HV110" s="27">
        <f>PortfolioFrontier[[#This Row],[P57 Growth]]/PortfolioFrontier[[#This Row],[P57 HWM]]-1</f>
        <v>-1.8169217305969432E-2</v>
      </c>
      <c r="HW110" s="28">
        <f>SUMPRODUCT(INDEX(PortfolioRef[[SPY]:[PE]],MATCH(HW$1,PortfolioRef[Reference '#]),0),AssetMonthlyReturns[[#This Row],[SPY]:[PE]])</f>
        <v>-2.5022372325687266E-2</v>
      </c>
      <c r="HX110" s="27">
        <f>IF(ISNUMBER(HX109),HX109*(1+PortfolioFrontier[[#This Row],[P58 Return]]),1+PortfolioFrontier[[#This Row],[P58 Return]])</f>
        <v>2.0342575238161378</v>
      </c>
      <c r="HY110" s="27">
        <f>MAX(HY109,PortfolioFrontier[[#This Row],[P58 Growth]])</f>
        <v>2.0910143650860982</v>
      </c>
      <c r="HZ110" s="27">
        <f>PortfolioFrontier[[#This Row],[P58 Growth]]/PortfolioFrontier[[#This Row],[P58 HWM]]-1</f>
        <v>-2.7143209639128196E-2</v>
      </c>
      <c r="IA110" s="28">
        <f>SUMPRODUCT(INDEX(PortfolioRef[[SPY]:[PE]],MATCH(IA$1,PortfolioRef[Reference '#]),0),AssetMonthlyReturns[[#This Row],[SPY]:[PE]])</f>
        <v>-2.4852008695455997E-2</v>
      </c>
      <c r="IB110" s="27">
        <f>IF(ISNUMBER(IB109),IB109*(1+PortfolioFrontier[[#This Row],[P59 Return]]),1+PortfolioFrontier[[#This Row],[P59 Return]])</f>
        <v>2.0234744401049065</v>
      </c>
      <c r="IC110" s="27">
        <f>MAX(IC109,PortfolioFrontier[[#This Row],[P59 Growth]])</f>
        <v>2.0750434376611091</v>
      </c>
      <c r="ID110" s="27">
        <f>PortfolioFrontier[[#This Row],[P59 Growth]]/PortfolioFrontier[[#This Row],[P59 HWM]]-1</f>
        <v>-2.4852008695455896E-2</v>
      </c>
      <c r="IE110" s="28">
        <f>SUMPRODUCT(INDEX(PortfolioRef[[SPY]:[PE]],MATCH(IE$1,PortfolioRef[Reference '#]),0),AssetMonthlyReturns[[#This Row],[SPY]:[PE]])</f>
        <v>-2.468164506522473E-2</v>
      </c>
      <c r="IF110" s="27">
        <f>IF(ISNUMBER(IF109),IF109*(1+PortfolioFrontier[[#This Row],[P60 Return]]),1+PortfolioFrontier[[#This Row],[P60 Return]])</f>
        <v>2.0110175313893568</v>
      </c>
      <c r="IG110" s="27">
        <f>MAX(IG109,PortfolioFrontier[[#This Row],[P60 Growth]])</f>
        <v>2.0619088333714832</v>
      </c>
      <c r="IH110" s="27">
        <f>PortfolioFrontier[[#This Row],[P60 Growth]]/PortfolioFrontier[[#This Row],[P60 HWM]]-1</f>
        <v>-2.4681645065224633E-2</v>
      </c>
      <c r="II110" s="28">
        <f>SUMPRODUCT(INDEX(PortfolioRef[[SPY]:[PE]],MATCH(II$1,PortfolioRef[Reference '#]),0),AssetMonthlyReturns[[#This Row],[SPY]:[PE]])</f>
        <v>-1.4942899840401135E-2</v>
      </c>
      <c r="IJ110" s="27">
        <f>IF(ISNUMBER(IJ109),IJ109*(1+PortfolioFrontier[[#This Row],[P61 Return]]),1+PortfolioFrontier[[#This Row],[P61 Return]])</f>
        <v>1.8012396421157804</v>
      </c>
      <c r="IK110" s="27">
        <f>MAX(IK109,PortfolioFrontier[[#This Row],[P61 Growth]])</f>
        <v>1.8285636861294068</v>
      </c>
      <c r="IL110" s="27">
        <f>PortfolioFrontier[[#This Row],[P61 Growth]]/PortfolioFrontier[[#This Row],[P61 HWM]]-1</f>
        <v>-1.4942899840401092E-2</v>
      </c>
      <c r="IM110" s="28">
        <f>SUMPRODUCT(INDEX(PortfolioRef[[SPY]:[PE]],MATCH(IM$1,PortfolioRef[Reference '#]),0),AssetMonthlyReturns[[#This Row],[SPY]:[PE]])</f>
        <v>-1.0218657573372409E-2</v>
      </c>
      <c r="IN110" s="27">
        <f>IF(ISNUMBER(IN109),IN109*(1+PortfolioFrontier[[#This Row],[P62 Return]]),1+PortfolioFrontier[[#This Row],[P62 Return]])</f>
        <v>1.8727516831962043</v>
      </c>
      <c r="IO110" s="27">
        <f>MAX(IO109,PortfolioFrontier[[#This Row],[P62 Growth]])</f>
        <v>1.892086264835843</v>
      </c>
      <c r="IP110" s="27">
        <f>PortfolioFrontier[[#This Row],[P62 Growth]]/PortfolioFrontier[[#This Row],[P62 HWM]]-1</f>
        <v>-1.0218657573372369E-2</v>
      </c>
      <c r="IQ110" s="28">
        <f>SUMPRODUCT(INDEX(PortfolioRef[[SPY]:[PE]],MATCH(IQ$1,PortfolioRef[Reference '#]),0),AssetMonthlyReturns[[#This Row],[SPY]:[PE]])</f>
        <v>-1.6731085332627869E-2</v>
      </c>
      <c r="IR110" s="27">
        <f>IF(ISNUMBER(IR109),IR109*(1+PortfolioFrontier[[#This Row],[P63 Return]]),1+PortfolioFrontier[[#This Row],[P63 Return]])</f>
        <v>1.8351567742153903</v>
      </c>
      <c r="IS110" s="27">
        <f>MAX(IS109,PortfolioFrontier[[#This Row],[P63 Growth]])</f>
        <v>1.8663833940445493</v>
      </c>
      <c r="IT110" s="27">
        <f>PortfolioFrontier[[#This Row],[P63 Growth]]/PortfolioFrontier[[#This Row],[P63 HWM]]-1</f>
        <v>-1.6731085332627904E-2</v>
      </c>
      <c r="IU110" s="28">
        <f>SUMPRODUCT(INDEX(PortfolioRef[[SPY]:[PE]],MATCH(IU$1,PortfolioRef[Reference '#]),0),AssetMonthlyReturns[[#This Row],[SPY]:[PE]])</f>
        <v>-1.6560721702396603E-2</v>
      </c>
      <c r="IV110" s="27">
        <f>IF(ISNUMBER(IV109),IV109*(1+PortfolioFrontier[[#This Row],[P64 Return]]),1+PortfolioFrontier[[#This Row],[P64 Return]])</f>
        <v>1.821166979698831</v>
      </c>
      <c r="IW110" s="27">
        <f>MAX(IW109,PortfolioFrontier[[#This Row],[P64 Growth]])</f>
        <v>1.8518346987842382</v>
      </c>
      <c r="IX110" s="27">
        <f>PortfolioFrontier[[#This Row],[P64 Growth]]/PortfolioFrontier[[#This Row],[P64 HWM]]-1</f>
        <v>-1.6560721702396641E-2</v>
      </c>
      <c r="IY110" s="28">
        <f>SUMPRODUCT(INDEX(PortfolioRef[[SPY]:[PE]],MATCH(IY$1,PortfolioRef[Reference '#]),0),AssetMonthlyReturns[[#This Row],[SPY]:[PE]])</f>
        <v>-5.4944153063436786E-3</v>
      </c>
      <c r="IZ110" s="27">
        <f>IF(ISNUMBER(IZ109),IZ109*(1+PortfolioFrontier[[#This Row],[P65 Return]]),1+PortfolioFrontier[[#This Row],[P65 Return]])</f>
        <v>1.9464245968758915</v>
      </c>
      <c r="JA110" s="27">
        <f>MAX(JA109,PortfolioFrontier[[#This Row],[P65 Growth]])</f>
        <v>1.9571781464409379</v>
      </c>
      <c r="JB110" s="27">
        <f>PortfolioFrontier[[#This Row],[P65 Growth]]/PortfolioFrontier[[#This Row],[P65 HWM]]-1</f>
        <v>-5.4944153063436474E-3</v>
      </c>
      <c r="JC110" s="28">
        <f>SUMPRODUCT(INDEX(PortfolioRef[[SPY]:[PE]],MATCH(JC$1,PortfolioRef[Reference '#]),0),AssetMonthlyReturns[[#This Row],[SPY]:[PE]])</f>
        <v>-1.2006843065599142E-2</v>
      </c>
      <c r="JD110" s="27">
        <f>IF(ISNUMBER(JD109),JD109*(1+PortfolioFrontier[[#This Row],[P66 Return]]),1+PortfolioFrontier[[#This Row],[P66 Return]])</f>
        <v>1.9080053414400262</v>
      </c>
      <c r="JE110" s="27">
        <f>MAX(JE109,PortfolioFrontier[[#This Row],[P66 Growth]])</f>
        <v>1.9311928711736117</v>
      </c>
      <c r="JF110" s="27">
        <f>PortfolioFrontier[[#This Row],[P66 Growth]]/PortfolioFrontier[[#This Row],[P66 HWM]]-1</f>
        <v>-1.2006843065599182E-2</v>
      </c>
      <c r="JG110" s="28">
        <f>SUMPRODUCT(INDEX(PortfolioRef[[SPY]:[PE]],MATCH(JG$1,PortfolioRef[Reference '#]),0),AssetMonthlyReturns[[#This Row],[SPY]:[PE]])</f>
        <v>-1.1836479435367874E-2</v>
      </c>
      <c r="JH110" s="27">
        <f>IF(ISNUMBER(JH109),JH109*(1+PortfolioFrontier[[#This Row],[P67 Return]]),1+PortfolioFrontier[[#This Row],[P67 Return]])</f>
        <v>1.8934711828644057</v>
      </c>
      <c r="JI110" s="27">
        <f>MAX(JI109,PortfolioFrontier[[#This Row],[P67 Growth]])</f>
        <v>1.9161516727337649</v>
      </c>
      <c r="JJ110" s="27">
        <f>PortfolioFrontier[[#This Row],[P67 Growth]]/PortfolioFrontier[[#This Row],[P67 HWM]]-1</f>
        <v>-1.1836479435367919E-2</v>
      </c>
      <c r="JK110" s="28">
        <f>SUMPRODUCT(INDEX(PortfolioRef[[SPY]:[PE]],MATCH(JK$1,PortfolioRef[Reference '#]),0),AssetMonthlyReturns[[#This Row],[SPY]:[PE]])</f>
        <v>-1.8519270824854602E-2</v>
      </c>
      <c r="JL110" s="27">
        <f>IF(ISNUMBER(JL109),JL109*(1+PortfolioFrontier[[#This Row],[P68 Return]]),1+PortfolioFrontier[[#This Row],[P68 Return]])</f>
        <v>1.8686034080335581</v>
      </c>
      <c r="JM110" s="27">
        <f>MAX(JM109,PortfolioFrontier[[#This Row],[P68 Growth]])</f>
        <v>1.903861535421044</v>
      </c>
      <c r="JN110" s="27">
        <f>PortfolioFrontier[[#This Row],[P68 Growth]]/PortfolioFrontier[[#This Row],[P68 HWM]]-1</f>
        <v>-1.8519270824854606E-2</v>
      </c>
      <c r="JO110" s="28">
        <f>SUMPRODUCT(INDEX(PortfolioRef[[SPY]:[PE]],MATCH(JO$1,PortfolioRef[Reference '#]),0),AssetMonthlyReturns[[#This Row],[SPY]:[PE]])</f>
        <v>-1.8348907194623336E-2</v>
      </c>
      <c r="JP110" s="27">
        <f>IF(ISNUMBER(JP109),JP109*(1+PortfolioFrontier[[#This Row],[P69 Return]]),1+PortfolioFrontier[[#This Row],[P69 Return]])</f>
        <v>1.8555629137913487</v>
      </c>
      <c r="JQ110" s="27">
        <f>MAX(JQ109,PortfolioFrontier[[#This Row],[P69 Growth]])</f>
        <v>1.8902468783368787</v>
      </c>
      <c r="JR110" s="27">
        <f>PortfolioFrontier[[#This Row],[P69 Growth]]/PortfolioFrontier[[#This Row],[P69 HWM]]-1</f>
        <v>-1.8348907194623343E-2</v>
      </c>
      <c r="JS110" s="28">
        <f>SUMPRODUCT(INDEX(PortfolioRef[[SPY]:[PE]],MATCH(JS$1,PortfolioRef[Reference '#]),0),AssetMonthlyReturns[[#This Row],[SPY]:[PE]])</f>
        <v>-1.8178543564392066E-2</v>
      </c>
      <c r="JT110" s="27">
        <f>IF(ISNUMBER(JT109),JT109*(1+PortfolioFrontier[[#This Row],[P70 Return]]),1+PortfolioFrontier[[#This Row],[P70 Return]])</f>
        <v>1.841039717338784</v>
      </c>
      <c r="JU110" s="27">
        <f>MAX(JU109,PortfolioFrontier[[#This Row],[P70 Growth]])</f>
        <v>1.8751267914051004</v>
      </c>
      <c r="JV110" s="27">
        <f>PortfolioFrontier[[#This Row],[P70 Growth]]/PortfolioFrontier[[#This Row],[P70 HWM]]-1</f>
        <v>-1.817854356439208E-2</v>
      </c>
      <c r="JW110" s="28">
        <f>SUMPRODUCT(INDEX(PortfolioRef[[SPY]:[PE]],MATCH(JW$1,PortfolioRef[Reference '#]),0),AssetMonthlyReturns[[#This Row],[SPY]:[PE]])</f>
        <v>-7.2826007985704148E-3</v>
      </c>
      <c r="JX110" s="27">
        <f>IF(ISNUMBER(JX109),JX109*(1+PortfolioFrontier[[#This Row],[P71 Return]]),1+PortfolioFrontier[[#This Row],[P71 Return]])</f>
        <v>1.9830551541871537</v>
      </c>
      <c r="JY110" s="27">
        <f>MAX(JY109,PortfolioFrontier[[#This Row],[P71 Growth]])</f>
        <v>1.9976028986521042</v>
      </c>
      <c r="JZ110" s="27">
        <f>PortfolioFrontier[[#This Row],[P71 Growth]]/PortfolioFrontier[[#This Row],[P71 HWM]]-1</f>
        <v>-7.2826007985704599E-3</v>
      </c>
      <c r="KA110" s="28">
        <f>SUMPRODUCT(INDEX(PortfolioRef[[SPY]:[PE]],MATCH(KA$1,PortfolioRef[Reference '#]),0),AssetMonthlyReturns[[#This Row],[SPY]:[PE]])</f>
        <v>-7.112237168339146E-3</v>
      </c>
      <c r="KB110" s="27">
        <f>IF(ISNUMBER(KB109),KB109*(1+PortfolioFrontier[[#This Row],[P72 Return]]),1+PortfolioFrontier[[#This Row],[P72 Return]])</f>
        <v>1.9679605877251609</v>
      </c>
      <c r="KC110" s="27">
        <f>MAX(KC109,PortfolioFrontier[[#This Row],[P72 Growth]])</f>
        <v>1.9820574503936341</v>
      </c>
      <c r="KD110" s="27">
        <f>PortfolioFrontier[[#This Row],[P72 Growth]]/PortfolioFrontier[[#This Row],[P72 HWM]]-1</f>
        <v>-7.1122371683391972E-3</v>
      </c>
      <c r="KE110" s="28">
        <f>SUMPRODUCT(INDEX(PortfolioRef[[SPY]:[PE]],MATCH(KE$1,PortfolioRef[Reference '#]),0),AssetMonthlyReturns[[#This Row],[SPY]:[PE]])</f>
        <v>-1.3795028557825878E-2</v>
      </c>
      <c r="KF110" s="27">
        <f>IF(ISNUMBER(KF109),KF109*(1+PortfolioFrontier[[#This Row],[P73 Return]]),1+PortfolioFrontier[[#This Row],[P73 Return]])</f>
        <v>1.9427701708189862</v>
      </c>
      <c r="KG110" s="27">
        <f>MAX(KG109,PortfolioFrontier[[#This Row],[P73 Growth]])</f>
        <v>1.9699456270008269</v>
      </c>
      <c r="KH110" s="27">
        <f>PortfolioFrontier[[#This Row],[P73 Growth]]/PortfolioFrontier[[#This Row],[P73 HWM]]-1</f>
        <v>-1.3795028557825884E-2</v>
      </c>
      <c r="KI110" s="28">
        <f>SUMPRODUCT(INDEX(PortfolioRef[[SPY]:[PE]],MATCH(KI$1,PortfolioRef[Reference '#]),0),AssetMonthlyReturns[[#This Row],[SPY]:[PE]])</f>
        <v>-1.362466492759461E-2</v>
      </c>
      <c r="KJ110" s="27">
        <f>IF(ISNUMBER(KJ109),KJ109*(1+PortfolioFrontier[[#This Row],[P74 Return]]),1+PortfolioFrontier[[#This Row],[P74 Return]])</f>
        <v>1.929222522447485</v>
      </c>
      <c r="KK110" s="27">
        <f>MAX(KK109,PortfolioFrontier[[#This Row],[P74 Growth]])</f>
        <v>1.9558706040696663</v>
      </c>
      <c r="KL110" s="27">
        <f>PortfolioFrontier[[#This Row],[P74 Growth]]/PortfolioFrontier[[#This Row],[P74 HWM]]-1</f>
        <v>-1.3624664927594621E-2</v>
      </c>
      <c r="KM110" s="28">
        <f>SUMPRODUCT(INDEX(PortfolioRef[[SPY]:[PE]],MATCH(KM$1,PortfolioRef[Reference '#]),0),AssetMonthlyReturns[[#This Row],[SPY]:[PE]])</f>
        <v>-1.3454301297363341E-2</v>
      </c>
      <c r="KN110" s="27">
        <f>IF(ISNUMBER(KN109),KN109*(1+PortfolioFrontier[[#This Row],[P75 Return]]),1+PortfolioFrontier[[#This Row],[P75 Return]])</f>
        <v>1.9141341960869349</v>
      </c>
      <c r="KO110" s="27">
        <f>MAX(KO109,PortfolioFrontier[[#This Row],[P75 Growth]])</f>
        <v>1.9402387528566893</v>
      </c>
      <c r="KP110" s="27">
        <f>PortfolioFrontier[[#This Row],[P75 Growth]]/PortfolioFrontier[[#This Row],[P75 HWM]]-1</f>
        <v>-1.3454301297363358E-2</v>
      </c>
      <c r="KQ110" s="28">
        <f>SUMPRODUCT(INDEX(PortfolioRef[[SPY]:[PE]],MATCH(KQ$1,PortfolioRef[Reference '#]),0),AssetMonthlyReturns[[#This Row],[SPY]:[PE]])</f>
        <v>-2.0307456317081338E-2</v>
      </c>
      <c r="KR110" s="27">
        <f>IF(ISNUMBER(KR109),KR109*(1+PortfolioFrontier[[#This Row],[P76 Return]]),1+PortfolioFrontier[[#This Row],[P76 Return]])</f>
        <v>1.9015270869161258</v>
      </c>
      <c r="KS110" s="27">
        <f>MAX(KS109,PortfolioFrontier[[#This Row],[P76 Growth]])</f>
        <v>1.9409426959276344</v>
      </c>
      <c r="KT110" s="27">
        <f>PortfolioFrontier[[#This Row],[P76 Growth]]/PortfolioFrontier[[#This Row],[P76 HWM]]-1</f>
        <v>-2.0307456317081307E-2</v>
      </c>
      <c r="KU110" s="28">
        <f>SUMPRODUCT(INDEX(PortfolioRef[[SPY]:[PE]],MATCH(KU$1,PortfolioRef[Reference '#]),0),AssetMonthlyReturns[[#This Row],[SPY]:[PE]])</f>
        <v>-2.0137092686850072E-2</v>
      </c>
      <c r="KV110" s="27">
        <f>IF(ISNUMBER(KV109),KV109*(1+PortfolioFrontier[[#This Row],[P77 Return]]),1+PortfolioFrontier[[#This Row],[P77 Return]])</f>
        <v>1.8894871561237059</v>
      </c>
      <c r="KW110" s="27">
        <f>MAX(KW109,PortfolioFrontier[[#This Row],[P77 Growth]])</f>
        <v>1.9283178718386298</v>
      </c>
      <c r="KX110" s="27">
        <f>PortfolioFrontier[[#This Row],[P77 Growth]]/PortfolioFrontier[[#This Row],[P77 HWM]]-1</f>
        <v>-2.0137092686850044E-2</v>
      </c>
      <c r="KY110" s="28">
        <f>SUMPRODUCT(INDEX(PortfolioRef[[SPY]:[PE]],MATCH(KY$1,PortfolioRef[Reference '#]),0),AssetMonthlyReturns[[#This Row],[SPY]:[PE]])</f>
        <v>-1.9966729056618802E-2</v>
      </c>
      <c r="KZ110" s="27">
        <f>IF(ISNUMBER(KZ109),KZ109*(1+PortfolioFrontier[[#This Row],[P78 Return]]),1+PortfolioFrontier[[#This Row],[P78 Return]])</f>
        <v>1.8759157312533576</v>
      </c>
      <c r="LA110" s="27">
        <f>MAX(LA109,PortfolioFrontier[[#This Row],[P78 Growth]])</f>
        <v>1.9141347410048628</v>
      </c>
      <c r="LB110" s="27">
        <f>PortfolioFrontier[[#This Row],[P78 Growth]]/PortfolioFrontier[[#This Row],[P78 HWM]]-1</f>
        <v>-1.9966729056618782E-2</v>
      </c>
      <c r="LC110" s="28">
        <f>SUMPRODUCT(INDEX(PortfolioRef[[SPY]:[PE]],MATCH(LC$1,PortfolioRef[Reference '#]),0),AssetMonthlyReturns[[#This Row],[SPY]:[PE]])</f>
        <v>-9.0707862907971511E-3</v>
      </c>
      <c r="LD110" s="27">
        <f>IF(ISNUMBER(LD109),LD109*(1+PortfolioFrontier[[#This Row],[P79 Return]]),1+PortfolioFrontier[[#This Row],[P79 Return]])</f>
        <v>2.0191780176611518</v>
      </c>
      <c r="LE110" s="27">
        <f>MAX(LE109,PortfolioFrontier[[#This Row],[P79 Growth]])</f>
        <v>2.0376612070029232</v>
      </c>
      <c r="LF110" s="27">
        <f>PortfolioFrontier[[#This Row],[P79 Growth]]/PortfolioFrontier[[#This Row],[P79 HWM]]-1</f>
        <v>-9.0707862907971615E-3</v>
      </c>
      <c r="LG110" s="28">
        <f>SUMPRODUCT(INDEX(PortfolioRef[[SPY]:[PE]],MATCH(LG$1,PortfolioRef[Reference '#]),0),AssetMonthlyReturns[[#This Row],[SPY]:[PE]])</f>
        <v>-8.9004226605658814E-3</v>
      </c>
      <c r="LH110" s="27">
        <f>IF(ISNUMBER(LH109),LH109*(1+PortfolioFrontier[[#This Row],[P80 Return]]),1+PortfolioFrontier[[#This Row],[P80 Return]])</f>
        <v>2.0051082817934556</v>
      </c>
      <c r="LI110" s="27">
        <f>MAX(LI109,PortfolioFrontier[[#This Row],[P80 Growth]])</f>
        <v>2.023114859130589</v>
      </c>
      <c r="LJ110" s="27">
        <f>PortfolioFrontier[[#This Row],[P80 Growth]]/PortfolioFrontier[[#This Row],[P80 HWM]]-1</f>
        <v>-8.9004226605658987E-3</v>
      </c>
      <c r="LK110" s="28">
        <f>SUMPRODUCT(INDEX(PortfolioRef[[SPY]:[PE]],MATCH(LK$1,PortfolioRef[Reference '#]),0),AssetMonthlyReturns[[#This Row],[SPY]:[PE]])</f>
        <v>-8.7300590303346151E-3</v>
      </c>
      <c r="LL110" s="27">
        <f>IF(ISNUMBER(LL109),LL109*(1+PortfolioFrontier[[#This Row],[P81 Return]]),1+PortfolioFrontier[[#This Row],[P81 Return]])</f>
        <v>1.9894381640089152</v>
      </c>
      <c r="LM110" s="27">
        <f>MAX(LM109,PortfolioFrontier[[#This Row],[P81 Growth]])</f>
        <v>2.0069590348546598</v>
      </c>
      <c r="LN110" s="27">
        <f>PortfolioFrontier[[#This Row],[P81 Growth]]/PortfolioFrontier[[#This Row],[P81 HWM]]-1</f>
        <v>-8.7300590303346359E-3</v>
      </c>
      <c r="LO110" s="28">
        <f>SUMPRODUCT(INDEX(PortfolioRef[[SPY]:[PE]],MATCH(LO$1,PortfolioRef[Reference '#]),0),AssetMonthlyReturns[[#This Row],[SPY]:[PE]])</f>
        <v>-1.5583214050052615E-2</v>
      </c>
      <c r="LP110" s="27">
        <f>IF(ISNUMBER(LP109),LP109*(1+PortfolioFrontier[[#This Row],[P82 Return]]),1+PortfolioFrontier[[#This Row],[P82 Return]])</f>
        <v>1.9769916792894282</v>
      </c>
      <c r="LQ110" s="27">
        <f>MAX(LQ109,PortfolioFrontier[[#This Row],[P82 Growth]])</f>
        <v>2.0082872493703579</v>
      </c>
      <c r="LR110" s="27">
        <f>PortfolioFrontier[[#This Row],[P82 Growth]]/PortfolioFrontier[[#This Row],[P82 HWM]]-1</f>
        <v>-1.5583214050052585E-2</v>
      </c>
      <c r="LS110" s="28">
        <f>SUMPRODUCT(INDEX(PortfolioRef[[SPY]:[PE]],MATCH(LS$1,PortfolioRef[Reference '#]),0),AssetMonthlyReturns[[#This Row],[SPY]:[PE]])</f>
        <v>-1.5412850419821347E-2</v>
      </c>
      <c r="LT110" s="27">
        <f>IF(ISNUMBER(LT109),LT109*(1+PortfolioFrontier[[#This Row],[P83 Return]]),1+PortfolioFrontier[[#This Row],[P83 Return]])</f>
        <v>1.9644837942035054</v>
      </c>
      <c r="LU110" s="27">
        <f>MAX(LU109,PortfolioFrontier[[#This Row],[P83 Growth]])</f>
        <v>1.995236069291731</v>
      </c>
      <c r="LV110" s="27">
        <f>PortfolioFrontier[[#This Row],[P83 Growth]]/PortfolioFrontier[[#This Row],[P83 HWM]]-1</f>
        <v>-1.5412850419821322E-2</v>
      </c>
      <c r="LW110" s="28">
        <f>SUMPRODUCT(INDEX(PortfolioRef[[SPY]:[PE]],MATCH(LW$1,PortfolioRef[Reference '#]),0),AssetMonthlyReturns[[#This Row],[SPY]:[PE]])</f>
        <v>-1.5242486789590077E-2</v>
      </c>
      <c r="LX110" s="27">
        <f>IF(ISNUMBER(LX109),LX109*(1+PortfolioFrontier[[#This Row],[P84 Return]]),1+PortfolioFrontier[[#This Row],[P84 Return]])</f>
        <v>1.9503845509278526</v>
      </c>
      <c r="LY110" s="27">
        <f>MAX(LY109,PortfolioFrontier[[#This Row],[P84 Growth]])</f>
        <v>1.9805734150424503</v>
      </c>
      <c r="LZ110" s="27">
        <f>PortfolioFrontier[[#This Row],[P84 Growth]]/PortfolioFrontier[[#This Row],[P84 HWM]]-1</f>
        <v>-1.524248678959006E-2</v>
      </c>
      <c r="MA110" s="28">
        <f>SUMPRODUCT(INDEX(PortfolioRef[[SPY]:[PE]],MATCH(MA$1,PortfolioRef[Reference '#]),0),AssetMonthlyReturns[[#This Row],[SPY]:[PE]])</f>
        <v>-2.2095641809308075E-2</v>
      </c>
      <c r="MB110" s="27">
        <f>IF(ISNUMBER(MB109),MB109*(1+PortfolioFrontier[[#This Row],[P85 Return]]),1+PortfolioFrontier[[#This Row],[P85 Return]])</f>
        <v>1.9338749302217497</v>
      </c>
      <c r="MC110" s="27">
        <f>MAX(MC109,PortfolioFrontier[[#This Row],[P85 Growth]])</f>
        <v>1.9798393963163579</v>
      </c>
      <c r="MD110" s="27">
        <f>PortfolioFrontier[[#This Row],[P85 Growth]]/PortfolioFrontier[[#This Row],[P85 HWM]]-1</f>
        <v>-2.321625995529164E-2</v>
      </c>
      <c r="ME110" s="28">
        <f>SUMPRODUCT(INDEX(PortfolioRef[[SPY]:[PE]],MATCH(ME$1,PortfolioRef[Reference '#]),0),AssetMonthlyReturns[[#This Row],[SPY]:[PE]])</f>
        <v>-2.1925278179076805E-2</v>
      </c>
      <c r="MF110" s="27">
        <f>IF(ISNUMBER(MF109),MF109*(1+PortfolioFrontier[[#This Row],[P86 Return]]),1+PortfolioFrontier[[#This Row],[P86 Return]])</f>
        <v>1.9228866105636546</v>
      </c>
      <c r="MG110" s="27">
        <f>MAX(MG109,PortfolioFrontier[[#This Row],[P86 Growth]])</f>
        <v>1.9659915215718233</v>
      </c>
      <c r="MH110" s="27">
        <f>PortfolioFrontier[[#This Row],[P86 Growth]]/PortfolioFrontier[[#This Row],[P86 HWM]]-1</f>
        <v>-2.1925278179076857E-2</v>
      </c>
      <c r="MI110" s="28">
        <f>SUMPRODUCT(INDEX(PortfolioRef[[SPY]:[PE]],MATCH(MI$1,PortfolioRef[Reference '#]),0),AssetMonthlyReturns[[#This Row],[SPY]:[PE]])</f>
        <v>-2.1754914548845539E-2</v>
      </c>
      <c r="MJ110" s="27">
        <f>IF(ISNUMBER(MJ109),MJ109*(1+PortfolioFrontier[[#This Row],[P87 Return]]),1+PortfolioFrontier[[#This Row],[P87 Return]])</f>
        <v>1.9103189634752324</v>
      </c>
      <c r="MK110" s="27">
        <f>MAX(MK109,PortfolioFrontier[[#This Row],[P87 Growth]])</f>
        <v>1.9528020042075829</v>
      </c>
      <c r="ML110" s="27">
        <f>PortfolioFrontier[[#This Row],[P87 Growth]]/PortfolioFrontier[[#This Row],[P87 HWM]]-1</f>
        <v>-2.1754914548845594E-2</v>
      </c>
      <c r="MM110" s="28">
        <f>SUMPRODUCT(INDEX(PortfolioRef[[SPY]:[PE]],MATCH(MM$1,PortfolioRef[Reference '#]),0),AssetMonthlyReturns[[#This Row],[SPY]:[PE]])</f>
        <v>-1.0858971783023884E-2</v>
      </c>
      <c r="MN110" s="27">
        <f>IF(ISNUMBER(MN109),MN109*(1+PortfolioFrontier[[#This Row],[P88 Return]]),1+PortfolioFrontier[[#This Row],[P88 Return]])</f>
        <v>2.0547365995100124</v>
      </c>
      <c r="MO110" s="27">
        <f>MAX(MO109,PortfolioFrontier[[#This Row],[P88 Growth]])</f>
        <v>2.0772938750846044</v>
      </c>
      <c r="MP110" s="27">
        <f>PortfolioFrontier[[#This Row],[P88 Growth]]/PortfolioFrontier[[#This Row],[P88 HWM]]-1</f>
        <v>-1.0858971783023863E-2</v>
      </c>
      <c r="MQ110" s="28">
        <f>SUMPRODUCT(INDEX(PortfolioRef[[SPY]:[PE]],MATCH(MQ$1,PortfolioRef[Reference '#]),0),AssetMonthlyReturns[[#This Row],[SPY]:[PE]])</f>
        <v>-1.0688608152792614E-2</v>
      </c>
      <c r="MR110" s="27">
        <f>IF(ISNUMBER(MR109),MR109*(1+PortfolioFrontier[[#This Row],[P89 Return]]),1+PortfolioFrontier[[#This Row],[P89 Return]])</f>
        <v>2.041746996283313</v>
      </c>
      <c r="MS110" s="27">
        <f>MAX(MS109,PortfolioFrontier[[#This Row],[P89 Growth]])</f>
        <v>2.0638062121886973</v>
      </c>
      <c r="MT110" s="27">
        <f>PortfolioFrontier[[#This Row],[P89 Growth]]/PortfolioFrontier[[#This Row],[P89 HWM]]-1</f>
        <v>-1.0688608152792711E-2</v>
      </c>
      <c r="MU110" s="28">
        <f>SUMPRODUCT(INDEX(PortfolioRef[[SPY]:[PE]],MATCH(MU$1,PortfolioRef[Reference '#]),0),AssetMonthlyReturns[[#This Row],[SPY]:[PE]])</f>
        <v>-1.0518244522561348E-2</v>
      </c>
      <c r="MV110" s="27">
        <f>IF(ISNUMBER(MV109),MV109*(1+PortfolioFrontier[[#This Row],[P90 Return]]),1+PortfolioFrontier[[#This Row],[P90 Return]])</f>
        <v>2.0271043868529688</v>
      </c>
      <c r="MW110" s="27">
        <f>MAX(MW109,PortfolioFrontier[[#This Row],[P90 Growth]])</f>
        <v>2.0486526160099463</v>
      </c>
      <c r="MX110" s="27">
        <f>PortfolioFrontier[[#This Row],[P90 Growth]]/PortfolioFrontier[[#This Row],[P90 HWM]]-1</f>
        <v>-1.0518244522561337E-2</v>
      </c>
      <c r="MY110" s="28">
        <f>SUMPRODUCT(INDEX(PortfolioRef[[SPY]:[PE]],MATCH(MY$1,PortfolioRef[Reference '#]),0),AssetMonthlyReturns[[#This Row],[SPY]:[PE]])</f>
        <v>-1.7371399542279346E-2</v>
      </c>
      <c r="MZ110" s="27">
        <f>IF(ISNUMBER(MZ109),MZ109*(1+PortfolioFrontier[[#This Row],[P91 Return]]),1+PortfolioFrontier[[#This Row],[P91 Return]])</f>
        <v>2.0106149341667976</v>
      </c>
      <c r="NA110" s="27">
        <f>MAX(NA109,PortfolioFrontier[[#This Row],[P91 Growth]])</f>
        <v>2.0461595899307512</v>
      </c>
      <c r="NB110" s="27">
        <f>PortfolioFrontier[[#This Row],[P91 Growth]]/PortfolioFrontier[[#This Row],[P91 HWM]]-1</f>
        <v>-1.7371399542279398E-2</v>
      </c>
      <c r="NC110" s="28">
        <f>SUMPRODUCT(INDEX(PortfolioRef[[SPY]:[PE]],MATCH(NC$1,PortfolioRef[Reference '#]),0),AssetMonthlyReturns[[#This Row],[SPY]:[PE]])</f>
        <v>-1.7201035912048079E-2</v>
      </c>
      <c r="ND110" s="27">
        <f>IF(ISNUMBER(ND109),ND109*(1+PortfolioFrontier[[#This Row],[P92 Return]]),1+PortfolioFrontier[[#This Row],[P92 Return]])</f>
        <v>1.9991998418461032</v>
      </c>
      <c r="NE110" s="27">
        <f>MAX(NE109,PortfolioFrontier[[#This Row],[P92 Growth]])</f>
        <v>2.0341900173871084</v>
      </c>
      <c r="NF110" s="27">
        <f>PortfolioFrontier[[#This Row],[P92 Growth]]/PortfolioFrontier[[#This Row],[P92 HWM]]-1</f>
        <v>-1.7201035912048024E-2</v>
      </c>
      <c r="NG110" s="28">
        <f>SUMPRODUCT(INDEX(PortfolioRef[[SPY]:[PE]],MATCH(NG$1,PortfolioRef[Reference '#]),0),AssetMonthlyReturns[[#This Row],[SPY]:[PE]])</f>
        <v>-1.703067228181681E-2</v>
      </c>
      <c r="NH110" s="27">
        <f>IF(ISNUMBER(NH109),NH109*(1+PortfolioFrontier[[#This Row],[P93 Return]]),1+PortfolioFrontier[[#This Row],[P93 Return]])</f>
        <v>1.9861437065516563</v>
      </c>
      <c r="NI110" s="27">
        <f>MAX(NI109,PortfolioFrontier[[#This Row],[P93 Growth]])</f>
        <v>2.0205551186039474</v>
      </c>
      <c r="NJ110" s="27">
        <f>PortfolioFrontier[[#This Row],[P93 Growth]]/PortfolioFrontier[[#This Row],[P93 HWM]]-1</f>
        <v>-1.7030672281816761E-2</v>
      </c>
      <c r="NK110" s="28">
        <f>SUMPRODUCT(INDEX(PortfolioRef[[SPY]:[PE]],MATCH(NK$1,PortfolioRef[Reference '#]),0),AssetMonthlyReturns[[#This Row],[SPY]:[PE]])</f>
        <v>-2.3883827301534811E-2</v>
      </c>
      <c r="NL110" s="27">
        <f>IF(ISNUMBER(NL109),NL109*(1+PortfolioFrontier[[#This Row],[P94 Return]]),1+PortfolioFrontier[[#This Row],[P94 Return]])</f>
        <v>1.9655937383608713</v>
      </c>
      <c r="NM110" s="27">
        <f>MAX(NM109,PortfolioFrontier[[#This Row],[P94 Growth]])</f>
        <v>2.0203871878359139</v>
      </c>
      <c r="NN110" s="27">
        <f>PortfolioFrontier[[#This Row],[P94 Growth]]/PortfolioFrontier[[#This Row],[P94 HWM]]-1</f>
        <v>-2.7120271700858067E-2</v>
      </c>
      <c r="NO110" s="28">
        <f>SUMPRODUCT(INDEX(PortfolioRef[[SPY]:[PE]],MATCH(NO$1,PortfolioRef[Reference '#]),0),AssetMonthlyReturns[[#This Row],[SPY]:[PE]])</f>
        <v>-2.3713463671303541E-2</v>
      </c>
      <c r="NP110" s="27">
        <f>IF(ISNUMBER(NP109),NP109*(1+PortfolioFrontier[[#This Row],[P95 Return]]),1+PortfolioFrontier[[#This Row],[P95 Return]])</f>
        <v>1.9557077415713742</v>
      </c>
      <c r="NQ110" s="27">
        <f>MAX(NQ109,PortfolioFrontier[[#This Row],[P95 Growth]])</f>
        <v>2.0038965423933455</v>
      </c>
      <c r="NR110" s="27">
        <f>PortfolioFrontier[[#This Row],[P95 Growth]]/PortfolioFrontier[[#This Row],[P95 HWM]]-1</f>
        <v>-2.4047549263405243E-2</v>
      </c>
      <c r="NS110" s="28">
        <f>SUMPRODUCT(INDEX(PortfolioRef[[SPY]:[PE]],MATCH(NS$1,PortfolioRef[Reference '#]),0),AssetMonthlyReturns[[#This Row],[SPY]:[PE]])</f>
        <v>-2.3543100041072275E-2</v>
      </c>
      <c r="NT110" s="27">
        <f>IF(ISNUMBER(NT109),NT109*(1+PortfolioFrontier[[#This Row],[P96 Return]]),1+PortfolioFrontier[[#This Row],[P96 Return]])</f>
        <v>1.9441956786499208</v>
      </c>
      <c r="NU110" s="27">
        <f>MAX(NU109,PortfolioFrontier[[#This Row],[P96 Growth]])</f>
        <v>1.9910716783625562</v>
      </c>
      <c r="NV110" s="27">
        <f>PortfolioFrontier[[#This Row],[P96 Growth]]/PortfolioFrontier[[#This Row],[P96 HWM]]-1</f>
        <v>-2.3543100041072296E-2</v>
      </c>
      <c r="NW110" s="28">
        <f>SUMPRODUCT(INDEX(PortfolioRef[[SPY]:[PE]],MATCH(NW$1,PortfolioRef[Reference '#]),0),AssetMonthlyReturns[[#This Row],[SPY]:[PE]])</f>
        <v>-1.2016169324021941E-2</v>
      </c>
      <c r="NX110" s="27">
        <f>IF(ISNUMBER(NX109),NX109*(1+PortfolioFrontier[[#This Row],[P97 Return]]),1+PortfolioFrontier[[#This Row],[P97 Return]])</f>
        <v>1.7087671670016564</v>
      </c>
      <c r="NY110" s="27">
        <f>MAX(NY109,PortfolioFrontier[[#This Row],[P97 Growth]])</f>
        <v>1.7295497294044972</v>
      </c>
      <c r="NZ110" s="27">
        <f>PortfolioFrontier[[#This Row],[P97 Growth]]/PortfolioFrontier[[#This Row],[P97 HWM]]-1</f>
        <v>-1.2016169324021941E-2</v>
      </c>
      <c r="OA110" s="28">
        <f>SUMPRODUCT(INDEX(PortfolioRef[[SPY]:[PE]],MATCH(OA$1,PortfolioRef[Reference '#]),0),AssetMonthlyReturns[[#This Row],[SPY]:[PE]])</f>
        <v>-7.2919270569932141E-3</v>
      </c>
      <c r="OB110" s="27">
        <f>IF(ISNUMBER(OB109),OB109*(1+PortfolioFrontier[[#This Row],[P98 Return]]),1+PortfolioFrontier[[#This Row],[P98 Return]])</f>
        <v>1.7765975722800038</v>
      </c>
      <c r="OC110" s="27">
        <f>MAX(OC109,PortfolioFrontier[[#This Row],[P98 Growth]])</f>
        <v>1.7896475516846144</v>
      </c>
      <c r="OD110" s="27">
        <f>PortfolioFrontier[[#This Row],[P98 Growth]]/PortfolioFrontier[[#This Row],[P98 HWM]]-1</f>
        <v>-7.2919270569932193E-3</v>
      </c>
      <c r="OE110" s="28">
        <f>SUMPRODUCT(INDEX(PortfolioRef[[SPY]:[PE]],MATCH(OE$1,PortfolioRef[Reference '#]),0),AssetMonthlyReturns[[#This Row],[SPY]:[PE]])</f>
        <v>-1.3804354816248676E-2</v>
      </c>
      <c r="OF110" s="27">
        <f>IF(ISNUMBER(OF109),OF109*(1+PortfolioFrontier[[#This Row],[P99 Return]]),1+PortfolioFrontier[[#This Row],[P99 Return]])</f>
        <v>1.741637998454673</v>
      </c>
      <c r="OG110" s="27">
        <f>MAX(OG109,PortfolioFrontier[[#This Row],[P99 Growth]])</f>
        <v>1.7660167198671468</v>
      </c>
      <c r="OH110" s="27">
        <f>PortfolioFrontier[[#This Row],[P99 Growth]]/PortfolioFrontier[[#This Row],[P99 HWM]]-1</f>
        <v>-1.3804354816248643E-2</v>
      </c>
      <c r="OI110" s="28">
        <f>SUMPRODUCT(INDEX(PortfolioRef[[SPY]:[PE]],MATCH(OI$1,PortfolioRef[Reference '#]),0),AssetMonthlyReturns[[#This Row],[SPY]:[PE]])</f>
        <v>-1.3633991186017408E-2</v>
      </c>
      <c r="OJ110" s="27">
        <f>IF(ISNUMBER(OJ109),OJ109*(1+PortfolioFrontier[[#This Row],[P100 Return]]),1+PortfolioFrontier[[#This Row],[P100 Return]])</f>
        <v>1.7277058890771972</v>
      </c>
      <c r="OK110" s="27">
        <f>MAX(OK109,PortfolioFrontier[[#This Row],[P100 Growth]])</f>
        <v>1.7515870109459772</v>
      </c>
      <c r="OL110" s="27">
        <f>PortfolioFrontier[[#This Row],[P100 Growth]]/PortfolioFrontier[[#This Row],[P100 HWM]]-1</f>
        <v>-1.363399118601738E-2</v>
      </c>
      <c r="OM110" s="28">
        <f>SUMPRODUCT(INDEX(PortfolioRef[[SPY]:[PE]],MATCH(OM$1,PortfolioRef[Reference '#]),0),AssetMonthlyReturns[[#This Row],[SPY]:[PE]])</f>
        <v>-2.5676847899644864E-3</v>
      </c>
      <c r="ON110" s="27">
        <f>IF(ISNUMBER(ON109),ON109*(1+PortfolioFrontier[[#This Row],[P101 Return]]),1+PortfolioFrontier[[#This Row],[P101 Return]])</f>
        <v>1.8464762418091609</v>
      </c>
      <c r="OO110" s="27">
        <f>MAX(OO109,PortfolioFrontier[[#This Row],[P101 Growth]])</f>
        <v>1.8512296159367334</v>
      </c>
      <c r="OP110" s="27">
        <f>PortfolioFrontier[[#This Row],[P101 Growth]]/PortfolioFrontier[[#This Row],[P101 HWM]]-1</f>
        <v>-2.5676847899644972E-3</v>
      </c>
      <c r="OQ110" s="28">
        <f>SUMPRODUCT(INDEX(PortfolioRef[[SPY]:[PE]],MATCH(OQ$1,PortfolioRef[Reference '#]),0),AssetMonthlyReturns[[#This Row],[SPY]:[PE]])</f>
        <v>-9.0801125492199503E-3</v>
      </c>
      <c r="OR110" s="27">
        <f>IF(ISNUMBER(OR109),OR109*(1+PortfolioFrontier[[#This Row],[P102 Return]]),1+PortfolioFrontier[[#This Row],[P102 Return]])</f>
        <v>1.8107633108482468</v>
      </c>
      <c r="OS110" s="27">
        <f>MAX(OS109,PortfolioFrontier[[#This Row],[P102 Growth]])</f>
        <v>1.8273559081618382</v>
      </c>
      <c r="OT110" s="27">
        <f>PortfolioFrontier[[#This Row],[P102 Growth]]/PortfolioFrontier[[#This Row],[P102 HWM]]-1</f>
        <v>-9.0801125492199208E-3</v>
      </c>
      <c r="OU110" s="28">
        <f>SUMPRODUCT(INDEX(PortfolioRef[[SPY]:[PE]],MATCH(OU$1,PortfolioRef[Reference '#]),0),AssetMonthlyReturns[[#This Row],[SPY]:[PE]])</f>
        <v>-8.9097489189886823E-3</v>
      </c>
      <c r="OV110" s="27">
        <f>IF(ISNUMBER(OV109),OV109*(1+PortfolioFrontier[[#This Row],[P103 Return]]),1+PortfolioFrontier[[#This Row],[P103 Return]])</f>
        <v>1.796289011284963</v>
      </c>
      <c r="OW110" s="27">
        <f>MAX(OW109,PortfolioFrontier[[#This Row],[P103 Growth]])</f>
        <v>1.8124373732116703</v>
      </c>
      <c r="OX110" s="27">
        <f>PortfolioFrontier[[#This Row],[P103 Growth]]/PortfolioFrontier[[#This Row],[P103 HWM]]-1</f>
        <v>-8.9097489189886581E-3</v>
      </c>
      <c r="OY110" s="28">
        <f>SUMPRODUCT(INDEX(PortfolioRef[[SPY]:[PE]],MATCH(OY$1,PortfolioRef[Reference '#]),0),AssetMonthlyReturns[[#This Row],[SPY]:[PE]])</f>
        <v>-1.5592540308475412E-2</v>
      </c>
      <c r="OZ110" s="27">
        <f>IF(ISNUMBER(OZ109),OZ109*(1+PortfolioFrontier[[#This Row],[P104 Return]]),1+PortfolioFrontier[[#This Row],[P104 Return]])</f>
        <v>1.7740900024509347</v>
      </c>
      <c r="PA110" s="27">
        <f>MAX(PA109,PortfolioFrontier[[#This Row],[P104 Growth]])</f>
        <v>1.8021907341162027</v>
      </c>
      <c r="PB110" s="27">
        <f>PortfolioFrontier[[#This Row],[P104 Growth]]/PortfolioFrontier[[#This Row],[P104 HWM]]-1</f>
        <v>-1.5592540308475455E-2</v>
      </c>
      <c r="PC110" s="28">
        <f>SUMPRODUCT(INDEX(PortfolioRef[[SPY]:[PE]],MATCH(PC$1,PortfolioRef[Reference '#]),0),AssetMonthlyReturns[[#This Row],[SPY]:[PE]])</f>
        <v>-1.5422176678244144E-2</v>
      </c>
      <c r="PD110" s="27">
        <f>IF(ISNUMBER(PD109),PD109*(1+PortfolioFrontier[[#This Row],[P105 Return]]),1+PortfolioFrontier[[#This Row],[P105 Return]])</f>
        <v>1.7610393102638671</v>
      </c>
      <c r="PE110" s="27">
        <f>MAX(PE109,PortfolioFrontier[[#This Row],[P105 Growth]])</f>
        <v>1.7886237822445519</v>
      </c>
      <c r="PF110" s="27">
        <f>PortfolioFrontier[[#This Row],[P105 Growth]]/PortfolioFrontier[[#This Row],[P105 HWM]]-1</f>
        <v>-1.5422176678244193E-2</v>
      </c>
      <c r="PG110" s="28">
        <f>SUMPRODUCT(INDEX(PortfolioRef[[SPY]:[PE]],MATCH(PG$1,PortfolioRef[Reference '#]),0),AssetMonthlyReturns[[#This Row],[SPY]:[PE]])</f>
        <v>-1.5251813048012874E-2</v>
      </c>
      <c r="PH110" s="27">
        <f>IF(ISNUMBER(PH109),PH109*(1+PortfolioFrontier[[#This Row],[P106 Return]]),1+PortfolioFrontier[[#This Row],[P106 Return]])</f>
        <v>1.7465935524501566</v>
      </c>
      <c r="PI110" s="27">
        <f>MAX(PI109,PortfolioFrontier[[#This Row],[P106 Growth]])</f>
        <v>1.7736448521486989</v>
      </c>
      <c r="PJ110" s="27">
        <f>PortfolioFrontier[[#This Row],[P106 Growth]]/PortfolioFrontier[[#This Row],[P106 HWM]]-1</f>
        <v>-1.5251813048012819E-2</v>
      </c>
      <c r="PK110" s="28">
        <f>SUMPRODUCT(INDEX(PortfolioRef[[SPY]:[PE]],MATCH(PK$1,PortfolioRef[Reference '#]),0),AssetMonthlyReturns[[#This Row],[SPY]:[PE]])</f>
        <v>-4.3558702821912213E-3</v>
      </c>
      <c r="PL110" s="27">
        <f>IF(ISNUMBER(PL109),PL109*(1+PortfolioFrontier[[#This Row],[P107 Return]]),1+PortfolioFrontier[[#This Row],[P107 Return]])</f>
        <v>1.8819759696956009</v>
      </c>
      <c r="PM110" s="27">
        <f>MAX(PM109,PortfolioFrontier[[#This Row],[P107 Growth]])</f>
        <v>1.8902094769835096</v>
      </c>
      <c r="PN110" s="27">
        <f>PortfolioFrontier[[#This Row],[P107 Growth]]/PortfolioFrontier[[#This Row],[P107 HWM]]-1</f>
        <v>-4.3558702821911988E-3</v>
      </c>
      <c r="PO110" s="28">
        <f>SUMPRODUCT(INDEX(PortfolioRef[[SPY]:[PE]],MATCH(PO$1,PortfolioRef[Reference '#]),0),AssetMonthlyReturns[[#This Row],[SPY]:[PE]])</f>
        <v>-4.1855066519599525E-3</v>
      </c>
      <c r="PP110" s="27">
        <f>IF(ISNUMBER(PP109),PP109*(1+PortfolioFrontier[[#This Row],[P108 Return]]),1+PortfolioFrontier[[#This Row],[P108 Return]])</f>
        <v>1.8669435009231192</v>
      </c>
      <c r="PQ110" s="27">
        <f>MAX(PQ109,PortfolioFrontier[[#This Row],[P108 Growth]])</f>
        <v>1.8747904488176765</v>
      </c>
      <c r="PR110" s="27">
        <f>PortfolioFrontier[[#This Row],[P108 Growth]]/PortfolioFrontier[[#This Row],[P108 HWM]]-1</f>
        <v>-4.185506651959936E-3</v>
      </c>
      <c r="PS110" s="28">
        <f>SUMPRODUCT(INDEX(PortfolioRef[[SPY]:[PE]],MATCH(PS$1,PortfolioRef[Reference '#]),0),AssetMonthlyReturns[[#This Row],[SPY]:[PE]])</f>
        <v>-1.0868298041446685E-2</v>
      </c>
      <c r="PT110" s="27">
        <f>IF(ISNUMBER(PT109),PT109*(1+PortfolioFrontier[[#This Row],[P109 Return]]),1+PortfolioFrontier[[#This Row],[P109 Return]])</f>
        <v>1.8444939030983776</v>
      </c>
      <c r="PU110" s="27">
        <f>MAX(PU109,PortfolioFrontier[[#This Row],[P109 Growth]])</f>
        <v>1.8647606779220043</v>
      </c>
      <c r="PV110" s="27">
        <f>PortfolioFrontier[[#This Row],[P109 Growth]]/PortfolioFrontier[[#This Row],[P109 HWM]]-1</f>
        <v>-1.0868298041446844E-2</v>
      </c>
      <c r="PW110" s="28">
        <f>SUMPRODUCT(INDEX(PortfolioRef[[SPY]:[PE]],MATCH(PW$1,PortfolioRef[Reference '#]),0),AssetMonthlyReturns[[#This Row],[SPY]:[PE]])</f>
        <v>-1.0697934411215415E-2</v>
      </c>
      <c r="PX110" s="27">
        <f>IF(ISNUMBER(PX109),PX109*(1+PortfolioFrontier[[#This Row],[P110 Return]]),1+PortfolioFrontier[[#This Row],[P110 Return]])</f>
        <v>1.8309355734100372</v>
      </c>
      <c r="PY110" s="27">
        <f>MAX(PY109,PortfolioFrontier[[#This Row],[P110 Growth]])</f>
        <v>1.8507346108899039</v>
      </c>
      <c r="PZ110" s="27">
        <f>PortfolioFrontier[[#This Row],[P110 Growth]]/PortfolioFrontier[[#This Row],[P110 HWM]]-1</f>
        <v>-1.0697934411215471E-2</v>
      </c>
      <c r="QA110" s="28">
        <f>SUMPRODUCT(INDEX(PortfolioRef[[SPY]:[PE]],MATCH(QA$1,PortfolioRef[Reference '#]),0),AssetMonthlyReturns[[#This Row],[SPY]:[PE]])</f>
        <v>-1.0527570780984149E-2</v>
      </c>
      <c r="QB110" s="27">
        <f>IF(ISNUMBER(QB109),QB109*(1+PortfolioFrontier[[#This Row],[P111 Return]]),1+PortfolioFrontier[[#This Row],[P111 Return]])</f>
        <v>1.8159276300788927</v>
      </c>
      <c r="QC110" s="27">
        <f>MAX(QC109,PortfolioFrontier[[#This Row],[P111 Growth]])</f>
        <v>1.8352483368457193</v>
      </c>
      <c r="QD110" s="27">
        <f>PortfolioFrontier[[#This Row],[P111 Growth]]/PortfolioFrontier[[#This Row],[P111 HWM]]-1</f>
        <v>-1.0527570780984097E-2</v>
      </c>
      <c r="QE110" s="28">
        <f>SUMPRODUCT(INDEX(PortfolioRef[[SPY]:[PE]],MATCH(QE$1,PortfolioRef[Reference '#]),0),AssetMonthlyReturns[[#This Row],[SPY]:[PE]])</f>
        <v>-1.7380725800702147E-2</v>
      </c>
      <c r="QF110" s="27">
        <f>IF(ISNUMBER(QF109),QF109*(1+PortfolioFrontier[[#This Row],[P112 Return]]),1+PortfolioFrontier[[#This Row],[P112 Return]])</f>
        <v>1.8060730766083293</v>
      </c>
      <c r="QG110" s="27">
        <f>MAX(QG109,PortfolioFrontier[[#This Row],[P112 Growth]])</f>
        <v>1.8380191840629578</v>
      </c>
      <c r="QH110" s="27">
        <f>PortfolioFrontier[[#This Row],[P112 Growth]]/PortfolioFrontier[[#This Row],[P112 HWM]]-1</f>
        <v>-1.7380725800702157E-2</v>
      </c>
      <c r="QI110" s="28">
        <f>SUMPRODUCT(INDEX(PortfolioRef[[SPY]:[PE]],MATCH(QI$1,PortfolioRef[Reference '#]),0),AssetMonthlyReturns[[#This Row],[SPY]:[PE]])</f>
        <v>-1.7210362170470877E-2</v>
      </c>
      <c r="QJ110" s="27">
        <f>IF(ISNUMBER(QJ109),QJ109*(1+PortfolioFrontier[[#This Row],[P113 Return]]),1+PortfolioFrontier[[#This Row],[P113 Return]])</f>
        <v>1.7939531433184892</v>
      </c>
      <c r="QK110" s="27">
        <f>MAX(QK109,PortfolioFrontier[[#This Row],[P113 Growth]])</f>
        <v>1.8253683944820565</v>
      </c>
      <c r="QL110" s="27">
        <f>PortfolioFrontier[[#This Row],[P113 Growth]]/PortfolioFrontier[[#This Row],[P113 HWM]]-1</f>
        <v>-1.7210362170470894E-2</v>
      </c>
      <c r="QM110" s="28">
        <f>SUMPRODUCT(INDEX(PortfolioRef[[SPY]:[PE]],MATCH(QM$1,PortfolioRef[Reference '#]),0),AssetMonthlyReturns[[#This Row],[SPY]:[PE]])</f>
        <v>-1.7039998540239611E-2</v>
      </c>
      <c r="QN110" s="27">
        <f>IF(ISNUMBER(QN109),QN109*(1+PortfolioFrontier[[#This Row],[P114 Return]]),1+PortfolioFrontier[[#This Row],[P114 Return]])</f>
        <v>1.7803907805599721</v>
      </c>
      <c r="QO110" s="27">
        <f>MAX(QO109,PortfolioFrontier[[#This Row],[P114 Growth]])</f>
        <v>1.8112545555424173</v>
      </c>
      <c r="QP110" s="27">
        <f>PortfolioFrontier[[#This Row],[P114 Growth]]/PortfolioFrontier[[#This Row],[P114 HWM]]-1</f>
        <v>-1.7039998540239631E-2</v>
      </c>
      <c r="QQ110" s="28">
        <f>SUMPRODUCT(INDEX(PortfolioRef[[SPY]:[PE]],MATCH(QQ$1,PortfolioRef[Reference '#]),0),AssetMonthlyReturns[[#This Row],[SPY]:[PE]])</f>
        <v>-6.1440557744179558E-3</v>
      </c>
      <c r="QR110" s="27">
        <f>IF(ISNUMBER(QR109),QR109*(1+PortfolioFrontier[[#This Row],[P115 Return]]),1+PortfolioFrontier[[#This Row],[P115 Return]])</f>
        <v>1.9170237576774296</v>
      </c>
      <c r="QS110" s="27">
        <f>MAX(QS109,PortfolioFrontier[[#This Row],[P115 Growth]])</f>
        <v>1.928874872475794</v>
      </c>
      <c r="QT110" s="27">
        <f>PortfolioFrontier[[#This Row],[P115 Growth]]/PortfolioFrontier[[#This Row],[P115 HWM]]-1</f>
        <v>-6.1440557744179003E-3</v>
      </c>
      <c r="QU110" s="28">
        <f>SUMPRODUCT(INDEX(PortfolioRef[[SPY]:[PE]],MATCH(QU$1,PortfolioRef[Reference '#]),0),AssetMonthlyReturns[[#This Row],[SPY]:[PE]])</f>
        <v>-5.973692144186687E-3</v>
      </c>
      <c r="QV110" s="27">
        <f>IF(ISNUMBER(QV109),QV109*(1+PortfolioFrontier[[#This Row],[P116 Return]]),1+PortfolioFrontier[[#This Row],[P116 Return]])</f>
        <v>1.9029428421585433</v>
      </c>
      <c r="QW110" s="27">
        <f>MAX(QW109,PortfolioFrontier[[#This Row],[P116 Growth]])</f>
        <v>1.9143787514671806</v>
      </c>
      <c r="QX110" s="27">
        <f>PortfolioFrontier[[#This Row],[P116 Growth]]/PortfolioFrontier[[#This Row],[P116 HWM]]-1</f>
        <v>-5.9736921441866375E-3</v>
      </c>
      <c r="QY110" s="28">
        <f>SUMPRODUCT(INDEX(PortfolioRef[[SPY]:[PE]],MATCH(QY$1,PortfolioRef[Reference '#]),0),AssetMonthlyReturns[[#This Row],[SPY]:[PE]])</f>
        <v>-5.803328513955419E-3</v>
      </c>
      <c r="QZ110" s="27">
        <f>IF(ISNUMBER(QZ109),QZ109*(1+PortfolioFrontier[[#This Row],[P117 Return]]),1+PortfolioFrontier[[#This Row],[P117 Return]])</f>
        <v>1.8873561397268128</v>
      </c>
      <c r="RA110" s="27">
        <f>MAX(RA109,PortfolioFrontier[[#This Row],[P117 Growth]])</f>
        <v>1.8983730220155997</v>
      </c>
      <c r="RB110" s="27">
        <f>PortfolioFrontier[[#This Row],[P117 Growth]]/PortfolioFrontier[[#This Row],[P117 HWM]]-1</f>
        <v>-5.8033285139553747E-3</v>
      </c>
      <c r="RC110" s="28">
        <f>SUMPRODUCT(INDEX(PortfolioRef[[SPY]:[PE]],MATCH(RC$1,PortfolioRef[Reference '#]),0),AssetMonthlyReturns[[#This Row],[SPY]:[PE]])</f>
        <v>-1.2656483533673419E-2</v>
      </c>
      <c r="RD110" s="27">
        <f>IF(ISNUMBER(RD109),RD109*(1+PortfolioFrontier[[#This Row],[P118 Return]]),1+PortfolioFrontier[[#This Row],[P118 Return]])</f>
        <v>1.8777373030399471</v>
      </c>
      <c r="RE110" s="27">
        <f>MAX(RE109,PortfolioFrontier[[#This Row],[P118 Growth]])</f>
        <v>1.9018074983267361</v>
      </c>
      <c r="RF110" s="27">
        <f>PortfolioFrontier[[#This Row],[P118 Growth]]/PortfolioFrontier[[#This Row],[P118 HWM]]-1</f>
        <v>-1.2656483533673435E-2</v>
      </c>
      <c r="RG110" s="28">
        <f>SUMPRODUCT(INDEX(PortfolioRef[[SPY]:[PE]],MATCH(RG$1,PortfolioRef[Reference '#]),0),AssetMonthlyReturns[[#This Row],[SPY]:[PE]])</f>
        <v>-1.2486119903442151E-2</v>
      </c>
      <c r="RH110" s="27">
        <f>IF(ISNUMBER(RH109),RH109*(1+PortfolioFrontier[[#This Row],[P119 Return]]),1+PortfolioFrontier[[#This Row],[P119 Return]])</f>
        <v>1.8651461997934751</v>
      </c>
      <c r="RI110" s="27">
        <f>MAX(RI109,PortfolioFrontier[[#This Row],[P119 Growth]])</f>
        <v>1.8887290977733939</v>
      </c>
      <c r="RJ110" s="27">
        <f>PortfolioFrontier[[#This Row],[P119 Growth]]/PortfolioFrontier[[#This Row],[P119 HWM]]-1</f>
        <v>-1.2486119903442283E-2</v>
      </c>
      <c r="RK110" s="28">
        <f>SUMPRODUCT(INDEX(PortfolioRef[[SPY]:[PE]],MATCH(RK$1,PortfolioRef[Reference '#]),0),AssetMonthlyReturns[[#This Row],[SPY]:[PE]])</f>
        <v>-1.2315756273210882E-2</v>
      </c>
      <c r="RL110" s="27">
        <f>IF(ISNUMBER(RL109),RL109*(1+PortfolioFrontier[[#This Row],[P120 Return]]),1+PortfolioFrontier[[#This Row],[P120 Return]])</f>
        <v>1.8510562863959161</v>
      </c>
      <c r="RM110" s="27">
        <f>MAX(RM109,PortfolioFrontier[[#This Row],[P120 Growth]])</f>
        <v>1.8741377096504042</v>
      </c>
      <c r="RN110" s="27">
        <f>PortfolioFrontier[[#This Row],[P120 Growth]]/PortfolioFrontier[[#This Row],[P120 HWM]]-1</f>
        <v>-1.2315756273210909E-2</v>
      </c>
      <c r="RO110" s="28">
        <f>SUMPRODUCT(INDEX(PortfolioRef[[SPY]:[PE]],MATCH(RO$1,PortfolioRef[Reference '#]),0),AssetMonthlyReturns[[#This Row],[SPY]:[PE]])</f>
        <v>-1.9168911292928883E-2</v>
      </c>
      <c r="RP110" s="27">
        <f>IF(ISNUMBER(RP109),RP109*(1+PortfolioFrontier[[#This Row],[P121 Return]]),1+PortfolioFrontier[[#This Row],[P121 Return]])</f>
        <v>1.8375366456744884</v>
      </c>
      <c r="RQ110" s="27">
        <f>MAX(RQ109,PortfolioFrontier[[#This Row],[P121 Growth]])</f>
        <v>1.8736715153024748</v>
      </c>
      <c r="RR110" s="27">
        <f>PortfolioFrontier[[#This Row],[P121 Growth]]/PortfolioFrontier[[#This Row],[P121 HWM]]-1</f>
        <v>-1.9285594797630812E-2</v>
      </c>
      <c r="RS110" s="28">
        <f>SUMPRODUCT(INDEX(PortfolioRef[[SPY]:[PE]],MATCH(RS$1,PortfolioRef[Reference '#]),0),AssetMonthlyReturns[[#This Row],[SPY]:[PE]])</f>
        <v>-1.8998547662697613E-2</v>
      </c>
      <c r="RT110" s="27">
        <f>IF(ISNUMBER(RT109),RT109*(1+PortfolioFrontier[[#This Row],[P122 Return]]),1+PortfolioFrontier[[#This Row],[P122 Return]])</f>
        <v>1.8263966788648165</v>
      </c>
      <c r="RU110" s="27">
        <f>MAX(RU109,PortfolioFrontier[[#This Row],[P122 Growth]])</f>
        <v>1.8617675585630407</v>
      </c>
      <c r="RV110" s="27">
        <f>PortfolioFrontier[[#This Row],[P122 Growth]]/PortfolioFrontier[[#This Row],[P122 HWM]]-1</f>
        <v>-1.8998547662697596E-2</v>
      </c>
      <c r="RW110" s="28">
        <f>SUMPRODUCT(INDEX(PortfolioRef[[SPY]:[PE]],MATCH(RW$1,PortfolioRef[Reference '#]),0),AssetMonthlyReturns[[#This Row],[SPY]:[PE]])</f>
        <v>-1.8828184032466343E-2</v>
      </c>
      <c r="RX110" s="27">
        <f>IF(ISNUMBER(RX109),RX109*(1+PortfolioFrontier[[#This Row],[P123 Return]]),1+PortfolioFrontier[[#This Row],[P123 Return]])</f>
        <v>1.8137677592615413</v>
      </c>
      <c r="RY110" s="27">
        <f>MAX(RY109,PortfolioFrontier[[#This Row],[P123 Growth]])</f>
        <v>1.8485730325151917</v>
      </c>
      <c r="RZ110" s="27">
        <f>PortfolioFrontier[[#This Row],[P123 Growth]]/PortfolioFrontier[[#This Row],[P123 HWM]]-1</f>
        <v>-1.8828184032466333E-2</v>
      </c>
      <c r="SA110" s="28">
        <f>SUMPRODUCT(INDEX(PortfolioRef[[SPY]:[PE]],MATCH(SA$1,PortfolioRef[Reference '#]),0),AssetMonthlyReturns[[#This Row],[SPY]:[PE]])</f>
        <v>-7.9322412666446903E-3</v>
      </c>
      <c r="SB110" s="27">
        <f>IF(ISNUMBER(SB109),SB109*(1+PortfolioFrontier[[#This Row],[P124 Return]]),1+PortfolioFrontier[[#This Row],[P124 Return]])</f>
        <v>1.9515655585692884</v>
      </c>
      <c r="SC110" s="27">
        <f>MAX(SC109,PortfolioFrontier[[#This Row],[P124 Growth]])</f>
        <v>1.9671696226283912</v>
      </c>
      <c r="SD110" s="27">
        <f>PortfolioFrontier[[#This Row],[P124 Growth]]/PortfolioFrontier[[#This Row],[P124 HWM]]-1</f>
        <v>-7.9322412666447129E-3</v>
      </c>
      <c r="SE110" s="28">
        <f>SUMPRODUCT(INDEX(PortfolioRef[[SPY]:[PE]],MATCH(SE$1,PortfolioRef[Reference '#]),0),AssetMonthlyReturns[[#This Row],[SPY]:[PE]])</f>
        <v>-7.7618776364134215E-3</v>
      </c>
      <c r="SF110" s="27">
        <f>IF(ISNUMBER(SF109),SF109*(1+PortfolioFrontier[[#This Row],[P125 Return]]),1+PortfolioFrontier[[#This Row],[P125 Return]])</f>
        <v>1.9384894245220687</v>
      </c>
      <c r="SG110" s="27">
        <f>MAX(SG109,PortfolioFrontier[[#This Row],[P125 Growth]])</f>
        <v>1.9536534434944304</v>
      </c>
      <c r="SH110" s="27">
        <f>PortfolioFrontier[[#This Row],[P125 Growth]]/PortfolioFrontier[[#This Row],[P125 HWM]]-1</f>
        <v>-7.7618776364134501E-3</v>
      </c>
      <c r="SI110" s="28">
        <f>SUMPRODUCT(INDEX(PortfolioRef[[SPY]:[PE]],MATCH(SI$1,PortfolioRef[Reference '#]),0),AssetMonthlyReturns[[#This Row],[SPY]:[PE]])</f>
        <v>-7.5915140061821535E-3</v>
      </c>
      <c r="SJ110" s="27">
        <f>IF(ISNUMBER(SJ109),SJ109*(1+PortfolioFrontier[[#This Row],[P126 Return]]),1+PortfolioFrontier[[#This Row],[P126 Return]])</f>
        <v>1.9238564203106303</v>
      </c>
      <c r="SK110" s="27">
        <f>MAX(SK109,PortfolioFrontier[[#This Row],[P126 Growth]])</f>
        <v>1.9385731253436853</v>
      </c>
      <c r="SL110" s="27">
        <f>PortfolioFrontier[[#This Row],[P126 Growth]]/PortfolioFrontier[[#This Row],[P126 HWM]]-1</f>
        <v>-7.5915140061821873E-3</v>
      </c>
      <c r="SM110" s="28">
        <f>SUMPRODUCT(INDEX(PortfolioRef[[SPY]:[PE]],MATCH(SM$1,PortfolioRef[Reference '#]),0),AssetMonthlyReturns[[#This Row],[SPY]:[PE]])</f>
        <v>-1.4444669025900154E-2</v>
      </c>
      <c r="SN110" s="27">
        <f>IF(ISNUMBER(SN109),SN109*(1+PortfolioFrontier[[#This Row],[P127 Return]]),1+PortfolioFrontier[[#This Row],[P127 Return]])</f>
        <v>1.9104409733172485</v>
      </c>
      <c r="SO110" s="27">
        <f>MAX(SO109,PortfolioFrontier[[#This Row],[P127 Growth]])</f>
        <v>1.9384411136298287</v>
      </c>
      <c r="SP110" s="27">
        <f>PortfolioFrontier[[#This Row],[P127 Growth]]/PortfolioFrontier[[#This Row],[P127 HWM]]-1</f>
        <v>-1.4444669025900136E-2</v>
      </c>
      <c r="SQ110" s="28">
        <f>SUMPRODUCT(INDEX(PortfolioRef[[SPY]:[PE]],MATCH(SQ$1,PortfolioRef[Reference '#]),0),AssetMonthlyReturns[[#This Row],[SPY]:[PE]])</f>
        <v>-1.4274305395668884E-2</v>
      </c>
      <c r="SR110" s="27">
        <f>IF(ISNUMBER(SR109),SR109*(1+PortfolioFrontier[[#This Row],[P128 Return]]),1+PortfolioFrontier[[#This Row],[P128 Return]])</f>
        <v>1.8988682139491939</v>
      </c>
      <c r="SS110" s="27">
        <f>MAX(SS109,PortfolioFrontier[[#This Row],[P128 Growth]])</f>
        <v>1.9263657469245508</v>
      </c>
      <c r="ST110" s="27">
        <f>PortfolioFrontier[[#This Row],[P128 Growth]]/PortfolioFrontier[[#This Row],[P128 HWM]]-1</f>
        <v>-1.4274305395668874E-2</v>
      </c>
      <c r="SU110" s="28">
        <f>SUMPRODUCT(INDEX(PortfolioRef[[SPY]:[PE]],MATCH(SU$1,PortfolioRef[Reference '#]),0),AssetMonthlyReturns[[#This Row],[SPY]:[PE]])</f>
        <v>-1.4103941765437618E-2</v>
      </c>
      <c r="SV110" s="27">
        <f>IF(ISNUMBER(SV109),SV109*(1+PortfolioFrontier[[#This Row],[P129 Return]]),1+PortfolioFrontier[[#This Row],[P129 Return]])</f>
        <v>1.8857483208141772</v>
      </c>
      <c r="SW110" s="27">
        <f>MAX(SW109,PortfolioFrontier[[#This Row],[P129 Growth]])</f>
        <v>1.9127252868735214</v>
      </c>
      <c r="SX110" s="27">
        <f>PortfolioFrontier[[#This Row],[P129 Growth]]/PortfolioFrontier[[#This Row],[P129 HWM]]-1</f>
        <v>-1.4103941765437611E-2</v>
      </c>
      <c r="SY110" s="28">
        <f>SUMPRODUCT(INDEX(PortfolioRef[[SPY]:[PE]],MATCH(SY$1,PortfolioRef[Reference '#]),0),AssetMonthlyReturns[[#This Row],[SPY]:[PE]])</f>
        <v>-2.0957096785155616E-2</v>
      </c>
      <c r="SZ110" s="27">
        <f>IF(ISNUMBER(SZ109),SZ109*(1+PortfolioFrontier[[#This Row],[P130 Return]]),1+PortfolioFrontier[[#This Row],[P130 Return]])</f>
        <v>1.8684297600487183</v>
      </c>
      <c r="TA110" s="27">
        <f>MAX(TA109,PortfolioFrontier[[#This Row],[P130 Growth]])</f>
        <v>1.9128055041216194</v>
      </c>
      <c r="TB110" s="27">
        <f>PortfolioFrontier[[#This Row],[P130 Growth]]/PortfolioFrontier[[#This Row],[P130 HWM]]-1</f>
        <v>-2.3199297564379884E-2</v>
      </c>
      <c r="TC110" s="28">
        <f>SUMPRODUCT(INDEX(PortfolioRef[[SPY]:[PE]],MATCH(TC$1,PortfolioRef[Reference '#]),0),AssetMonthlyReturns[[#This Row],[SPY]:[PE]])</f>
        <v>-2.0786733154924346E-2</v>
      </c>
      <c r="TD110" s="27">
        <f>IF(ISNUMBER(TD109),TD109*(1+PortfolioFrontier[[#This Row],[P131 Return]]),1+PortfolioFrontier[[#This Row],[P131 Return]])</f>
        <v>1.8583187191733055</v>
      </c>
      <c r="TE110" s="27">
        <f>MAX(TE109,PortfolioFrontier[[#This Row],[P131 Growth]])</f>
        <v>1.8977670974175187</v>
      </c>
      <c r="TF110" s="27">
        <f>PortfolioFrontier[[#This Row],[P131 Growth]]/PortfolioFrontier[[#This Row],[P131 HWM]]-1</f>
        <v>-2.0786733154924297E-2</v>
      </c>
      <c r="TG110" s="28">
        <f>SUMPRODUCT(INDEX(PortfolioRef[[SPY]:[PE]],MATCH(TG$1,PortfolioRef[Reference '#]),0),AssetMonthlyReturns[[#This Row],[SPY]:[PE]])</f>
        <v>-2.061636952469308E-2</v>
      </c>
      <c r="TH110" s="27">
        <f>IF(ISNUMBER(TH109),TH109*(1+PortfolioFrontier[[#This Row],[P132 Return]]),1+PortfolioFrontier[[#This Row],[P132 Return]])</f>
        <v>1.8466731725118564</v>
      </c>
      <c r="TI110" s="27">
        <f>MAX(TI109,PortfolioFrontier[[#This Row],[P132 Growth]])</f>
        <v>1.8855462916157206</v>
      </c>
      <c r="TJ110" s="27">
        <f>PortfolioFrontier[[#This Row],[P132 Growth]]/PortfolioFrontier[[#This Row],[P132 HWM]]-1</f>
        <v>-2.0616369524693035E-2</v>
      </c>
      <c r="TK110" s="28">
        <f>SUMPRODUCT(INDEX(PortfolioRef[[SPY]:[PE]],MATCH(TK$1,PortfolioRef[Reference '#]),0),AssetMonthlyReturns[[#This Row],[SPY]:[PE]])</f>
        <v>-9.7204267588714248E-3</v>
      </c>
      <c r="TL110" s="27">
        <f>IF(ISNUMBER(TL109),TL109*(1+PortfolioFrontier[[#This Row],[P133 Return]]),1+PortfolioFrontier[[#This Row],[P133 Return]])</f>
        <v>1.9855468147523248</v>
      </c>
      <c r="TM110" s="27">
        <f>MAX(TM109,PortfolioFrontier[[#This Row],[P133 Growth]])</f>
        <v>2.0050366264283763</v>
      </c>
      <c r="TN110" s="27">
        <f>PortfolioFrontier[[#This Row],[P133 Growth]]/PortfolioFrontier[[#This Row],[P133 HWM]]-1</f>
        <v>-9.7204267588714144E-3</v>
      </c>
      <c r="TO110" s="28">
        <f>SUMPRODUCT(INDEX(PortfolioRef[[SPY]:[PE]],MATCH(TO$1,PortfolioRef[Reference '#]),0),AssetMonthlyReturns[[#This Row],[SPY]:[PE]])</f>
        <v>-9.5500631286401551E-3</v>
      </c>
      <c r="TP110" s="27">
        <f>IF(ISNUMBER(TP109),TP109*(1+PortfolioFrontier[[#This Row],[P134 Return]]),1+PortfolioFrontier[[#This Row],[P134 Return]])</f>
        <v>1.9735285461282965</v>
      </c>
      <c r="TQ110" s="27">
        <f>MAX(TQ109,PortfolioFrontier[[#This Row],[P134 Growth]])</f>
        <v>1.9925575969667808</v>
      </c>
      <c r="TR110" s="27">
        <f>PortfolioFrontier[[#This Row],[P134 Growth]]/PortfolioFrontier[[#This Row],[P134 HWM]]-1</f>
        <v>-9.5500631286401516E-3</v>
      </c>
      <c r="TS110" s="28">
        <f>SUMPRODUCT(INDEX(PortfolioRef[[SPY]:[PE]],MATCH(TS$1,PortfolioRef[Reference '#]),0),AssetMonthlyReturns[[#This Row],[SPY]:[PE]])</f>
        <v>-9.3796994984088888E-3</v>
      </c>
      <c r="TT110" s="27">
        <f>IF(ISNUMBER(TT109),TT109*(1+PortfolioFrontier[[#This Row],[P135 Return]]),1+PortfolioFrontier[[#This Row],[P135 Return]])</f>
        <v>1.9599032303035893</v>
      </c>
      <c r="TU110" s="27">
        <f>MAX(TU109,PortfolioFrontier[[#This Row],[P135 Growth]])</f>
        <v>1.9784605961650605</v>
      </c>
      <c r="TV110" s="27">
        <f>PortfolioFrontier[[#This Row],[P135 Growth]]/PortfolioFrontier[[#This Row],[P135 HWM]]-1</f>
        <v>-9.3796994984088888E-3</v>
      </c>
      <c r="TW110" s="28">
        <f>SUMPRODUCT(INDEX(PortfolioRef[[SPY]:[PE]],MATCH(TW$1,PortfolioRef[Reference '#]),0),AssetMonthlyReturns[[#This Row],[SPY]:[PE]])</f>
        <v>-1.6232854518126887E-2</v>
      </c>
      <c r="TX110" s="27">
        <f>IF(ISNUMBER(TX109),TX109*(1+PortfolioFrontier[[#This Row],[P136 Return]]),1+PortfolioFrontier[[#This Row],[P136 Return]])</f>
        <v>1.942551987484227</v>
      </c>
      <c r="TY110" s="27">
        <f>MAX(TY109,PortfolioFrontier[[#This Row],[P136 Growth]])</f>
        <v>1.9746054708227907</v>
      </c>
      <c r="TZ110" s="27">
        <f>PortfolioFrontier[[#This Row],[P136 Growth]]/PortfolioFrontier[[#This Row],[P136 HWM]]-1</f>
        <v>-1.6232854518126838E-2</v>
      </c>
      <c r="UA110" s="28">
        <f>SUMPRODUCT(INDEX(PortfolioRef[[SPY]:[PE]],MATCH(UA$1,PortfolioRef[Reference '#]),0),AssetMonthlyReturns[[#This Row],[SPY]:[PE]])</f>
        <v>-1.606249088789562E-2</v>
      </c>
      <c r="UB110" s="27">
        <f>IF(ISNUMBER(UB109),UB109*(1+PortfolioFrontier[[#This Row],[P137 Return]]),1+PortfolioFrontier[[#This Row],[P137 Return]])</f>
        <v>1.9320484319438567</v>
      </c>
      <c r="UC110" s="27">
        <f>MAX(UC109,PortfolioFrontier[[#This Row],[P137 Growth]])</f>
        <v>1.9635885552196484</v>
      </c>
      <c r="UD110" s="27">
        <f>PortfolioFrontier[[#This Row],[P137 Growth]]/PortfolioFrontier[[#This Row],[P137 HWM]]-1</f>
        <v>-1.6062490887895575E-2</v>
      </c>
      <c r="UE110" s="28">
        <f>SUMPRODUCT(INDEX(PortfolioRef[[SPY]:[PE]],MATCH(UE$1,PortfolioRef[Reference '#]),0),AssetMonthlyReturns[[#This Row],[SPY]:[PE]])</f>
        <v>-1.5892127257664351E-2</v>
      </c>
      <c r="UF110" s="27">
        <f>IF(ISNUMBER(UF109),UF109*(1+PortfolioFrontier[[#This Row],[P138 Return]]),1+PortfolioFrontier[[#This Row],[P138 Return]])</f>
        <v>1.9199504266865257</v>
      </c>
      <c r="UG110" s="27">
        <f>MAX(UG109,PortfolioFrontier[[#This Row],[P138 Growth]])</f>
        <v>1.9509552558870924</v>
      </c>
      <c r="UH110" s="27">
        <f>PortfolioFrontier[[#This Row],[P138 Growth]]/PortfolioFrontier[[#This Row],[P138 HWM]]-1</f>
        <v>-1.5892127257664312E-2</v>
      </c>
      <c r="UI110" s="28">
        <f>SUMPRODUCT(INDEX(PortfolioRef[[SPY]:[PE]],MATCH(UI$1,PortfolioRef[Reference '#]),0),AssetMonthlyReturns[[#This Row],[SPY]:[PE]])</f>
        <v>-2.2745282277382348E-2</v>
      </c>
      <c r="UJ110" s="27">
        <f>IF(ISNUMBER(UJ109),UJ109*(1+PortfolioFrontier[[#This Row],[P139 Return]]),1+PortfolioFrontier[[#This Row],[P139 Return]])</f>
        <v>1.8987011980015633</v>
      </c>
      <c r="UK110" s="27">
        <f>MAX(UK109,PortfolioFrontier[[#This Row],[P139 Growth]])</f>
        <v>1.951621031098326</v>
      </c>
      <c r="UL110" s="27">
        <f>PortfolioFrontier[[#This Row],[P139 Growth]]/PortfolioFrontier[[#This Row],[P139 HWM]]-1</f>
        <v>-2.7115834608003042E-2</v>
      </c>
      <c r="UM110" s="28">
        <f>SUMPRODUCT(INDEX(PortfolioRef[[SPY]:[PE]],MATCH(UM$1,PortfolioRef[Reference '#]),0),AssetMonthlyReturns[[#This Row],[SPY]:[PE]])</f>
        <v>-2.2574918647151079E-2</v>
      </c>
      <c r="UN110" s="27">
        <f>IF(ISNUMBER(UN109),UN109*(1+PortfolioFrontier[[#This Row],[P140 Return]]),1+PortfolioFrontier[[#This Row],[P140 Return]])</f>
        <v>1.8896676776233881</v>
      </c>
      <c r="UO110" s="27">
        <f>MAX(UO109,PortfolioFrontier[[#This Row],[P140 Growth]])</f>
        <v>1.9361783569313893</v>
      </c>
      <c r="UP110" s="27">
        <f>PortfolioFrontier[[#This Row],[P140 Growth]]/PortfolioFrontier[[#This Row],[P140 HWM]]-1</f>
        <v>-2.4021898159069965E-2</v>
      </c>
      <c r="UQ110" s="28">
        <f>SUMPRODUCT(INDEX(PortfolioRef[[SPY]:[PE]],MATCH(UQ$1,PortfolioRef[Reference '#]),0),AssetMonthlyReturns[[#This Row],[SPY]:[PE]])</f>
        <v>-2.2404555016919812E-2</v>
      </c>
      <c r="UR110" s="27">
        <f>IF(ISNUMBER(UR109),UR109*(1+PortfolioFrontier[[#This Row],[P141 Return]]),1+PortfolioFrontier[[#This Row],[P141 Return]])</f>
        <v>1.8790552002167207</v>
      </c>
      <c r="US110" s="27">
        <f>MAX(US109,PortfolioFrontier[[#This Row],[P141 Growth]])</f>
        <v>1.9221194307520968</v>
      </c>
      <c r="UT110" s="27">
        <f>PortfolioFrontier[[#This Row],[P141 Growth]]/PortfolioFrontier[[#This Row],[P141 HWM]]-1</f>
        <v>-2.2404555016919847E-2</v>
      </c>
    </row>
    <row r="111" spans="2:566" x14ac:dyDescent="0.2">
      <c r="B111" s="41">
        <f>AssetMonthlyReturns[[#This Row],[Date]]</f>
        <v>45748</v>
      </c>
      <c r="C111" s="28">
        <f>SUMPRODUCT(INDEX(PortfolioRef[[SPY]:[PE]],MATCH(C$1,PortfolioRef[Reference '#]),0),AssetMonthlyReturns[[#This Row],[SPY]:[PE]])</f>
        <v>2.018560926684915E-3</v>
      </c>
      <c r="D111" s="29">
        <f>IF(ISNUMBER(D110),D110*(1+PortfolioFrontier[[#This Row],[P1 Return]]),1+PortfolioFrontier[[#This Row],[P1 Return]])</f>
        <v>2.3317621824651846</v>
      </c>
      <c r="E111" s="29">
        <f>MAX(E110,PortfolioFrontier[[#This Row],[P1 Growth]])</f>
        <v>2.3979891109113609</v>
      </c>
      <c r="F111" s="29">
        <f>PortfolioFrontier[[#This Row],[P1 Growth]]/PortfolioFrontier[[#This Row],[P1 HWM]]-1</f>
        <v>-2.7617693568677826E-2</v>
      </c>
      <c r="G111" s="28">
        <f>SUMPRODUCT(INDEX(PortfolioRef[[SPY]:[PE]],MATCH(G$1,PortfolioRef[Reference '#]),0),AssetMonthlyReturns[[#This Row],[SPY]:[PE]])</f>
        <v>2.5071684029582602E-3</v>
      </c>
      <c r="H111" s="27">
        <f>IF(ISNUMBER(H110),H110*(1+PortfolioFrontier[[#This Row],[P2 Return]]),1+PortfolioFrontier[[#This Row],[P2 Return]])</f>
        <v>2.2185847102789205</v>
      </c>
      <c r="I111" s="27">
        <f>MAX(I110,PortfolioFrontier[[#This Row],[P2 Growth]])</f>
        <v>2.273628037996938</v>
      </c>
      <c r="J111" s="27">
        <f>PortfolioFrontier[[#This Row],[P2 Growth]]/PortfolioFrontier[[#This Row],[P2 HWM]]-1</f>
        <v>-2.4209469094386482E-2</v>
      </c>
      <c r="K111" s="28">
        <f>SUMPRODUCT(INDEX(PortfolioRef[[SPY]:[PE]],MATCH(K$1,PortfolioRef[Reference '#]),0),AssetMonthlyReturns[[#This Row],[SPY]:[PE]])</f>
        <v>5.0150606720300254E-3</v>
      </c>
      <c r="L111" s="27">
        <f>IF(ISNUMBER(L110),L110*(1+PortfolioFrontier[[#This Row],[P3 Return]]),1+PortfolioFrontier[[#This Row],[P3 Return]])</f>
        <v>2.3124990929139226</v>
      </c>
      <c r="M111" s="27">
        <f>MAX(M110,PortfolioFrontier[[#This Row],[P3 Growth]])</f>
        <v>2.3525404537850325</v>
      </c>
      <c r="N111" s="27">
        <f>PortfolioFrontier[[#This Row],[P3 Growth]]/PortfolioFrontier[[#This Row],[P3 HWM]]-1</f>
        <v>-1.702047707901766E-2</v>
      </c>
      <c r="O111" s="28">
        <f>SUMPRODUCT(INDEX(PortfolioRef[[SPY]:[PE]],MATCH(O$1,PortfolioRef[Reference '#]),0),AssetMonthlyReturns[[#This Row],[SPY]:[PE]])</f>
        <v>1.5834742079335615E-3</v>
      </c>
      <c r="P111" s="27">
        <f>IF(ISNUMBER(P110),P110*(1+PortfolioFrontier[[#This Row],[P4 Return]]),1+PortfolioFrontier[[#This Row],[P4 Return]])</f>
        <v>2.254662701684623</v>
      </c>
      <c r="Q111" s="27">
        <f>MAX(Q110,PortfolioFrontier[[#This Row],[P4 Growth]])</f>
        <v>2.3169886872609156</v>
      </c>
      <c r="R111" s="27">
        <f>PortfolioFrontier[[#This Row],[P4 Growth]]/PortfolioFrontier[[#This Row],[P4 HWM]]-1</f>
        <v>-2.6899564041450996E-2</v>
      </c>
      <c r="S111" s="28">
        <f>SUMPRODUCT(INDEX(PortfolioRef[[SPY]:[PE]],MATCH(S$1,PortfolioRef[Reference '#]),0),AssetMonthlyReturns[[#This Row],[SPY]:[PE]])</f>
        <v>2.5763281513880411E-3</v>
      </c>
      <c r="T111" s="27">
        <f>IF(ISNUMBER(T110),T110*(1+PortfolioFrontier[[#This Row],[P5 Return]]),1+PortfolioFrontier[[#This Row],[P5 Return]])</f>
        <v>2.243105387366461</v>
      </c>
      <c r="U111" s="27">
        <f>MAX(U110,PortfolioFrontier[[#This Row],[P5 Growth]])</f>
        <v>2.3024254031881983</v>
      </c>
      <c r="V111" s="27">
        <f>PortfolioFrontier[[#This Row],[P5 Growth]]/PortfolioFrontier[[#This Row],[P5 HWM]]-1</f>
        <v>-2.5764142342938112E-2</v>
      </c>
      <c r="W111" s="28">
        <f>SUMPRODUCT(INDEX(PortfolioRef[[SPY]:[PE]],MATCH(W$1,PortfolioRef[Reference '#]),0),AssetMonthlyReturns[[#This Row],[SPY]:[PE]])</f>
        <v>2.9957758792316051E-3</v>
      </c>
      <c r="X111" s="27">
        <f>IF(ISNUMBER(X110),X110*(1+PortfolioFrontier[[#This Row],[P6 Return]]),1+PortfolioFrontier[[#This Row],[P6 Return]])</f>
        <v>2.1098614765831747</v>
      </c>
      <c r="Y111" s="27">
        <f>MAX(Y110,PortfolioFrontier[[#This Row],[P6 Growth]])</f>
        <v>2.154675240877769</v>
      </c>
      <c r="Z111" s="27">
        <f>PortfolioFrontier[[#This Row],[P6 Growth]]/PortfolioFrontier[[#This Row],[P6 HWM]]-1</f>
        <v>-2.0798384575272721E-2</v>
      </c>
      <c r="AA111" s="28">
        <f>SUMPRODUCT(INDEX(PortfolioRef[[SPY]:[PE]],MATCH(AA$1,PortfolioRef[Reference '#]),0),AssetMonthlyReturns[[#This Row],[SPY]:[PE]])</f>
        <v>5.5036681483033702E-3</v>
      </c>
      <c r="AB111" s="27">
        <f>IF(ISNUMBER(AB110),AB110*(1+PortfolioFrontier[[#This Row],[P7 Return]]),1+PortfolioFrontier[[#This Row],[P7 Return]])</f>
        <v>2.1991546721051991</v>
      </c>
      <c r="AC111" s="27">
        <f>MAX(AC110,PortfolioFrontier[[#This Row],[P7 Growth]])</f>
        <v>2.2294749615839731</v>
      </c>
      <c r="AD111" s="27">
        <f>PortfolioFrontier[[#This Row],[P7 Growth]]/PortfolioFrontier[[#This Row],[P7 HWM]]-1</f>
        <v>-1.3599744334976682E-2</v>
      </c>
      <c r="AE111" s="28">
        <f>SUMPRODUCT(INDEX(PortfolioRef[[SPY]:[PE]],MATCH(AE$1,PortfolioRef[Reference '#]),0),AssetMonthlyReturns[[#This Row],[SPY]:[PE]])</f>
        <v>2.0720816842069063E-3</v>
      </c>
      <c r="AF111" s="27">
        <f>IF(ISNUMBER(AF110),AF110*(1+PortfolioFrontier[[#This Row],[P8 Return]]),1+PortfolioFrontier[[#This Row],[P8 Return]])</f>
        <v>2.1450333919758697</v>
      </c>
      <c r="AG111" s="27">
        <f>MAX(AG110,PortfolioFrontier[[#This Row],[P8 Growth]])</f>
        <v>2.1966369107155681</v>
      </c>
      <c r="AH111" s="27">
        <f>PortfolioFrontier[[#This Row],[P8 Growth]]/PortfolioFrontier[[#This Row],[P8 HWM]]-1</f>
        <v>-2.3492056647126169E-2</v>
      </c>
      <c r="AI111" s="28">
        <f>SUMPRODUCT(INDEX(PortfolioRef[[SPY]:[PE]],MATCH(AI$1,PortfolioRef[Reference '#]),0),AssetMonthlyReturns[[#This Row],[SPY]:[PE]])</f>
        <v>3.0649356276613859E-3</v>
      </c>
      <c r="AJ111" s="27">
        <f>IF(ISNUMBER(AJ110),AJ110*(1+PortfolioFrontier[[#This Row],[P9 Return]]),1+PortfolioFrontier[[#This Row],[P9 Return]])</f>
        <v>2.133222859190536</v>
      </c>
      <c r="AK111" s="27">
        <f>MAX(AK110,PortfolioFrontier[[#This Row],[P9 Growth]])</f>
        <v>2.1819984805613073</v>
      </c>
      <c r="AL111" s="27">
        <f>PortfolioFrontier[[#This Row],[P9 Growth]]/PortfolioFrontier[[#This Row],[P9 HWM]]-1</f>
        <v>-2.2353645891735052E-2</v>
      </c>
      <c r="AM111" s="28">
        <f>SUMPRODUCT(INDEX(PortfolioRef[[SPY]:[PE]],MATCH(AM$1,PortfolioRef[Reference '#]),0),AssetMonthlyReturns[[#This Row],[SPY]:[PE]])</f>
        <v>8.0115604173751354E-3</v>
      </c>
      <c r="AN111" s="27">
        <f>IF(ISNUMBER(AN110),AN110*(1+PortfolioFrontier[[#This Row],[P10 Return]]),1+PortfolioFrontier[[#This Row],[P10 Return]])</f>
        <v>2.2914172477978942</v>
      </c>
      <c r="AO111" s="27">
        <f>MAX(AO110,PortfolioFrontier[[#This Row],[P10 Growth]])</f>
        <v>2.3061243443632859</v>
      </c>
      <c r="AP111" s="27">
        <f>PortfolioFrontier[[#This Row],[P10 Growth]]/PortfolioFrontier[[#This Row],[P10 HWM]]-1</f>
        <v>-6.3774083133631976E-3</v>
      </c>
      <c r="AQ111" s="28">
        <f>SUMPRODUCT(INDEX(PortfolioRef[[SPY]:[PE]],MATCH(AQ$1,PortfolioRef[Reference '#]),0),AssetMonthlyReturns[[#This Row],[SPY]:[PE]])</f>
        <v>4.5799739532786715E-3</v>
      </c>
      <c r="AR111" s="27">
        <f>IF(ISNUMBER(AR110),AR110*(1+PortfolioFrontier[[#This Row],[P11 Return]]),1+PortfolioFrontier[[#This Row],[P11 Return]])</f>
        <v>2.2358099781306771</v>
      </c>
      <c r="AS111" s="27">
        <f>MAX(AS110,PortfolioFrontier[[#This Row],[P11 Growth]])</f>
        <v>2.2728627890318962</v>
      </c>
      <c r="AT111" s="27">
        <f>PortfolioFrontier[[#This Row],[P11 Growth]]/PortfolioFrontier[[#This Row],[P11 HWM]]-1</f>
        <v>-1.6302264738559669E-2</v>
      </c>
      <c r="AU111" s="28">
        <f>SUMPRODUCT(INDEX(PortfolioRef[[SPY]:[PE]],MATCH(AU$1,PortfolioRef[Reference '#]),0),AssetMonthlyReturns[[#This Row],[SPY]:[PE]])</f>
        <v>5.5728278967331511E-3</v>
      </c>
      <c r="AV111" s="27">
        <f>IF(ISNUMBER(AV110),AV110*(1+PortfolioFrontier[[#This Row],[P12 Return]]),1+PortfolioFrontier[[#This Row],[P12 Return]])</f>
        <v>2.2235056826620108</v>
      </c>
      <c r="AW111" s="27">
        <f>MAX(AW110,PortfolioFrontier[[#This Row],[P12 Growth]])</f>
        <v>2.257730016498992</v>
      </c>
      <c r="AX111" s="27">
        <f>PortfolioFrontier[[#This Row],[P12 Growth]]/PortfolioFrontier[[#This Row],[P12 HWM]]-1</f>
        <v>-1.5158736246972504E-2</v>
      </c>
      <c r="AY111" s="28">
        <f>SUMPRODUCT(INDEX(PortfolioRef[[SPY]:[PE]],MATCH(AY$1,PortfolioRef[Reference '#]),0),AssetMonthlyReturns[[#This Row],[SPY]:[PE]])</f>
        <v>1.1483874891822067E-3</v>
      </c>
      <c r="AZ111" s="27">
        <f>IF(ISNUMBER(AZ110),AZ110*(1+PortfolioFrontier[[#This Row],[P13 Return]]),1+PortfolioFrontier[[#This Row],[P13 Return]])</f>
        <v>2.1794883233264755</v>
      </c>
      <c r="BA111" s="27">
        <f>MAX(BA110,PortfolioFrontier[[#This Row],[P13 Growth]])</f>
        <v>2.2380868653728445</v>
      </c>
      <c r="BB111" s="27">
        <f>PortfolioFrontier[[#This Row],[P13 Growth]]/PortfolioFrontier[[#This Row],[P13 HWM]]-1</f>
        <v>-2.6182425245861563E-2</v>
      </c>
      <c r="BC111" s="28">
        <f>SUMPRODUCT(INDEX(PortfolioRef[[SPY]:[PE]],MATCH(BC$1,PortfolioRef[Reference '#]),0),AssetMonthlyReturns[[#This Row],[SPY]:[PE]])</f>
        <v>2.1412414326366872E-3</v>
      </c>
      <c r="BD111" s="27">
        <f>IF(ISNUMBER(BD110),BD110*(1+PortfolioFrontier[[#This Row],[P14 Return]]),1+PortfolioFrontier[[#This Row],[P14 Return]])</f>
        <v>2.1689055021918913</v>
      </c>
      <c r="BE111" s="27">
        <f>MAX(BE110,PortfolioFrontier[[#This Row],[P14 Growth]])</f>
        <v>2.2246233000411695</v>
      </c>
      <c r="BF111" s="27">
        <f>PortfolioFrontier[[#This Row],[P14 Growth]]/PortfolioFrontier[[#This Row],[P14 HWM]]-1</f>
        <v>-2.5045947261384427E-2</v>
      </c>
      <c r="BG111" s="28">
        <f>SUMPRODUCT(INDEX(PortfolioRef[[SPY]:[PE]],MATCH(BG$1,PortfolioRef[Reference '#]),0),AssetMonthlyReturns[[#This Row],[SPY]:[PE]])</f>
        <v>3.1340953760911677E-3</v>
      </c>
      <c r="BH111" s="27">
        <f>IF(ISNUMBER(BH110),BH110*(1+PortfolioFrontier[[#This Row],[P15 Return]]),1+PortfolioFrontier[[#This Row],[P15 Return]])</f>
        <v>2.1565206966492605</v>
      </c>
      <c r="BI111" s="27">
        <f>MAX(BI110,PortfolioFrontier[[#This Row],[P15 Growth]])</f>
        <v>2.2093441964315952</v>
      </c>
      <c r="BJ111" s="27">
        <f>PortfolioFrontier[[#This Row],[P15 Growth]]/PortfolioFrontier[[#This Row],[P15 HWM]]-1</f>
        <v>-2.3909130984503091E-2</v>
      </c>
      <c r="BK111" s="28">
        <f>SUMPRODUCT(INDEX(PortfolioRef[[SPY]:[PE]],MATCH(BK$1,PortfolioRef[Reference '#]),0),AssetMonthlyReturns[[#This Row],[SPY]:[PE]])</f>
        <v>3.4843833555049507E-3</v>
      </c>
      <c r="BL111" s="27">
        <f>IF(ISNUMBER(BL110),BL110*(1+PortfolioFrontier[[#This Row],[P16 Return]]),1+PortfolioFrontier[[#This Row],[P16 Return]])</f>
        <v>2.0054787174079838</v>
      </c>
      <c r="BM111" s="27">
        <f>MAX(BM110,PortfolioFrontier[[#This Row],[P16 Growth]])</f>
        <v>2.040959658150661</v>
      </c>
      <c r="BN111" s="27">
        <f>PortfolioFrontier[[#This Row],[P16 Growth]]/PortfolioFrontier[[#This Row],[P16 HWM]]-1</f>
        <v>-1.73844400113361E-2</v>
      </c>
      <c r="BO111" s="28">
        <f>SUMPRODUCT(INDEX(PortfolioRef[[SPY]:[PE]],MATCH(BO$1,PortfolioRef[Reference '#]),0),AssetMonthlyReturns[[#This Row],[SPY]:[PE]])</f>
        <v>5.992275624576715E-3</v>
      </c>
      <c r="BP111" s="27">
        <f>IF(ISNUMBER(BP110),BP110*(1+PortfolioFrontier[[#This Row],[P17 Return]]),1+PortfolioFrontier[[#This Row],[P17 Return]])</f>
        <v>2.0903371377408035</v>
      </c>
      <c r="BQ111" s="27">
        <f>MAX(BQ110,PortfolioFrontier[[#This Row],[P17 Growth]])</f>
        <v>2.1118274135402242</v>
      </c>
      <c r="BR111" s="27">
        <f>PortfolioFrontier[[#This Row],[P17 Growth]]/PortfolioFrontier[[#This Row],[P17 HWM]]-1</f>
        <v>-1.0176151546112733E-2</v>
      </c>
      <c r="BS111" s="28">
        <f>SUMPRODUCT(INDEX(PortfolioRef[[SPY]:[PE]],MATCH(BS$1,PortfolioRef[Reference '#]),0),AssetMonthlyReturns[[#This Row],[SPY]:[PE]])</f>
        <v>2.560689160480252E-3</v>
      </c>
      <c r="BT111" s="27">
        <f>IF(ISNUMBER(BT110),BT110*(1+PortfolioFrontier[[#This Row],[P18 Return]]),1+PortfolioFrontier[[#This Row],[P18 Return]])</f>
        <v>2.0397288278212269</v>
      </c>
      <c r="BU111" s="27">
        <f>MAX(BU110,PortfolioFrontier[[#This Row],[P18 Growth]])</f>
        <v>2.081529455422269</v>
      </c>
      <c r="BV111" s="27">
        <f>PortfolioFrontier[[#This Row],[P18 Growth]]/PortfolioFrontier[[#This Row],[P18 HWM]]-1</f>
        <v>-2.0081689207978148E-2</v>
      </c>
      <c r="BW111" s="28">
        <f>SUMPRODUCT(INDEX(PortfolioRef[[SPY]:[PE]],MATCH(BW$1,PortfolioRef[Reference '#]),0),AssetMonthlyReturns[[#This Row],[SPY]:[PE]])</f>
        <v>3.5535431039347316E-3</v>
      </c>
      <c r="BX111" s="27">
        <f>IF(ISNUMBER(BX110),BX110*(1+PortfolioFrontier[[#This Row],[P19 Return]]),1+PortfolioFrontier[[#This Row],[P19 Return]])</f>
        <v>2.0277245960703971</v>
      </c>
      <c r="BY111" s="27">
        <f>MAX(BY110,PortfolioFrontier[[#This Row],[P19 Growth]])</f>
        <v>2.066871745065757</v>
      </c>
      <c r="BZ111" s="27">
        <f>PortfolioFrontier[[#This Row],[P19 Growth]]/PortfolioFrontier[[#This Row],[P19 HWM]]-1</f>
        <v>-1.8940289395709131E-2</v>
      </c>
      <c r="CA111" s="28">
        <f>SUMPRODUCT(INDEX(PortfolioRef[[SPY]:[PE]],MATCH(CA$1,PortfolioRef[Reference '#]),0),AssetMonthlyReturns[[#This Row],[SPY]:[PE]])</f>
        <v>8.500167893648481E-3</v>
      </c>
      <c r="CB111" s="27">
        <f>IF(ISNUMBER(CB110),CB110*(1+PortfolioFrontier[[#This Row],[P20 Return]]),1+PortfolioFrontier[[#This Row],[P20 Return]])</f>
        <v>2.1780156559255555</v>
      </c>
      <c r="CC111" s="27">
        <f>MAX(CC110,PortfolioFrontier[[#This Row],[P20 Growth]])</f>
        <v>2.184447033449084</v>
      </c>
      <c r="CD111" s="27">
        <f>PortfolioFrontier[[#This Row],[P20 Growth]]/PortfolioFrontier[[#This Row],[P20 HWM]]-1</f>
        <v>-2.9441672995722534E-3</v>
      </c>
      <c r="CE111" s="28">
        <f>SUMPRODUCT(INDEX(PortfolioRef[[SPY]:[PE]],MATCH(CE$1,PortfolioRef[Reference '#]),0),AssetMonthlyReturns[[#This Row],[SPY]:[PE]])</f>
        <v>5.0685814295520163E-3</v>
      </c>
      <c r="CF111" s="27">
        <f>IF(ISNUMBER(CF110),CF110*(1+PortfolioFrontier[[#This Row],[P21 Return]]),1+PortfolioFrontier[[#This Row],[P21 Return]])</f>
        <v>2.1260311122793247</v>
      </c>
      <c r="CG111" s="27">
        <f>MAX(CG110,PortfolioFrontier[[#This Row],[P21 Growth]])</f>
        <v>2.1537765988768527</v>
      </c>
      <c r="CH111" s="27">
        <f>PortfolioFrontier[[#This Row],[P21 Growth]]/PortfolioFrontier[[#This Row],[P21 HWM]]-1</f>
        <v>-1.2882249074484653E-2</v>
      </c>
      <c r="CI111" s="28">
        <f>SUMPRODUCT(INDEX(PortfolioRef[[SPY]:[PE]],MATCH(CI$1,PortfolioRef[Reference '#]),0),AssetMonthlyReturns[[#This Row],[SPY]:[PE]])</f>
        <v>6.0614353730064959E-3</v>
      </c>
      <c r="CJ111" s="27">
        <f>IF(ISNUMBER(CJ110),CJ110*(1+PortfolioFrontier[[#This Row],[P22 Return]]),1+PortfolioFrontier[[#This Row],[P22 Return]])</f>
        <v>2.1135251580339629</v>
      </c>
      <c r="CK111" s="27">
        <f>MAX(CK110,PortfolioFrontier[[#This Row],[P22 Growth]])</f>
        <v>2.1386234689002208</v>
      </c>
      <c r="CL111" s="27">
        <f>PortfolioFrontier[[#This Row],[P22 Growth]]/PortfolioFrontier[[#This Row],[P22 HWM]]-1</f>
        <v>-1.1735731526019699E-2</v>
      </c>
      <c r="CM111" s="28">
        <f>SUMPRODUCT(INDEX(PortfolioRef[[SPY]:[PE]],MATCH(CM$1,PortfolioRef[Reference '#]),0),AssetMonthlyReturns[[#This Row],[SPY]:[PE]])</f>
        <v>1.6369949654555524E-3</v>
      </c>
      <c r="CN111" s="27">
        <f>IF(ISNUMBER(CN110),CN110*(1+PortfolioFrontier[[#This Row],[P23 Return]]),1+PortfolioFrontier[[#This Row],[P23 Return]])</f>
        <v>2.0733266320900507</v>
      </c>
      <c r="CO111" s="27">
        <f>MAX(CO110,PortfolioFrontier[[#This Row],[P23 Growth]])</f>
        <v>2.1216485243332257</v>
      </c>
      <c r="CP111" s="27">
        <f>PortfolioFrontier[[#This Row],[P23 Growth]]/PortfolioFrontier[[#This Row],[P23 HWM]]-1</f>
        <v>-2.2775634931502697E-2</v>
      </c>
      <c r="CQ111" s="28">
        <f>SUMPRODUCT(INDEX(PortfolioRef[[SPY]:[PE]],MATCH(CQ$1,PortfolioRef[Reference '#]),0),AssetMonthlyReturns[[#This Row],[SPY]:[PE]])</f>
        <v>2.6298489089100329E-3</v>
      </c>
      <c r="CR111" s="27">
        <f>IF(ISNUMBER(CR110),CR110*(1+PortfolioFrontier[[#This Row],[P24 Return]]),1+PortfolioFrontier[[#This Row],[P24 Return]])</f>
        <v>2.0624699350575217</v>
      </c>
      <c r="CS111" s="27">
        <f>MAX(CS110,PortfolioFrontier[[#This Row],[P24 Growth]])</f>
        <v>2.108080723517531</v>
      </c>
      <c r="CT111" s="27">
        <f>PortfolioFrontier[[#This Row],[P24 Growth]]/PortfolioFrontier[[#This Row],[P24 HWM]]-1</f>
        <v>-2.1636167890147662E-2</v>
      </c>
      <c r="CU111" s="28">
        <f>SUMPRODUCT(INDEX(PortfolioRef[[SPY]:[PE]],MATCH(CU$1,PortfolioRef[Reference '#]),0),AssetMonthlyReturns[[#This Row],[SPY]:[PE]])</f>
        <v>3.6227028523645134E-3</v>
      </c>
      <c r="CV111" s="27">
        <f>IF(ISNUMBER(CV110),CV110*(1+PortfolioFrontier[[#This Row],[P25 Return]]),1+PortfolioFrontier[[#This Row],[P25 Return]])</f>
        <v>2.0499109669389801</v>
      </c>
      <c r="CW111" s="27">
        <f>MAX(CW110,PortfolioFrontier[[#This Row],[P25 Growth]])</f>
        <v>2.092805874911301</v>
      </c>
      <c r="CX111" s="27">
        <f>PortfolioFrontier[[#This Row],[P25 Growth]]/PortfolioFrontier[[#This Row],[P25 HWM]]-1</f>
        <v>-2.0496362556387981E-2</v>
      </c>
      <c r="CY111" s="28">
        <f>SUMPRODUCT(INDEX(PortfolioRef[[SPY]:[PE]],MATCH(CY$1,PortfolioRef[Reference '#]),0),AssetMonthlyReturns[[#This Row],[SPY]:[PE]])</f>
        <v>7.5764736986237823E-3</v>
      </c>
      <c r="CZ111" s="27">
        <f>IF(ISNUMBER(CZ110),CZ110*(1+PortfolioFrontier[[#This Row],[P26 Return]]),1+PortfolioFrontier[[#This Row],[P26 Return]])</f>
        <v>2.2152016838750637</v>
      </c>
      <c r="DA111" s="27">
        <f>MAX(DA110,PortfolioFrontier[[#This Row],[P26 Growth]])</f>
        <v>2.2278091077137678</v>
      </c>
      <c r="DB111" s="27">
        <f>PortfolioFrontier[[#This Row],[P26 Growth]]/PortfolioFrontier[[#This Row],[P26 HWM]]-1</f>
        <v>-5.6591131596738231E-3</v>
      </c>
      <c r="DC111" s="28">
        <f>SUMPRODUCT(INDEX(PortfolioRef[[SPY]:[PE]],MATCH(DC$1,PortfolioRef[Reference '#]),0),AssetMonthlyReturns[[#This Row],[SPY]:[PE]])</f>
        <v>8.5693276420782619E-3</v>
      </c>
      <c r="DD111" s="27">
        <f>IF(ISNUMBER(DD110),DD110*(1+PortfolioFrontier[[#This Row],[P27 Return]]),1+PortfolioFrontier[[#This Row],[P27 Return]])</f>
        <v>2.2021775504722321</v>
      </c>
      <c r="DE111" s="27">
        <f>MAX(DE110,PortfolioFrontier[[#This Row],[P27 Growth]])</f>
        <v>2.2121487620735154</v>
      </c>
      <c r="DF111" s="27">
        <f>PortfolioFrontier[[#This Row],[P27 Growth]]/PortfolioFrontier[[#This Row],[P27 HWM]]-1</f>
        <v>-4.5074778750128219E-3</v>
      </c>
      <c r="DG111" s="28">
        <f>SUMPRODUCT(INDEX(PortfolioRef[[SPY]:[PE]],MATCH(DG$1,PortfolioRef[Reference '#]),0),AssetMonthlyReturns[[#This Row],[SPY]:[PE]])</f>
        <v>4.1448872345273167E-3</v>
      </c>
      <c r="DH111" s="27">
        <f>IF(ISNUMBER(DH110),DH110*(1+PortfolioFrontier[[#This Row],[P28 Return]]),1+PortfolioFrontier[[#This Row],[P28 Return]])</f>
        <v>2.1610458126842338</v>
      </c>
      <c r="DI111" s="27">
        <f>MAX(DI110,PortfolioFrontier[[#This Row],[P28 Growth]])</f>
        <v>2.1952590191790877</v>
      </c>
      <c r="DJ111" s="27">
        <f>PortfolioFrontier[[#This Row],[P28 Growth]]/PortfolioFrontier[[#This Row],[P28 HWM]]-1</f>
        <v>-1.558504312973874E-2</v>
      </c>
      <c r="DK111" s="28">
        <f>SUMPRODUCT(INDEX(PortfolioRef[[SPY]:[PE]],MATCH(DK$1,PortfolioRef[Reference '#]),0),AssetMonthlyReturns[[#This Row],[SPY]:[PE]])</f>
        <v>5.1377411779817972E-3</v>
      </c>
      <c r="DL111" s="27">
        <f>IF(ISNUMBER(DL110),DL110*(1+PortfolioFrontier[[#This Row],[P29 Return]]),1+PortfolioFrontier[[#This Row],[P29 Return]])</f>
        <v>2.1497352303942385</v>
      </c>
      <c r="DM111" s="27">
        <f>MAX(DM110,PortfolioFrontier[[#This Row],[P29 Growth]])</f>
        <v>2.1812332381258015</v>
      </c>
      <c r="DN111" s="27">
        <f>PortfolioFrontier[[#This Row],[P29 Growth]]/PortfolioFrontier[[#This Row],[P29 HWM]]-1</f>
        <v>-1.4440458352187657E-2</v>
      </c>
      <c r="DO111" s="28">
        <f>SUMPRODUCT(INDEX(PortfolioRef[[SPY]:[PE]],MATCH(DO$1,PortfolioRef[Reference '#]),0),AssetMonthlyReturns[[#This Row],[SPY]:[PE]])</f>
        <v>6.1305951214362777E-3</v>
      </c>
      <c r="DP111" s="27">
        <f>IF(ISNUMBER(DP110),DP110*(1+PortfolioFrontier[[#This Row],[P30 Return]]),1+PortfolioFrontier[[#This Row],[P30 Return]])</f>
        <v>2.1366514624060295</v>
      </c>
      <c r="DQ111" s="27">
        <f>MAX(DQ110,PortfolioFrontier[[#This Row],[P30 Growth]])</f>
        <v>2.1654421752486823</v>
      </c>
      <c r="DR111" s="27">
        <f>PortfolioFrontier[[#This Row],[P30 Growth]]/PortfolioFrontier[[#This Row],[P30 HWM]]-1</f>
        <v>-1.3295535282232374E-2</v>
      </c>
      <c r="DS111" s="28">
        <f>SUMPRODUCT(INDEX(PortfolioRef[[SPY]:[PE]],MATCH(DS$1,PortfolioRef[Reference '#]),0),AssetMonthlyReturns[[#This Row],[SPY]:[PE]])</f>
        <v>7.1330077043085317E-4</v>
      </c>
      <c r="DT111" s="27">
        <f>IF(ISNUMBER(DT110),DT110*(1+PortfolioFrontier[[#This Row],[P31 Return]]),1+PortfolioFrontier[[#This Row],[P31 Return]])</f>
        <v>2.1062163983604782</v>
      </c>
      <c r="DU111" s="27">
        <f>MAX(DU110,PortfolioFrontier[[#This Row],[P31 Growth]])</f>
        <v>2.16352980051315</v>
      </c>
      <c r="DV111" s="27">
        <f>PortfolioFrontier[[#This Row],[P31 Growth]]/PortfolioFrontier[[#This Row],[P31 HWM]]-1</f>
        <v>-2.6490692265518145E-2</v>
      </c>
      <c r="DW111" s="28">
        <f>SUMPRODUCT(INDEX(PortfolioRef[[SPY]:[PE]],MATCH(DW$1,PortfolioRef[Reference '#]),0),AssetMonthlyReturns[[#This Row],[SPY]:[PE]])</f>
        <v>1.7061547138853329E-3</v>
      </c>
      <c r="DX111" s="27">
        <f>IF(ISNUMBER(DX110),DX110*(1+PortfolioFrontier[[#This Row],[P32 Return]]),1+PortfolioFrontier[[#This Row],[P32 Return]])</f>
        <v>2.0965598062096844</v>
      </c>
      <c r="DY111" s="27">
        <f>MAX(DY110,PortfolioFrontier[[#This Row],[P32 Growth]])</f>
        <v>2.1488383417852845</v>
      </c>
      <c r="DZ111" s="27">
        <f>PortfolioFrontier[[#This Row],[P32 Growth]]/PortfolioFrontier[[#This Row],[P32 HWM]]-1</f>
        <v>-2.432874291146836E-2</v>
      </c>
      <c r="EA111" s="28">
        <f>SUMPRODUCT(INDEX(PortfolioRef[[SPY]:[PE]],MATCH(EA$1,PortfolioRef[Reference '#]),0),AssetMonthlyReturns[[#This Row],[SPY]:[PE]])</f>
        <v>2.6990086573398138E-3</v>
      </c>
      <c r="EB111" s="27">
        <f>IF(ISNUMBER(EB110),EB110*(1+PortfolioFrontier[[#This Row],[P33 Return]]),1+PortfolioFrontier[[#This Row],[P33 Return]])</f>
        <v>2.0851530744559539</v>
      </c>
      <c r="EC111" s="27">
        <f>MAX(EC110,PortfolioFrontier[[#This Row],[P33 Growth]])</f>
        <v>2.1346576430956827</v>
      </c>
      <c r="ED111" s="27">
        <f>PortfolioFrontier[[#This Row],[P33 Growth]]/PortfolioFrontier[[#This Row],[P33 HWM]]-1</f>
        <v>-2.3190870348622883E-2</v>
      </c>
      <c r="EE111" s="28">
        <f>SUMPRODUCT(INDEX(PortfolioRef[[SPY]:[PE]],MATCH(EE$1,PortfolioRef[Reference '#]),0),AssetMonthlyReturns[[#This Row],[SPY]:[PE]])</f>
        <v>3.9729908317782947E-3</v>
      </c>
      <c r="EF111" s="27">
        <f>IF(ISNUMBER(EF110),EF110*(1+PortfolioFrontier[[#This Row],[P34 Return]]),1+PortfolioFrontier[[#This Row],[P34 Return]])</f>
        <v>1.9053219097847252</v>
      </c>
      <c r="EG111" s="27">
        <f>MAX(EG110,PortfolioFrontier[[#This Row],[P34 Growth]])</f>
        <v>1.9323117355915889</v>
      </c>
      <c r="EH111" s="27">
        <f>PortfolioFrontier[[#This Row],[P34 Growth]]/PortfolioFrontier[[#This Row],[P34 HWM]]-1</f>
        <v>-1.3967635402576839E-2</v>
      </c>
      <c r="EI111" s="28">
        <f>SUMPRODUCT(INDEX(PortfolioRef[[SPY]:[PE]],MATCH(EI$1,PortfolioRef[Reference '#]),0),AssetMonthlyReturns[[#This Row],[SPY]:[PE]])</f>
        <v>6.4808831008500607E-3</v>
      </c>
      <c r="EJ111" s="27">
        <f>IF(ISNUMBER(EJ110),EJ110*(1+PortfolioFrontier[[#This Row],[P35 Return]]),1+PortfolioFrontier[[#This Row],[P35 Return]])</f>
        <v>1.9859268814479694</v>
      </c>
      <c r="EK111" s="27">
        <f>MAX(EK110,PortfolioFrontier[[#This Row],[P35 Growth]])</f>
        <v>1.9994223801126123</v>
      </c>
      <c r="EL111" s="27">
        <f>PortfolioFrontier[[#This Row],[P35 Growth]]/PortfolioFrontier[[#This Row],[P35 HWM]]-1</f>
        <v>-6.7496987124265884E-3</v>
      </c>
      <c r="EM111" s="28">
        <f>SUMPRODUCT(INDEX(PortfolioRef[[SPY]:[PE]],MATCH(EM$1,PortfolioRef[Reference '#]),0),AssetMonthlyReturns[[#This Row],[SPY]:[PE]])</f>
        <v>3.049296636753596E-3</v>
      </c>
      <c r="EN111" s="27">
        <f>IF(ISNUMBER(EN110),EN110*(1+PortfolioFrontier[[#This Row],[P36 Return]]),1+PortfolioFrontier[[#This Row],[P36 Return]])</f>
        <v>1.9386380480411576</v>
      </c>
      <c r="EO111" s="27">
        <f>MAX(EO110,PortfolioFrontier[[#This Row],[P36 Growth]])</f>
        <v>1.9714999189795526</v>
      </c>
      <c r="EP111" s="27">
        <f>PortfolioFrontier[[#This Row],[P36 Growth]]/PortfolioFrontier[[#This Row],[P36 HWM]]-1</f>
        <v>-1.666846172400771E-2</v>
      </c>
      <c r="EQ111" s="28">
        <f>SUMPRODUCT(INDEX(PortfolioRef[[SPY]:[PE]],MATCH(EQ$1,PortfolioRef[Reference '#]),0),AssetMonthlyReturns[[#This Row],[SPY]:[PE]])</f>
        <v>4.0421505802080756E-3</v>
      </c>
      <c r="ER111" s="27">
        <f>IF(ISNUMBER(ER110),ER110*(1+PortfolioFrontier[[#This Row],[P37 Return]]),1+PortfolioFrontier[[#This Row],[P37 Return]])</f>
        <v>1.926495067521619</v>
      </c>
      <c r="ES111" s="27">
        <f>MAX(ES110,PortfolioFrontier[[#This Row],[P37 Growth]])</f>
        <v>1.9568737176826869</v>
      </c>
      <c r="ET111" s="27">
        <f>PortfolioFrontier[[#This Row],[P37 Growth]]/PortfolioFrontier[[#This Row],[P37 HWM]]-1</f>
        <v>-1.5524072854860571E-2</v>
      </c>
      <c r="EU111" s="28">
        <f>SUMPRODUCT(INDEX(PortfolioRef[[SPY]:[PE]],MATCH(EU$1,PortfolioRef[Reference '#]),0),AssetMonthlyReturns[[#This Row],[SPY]:[PE]])</f>
        <v>8.9887753699218267E-3</v>
      </c>
      <c r="EV111" s="27">
        <f>IF(ISNUMBER(EV110),EV110*(1+PortfolioFrontier[[#This Row],[P38 Return]]),1+PortfolioFrontier[[#This Row],[P38 Return]])</f>
        <v>2.0692088991488693</v>
      </c>
      <c r="EW111" s="27">
        <f>MAX(EW110,PortfolioFrontier[[#This Row],[P38 Growth]])</f>
        <v>2.0692088991488693</v>
      </c>
      <c r="EX111" s="27">
        <f>PortfolioFrontier[[#This Row],[P38 Growth]]/PortfolioFrontier[[#This Row],[P38 HWM]]-1</f>
        <v>0</v>
      </c>
      <c r="EY111" s="28">
        <f>SUMPRODUCT(INDEX(PortfolioRef[[SPY]:[PE]],MATCH(EY$1,PortfolioRef[Reference '#]),0),AssetMonthlyReturns[[#This Row],[SPY]:[PE]])</f>
        <v>5.557188905825362E-3</v>
      </c>
      <c r="EZ111" s="27">
        <f>IF(ISNUMBER(EZ110),EZ110*(1+PortfolioFrontier[[#This Row],[P39 Return]]),1+PortfolioFrontier[[#This Row],[P39 Return]])</f>
        <v>2.0206469118912223</v>
      </c>
      <c r="FA111" s="27">
        <f>MAX(FA110,PortfolioFrontier[[#This Row],[P39 Growth]])</f>
        <v>2.0399434990938525</v>
      </c>
      <c r="FB111" s="27">
        <f>PortfolioFrontier[[#This Row],[P39 Growth]]/PortfolioFrontier[[#This Row],[P39 HWM]]-1</f>
        <v>-9.4593733655867762E-3</v>
      </c>
      <c r="FC111" s="28">
        <f>SUMPRODUCT(INDEX(PortfolioRef[[SPY]:[PE]],MATCH(FC$1,PortfolioRef[Reference '#]),0),AssetMonthlyReturns[[#This Row],[SPY]:[PE]])</f>
        <v>6.5500428492798416E-3</v>
      </c>
      <c r="FD111" s="27">
        <f>IF(ISNUMBER(FD110),FD110*(1+PortfolioFrontier[[#This Row],[P40 Return]]),1+PortfolioFrontier[[#This Row],[P40 Return]])</f>
        <v>2.0079965399883983</v>
      </c>
      <c r="FE111" s="27">
        <f>MAX(FE110,PortfolioFrontier[[#This Row],[P40 Growth]])</f>
        <v>2.0248225455550997</v>
      </c>
      <c r="FF111" s="27">
        <f>PortfolioFrontier[[#This Row],[P40 Growth]]/PortfolioFrontier[[#This Row],[P40 HWM]]-1</f>
        <v>-8.3098667602441445E-3</v>
      </c>
      <c r="FG111" s="28">
        <f>SUMPRODUCT(INDEX(PortfolioRef[[SPY]:[PE]],MATCH(FG$1,PortfolioRef[Reference '#]),0),AssetMonthlyReturns[[#This Row],[SPY]:[PE]])</f>
        <v>2.1256024417288964E-3</v>
      </c>
      <c r="FH111" s="27">
        <f>IF(ISNUMBER(FH110),FH110*(1+PortfolioFrontier[[#This Row],[P41 Return]]),1+PortfolioFrontier[[#This Row],[P41 Return]])</f>
        <v>1.9713626971988254</v>
      </c>
      <c r="FI111" s="27">
        <f>MAX(FI110,PortfolioFrontier[[#This Row],[P41 Growth]])</f>
        <v>2.0102940201794501</v>
      </c>
      <c r="FJ111" s="27">
        <f>PortfolioFrontier[[#This Row],[P41 Growth]]/PortfolioFrontier[[#This Row],[P41 HWM]]-1</f>
        <v>-1.9365984572321193E-2</v>
      </c>
      <c r="FK111" s="28">
        <f>SUMPRODUCT(INDEX(PortfolioRef[[SPY]:[PE]],MATCH(FK$1,PortfolioRef[Reference '#]),0),AssetMonthlyReturns[[#This Row],[SPY]:[PE]])</f>
        <v>3.1184563851833769E-3</v>
      </c>
      <c r="FL111" s="27">
        <f>IF(ISNUMBER(FL110),FL110*(1+PortfolioFrontier[[#This Row],[P42 Return]]),1+PortfolioFrontier[[#This Row],[P42 Return]])</f>
        <v>1.9602910045029147</v>
      </c>
      <c r="FM111" s="27">
        <f>MAX(FM110,PortfolioFrontier[[#This Row],[P42 Growth]])</f>
        <v>1.9966775140334747</v>
      </c>
      <c r="FN111" s="27">
        <f>PortfolioFrontier[[#This Row],[P42 Growth]]/PortfolioFrontier[[#This Row],[P42 HWM]]-1</f>
        <v>-1.8223528474087813E-2</v>
      </c>
      <c r="FO111" s="28">
        <f>SUMPRODUCT(INDEX(PortfolioRef[[SPY]:[PE]],MATCH(FO$1,PortfolioRef[Reference '#]),0),AssetMonthlyReturns[[#This Row],[SPY]:[PE]])</f>
        <v>4.1113103286378573E-3</v>
      </c>
      <c r="FP111" s="27">
        <f>IF(ISNUMBER(FP110),FP110*(1+PortfolioFrontier[[#This Row],[P43 Return]]),1+PortfolioFrontier[[#This Row],[P43 Return]])</f>
        <v>1.9476125308470191</v>
      </c>
      <c r="FQ111" s="27">
        <f>MAX(FQ110,PortfolioFrontier[[#This Row],[P43 Growth]])</f>
        <v>1.9814572756704645</v>
      </c>
      <c r="FR111" s="27">
        <f>PortfolioFrontier[[#This Row],[P43 Growth]]/PortfolioFrontier[[#This Row],[P43 HWM]]-1</f>
        <v>-1.7080734083450455E-2</v>
      </c>
      <c r="FS111" s="28">
        <f>SUMPRODUCT(INDEX(PortfolioRef[[SPY]:[PE]],MATCH(FS$1,PortfolioRef[Reference '#]),0),AssetMonthlyReturns[[#This Row],[SPY]:[PE]])</f>
        <v>8.065081174897128E-3</v>
      </c>
      <c r="FT111" s="27">
        <f>IF(ISNUMBER(FT110),FT110*(1+PortfolioFrontier[[#This Row],[P44 Return]]),1+PortfolioFrontier[[#This Row],[P44 Return]])</f>
        <v>2.1053796327133001</v>
      </c>
      <c r="FU111" s="27">
        <f>MAX(FU110,PortfolioFrontier[[#This Row],[P44 Growth]])</f>
        <v>2.1100779094521878</v>
      </c>
      <c r="FV111" s="27">
        <f>PortfolioFrontier[[#This Row],[P44 Growth]]/PortfolioFrontier[[#This Row],[P44 HWM]]-1</f>
        <v>-2.2265892258487296E-3</v>
      </c>
      <c r="FW111" s="28">
        <f>SUMPRODUCT(INDEX(PortfolioRef[[SPY]:[PE]],MATCH(FW$1,PortfolioRef[Reference '#]),0),AssetMonthlyReturns[[#This Row],[SPY]:[PE]])</f>
        <v>9.0579351183516094E-3</v>
      </c>
      <c r="FX111" s="27">
        <f>IF(ISNUMBER(FX110),FX110*(1+PortfolioFrontier[[#This Row],[P45 Return]]),1+PortfolioFrontier[[#This Row],[P45 Return]])</f>
        <v>2.0922052355255865</v>
      </c>
      <c r="FY111" s="27">
        <f>MAX(FY110,PortfolioFrontier[[#This Row],[P45 Growth]])</f>
        <v>2.0944504128200587</v>
      </c>
      <c r="FZ111" s="27">
        <f>PortfolioFrontier[[#This Row],[P45 Growth]]/PortfolioFrontier[[#This Row],[P45 HWM]]-1</f>
        <v>-1.0719648843102725E-3</v>
      </c>
      <c r="GA111" s="28">
        <f>SUMPRODUCT(INDEX(PortfolioRef[[SPY]:[PE]],MATCH(GA$1,PortfolioRef[Reference '#]),0),AssetMonthlyReturns[[#This Row],[SPY]:[PE]])</f>
        <v>4.6334947108006624E-3</v>
      </c>
      <c r="GB111" s="27">
        <f>IF(ISNUMBER(GB110),GB110*(1+PortfolioFrontier[[#This Row],[P46 Return]]),1+PortfolioFrontier[[#This Row],[P46 Return]])</f>
        <v>2.0547510101267465</v>
      </c>
      <c r="GC111" s="27">
        <f>MAX(GC110,PortfolioFrontier[[#This Row],[P46 Growth]])</f>
        <v>2.0800564454829837</v>
      </c>
      <c r="GD111" s="27">
        <f>PortfolioFrontier[[#This Row],[P46 Growth]]/PortfolioFrontier[[#This Row],[P46 HWM]]-1</f>
        <v>-1.216574454563002E-2</v>
      </c>
      <c r="GE111" s="28">
        <f>SUMPRODUCT(INDEX(PortfolioRef[[SPY]:[PE]],MATCH(GE$1,PortfolioRef[Reference '#]),0),AssetMonthlyReturns[[#This Row],[SPY]:[PE]])</f>
        <v>5.6263486542551429E-3</v>
      </c>
      <c r="GF111" s="27">
        <f>IF(ISNUMBER(GF110),GF110*(1+PortfolioFrontier[[#This Row],[P47 Return]]),1+PortfolioFrontier[[#This Row],[P47 Return]])</f>
        <v>2.0432165793605352</v>
      </c>
      <c r="GG111" s="27">
        <f>MAX(GG110,PortfolioFrontier[[#This Row],[P47 Growth]])</f>
        <v>2.0659798985688766</v>
      </c>
      <c r="GH111" s="27">
        <f>PortfolioFrontier[[#This Row],[P47 Growth]]/PortfolioFrontier[[#This Row],[P47 HWM]]-1</f>
        <v>-1.1018170711200925E-2</v>
      </c>
      <c r="GI111" s="28">
        <f>SUMPRODUCT(INDEX(PortfolioRef[[SPY]:[PE]],MATCH(GI$1,PortfolioRef[Reference '#]),0),AssetMonthlyReturns[[#This Row],[SPY]:[PE]])</f>
        <v>6.6192025977096234E-3</v>
      </c>
      <c r="GJ111" s="27">
        <f>IF(ISNUMBER(GJ110),GJ110*(1+PortfolioFrontier[[#This Row],[P48 Return]]),1+PortfolioFrontier[[#This Row],[P48 Return]])</f>
        <v>2.0300084405422227</v>
      </c>
      <c r="GK111" s="27">
        <f>MAX(GK110,PortfolioFrontier[[#This Row],[P48 Growth]])</f>
        <v>2.0502448877455492</v>
      </c>
      <c r="GL111" s="27">
        <f>PortfolioFrontier[[#This Row],[P48 Growth]]/PortfolioFrontier[[#This Row],[P48 HWM]]-1</f>
        <v>-9.8702585843677415E-3</v>
      </c>
      <c r="GM111" s="28">
        <f>SUMPRODUCT(INDEX(PortfolioRef[[SPY]:[PE]],MATCH(GM$1,PortfolioRef[Reference '#]),0),AssetMonthlyReturns[[#This Row],[SPY]:[PE]])</f>
        <v>1.2019082467041977E-3</v>
      </c>
      <c r="GN111" s="27">
        <f>IF(ISNUMBER(GN110),GN110*(1+PortfolioFrontier[[#This Row],[P49 Return]]),1+PortfolioFrontier[[#This Row],[P49 Return]])</f>
        <v>2.0034423874032288</v>
      </c>
      <c r="GO111" s="27">
        <f>MAX(GO110,PortfolioFrontier[[#This Row],[P49 Growth]])</f>
        <v>2.0486724769415803</v>
      </c>
      <c r="GP111" s="27">
        <f>PortfolioFrontier[[#This Row],[P49 Growth]]/PortfolioFrontier[[#This Row],[P49 HWM]]-1</f>
        <v>-2.2077755252452369E-2</v>
      </c>
      <c r="GQ111" s="28">
        <f>SUMPRODUCT(INDEX(PortfolioRef[[SPY]:[PE]],MATCH(GQ$1,PortfolioRef[Reference '#]),0),AssetMonthlyReturns[[#This Row],[SPY]:[PE]])</f>
        <v>2.1947621901586773E-3</v>
      </c>
      <c r="GR111" s="27">
        <f>IF(ISNUMBER(GR110),GR110*(1+PortfolioFrontier[[#This Row],[P50 Return]]),1+PortfolioFrontier[[#This Row],[P50 Return]])</f>
        <v>1.9934928341811391</v>
      </c>
      <c r="GS111" s="27">
        <f>MAX(GS110,PortfolioFrontier[[#This Row],[P50 Growth]])</f>
        <v>2.0360871265841762</v>
      </c>
      <c r="GT111" s="27">
        <f>PortfolioFrontier[[#This Row],[P50 Growth]]/PortfolioFrontier[[#This Row],[P50 HWM]]-1</f>
        <v>-2.0919680620197778E-2</v>
      </c>
      <c r="GU111" s="28">
        <f>SUMPRODUCT(INDEX(PortfolioRef[[SPY]:[PE]],MATCH(GU$1,PortfolioRef[Reference '#]),0),AssetMonthlyReturns[[#This Row],[SPY]:[PE]])</f>
        <v>3.1876161336131586E-3</v>
      </c>
      <c r="GV111" s="27">
        <f>IF(ISNUMBER(GV110),GV110*(1+PortfolioFrontier[[#This Row],[P51 Return]]),1+PortfolioFrontier[[#This Row],[P51 Return]])</f>
        <v>1.9818897345446069</v>
      </c>
      <c r="GW111" s="27">
        <f>MAX(GW110,PortfolioFrontier[[#This Row],[P51 Growth]])</f>
        <v>2.0218801357910725</v>
      </c>
      <c r="GX111" s="27">
        <f>PortfolioFrontier[[#This Row],[P51 Growth]]/PortfolioFrontier[[#This Row],[P51 HWM]]-1</f>
        <v>-1.9778819000474068E-2</v>
      </c>
      <c r="GY111" s="28">
        <f>SUMPRODUCT(INDEX(PortfolioRef[[SPY]:[PE]],MATCH(GY$1,PortfolioRef[Reference '#]),0),AssetMonthlyReturns[[#This Row],[SPY]:[PE]])</f>
        <v>7.1413869798724284E-3</v>
      </c>
      <c r="GZ111" s="27">
        <f>IF(ISNUMBER(GZ110),GZ110*(1+PortfolioFrontier[[#This Row],[P52 Return]]),1+PortfolioFrontier[[#This Row],[P52 Return]])</f>
        <v>2.1409092086522263</v>
      </c>
      <c r="HA111" s="27">
        <f>MAX(HA110,PortfolioFrontier[[#This Row],[P52 Growth]])</f>
        <v>2.1515417163052208</v>
      </c>
      <c r="HB111" s="27">
        <f>PortfolioFrontier[[#This Row],[P52 Growth]]/PortfolioFrontier[[#This Row],[P52 HWM]]-1</f>
        <v>-4.9418087376216224E-3</v>
      </c>
      <c r="HC111" s="28">
        <f>SUMPRODUCT(INDEX(PortfolioRef[[SPY]:[PE]],MATCH(HC$1,PortfolioRef[Reference '#]),0),AssetMonthlyReturns[[#This Row],[SPY]:[PE]])</f>
        <v>8.1342409233269089E-3</v>
      </c>
      <c r="HD111" s="27">
        <f>IF(ISNUMBER(HD110),HD110*(1+PortfolioFrontier[[#This Row],[P53 Return]]),1+PortfolioFrontier[[#This Row],[P53 Return]])</f>
        <v>2.1288968667288488</v>
      </c>
      <c r="HE111" s="27">
        <f>MAX(HE110,PortfolioFrontier[[#This Row],[P53 Growth]])</f>
        <v>2.1369941880927228</v>
      </c>
      <c r="HF111" s="27">
        <f>PortfolioFrontier[[#This Row],[P53 Growth]]/PortfolioFrontier[[#This Row],[P53 HWM]]-1</f>
        <v>-3.7891171669965917E-3</v>
      </c>
      <c r="HG111" s="28">
        <f>SUMPRODUCT(INDEX(PortfolioRef[[SPY]:[PE]],MATCH(HG$1,PortfolioRef[Reference '#]),0),AssetMonthlyReturns[[#This Row],[SPY]:[PE]])</f>
        <v>9.1270948667813902E-3</v>
      </c>
      <c r="HH111" s="27">
        <f>IF(ISNUMBER(HH110),HH110*(1+PortfolioFrontier[[#This Row],[P54 Return]]),1+PortfolioFrontier[[#This Row],[P54 Return]])</f>
        <v>2.1151416985027653</v>
      </c>
      <c r="HI111" s="27">
        <f>MAX(HI110,PortfolioFrontier[[#This Row],[P54 Growth]])</f>
        <v>2.1207321335551459</v>
      </c>
      <c r="HJ111" s="27">
        <f>PortfolioFrontier[[#This Row],[P54 Growth]]/PortfolioFrontier[[#This Row],[P54 HWM]]-1</f>
        <v>-2.6360873039674715E-3</v>
      </c>
      <c r="HK111" s="28">
        <f>SUMPRODUCT(INDEX(PortfolioRef[[SPY]:[PE]],MATCH(HK$1,PortfolioRef[Reference '#]),0),AssetMonthlyReturns[[#This Row],[SPY]:[PE]])</f>
        <v>3.7098005157759637E-3</v>
      </c>
      <c r="HL111" s="27">
        <f>IF(ISNUMBER(HL110),HL110*(1+PortfolioFrontier[[#This Row],[P55 Return]]),1+PortfolioFrontier[[#This Row],[P55 Return]])</f>
        <v>2.0881834883839487</v>
      </c>
      <c r="HM111" s="27">
        <f>MAX(HM110,PortfolioFrontier[[#This Row],[P55 Growth]])</f>
        <v>2.1197009234462389</v>
      </c>
      <c r="HN111" s="27">
        <f>PortfolioFrontier[[#This Row],[P55 Growth]]/PortfolioFrontier[[#This Row],[P55 HWM]]-1</f>
        <v>-1.4868812252555319E-2</v>
      </c>
      <c r="HO111" s="28">
        <f>SUMPRODUCT(INDEX(PortfolioRef[[SPY]:[PE]],MATCH(HO$1,PortfolioRef[Reference '#]),0),AssetMonthlyReturns[[#This Row],[SPY]:[PE]])</f>
        <v>4.7026544592304433E-3</v>
      </c>
      <c r="HP111" s="27">
        <f>IF(ISNUMBER(HP110),HP110*(1+PortfolioFrontier[[#This Row],[P56 Return]]),1+PortfolioFrontier[[#This Row],[P56 Return]])</f>
        <v>2.0778179626861166</v>
      </c>
      <c r="HQ111" s="27">
        <f>MAX(HQ110,PortfolioFrontier[[#This Row],[P56 Growth]])</f>
        <v>2.1067289649206318</v>
      </c>
      <c r="HR111" s="27">
        <f>PortfolioFrontier[[#This Row],[P56 Growth]]/PortfolioFrontier[[#This Row],[P56 HWM]]-1</f>
        <v>-1.3723171189040095E-2</v>
      </c>
      <c r="HS111" s="28">
        <f>SUMPRODUCT(INDEX(PortfolioRef[[SPY]:[PE]],MATCH(HS$1,PortfolioRef[Reference '#]),0),AssetMonthlyReturns[[#This Row],[SPY]:[PE]])</f>
        <v>5.6955084026849246E-3</v>
      </c>
      <c r="HT111" s="27">
        <f>IF(ISNUMBER(HT110),HT110*(1+PortfolioFrontier[[#This Row],[P57 Return]]),1+PortfolioFrontier[[#This Row],[P57 Return]])</f>
        <v>2.0657300239549605</v>
      </c>
      <c r="HU111" s="27">
        <f>MAX(HU110,PortfolioFrontier[[#This Row],[P57 Growth]])</f>
        <v>2.0920420379897102</v>
      </c>
      <c r="HV111" s="27">
        <f>PortfolioFrontier[[#This Row],[P57 Growth]]/PortfolioFrontier[[#This Row],[P57 HWM]]-1</f>
        <v>-1.2577191833120893E-2</v>
      </c>
      <c r="HW111" s="28">
        <f>SUMPRODUCT(INDEX(PortfolioRef[[SPY]:[PE]],MATCH(HW$1,PortfolioRef[Reference '#]),0),AssetMonthlyReturns[[#This Row],[SPY]:[PE]])</f>
        <v>2.7821405167949883E-4</v>
      </c>
      <c r="HX111" s="27">
        <f>IF(ISNUMBER(HX110),HX110*(1+PortfolioFrontier[[#This Row],[P58 Return]]),1+PortfolioFrontier[[#This Row],[P58 Return]])</f>
        <v>2.0348234828439979</v>
      </c>
      <c r="HY111" s="27">
        <f>MAX(HY110,PortfolioFrontier[[#This Row],[P58 Growth]])</f>
        <v>2.0910143650860982</v>
      </c>
      <c r="HZ111" s="27">
        <f>PortfolioFrontier[[#This Row],[P58 Growth]]/PortfolioFrontier[[#This Row],[P58 HWM]]-1</f>
        <v>-2.6872547209778053E-2</v>
      </c>
      <c r="IA111" s="28">
        <f>SUMPRODUCT(INDEX(PortfolioRef[[SPY]:[PE]],MATCH(IA$1,PortfolioRef[Reference '#]),0),AssetMonthlyReturns[[#This Row],[SPY]:[PE]])</f>
        <v>1.2710679951339785E-3</v>
      </c>
      <c r="IB111" s="27">
        <f>IF(ISNUMBER(IB110),IB110*(1+PortfolioFrontier[[#This Row],[P59 Return]]),1+PortfolioFrontier[[#This Row],[P59 Return]])</f>
        <v>2.0260464137046954</v>
      </c>
      <c r="IC111" s="27">
        <f>MAX(IC110,PortfolioFrontier[[#This Row],[P59 Growth]])</f>
        <v>2.0750434376611091</v>
      </c>
      <c r="ID111" s="27">
        <f>PortfolioFrontier[[#This Row],[P59 Growth]]/PortfolioFrontier[[#This Row],[P59 HWM]]-1</f>
        <v>-2.3612529293189577E-2</v>
      </c>
      <c r="IE111" s="28">
        <f>SUMPRODUCT(INDEX(PortfolioRef[[SPY]:[PE]],MATCH(IE$1,PortfolioRef[Reference '#]),0),AssetMonthlyReturns[[#This Row],[SPY]:[PE]])</f>
        <v>2.263921938588459E-3</v>
      </c>
      <c r="IF111" s="27">
        <f>IF(ISNUMBER(IF110),IF110*(1+PortfolioFrontier[[#This Row],[P60 Return]]),1+PortfolioFrontier[[#This Row],[P60 Return]])</f>
        <v>2.0155703180975553</v>
      </c>
      <c r="IG111" s="27">
        <f>MAX(IG110,PortfolioFrontier[[#This Row],[P60 Growth]])</f>
        <v>2.0619088333714832</v>
      </c>
      <c r="IH111" s="27">
        <f>PortfolioFrontier[[#This Row],[P60 Growth]]/PortfolioFrontier[[#This Row],[P60 HWM]]-1</f>
        <v>-2.2473600444379738E-2</v>
      </c>
      <c r="II111" s="28">
        <f>SUMPRODUCT(INDEX(PortfolioRef[[SPY]:[PE]],MATCH(II$1,PortfolioRef[Reference '#]),0),AssetMonthlyReturns[[#This Row],[SPY]:[PE]])</f>
        <v>4.4615983080516404E-3</v>
      </c>
      <c r="IJ111" s="27">
        <f>IF(ISNUMBER(IJ110),IJ110*(1+PortfolioFrontier[[#This Row],[P61 Return]]),1+PortfolioFrontier[[#This Row],[P61 Return]])</f>
        <v>1.8092760498554397</v>
      </c>
      <c r="IK111" s="27">
        <f>MAX(IK110,PortfolioFrontier[[#This Row],[P61 Growth]])</f>
        <v>1.8285636861294068</v>
      </c>
      <c r="IL111" s="27">
        <f>PortfolioFrontier[[#This Row],[P61 Growth]]/PortfolioFrontier[[#This Row],[P61 HWM]]-1</f>
        <v>-1.0547970748994828E-2</v>
      </c>
      <c r="IM111" s="28">
        <f>SUMPRODUCT(INDEX(PortfolioRef[[SPY]:[PE]],MATCH(IM$1,PortfolioRef[Reference '#]),0),AssetMonthlyReturns[[#This Row],[SPY]:[PE]])</f>
        <v>6.9694905771234047E-3</v>
      </c>
      <c r="IN111" s="27">
        <f>IF(ISNUMBER(IN110),IN110*(1+PortfolioFrontier[[#This Row],[P62 Return]]),1+PortfolioFrontier[[#This Row],[P62 Return]])</f>
        <v>1.8858038084055322</v>
      </c>
      <c r="IO111" s="27">
        <f>MAX(IO110,PortfolioFrontier[[#This Row],[P62 Growth]])</f>
        <v>1.892086264835843</v>
      </c>
      <c r="IP111" s="27">
        <f>PortfolioFrontier[[#This Row],[P62 Growth]]/PortfolioFrontier[[#This Row],[P62 HWM]]-1</f>
        <v>-3.3203858339174719E-3</v>
      </c>
      <c r="IQ111" s="28">
        <f>SUMPRODUCT(INDEX(PortfolioRef[[SPY]:[PE]],MATCH(IQ$1,PortfolioRef[Reference '#]),0),AssetMonthlyReturns[[#This Row],[SPY]:[PE]])</f>
        <v>3.5379041130269417E-3</v>
      </c>
      <c r="IR111" s="27">
        <f>IF(ISNUMBER(IR110),IR110*(1+PortfolioFrontier[[#This Row],[P63 Return]]),1+PortfolioFrontier[[#This Row],[P63 Return]])</f>
        <v>1.8416493829149363</v>
      </c>
      <c r="IS111" s="27">
        <f>MAX(IS110,PortfolioFrontier[[#This Row],[P63 Growth]])</f>
        <v>1.8663833940445493</v>
      </c>
      <c r="IT111" s="27">
        <f>PortfolioFrontier[[#This Row],[P63 Growth]]/PortfolioFrontier[[#This Row],[P63 HWM]]-1</f>
        <v>-1.3252374195214633E-2</v>
      </c>
      <c r="IU111" s="28">
        <f>SUMPRODUCT(INDEX(PortfolioRef[[SPY]:[PE]],MATCH(IU$1,PortfolioRef[Reference '#]),0),AssetMonthlyReturns[[#This Row],[SPY]:[PE]])</f>
        <v>4.5307580564814213E-3</v>
      </c>
      <c r="IV111" s="27">
        <f>IF(ISNUMBER(IV110),IV110*(1+PortfolioFrontier[[#This Row],[P64 Return]]),1+PortfolioFrontier[[#This Row],[P64 Return]])</f>
        <v>1.8294182466642996</v>
      </c>
      <c r="IW111" s="27">
        <f>MAX(IW110,PortfolioFrontier[[#This Row],[P64 Growth]])</f>
        <v>1.8518346987842382</v>
      </c>
      <c r="IX111" s="27">
        <f>PortfolioFrontier[[#This Row],[P64 Growth]]/PortfolioFrontier[[#This Row],[P64 HWM]]-1</f>
        <v>-1.2104996269189372E-2</v>
      </c>
      <c r="IY111" s="28">
        <f>SUMPRODUCT(INDEX(PortfolioRef[[SPY]:[PE]],MATCH(IY$1,PortfolioRef[Reference '#]),0),AssetMonthlyReturns[[#This Row],[SPY]:[PE]])</f>
        <v>9.477382846195169E-3</v>
      </c>
      <c r="IZ111" s="27">
        <f>IF(ISNUMBER(IZ110),IZ110*(1+PortfolioFrontier[[#This Row],[P65 Return]]),1+PortfolioFrontier[[#This Row],[P65 Return]])</f>
        <v>1.9648716079617354</v>
      </c>
      <c r="JA111" s="27">
        <f>MAX(JA110,PortfolioFrontier[[#This Row],[P65 Growth]])</f>
        <v>1.9648716079617354</v>
      </c>
      <c r="JB111" s="27">
        <f>PortfolioFrontier[[#This Row],[P65 Growth]]/PortfolioFrontier[[#This Row],[P65 HWM]]-1</f>
        <v>0</v>
      </c>
      <c r="JC111" s="28">
        <f>SUMPRODUCT(INDEX(PortfolioRef[[SPY]:[PE]],MATCH(JC$1,PortfolioRef[Reference '#]),0),AssetMonthlyReturns[[#This Row],[SPY]:[PE]])</f>
        <v>6.0457963820987068E-3</v>
      </c>
      <c r="JD111" s="27">
        <f>IF(ISNUMBER(JD110),JD110*(1+PortfolioFrontier[[#This Row],[P66 Return]]),1+PortfolioFrontier[[#This Row],[P66 Return]])</f>
        <v>1.9195407532303295</v>
      </c>
      <c r="JE111" s="27">
        <f>MAX(JE110,PortfolioFrontier[[#This Row],[P66 Growth]])</f>
        <v>1.9311928711736117</v>
      </c>
      <c r="JF111" s="27">
        <f>PortfolioFrontier[[#This Row],[P66 Growth]]/PortfolioFrontier[[#This Row],[P66 HWM]]-1</f>
        <v>-6.0336376118668156E-3</v>
      </c>
      <c r="JG111" s="28">
        <f>SUMPRODUCT(INDEX(PortfolioRef[[SPY]:[PE]],MATCH(JG$1,PortfolioRef[Reference '#]),0),AssetMonthlyReturns[[#This Row],[SPY]:[PE]])</f>
        <v>7.0386503255531864E-3</v>
      </c>
      <c r="JH111" s="27">
        <f>IF(ISNUMBER(JH110),JH110*(1+PortfolioFrontier[[#This Row],[P67 Return]]),1+PortfolioFrontier[[#This Row],[P67 Return]])</f>
        <v>1.9067986644221</v>
      </c>
      <c r="JI111" s="27">
        <f>MAX(JI110,PortfolioFrontier[[#This Row],[P67 Growth]])</f>
        <v>1.9161516727337649</v>
      </c>
      <c r="JJ111" s="27">
        <f>PortfolioFrontier[[#This Row],[P67 Growth]]/PortfolioFrontier[[#This Row],[P67 HWM]]-1</f>
        <v>-4.8811419496458397E-3</v>
      </c>
      <c r="JK111" s="28">
        <f>SUMPRODUCT(INDEX(PortfolioRef[[SPY]:[PE]],MATCH(JK$1,PortfolioRef[Reference '#]),0),AssetMonthlyReturns[[#This Row],[SPY]:[PE]])</f>
        <v>2.6142099180022421E-3</v>
      </c>
      <c r="JL111" s="27">
        <f>IF(ISNUMBER(JL110),JL110*(1+PortfolioFrontier[[#This Row],[P68 Return]]),1+PortfolioFrontier[[#This Row],[P68 Return]])</f>
        <v>1.8734883295956521</v>
      </c>
      <c r="JM111" s="27">
        <f>MAX(JM110,PortfolioFrontier[[#This Row],[P68 Growth]])</f>
        <v>1.903861535421044</v>
      </c>
      <c r="JN111" s="27">
        <f>PortfolioFrontier[[#This Row],[P68 Growth]]/PortfolioFrontier[[#This Row],[P68 HWM]]-1</f>
        <v>-1.5953474168316939E-2</v>
      </c>
      <c r="JO111" s="28">
        <f>SUMPRODUCT(INDEX(PortfolioRef[[SPY]:[PE]],MATCH(JO$1,PortfolioRef[Reference '#]),0),AssetMonthlyReturns[[#This Row],[SPY]:[PE]])</f>
        <v>3.6070638614567226E-3</v>
      </c>
      <c r="JP111" s="27">
        <f>IF(ISNUMBER(JP110),JP110*(1+PortfolioFrontier[[#This Row],[P69 Return]]),1+PortfolioFrontier[[#This Row],[P69 Return]])</f>
        <v>1.8622560477203449</v>
      </c>
      <c r="JQ111" s="27">
        <f>MAX(JQ110,PortfolioFrontier[[#This Row],[P69 Growth]])</f>
        <v>1.8902468783368787</v>
      </c>
      <c r="JR111" s="27">
        <f>PortfolioFrontier[[#This Row],[P69 Growth]]/PortfolioFrontier[[#This Row],[P69 HWM]]-1</f>
        <v>-1.4808029013205548E-2</v>
      </c>
      <c r="JS111" s="28">
        <f>SUMPRODUCT(INDEX(PortfolioRef[[SPY]:[PE]],MATCH(JS$1,PortfolioRef[Reference '#]),0),AssetMonthlyReturns[[#This Row],[SPY]:[PE]])</f>
        <v>4.599917804911203E-3</v>
      </c>
      <c r="JT111" s="27">
        <f>IF(ISNUMBER(JT110),JT110*(1+PortfolioFrontier[[#This Row],[P70 Return]]),1+PortfolioFrontier[[#This Row],[P70 Return]])</f>
        <v>1.8495083487141193</v>
      </c>
      <c r="JU111" s="27">
        <f>MAX(JU110,PortfolioFrontier[[#This Row],[P70 Growth]])</f>
        <v>1.8751267914051004</v>
      </c>
      <c r="JV111" s="27">
        <f>PortfolioFrontier[[#This Row],[P70 Growth]]/PortfolioFrontier[[#This Row],[P70 HWM]]-1</f>
        <v>-1.3662245565690179E-2</v>
      </c>
      <c r="JW111" s="28">
        <f>SUMPRODUCT(INDEX(PortfolioRef[[SPY]:[PE]],MATCH(JW$1,PortfolioRef[Reference '#]),0),AssetMonthlyReturns[[#This Row],[SPY]:[PE]])</f>
        <v>8.553688651170472E-3</v>
      </c>
      <c r="JX111" s="27">
        <f>IF(ISNUMBER(JX110),JX110*(1+PortfolioFrontier[[#This Row],[P71 Return]]),1+PortfolioFrontier[[#This Row],[P71 Return]])</f>
        <v>2.0000175905541697</v>
      </c>
      <c r="JY111" s="27">
        <f>MAX(JY110,PortfolioFrontier[[#This Row],[P71 Growth]])</f>
        <v>2.0000175905541697</v>
      </c>
      <c r="JZ111" s="27">
        <f>PortfolioFrontier[[#This Row],[P71 Growth]]/PortfolioFrontier[[#This Row],[P71 HWM]]-1</f>
        <v>0</v>
      </c>
      <c r="KA111" s="28">
        <f>SUMPRODUCT(INDEX(PortfolioRef[[SPY]:[PE]],MATCH(KA$1,PortfolioRef[Reference '#]),0),AssetMonthlyReturns[[#This Row],[SPY]:[PE]])</f>
        <v>9.5465425946249516E-3</v>
      </c>
      <c r="KB111" s="27">
        <f>IF(ISNUMBER(KB110),KB110*(1+PortfolioFrontier[[#This Row],[P72 Return]]),1+PortfolioFrontier[[#This Row],[P72 Return]])</f>
        <v>1.9867478073004226</v>
      </c>
      <c r="KC111" s="27">
        <f>MAX(KC110,PortfolioFrontier[[#This Row],[P72 Growth]])</f>
        <v>1.9867478073004226</v>
      </c>
      <c r="KD111" s="27">
        <f>PortfolioFrontier[[#This Row],[P72 Growth]]/PortfolioFrontier[[#This Row],[P72 HWM]]-1</f>
        <v>0</v>
      </c>
      <c r="KE111" s="28">
        <f>SUMPRODUCT(INDEX(PortfolioRef[[SPY]:[PE]],MATCH(KE$1,PortfolioRef[Reference '#]),0),AssetMonthlyReturns[[#This Row],[SPY]:[PE]])</f>
        <v>5.1221021870740072E-3</v>
      </c>
      <c r="KF111" s="27">
        <f>IF(ISNUMBER(KF110),KF110*(1+PortfolioFrontier[[#This Row],[P73 Return]]),1+PortfolioFrontier[[#This Row],[P73 Return]])</f>
        <v>1.9527212381599202</v>
      </c>
      <c r="KG111" s="27">
        <f>MAX(KG110,PortfolioFrontier[[#This Row],[P73 Growth]])</f>
        <v>1.9699456270008269</v>
      </c>
      <c r="KH111" s="27">
        <f>PortfolioFrontier[[#This Row],[P73 Growth]]/PortfolioFrontier[[#This Row],[P73 HWM]]-1</f>
        <v>-8.7435859166987706E-3</v>
      </c>
      <c r="KI111" s="28">
        <f>SUMPRODUCT(INDEX(PortfolioRef[[SPY]:[PE]],MATCH(KI$1,PortfolioRef[Reference '#]),0),AssetMonthlyReturns[[#This Row],[SPY]:[PE]])</f>
        <v>6.1149561305284877E-3</v>
      </c>
      <c r="KJ111" s="27">
        <f>IF(ISNUMBER(KJ110),KJ110*(1+PortfolioFrontier[[#This Row],[P74 Return]]),1+PortfolioFrontier[[#This Row],[P74 Return]])</f>
        <v>1.941019633538279</v>
      </c>
      <c r="KK111" s="27">
        <f>MAX(KK110,PortfolioFrontier[[#This Row],[P74 Growth]])</f>
        <v>1.9558706040696663</v>
      </c>
      <c r="KL111" s="27">
        <f>PortfolioFrontier[[#This Row],[P74 Growth]]/PortfolioFrontier[[#This Row],[P74 HWM]]-1</f>
        <v>-7.5930230253914432E-3</v>
      </c>
      <c r="KM111" s="28">
        <f>SUMPRODUCT(INDEX(PortfolioRef[[SPY]:[PE]],MATCH(KM$1,PortfolioRef[Reference '#]),0),AssetMonthlyReturns[[#This Row],[SPY]:[PE]])</f>
        <v>7.1078100739829682E-3</v>
      </c>
      <c r="KN111" s="27">
        <f>IF(ISNUMBER(KN110),KN110*(1+PortfolioFrontier[[#This Row],[P75 Return]]),1+PortfolioFrontier[[#This Row],[P75 Return]])</f>
        <v>1.927739498408837</v>
      </c>
      <c r="KO111" s="27">
        <f>MAX(KO110,PortfolioFrontier[[#This Row],[P75 Growth]])</f>
        <v>1.9402387528566893</v>
      </c>
      <c r="KP111" s="27">
        <f>PortfolioFrontier[[#This Row],[P75 Growth]]/PortfolioFrontier[[#This Row],[P75 HWM]]-1</f>
        <v>-6.4421218416801374E-3</v>
      </c>
      <c r="KQ111" s="28">
        <f>SUMPRODUCT(INDEX(PortfolioRef[[SPY]:[PE]],MATCH(KQ$1,PortfolioRef[Reference '#]),0),AssetMonthlyReturns[[#This Row],[SPY]:[PE]])</f>
        <v>1.6905157229775434E-3</v>
      </c>
      <c r="KR111" s="27">
        <f>IF(ISNUMBER(KR110),KR110*(1+PortfolioFrontier[[#This Row],[P76 Return]]),1+PortfolioFrontier[[#This Row],[P76 Return]])</f>
        <v>1.9047416483542254</v>
      </c>
      <c r="KS111" s="27">
        <f>MAX(KS110,PortfolioFrontier[[#This Row],[P76 Growth]])</f>
        <v>1.9409426959276344</v>
      </c>
      <c r="KT111" s="27">
        <f>PortfolioFrontier[[#This Row],[P76 Growth]]/PortfolioFrontier[[#This Row],[P76 HWM]]-1</f>
        <v>-1.8651270668301412E-2</v>
      </c>
      <c r="KU111" s="28">
        <f>SUMPRODUCT(INDEX(PortfolioRef[[SPY]:[PE]],MATCH(KU$1,PortfolioRef[Reference '#]),0),AssetMonthlyReturns[[#This Row],[SPY]:[PE]])</f>
        <v>2.683369666432023E-3</v>
      </c>
      <c r="KV111" s="27">
        <f>IF(ISNUMBER(KV110),KV110*(1+PortfolioFrontier[[#This Row],[P77 Return]]),1+PortfolioFrontier[[#This Row],[P77 Return]])</f>
        <v>1.8945573486435614</v>
      </c>
      <c r="KW111" s="27">
        <f>MAX(KW110,PortfolioFrontier[[#This Row],[P77 Growth]])</f>
        <v>1.9283178718386298</v>
      </c>
      <c r="KX111" s="27">
        <f>PortfolioFrontier[[#This Row],[P77 Growth]]/PortfolioFrontier[[#This Row],[P77 HWM]]-1</f>
        <v>-1.7507758284103891E-2</v>
      </c>
      <c r="KY111" s="28">
        <f>SUMPRODUCT(INDEX(PortfolioRef[[SPY]:[PE]],MATCH(KY$1,PortfolioRef[Reference '#]),0),AssetMonthlyReturns[[#This Row],[SPY]:[PE]])</f>
        <v>3.6762236098865043E-3</v>
      </c>
      <c r="KZ111" s="27">
        <f>IF(ISNUMBER(KZ110),KZ110*(1+PortfolioFrontier[[#This Row],[P78 Return]]),1+PortfolioFrontier[[#This Row],[P78 Return]])</f>
        <v>1.8828120169547486</v>
      </c>
      <c r="LA111" s="27">
        <f>MAX(LA110,PortfolioFrontier[[#This Row],[P78 Growth]])</f>
        <v>1.9141347410048628</v>
      </c>
      <c r="LB111" s="27">
        <f>PortfolioFrontier[[#This Row],[P78 Growth]]/PortfolioFrontier[[#This Row],[P78 HWM]]-1</f>
        <v>-1.6363907607502393E-2</v>
      </c>
      <c r="LC111" s="28">
        <f>SUMPRODUCT(INDEX(PortfolioRef[[SPY]:[PE]],MATCH(LC$1,PortfolioRef[Reference '#]),0),AssetMonthlyReturns[[#This Row],[SPY]:[PE]])</f>
        <v>7.6299944561457724E-3</v>
      </c>
      <c r="LD111" s="27">
        <f>IF(ISNUMBER(LD110),LD110*(1+PortfolioFrontier[[#This Row],[P79 Return]]),1+PortfolioFrontier[[#This Row],[P79 Return]])</f>
        <v>2.0345843347418779</v>
      </c>
      <c r="LE111" s="27">
        <f>MAX(LE110,PortfolioFrontier[[#This Row],[P79 Growth]])</f>
        <v>2.0376612070029232</v>
      </c>
      <c r="LF111" s="27">
        <f>PortfolioFrontier[[#This Row],[P79 Growth]]/PortfolioFrontier[[#This Row],[P79 HWM]]-1</f>
        <v>-1.5100018837630458E-3</v>
      </c>
      <c r="LG111" s="28">
        <f>SUMPRODUCT(INDEX(PortfolioRef[[SPY]:[PE]],MATCH(LG$1,PortfolioRef[Reference '#]),0),AssetMonthlyReturns[[#This Row],[SPY]:[PE]])</f>
        <v>8.6228483996002529E-3</v>
      </c>
      <c r="LH111" s="27">
        <f>IF(ISNUMBER(LH110),LH110*(1+PortfolioFrontier[[#This Row],[P80 Return]]),1+PortfolioFrontier[[#This Row],[P80 Return]])</f>
        <v>2.0223980265321435</v>
      </c>
      <c r="LI111" s="27">
        <f>MAX(LI110,PortfolioFrontier[[#This Row],[P80 Growth]])</f>
        <v>2.023114859130589</v>
      </c>
      <c r="LJ111" s="27">
        <f>PortfolioFrontier[[#This Row],[P80 Growth]]/PortfolioFrontier[[#This Row],[P80 HWM]]-1</f>
        <v>-3.5432125626000399E-4</v>
      </c>
      <c r="LK111" s="28">
        <f>SUMPRODUCT(INDEX(PortfolioRef[[SPY]:[PE]],MATCH(LK$1,PortfolioRef[Reference '#]),0),AssetMonthlyReturns[[#This Row],[SPY]:[PE]])</f>
        <v>9.6157023430547325E-3</v>
      </c>
      <c r="LL111" s="27">
        <f>IF(ISNUMBER(LL110),LL110*(1+PortfolioFrontier[[#This Row],[P81 Return]]),1+PortfolioFrontier[[#This Row],[P81 Return]])</f>
        <v>2.0085680092239384</v>
      </c>
      <c r="LM111" s="27">
        <f>MAX(LM110,PortfolioFrontier[[#This Row],[P81 Growth]])</f>
        <v>2.0085680092239384</v>
      </c>
      <c r="LN111" s="27">
        <f>PortfolioFrontier[[#This Row],[P81 Growth]]/PortfolioFrontier[[#This Row],[P81 HWM]]-1</f>
        <v>0</v>
      </c>
      <c r="LO111" s="28">
        <f>SUMPRODUCT(INDEX(PortfolioRef[[SPY]:[PE]],MATCH(LO$1,PortfolioRef[Reference '#]),0),AssetMonthlyReturns[[#This Row],[SPY]:[PE]])</f>
        <v>4.1984079920493085E-3</v>
      </c>
      <c r="LP111" s="27">
        <f>IF(ISNUMBER(LP110),LP110*(1+PortfolioFrontier[[#This Row],[P82 Return]]),1+PortfolioFrontier[[#This Row],[P82 Return]])</f>
        <v>1.9852918969559721</v>
      </c>
      <c r="LQ111" s="27">
        <f>MAX(LQ110,PortfolioFrontier[[#This Row],[P82 Growth]])</f>
        <v>2.0082872493703579</v>
      </c>
      <c r="LR111" s="27">
        <f>PortfolioFrontier[[#This Row],[P82 Growth]]/PortfolioFrontier[[#This Row],[P82 HWM]]-1</f>
        <v>-1.1450230748412782E-2</v>
      </c>
      <c r="LS111" s="28">
        <f>SUMPRODUCT(INDEX(PortfolioRef[[SPY]:[PE]],MATCH(LS$1,PortfolioRef[Reference '#]),0),AssetMonthlyReturns[[#This Row],[SPY]:[PE]])</f>
        <v>5.1912619355037881E-3</v>
      </c>
      <c r="LT111" s="27">
        <f>IF(ISNUMBER(LT110),LT110*(1+PortfolioFrontier[[#This Row],[P83 Return]]),1+PortfolioFrontier[[#This Row],[P83 Return]])</f>
        <v>1.9746819441472683</v>
      </c>
      <c r="LU111" s="27">
        <f>MAX(LU110,PortfolioFrontier[[#This Row],[P83 Growth]])</f>
        <v>1.995236069291731</v>
      </c>
      <c r="LV111" s="27">
        <f>PortfolioFrontier[[#This Row],[P83 Growth]]/PortfolioFrontier[[#This Row],[P83 HWM]]-1</f>
        <v>-1.0301600628019436E-2</v>
      </c>
      <c r="LW111" s="28">
        <f>SUMPRODUCT(INDEX(PortfolioRef[[SPY]:[PE]],MATCH(LW$1,PortfolioRef[Reference '#]),0),AssetMonthlyReturns[[#This Row],[SPY]:[PE]])</f>
        <v>6.1841158789582695E-3</v>
      </c>
      <c r="LX111" s="27">
        <f>IF(ISNUMBER(LX110),LX110*(1+PortfolioFrontier[[#This Row],[P84 Return]]),1+PortfolioFrontier[[#This Row],[P84 Return]])</f>
        <v>1.9624459549993203</v>
      </c>
      <c r="LY111" s="27">
        <f>MAX(LY110,PortfolioFrontier[[#This Row],[P84 Growth]])</f>
        <v>1.9805734150424503</v>
      </c>
      <c r="LZ111" s="27">
        <f>PortfolioFrontier[[#This Row],[P84 Growth]]/PortfolioFrontier[[#This Row],[P84 HWM]]-1</f>
        <v>-9.1526322152221118E-3</v>
      </c>
      <c r="MA111" s="28">
        <f>SUMPRODUCT(INDEX(PortfolioRef[[SPY]:[PE]],MATCH(MA$1,PortfolioRef[Reference '#]),0),AssetMonthlyReturns[[#This Row],[SPY]:[PE]])</f>
        <v>7.6682152795284452E-4</v>
      </c>
      <c r="MB111" s="27">
        <f>IF(ISNUMBER(MB110),MB110*(1+PortfolioFrontier[[#This Row],[P85 Return]]),1+PortfolioFrontier[[#This Row],[P85 Return]])</f>
        <v>1.935357867150612</v>
      </c>
      <c r="MC111" s="27">
        <f>MAX(MC110,PortfolioFrontier[[#This Row],[P85 Growth]])</f>
        <v>1.9798393963163579</v>
      </c>
      <c r="MD111" s="27">
        <f>PortfolioFrontier[[#This Row],[P85 Growth]]/PortfolioFrontier[[#This Row],[P85 HWM]]-1</f>
        <v>-2.24672411552711E-2</v>
      </c>
      <c r="ME111" s="28">
        <f>SUMPRODUCT(INDEX(PortfolioRef[[SPY]:[PE]],MATCH(ME$1,PortfolioRef[Reference '#]),0),AssetMonthlyReturns[[#This Row],[SPY]:[PE]])</f>
        <v>1.7596754714073242E-3</v>
      </c>
      <c r="MF111" s="27">
        <f>IF(ISNUMBER(MF110),MF110*(1+PortfolioFrontier[[#This Row],[P86 Return]]),1+PortfolioFrontier[[#This Row],[P86 Return]])</f>
        <v>1.926270266966561</v>
      </c>
      <c r="MG111" s="27">
        <f>MAX(MG110,PortfolioFrontier[[#This Row],[P86 Growth]])</f>
        <v>1.9659915215718233</v>
      </c>
      <c r="MH111" s="27">
        <f>PortfolioFrontier[[#This Row],[P86 Growth]]/PortfolioFrontier[[#This Row],[P86 HWM]]-1</f>
        <v>-2.0204184081884957E-2</v>
      </c>
      <c r="MI111" s="28">
        <f>SUMPRODUCT(INDEX(PortfolioRef[[SPY]:[PE]],MATCH(MI$1,PortfolioRef[Reference '#]),0),AssetMonthlyReturns[[#This Row],[SPY]:[PE]])</f>
        <v>2.7525294148618047E-3</v>
      </c>
      <c r="MJ111" s="27">
        <f>IF(ISNUMBER(MJ110),MJ110*(1+PortfolioFrontier[[#This Row],[P87 Return]]),1+PortfolioFrontier[[#This Row],[P87 Return]])</f>
        <v>1.9155771726139663</v>
      </c>
      <c r="MK111" s="27">
        <f>MAX(MK110,PortfolioFrontier[[#This Row],[P87 Growth]])</f>
        <v>1.9528020042075829</v>
      </c>
      <c r="ML111" s="27">
        <f>PortfolioFrontier[[#This Row],[P87 Growth]]/PortfolioFrontier[[#This Row],[P87 HWM]]-1</f>
        <v>-1.9062266176197329E-2</v>
      </c>
      <c r="MM111" s="28">
        <f>SUMPRODUCT(INDEX(PortfolioRef[[SPY]:[PE]],MATCH(MM$1,PortfolioRef[Reference '#]),0),AssetMonthlyReturns[[#This Row],[SPY]:[PE]])</f>
        <v>6.7063002611210737E-3</v>
      </c>
      <c r="MN111" s="27">
        <f>IF(ISNUMBER(MN110),MN110*(1+PortfolioFrontier[[#This Row],[P88 Return]]),1+PortfolioFrontier[[#This Row],[P88 Return]])</f>
        <v>2.0685162801038417</v>
      </c>
      <c r="MO111" s="27">
        <f>MAX(MO110,PortfolioFrontier[[#This Row],[P88 Growth]])</f>
        <v>2.0772938750846044</v>
      </c>
      <c r="MP111" s="27">
        <f>PortfolioFrontier[[#This Row],[P88 Growth]]/PortfolioFrontier[[#This Row],[P88 HWM]]-1</f>
        <v>-4.2254950472065955E-3</v>
      </c>
      <c r="MQ111" s="28">
        <f>SUMPRODUCT(INDEX(PortfolioRef[[SPY]:[PE]],MATCH(MQ$1,PortfolioRef[Reference '#]),0),AssetMonthlyReturns[[#This Row],[SPY]:[PE]])</f>
        <v>7.6991542045755533E-3</v>
      </c>
      <c r="MR111" s="27">
        <f>IF(ISNUMBER(MR110),MR110*(1+PortfolioFrontier[[#This Row],[P89 Return]]),1+PortfolioFrontier[[#This Row],[P89 Return]])</f>
        <v>2.0574667212544271</v>
      </c>
      <c r="MS111" s="27">
        <f>MAX(MS110,PortfolioFrontier[[#This Row],[P89 Growth]])</f>
        <v>2.0638062121886973</v>
      </c>
      <c r="MT111" s="27">
        <f>PortfolioFrontier[[#This Row],[P89 Growth]]/PortfolioFrontier[[#This Row],[P89 HWM]]-1</f>
        <v>-3.0717471906177574E-3</v>
      </c>
      <c r="MU111" s="28">
        <f>SUMPRODUCT(INDEX(PortfolioRef[[SPY]:[PE]],MATCH(MU$1,PortfolioRef[Reference '#]),0),AssetMonthlyReturns[[#This Row],[SPY]:[PE]])</f>
        <v>8.6920081480300337E-3</v>
      </c>
      <c r="MV111" s="27">
        <f>IF(ISNUMBER(MV110),MV110*(1+PortfolioFrontier[[#This Row],[P90 Return]]),1+PortfolioFrontier[[#This Row],[P90 Return]])</f>
        <v>2.0447239947004019</v>
      </c>
      <c r="MW111" s="27">
        <f>MAX(MW110,PortfolioFrontier[[#This Row],[P90 Growth]])</f>
        <v>2.0486526160099463</v>
      </c>
      <c r="MX111" s="27">
        <f>PortfolioFrontier[[#This Row],[P90 Growth]]/PortfolioFrontier[[#This Row],[P90 HWM]]-1</f>
        <v>-1.9176610416244966E-3</v>
      </c>
      <c r="MY111" s="28">
        <f>SUMPRODUCT(INDEX(PortfolioRef[[SPY]:[PE]],MATCH(MY$1,PortfolioRef[Reference '#]),0),AssetMonthlyReturns[[#This Row],[SPY]:[PE]])</f>
        <v>3.2747137970246098E-3</v>
      </c>
      <c r="MZ111" s="27">
        <f>IF(ISNUMBER(MZ110),MZ110*(1+PortfolioFrontier[[#This Row],[P91 Return]]),1+PortfolioFrontier[[#This Row],[P91 Return]])</f>
        <v>2.0171991226322175</v>
      </c>
      <c r="NA111" s="27">
        <f>MAX(NA110,PortfolioFrontier[[#This Row],[P91 Growth]])</f>
        <v>2.0461595899307512</v>
      </c>
      <c r="NB111" s="27">
        <f>PortfolioFrontier[[#This Row],[P91 Growth]]/PortfolioFrontier[[#This Row],[P91 HWM]]-1</f>
        <v>-1.4153572107009404E-2</v>
      </c>
      <c r="NC111" s="28">
        <f>SUMPRODUCT(INDEX(PortfolioRef[[SPY]:[PE]],MATCH(NC$1,PortfolioRef[Reference '#]),0),AssetMonthlyReturns[[#This Row],[SPY]:[PE]])</f>
        <v>4.2675677404790894E-3</v>
      </c>
      <c r="ND111" s="27">
        <f>IF(ISNUMBER(ND110),ND110*(1+PortfolioFrontier[[#This Row],[P92 Return]]),1+PortfolioFrontier[[#This Row],[P92 Return]])</f>
        <v>2.0077315625979364</v>
      </c>
      <c r="NE111" s="27">
        <f>MAX(NE110,PortfolioFrontier[[#This Row],[P92 Growth]])</f>
        <v>2.0341900173871084</v>
      </c>
      <c r="NF111" s="27">
        <f>PortfolioFrontier[[#This Row],[P92 Growth]]/PortfolioFrontier[[#This Row],[P92 HWM]]-1</f>
        <v>-1.300687475753004E-2</v>
      </c>
      <c r="NG111" s="28">
        <f>SUMPRODUCT(INDEX(PortfolioRef[[SPY]:[PE]],MATCH(NG$1,PortfolioRef[Reference '#]),0),AssetMonthlyReturns[[#This Row],[SPY]:[PE]])</f>
        <v>5.2604216839335699E-3</v>
      </c>
      <c r="NH111" s="27">
        <f>IF(ISNUMBER(NH110),NH110*(1+PortfolioFrontier[[#This Row],[P93 Return]]),1+PortfolioFrontier[[#This Row],[P93 Return]])</f>
        <v>1.9965916599730089</v>
      </c>
      <c r="NI111" s="27">
        <f>MAX(NI110,PortfolioFrontier[[#This Row],[P93 Growth]])</f>
        <v>2.0205551186039474</v>
      </c>
      <c r="NJ111" s="27">
        <f>PortfolioFrontier[[#This Row],[P93 Growth]]/PortfolioFrontier[[#This Row],[P93 HWM]]-1</f>
        <v>-1.1859839115646365E-2</v>
      </c>
      <c r="NK111" s="28">
        <f>SUMPRODUCT(INDEX(PortfolioRef[[SPY]:[PE]],MATCH(NK$1,PortfolioRef[Reference '#]),0),AssetMonthlyReturns[[#This Row],[SPY]:[PE]])</f>
        <v>-1.568726670718542E-4</v>
      </c>
      <c r="NL111" s="27">
        <f>IF(ISNUMBER(NL110),NL110*(1+PortfolioFrontier[[#This Row],[P94 Return]]),1+PortfolioFrontier[[#This Row],[P94 Return]])</f>
        <v>1.9652853904287548</v>
      </c>
      <c r="NM111" s="27">
        <f>MAX(NM110,PortfolioFrontier[[#This Row],[P94 Growth]])</f>
        <v>2.0203871878359139</v>
      </c>
      <c r="NN111" s="27">
        <f>PortfolioFrontier[[#This Row],[P94 Growth]]/PortfolioFrontier[[#This Row],[P94 HWM]]-1</f>
        <v>-2.7272889938576572E-2</v>
      </c>
      <c r="NO111" s="28">
        <f>SUMPRODUCT(INDEX(PortfolioRef[[SPY]:[PE]],MATCH(NO$1,PortfolioRef[Reference '#]),0),AssetMonthlyReturns[[#This Row],[SPY]:[PE]])</f>
        <v>8.3598127638262563E-4</v>
      </c>
      <c r="NP111" s="27">
        <f>IF(ISNUMBER(NP110),NP110*(1+PortfolioFrontier[[#This Row],[P95 Return]]),1+PortfolioFrontier[[#This Row],[P95 Return]])</f>
        <v>1.9573426766254045</v>
      </c>
      <c r="NQ111" s="27">
        <f>MAX(NQ110,PortfolioFrontier[[#This Row],[P95 Growth]])</f>
        <v>2.0038965423933455</v>
      </c>
      <c r="NR111" s="27">
        <f>PortfolioFrontier[[#This Row],[P95 Growth]]/PortfolioFrontier[[#This Row],[P95 HWM]]-1</f>
        <v>-2.3231671287949562E-2</v>
      </c>
      <c r="NS111" s="28">
        <f>SUMPRODUCT(INDEX(PortfolioRef[[SPY]:[PE]],MATCH(NS$1,PortfolioRef[Reference '#]),0),AssetMonthlyReturns[[#This Row],[SPY]:[PE]])</f>
        <v>1.8288352198371058E-3</v>
      </c>
      <c r="NT111" s="27">
        <f>IF(ISNUMBER(NT110),NT110*(1+PortfolioFrontier[[#This Row],[P96 Return]]),1+PortfolioFrontier[[#This Row],[P96 Return]])</f>
        <v>1.9477512921812907</v>
      </c>
      <c r="NU111" s="27">
        <f>MAX(NU110,PortfolioFrontier[[#This Row],[P96 Growth]])</f>
        <v>1.9910716783625562</v>
      </c>
      <c r="NV111" s="27">
        <f>PortfolioFrontier[[#This Row],[P96 Growth]]/PortfolioFrontier[[#This Row],[P96 HWM]]-1</f>
        <v>-2.1757321271774543E-2</v>
      </c>
      <c r="NW111" s="28">
        <f>SUMPRODUCT(INDEX(PortfolioRef[[SPY]:[PE]],MATCH(NW$1,PortfolioRef[Reference '#]),0),AssetMonthlyReturns[[#This Row],[SPY]:[PE]])</f>
        <v>4.9502057843249852E-3</v>
      </c>
      <c r="NX111" s="27">
        <f>IF(ISNUMBER(NX110),NX110*(1+PortfolioFrontier[[#This Row],[P97 Return]]),1+PortfolioFrontier[[#This Row],[P97 Return]])</f>
        <v>1.7172259161158125</v>
      </c>
      <c r="NY111" s="27">
        <f>MAX(NY110,PortfolioFrontier[[#This Row],[P97 Growth]])</f>
        <v>1.7295497294044972</v>
      </c>
      <c r="NZ111" s="27">
        <f>PortfolioFrontier[[#This Row],[P97 Growth]]/PortfolioFrontier[[#This Row],[P97 HWM]]-1</f>
        <v>-7.1254460505902895E-3</v>
      </c>
      <c r="OA111" s="28">
        <f>SUMPRODUCT(INDEX(PortfolioRef[[SPY]:[PE]],MATCH(OA$1,PortfolioRef[Reference '#]),0),AssetMonthlyReturns[[#This Row],[SPY]:[PE]])</f>
        <v>7.4580980533967504E-3</v>
      </c>
      <c r="OB111" s="27">
        <f>IF(ISNUMBER(OB110),OB110*(1+PortfolioFrontier[[#This Row],[P98 Return]]),1+PortfolioFrontier[[#This Row],[P98 Return]])</f>
        <v>1.7898476111754946</v>
      </c>
      <c r="OC111" s="27">
        <f>MAX(OC110,PortfolioFrontier[[#This Row],[P98 Growth]])</f>
        <v>1.7898476111754946</v>
      </c>
      <c r="OD111" s="27">
        <f>PortfolioFrontier[[#This Row],[P98 Growth]]/PortfolioFrontier[[#This Row],[P98 HWM]]-1</f>
        <v>0</v>
      </c>
      <c r="OE111" s="28">
        <f>SUMPRODUCT(INDEX(PortfolioRef[[SPY]:[PE]],MATCH(OE$1,PortfolioRef[Reference '#]),0),AssetMonthlyReturns[[#This Row],[SPY]:[PE]])</f>
        <v>4.0265115893002865E-3</v>
      </c>
      <c r="OF111" s="27">
        <f>IF(ISNUMBER(OF110),OF110*(1+PortfolioFrontier[[#This Row],[P99 Return]]),1+PortfolioFrontier[[#This Row],[P99 Return]])</f>
        <v>1.7486507240398166</v>
      </c>
      <c r="OG111" s="27">
        <f>MAX(OG110,PortfolioFrontier[[#This Row],[P99 Growth]])</f>
        <v>1.7660167198671468</v>
      </c>
      <c r="OH111" s="27">
        <f>PortfolioFrontier[[#This Row],[P99 Growth]]/PortfolioFrontier[[#This Row],[P99 HWM]]-1</f>
        <v>-9.8334266215988064E-3</v>
      </c>
      <c r="OI111" s="28">
        <f>SUMPRODUCT(INDEX(PortfolioRef[[SPY]:[PE]],MATCH(OI$1,PortfolioRef[Reference '#]),0),AssetMonthlyReturns[[#This Row],[SPY]:[PE]])</f>
        <v>5.0193655327547661E-3</v>
      </c>
      <c r="OJ111" s="27">
        <f>IF(ISNUMBER(OJ110),OJ110*(1+PortfolioFrontier[[#This Row],[P100 Return]]),1+PortfolioFrontier[[#This Row],[P100 Return]])</f>
        <v>1.7363778764675688</v>
      </c>
      <c r="OK111" s="27">
        <f>MAX(OK110,PortfolioFrontier[[#This Row],[P100 Growth]])</f>
        <v>1.7515870109459772</v>
      </c>
      <c r="OL111" s="27">
        <f>PortfolioFrontier[[#This Row],[P100 Growth]]/PortfolioFrontier[[#This Row],[P100 HWM]]-1</f>
        <v>-8.6830596386955339E-3</v>
      </c>
      <c r="OM111" s="28">
        <f>SUMPRODUCT(INDEX(PortfolioRef[[SPY]:[PE]],MATCH(OM$1,PortfolioRef[Reference '#]),0),AssetMonthlyReturns[[#This Row],[SPY]:[PE]])</f>
        <v>9.9659903224685147E-3</v>
      </c>
      <c r="ON111" s="27">
        <f>IF(ISNUMBER(ON110),ON110*(1+PortfolioFrontier[[#This Row],[P101 Return]]),1+PortfolioFrontier[[#This Row],[P101 Return]])</f>
        <v>1.864878206165699</v>
      </c>
      <c r="OO111" s="27">
        <f>MAX(OO110,PortfolioFrontier[[#This Row],[P101 Growth]])</f>
        <v>1.864878206165699</v>
      </c>
      <c r="OP111" s="27">
        <f>PortfolioFrontier[[#This Row],[P101 Growth]]/PortfolioFrontier[[#This Row],[P101 HWM]]-1</f>
        <v>0</v>
      </c>
      <c r="OQ111" s="28">
        <f>SUMPRODUCT(INDEX(PortfolioRef[[SPY]:[PE]],MATCH(OQ$1,PortfolioRef[Reference '#]),0),AssetMonthlyReturns[[#This Row],[SPY]:[PE]])</f>
        <v>6.5344038583720516E-3</v>
      </c>
      <c r="OR111" s="27">
        <f>IF(ISNUMBER(OR110),OR110*(1+PortfolioFrontier[[#This Row],[P102 Return]]),1+PortfolioFrontier[[#This Row],[P102 Return]])</f>
        <v>1.8225955696132523</v>
      </c>
      <c r="OS111" s="27">
        <f>MAX(OS110,PortfolioFrontier[[#This Row],[P102 Growth]])</f>
        <v>1.8273559081618382</v>
      </c>
      <c r="OT111" s="27">
        <f>PortfolioFrontier[[#This Row],[P102 Growth]]/PortfolioFrontier[[#This Row],[P102 HWM]]-1</f>
        <v>-2.6050418133238828E-3</v>
      </c>
      <c r="OU111" s="28">
        <f>SUMPRODUCT(INDEX(PortfolioRef[[SPY]:[PE]],MATCH(OU$1,PortfolioRef[Reference '#]),0),AssetMonthlyReturns[[#This Row],[SPY]:[PE]])</f>
        <v>7.5272578018265313E-3</v>
      </c>
      <c r="OV111" s="27">
        <f>IF(ISNUMBER(OV110),OV110*(1+PortfolioFrontier[[#This Row],[P103 Return]]),1+PortfolioFrontier[[#This Row],[P103 Return]])</f>
        <v>1.8098101417594932</v>
      </c>
      <c r="OW111" s="27">
        <f>MAX(OW110,PortfolioFrontier[[#This Row],[P103 Growth]])</f>
        <v>1.8124373732116703</v>
      </c>
      <c r="OX111" s="27">
        <f>PortfolioFrontier[[#This Row],[P103 Growth]]/PortfolioFrontier[[#This Row],[P103 HWM]]-1</f>
        <v>-1.4495570942247848E-3</v>
      </c>
      <c r="OY111" s="28">
        <f>SUMPRODUCT(INDEX(PortfolioRef[[SPY]:[PE]],MATCH(OY$1,PortfolioRef[Reference '#]),0),AssetMonthlyReturns[[#This Row],[SPY]:[PE]])</f>
        <v>3.1028173942755869E-3</v>
      </c>
      <c r="OZ111" s="27">
        <f>IF(ISNUMBER(OZ110),OZ110*(1+PortfolioFrontier[[#This Row],[P104 Return]]),1+PortfolioFrontier[[#This Row],[P104 Return]])</f>
        <v>1.7795946797695499</v>
      </c>
      <c r="PA111" s="27">
        <f>MAX(PA110,PortfolioFrontier[[#This Row],[P104 Growth]])</f>
        <v>1.8021907341162027</v>
      </c>
      <c r="PB111" s="27">
        <f>PortfolioFrontier[[#This Row],[P104 Growth]]/PortfolioFrontier[[#This Row],[P104 HWM]]-1</f>
        <v>-1.2538103719490046E-2</v>
      </c>
      <c r="PC111" s="28">
        <f>SUMPRODUCT(INDEX(PortfolioRef[[SPY]:[PE]],MATCH(PC$1,PortfolioRef[Reference '#]),0),AssetMonthlyReturns[[#This Row],[SPY]:[PE]])</f>
        <v>4.0956713377300674E-3</v>
      </c>
      <c r="PD111" s="27">
        <f>IF(ISNUMBER(PD110),PD110*(1+PortfolioFrontier[[#This Row],[P105 Return]]),1+PortfolioFrontier[[#This Row],[P105 Return]])</f>
        <v>1.7682519484915307</v>
      </c>
      <c r="PE111" s="27">
        <f>MAX(PE110,PortfolioFrontier[[#This Row],[P105 Growth]])</f>
        <v>1.7886237822445519</v>
      </c>
      <c r="PF111" s="27">
        <f>PortfolioFrontier[[#This Row],[P105 Growth]]/PortfolioFrontier[[#This Row],[P105 HWM]]-1</f>
        <v>-1.1389669507500644E-2</v>
      </c>
      <c r="PG111" s="28">
        <f>SUMPRODUCT(INDEX(PortfolioRef[[SPY]:[PE]],MATCH(PG$1,PortfolioRef[Reference '#]),0),AssetMonthlyReturns[[#This Row],[SPY]:[PE]])</f>
        <v>5.0885252811845479E-3</v>
      </c>
      <c r="PH111" s="27">
        <f>IF(ISNUMBER(PH110),PH110*(1+PortfolioFrontier[[#This Row],[P106 Return]]),1+PortfolioFrontier[[#This Row],[P106 Return]])</f>
        <v>1.7554811378977531</v>
      </c>
      <c r="PI111" s="27">
        <f>MAX(PI110,PortfolioFrontier[[#This Row],[P106 Growth]])</f>
        <v>1.7736448521486989</v>
      </c>
      <c r="PJ111" s="27">
        <f>PortfolioFrontier[[#This Row],[P106 Growth]]/PortfolioFrontier[[#This Row],[P106 HWM]]-1</f>
        <v>-1.0240897003107041E-2</v>
      </c>
      <c r="PK111" s="28">
        <f>SUMPRODUCT(INDEX(PortfolioRef[[SPY]:[PE]],MATCH(PK$1,PortfolioRef[Reference '#]),0),AssetMonthlyReturns[[#This Row],[SPY]:[PE]])</f>
        <v>9.0422961274438177E-3</v>
      </c>
      <c r="PL111" s="27">
        <f>IF(ISNUMBER(PL110),PL110*(1+PortfolioFrontier[[#This Row],[P107 Return]]),1+PortfolioFrontier[[#This Row],[P107 Return]])</f>
        <v>1.8989933537183219</v>
      </c>
      <c r="PM111" s="27">
        <f>MAX(PM110,PortfolioFrontier[[#This Row],[P107 Growth]])</f>
        <v>1.8989933537183219</v>
      </c>
      <c r="PN111" s="27">
        <f>PortfolioFrontier[[#This Row],[P107 Growth]]/PortfolioFrontier[[#This Row],[P107 HWM]]-1</f>
        <v>0</v>
      </c>
      <c r="PO111" s="28">
        <f>SUMPRODUCT(INDEX(PortfolioRef[[SPY]:[PE]],MATCH(PO$1,PortfolioRef[Reference '#]),0),AssetMonthlyReturns[[#This Row],[SPY]:[PE]])</f>
        <v>1.0035150070898297E-2</v>
      </c>
      <c r="PP111" s="27">
        <f>IF(ISNUMBER(PP110),PP110*(1+PortfolioFrontier[[#This Row],[P108 Return]]),1+PortfolioFrontier[[#This Row],[P108 Return]])</f>
        <v>1.8856785591287712</v>
      </c>
      <c r="PQ111" s="27">
        <f>MAX(PQ110,PortfolioFrontier[[#This Row],[P108 Growth]])</f>
        <v>1.8856785591287712</v>
      </c>
      <c r="PR111" s="27">
        <f>PortfolioFrontier[[#This Row],[P108 Growth]]/PortfolioFrontier[[#This Row],[P108 HWM]]-1</f>
        <v>0</v>
      </c>
      <c r="PS111" s="28">
        <f>SUMPRODUCT(INDEX(PortfolioRef[[SPY]:[PE]],MATCH(PS$1,PortfolioRef[Reference '#]),0),AssetMonthlyReturns[[#This Row],[SPY]:[PE]])</f>
        <v>5.6107096633473521E-3</v>
      </c>
      <c r="PT111" s="27">
        <f>IF(ISNUMBER(PT110),PT110*(1+PortfolioFrontier[[#This Row],[P109 Return]]),1+PortfolioFrontier[[#This Row],[P109 Return]])</f>
        <v>1.8548428228644769</v>
      </c>
      <c r="PU111" s="27">
        <f>MAX(PU110,PortfolioFrontier[[#This Row],[P109 Growth]])</f>
        <v>1.8647606779220043</v>
      </c>
      <c r="PV111" s="27">
        <f>PortfolioFrontier[[#This Row],[P109 Growth]]/PortfolioFrontier[[#This Row],[P109 HWM]]-1</f>
        <v>-5.3185672429447717E-3</v>
      </c>
      <c r="PW111" s="28">
        <f>SUMPRODUCT(INDEX(PortfolioRef[[SPY]:[PE]],MATCH(PW$1,PortfolioRef[Reference '#]),0),AssetMonthlyReturns[[#This Row],[SPY]:[PE]])</f>
        <v>6.6035636068018325E-3</v>
      </c>
      <c r="PX111" s="27">
        <f>IF(ISNUMBER(PX110),PX110*(1+PortfolioFrontier[[#This Row],[P110 Return]]),1+PortfolioFrontier[[#This Row],[P110 Return]])</f>
        <v>1.8430262729290066</v>
      </c>
      <c r="PY111" s="27">
        <f>MAX(PY110,PortfolioFrontier[[#This Row],[P110 Growth]])</f>
        <v>1.8507346108899039</v>
      </c>
      <c r="PZ111" s="27">
        <f>PortfolioFrontier[[#This Row],[P110 Growth]]/PortfolioFrontier[[#This Row],[P110 HWM]]-1</f>
        <v>-4.1650152947595442E-3</v>
      </c>
      <c r="QA111" s="28">
        <f>SUMPRODUCT(INDEX(PortfolioRef[[SPY]:[PE]],MATCH(QA$1,PortfolioRef[Reference '#]),0),AssetMonthlyReturns[[#This Row],[SPY]:[PE]])</f>
        <v>7.596417550256313E-3</v>
      </c>
      <c r="QB111" s="27">
        <f>IF(ISNUMBER(QB110),QB110*(1+PortfolioFrontier[[#This Row],[P111 Return]]),1+PortfolioFrontier[[#This Row],[P111 Return]])</f>
        <v>1.8297221745980192</v>
      </c>
      <c r="QC111" s="27">
        <f>MAX(QC110,PortfolioFrontier[[#This Row],[P111 Growth]])</f>
        <v>1.8352483368457193</v>
      </c>
      <c r="QD111" s="27">
        <f>PortfolioFrontier[[#This Row],[P111 Growth]]/PortfolioFrontier[[#This Row],[P111 HWM]]-1</f>
        <v>-3.0111250541701162E-3</v>
      </c>
      <c r="QE111" s="28">
        <f>SUMPRODUCT(INDEX(PortfolioRef[[SPY]:[PE]],MATCH(QE$1,PortfolioRef[Reference '#]),0),AssetMonthlyReturns[[#This Row],[SPY]:[PE]])</f>
        <v>2.1791231992508882E-3</v>
      </c>
      <c r="QF111" s="27">
        <f>IF(ISNUMBER(QF110),QF110*(1+PortfolioFrontier[[#This Row],[P112 Return]]),1+PortfolioFrontier[[#This Row],[P112 Return]])</f>
        <v>1.810008732349109</v>
      </c>
      <c r="QG111" s="27">
        <f>MAX(QG110,PortfolioFrontier[[#This Row],[P112 Growth]])</f>
        <v>1.8380191840629578</v>
      </c>
      <c r="QH111" s="27">
        <f>PortfolioFrontier[[#This Row],[P112 Growth]]/PortfolioFrontier[[#This Row],[P112 HWM]]-1</f>
        <v>-1.5239477344263341E-2</v>
      </c>
      <c r="QI111" s="28">
        <f>SUMPRODUCT(INDEX(PortfolioRef[[SPY]:[PE]],MATCH(QI$1,PortfolioRef[Reference '#]),0),AssetMonthlyReturns[[#This Row],[SPY]:[PE]])</f>
        <v>3.1719771427053678E-3</v>
      </c>
      <c r="QJ111" s="27">
        <f>IF(ISNUMBER(QJ110),QJ110*(1+PortfolioFrontier[[#This Row],[P113 Return]]),1+PortfolioFrontier[[#This Row],[P113 Return]])</f>
        <v>1.79964352168418</v>
      </c>
      <c r="QK111" s="27">
        <f>MAX(QK110,PortfolioFrontier[[#This Row],[P113 Growth]])</f>
        <v>1.8253683944820565</v>
      </c>
      <c r="QL111" s="27">
        <f>PortfolioFrontier[[#This Row],[P113 Growth]]/PortfolioFrontier[[#This Row],[P113 HWM]]-1</f>
        <v>-1.4092975903187921E-2</v>
      </c>
      <c r="QM111" s="28">
        <f>SUMPRODUCT(INDEX(PortfolioRef[[SPY]:[PE]],MATCH(QM$1,PortfolioRef[Reference '#]),0),AssetMonthlyReturns[[#This Row],[SPY]:[PE]])</f>
        <v>4.1648310861598491E-3</v>
      </c>
      <c r="QN111" s="27">
        <f>IF(ISNUMBER(QN110),QN110*(1+PortfolioFrontier[[#This Row],[P114 Return]]),1+PortfolioFrontier[[#This Row],[P114 Return]])</f>
        <v>1.7878058074283609</v>
      </c>
      <c r="QO111" s="27">
        <f>MAX(QO110,PortfolioFrontier[[#This Row],[P114 Growth]])</f>
        <v>1.8112545555424173</v>
      </c>
      <c r="QP111" s="27">
        <f>PortfolioFrontier[[#This Row],[P114 Growth]]/PortfolioFrontier[[#This Row],[P114 HWM]]-1</f>
        <v>-1.2946136169708189E-2</v>
      </c>
      <c r="QQ111" s="28">
        <f>SUMPRODUCT(INDEX(PortfolioRef[[SPY]:[PE]],MATCH(QQ$1,PortfolioRef[Reference '#]),0),AssetMonthlyReturns[[#This Row],[SPY]:[PE]])</f>
        <v>8.1186019324191172E-3</v>
      </c>
      <c r="QR111" s="27">
        <f>IF(ISNUMBER(QR110),QR110*(1+PortfolioFrontier[[#This Row],[P115 Return]]),1+PortfolioFrontier[[#This Row],[P115 Return]])</f>
        <v>1.932587310461003</v>
      </c>
      <c r="QS111" s="27">
        <f>MAX(QS110,PortfolioFrontier[[#This Row],[P115 Growth]])</f>
        <v>1.932587310461003</v>
      </c>
      <c r="QT111" s="27">
        <f>PortfolioFrontier[[#This Row],[P115 Growth]]/PortfolioFrontier[[#This Row],[P115 HWM]]-1</f>
        <v>0</v>
      </c>
      <c r="QU111" s="28">
        <f>SUMPRODUCT(INDEX(PortfolioRef[[SPY]:[PE]],MATCH(QU$1,PortfolioRef[Reference '#]),0),AssetMonthlyReturns[[#This Row],[SPY]:[PE]])</f>
        <v>9.1114558758736003E-3</v>
      </c>
      <c r="QV111" s="27">
        <f>IF(ISNUMBER(QV110),QV110*(1+PortfolioFrontier[[#This Row],[P116 Return]]),1+PortfolioFrontier[[#This Row],[P116 Return]])</f>
        <v>1.9202814218991804</v>
      </c>
      <c r="QW111" s="27">
        <f>MAX(QW110,PortfolioFrontier[[#This Row],[P116 Growth]])</f>
        <v>1.9202814218991804</v>
      </c>
      <c r="QX111" s="27">
        <f>PortfolioFrontier[[#This Row],[P116 Growth]]/PortfolioFrontier[[#This Row],[P116 HWM]]-1</f>
        <v>0</v>
      </c>
      <c r="QY111" s="28">
        <f>SUMPRODUCT(INDEX(PortfolioRef[[SPY]:[PE]],MATCH(QY$1,PortfolioRef[Reference '#]),0),AssetMonthlyReturns[[#This Row],[SPY]:[PE]])</f>
        <v>1.0104309819328078E-2</v>
      </c>
      <c r="QZ111" s="27">
        <f>IF(ISNUMBER(QZ110),QZ110*(1+PortfolioFrontier[[#This Row],[P117 Return]]),1+PortfolioFrontier[[#This Row],[P117 Return]])</f>
        <v>1.9064265709020236</v>
      </c>
      <c r="RA111" s="27">
        <f>MAX(RA110,PortfolioFrontier[[#This Row],[P117 Growth]])</f>
        <v>1.9064265709020236</v>
      </c>
      <c r="RB111" s="27">
        <f>PortfolioFrontier[[#This Row],[P117 Growth]]/PortfolioFrontier[[#This Row],[P117 HWM]]-1</f>
        <v>0</v>
      </c>
      <c r="RC111" s="28">
        <f>SUMPRODUCT(INDEX(PortfolioRef[[SPY]:[PE]],MATCH(RC$1,PortfolioRef[Reference '#]),0),AssetMonthlyReturns[[#This Row],[SPY]:[PE]])</f>
        <v>4.6870154683226533E-3</v>
      </c>
      <c r="RD111" s="27">
        <f>IF(ISNUMBER(RD110),RD110*(1+PortfolioFrontier[[#This Row],[P118 Return]]),1+PortfolioFrontier[[#This Row],[P118 Return]])</f>
        <v>1.886538286824742</v>
      </c>
      <c r="RE111" s="27">
        <f>MAX(RE110,PortfolioFrontier[[#This Row],[P118 Growth]])</f>
        <v>1.9018074983267361</v>
      </c>
      <c r="RF111" s="27">
        <f>PortfolioFrontier[[#This Row],[P118 Growth]]/PortfolioFrontier[[#This Row],[P118 HWM]]-1</f>
        <v>-8.0287891994476057E-3</v>
      </c>
      <c r="RG111" s="28">
        <f>SUMPRODUCT(INDEX(PortfolioRef[[SPY]:[PE]],MATCH(RG$1,PortfolioRef[Reference '#]),0),AssetMonthlyReturns[[#This Row],[SPY]:[PE]])</f>
        <v>5.6798694117771329E-3</v>
      </c>
      <c r="RH111" s="27">
        <f>IF(ISNUMBER(RH110),RH110*(1+PortfolioFrontier[[#This Row],[P119 Return]]),1+PortfolioFrontier[[#This Row],[P119 Return]])</f>
        <v>1.8757399866421747</v>
      </c>
      <c r="RI111" s="27">
        <f>MAX(RI110,PortfolioFrontier[[#This Row],[P119 Growth]])</f>
        <v>1.8887290977733939</v>
      </c>
      <c r="RJ111" s="27">
        <f>PortfolioFrontier[[#This Row],[P119 Growth]]/PortfolioFrontier[[#This Row],[P119 HWM]]-1</f>
        <v>-6.8771700221762488E-3</v>
      </c>
      <c r="RK111" s="28">
        <f>SUMPRODUCT(INDEX(PortfolioRef[[SPY]:[PE]],MATCH(RK$1,PortfolioRef[Reference '#]),0),AssetMonthlyReturns[[#This Row],[SPY]:[PE]])</f>
        <v>6.6727233552316143E-3</v>
      </c>
      <c r="RL111" s="27">
        <f>IF(ISNUMBER(RL110),RL110*(1+PortfolioFrontier[[#This Row],[P120 Return]]),1+PortfolioFrontier[[#This Row],[P120 Return]])</f>
        <v>1.8634078729099988</v>
      </c>
      <c r="RM111" s="27">
        <f>MAX(RM110,PortfolioFrontier[[#This Row],[P120 Growth]])</f>
        <v>1.8741377096504042</v>
      </c>
      <c r="RN111" s="27">
        <f>PortfolioFrontier[[#This Row],[P120 Growth]]/PortfolioFrontier[[#This Row],[P120 HWM]]-1</f>
        <v>-5.7252125525006914E-3</v>
      </c>
      <c r="RO111" s="28">
        <f>SUMPRODUCT(INDEX(PortfolioRef[[SPY]:[PE]],MATCH(RO$1,PortfolioRef[Reference '#]),0),AssetMonthlyReturns[[#This Row],[SPY]:[PE]])</f>
        <v>1.2554290042261895E-3</v>
      </c>
      <c r="RP111" s="27">
        <f>IF(ISNUMBER(RP110),RP110*(1+PortfolioFrontier[[#This Row],[P121 Return]]),1+PortfolioFrontier[[#This Row],[P121 Return]])</f>
        <v>1.8398435424757966</v>
      </c>
      <c r="RQ111" s="27">
        <f>MAX(RQ110,PortfolioFrontier[[#This Row],[P121 Growth]])</f>
        <v>1.8736715153024748</v>
      </c>
      <c r="RR111" s="27">
        <f>PortfolioFrontier[[#This Row],[P121 Growth]]/PortfolioFrontier[[#This Row],[P121 HWM]]-1</f>
        <v>-1.8054377488477269E-2</v>
      </c>
      <c r="RS111" s="28">
        <f>SUMPRODUCT(INDEX(PortfolioRef[[SPY]:[PE]],MATCH(RS$1,PortfolioRef[Reference '#]),0),AssetMonthlyReturns[[#This Row],[SPY]:[PE]])</f>
        <v>2.2482829476806691E-3</v>
      </c>
      <c r="RT111" s="27">
        <f>IF(ISNUMBER(RT110),RT110*(1+PortfolioFrontier[[#This Row],[P122 Return]]),1+PortfolioFrontier[[#This Row],[P122 Return]])</f>
        <v>1.8305029353736089</v>
      </c>
      <c r="RU111" s="27">
        <f>MAX(RU110,PortfolioFrontier[[#This Row],[P122 Growth]])</f>
        <v>1.8617675585630407</v>
      </c>
      <c r="RV111" s="27">
        <f>PortfolioFrontier[[#This Row],[P122 Growth]]/PortfolioFrontier[[#This Row],[P122 HWM]]-1</f>
        <v>-1.6792978825757698E-2</v>
      </c>
      <c r="RW111" s="28">
        <f>SUMPRODUCT(INDEX(PortfolioRef[[SPY]:[PE]],MATCH(RW$1,PortfolioRef[Reference '#]),0),AssetMonthlyReturns[[#This Row],[SPY]:[PE]])</f>
        <v>3.2411368911351495E-3</v>
      </c>
      <c r="RX111" s="27">
        <f>IF(ISNUMBER(RX110),RX110*(1+PortfolioFrontier[[#This Row],[P123 Return]]),1+PortfolioFrontier[[#This Row],[P123 Return]])</f>
        <v>1.8196464288580354</v>
      </c>
      <c r="RY111" s="27">
        <f>MAX(RY110,PortfolioFrontier[[#This Row],[P123 Growth]])</f>
        <v>1.8485730325151917</v>
      </c>
      <c r="RZ111" s="27">
        <f>PortfolioFrontier[[#This Row],[P123 Growth]]/PortfolioFrontier[[#This Row],[P123 HWM]]-1</f>
        <v>-1.5648071863191837E-2</v>
      </c>
      <c r="SA111" s="28">
        <f>SUMPRODUCT(INDEX(PortfolioRef[[SPY]:[PE]],MATCH(SA$1,PortfolioRef[Reference '#]),0),AssetMonthlyReturns[[#This Row],[SPY]:[PE]])</f>
        <v>7.1949077373944193E-3</v>
      </c>
      <c r="SB111" s="27">
        <f>IF(ISNUMBER(SB110),SB110*(1+PortfolioFrontier[[#This Row],[P124 Return]]),1+PortfolioFrontier[[#This Row],[P124 Return]])</f>
        <v>1.9656068927066712</v>
      </c>
      <c r="SC111" s="27">
        <f>MAX(SC110,PortfolioFrontier[[#This Row],[P124 Growth]])</f>
        <v>1.9671696226283912</v>
      </c>
      <c r="SD111" s="27">
        <f>PortfolioFrontier[[#This Row],[P124 Growth]]/PortfolioFrontier[[#This Row],[P124 HWM]]-1</f>
        <v>-7.9440527331442468E-4</v>
      </c>
      <c r="SE111" s="28">
        <f>SUMPRODUCT(INDEX(PortfolioRef[[SPY]:[PE]],MATCH(SE$1,PortfolioRef[Reference '#]),0),AssetMonthlyReturns[[#This Row],[SPY]:[PE]])</f>
        <v>8.1877616808488998E-3</v>
      </c>
      <c r="SF111" s="27">
        <f>IF(ISNUMBER(SF110),SF110*(1+PortfolioFrontier[[#This Row],[P125 Return]]),1+PortfolioFrontier[[#This Row],[P125 Return]])</f>
        <v>1.9543613139509015</v>
      </c>
      <c r="SG111" s="27">
        <f>MAX(SG110,PortfolioFrontier[[#This Row],[P125 Growth]])</f>
        <v>1.9543613139509015</v>
      </c>
      <c r="SH111" s="27">
        <f>PortfolioFrontier[[#This Row],[P125 Growth]]/PortfolioFrontier[[#This Row],[P125 HWM]]-1</f>
        <v>0</v>
      </c>
      <c r="SI111" s="28">
        <f>SUMPRODUCT(INDEX(PortfolioRef[[SPY]:[PE]],MATCH(SI$1,PortfolioRef[Reference '#]),0),AssetMonthlyReturns[[#This Row],[SPY]:[PE]])</f>
        <v>9.1806156243033812E-3</v>
      </c>
      <c r="SJ111" s="27">
        <f>IF(ISNUMBER(SJ110),SJ110*(1+PortfolioFrontier[[#This Row],[P126 Return]]),1+PortfolioFrontier[[#This Row],[P126 Return]])</f>
        <v>1.9415186066218502</v>
      </c>
      <c r="SK111" s="27">
        <f>MAX(SK110,PortfolioFrontier[[#This Row],[P126 Growth]])</f>
        <v>1.9415186066218502</v>
      </c>
      <c r="SL111" s="27">
        <f>PortfolioFrontier[[#This Row],[P126 Growth]]/PortfolioFrontier[[#This Row],[P126 HWM]]-1</f>
        <v>0</v>
      </c>
      <c r="SM111" s="28">
        <f>SUMPRODUCT(INDEX(PortfolioRef[[SPY]:[PE]],MATCH(SM$1,PortfolioRef[Reference '#]),0),AssetMonthlyReturns[[#This Row],[SPY]:[PE]])</f>
        <v>3.7633212732979546E-3</v>
      </c>
      <c r="SN111" s="27">
        <f>IF(ISNUMBER(SN110),SN110*(1+PortfolioFrontier[[#This Row],[P127 Return]]),1+PortfolioFrontier[[#This Row],[P127 Return]])</f>
        <v>1.9176305764735133</v>
      </c>
      <c r="SO111" s="27">
        <f>MAX(SO110,PortfolioFrontier[[#This Row],[P127 Growth]])</f>
        <v>1.9384411136298287</v>
      </c>
      <c r="SP111" s="27">
        <f>PortfolioFrontier[[#This Row],[P127 Growth]]/PortfolioFrontier[[#This Row],[P127 HWM]]-1</f>
        <v>-1.0735707682833162E-2</v>
      </c>
      <c r="SQ111" s="28">
        <f>SUMPRODUCT(INDEX(PortfolioRef[[SPY]:[PE]],MATCH(SQ$1,PortfolioRef[Reference '#]),0),AssetMonthlyReturns[[#This Row],[SPY]:[PE]])</f>
        <v>4.7561752167524342E-3</v>
      </c>
      <c r="SR111" s="27">
        <f>IF(ISNUMBER(SR110),SR110*(1+PortfolioFrontier[[#This Row],[P128 Return]]),1+PortfolioFrontier[[#This Row],[P128 Return]])</f>
        <v>1.9078995638882581</v>
      </c>
      <c r="SS111" s="27">
        <f>MAX(SS110,PortfolioFrontier[[#This Row],[P128 Growth]])</f>
        <v>1.9263657469245508</v>
      </c>
      <c r="ST111" s="27">
        <f>PortfolioFrontier[[#This Row],[P128 Growth]]/PortfolioFrontier[[#This Row],[P128 HWM]]-1</f>
        <v>-9.5860212764756758E-3</v>
      </c>
      <c r="SU111" s="28">
        <f>SUMPRODUCT(INDEX(PortfolioRef[[SPY]:[PE]],MATCH(SU$1,PortfolioRef[Reference '#]),0),AssetMonthlyReturns[[#This Row],[SPY]:[PE]])</f>
        <v>5.7490291602069147E-3</v>
      </c>
      <c r="SV111" s="27">
        <f>IF(ISNUMBER(SV110),SV110*(1+PortfolioFrontier[[#This Row],[P129 Return]]),1+PortfolioFrontier[[#This Row],[P129 Return]])</f>
        <v>1.8965895428993491</v>
      </c>
      <c r="SW111" s="27">
        <f>MAX(SW110,PortfolioFrontier[[#This Row],[P129 Growth]])</f>
        <v>1.9127252868735214</v>
      </c>
      <c r="SX111" s="27">
        <f>PortfolioFrontier[[#This Row],[P129 Growth]]/PortfolioFrontier[[#This Row],[P129 HWM]]-1</f>
        <v>-8.4359965777140999E-3</v>
      </c>
      <c r="SY111" s="28">
        <f>SUMPRODUCT(INDEX(PortfolioRef[[SPY]:[PE]],MATCH(SY$1,PortfolioRef[Reference '#]),0),AssetMonthlyReturns[[#This Row],[SPY]:[PE]])</f>
        <v>3.3173480920149062E-4</v>
      </c>
      <c r="SZ111" s="27">
        <f>IF(ISNUMBER(SZ110),SZ110*(1+PortfolioFrontier[[#This Row],[P130 Return]]),1+PortfolioFrontier[[#This Row],[P130 Return]])</f>
        <v>1.8690495832386746</v>
      </c>
      <c r="TA111" s="27">
        <f>MAX(TA110,PortfolioFrontier[[#This Row],[P130 Growth]])</f>
        <v>1.9128055041216194</v>
      </c>
      <c r="TB111" s="27">
        <f>PortfolioFrontier[[#This Row],[P130 Growth]]/PortfolioFrontier[[#This Row],[P130 HWM]]-1</f>
        <v>-2.2875258769729401E-2</v>
      </c>
      <c r="TC111" s="28">
        <f>SUMPRODUCT(INDEX(PortfolioRef[[SPY]:[PE]],MATCH(TC$1,PortfolioRef[Reference '#]),0),AssetMonthlyReturns[[#This Row],[SPY]:[PE]])</f>
        <v>1.3245887526559703E-3</v>
      </c>
      <c r="TD111" s="27">
        <f>IF(ISNUMBER(TD110),TD110*(1+PortfolioFrontier[[#This Row],[P131 Return]]),1+PortfolioFrontier[[#This Row],[P131 Return]])</f>
        <v>1.8607802272475726</v>
      </c>
      <c r="TE111" s="27">
        <f>MAX(TE110,PortfolioFrontier[[#This Row],[P131 Growth]])</f>
        <v>1.8977670974175187</v>
      </c>
      <c r="TF111" s="27">
        <f>PortfolioFrontier[[#This Row],[P131 Growth]]/PortfolioFrontier[[#This Row],[P131 HWM]]-1</f>
        <v>-1.9489678275209754E-2</v>
      </c>
      <c r="TG111" s="28">
        <f>SUMPRODUCT(INDEX(PortfolioRef[[SPY]:[PE]],MATCH(TG$1,PortfolioRef[Reference '#]),0),AssetMonthlyReturns[[#This Row],[SPY]:[PE]])</f>
        <v>2.3174426961104508E-3</v>
      </c>
      <c r="TH111" s="27">
        <f>IF(ISNUMBER(TH110),TH110*(1+PortfolioFrontier[[#This Row],[P132 Return]]),1+PortfolioFrontier[[#This Row],[P132 Return]])</f>
        <v>1.8509527317675973</v>
      </c>
      <c r="TI111" s="27">
        <f>MAX(TI110,PortfolioFrontier[[#This Row],[P132 Growth]])</f>
        <v>1.8855462916157206</v>
      </c>
      <c r="TJ111" s="27">
        <f>PortfolioFrontier[[#This Row],[P132 Growth]]/PortfolioFrontier[[#This Row],[P132 HWM]]-1</f>
        <v>-1.8346704083557763E-2</v>
      </c>
      <c r="TK111" s="28">
        <f>SUMPRODUCT(INDEX(PortfolioRef[[SPY]:[PE]],MATCH(TK$1,PortfolioRef[Reference '#]),0),AssetMonthlyReturns[[#This Row],[SPY]:[PE]])</f>
        <v>6.2712135423697206E-3</v>
      </c>
      <c r="TL111" s="27">
        <f>IF(ISNUMBER(TL110),TL110*(1+PortfolioFrontier[[#This Row],[P133 Return]]),1+PortfolioFrontier[[#This Row],[P133 Return]])</f>
        <v>1.9979986028260086</v>
      </c>
      <c r="TM111" s="27">
        <f>MAX(TM110,PortfolioFrontier[[#This Row],[P133 Growth]])</f>
        <v>2.0050366264283763</v>
      </c>
      <c r="TN111" s="27">
        <f>PortfolioFrontier[[#This Row],[P133 Growth]]/PortfolioFrontier[[#This Row],[P133 HWM]]-1</f>
        <v>-3.5101720884295196E-3</v>
      </c>
      <c r="TO111" s="28">
        <f>SUMPRODUCT(INDEX(PortfolioRef[[SPY]:[PE]],MATCH(TO$1,PortfolioRef[Reference '#]),0),AssetMonthlyReturns[[#This Row],[SPY]:[PE]])</f>
        <v>7.2640674858242002E-3</v>
      </c>
      <c r="TP111" s="27">
        <f>IF(ISNUMBER(TP110),TP110*(1+PortfolioFrontier[[#This Row],[P134 Return]]),1+PortfolioFrontier[[#This Row],[P134 Return]])</f>
        <v>1.987864390672573</v>
      </c>
      <c r="TQ111" s="27">
        <f>MAX(TQ110,PortfolioFrontier[[#This Row],[P134 Growth]])</f>
        <v>1.9925575969667808</v>
      </c>
      <c r="TR111" s="27">
        <f>PortfolioFrontier[[#This Row],[P134 Growth]]/PortfolioFrontier[[#This Row],[P134 HWM]]-1</f>
        <v>-2.3553679458762078E-3</v>
      </c>
      <c r="TS111" s="28">
        <f>SUMPRODUCT(INDEX(PortfolioRef[[SPY]:[PE]],MATCH(TS$1,PortfolioRef[Reference '#]),0),AssetMonthlyReturns[[#This Row],[SPY]:[PE]])</f>
        <v>8.2569214292786807E-3</v>
      </c>
      <c r="TT111" s="27">
        <f>IF(ISNUMBER(TT110),TT110*(1+PortfolioFrontier[[#This Row],[P135 Return]]),1+PortfolioFrontier[[#This Row],[P135 Return]])</f>
        <v>1.9760859972851954</v>
      </c>
      <c r="TU111" s="27">
        <f>MAX(TU110,PortfolioFrontier[[#This Row],[P135 Growth]])</f>
        <v>1.9784605961650605</v>
      </c>
      <c r="TV111" s="27">
        <f>PortfolioFrontier[[#This Row],[P135 Growth]]/PortfolioFrontier[[#This Row],[P135 HWM]]-1</f>
        <v>-1.2002255109189175E-3</v>
      </c>
      <c r="TW111" s="28">
        <f>SUMPRODUCT(INDEX(PortfolioRef[[SPY]:[PE]],MATCH(TW$1,PortfolioRef[Reference '#]),0),AssetMonthlyReturns[[#This Row],[SPY]:[PE]])</f>
        <v>2.8396270782732559E-3</v>
      </c>
      <c r="TX111" s="27">
        <f>IF(ISNUMBER(TX110),TX110*(1+PortfolioFrontier[[#This Row],[P136 Return]]),1+PortfolioFrontier[[#This Row],[P136 Return]])</f>
        <v>1.9480681107088409</v>
      </c>
      <c r="TY111" s="27">
        <f>MAX(TY110,PortfolioFrontier[[#This Row],[P136 Growth]])</f>
        <v>1.9746054708227907</v>
      </c>
      <c r="TZ111" s="27">
        <f>PortfolioFrontier[[#This Row],[P136 Growth]]/PortfolioFrontier[[#This Row],[P136 HWM]]-1</f>
        <v>-1.3439322693100886E-2</v>
      </c>
      <c r="UA111" s="28">
        <f>SUMPRODUCT(INDEX(PortfolioRef[[SPY]:[PE]],MATCH(UA$1,PortfolioRef[Reference '#]),0),AssetMonthlyReturns[[#This Row],[SPY]:[PE]])</f>
        <v>3.8324810217277355E-3</v>
      </c>
      <c r="UB111" s="27">
        <f>IF(ISNUMBER(UB110),UB110*(1+PortfolioFrontier[[#This Row],[P137 Return]]),1+PortfolioFrontier[[#This Row],[P137 Return]])</f>
        <v>1.9394529708923405</v>
      </c>
      <c r="UC111" s="27">
        <f>MAX(UC110,PortfolioFrontier[[#This Row],[P137 Growth]])</f>
        <v>1.9635885552196484</v>
      </c>
      <c r="UD111" s="27">
        <f>PortfolioFrontier[[#This Row],[P137 Growth]]/PortfolioFrontier[[#This Row],[P137 HWM]]-1</f>
        <v>-1.2291569057657381E-2</v>
      </c>
      <c r="UE111" s="28">
        <f>SUMPRODUCT(INDEX(PortfolioRef[[SPY]:[PE]],MATCH(UE$1,PortfolioRef[Reference '#]),0),AssetMonthlyReturns[[#This Row],[SPY]:[PE]])</f>
        <v>4.825334965182216E-3</v>
      </c>
      <c r="UF111" s="27">
        <f>IF(ISNUMBER(UF110),UF110*(1+PortfolioFrontier[[#This Row],[P138 Return]]),1+PortfolioFrontier[[#This Row],[P138 Return]])</f>
        <v>1.9292148306118326</v>
      </c>
      <c r="UG111" s="27">
        <f>MAX(UG110,PortfolioFrontier[[#This Row],[P138 Growth]])</f>
        <v>1.9509552558870924</v>
      </c>
      <c r="UH111" s="27">
        <f>PortfolioFrontier[[#This Row],[P138 Growth]]/PortfolioFrontier[[#This Row],[P138 HWM]]-1</f>
        <v>-1.1143477129809676E-2</v>
      </c>
      <c r="UI111" s="28">
        <f>SUMPRODUCT(INDEX(PortfolioRef[[SPY]:[PE]],MATCH(UI$1,PortfolioRef[Reference '#]),0),AssetMonthlyReturns[[#This Row],[SPY]:[PE]])</f>
        <v>-5.9195938582320984E-4</v>
      </c>
      <c r="UJ111" s="27">
        <f>IF(ISNUMBER(UJ110),UJ110*(1+PortfolioFrontier[[#This Row],[P139 Return]]),1+PortfolioFrontier[[#This Row],[P139 Return]])</f>
        <v>1.8975772440065324</v>
      </c>
      <c r="UK111" s="27">
        <f>MAX(UK110,PortfolioFrontier[[#This Row],[P139 Growth]])</f>
        <v>1.951621031098326</v>
      </c>
      <c r="UL111" s="27">
        <f>PortfolioFrontier[[#This Row],[P139 Growth]]/PortfolioFrontier[[#This Row],[P139 HWM]]-1</f>
        <v>-2.7691742521025686E-2</v>
      </c>
      <c r="UM111" s="28">
        <f>SUMPRODUCT(INDEX(PortfolioRef[[SPY]:[PE]],MATCH(UM$1,PortfolioRef[Reference '#]),0),AssetMonthlyReturns[[#This Row],[SPY]:[PE]])</f>
        <v>4.0089455763127173E-4</v>
      </c>
      <c r="UN111" s="27">
        <f>IF(ISNUMBER(UN110),UN110*(1+PortfolioFrontier[[#This Row],[P140 Return]]),1+PortfolioFrontier[[#This Row],[P140 Return]])</f>
        <v>1.8904252351110791</v>
      </c>
      <c r="UO111" s="27">
        <f>MAX(UO110,PortfolioFrontier[[#This Row],[P140 Growth]])</f>
        <v>1.9361783569313893</v>
      </c>
      <c r="UP111" s="27">
        <f>PortfolioFrontier[[#This Row],[P140 Growth]]/PortfolioFrontier[[#This Row],[P140 HWM]]-1</f>
        <v>-2.3630633849674565E-2</v>
      </c>
      <c r="UQ111" s="28">
        <f>SUMPRODUCT(INDEX(PortfolioRef[[SPY]:[PE]],MATCH(UQ$1,PortfolioRef[Reference '#]),0),AssetMonthlyReturns[[#This Row],[SPY]:[PE]])</f>
        <v>1.3937485010857519E-3</v>
      </c>
      <c r="UR111" s="27">
        <f>IF(ISNUMBER(UR110),UR110*(1+PortfolioFrontier[[#This Row],[P141 Return]]),1+PortfolioFrontier[[#This Row],[P141 Return]])</f>
        <v>1.8816741305854801</v>
      </c>
      <c r="US111" s="27">
        <f>MAX(US110,PortfolioFrontier[[#This Row],[P141 Growth]])</f>
        <v>1.9221194307520968</v>
      </c>
      <c r="UT111" s="27">
        <f>PortfolioFrontier[[#This Row],[P141 Growth]]/PortfolioFrontier[[#This Row],[P141 HWM]]-1</f>
        <v>-2.1042032830806523E-2</v>
      </c>
    </row>
    <row r="112" spans="2:566" x14ac:dyDescent="0.2">
      <c r="B112" s="41">
        <f>AssetMonthlyReturns[[#This Row],[Date]]</f>
        <v>45778</v>
      </c>
      <c r="C112" s="28">
        <f>SUMPRODUCT(INDEX(PortfolioRef[[SPY]:[PE]],MATCH(C$1,PortfolioRef[Reference '#]),0),AssetMonthlyReturns[[#This Row],[SPY]:[PE]])</f>
        <v>3.5446211295990515E-2</v>
      </c>
      <c r="D112" s="29">
        <f>IF(ISNUMBER(D111),D111*(1+PortfolioFrontier[[#This Row],[P1 Return]]),1+PortfolioFrontier[[#This Row],[P1 Return]])</f>
        <v>2.4144143174768455</v>
      </c>
      <c r="E112" s="29">
        <f>MAX(E111,PortfolioFrontier[[#This Row],[P1 Growth]])</f>
        <v>2.4144143174768455</v>
      </c>
      <c r="F112" s="29">
        <f>PortfolioFrontier[[#This Row],[P1 Growth]]/PortfolioFrontier[[#This Row],[P1 HWM]]-1</f>
        <v>0</v>
      </c>
      <c r="G112" s="28">
        <f>SUMPRODUCT(INDEX(PortfolioRef[[SPY]:[PE]],MATCH(G$1,PortfolioRef[Reference '#]),0),AssetMonthlyReturns[[#This Row],[SPY]:[PE]])</f>
        <v>3.2002686026440984E-2</v>
      </c>
      <c r="H112" s="27">
        <f>IF(ISNUMBER(H111),H111*(1+PortfolioFrontier[[#This Row],[P2 Return]]),1+PortfolioFrontier[[#This Row],[P2 Return]])</f>
        <v>2.2895853801850397</v>
      </c>
      <c r="I112" s="27">
        <f>MAX(I111,PortfolioFrontier[[#This Row],[P2 Growth]])</f>
        <v>2.2895853801850397</v>
      </c>
      <c r="J112" s="27">
        <f>PortfolioFrontier[[#This Row],[P2 Growth]]/PortfolioFrontier[[#This Row],[P2 HWM]]-1</f>
        <v>0</v>
      </c>
      <c r="K112" s="28">
        <f>SUMPRODUCT(INDEX(PortfolioRef[[SPY]:[PE]],MATCH(K$1,PortfolioRef[Reference '#]),0),AssetMonthlyReturns[[#This Row],[SPY]:[PE]])</f>
        <v>3.227598311122213E-2</v>
      </c>
      <c r="L112" s="27">
        <f>IF(ISNUMBER(L111),L111*(1+PortfolioFrontier[[#This Row],[P3 Return]]),1+PortfolioFrontier[[#This Row],[P3 Return]])</f>
        <v>2.3871372745815287</v>
      </c>
      <c r="M112" s="27">
        <f>MAX(M111,PortfolioFrontier[[#This Row],[P3 Growth]])</f>
        <v>2.3871372745815287</v>
      </c>
      <c r="N112" s="27">
        <f>PortfolioFrontier[[#This Row],[P3 Growth]]/PortfolioFrontier[[#This Row],[P3 HWM]]-1</f>
        <v>0</v>
      </c>
      <c r="O112" s="28">
        <f>SUMPRODUCT(INDEX(PortfolioRef[[SPY]:[PE]],MATCH(O$1,PortfolioRef[Reference '#]),0),AssetMonthlyReturns[[#This Row],[SPY]:[PE]])</f>
        <v>3.2864359121615491E-2</v>
      </c>
      <c r="P112" s="27">
        <f>IF(ISNUMBER(P111),P111*(1+PortfolioFrontier[[#This Row],[P4 Return]]),1+PortfolioFrontier[[#This Row],[P4 Return]])</f>
        <v>2.3287607464108984</v>
      </c>
      <c r="Q112" s="27">
        <f>MAX(Q111,PortfolioFrontier[[#This Row],[P4 Growth]])</f>
        <v>2.3287607464108984</v>
      </c>
      <c r="R112" s="27">
        <f>PortfolioFrontier[[#This Row],[P4 Growth]]/PortfolioFrontier[[#This Row],[P4 HWM]]-1</f>
        <v>0</v>
      </c>
      <c r="S112" s="28">
        <f>SUMPRODUCT(INDEX(PortfolioRef[[SPY]:[PE]],MATCH(S$1,PortfolioRef[Reference '#]),0),AssetMonthlyReturns[[#This Row],[SPY]:[PE]])</f>
        <v>3.266419219039049E-2</v>
      </c>
      <c r="T112" s="27">
        <f>IF(ISNUMBER(T111),T111*(1+PortfolioFrontier[[#This Row],[P5 Return]]),1+PortfolioFrontier[[#This Row],[P5 Return]])</f>
        <v>2.3163746128426994</v>
      </c>
      <c r="U112" s="27">
        <f>MAX(U111,PortfolioFrontier[[#This Row],[P5 Growth]])</f>
        <v>2.3163746128426994</v>
      </c>
      <c r="V112" s="27">
        <f>PortfolioFrontier[[#This Row],[P5 Growth]]/PortfolioFrontier[[#This Row],[P5 HWM]]-1</f>
        <v>0</v>
      </c>
      <c r="W112" s="28">
        <f>SUMPRODUCT(INDEX(PortfolioRef[[SPY]:[PE]],MATCH(W$1,PortfolioRef[Reference '#]),0),AssetMonthlyReturns[[#This Row],[SPY]:[PE]])</f>
        <v>2.8559160756891449E-2</v>
      </c>
      <c r="X112" s="27">
        <f>IF(ISNUMBER(X111),X111*(1+PortfolioFrontier[[#This Row],[P6 Return]]),1+PortfolioFrontier[[#This Row],[P6 Return]])</f>
        <v>2.1701173496676858</v>
      </c>
      <c r="Y112" s="27">
        <f>MAX(Y111,PortfolioFrontier[[#This Row],[P6 Growth]])</f>
        <v>2.1701173496676858</v>
      </c>
      <c r="Z112" s="27">
        <f>PortfolioFrontier[[#This Row],[P6 Growth]]/PortfolioFrontier[[#This Row],[P6 HWM]]-1</f>
        <v>0</v>
      </c>
      <c r="AA112" s="28">
        <f>SUMPRODUCT(INDEX(PortfolioRef[[SPY]:[PE]],MATCH(AA$1,PortfolioRef[Reference '#]),0),AssetMonthlyReturns[[#This Row],[SPY]:[PE]])</f>
        <v>2.8832457841672595E-2</v>
      </c>
      <c r="AB112" s="27">
        <f>IF(ISNUMBER(AB111),AB111*(1+PortfolioFrontier[[#This Row],[P7 Return]]),1+PortfolioFrontier[[#This Row],[P7 Return]])</f>
        <v>2.2625617064759895</v>
      </c>
      <c r="AC112" s="27">
        <f>MAX(AC111,PortfolioFrontier[[#This Row],[P7 Growth]])</f>
        <v>2.2625617064759895</v>
      </c>
      <c r="AD112" s="27">
        <f>PortfolioFrontier[[#This Row],[P7 Growth]]/PortfolioFrontier[[#This Row],[P7 HWM]]-1</f>
        <v>0</v>
      </c>
      <c r="AE112" s="28">
        <f>SUMPRODUCT(INDEX(PortfolioRef[[SPY]:[PE]],MATCH(AE$1,PortfolioRef[Reference '#]),0),AssetMonthlyReturns[[#This Row],[SPY]:[PE]])</f>
        <v>2.9420833852065949E-2</v>
      </c>
      <c r="AF112" s="27">
        <f>IF(ISNUMBER(AF111),AF111*(1+PortfolioFrontier[[#This Row],[P8 Return]]),1+PortfolioFrontier[[#This Row],[P8 Return]])</f>
        <v>2.2081420630083248</v>
      </c>
      <c r="AG112" s="27">
        <f>MAX(AG111,PortfolioFrontier[[#This Row],[P8 Growth]])</f>
        <v>2.2081420630083248</v>
      </c>
      <c r="AH112" s="27">
        <f>PortfolioFrontier[[#This Row],[P8 Growth]]/PortfolioFrontier[[#This Row],[P8 HWM]]-1</f>
        <v>0</v>
      </c>
      <c r="AI112" s="28">
        <f>SUMPRODUCT(INDEX(PortfolioRef[[SPY]:[PE]],MATCH(AI$1,PortfolioRef[Reference '#]),0),AssetMonthlyReturns[[#This Row],[SPY]:[PE]])</f>
        <v>2.9220666920840955E-2</v>
      </c>
      <c r="AJ112" s="27">
        <f>IF(ISNUMBER(AJ111),AJ111*(1+PortfolioFrontier[[#This Row],[P9 Return]]),1+PortfolioFrontier[[#This Row],[P9 Return]])</f>
        <v>2.1955570538268669</v>
      </c>
      <c r="AK112" s="27">
        <f>MAX(AK111,PortfolioFrontier[[#This Row],[P9 Growth]])</f>
        <v>2.1955570538268669</v>
      </c>
      <c r="AL112" s="27">
        <f>PortfolioFrontier[[#This Row],[P9 Growth]]/PortfolioFrontier[[#This Row],[P9 HWM]]-1</f>
        <v>0</v>
      </c>
      <c r="AM112" s="28">
        <f>SUMPRODUCT(INDEX(PortfolioRef[[SPY]:[PE]],MATCH(AM$1,PortfolioRef[Reference '#]),0),AssetMonthlyReturns[[#This Row],[SPY]:[PE]])</f>
        <v>2.9105754926453748E-2</v>
      </c>
      <c r="AN112" s="27">
        <f>IF(ISNUMBER(AN111),AN111*(1+PortfolioFrontier[[#This Row],[P10 Return]]),1+PortfolioFrontier[[#This Row],[P10 Return]])</f>
        <v>2.3581106766465489</v>
      </c>
      <c r="AO112" s="27">
        <f>MAX(AO111,PortfolioFrontier[[#This Row],[P10 Growth]])</f>
        <v>2.3581106766465489</v>
      </c>
      <c r="AP112" s="27">
        <f>PortfolioFrontier[[#This Row],[P10 Growth]]/PortfolioFrontier[[#This Row],[P10 HWM]]-1</f>
        <v>0</v>
      </c>
      <c r="AQ112" s="28">
        <f>SUMPRODUCT(INDEX(PortfolioRef[[SPY]:[PE]],MATCH(AQ$1,PortfolioRef[Reference '#]),0),AssetMonthlyReturns[[#This Row],[SPY]:[PE]])</f>
        <v>2.9694130936847099E-2</v>
      </c>
      <c r="AR112" s="27">
        <f>IF(ISNUMBER(AR111),AR111*(1+PortfolioFrontier[[#This Row],[P11 Return]]),1+PortfolioFrontier[[#This Row],[P11 Return]])</f>
        <v>2.3022004123711985</v>
      </c>
      <c r="AS112" s="27">
        <f>MAX(AS111,PortfolioFrontier[[#This Row],[P11 Growth]])</f>
        <v>2.3022004123711985</v>
      </c>
      <c r="AT112" s="27">
        <f>PortfolioFrontier[[#This Row],[P11 Growth]]/PortfolioFrontier[[#This Row],[P11 HWM]]-1</f>
        <v>0</v>
      </c>
      <c r="AU112" s="28">
        <f>SUMPRODUCT(INDEX(PortfolioRef[[SPY]:[PE]],MATCH(AU$1,PortfolioRef[Reference '#]),0),AssetMonthlyReturns[[#This Row],[SPY]:[PE]])</f>
        <v>2.9493964005622104E-2</v>
      </c>
      <c r="AV112" s="27">
        <f>IF(ISNUMBER(AV111),AV111*(1+PortfolioFrontier[[#This Row],[P12 Return]]),1+PortfolioFrontier[[#This Row],[P12 Return]])</f>
        <v>2.2890856792327408</v>
      </c>
      <c r="AW112" s="27">
        <f>MAX(AW111,PortfolioFrontier[[#This Row],[P12 Growth]])</f>
        <v>2.2890856792327408</v>
      </c>
      <c r="AX112" s="27">
        <f>PortfolioFrontier[[#This Row],[P12 Growth]]/PortfolioFrontier[[#This Row],[P12 HWM]]-1</f>
        <v>0</v>
      </c>
      <c r="AY112" s="28">
        <f>SUMPRODUCT(INDEX(PortfolioRef[[SPY]:[PE]],MATCH(AY$1,PortfolioRef[Reference '#]),0),AssetMonthlyReturns[[#This Row],[SPY]:[PE]])</f>
        <v>3.0282506947240457E-2</v>
      </c>
      <c r="AZ112" s="27">
        <f>IF(ISNUMBER(AZ111),AZ111*(1+PortfolioFrontier[[#This Row],[P13 Return]]),1+PortfolioFrontier[[#This Row],[P13 Return]])</f>
        <v>2.245488693619039</v>
      </c>
      <c r="BA112" s="27">
        <f>MAX(BA111,PortfolioFrontier[[#This Row],[P13 Growth]])</f>
        <v>2.245488693619039</v>
      </c>
      <c r="BB112" s="27">
        <f>PortfolioFrontier[[#This Row],[P13 Growth]]/PortfolioFrontier[[#This Row],[P13 HWM]]-1</f>
        <v>0</v>
      </c>
      <c r="BC112" s="28">
        <f>SUMPRODUCT(INDEX(PortfolioRef[[SPY]:[PE]],MATCH(BC$1,PortfolioRef[Reference '#]),0),AssetMonthlyReturns[[#This Row],[SPY]:[PE]])</f>
        <v>3.0082340016015459E-2</v>
      </c>
      <c r="BD112" s="27">
        <f>IF(ISNUMBER(BD111),BD111*(1+PortfolioFrontier[[#This Row],[P14 Return]]),1+PortfolioFrontier[[#This Row],[P14 Return]])</f>
        <v>2.2341512549714344</v>
      </c>
      <c r="BE112" s="27">
        <f>MAX(BE111,PortfolioFrontier[[#This Row],[P14 Growth]])</f>
        <v>2.2341512549714344</v>
      </c>
      <c r="BF112" s="27">
        <f>PortfolioFrontier[[#This Row],[P14 Growth]]/PortfolioFrontier[[#This Row],[P14 HWM]]-1</f>
        <v>0</v>
      </c>
      <c r="BG112" s="28">
        <f>SUMPRODUCT(INDEX(PortfolioRef[[SPY]:[PE]],MATCH(BG$1,PortfolioRef[Reference '#]),0),AssetMonthlyReturns[[#This Row],[SPY]:[PE]])</f>
        <v>2.9882173084790461E-2</v>
      </c>
      <c r="BH112" s="27">
        <f>IF(ISNUMBER(BH111),BH111*(1+PortfolioFrontier[[#This Row],[P15 Return]]),1+PortfolioFrontier[[#This Row],[P15 Return]])</f>
        <v>2.2209622213674667</v>
      </c>
      <c r="BI112" s="27">
        <f>MAX(BI111,PortfolioFrontier[[#This Row],[P15 Growth]])</f>
        <v>2.2209622213674667</v>
      </c>
      <c r="BJ112" s="27">
        <f>PortfolioFrontier[[#This Row],[P15 Growth]]/PortfolioFrontier[[#This Row],[P15 HWM]]-1</f>
        <v>0</v>
      </c>
      <c r="BK112" s="28">
        <f>SUMPRODUCT(INDEX(PortfolioRef[[SPY]:[PE]],MATCH(BK$1,PortfolioRef[Reference '#]),0),AssetMonthlyReturns[[#This Row],[SPY]:[PE]])</f>
        <v>2.5115635487341918E-2</v>
      </c>
      <c r="BL112" s="27">
        <f>IF(ISNUMBER(BL111),BL111*(1+PortfolioFrontier[[#This Row],[P16 Return]]),1+PortfolioFrontier[[#This Row],[P16 Return]])</f>
        <v>2.0558475898520245</v>
      </c>
      <c r="BM112" s="27">
        <f>MAX(BM111,PortfolioFrontier[[#This Row],[P16 Growth]])</f>
        <v>2.0558475898520245</v>
      </c>
      <c r="BN112" s="27">
        <f>PortfolioFrontier[[#This Row],[P16 Growth]]/PortfolioFrontier[[#This Row],[P16 HWM]]-1</f>
        <v>0</v>
      </c>
      <c r="BO112" s="28">
        <f>SUMPRODUCT(INDEX(PortfolioRef[[SPY]:[PE]],MATCH(BO$1,PortfolioRef[Reference '#]),0),AssetMonthlyReturns[[#This Row],[SPY]:[PE]])</f>
        <v>2.5388932572123064E-2</v>
      </c>
      <c r="BP112" s="27">
        <f>IF(ISNUMBER(BP111),BP111*(1+PortfolioFrontier[[#This Row],[P17 Return]]),1+PortfolioFrontier[[#This Row],[P17 Return]])</f>
        <v>2.1434085663839095</v>
      </c>
      <c r="BQ112" s="27">
        <f>MAX(BQ111,PortfolioFrontier[[#This Row],[P17 Growth]])</f>
        <v>2.1434085663839095</v>
      </c>
      <c r="BR112" s="27">
        <f>PortfolioFrontier[[#This Row],[P17 Growth]]/PortfolioFrontier[[#This Row],[P17 HWM]]-1</f>
        <v>0</v>
      </c>
      <c r="BS112" s="28">
        <f>SUMPRODUCT(INDEX(PortfolioRef[[SPY]:[PE]],MATCH(BS$1,PortfolioRef[Reference '#]),0),AssetMonthlyReturns[[#This Row],[SPY]:[PE]])</f>
        <v>2.5977308582516418E-2</v>
      </c>
      <c r="BT112" s="27">
        <f>IF(ISNUMBER(BT111),BT111*(1+PortfolioFrontier[[#This Row],[P18 Return]]),1+PortfolioFrontier[[#This Row],[P18 Return]])</f>
        <v>2.0927154930061933</v>
      </c>
      <c r="BU112" s="27">
        <f>MAX(BU111,PortfolioFrontier[[#This Row],[P18 Growth]])</f>
        <v>2.0927154930061933</v>
      </c>
      <c r="BV112" s="27">
        <f>PortfolioFrontier[[#This Row],[P18 Growth]]/PortfolioFrontier[[#This Row],[P18 HWM]]-1</f>
        <v>0</v>
      </c>
      <c r="BW112" s="28">
        <f>SUMPRODUCT(INDEX(PortfolioRef[[SPY]:[PE]],MATCH(BW$1,PortfolioRef[Reference '#]),0),AssetMonthlyReturns[[#This Row],[SPY]:[PE]])</f>
        <v>2.5777141651291424E-2</v>
      </c>
      <c r="BX112" s="27">
        <f>IF(ISNUMBER(BX111),BX111*(1+PortfolioFrontier[[#This Row],[P19 Return]]),1+PortfolioFrontier[[#This Row],[P19 Return]])</f>
        <v>2.0799935402131116</v>
      </c>
      <c r="BY112" s="27">
        <f>MAX(BY111,PortfolioFrontier[[#This Row],[P19 Growth]])</f>
        <v>2.0799935402131116</v>
      </c>
      <c r="BZ112" s="27">
        <f>PortfolioFrontier[[#This Row],[P19 Growth]]/PortfolioFrontier[[#This Row],[P19 HWM]]-1</f>
        <v>0</v>
      </c>
      <c r="CA112" s="28">
        <f>SUMPRODUCT(INDEX(PortfolioRef[[SPY]:[PE]],MATCH(CA$1,PortfolioRef[Reference '#]),0),AssetMonthlyReturns[[#This Row],[SPY]:[PE]])</f>
        <v>2.5662229656904213E-2</v>
      </c>
      <c r="CB112" s="27">
        <f>IF(ISNUMBER(CB111),CB111*(1+PortfolioFrontier[[#This Row],[P20 Return]]),1+PortfolioFrontier[[#This Row],[P20 Return]])</f>
        <v>2.2339083938842501</v>
      </c>
      <c r="CC112" s="27">
        <f>MAX(CC111,PortfolioFrontier[[#This Row],[P20 Growth]])</f>
        <v>2.2339083938842501</v>
      </c>
      <c r="CD112" s="27">
        <f>PortfolioFrontier[[#This Row],[P20 Growth]]/PortfolioFrontier[[#This Row],[P20 HWM]]-1</f>
        <v>0</v>
      </c>
      <c r="CE112" s="28">
        <f>SUMPRODUCT(INDEX(PortfolioRef[[SPY]:[PE]],MATCH(CE$1,PortfolioRef[Reference '#]),0),AssetMonthlyReturns[[#This Row],[SPY]:[PE]])</f>
        <v>2.6250605667297564E-2</v>
      </c>
      <c r="CF112" s="27">
        <f>IF(ISNUMBER(CF111),CF111*(1+PortfolioFrontier[[#This Row],[P21 Return]]),1+PortfolioFrontier[[#This Row],[P21 Return]])</f>
        <v>2.1818407166441753</v>
      </c>
      <c r="CG112" s="27">
        <f>MAX(CG111,PortfolioFrontier[[#This Row],[P21 Growth]])</f>
        <v>2.1818407166441753</v>
      </c>
      <c r="CH112" s="27">
        <f>PortfolioFrontier[[#This Row],[P21 Growth]]/PortfolioFrontier[[#This Row],[P21 HWM]]-1</f>
        <v>0</v>
      </c>
      <c r="CI112" s="28">
        <f>SUMPRODUCT(INDEX(PortfolioRef[[SPY]:[PE]],MATCH(CI$1,PortfolioRef[Reference '#]),0),AssetMonthlyReturns[[#This Row],[SPY]:[PE]])</f>
        <v>2.605043873607257E-2</v>
      </c>
      <c r="CJ112" s="27">
        <f>IF(ISNUMBER(CJ111),CJ111*(1+PortfolioFrontier[[#This Row],[P22 Return]]),1+PortfolioFrontier[[#This Row],[P22 Return]])</f>
        <v>2.1685834156804744</v>
      </c>
      <c r="CK112" s="27">
        <f>MAX(CK111,PortfolioFrontier[[#This Row],[P22 Growth]])</f>
        <v>2.1685834156804744</v>
      </c>
      <c r="CL112" s="27">
        <f>PortfolioFrontier[[#This Row],[P22 Growth]]/PortfolioFrontier[[#This Row],[P22 HWM]]-1</f>
        <v>0</v>
      </c>
      <c r="CM112" s="28">
        <f>SUMPRODUCT(INDEX(PortfolioRef[[SPY]:[PE]],MATCH(CM$1,PortfolioRef[Reference '#]),0),AssetMonthlyReturns[[#This Row],[SPY]:[PE]])</f>
        <v>2.6838981677690922E-2</v>
      </c>
      <c r="CN112" s="27">
        <f>IF(ISNUMBER(CN111),CN111*(1+PortfolioFrontier[[#This Row],[P23 Return]]),1+PortfolioFrontier[[#This Row],[P23 Return]])</f>
        <v>2.1289726075805842</v>
      </c>
      <c r="CO112" s="27">
        <f>MAX(CO111,PortfolioFrontier[[#This Row],[P23 Growth]])</f>
        <v>2.1289726075805842</v>
      </c>
      <c r="CP112" s="27">
        <f>PortfolioFrontier[[#This Row],[P23 Growth]]/PortfolioFrontier[[#This Row],[P23 HWM]]-1</f>
        <v>0</v>
      </c>
      <c r="CQ112" s="28">
        <f>SUMPRODUCT(INDEX(PortfolioRef[[SPY]:[PE]],MATCH(CQ$1,PortfolioRef[Reference '#]),0),AssetMonthlyReturns[[#This Row],[SPY]:[PE]])</f>
        <v>2.6638814746465924E-2</v>
      </c>
      <c r="CR112" s="27">
        <f>IF(ISNUMBER(CR111),CR111*(1+PortfolioFrontier[[#This Row],[P24 Return]]),1+PortfolioFrontier[[#This Row],[P24 Return]])</f>
        <v>2.1174116895776747</v>
      </c>
      <c r="CS112" s="27">
        <f>MAX(CS111,PortfolioFrontier[[#This Row],[P24 Growth]])</f>
        <v>2.1174116895776747</v>
      </c>
      <c r="CT112" s="27">
        <f>PortfolioFrontier[[#This Row],[P24 Growth]]/PortfolioFrontier[[#This Row],[P24 HWM]]-1</f>
        <v>0</v>
      </c>
      <c r="CU112" s="28">
        <f>SUMPRODUCT(INDEX(PortfolioRef[[SPY]:[PE]],MATCH(CU$1,PortfolioRef[Reference '#]),0),AssetMonthlyReturns[[#This Row],[SPY]:[PE]])</f>
        <v>2.6438647815240926E-2</v>
      </c>
      <c r="CV112" s="27">
        <f>IF(ISNUMBER(CV111),CV111*(1+PortfolioFrontier[[#This Row],[P25 Return]]),1+PortfolioFrontier[[#This Row],[P25 Return]])</f>
        <v>2.10410784104648</v>
      </c>
      <c r="CW112" s="27">
        <f>MAX(CW111,PortfolioFrontier[[#This Row],[P25 Growth]])</f>
        <v>2.10410784104648</v>
      </c>
      <c r="CX112" s="27">
        <f>PortfolioFrontier[[#This Row],[P25 Growth]]/PortfolioFrontier[[#This Row],[P25 HWM]]-1</f>
        <v>0</v>
      </c>
      <c r="CY112" s="28">
        <f>SUMPRODUCT(INDEX(PortfolioRef[[SPY]:[PE]],MATCH(CY$1,PortfolioRef[Reference '#]),0),AssetMonthlyReturns[[#This Row],[SPY]:[PE]])</f>
        <v>2.6523902752078717E-2</v>
      </c>
      <c r="CZ112" s="27">
        <f>IF(ISNUMBER(CZ111),CZ111*(1+PortfolioFrontier[[#This Row],[P26 Return]]),1+PortfolioFrontier[[#This Row],[P26 Return]])</f>
        <v>2.2739574779144069</v>
      </c>
      <c r="DA112" s="27">
        <f>MAX(DA111,PortfolioFrontier[[#This Row],[P26 Growth]])</f>
        <v>2.2739574779144069</v>
      </c>
      <c r="DB112" s="27">
        <f>PortfolioFrontier[[#This Row],[P26 Growth]]/PortfolioFrontier[[#This Row],[P26 HWM]]-1</f>
        <v>0</v>
      </c>
      <c r="DC112" s="28">
        <f>SUMPRODUCT(INDEX(PortfolioRef[[SPY]:[PE]],MATCH(DC$1,PortfolioRef[Reference '#]),0),AssetMonthlyReturns[[#This Row],[SPY]:[PE]])</f>
        <v>2.6323735820853723E-2</v>
      </c>
      <c r="DD112" s="27">
        <f>IF(ISNUMBER(DD111),DD111*(1+PortfolioFrontier[[#This Row],[P27 Return]]),1+PortfolioFrontier[[#This Row],[P27 Return]])</f>
        <v>2.2601470905414778</v>
      </c>
      <c r="DE112" s="27">
        <f>MAX(DE111,PortfolioFrontier[[#This Row],[P27 Growth]])</f>
        <v>2.2601470905414778</v>
      </c>
      <c r="DF112" s="27">
        <f>PortfolioFrontier[[#This Row],[P27 Growth]]/PortfolioFrontier[[#This Row],[P27 HWM]]-1</f>
        <v>0</v>
      </c>
      <c r="DG112" s="28">
        <f>SUMPRODUCT(INDEX(PortfolioRef[[SPY]:[PE]],MATCH(DG$1,PortfolioRef[Reference '#]),0),AssetMonthlyReturns[[#This Row],[SPY]:[PE]])</f>
        <v>2.7112278762472072E-2</v>
      </c>
      <c r="DH112" s="27">
        <f>IF(ISNUMBER(DH111),DH111*(1+PortfolioFrontier[[#This Row],[P28 Return]]),1+PortfolioFrontier[[#This Row],[P28 Return]])</f>
        <v>2.2196366891762018</v>
      </c>
      <c r="DI112" s="27">
        <f>MAX(DI111,PortfolioFrontier[[#This Row],[P28 Growth]])</f>
        <v>2.2196366891762018</v>
      </c>
      <c r="DJ112" s="27">
        <f>PortfolioFrontier[[#This Row],[P28 Growth]]/PortfolioFrontier[[#This Row],[P28 HWM]]-1</f>
        <v>0</v>
      </c>
      <c r="DK112" s="28">
        <f>SUMPRODUCT(INDEX(PortfolioRef[[SPY]:[PE]],MATCH(DK$1,PortfolioRef[Reference '#]),0),AssetMonthlyReturns[[#This Row],[SPY]:[PE]])</f>
        <v>2.6912111831247074E-2</v>
      </c>
      <c r="DL112" s="27">
        <f>IF(ISNUMBER(DL111),DL111*(1+PortfolioFrontier[[#This Row],[P29 Return]]),1+PortfolioFrontier[[#This Row],[P29 Return]])</f>
        <v>2.2075891453221796</v>
      </c>
      <c r="DM112" s="27">
        <f>MAX(DM111,PortfolioFrontier[[#This Row],[P29 Growth]])</f>
        <v>2.2075891453221796</v>
      </c>
      <c r="DN112" s="27">
        <f>PortfolioFrontier[[#This Row],[P29 Growth]]/PortfolioFrontier[[#This Row],[P29 HWM]]-1</f>
        <v>0</v>
      </c>
      <c r="DO112" s="28">
        <f>SUMPRODUCT(INDEX(PortfolioRef[[SPY]:[PE]],MATCH(DO$1,PortfolioRef[Reference '#]),0),AssetMonthlyReturns[[#This Row],[SPY]:[PE]])</f>
        <v>2.6711944900022076E-2</v>
      </c>
      <c r="DP112" s="27">
        <f>IF(ISNUMBER(DP111),DP111*(1+PortfolioFrontier[[#This Row],[P30 Return]]),1+PortfolioFrontier[[#This Row],[P30 Return]])</f>
        <v>2.1937255785403713</v>
      </c>
      <c r="DQ112" s="27">
        <f>MAX(DQ111,PortfolioFrontier[[#This Row],[P30 Growth]])</f>
        <v>2.1937255785403713</v>
      </c>
      <c r="DR112" s="27">
        <f>PortfolioFrontier[[#This Row],[P30 Growth]]/PortfolioFrontier[[#This Row],[P30 HWM]]-1</f>
        <v>0</v>
      </c>
      <c r="DS112" s="28">
        <f>SUMPRODUCT(INDEX(PortfolioRef[[SPY]:[PE]],MATCH(DS$1,PortfolioRef[Reference '#]),0),AssetMonthlyReturns[[#This Row],[SPY]:[PE]])</f>
        <v>2.7700654772865426E-2</v>
      </c>
      <c r="DT112" s="27">
        <f>IF(ISNUMBER(DT111),DT111*(1+PortfolioFrontier[[#This Row],[P31 Return]]),1+PortfolioFrontier[[#This Row],[P31 Return]])</f>
        <v>2.1645599716884094</v>
      </c>
      <c r="DU112" s="27">
        <f>MAX(DU111,PortfolioFrontier[[#This Row],[P31 Growth]])</f>
        <v>2.1645599716884094</v>
      </c>
      <c r="DV112" s="27">
        <f>PortfolioFrontier[[#This Row],[P31 Growth]]/PortfolioFrontier[[#This Row],[P31 HWM]]-1</f>
        <v>0</v>
      </c>
      <c r="DW112" s="28">
        <f>SUMPRODUCT(INDEX(PortfolioRef[[SPY]:[PE]],MATCH(DW$1,PortfolioRef[Reference '#]),0),AssetMonthlyReturns[[#This Row],[SPY]:[PE]])</f>
        <v>2.7500487841640432E-2</v>
      </c>
      <c r="DX112" s="27">
        <f>IF(ISNUMBER(DX111),DX111*(1+PortfolioFrontier[[#This Row],[P32 Return]]),1+PortfolioFrontier[[#This Row],[P32 Return]])</f>
        <v>2.1542162236696258</v>
      </c>
      <c r="DY112" s="27">
        <f>MAX(DY111,PortfolioFrontier[[#This Row],[P32 Growth]])</f>
        <v>2.1542162236696258</v>
      </c>
      <c r="DZ112" s="27">
        <f>PortfolioFrontier[[#This Row],[P32 Growth]]/PortfolioFrontier[[#This Row],[P32 HWM]]-1</f>
        <v>0</v>
      </c>
      <c r="EA112" s="28">
        <f>SUMPRODUCT(INDEX(PortfolioRef[[SPY]:[PE]],MATCH(EA$1,PortfolioRef[Reference '#]),0),AssetMonthlyReturns[[#This Row],[SPY]:[PE]])</f>
        <v>2.730032091041543E-2</v>
      </c>
      <c r="EB112" s="27">
        <f>IF(ISNUMBER(EB111),EB111*(1+PortfolioFrontier[[#This Row],[P33 Return]]),1+PortfolioFrontier[[#This Row],[P33 Return]])</f>
        <v>2.1420784225359411</v>
      </c>
      <c r="EC112" s="27">
        <f>MAX(EC111,PortfolioFrontier[[#This Row],[P33 Growth]])</f>
        <v>2.1420784225359411</v>
      </c>
      <c r="ED112" s="27">
        <f>PortfolioFrontier[[#This Row],[P33 Growth]]/PortfolioFrontier[[#This Row],[P33 HWM]]-1</f>
        <v>0</v>
      </c>
      <c r="EE112" s="28">
        <f>SUMPRODUCT(INDEX(PortfolioRef[[SPY]:[PE]],MATCH(EE$1,PortfolioRef[Reference '#]),0),AssetMonthlyReturns[[#This Row],[SPY]:[PE]])</f>
        <v>2.1672110217792376E-2</v>
      </c>
      <c r="EF112" s="27">
        <f>IF(ISNUMBER(EF111),EF111*(1+PortfolioFrontier[[#This Row],[P34 Return]]),1+PortfolioFrontier[[#This Row],[P34 Return]])</f>
        <v>1.9466142562139543</v>
      </c>
      <c r="EG112" s="27">
        <f>MAX(EG111,PortfolioFrontier[[#This Row],[P34 Growth]])</f>
        <v>1.9466142562139543</v>
      </c>
      <c r="EH112" s="27">
        <f>PortfolioFrontier[[#This Row],[P34 Growth]]/PortfolioFrontier[[#This Row],[P34 HWM]]-1</f>
        <v>0</v>
      </c>
      <c r="EI112" s="28">
        <f>SUMPRODUCT(INDEX(PortfolioRef[[SPY]:[PE]],MATCH(EI$1,PortfolioRef[Reference '#]),0),AssetMonthlyReturns[[#This Row],[SPY]:[PE]])</f>
        <v>2.1945407302573525E-2</v>
      </c>
      <c r="EJ112" s="27">
        <f>IF(ISNUMBER(EJ111),EJ111*(1+PortfolioFrontier[[#This Row],[P35 Return]]),1+PortfolioFrontier[[#This Row],[P35 Return]])</f>
        <v>2.0295088557344747</v>
      </c>
      <c r="EK112" s="27">
        <f>MAX(EK111,PortfolioFrontier[[#This Row],[P35 Growth]])</f>
        <v>2.0295088557344747</v>
      </c>
      <c r="EL112" s="27">
        <f>PortfolioFrontier[[#This Row],[P35 Growth]]/PortfolioFrontier[[#This Row],[P35 HWM]]-1</f>
        <v>0</v>
      </c>
      <c r="EM112" s="28">
        <f>SUMPRODUCT(INDEX(PortfolioRef[[SPY]:[PE]],MATCH(EM$1,PortfolioRef[Reference '#]),0),AssetMonthlyReturns[[#This Row],[SPY]:[PE]])</f>
        <v>2.253378331296688E-2</v>
      </c>
      <c r="EN112" s="27">
        <f>IF(ISNUMBER(EN111),EN111*(1+PortfolioFrontier[[#This Row],[P36 Return]]),1+PortfolioFrontier[[#This Row],[P36 Return]])</f>
        <v>1.9823228977379901</v>
      </c>
      <c r="EO112" s="27">
        <f>MAX(EO111,PortfolioFrontier[[#This Row],[P36 Growth]])</f>
        <v>1.9823228977379901</v>
      </c>
      <c r="EP112" s="27">
        <f>PortfolioFrontier[[#This Row],[P36 Growth]]/PortfolioFrontier[[#This Row],[P36 HWM]]-1</f>
        <v>0</v>
      </c>
      <c r="EQ112" s="28">
        <f>SUMPRODUCT(INDEX(PortfolioRef[[SPY]:[PE]],MATCH(EQ$1,PortfolioRef[Reference '#]),0),AssetMonthlyReturns[[#This Row],[SPY]:[PE]])</f>
        <v>2.2333616381741885E-2</v>
      </c>
      <c r="ER112" s="27">
        <f>IF(ISNUMBER(ER111),ER111*(1+PortfolioFrontier[[#This Row],[P37 Return]]),1+PortfolioFrontier[[#This Row],[P37 Return]])</f>
        <v>1.9695206693209646</v>
      </c>
      <c r="ES112" s="27">
        <f>MAX(ES111,PortfolioFrontier[[#This Row],[P37 Growth]])</f>
        <v>1.9695206693209646</v>
      </c>
      <c r="ET112" s="27">
        <f>PortfolioFrontier[[#This Row],[P37 Growth]]/PortfolioFrontier[[#This Row],[P37 HWM]]-1</f>
        <v>0</v>
      </c>
      <c r="EU112" s="28">
        <f>SUMPRODUCT(INDEX(PortfolioRef[[SPY]:[PE]],MATCH(EU$1,PortfolioRef[Reference '#]),0),AssetMonthlyReturns[[#This Row],[SPY]:[PE]])</f>
        <v>2.2218704387354675E-2</v>
      </c>
      <c r="EV112" s="27">
        <f>IF(ISNUMBER(EV111),EV111*(1+PortfolioFrontier[[#This Row],[P38 Return]]),1+PortfolioFrontier[[#This Row],[P38 Return]])</f>
        <v>2.1151840399947419</v>
      </c>
      <c r="EW112" s="27">
        <f>MAX(EW111,PortfolioFrontier[[#This Row],[P38 Growth]])</f>
        <v>2.1151840399947419</v>
      </c>
      <c r="EX112" s="27">
        <f>PortfolioFrontier[[#This Row],[P38 Growth]]/PortfolioFrontier[[#This Row],[P38 HWM]]-1</f>
        <v>0</v>
      </c>
      <c r="EY112" s="28">
        <f>SUMPRODUCT(INDEX(PortfolioRef[[SPY]:[PE]],MATCH(EY$1,PortfolioRef[Reference '#]),0),AssetMonthlyReturns[[#This Row],[SPY]:[PE]])</f>
        <v>2.2807080397748026E-2</v>
      </c>
      <c r="EZ112" s="27">
        <f>IF(ISNUMBER(EZ111),EZ111*(1+PortfolioFrontier[[#This Row],[P39 Return]]),1+PortfolioFrontier[[#This Row],[P39 Return]])</f>
        <v>2.0667319684661867</v>
      </c>
      <c r="FA112" s="27">
        <f>MAX(FA111,PortfolioFrontier[[#This Row],[P39 Growth]])</f>
        <v>2.0667319684661867</v>
      </c>
      <c r="FB112" s="27">
        <f>PortfolioFrontier[[#This Row],[P39 Growth]]/PortfolioFrontier[[#This Row],[P39 HWM]]-1</f>
        <v>0</v>
      </c>
      <c r="FC112" s="28">
        <f>SUMPRODUCT(INDEX(PortfolioRef[[SPY]:[PE]],MATCH(FC$1,PortfolioRef[Reference '#]),0),AssetMonthlyReturns[[#This Row],[SPY]:[PE]])</f>
        <v>2.2606913466523031E-2</v>
      </c>
      <c r="FD112" s="27">
        <f>IF(ISNUMBER(FD111),FD111*(1+PortfolioFrontier[[#This Row],[P40 Return]]),1+PortfolioFrontier[[#This Row],[P40 Return]])</f>
        <v>2.0533911440089936</v>
      </c>
      <c r="FE112" s="27">
        <f>MAX(FE111,PortfolioFrontier[[#This Row],[P40 Growth]])</f>
        <v>2.0533911440089936</v>
      </c>
      <c r="FF112" s="27">
        <f>PortfolioFrontier[[#This Row],[P40 Growth]]/PortfolioFrontier[[#This Row],[P40 HWM]]-1</f>
        <v>0</v>
      </c>
      <c r="FG112" s="28">
        <f>SUMPRODUCT(INDEX(PortfolioRef[[SPY]:[PE]],MATCH(FG$1,PortfolioRef[Reference '#]),0),AssetMonthlyReturns[[#This Row],[SPY]:[PE]])</f>
        <v>2.3395456408141384E-2</v>
      </c>
      <c r="FH112" s="27">
        <f>IF(ISNUMBER(FH111),FH111*(1+PortfolioFrontier[[#This Row],[P41 Return]]),1+PortfolioFrontier[[#This Row],[P41 Return]])</f>
        <v>2.0174836272457766</v>
      </c>
      <c r="FI112" s="27">
        <f>MAX(FI111,PortfolioFrontier[[#This Row],[P41 Growth]])</f>
        <v>2.0174836272457766</v>
      </c>
      <c r="FJ112" s="27">
        <f>PortfolioFrontier[[#This Row],[P41 Growth]]/PortfolioFrontier[[#This Row],[P41 HWM]]-1</f>
        <v>0</v>
      </c>
      <c r="FK112" s="28">
        <f>SUMPRODUCT(INDEX(PortfolioRef[[SPY]:[PE]],MATCH(FK$1,PortfolioRef[Reference '#]),0),AssetMonthlyReturns[[#This Row],[SPY]:[PE]])</f>
        <v>2.3195289476916386E-2</v>
      </c>
      <c r="FL112" s="27">
        <f>IF(ISNUMBER(FL111),FL111*(1+PortfolioFrontier[[#This Row],[P42 Return]]),1+PortfolioFrontier[[#This Row],[P42 Return]])</f>
        <v>2.005760521811355</v>
      </c>
      <c r="FM112" s="27">
        <f>MAX(FM111,PortfolioFrontier[[#This Row],[P42 Growth]])</f>
        <v>2.005760521811355</v>
      </c>
      <c r="FN112" s="27">
        <f>PortfolioFrontier[[#This Row],[P42 Growth]]/PortfolioFrontier[[#This Row],[P42 HWM]]-1</f>
        <v>0</v>
      </c>
      <c r="FO112" s="28">
        <f>SUMPRODUCT(INDEX(PortfolioRef[[SPY]:[PE]],MATCH(FO$1,PortfolioRef[Reference '#]),0),AssetMonthlyReturns[[#This Row],[SPY]:[PE]])</f>
        <v>2.2995122545691388E-2</v>
      </c>
      <c r="FP112" s="27">
        <f>IF(ISNUMBER(FP111),FP111*(1+PortfolioFrontier[[#This Row],[P43 Return]]),1+PortfolioFrontier[[#This Row],[P43 Return]])</f>
        <v>1.9923981196653706</v>
      </c>
      <c r="FQ112" s="27">
        <f>MAX(FQ111,PortfolioFrontier[[#This Row],[P43 Growth]])</f>
        <v>1.9923981196653706</v>
      </c>
      <c r="FR112" s="27">
        <f>PortfolioFrontier[[#This Row],[P43 Growth]]/PortfolioFrontier[[#This Row],[P43 HWM]]-1</f>
        <v>0</v>
      </c>
      <c r="FS112" s="28">
        <f>SUMPRODUCT(INDEX(PortfolioRef[[SPY]:[PE]],MATCH(FS$1,PortfolioRef[Reference '#]),0),AssetMonthlyReturns[[#This Row],[SPY]:[PE]])</f>
        <v>2.3080377482529175E-2</v>
      </c>
      <c r="FT112" s="27">
        <f>IF(ISNUMBER(FT111),FT111*(1+PortfolioFrontier[[#This Row],[P44 Return]]),1+PortfolioFrontier[[#This Row],[P44 Return]])</f>
        <v>2.1539725893803516</v>
      </c>
      <c r="FU112" s="27">
        <f>MAX(FU111,PortfolioFrontier[[#This Row],[P44 Growth]])</f>
        <v>2.1539725893803516</v>
      </c>
      <c r="FV112" s="27">
        <f>PortfolioFrontier[[#This Row],[P44 Growth]]/PortfolioFrontier[[#This Row],[P44 HWM]]-1</f>
        <v>0</v>
      </c>
      <c r="FW112" s="28">
        <f>SUMPRODUCT(INDEX(PortfolioRef[[SPY]:[PE]],MATCH(FW$1,PortfolioRef[Reference '#]),0),AssetMonthlyReturns[[#This Row],[SPY]:[PE]])</f>
        <v>2.2880210551304181E-2</v>
      </c>
      <c r="FX112" s="27">
        <f>IF(ISNUMBER(FX111),FX111*(1+PortfolioFrontier[[#This Row],[P45 Return]]),1+PortfolioFrontier[[#This Row],[P45 Return]])</f>
        <v>2.1400753318309529</v>
      </c>
      <c r="FY112" s="27">
        <f>MAX(FY111,PortfolioFrontier[[#This Row],[P45 Growth]])</f>
        <v>2.1400753318309529</v>
      </c>
      <c r="FZ112" s="27">
        <f>PortfolioFrontier[[#This Row],[P45 Growth]]/PortfolioFrontier[[#This Row],[P45 HWM]]-1</f>
        <v>0</v>
      </c>
      <c r="GA112" s="28">
        <f>SUMPRODUCT(INDEX(PortfolioRef[[SPY]:[PE]],MATCH(GA$1,PortfolioRef[Reference '#]),0),AssetMonthlyReturns[[#This Row],[SPY]:[PE]])</f>
        <v>2.366875349292253E-2</v>
      </c>
      <c r="GB112" s="27">
        <f>IF(ISNUMBER(GB111),GB111*(1+PortfolioFrontier[[#This Row],[P46 Return]]),1+PortfolioFrontier[[#This Row],[P46 Return]])</f>
        <v>2.1033844052747699</v>
      </c>
      <c r="GC112" s="27">
        <f>MAX(GC111,PortfolioFrontier[[#This Row],[P46 Growth]])</f>
        <v>2.1033844052747699</v>
      </c>
      <c r="GD112" s="27">
        <f>PortfolioFrontier[[#This Row],[P46 Growth]]/PortfolioFrontier[[#This Row],[P46 HWM]]-1</f>
        <v>0</v>
      </c>
      <c r="GE112" s="28">
        <f>SUMPRODUCT(INDEX(PortfolioRef[[SPY]:[PE]],MATCH(GE$1,PortfolioRef[Reference '#]),0),AssetMonthlyReturns[[#This Row],[SPY]:[PE]])</f>
        <v>2.3468586561697532E-2</v>
      </c>
      <c r="GF112" s="27">
        <f>IF(ISNUMBER(GF111),GF111*(1+PortfolioFrontier[[#This Row],[P47 Return]]),1+PortfolioFrontier[[#This Row],[P47 Return]])</f>
        <v>2.0911679845175533</v>
      </c>
      <c r="GG112" s="27">
        <f>MAX(GG111,PortfolioFrontier[[#This Row],[P47 Growth]])</f>
        <v>2.0911679845175533</v>
      </c>
      <c r="GH112" s="27">
        <f>PortfolioFrontier[[#This Row],[P47 Growth]]/PortfolioFrontier[[#This Row],[P47 HWM]]-1</f>
        <v>0</v>
      </c>
      <c r="GI112" s="28">
        <f>SUMPRODUCT(INDEX(PortfolioRef[[SPY]:[PE]],MATCH(GI$1,PortfolioRef[Reference '#]),0),AssetMonthlyReturns[[#This Row],[SPY]:[PE]])</f>
        <v>2.3268419630472534E-2</v>
      </c>
      <c r="GJ112" s="27">
        <f>IF(ISNUMBER(GJ111),GJ111*(1+PortfolioFrontier[[#This Row],[P48 Return]]),1+PortfolioFrontier[[#This Row],[P48 Return]])</f>
        <v>2.0772435287901603</v>
      </c>
      <c r="GK112" s="27">
        <f>MAX(GK111,PortfolioFrontier[[#This Row],[P48 Growth]])</f>
        <v>2.0772435287901603</v>
      </c>
      <c r="GL112" s="27">
        <f>PortfolioFrontier[[#This Row],[P48 Growth]]/PortfolioFrontier[[#This Row],[P48 HWM]]-1</f>
        <v>0</v>
      </c>
      <c r="GM112" s="28">
        <f>SUMPRODUCT(INDEX(PortfolioRef[[SPY]:[PE]],MATCH(GM$1,PortfolioRef[Reference '#]),0),AssetMonthlyReturns[[#This Row],[SPY]:[PE]])</f>
        <v>2.4257129503315884E-2</v>
      </c>
      <c r="GN112" s="27">
        <f>IF(ISNUMBER(GN111),GN111*(1+PortfolioFrontier[[#This Row],[P49 Return]]),1+PortfolioFrontier[[#This Row],[P49 Return]])</f>
        <v>2.0520401488469013</v>
      </c>
      <c r="GO112" s="27">
        <f>MAX(GO111,PortfolioFrontier[[#This Row],[P49 Growth]])</f>
        <v>2.0520401488469013</v>
      </c>
      <c r="GP112" s="27">
        <f>PortfolioFrontier[[#This Row],[P49 Growth]]/PortfolioFrontier[[#This Row],[P49 HWM]]-1</f>
        <v>0</v>
      </c>
      <c r="GQ112" s="28">
        <f>SUMPRODUCT(INDEX(PortfolioRef[[SPY]:[PE]],MATCH(GQ$1,PortfolioRef[Reference '#]),0),AssetMonthlyReturns[[#This Row],[SPY]:[PE]])</f>
        <v>2.405696257209089E-2</v>
      </c>
      <c r="GR112" s="27">
        <f>IF(ISNUMBER(GR111),GR111*(1+PortfolioFrontier[[#This Row],[P50 Return]]),1+PortfolioFrontier[[#This Row],[P50 Return]])</f>
        <v>2.041450216680766</v>
      </c>
      <c r="GS112" s="27">
        <f>MAX(GS111,PortfolioFrontier[[#This Row],[P50 Growth]])</f>
        <v>2.041450216680766</v>
      </c>
      <c r="GT112" s="27">
        <f>PortfolioFrontier[[#This Row],[P50 Growth]]/PortfolioFrontier[[#This Row],[P50 HWM]]-1</f>
        <v>0</v>
      </c>
      <c r="GU112" s="28">
        <f>SUMPRODUCT(INDEX(PortfolioRef[[SPY]:[PE]],MATCH(GU$1,PortfolioRef[Reference '#]),0),AssetMonthlyReturns[[#This Row],[SPY]:[PE]])</f>
        <v>2.3856795640865888E-2</v>
      </c>
      <c r="GV112" s="27">
        <f>IF(ISNUMBER(GV111),GV111*(1+PortfolioFrontier[[#This Row],[P51 Return]]),1+PortfolioFrontier[[#This Row],[P51 Return]])</f>
        <v>2.0291712729243678</v>
      </c>
      <c r="GW112" s="27">
        <f>MAX(GW111,PortfolioFrontier[[#This Row],[P51 Growth]])</f>
        <v>2.0291712729243678</v>
      </c>
      <c r="GX112" s="27">
        <f>PortfolioFrontier[[#This Row],[P51 Growth]]/PortfolioFrontier[[#This Row],[P51 HWM]]-1</f>
        <v>0</v>
      </c>
      <c r="GY112" s="28">
        <f>SUMPRODUCT(INDEX(PortfolioRef[[SPY]:[PE]],MATCH(GY$1,PortfolioRef[Reference '#]),0),AssetMonthlyReturns[[#This Row],[SPY]:[PE]])</f>
        <v>2.3942050577703683E-2</v>
      </c>
      <c r="GZ112" s="27">
        <f>IF(ISNUMBER(GZ111),GZ111*(1+PortfolioFrontier[[#This Row],[P52 Return]]),1+PortfolioFrontier[[#This Row],[P52 Return]])</f>
        <v>2.1921669652080498</v>
      </c>
      <c r="HA112" s="27">
        <f>MAX(HA111,PortfolioFrontier[[#This Row],[P52 Growth]])</f>
        <v>2.1921669652080498</v>
      </c>
      <c r="HB112" s="27">
        <f>PortfolioFrontier[[#This Row],[P52 Growth]]/PortfolioFrontier[[#This Row],[P52 HWM]]-1</f>
        <v>0</v>
      </c>
      <c r="HC112" s="28">
        <f>SUMPRODUCT(INDEX(PortfolioRef[[SPY]:[PE]],MATCH(HC$1,PortfolioRef[Reference '#]),0),AssetMonthlyReturns[[#This Row],[SPY]:[PE]])</f>
        <v>2.3741883646478685E-2</v>
      </c>
      <c r="HD112" s="27">
        <f>IF(ISNUMBER(HD111),HD111*(1+PortfolioFrontier[[#This Row],[P53 Return]]),1+PortfolioFrontier[[#This Row],[P53 Return]])</f>
        <v>2.1794408884340783</v>
      </c>
      <c r="HE112" s="27">
        <f>MAX(HE111,PortfolioFrontier[[#This Row],[P53 Growth]])</f>
        <v>2.1794408884340783</v>
      </c>
      <c r="HF112" s="27">
        <f>PortfolioFrontier[[#This Row],[P53 Growth]]/PortfolioFrontier[[#This Row],[P53 HWM]]-1</f>
        <v>0</v>
      </c>
      <c r="HG112" s="28">
        <f>SUMPRODUCT(INDEX(PortfolioRef[[SPY]:[PE]],MATCH(HG$1,PortfolioRef[Reference '#]),0),AssetMonthlyReturns[[#This Row],[SPY]:[PE]])</f>
        <v>2.3541716715253687E-2</v>
      </c>
      <c r="HH112" s="27">
        <f>IF(ISNUMBER(HH111),HH111*(1+PortfolioFrontier[[#This Row],[P54 Return]]),1+PortfolioFrontier[[#This Row],[P54 Return]])</f>
        <v>2.164935765181538</v>
      </c>
      <c r="HI112" s="27">
        <f>MAX(HI111,PortfolioFrontier[[#This Row],[P54 Growth]])</f>
        <v>2.164935765181538</v>
      </c>
      <c r="HJ112" s="27">
        <f>PortfolioFrontier[[#This Row],[P54 Growth]]/PortfolioFrontier[[#This Row],[P54 HWM]]-1</f>
        <v>0</v>
      </c>
      <c r="HK112" s="28">
        <f>SUMPRODUCT(INDEX(PortfolioRef[[SPY]:[PE]],MATCH(HK$1,PortfolioRef[Reference '#]),0),AssetMonthlyReturns[[#This Row],[SPY]:[PE]])</f>
        <v>2.4530426588097034E-2</v>
      </c>
      <c r="HL112" s="27">
        <f>IF(ISNUMBER(HL111),HL111*(1+PortfolioFrontier[[#This Row],[P55 Return]]),1+PortfolioFrontier[[#This Row],[P55 Return]])</f>
        <v>2.1394075201482274</v>
      </c>
      <c r="HM112" s="27">
        <f>MAX(HM111,PortfolioFrontier[[#This Row],[P55 Growth]])</f>
        <v>2.1394075201482274</v>
      </c>
      <c r="HN112" s="27">
        <f>PortfolioFrontier[[#This Row],[P55 Growth]]/PortfolioFrontier[[#This Row],[P55 HWM]]-1</f>
        <v>0</v>
      </c>
      <c r="HO112" s="28">
        <f>SUMPRODUCT(INDEX(PortfolioRef[[SPY]:[PE]],MATCH(HO$1,PortfolioRef[Reference '#]),0),AssetMonthlyReturns[[#This Row],[SPY]:[PE]])</f>
        <v>2.4330259656872039E-2</v>
      </c>
      <c r="HP112" s="27">
        <f>IF(ISNUMBER(HP111),HP111*(1+PortfolioFrontier[[#This Row],[P56 Return]]),1+PortfolioFrontier[[#This Row],[P56 Return]])</f>
        <v>2.1283718132379827</v>
      </c>
      <c r="HQ112" s="27">
        <f>MAX(HQ111,PortfolioFrontier[[#This Row],[P56 Growth]])</f>
        <v>2.1283718132379827</v>
      </c>
      <c r="HR112" s="27">
        <f>PortfolioFrontier[[#This Row],[P56 Growth]]/PortfolioFrontier[[#This Row],[P56 HWM]]-1</f>
        <v>0</v>
      </c>
      <c r="HS112" s="28">
        <f>SUMPRODUCT(INDEX(PortfolioRef[[SPY]:[PE]],MATCH(HS$1,PortfolioRef[Reference '#]),0),AssetMonthlyReturns[[#This Row],[SPY]:[PE]])</f>
        <v>2.4130092725647038E-2</v>
      </c>
      <c r="HT112" s="27">
        <f>IF(ISNUMBER(HT111),HT111*(1+PortfolioFrontier[[#This Row],[P57 Return]]),1+PortfolioFrontier[[#This Row],[P57 Return]])</f>
        <v>2.115576280979147</v>
      </c>
      <c r="HU112" s="27">
        <f>MAX(HU111,PortfolioFrontier[[#This Row],[P57 Growth]])</f>
        <v>2.115576280979147</v>
      </c>
      <c r="HV112" s="27">
        <f>PortfolioFrontier[[#This Row],[P57 Growth]]/PortfolioFrontier[[#This Row],[P57 HWM]]-1</f>
        <v>0</v>
      </c>
      <c r="HW112" s="28">
        <f>SUMPRODUCT(INDEX(PortfolioRef[[SPY]:[PE]],MATCH(HW$1,PortfolioRef[Reference '#]),0),AssetMonthlyReturns[[#This Row],[SPY]:[PE]])</f>
        <v>2.5118802598490388E-2</v>
      </c>
      <c r="HX112" s="27">
        <f>IF(ISNUMBER(HX111),HX111*(1+PortfolioFrontier[[#This Row],[P58 Return]]),1+PortfolioFrontier[[#This Row],[P58 Return]])</f>
        <v>2.085935812232329</v>
      </c>
      <c r="HY112" s="27">
        <f>MAX(HY111,PortfolioFrontier[[#This Row],[P58 Growth]])</f>
        <v>2.0910143650860982</v>
      </c>
      <c r="HZ112" s="27">
        <f>PortfolioFrontier[[#This Row],[P58 Growth]]/PortfolioFrontier[[#This Row],[P58 HWM]]-1</f>
        <v>-2.4287508199686281E-3</v>
      </c>
      <c r="IA112" s="28">
        <f>SUMPRODUCT(INDEX(PortfolioRef[[SPY]:[PE]],MATCH(IA$1,PortfolioRef[Reference '#]),0),AssetMonthlyReturns[[#This Row],[SPY]:[PE]])</f>
        <v>2.4918635667265394E-2</v>
      </c>
      <c r="IB112" s="27">
        <f>IF(ISNUMBER(IB111),IB111*(1+PortfolioFrontier[[#This Row],[P59 Return]]),1+PortfolioFrontier[[#This Row],[P59 Return]])</f>
        <v>2.0765327261327724</v>
      </c>
      <c r="IC112" s="27">
        <f>MAX(IC111,PortfolioFrontier[[#This Row],[P59 Growth]])</f>
        <v>2.0765327261327724</v>
      </c>
      <c r="ID112" s="27">
        <f>PortfolioFrontier[[#This Row],[P59 Growth]]/PortfolioFrontier[[#This Row],[P59 HWM]]-1</f>
        <v>0</v>
      </c>
      <c r="IE112" s="28">
        <f>SUMPRODUCT(INDEX(PortfolioRef[[SPY]:[PE]],MATCH(IE$1,PortfolioRef[Reference '#]),0),AssetMonthlyReturns[[#This Row],[SPY]:[PE]])</f>
        <v>2.4718468736040396E-2</v>
      </c>
      <c r="IF112" s="27">
        <f>IF(ISNUMBER(IF111),IF111*(1+PortfolioFrontier[[#This Row],[P60 Return]]),1+PortfolioFrontier[[#This Row],[P60 Return]])</f>
        <v>2.065392129990741</v>
      </c>
      <c r="IG112" s="27">
        <f>MAX(IG111,PortfolioFrontier[[#This Row],[P60 Growth]])</f>
        <v>2.065392129990741</v>
      </c>
      <c r="IH112" s="27">
        <f>PortfolioFrontier[[#This Row],[P60 Growth]]/PortfolioFrontier[[#This Row],[P60 HWM]]-1</f>
        <v>0</v>
      </c>
      <c r="II112" s="28">
        <f>SUMPRODUCT(INDEX(PortfolioRef[[SPY]:[PE]],MATCH(II$1,PortfolioRef[Reference '#]),0),AssetMonthlyReturns[[#This Row],[SPY]:[PE]])</f>
        <v>1.8228584948242844E-2</v>
      </c>
      <c r="IJ112" s="27">
        <f>IF(ISNUMBER(IJ111),IJ111*(1+PortfolioFrontier[[#This Row],[P61 Return]]),1+PortfolioFrontier[[#This Row],[P61 Return]])</f>
        <v>1.8422565920250509</v>
      </c>
      <c r="IK112" s="27">
        <f>MAX(IK111,PortfolioFrontier[[#This Row],[P61 Growth]])</f>
        <v>1.8422565920250509</v>
      </c>
      <c r="IL112" s="27">
        <f>PortfolioFrontier[[#This Row],[P61 Growth]]/PortfolioFrontier[[#This Row],[P61 HWM]]-1</f>
        <v>0</v>
      </c>
      <c r="IM112" s="28">
        <f>SUMPRODUCT(INDEX(PortfolioRef[[SPY]:[PE]],MATCH(IM$1,PortfolioRef[Reference '#]),0),AssetMonthlyReturns[[#This Row],[SPY]:[PE]])</f>
        <v>1.8501882033023991E-2</v>
      </c>
      <c r="IN112" s="27">
        <f>IF(ISNUMBER(IN111),IN111*(1+PortfolioFrontier[[#This Row],[P62 Return]]),1+PortfolioFrontier[[#This Row],[P62 Return]])</f>
        <v>1.9206947280060789</v>
      </c>
      <c r="IO112" s="27">
        <f>MAX(IO111,PortfolioFrontier[[#This Row],[P62 Growth]])</f>
        <v>1.9206947280060789</v>
      </c>
      <c r="IP112" s="27">
        <f>PortfolioFrontier[[#This Row],[P62 Growth]]/PortfolioFrontier[[#This Row],[P62 HWM]]-1</f>
        <v>0</v>
      </c>
      <c r="IQ112" s="28">
        <f>SUMPRODUCT(INDEX(PortfolioRef[[SPY]:[PE]],MATCH(IQ$1,PortfolioRef[Reference '#]),0),AssetMonthlyReturns[[#This Row],[SPY]:[PE]])</f>
        <v>1.9090258043417345E-2</v>
      </c>
      <c r="IR112" s="27">
        <f>IF(ISNUMBER(IR111),IR111*(1+PortfolioFrontier[[#This Row],[P63 Return]]),1+PortfolioFrontier[[#This Row],[P63 Return]])</f>
        <v>1.8768069448602827</v>
      </c>
      <c r="IS112" s="27">
        <f>MAX(IS111,PortfolioFrontier[[#This Row],[P63 Growth]])</f>
        <v>1.8768069448602827</v>
      </c>
      <c r="IT112" s="27">
        <f>PortfolioFrontier[[#This Row],[P63 Growth]]/PortfolioFrontier[[#This Row],[P63 HWM]]-1</f>
        <v>0</v>
      </c>
      <c r="IU112" s="28">
        <f>SUMPRODUCT(INDEX(PortfolioRef[[SPY]:[PE]],MATCH(IU$1,PortfolioRef[Reference '#]),0),AssetMonthlyReturns[[#This Row],[SPY]:[PE]])</f>
        <v>1.889009111219235E-2</v>
      </c>
      <c r="IV112" s="27">
        <f>IF(ISNUMBER(IV111),IV111*(1+PortfolioFrontier[[#This Row],[P64 Return]]),1+PortfolioFrontier[[#This Row],[P64 Return]])</f>
        <v>1.8639761240260955</v>
      </c>
      <c r="IW112" s="27">
        <f>MAX(IW111,PortfolioFrontier[[#This Row],[P64 Growth]])</f>
        <v>1.8639761240260955</v>
      </c>
      <c r="IX112" s="27">
        <f>PortfolioFrontier[[#This Row],[P64 Growth]]/PortfolioFrontier[[#This Row],[P64 HWM]]-1</f>
        <v>0</v>
      </c>
      <c r="IY112" s="28">
        <f>SUMPRODUCT(INDEX(PortfolioRef[[SPY]:[PE]],MATCH(IY$1,PortfolioRef[Reference '#]),0),AssetMonthlyReturns[[#This Row],[SPY]:[PE]])</f>
        <v>1.8775179117805144E-2</v>
      </c>
      <c r="IZ112" s="27">
        <f>IF(ISNUMBER(IZ111),IZ111*(1+PortfolioFrontier[[#This Row],[P65 Return]]),1+PortfolioFrontier[[#This Row],[P65 Return]])</f>
        <v>2.0017624243447072</v>
      </c>
      <c r="JA112" s="27">
        <f>MAX(JA111,PortfolioFrontier[[#This Row],[P65 Growth]])</f>
        <v>2.0017624243447072</v>
      </c>
      <c r="JB112" s="27">
        <f>PortfolioFrontier[[#This Row],[P65 Growth]]/PortfolioFrontier[[#This Row],[P65 HWM]]-1</f>
        <v>0</v>
      </c>
      <c r="JC112" s="28">
        <f>SUMPRODUCT(INDEX(PortfolioRef[[SPY]:[PE]],MATCH(JC$1,PortfolioRef[Reference '#]),0),AssetMonthlyReturns[[#This Row],[SPY]:[PE]])</f>
        <v>1.9363555128198495E-2</v>
      </c>
      <c r="JD112" s="27">
        <f>IF(ISNUMBER(JD111),JD111*(1+PortfolioFrontier[[#This Row],[P66 Return]]),1+PortfolioFrontier[[#This Row],[P66 Return]])</f>
        <v>1.9567098864263286</v>
      </c>
      <c r="JE112" s="27">
        <f>MAX(JE111,PortfolioFrontier[[#This Row],[P66 Growth]])</f>
        <v>1.9567098864263286</v>
      </c>
      <c r="JF112" s="27">
        <f>PortfolioFrontier[[#This Row],[P66 Growth]]/PortfolioFrontier[[#This Row],[P66 HWM]]-1</f>
        <v>0</v>
      </c>
      <c r="JG112" s="28">
        <f>SUMPRODUCT(INDEX(PortfolioRef[[SPY]:[PE]],MATCH(JG$1,PortfolioRef[Reference '#]),0),AssetMonthlyReturns[[#This Row],[SPY]:[PE]])</f>
        <v>1.91633881969735E-2</v>
      </c>
      <c r="JH112" s="27">
        <f>IF(ISNUMBER(JH111),JH111*(1+PortfolioFrontier[[#This Row],[P67 Return]]),1+PortfolioFrontier[[#This Row],[P67 Return]])</f>
        <v>1.9433393874418914</v>
      </c>
      <c r="JI112" s="27">
        <f>MAX(JI111,PortfolioFrontier[[#This Row],[P67 Growth]])</f>
        <v>1.9433393874418914</v>
      </c>
      <c r="JJ112" s="27">
        <f>PortfolioFrontier[[#This Row],[P67 Growth]]/PortfolioFrontier[[#This Row],[P67 HWM]]-1</f>
        <v>0</v>
      </c>
      <c r="JK112" s="28">
        <f>SUMPRODUCT(INDEX(PortfolioRef[[SPY]:[PE]],MATCH(JK$1,PortfolioRef[Reference '#]),0),AssetMonthlyReturns[[#This Row],[SPY]:[PE]])</f>
        <v>1.9951931138591852E-2</v>
      </c>
      <c r="JL112" s="27">
        <f>IF(ISNUMBER(JL111),JL111*(1+PortfolioFrontier[[#This Row],[P68 Return]]),1+PortfolioFrontier[[#This Row],[P68 Return]])</f>
        <v>1.9108680397366999</v>
      </c>
      <c r="JM112" s="27">
        <f>MAX(JM111,PortfolioFrontier[[#This Row],[P68 Growth]])</f>
        <v>1.9108680397366999</v>
      </c>
      <c r="JN112" s="27">
        <f>PortfolioFrontier[[#This Row],[P68 Growth]]/PortfolioFrontier[[#This Row],[P68 HWM]]-1</f>
        <v>0</v>
      </c>
      <c r="JO112" s="28">
        <f>SUMPRODUCT(INDEX(PortfolioRef[[SPY]:[PE]],MATCH(JO$1,PortfolioRef[Reference '#]),0),AssetMonthlyReturns[[#This Row],[SPY]:[PE]])</f>
        <v>1.9751764207366854E-2</v>
      </c>
      <c r="JP112" s="27">
        <f>IF(ISNUMBER(JP111),JP111*(1+PortfolioFrontier[[#This Row],[P69 Return]]),1+PortfolioFrontier[[#This Row],[P69 Return]])</f>
        <v>1.8990388900686599</v>
      </c>
      <c r="JQ112" s="27">
        <f>MAX(JQ111,PortfolioFrontier[[#This Row],[P69 Growth]])</f>
        <v>1.8990388900686599</v>
      </c>
      <c r="JR112" s="27">
        <f>PortfolioFrontier[[#This Row],[P69 Growth]]/PortfolioFrontier[[#This Row],[P69 HWM]]-1</f>
        <v>0</v>
      </c>
      <c r="JS112" s="28">
        <f>SUMPRODUCT(INDEX(PortfolioRef[[SPY]:[PE]],MATCH(JS$1,PortfolioRef[Reference '#]),0),AssetMonthlyReturns[[#This Row],[SPY]:[PE]])</f>
        <v>1.9551597276141856E-2</v>
      </c>
      <c r="JT112" s="27">
        <f>IF(ISNUMBER(JT111),JT111*(1+PortfolioFrontier[[#This Row],[P70 Return]]),1+PortfolioFrontier[[#This Row],[P70 Return]])</f>
        <v>1.8856691911070398</v>
      </c>
      <c r="JU112" s="27">
        <f>MAX(JU111,PortfolioFrontier[[#This Row],[P70 Growth]])</f>
        <v>1.8856691911070398</v>
      </c>
      <c r="JV112" s="27">
        <f>PortfolioFrontier[[#This Row],[P70 Growth]]/PortfolioFrontier[[#This Row],[P70 HWM]]-1</f>
        <v>0</v>
      </c>
      <c r="JW112" s="28">
        <f>SUMPRODUCT(INDEX(PortfolioRef[[SPY]:[PE]],MATCH(JW$1,PortfolioRef[Reference '#]),0),AssetMonthlyReturns[[#This Row],[SPY]:[PE]])</f>
        <v>1.9636852212979644E-2</v>
      </c>
      <c r="JX112" s="27">
        <f>IF(ISNUMBER(JX111),JX111*(1+PortfolioFrontier[[#This Row],[P71 Return]]),1+PortfolioFrontier[[#This Row],[P71 Return]])</f>
        <v>2.039291640403242</v>
      </c>
      <c r="JY112" s="27">
        <f>MAX(JY111,PortfolioFrontier[[#This Row],[P71 Growth]])</f>
        <v>2.039291640403242</v>
      </c>
      <c r="JZ112" s="27">
        <f>PortfolioFrontier[[#This Row],[P71 Growth]]/PortfolioFrontier[[#This Row],[P71 HWM]]-1</f>
        <v>0</v>
      </c>
      <c r="KA112" s="28">
        <f>SUMPRODUCT(INDEX(PortfolioRef[[SPY]:[PE]],MATCH(KA$1,PortfolioRef[Reference '#]),0),AssetMonthlyReturns[[#This Row],[SPY]:[PE]])</f>
        <v>1.943668528175465E-2</v>
      </c>
      <c r="KB112" s="27">
        <f>IF(ISNUMBER(KB111),KB111*(1+PortfolioFrontier[[#This Row],[P72 Return]]),1+PortfolioFrontier[[#This Row],[P72 Return]])</f>
        <v>2.0253635991651371</v>
      </c>
      <c r="KC112" s="27">
        <f>MAX(KC111,PortfolioFrontier[[#This Row],[P72 Growth]])</f>
        <v>2.0253635991651371</v>
      </c>
      <c r="KD112" s="27">
        <f>PortfolioFrontier[[#This Row],[P72 Growth]]/PortfolioFrontier[[#This Row],[P72 HWM]]-1</f>
        <v>0</v>
      </c>
      <c r="KE112" s="28">
        <f>SUMPRODUCT(INDEX(PortfolioRef[[SPY]:[PE]],MATCH(KE$1,PortfolioRef[Reference '#]),0),AssetMonthlyReturns[[#This Row],[SPY]:[PE]])</f>
        <v>2.0225228223372999E-2</v>
      </c>
      <c r="KF112" s="27">
        <f>IF(ISNUMBER(KF111),KF111*(1+PortfolioFrontier[[#This Row],[P73 Return]]),1+PortfolioFrontier[[#This Row],[P73 Return]])</f>
        <v>1.9922154708583322</v>
      </c>
      <c r="KG112" s="27">
        <f>MAX(KG111,PortfolioFrontier[[#This Row],[P73 Growth]])</f>
        <v>1.9922154708583322</v>
      </c>
      <c r="KH112" s="27">
        <f>PortfolioFrontier[[#This Row],[P73 Growth]]/PortfolioFrontier[[#This Row],[P73 HWM]]-1</f>
        <v>0</v>
      </c>
      <c r="KI112" s="28">
        <f>SUMPRODUCT(INDEX(PortfolioRef[[SPY]:[PE]],MATCH(KI$1,PortfolioRef[Reference '#]),0),AssetMonthlyReturns[[#This Row],[SPY]:[PE]])</f>
        <v>2.0025061292148E-2</v>
      </c>
      <c r="KJ112" s="27">
        <f>IF(ISNUMBER(KJ111),KJ111*(1+PortfolioFrontier[[#This Row],[P74 Return]]),1+PortfolioFrontier[[#This Row],[P74 Return]])</f>
        <v>1.9798886706691456</v>
      </c>
      <c r="KK112" s="27">
        <f>MAX(KK111,PortfolioFrontier[[#This Row],[P74 Growth]])</f>
        <v>1.9798886706691456</v>
      </c>
      <c r="KL112" s="27">
        <f>PortfolioFrontier[[#This Row],[P74 Growth]]/PortfolioFrontier[[#This Row],[P74 HWM]]-1</f>
        <v>0</v>
      </c>
      <c r="KM112" s="28">
        <f>SUMPRODUCT(INDEX(PortfolioRef[[SPY]:[PE]],MATCH(KM$1,PortfolioRef[Reference '#]),0),AssetMonthlyReturns[[#This Row],[SPY]:[PE]])</f>
        <v>1.9824894360923002E-2</v>
      </c>
      <c r="KN112" s="27">
        <f>IF(ISNUMBER(KN111),KN111*(1+PortfolioFrontier[[#This Row],[P75 Return]]),1+PortfolioFrontier[[#This Row],[P75 Return]])</f>
        <v>1.9659567303201708</v>
      </c>
      <c r="KO112" s="27">
        <f>MAX(KO111,PortfolioFrontier[[#This Row],[P75 Growth]])</f>
        <v>1.9659567303201708</v>
      </c>
      <c r="KP112" s="27">
        <f>PortfolioFrontier[[#This Row],[P75 Growth]]/PortfolioFrontier[[#This Row],[P75 HWM]]-1</f>
        <v>0</v>
      </c>
      <c r="KQ112" s="28">
        <f>SUMPRODUCT(INDEX(PortfolioRef[[SPY]:[PE]],MATCH(KQ$1,PortfolioRef[Reference '#]),0),AssetMonthlyReturns[[#This Row],[SPY]:[PE]])</f>
        <v>2.0813604233766353E-2</v>
      </c>
      <c r="KR112" s="27">
        <f>IF(ISNUMBER(KR111),KR111*(1+PortfolioFrontier[[#This Row],[P76 Return]]),1+PortfolioFrontier[[#This Row],[P76 Return]])</f>
        <v>1.944386187190642</v>
      </c>
      <c r="KS112" s="27">
        <f>MAX(KS111,PortfolioFrontier[[#This Row],[P76 Growth]])</f>
        <v>1.944386187190642</v>
      </c>
      <c r="KT112" s="27">
        <f>PortfolioFrontier[[#This Row],[P76 Growth]]/PortfolioFrontier[[#This Row],[P76 HWM]]-1</f>
        <v>0</v>
      </c>
      <c r="KU112" s="28">
        <f>SUMPRODUCT(INDEX(PortfolioRef[[SPY]:[PE]],MATCH(KU$1,PortfolioRef[Reference '#]),0),AssetMonthlyReturns[[#This Row],[SPY]:[PE]])</f>
        <v>2.0613437302541358E-2</v>
      </c>
      <c r="KV112" s="27">
        <f>IF(ISNUMBER(KV111),KV111*(1+PortfolioFrontier[[#This Row],[P77 Return]]),1+PortfolioFrontier[[#This Row],[P77 Return]])</f>
        <v>1.9336106877658943</v>
      </c>
      <c r="KW112" s="27">
        <f>MAX(KW111,PortfolioFrontier[[#This Row],[P77 Growth]])</f>
        <v>1.9336106877658943</v>
      </c>
      <c r="KX112" s="27">
        <f>PortfolioFrontier[[#This Row],[P77 Growth]]/PortfolioFrontier[[#This Row],[P77 HWM]]-1</f>
        <v>0</v>
      </c>
      <c r="KY112" s="28">
        <f>SUMPRODUCT(INDEX(PortfolioRef[[SPY]:[PE]],MATCH(KY$1,PortfolioRef[Reference '#]),0),AssetMonthlyReturns[[#This Row],[SPY]:[PE]])</f>
        <v>2.0413270371316357E-2</v>
      </c>
      <c r="KZ112" s="27">
        <f>IF(ISNUMBER(KZ111),KZ111*(1+PortfolioFrontier[[#This Row],[P78 Return]]),1+PortfolioFrontier[[#This Row],[P78 Return]])</f>
        <v>1.9212463677152096</v>
      </c>
      <c r="LA112" s="27">
        <f>MAX(LA111,PortfolioFrontier[[#This Row],[P78 Growth]])</f>
        <v>1.9212463677152096</v>
      </c>
      <c r="LB112" s="27">
        <f>PortfolioFrontier[[#This Row],[P78 Growth]]/PortfolioFrontier[[#This Row],[P78 HWM]]-1</f>
        <v>0</v>
      </c>
      <c r="LC112" s="28">
        <f>SUMPRODUCT(INDEX(PortfolioRef[[SPY]:[PE]],MATCH(LC$1,PortfolioRef[Reference '#]),0),AssetMonthlyReturns[[#This Row],[SPY]:[PE]])</f>
        <v>2.0498525308154148E-2</v>
      </c>
      <c r="LD112" s="27">
        <f>IF(ISNUMBER(LD111),LD111*(1+PortfolioFrontier[[#This Row],[P79 Return]]),1+PortfolioFrontier[[#This Row],[P79 Return]])</f>
        <v>2.0762903132191584</v>
      </c>
      <c r="LE112" s="27">
        <f>MAX(LE111,PortfolioFrontier[[#This Row],[P79 Growth]])</f>
        <v>2.0762903132191584</v>
      </c>
      <c r="LF112" s="27">
        <f>PortfolioFrontier[[#This Row],[P79 Growth]]/PortfolioFrontier[[#This Row],[P79 HWM]]-1</f>
        <v>0</v>
      </c>
      <c r="LG112" s="28">
        <f>SUMPRODUCT(INDEX(PortfolioRef[[SPY]:[PE]],MATCH(LG$1,PortfolioRef[Reference '#]),0),AssetMonthlyReturns[[#This Row],[SPY]:[PE]])</f>
        <v>2.029835837692915E-2</v>
      </c>
      <c r="LH112" s="27">
        <f>IF(ISNUMBER(LH111),LH111*(1+PortfolioFrontier[[#This Row],[P80 Return]]),1+PortfolioFrontier[[#This Row],[P80 Return]])</f>
        <v>2.0634493864554875</v>
      </c>
      <c r="LI112" s="27">
        <f>MAX(LI111,PortfolioFrontier[[#This Row],[P80 Growth]])</f>
        <v>2.0634493864554875</v>
      </c>
      <c r="LJ112" s="27">
        <f>PortfolioFrontier[[#This Row],[P80 Growth]]/PortfolioFrontier[[#This Row],[P80 HWM]]-1</f>
        <v>0</v>
      </c>
      <c r="LK112" s="28">
        <f>SUMPRODUCT(INDEX(PortfolioRef[[SPY]:[PE]],MATCH(LK$1,PortfolioRef[Reference '#]),0),AssetMonthlyReturns[[#This Row],[SPY]:[PE]])</f>
        <v>2.0098191445704152E-2</v>
      </c>
      <c r="LL112" s="27">
        <f>IF(ISNUMBER(LL111),LL111*(1+PortfolioFrontier[[#This Row],[P81 Return]]),1+PortfolioFrontier[[#This Row],[P81 Return]])</f>
        <v>2.0489365936050379</v>
      </c>
      <c r="LM112" s="27">
        <f>MAX(LM111,PortfolioFrontier[[#This Row],[P81 Growth]])</f>
        <v>2.0489365936050379</v>
      </c>
      <c r="LN112" s="27">
        <f>PortfolioFrontier[[#This Row],[P81 Growth]]/PortfolioFrontier[[#This Row],[P81 HWM]]-1</f>
        <v>0</v>
      </c>
      <c r="LO112" s="28">
        <f>SUMPRODUCT(INDEX(PortfolioRef[[SPY]:[PE]],MATCH(LO$1,PortfolioRef[Reference '#]),0),AssetMonthlyReturns[[#This Row],[SPY]:[PE]])</f>
        <v>2.1086901318547499E-2</v>
      </c>
      <c r="LP112" s="27">
        <f>IF(ISNUMBER(LP111),LP111*(1+PortfolioFrontier[[#This Row],[P82 Return]]),1+PortfolioFrontier[[#This Row],[P82 Return]])</f>
        <v>2.0271555512755945</v>
      </c>
      <c r="LQ112" s="27">
        <f>MAX(LQ111,PortfolioFrontier[[#This Row],[P82 Growth]])</f>
        <v>2.0271555512755945</v>
      </c>
      <c r="LR112" s="27">
        <f>PortfolioFrontier[[#This Row],[P82 Growth]]/PortfolioFrontier[[#This Row],[P82 HWM]]-1</f>
        <v>0</v>
      </c>
      <c r="LS112" s="28">
        <f>SUMPRODUCT(INDEX(PortfolioRef[[SPY]:[PE]],MATCH(LS$1,PortfolioRef[Reference '#]),0),AssetMonthlyReturns[[#This Row],[SPY]:[PE]])</f>
        <v>2.0886734387322504E-2</v>
      </c>
      <c r="LT112" s="27">
        <f>IF(ISNUMBER(LT111),LT111*(1+PortfolioFrontier[[#This Row],[P83 Return]]),1+PortfolioFrontier[[#This Row],[P83 Return]])</f>
        <v>2.015926601414114</v>
      </c>
      <c r="LU112" s="27">
        <f>MAX(LU111,PortfolioFrontier[[#This Row],[P83 Growth]])</f>
        <v>2.015926601414114</v>
      </c>
      <c r="LV112" s="27">
        <f>PortfolioFrontier[[#This Row],[P83 Growth]]/PortfolioFrontier[[#This Row],[P83 HWM]]-1</f>
        <v>0</v>
      </c>
      <c r="LW112" s="28">
        <f>SUMPRODUCT(INDEX(PortfolioRef[[SPY]:[PE]],MATCH(LW$1,PortfolioRef[Reference '#]),0),AssetMonthlyReturns[[#This Row],[SPY]:[PE]])</f>
        <v>2.0686567456097503E-2</v>
      </c>
      <c r="LX112" s="27">
        <f>IF(ISNUMBER(LX111),LX111*(1+PortfolioFrontier[[#This Row],[P84 Return]]),1+PortfolioFrontier[[#This Row],[P84 Return]])</f>
        <v>2.0030422256263591</v>
      </c>
      <c r="LY112" s="27">
        <f>MAX(LY111,PortfolioFrontier[[#This Row],[P84 Growth]])</f>
        <v>2.0030422256263591</v>
      </c>
      <c r="LZ112" s="27">
        <f>PortfolioFrontier[[#This Row],[P84 Growth]]/PortfolioFrontier[[#This Row],[P84 HWM]]-1</f>
        <v>0</v>
      </c>
      <c r="MA112" s="28">
        <f>SUMPRODUCT(INDEX(PortfolioRef[[SPY]:[PE]],MATCH(MA$1,PortfolioRef[Reference '#]),0),AssetMonthlyReturns[[#This Row],[SPY]:[PE]])</f>
        <v>2.1675277328940853E-2</v>
      </c>
      <c r="MB112" s="27">
        <f>IF(ISNUMBER(MB111),MB111*(1+PortfolioFrontier[[#This Row],[P85 Return]]),1+PortfolioFrontier[[#This Row],[P85 Return]])</f>
        <v>1.977307285651849</v>
      </c>
      <c r="MC112" s="27">
        <f>MAX(MC111,PortfolioFrontier[[#This Row],[P85 Growth]])</f>
        <v>1.9798393963163579</v>
      </c>
      <c r="MD112" s="27">
        <f>PortfolioFrontier[[#This Row],[P85 Growth]]/PortfolioFrontier[[#This Row],[P85 HWM]]-1</f>
        <v>-1.2789475091868896E-3</v>
      </c>
      <c r="ME112" s="28">
        <f>SUMPRODUCT(INDEX(PortfolioRef[[SPY]:[PE]],MATCH(ME$1,PortfolioRef[Reference '#]),0),AssetMonthlyReturns[[#This Row],[SPY]:[PE]])</f>
        <v>2.1475110397715859E-2</v>
      </c>
      <c r="MF112" s="27">
        <f>IF(ISNUMBER(MF111),MF111*(1+PortfolioFrontier[[#This Row],[P86 Return]]),1+PortfolioFrontier[[#This Row],[P86 Return]])</f>
        <v>1.9676371336055054</v>
      </c>
      <c r="MG112" s="27">
        <f>MAX(MG111,PortfolioFrontier[[#This Row],[P86 Growth]])</f>
        <v>1.9676371336055054</v>
      </c>
      <c r="MH112" s="27">
        <f>PortfolioFrontier[[#This Row],[P86 Growth]]/PortfolioFrontier[[#This Row],[P86 HWM]]-1</f>
        <v>0</v>
      </c>
      <c r="MI112" s="28">
        <f>SUMPRODUCT(INDEX(PortfolioRef[[SPY]:[PE]],MATCH(MI$1,PortfolioRef[Reference '#]),0),AssetMonthlyReturns[[#This Row],[SPY]:[PE]])</f>
        <v>2.1274943466490861E-2</v>
      </c>
      <c r="MJ112" s="27">
        <f>IF(ISNUMBER(MJ111),MJ111*(1+PortfolioFrontier[[#This Row],[P87 Return]]),1+PortfolioFrontier[[#This Row],[P87 Return]])</f>
        <v>1.9563309686670289</v>
      </c>
      <c r="MK112" s="27">
        <f>MAX(MK111,PortfolioFrontier[[#This Row],[P87 Growth]])</f>
        <v>1.9563309686670289</v>
      </c>
      <c r="ML112" s="27">
        <f>PortfolioFrontier[[#This Row],[P87 Growth]]/PortfolioFrontier[[#This Row],[P87 HWM]]-1</f>
        <v>0</v>
      </c>
      <c r="MM112" s="28">
        <f>SUMPRODUCT(INDEX(PortfolioRef[[SPY]:[PE]],MATCH(MM$1,PortfolioRef[Reference '#]),0),AssetMonthlyReturns[[#This Row],[SPY]:[PE]])</f>
        <v>2.1360198403328652E-2</v>
      </c>
      <c r="MN112" s="27">
        <f>IF(ISNUMBER(MN111),MN111*(1+PortfolioFrontier[[#This Row],[P88 Return]]),1+PortfolioFrontier[[#This Row],[P88 Return]])</f>
        <v>2.1127001982473752</v>
      </c>
      <c r="MO112" s="27">
        <f>MAX(MO111,PortfolioFrontier[[#This Row],[P88 Growth]])</f>
        <v>2.1127001982473752</v>
      </c>
      <c r="MP112" s="27">
        <f>PortfolioFrontier[[#This Row],[P88 Growth]]/PortfolioFrontier[[#This Row],[P88 HWM]]-1</f>
        <v>0</v>
      </c>
      <c r="MQ112" s="28">
        <f>SUMPRODUCT(INDEX(PortfolioRef[[SPY]:[PE]],MATCH(MQ$1,PortfolioRef[Reference '#]),0),AssetMonthlyReturns[[#This Row],[SPY]:[PE]])</f>
        <v>2.1160031472103658E-2</v>
      </c>
      <c r="MR112" s="27">
        <f>IF(ISNUMBER(MR111),MR111*(1+PortfolioFrontier[[#This Row],[P89 Return]]),1+PortfolioFrontier[[#This Row],[P89 Return]])</f>
        <v>2.1010027818289765</v>
      </c>
      <c r="MS112" s="27">
        <f>MAX(MS111,PortfolioFrontier[[#This Row],[P89 Growth]])</f>
        <v>2.1010027818289765</v>
      </c>
      <c r="MT112" s="27">
        <f>PortfolioFrontier[[#This Row],[P89 Growth]]/PortfolioFrontier[[#This Row],[P89 HWM]]-1</f>
        <v>0</v>
      </c>
      <c r="MU112" s="28">
        <f>SUMPRODUCT(INDEX(PortfolioRef[[SPY]:[PE]],MATCH(MU$1,PortfolioRef[Reference '#]),0),AssetMonthlyReturns[[#This Row],[SPY]:[PE]])</f>
        <v>2.0959864540878656E-2</v>
      </c>
      <c r="MV112" s="27">
        <f>IF(ISNUMBER(MV111),MV111*(1+PortfolioFrontier[[#This Row],[P90 Return]]),1+PortfolioFrontier[[#This Row],[P90 Return]])</f>
        <v>2.0875811326528066</v>
      </c>
      <c r="MW112" s="27">
        <f>MAX(MW111,PortfolioFrontier[[#This Row],[P90 Growth]])</f>
        <v>2.0875811326528066</v>
      </c>
      <c r="MX112" s="27">
        <f>PortfolioFrontier[[#This Row],[P90 Growth]]/PortfolioFrontier[[#This Row],[P90 HWM]]-1</f>
        <v>0</v>
      </c>
      <c r="MY112" s="28">
        <f>SUMPRODUCT(INDEX(PortfolioRef[[SPY]:[PE]],MATCH(MY$1,PortfolioRef[Reference '#]),0),AssetMonthlyReturns[[#This Row],[SPY]:[PE]])</f>
        <v>2.1948574413722003E-2</v>
      </c>
      <c r="MZ112" s="27">
        <f>IF(ISNUMBER(MZ111),MZ111*(1+PortfolioFrontier[[#This Row],[P91 Return]]),1+PortfolioFrontier[[#This Row],[P91 Return]])</f>
        <v>2.0614737676826054</v>
      </c>
      <c r="NA112" s="27">
        <f>MAX(NA111,PortfolioFrontier[[#This Row],[P91 Growth]])</f>
        <v>2.0614737676826054</v>
      </c>
      <c r="NB112" s="27">
        <f>PortfolioFrontier[[#This Row],[P91 Growth]]/PortfolioFrontier[[#This Row],[P91 HWM]]-1</f>
        <v>0</v>
      </c>
      <c r="NC112" s="28">
        <f>SUMPRODUCT(INDEX(PortfolioRef[[SPY]:[PE]],MATCH(NC$1,PortfolioRef[Reference '#]),0),AssetMonthlyReturns[[#This Row],[SPY]:[PE]])</f>
        <v>2.1748407482497008E-2</v>
      </c>
      <c r="ND112" s="27">
        <f>IF(ISNUMBER(ND111),ND111*(1+PortfolioFrontier[[#This Row],[P92 Return]]),1+PortfolioFrontier[[#This Row],[P92 Return]])</f>
        <v>2.0513965267367866</v>
      </c>
      <c r="NE112" s="27">
        <f>MAX(NE111,PortfolioFrontier[[#This Row],[P92 Growth]])</f>
        <v>2.0513965267367866</v>
      </c>
      <c r="NF112" s="27">
        <f>PortfolioFrontier[[#This Row],[P92 Growth]]/PortfolioFrontier[[#This Row],[P92 HWM]]-1</f>
        <v>0</v>
      </c>
      <c r="NG112" s="28">
        <f>SUMPRODUCT(INDEX(PortfolioRef[[SPY]:[PE]],MATCH(NG$1,PortfolioRef[Reference '#]),0),AssetMonthlyReturns[[#This Row],[SPY]:[PE]])</f>
        <v>2.154824055127201E-2</v>
      </c>
      <c r="NH112" s="27">
        <f>IF(ISNUMBER(NH111),NH111*(1+PortfolioFrontier[[#This Row],[P93 Return]]),1+PortfolioFrontier[[#This Row],[P93 Return]])</f>
        <v>2.0396146973447706</v>
      </c>
      <c r="NI112" s="27">
        <f>MAX(NI111,PortfolioFrontier[[#This Row],[P93 Growth]])</f>
        <v>2.0396146973447706</v>
      </c>
      <c r="NJ112" s="27">
        <f>PortfolioFrontier[[#This Row],[P93 Growth]]/PortfolioFrontier[[#This Row],[P93 HWM]]-1</f>
        <v>0</v>
      </c>
      <c r="NK112" s="28">
        <f>SUMPRODUCT(INDEX(PortfolioRef[[SPY]:[PE]],MATCH(NK$1,PortfolioRef[Reference '#]),0),AssetMonthlyReturns[[#This Row],[SPY]:[PE]])</f>
        <v>2.2536950424115361E-2</v>
      </c>
      <c r="NL112" s="27">
        <f>IF(ISNUMBER(NL111),NL111*(1+PortfolioFrontier[[#This Row],[P94 Return]]),1+PortfolioFrontier[[#This Row],[P94 Return]])</f>
        <v>2.0095769298420856</v>
      </c>
      <c r="NM112" s="27">
        <f>MAX(NM111,PortfolioFrontier[[#This Row],[P94 Growth]])</f>
        <v>2.0203871878359139</v>
      </c>
      <c r="NN112" s="27">
        <f>PortfolioFrontier[[#This Row],[P94 Growth]]/PortfolioFrontier[[#This Row],[P94 HWM]]-1</f>
        <v>-5.3505872829293644E-3</v>
      </c>
      <c r="NO112" s="28">
        <f>SUMPRODUCT(INDEX(PortfolioRef[[SPY]:[PE]],MATCH(NO$1,PortfolioRef[Reference '#]),0),AssetMonthlyReturns[[#This Row],[SPY]:[PE]])</f>
        <v>2.2336783492890363E-2</v>
      </c>
      <c r="NP112" s="27">
        <f>IF(ISNUMBER(NP111),NP111*(1+PortfolioFrontier[[#This Row],[P95 Return]]),1+PortfolioFrontier[[#This Row],[P95 Return]])</f>
        <v>2.0010634162145804</v>
      </c>
      <c r="NQ112" s="27">
        <f>MAX(NQ111,PortfolioFrontier[[#This Row],[P95 Growth]])</f>
        <v>2.0038965423933455</v>
      </c>
      <c r="NR112" s="27">
        <f>PortfolioFrontier[[#This Row],[P95 Growth]]/PortfolioFrontier[[#This Row],[P95 HWM]]-1</f>
        <v>-1.4138086067962963E-3</v>
      </c>
      <c r="NS112" s="28">
        <f>SUMPRODUCT(INDEX(PortfolioRef[[SPY]:[PE]],MATCH(NS$1,PortfolioRef[Reference '#]),0),AssetMonthlyReturns[[#This Row],[SPY]:[PE]])</f>
        <v>2.2136616561665365E-2</v>
      </c>
      <c r="NT112" s="27">
        <f>IF(ISNUMBER(NT111),NT111*(1+PortfolioFrontier[[#This Row],[P96 Return]]),1+PortfolioFrontier[[#This Row],[P96 Return]])</f>
        <v>1.9908679156937963</v>
      </c>
      <c r="NU112" s="27">
        <f>MAX(NU111,PortfolioFrontier[[#This Row],[P96 Growth]])</f>
        <v>1.9910716783625562</v>
      </c>
      <c r="NV112" s="27">
        <f>PortfolioFrontier[[#This Row],[P96 Growth]]/PortfolioFrontier[[#This Row],[P96 HWM]]-1</f>
        <v>-1.0233818851135279E-4</v>
      </c>
      <c r="NW112" s="28">
        <f>SUMPRODUCT(INDEX(PortfolioRef[[SPY]:[PE]],MATCH(NW$1,PortfolioRef[Reference '#]),0),AssetMonthlyReturns[[#This Row],[SPY]:[PE]])</f>
        <v>1.478505967869331E-2</v>
      </c>
      <c r="NX112" s="27">
        <f>IF(ISNUMBER(NX111),NX111*(1+PortfolioFrontier[[#This Row],[P97 Return]]),1+PortfolioFrontier[[#This Row],[P97 Return]])</f>
        <v>1.7426152037673837</v>
      </c>
      <c r="NY112" s="27">
        <f>MAX(NY111,PortfolioFrontier[[#This Row],[P97 Growth]])</f>
        <v>1.7426152037673837</v>
      </c>
      <c r="NZ112" s="27">
        <f>PortfolioFrontier[[#This Row],[P97 Growth]]/PortfolioFrontier[[#This Row],[P97 HWM]]-1</f>
        <v>0</v>
      </c>
      <c r="OA112" s="28">
        <f>SUMPRODUCT(INDEX(PortfolioRef[[SPY]:[PE]],MATCH(OA$1,PortfolioRef[Reference '#]),0),AssetMonthlyReturns[[#This Row],[SPY]:[PE]])</f>
        <v>1.5058356763474457E-2</v>
      </c>
      <c r="OB112" s="27">
        <f>IF(ISNUMBER(OB111),OB111*(1+PortfolioFrontier[[#This Row],[P98 Return]]),1+PortfolioFrontier[[#This Row],[P98 Return]])</f>
        <v>1.8167997750568279</v>
      </c>
      <c r="OC112" s="27">
        <f>MAX(OC111,PortfolioFrontier[[#This Row],[P98 Growth]])</f>
        <v>1.8167997750568279</v>
      </c>
      <c r="OD112" s="27">
        <f>PortfolioFrontier[[#This Row],[P98 Growth]]/PortfolioFrontier[[#This Row],[P98 HWM]]-1</f>
        <v>0</v>
      </c>
      <c r="OE112" s="28">
        <f>SUMPRODUCT(INDEX(PortfolioRef[[SPY]:[PE]],MATCH(OE$1,PortfolioRef[Reference '#]),0),AssetMonthlyReturns[[#This Row],[SPY]:[PE]])</f>
        <v>1.564673277386781E-2</v>
      </c>
      <c r="OF112" s="27">
        <f>IF(ISNUMBER(OF111),OF111*(1+PortfolioFrontier[[#This Row],[P99 Return]]),1+PortfolioFrontier[[#This Row],[P99 Return]])</f>
        <v>1.7760113946336982</v>
      </c>
      <c r="OG112" s="27">
        <f>MAX(OG111,PortfolioFrontier[[#This Row],[P99 Growth]])</f>
        <v>1.7760113946336982</v>
      </c>
      <c r="OH112" s="27">
        <f>PortfolioFrontier[[#This Row],[P99 Growth]]/PortfolioFrontier[[#This Row],[P99 HWM]]-1</f>
        <v>0</v>
      </c>
      <c r="OI112" s="28">
        <f>SUMPRODUCT(INDEX(PortfolioRef[[SPY]:[PE]],MATCH(OI$1,PortfolioRef[Reference '#]),0),AssetMonthlyReturns[[#This Row],[SPY]:[PE]])</f>
        <v>1.5446565842642814E-2</v>
      </c>
      <c r="OJ112" s="27">
        <f>IF(ISNUMBER(OJ111),OJ111*(1+PortfolioFrontier[[#This Row],[P100 Return]]),1+PortfolioFrontier[[#This Row],[P100 Return]])</f>
        <v>1.7631989516641333</v>
      </c>
      <c r="OK112" s="27">
        <f>MAX(OK111,PortfolioFrontier[[#This Row],[P100 Growth]])</f>
        <v>1.7631989516641333</v>
      </c>
      <c r="OL112" s="27">
        <f>PortfolioFrontier[[#This Row],[P100 Growth]]/PortfolioFrontier[[#This Row],[P100 HWM]]-1</f>
        <v>0</v>
      </c>
      <c r="OM112" s="28">
        <f>SUMPRODUCT(INDEX(PortfolioRef[[SPY]:[PE]],MATCH(OM$1,PortfolioRef[Reference '#]),0),AssetMonthlyReturns[[#This Row],[SPY]:[PE]])</f>
        <v>1.5331653848255605E-2</v>
      </c>
      <c r="ON112" s="27">
        <f>IF(ISNUMBER(ON111),ON111*(1+PortfolioFrontier[[#This Row],[P101 Return]]),1+PortfolioFrontier[[#This Row],[P101 Return]])</f>
        <v>1.8934698732917872</v>
      </c>
      <c r="OO112" s="27">
        <f>MAX(OO111,PortfolioFrontier[[#This Row],[P101 Growth]])</f>
        <v>1.8934698732917872</v>
      </c>
      <c r="OP112" s="27">
        <f>PortfolioFrontier[[#This Row],[P101 Growth]]/PortfolioFrontier[[#This Row],[P101 HWM]]-1</f>
        <v>0</v>
      </c>
      <c r="OQ112" s="28">
        <f>SUMPRODUCT(INDEX(PortfolioRef[[SPY]:[PE]],MATCH(OQ$1,PortfolioRef[Reference '#]),0),AssetMonthlyReturns[[#This Row],[SPY]:[PE]])</f>
        <v>1.5920029858648956E-2</v>
      </c>
      <c r="OR112" s="27">
        <f>IF(ISNUMBER(OR111),OR111*(1+PortfolioFrontier[[#This Row],[P102 Return]]),1+PortfolioFrontier[[#This Row],[P102 Return]])</f>
        <v>1.8516113455017367</v>
      </c>
      <c r="OS112" s="27">
        <f>MAX(OS111,PortfolioFrontier[[#This Row],[P102 Growth]])</f>
        <v>1.8516113455017367</v>
      </c>
      <c r="OT112" s="27">
        <f>PortfolioFrontier[[#This Row],[P102 Growth]]/PortfolioFrontier[[#This Row],[P102 HWM]]-1</f>
        <v>0</v>
      </c>
      <c r="OU112" s="28">
        <f>SUMPRODUCT(INDEX(PortfolioRef[[SPY]:[PE]],MATCH(OU$1,PortfolioRef[Reference '#]),0),AssetMonthlyReturns[[#This Row],[SPY]:[PE]])</f>
        <v>1.5719862927423962E-2</v>
      </c>
      <c r="OV112" s="27">
        <f>IF(ISNUMBER(OV111),OV111*(1+PortfolioFrontier[[#This Row],[P103 Return]]),1+PortfolioFrontier[[#This Row],[P103 Return]])</f>
        <v>1.8382601091126143</v>
      </c>
      <c r="OW112" s="27">
        <f>MAX(OW111,PortfolioFrontier[[#This Row],[P103 Growth]])</f>
        <v>1.8382601091126143</v>
      </c>
      <c r="OX112" s="27">
        <f>PortfolioFrontier[[#This Row],[P103 Growth]]/PortfolioFrontier[[#This Row],[P103 HWM]]-1</f>
        <v>0</v>
      </c>
      <c r="OY112" s="28">
        <f>SUMPRODUCT(INDEX(PortfolioRef[[SPY]:[PE]],MATCH(OY$1,PortfolioRef[Reference '#]),0),AssetMonthlyReturns[[#This Row],[SPY]:[PE]])</f>
        <v>1.6508405869042314E-2</v>
      </c>
      <c r="OZ112" s="27">
        <f>IF(ISNUMBER(OZ111),OZ111*(1+PortfolioFrontier[[#This Row],[P104 Return]]),1+PortfolioFrontier[[#This Row],[P104 Return]])</f>
        <v>1.8089729510255741</v>
      </c>
      <c r="PA112" s="27">
        <f>MAX(PA111,PortfolioFrontier[[#This Row],[P104 Growth]])</f>
        <v>1.8089729510255741</v>
      </c>
      <c r="PB112" s="27">
        <f>PortfolioFrontier[[#This Row],[P104 Growth]]/PortfolioFrontier[[#This Row],[P104 HWM]]-1</f>
        <v>0</v>
      </c>
      <c r="PC112" s="28">
        <f>SUMPRODUCT(INDEX(PortfolioRef[[SPY]:[PE]],MATCH(PC$1,PortfolioRef[Reference '#]),0),AssetMonthlyReturns[[#This Row],[SPY]:[PE]])</f>
        <v>1.6308238937817316E-2</v>
      </c>
      <c r="PD112" s="27">
        <f>IF(ISNUMBER(PD111),PD111*(1+PortfolioFrontier[[#This Row],[P105 Return]]),1+PortfolioFrontier[[#This Row],[P105 Return]])</f>
        <v>1.7970890237697916</v>
      </c>
      <c r="PE112" s="27">
        <f>MAX(PE111,PortfolioFrontier[[#This Row],[P105 Growth]])</f>
        <v>1.7970890237697916</v>
      </c>
      <c r="PF112" s="27">
        <f>PortfolioFrontier[[#This Row],[P105 Growth]]/PortfolioFrontier[[#This Row],[P105 HWM]]-1</f>
        <v>0</v>
      </c>
      <c r="PG112" s="28">
        <f>SUMPRODUCT(INDEX(PortfolioRef[[SPY]:[PE]],MATCH(PG$1,PortfolioRef[Reference '#]),0),AssetMonthlyReturns[[#This Row],[SPY]:[PE]])</f>
        <v>1.6108072006592318E-2</v>
      </c>
      <c r="PH112" s="27">
        <f>IF(ISNUMBER(PH111),PH111*(1+PortfolioFrontier[[#This Row],[P106 Return]]),1+PortfolioFrontier[[#This Row],[P106 Return]])</f>
        <v>1.7837585544732246</v>
      </c>
      <c r="PI112" s="27">
        <f>MAX(PI111,PortfolioFrontier[[#This Row],[P106 Growth]])</f>
        <v>1.7837585544732246</v>
      </c>
      <c r="PJ112" s="27">
        <f>PortfolioFrontier[[#This Row],[P106 Growth]]/PortfolioFrontier[[#This Row],[P106 HWM]]-1</f>
        <v>0</v>
      </c>
      <c r="PK112" s="28">
        <f>SUMPRODUCT(INDEX(PortfolioRef[[SPY]:[PE]],MATCH(PK$1,PortfolioRef[Reference '#]),0),AssetMonthlyReturns[[#This Row],[SPY]:[PE]])</f>
        <v>1.6193326943430106E-2</v>
      </c>
      <c r="PL112" s="27">
        <f>IF(ISNUMBER(PL111),PL111*(1+PortfolioFrontier[[#This Row],[P107 Return]]),1+PortfolioFrontier[[#This Row],[P107 Return]])</f>
        <v>1.9297443739584834</v>
      </c>
      <c r="PM112" s="27">
        <f>MAX(PM111,PortfolioFrontier[[#This Row],[P107 Growth]])</f>
        <v>1.9297443739584834</v>
      </c>
      <c r="PN112" s="27">
        <f>PortfolioFrontier[[#This Row],[P107 Growth]]/PortfolioFrontier[[#This Row],[P107 HWM]]-1</f>
        <v>0</v>
      </c>
      <c r="PO112" s="28">
        <f>SUMPRODUCT(INDEX(PortfolioRef[[SPY]:[PE]],MATCH(PO$1,PortfolioRef[Reference '#]),0),AssetMonthlyReturns[[#This Row],[SPY]:[PE]])</f>
        <v>1.5993160012205111E-2</v>
      </c>
      <c r="PP112" s="27">
        <f>IF(ISNUMBER(PP111),PP111*(1+PortfolioFrontier[[#This Row],[P108 Return]]),1+PortfolioFrontier[[#This Row],[P108 Return]])</f>
        <v>1.9158365180565022</v>
      </c>
      <c r="PQ112" s="27">
        <f>MAX(PQ111,PortfolioFrontier[[#This Row],[P108 Growth]])</f>
        <v>1.9158365180565022</v>
      </c>
      <c r="PR112" s="27">
        <f>PortfolioFrontier[[#This Row],[P108 Growth]]/PortfolioFrontier[[#This Row],[P108 HWM]]-1</f>
        <v>0</v>
      </c>
      <c r="PS112" s="28">
        <f>SUMPRODUCT(INDEX(PortfolioRef[[SPY]:[PE]],MATCH(PS$1,PortfolioRef[Reference '#]),0),AssetMonthlyReturns[[#This Row],[SPY]:[PE]])</f>
        <v>1.678170295382346E-2</v>
      </c>
      <c r="PT112" s="27">
        <f>IF(ISNUMBER(PT111),PT111*(1+PortfolioFrontier[[#This Row],[P109 Return]]),1+PortfolioFrontier[[#This Row],[P109 Return]])</f>
        <v>1.88597024414382</v>
      </c>
      <c r="PU112" s="27">
        <f>MAX(PU111,PortfolioFrontier[[#This Row],[P109 Growth]])</f>
        <v>1.88597024414382</v>
      </c>
      <c r="PV112" s="27">
        <f>PortfolioFrontier[[#This Row],[P109 Growth]]/PortfolioFrontier[[#This Row],[P109 HWM]]-1</f>
        <v>0</v>
      </c>
      <c r="PW112" s="28">
        <f>SUMPRODUCT(INDEX(PortfolioRef[[SPY]:[PE]],MATCH(PW$1,PortfolioRef[Reference '#]),0),AssetMonthlyReturns[[#This Row],[SPY]:[PE]])</f>
        <v>1.6581536022598462E-2</v>
      </c>
      <c r="PX112" s="27">
        <f>IF(ISNUMBER(PX111),PX111*(1+PortfolioFrontier[[#This Row],[P110 Return]]),1+PortfolioFrontier[[#This Row],[P110 Return]])</f>
        <v>1.8735864794641743</v>
      </c>
      <c r="PY112" s="27">
        <f>MAX(PY111,PortfolioFrontier[[#This Row],[P110 Growth]])</f>
        <v>1.8735864794641743</v>
      </c>
      <c r="PZ112" s="27">
        <f>PortfolioFrontier[[#This Row],[P110 Growth]]/PortfolioFrontier[[#This Row],[P110 HWM]]-1</f>
        <v>0</v>
      </c>
      <c r="QA112" s="28">
        <f>SUMPRODUCT(INDEX(PortfolioRef[[SPY]:[PE]],MATCH(QA$1,PortfolioRef[Reference '#]),0),AssetMonthlyReturns[[#This Row],[SPY]:[PE]])</f>
        <v>1.6381369091373464E-2</v>
      </c>
      <c r="QB112" s="27">
        <f>IF(ISNUMBER(QB111),QB111*(1+PortfolioFrontier[[#This Row],[P111 Return]]),1+PortfolioFrontier[[#This Row],[P111 Return]])</f>
        <v>1.8596955288747798</v>
      </c>
      <c r="QC112" s="27">
        <f>MAX(QC111,PortfolioFrontier[[#This Row],[P111 Growth]])</f>
        <v>1.8596955288747798</v>
      </c>
      <c r="QD112" s="27">
        <f>PortfolioFrontier[[#This Row],[P111 Growth]]/PortfolioFrontier[[#This Row],[P111 HWM]]-1</f>
        <v>0</v>
      </c>
      <c r="QE112" s="28">
        <f>SUMPRODUCT(INDEX(PortfolioRef[[SPY]:[PE]],MATCH(QE$1,PortfolioRef[Reference '#]),0),AssetMonthlyReturns[[#This Row],[SPY]:[PE]])</f>
        <v>1.7370078964216815E-2</v>
      </c>
      <c r="QF112" s="27">
        <f>IF(ISNUMBER(QF111),QF111*(1+PortfolioFrontier[[#This Row],[P112 Return]]),1+PortfolioFrontier[[#This Row],[P112 Return]])</f>
        <v>1.841448726955935</v>
      </c>
      <c r="QG112" s="27">
        <f>MAX(QG111,PortfolioFrontier[[#This Row],[P112 Growth]])</f>
        <v>1.841448726955935</v>
      </c>
      <c r="QH112" s="27">
        <f>PortfolioFrontier[[#This Row],[P112 Growth]]/PortfolioFrontier[[#This Row],[P112 HWM]]-1</f>
        <v>0</v>
      </c>
      <c r="QI112" s="28">
        <f>SUMPRODUCT(INDEX(PortfolioRef[[SPY]:[PE]],MATCH(QI$1,PortfolioRef[Reference '#]),0),AssetMonthlyReturns[[#This Row],[SPY]:[PE]])</f>
        <v>1.716991203299182E-2</v>
      </c>
      <c r="QJ112" s="27">
        <f>IF(ISNUMBER(QJ111),QJ111*(1+PortfolioFrontier[[#This Row],[P113 Return]]),1+PortfolioFrontier[[#This Row],[P113 Return]])</f>
        <v>1.8305432426422408</v>
      </c>
      <c r="QK112" s="27">
        <f>MAX(QK111,PortfolioFrontier[[#This Row],[P113 Growth]])</f>
        <v>1.8305432426422408</v>
      </c>
      <c r="QL112" s="27">
        <f>PortfolioFrontier[[#This Row],[P113 Growth]]/PortfolioFrontier[[#This Row],[P113 HWM]]-1</f>
        <v>0</v>
      </c>
      <c r="QM112" s="28">
        <f>SUMPRODUCT(INDEX(PortfolioRef[[SPY]:[PE]],MATCH(QM$1,PortfolioRef[Reference '#]),0),AssetMonthlyReturns[[#This Row],[SPY]:[PE]])</f>
        <v>1.6969745101766819E-2</v>
      </c>
      <c r="QN112" s="27">
        <f>IF(ISNUMBER(QN111),QN111*(1+PortfolioFrontier[[#This Row],[P114 Return]]),1+PortfolioFrontier[[#This Row],[P114 Return]])</f>
        <v>1.8181444162718785</v>
      </c>
      <c r="QO112" s="27">
        <f>MAX(QO111,PortfolioFrontier[[#This Row],[P114 Growth]])</f>
        <v>1.8181444162718785</v>
      </c>
      <c r="QP112" s="27">
        <f>PortfolioFrontier[[#This Row],[P114 Growth]]/PortfolioFrontier[[#This Row],[P114 HWM]]-1</f>
        <v>0</v>
      </c>
      <c r="QQ112" s="28">
        <f>SUMPRODUCT(INDEX(PortfolioRef[[SPY]:[PE]],MATCH(QQ$1,PortfolioRef[Reference '#]),0),AssetMonthlyReturns[[#This Row],[SPY]:[PE]])</f>
        <v>1.705500003860461E-2</v>
      </c>
      <c r="QR112" s="27">
        <f>IF(ISNUMBER(QR111),QR111*(1+PortfolioFrontier[[#This Row],[P115 Return]]),1+PortfolioFrontier[[#This Row],[P115 Return]])</f>
        <v>1.9655475871155224</v>
      </c>
      <c r="QS112" s="27">
        <f>MAX(QS111,PortfolioFrontier[[#This Row],[P115 Growth]])</f>
        <v>1.9655475871155224</v>
      </c>
      <c r="QT112" s="27">
        <f>PortfolioFrontier[[#This Row],[P115 Growth]]/PortfolioFrontier[[#This Row],[P115 HWM]]-1</f>
        <v>0</v>
      </c>
      <c r="QU112" s="28">
        <f>SUMPRODUCT(INDEX(PortfolioRef[[SPY]:[PE]],MATCH(QU$1,PortfolioRef[Reference '#]),0),AssetMonthlyReturns[[#This Row],[SPY]:[PE]])</f>
        <v>1.6854833107379615E-2</v>
      </c>
      <c r="QV112" s="27">
        <f>IF(ISNUMBER(QV111),QV111*(1+PortfolioFrontier[[#This Row],[P116 Return]]),1+PortfolioFrontier[[#This Row],[P116 Return]])</f>
        <v>1.9526474447844928</v>
      </c>
      <c r="QW112" s="27">
        <f>MAX(QW111,PortfolioFrontier[[#This Row],[P116 Growth]])</f>
        <v>1.9526474447844928</v>
      </c>
      <c r="QX112" s="27">
        <f>PortfolioFrontier[[#This Row],[P116 Growth]]/PortfolioFrontier[[#This Row],[P116 HWM]]-1</f>
        <v>0</v>
      </c>
      <c r="QY112" s="28">
        <f>SUMPRODUCT(INDEX(PortfolioRef[[SPY]:[PE]],MATCH(QY$1,PortfolioRef[Reference '#]),0),AssetMonthlyReturns[[#This Row],[SPY]:[PE]])</f>
        <v>1.6654666176154614E-2</v>
      </c>
      <c r="QZ112" s="27">
        <f>IF(ISNUMBER(QZ111),QZ111*(1+PortfolioFrontier[[#This Row],[P117 Return]]),1+PortfolioFrontier[[#This Row],[P117 Return]])</f>
        <v>1.938177469029748</v>
      </c>
      <c r="RA112" s="27">
        <f>MAX(RA111,PortfolioFrontier[[#This Row],[P117 Growth]])</f>
        <v>1.938177469029748</v>
      </c>
      <c r="RB112" s="27">
        <f>PortfolioFrontier[[#This Row],[P117 Growth]]/PortfolioFrontier[[#This Row],[P117 HWM]]-1</f>
        <v>0</v>
      </c>
      <c r="RC112" s="28">
        <f>SUMPRODUCT(INDEX(PortfolioRef[[SPY]:[PE]],MATCH(RC$1,PortfolioRef[Reference '#]),0),AssetMonthlyReturns[[#This Row],[SPY]:[PE]])</f>
        <v>1.7643376048997964E-2</v>
      </c>
      <c r="RD112" s="27">
        <f>IF(ISNUMBER(RD111),RD111*(1+PortfolioFrontier[[#This Row],[P118 Return]]),1+PortfolioFrontier[[#This Row],[P118 Return]])</f>
        <v>1.9198231912500234</v>
      </c>
      <c r="RE112" s="27">
        <f>MAX(RE111,PortfolioFrontier[[#This Row],[P118 Growth]])</f>
        <v>1.9198231912500234</v>
      </c>
      <c r="RF112" s="27">
        <f>PortfolioFrontier[[#This Row],[P118 Growth]]/PortfolioFrontier[[#This Row],[P118 HWM]]-1</f>
        <v>0</v>
      </c>
      <c r="RG112" s="28">
        <f>SUMPRODUCT(INDEX(PortfolioRef[[SPY]:[PE]],MATCH(RG$1,PortfolioRef[Reference '#]),0),AssetMonthlyReturns[[#This Row],[SPY]:[PE]])</f>
        <v>1.744320911777297E-2</v>
      </c>
      <c r="RH112" s="27">
        <f>IF(ISNUMBER(RH111),RH111*(1+PortfolioFrontier[[#This Row],[P119 Return]]),1+PortfolioFrontier[[#This Row],[P119 Return]])</f>
        <v>1.9084589114797428</v>
      </c>
      <c r="RI112" s="27">
        <f>MAX(RI111,PortfolioFrontier[[#This Row],[P119 Growth]])</f>
        <v>1.9084589114797428</v>
      </c>
      <c r="RJ112" s="27">
        <f>PortfolioFrontier[[#This Row],[P119 Growth]]/PortfolioFrontier[[#This Row],[P119 HWM]]-1</f>
        <v>0</v>
      </c>
      <c r="RK112" s="28">
        <f>SUMPRODUCT(INDEX(PortfolioRef[[SPY]:[PE]],MATCH(RK$1,PortfolioRef[Reference '#]),0),AssetMonthlyReturns[[#This Row],[SPY]:[PE]])</f>
        <v>1.7243042186547968E-2</v>
      </c>
      <c r="RL112" s="27">
        <f>IF(ISNUMBER(RL111),RL111*(1+PortfolioFrontier[[#This Row],[P120 Return]]),1+PortfolioFrontier[[#This Row],[P120 Return]])</f>
        <v>1.8955386934733314</v>
      </c>
      <c r="RM112" s="27">
        <f>MAX(RM111,PortfolioFrontier[[#This Row],[P120 Growth]])</f>
        <v>1.8955386934733314</v>
      </c>
      <c r="RN112" s="27">
        <f>PortfolioFrontier[[#This Row],[P120 Growth]]/PortfolioFrontier[[#This Row],[P120 HWM]]-1</f>
        <v>0</v>
      </c>
      <c r="RO112" s="28">
        <f>SUMPRODUCT(INDEX(PortfolioRef[[SPY]:[PE]],MATCH(RO$1,PortfolioRef[Reference '#]),0),AssetMonthlyReturns[[#This Row],[SPY]:[PE]])</f>
        <v>1.8231752059391319E-2</v>
      </c>
      <c r="RP112" s="27">
        <f>IF(ISNUMBER(RP111),RP111*(1+PortfolioFrontier[[#This Row],[P121 Return]]),1+PortfolioFrontier[[#This Row],[P121 Return]])</f>
        <v>1.8733871137702875</v>
      </c>
      <c r="RQ112" s="27">
        <f>MAX(RQ111,PortfolioFrontier[[#This Row],[P121 Growth]])</f>
        <v>1.8736715153024748</v>
      </c>
      <c r="RR112" s="27">
        <f>PortfolioFrontier[[#This Row],[P121 Growth]]/PortfolioFrontier[[#This Row],[P121 HWM]]-1</f>
        <v>-1.5178836304252652E-4</v>
      </c>
      <c r="RS112" s="28">
        <f>SUMPRODUCT(INDEX(PortfolioRef[[SPY]:[PE]],MATCH(RS$1,PortfolioRef[Reference '#]),0),AssetMonthlyReturns[[#This Row],[SPY]:[PE]])</f>
        <v>1.8031585128166324E-2</v>
      </c>
      <c r="RT112" s="27">
        <f>IF(ISNUMBER(RT111),RT111*(1+PortfolioFrontier[[#This Row],[P122 Return]]),1+PortfolioFrontier[[#This Row],[P122 Return]])</f>
        <v>1.8635098048801564</v>
      </c>
      <c r="RU112" s="27">
        <f>MAX(RU111,PortfolioFrontier[[#This Row],[P122 Growth]])</f>
        <v>1.8635098048801564</v>
      </c>
      <c r="RV112" s="27">
        <f>PortfolioFrontier[[#This Row],[P122 Growth]]/PortfolioFrontier[[#This Row],[P122 HWM]]-1</f>
        <v>0</v>
      </c>
      <c r="RW112" s="28">
        <f>SUMPRODUCT(INDEX(PortfolioRef[[SPY]:[PE]],MATCH(RW$1,PortfolioRef[Reference '#]),0),AssetMonthlyReturns[[#This Row],[SPY]:[PE]])</f>
        <v>1.7831418196941326E-2</v>
      </c>
      <c r="RX112" s="27">
        <f>IF(ISNUMBER(RX111),RX111*(1+PortfolioFrontier[[#This Row],[P123 Return]]),1+PortfolioFrontier[[#This Row],[P123 Return]])</f>
        <v>1.8520933053015738</v>
      </c>
      <c r="RY112" s="27">
        <f>MAX(RY111,PortfolioFrontier[[#This Row],[P123 Growth]])</f>
        <v>1.8520933053015738</v>
      </c>
      <c r="RZ112" s="27">
        <f>PortfolioFrontier[[#This Row],[P123 Growth]]/PortfolioFrontier[[#This Row],[P123 HWM]]-1</f>
        <v>0</v>
      </c>
      <c r="SA112" s="28">
        <f>SUMPRODUCT(INDEX(PortfolioRef[[SPY]:[PE]],MATCH(SA$1,PortfolioRef[Reference '#]),0),AssetMonthlyReturns[[#This Row],[SPY]:[PE]])</f>
        <v>1.7916673133779114E-2</v>
      </c>
      <c r="SB112" s="27">
        <f>IF(ISNUMBER(SB111),SB111*(1+PortfolioFrontier[[#This Row],[P124 Return]]),1+PortfolioFrontier[[#This Row],[P124 Return]])</f>
        <v>2.0008240289127999</v>
      </c>
      <c r="SC112" s="27">
        <f>MAX(SC111,PortfolioFrontier[[#This Row],[P124 Growth]])</f>
        <v>2.0008240289127999</v>
      </c>
      <c r="SD112" s="27">
        <f>PortfolioFrontier[[#This Row],[P124 Growth]]/PortfolioFrontier[[#This Row],[P124 HWM]]-1</f>
        <v>0</v>
      </c>
      <c r="SE112" s="28">
        <f>SUMPRODUCT(INDEX(PortfolioRef[[SPY]:[PE]],MATCH(SE$1,PortfolioRef[Reference '#]),0),AssetMonthlyReturns[[#This Row],[SPY]:[PE]])</f>
        <v>1.7716506202554119E-2</v>
      </c>
      <c r="SF112" s="27">
        <f>IF(ISNUMBER(SF111),SF111*(1+PortfolioFrontier[[#This Row],[P125 Return]]),1+PortfolioFrontier[[#This Row],[P125 Return]])</f>
        <v>1.9889857682915446</v>
      </c>
      <c r="SG112" s="27">
        <f>MAX(SG111,PortfolioFrontier[[#This Row],[P125 Growth]])</f>
        <v>1.9889857682915446</v>
      </c>
      <c r="SH112" s="27">
        <f>PortfolioFrontier[[#This Row],[P125 Growth]]/PortfolioFrontier[[#This Row],[P125 HWM]]-1</f>
        <v>0</v>
      </c>
      <c r="SI112" s="28">
        <f>SUMPRODUCT(INDEX(PortfolioRef[[SPY]:[PE]],MATCH(SI$1,PortfolioRef[Reference '#]),0),AssetMonthlyReturns[[#This Row],[SPY]:[PE]])</f>
        <v>1.7516339271329118E-2</v>
      </c>
      <c r="SJ112" s="27">
        <f>IF(ISNUMBER(SJ111),SJ111*(1+PortfolioFrontier[[#This Row],[P126 Return]]),1+PortfolioFrontier[[#This Row],[P126 Return]])</f>
        <v>1.9755269052370366</v>
      </c>
      <c r="SK112" s="27">
        <f>MAX(SK111,PortfolioFrontier[[#This Row],[P126 Growth]])</f>
        <v>1.9755269052370366</v>
      </c>
      <c r="SL112" s="27">
        <f>PortfolioFrontier[[#This Row],[P126 Growth]]/PortfolioFrontier[[#This Row],[P126 HWM]]-1</f>
        <v>0</v>
      </c>
      <c r="SM112" s="28">
        <f>SUMPRODUCT(INDEX(PortfolioRef[[SPY]:[PE]],MATCH(SM$1,PortfolioRef[Reference '#]),0),AssetMonthlyReturns[[#This Row],[SPY]:[PE]])</f>
        <v>1.8505049144172468E-2</v>
      </c>
      <c r="SN112" s="27">
        <f>IF(ISNUMBER(SN111),SN111*(1+PortfolioFrontier[[#This Row],[P127 Return]]),1+PortfolioFrontier[[#This Row],[P127 Return]])</f>
        <v>1.9531164245315236</v>
      </c>
      <c r="SO112" s="27">
        <f>MAX(SO111,PortfolioFrontier[[#This Row],[P127 Growth]])</f>
        <v>1.9531164245315236</v>
      </c>
      <c r="SP112" s="27">
        <f>PortfolioFrontier[[#This Row],[P127 Growth]]/PortfolioFrontier[[#This Row],[P127 HWM]]-1</f>
        <v>0</v>
      </c>
      <c r="SQ112" s="28">
        <f>SUMPRODUCT(INDEX(PortfolioRef[[SPY]:[PE]],MATCH(SQ$1,PortfolioRef[Reference '#]),0),AssetMonthlyReturns[[#This Row],[SPY]:[PE]])</f>
        <v>1.8304882212947474E-2</v>
      </c>
      <c r="SR112" s="27">
        <f>IF(ISNUMBER(SR111),SR111*(1+PortfolioFrontier[[#This Row],[P128 Return]]),1+PortfolioFrontier[[#This Row],[P128 Return]])</f>
        <v>1.9428234406793665</v>
      </c>
      <c r="SS112" s="27">
        <f>MAX(SS111,PortfolioFrontier[[#This Row],[P128 Growth]])</f>
        <v>1.9428234406793665</v>
      </c>
      <c r="ST112" s="27">
        <f>PortfolioFrontier[[#This Row],[P128 Growth]]/PortfolioFrontier[[#This Row],[P128 HWM]]-1</f>
        <v>0</v>
      </c>
      <c r="SU112" s="28">
        <f>SUMPRODUCT(INDEX(PortfolioRef[[SPY]:[PE]],MATCH(SU$1,PortfolioRef[Reference '#]),0),AssetMonthlyReturns[[#This Row],[SPY]:[PE]])</f>
        <v>1.8104715281722472E-2</v>
      </c>
      <c r="SV112" s="27">
        <f>IF(ISNUMBER(SV111),SV111*(1+PortfolioFrontier[[#This Row],[P129 Return]]),1+PortfolioFrontier[[#This Row],[P129 Return]])</f>
        <v>1.9309267565798338</v>
      </c>
      <c r="SW112" s="27">
        <f>MAX(SW111,PortfolioFrontier[[#This Row],[P129 Growth]])</f>
        <v>1.9309267565798338</v>
      </c>
      <c r="SX112" s="27">
        <f>PortfolioFrontier[[#This Row],[P129 Growth]]/PortfolioFrontier[[#This Row],[P129 HWM]]-1</f>
        <v>0</v>
      </c>
      <c r="SY112" s="28">
        <f>SUMPRODUCT(INDEX(PortfolioRef[[SPY]:[PE]],MATCH(SY$1,PortfolioRef[Reference '#]),0),AssetMonthlyReturns[[#This Row],[SPY]:[PE]])</f>
        <v>1.9093425154565823E-2</v>
      </c>
      <c r="SZ112" s="27">
        <f>IF(ISNUMBER(SZ111),SZ111*(1+PortfolioFrontier[[#This Row],[P130 Return]]),1+PortfolioFrontier[[#This Row],[P130 Return]])</f>
        <v>1.9047361415664148</v>
      </c>
      <c r="TA112" s="27">
        <f>MAX(TA111,PortfolioFrontier[[#This Row],[P130 Growth]])</f>
        <v>1.9128055041216194</v>
      </c>
      <c r="TB112" s="27">
        <f>PortfolioFrontier[[#This Row],[P130 Growth]]/PortfolioFrontier[[#This Row],[P130 HWM]]-1</f>
        <v>-4.2186006563746936E-3</v>
      </c>
      <c r="TC112" s="28">
        <f>SUMPRODUCT(INDEX(PortfolioRef[[SPY]:[PE]],MATCH(TC$1,PortfolioRef[Reference '#]),0),AssetMonthlyReturns[[#This Row],[SPY]:[PE]])</f>
        <v>1.8893258223340828E-2</v>
      </c>
      <c r="TD112" s="27">
        <f>IF(ISNUMBER(TD111),TD111*(1+PortfolioFrontier[[#This Row],[P131 Return]]),1+PortfolioFrontier[[#This Row],[P131 Return]])</f>
        <v>1.8959364285778477</v>
      </c>
      <c r="TE112" s="27">
        <f>MAX(TE111,PortfolioFrontier[[#This Row],[P131 Growth]])</f>
        <v>1.8977670974175187</v>
      </c>
      <c r="TF112" s="27">
        <f>PortfolioFrontier[[#This Row],[P131 Growth]]/PortfolioFrontier[[#This Row],[P131 HWM]]-1</f>
        <v>-9.6464357621239838E-4</v>
      </c>
      <c r="TG112" s="28">
        <f>SUMPRODUCT(INDEX(PortfolioRef[[SPY]:[PE]],MATCH(TG$1,PortfolioRef[Reference '#]),0),AssetMonthlyReturns[[#This Row],[SPY]:[PE]])</f>
        <v>1.869309129211583E-2</v>
      </c>
      <c r="TH112" s="27">
        <f>IF(ISNUMBER(TH111),TH111*(1+PortfolioFrontier[[#This Row],[P132 Return]]),1+PortfolioFrontier[[#This Row],[P132 Return]])</f>
        <v>1.8855527601599205</v>
      </c>
      <c r="TI112" s="27">
        <f>MAX(TI111,PortfolioFrontier[[#This Row],[P132 Growth]])</f>
        <v>1.8855527601599205</v>
      </c>
      <c r="TJ112" s="27">
        <f>PortfolioFrontier[[#This Row],[P132 Growth]]/PortfolioFrontier[[#This Row],[P132 HWM]]-1</f>
        <v>0</v>
      </c>
      <c r="TK112" s="28">
        <f>SUMPRODUCT(INDEX(PortfolioRef[[SPY]:[PE]],MATCH(TK$1,PortfolioRef[Reference '#]),0),AssetMonthlyReturns[[#This Row],[SPY]:[PE]])</f>
        <v>1.8778346228953618E-2</v>
      </c>
      <c r="TL112" s="27">
        <f>IF(ISNUMBER(TL111),TL111*(1+PortfolioFrontier[[#This Row],[P133 Return]]),1+PortfolioFrontier[[#This Row],[P133 Return]])</f>
        <v>2.0355177123548409</v>
      </c>
      <c r="TM112" s="27">
        <f>MAX(TM111,PortfolioFrontier[[#This Row],[P133 Growth]])</f>
        <v>2.0355177123548409</v>
      </c>
      <c r="TN112" s="27">
        <f>PortfolioFrontier[[#This Row],[P133 Growth]]/PortfolioFrontier[[#This Row],[P133 HWM]]-1</f>
        <v>0</v>
      </c>
      <c r="TO112" s="28">
        <f>SUMPRODUCT(INDEX(PortfolioRef[[SPY]:[PE]],MATCH(TO$1,PortfolioRef[Reference '#]),0),AssetMonthlyReturns[[#This Row],[SPY]:[PE]])</f>
        <v>1.857817929772862E-2</v>
      </c>
      <c r="TP112" s="27">
        <f>IF(ISNUMBER(TP111),TP111*(1+PortfolioFrontier[[#This Row],[P134 Return]]),1+PortfolioFrontier[[#This Row],[P134 Return]])</f>
        <v>2.0247952917420582</v>
      </c>
      <c r="TQ112" s="27">
        <f>MAX(TQ111,PortfolioFrontier[[#This Row],[P134 Growth]])</f>
        <v>2.0247952917420582</v>
      </c>
      <c r="TR112" s="27">
        <f>PortfolioFrontier[[#This Row],[P134 Growth]]/PortfolioFrontier[[#This Row],[P134 HWM]]-1</f>
        <v>0</v>
      </c>
      <c r="TS112" s="28">
        <f>SUMPRODUCT(INDEX(PortfolioRef[[SPY]:[PE]],MATCH(TS$1,PortfolioRef[Reference '#]),0),AssetMonthlyReturns[[#This Row],[SPY]:[PE]])</f>
        <v>1.8378012366503622E-2</v>
      </c>
      <c r="TT112" s="27">
        <f>IF(ISNUMBER(TT111),TT111*(1+PortfolioFrontier[[#This Row],[P135 Return]]),1+PortfolioFrontier[[#This Row],[P135 Return]])</f>
        <v>2.0124025301805775</v>
      </c>
      <c r="TU112" s="27">
        <f>MAX(TU111,PortfolioFrontier[[#This Row],[P135 Growth]])</f>
        <v>2.0124025301805775</v>
      </c>
      <c r="TV112" s="27">
        <f>PortfolioFrontier[[#This Row],[P135 Growth]]/PortfolioFrontier[[#This Row],[P135 HWM]]-1</f>
        <v>0</v>
      </c>
      <c r="TW112" s="28">
        <f>SUMPRODUCT(INDEX(PortfolioRef[[SPY]:[PE]],MATCH(TW$1,PortfolioRef[Reference '#]),0),AssetMonthlyReturns[[#This Row],[SPY]:[PE]])</f>
        <v>1.9366722239346972E-2</v>
      </c>
      <c r="TX112" s="27">
        <f>IF(ISNUMBER(TX111),TX111*(1+PortfolioFrontier[[#This Row],[P136 Return]]),1+PortfolioFrontier[[#This Row],[P136 Return]])</f>
        <v>1.9857958047122686</v>
      </c>
      <c r="TY112" s="27">
        <f>MAX(TY111,PortfolioFrontier[[#This Row],[P136 Growth]])</f>
        <v>1.9857958047122686</v>
      </c>
      <c r="TZ112" s="27">
        <f>PortfolioFrontier[[#This Row],[P136 Growth]]/PortfolioFrontier[[#This Row],[P136 HWM]]-1</f>
        <v>0</v>
      </c>
      <c r="UA112" s="28">
        <f>SUMPRODUCT(INDEX(PortfolioRef[[SPY]:[PE]],MATCH(UA$1,PortfolioRef[Reference '#]),0),AssetMonthlyReturns[[#This Row],[SPY]:[PE]])</f>
        <v>1.9166555308121974E-2</v>
      </c>
      <c r="UB112" s="27">
        <f>IF(ISNUMBER(UB111),UB111*(1+PortfolioFrontier[[#This Row],[P137 Return]]),1+PortfolioFrontier[[#This Row],[P137 Return]])</f>
        <v>1.97662560352645</v>
      </c>
      <c r="UC112" s="27">
        <f>MAX(UC111,PortfolioFrontier[[#This Row],[P137 Growth]])</f>
        <v>1.97662560352645</v>
      </c>
      <c r="UD112" s="27">
        <f>PortfolioFrontier[[#This Row],[P137 Growth]]/PortfolioFrontier[[#This Row],[P137 HWM]]-1</f>
        <v>0</v>
      </c>
      <c r="UE112" s="28">
        <f>SUMPRODUCT(INDEX(PortfolioRef[[SPY]:[PE]],MATCH(UE$1,PortfolioRef[Reference '#]),0),AssetMonthlyReturns[[#This Row],[SPY]:[PE]])</f>
        <v>1.8966388376896976E-2</v>
      </c>
      <c r="UF112" s="27">
        <f>IF(ISNUMBER(UF111),UF111*(1+PortfolioFrontier[[#This Row],[P138 Return]]),1+PortfolioFrontier[[#This Row],[P138 Return]])</f>
        <v>1.9658050683516861</v>
      </c>
      <c r="UG112" s="27">
        <f>MAX(UG111,PortfolioFrontier[[#This Row],[P138 Growth]])</f>
        <v>1.9658050683516861</v>
      </c>
      <c r="UH112" s="27">
        <f>PortfolioFrontier[[#This Row],[P138 Growth]]/PortfolioFrontier[[#This Row],[P138 HWM]]-1</f>
        <v>0</v>
      </c>
      <c r="UI112" s="28">
        <f>SUMPRODUCT(INDEX(PortfolioRef[[SPY]:[PE]],MATCH(UI$1,PortfolioRef[Reference '#]),0),AssetMonthlyReturns[[#This Row],[SPY]:[PE]])</f>
        <v>1.9955098249740327E-2</v>
      </c>
      <c r="UJ112" s="27">
        <f>IF(ISNUMBER(UJ111),UJ111*(1+PortfolioFrontier[[#This Row],[P139 Return]]),1+PortfolioFrontier[[#This Row],[P139 Return]])</f>
        <v>1.9354435843471542</v>
      </c>
      <c r="UK112" s="27">
        <f>MAX(UK111,PortfolioFrontier[[#This Row],[P139 Growth]])</f>
        <v>1.951621031098326</v>
      </c>
      <c r="UL112" s="27">
        <f>PortfolioFrontier[[#This Row],[P139 Growth]]/PortfolioFrontier[[#This Row],[P139 HWM]]-1</f>
        <v>-8.289235713998977E-3</v>
      </c>
      <c r="UM112" s="28">
        <f>SUMPRODUCT(INDEX(PortfolioRef[[SPY]:[PE]],MATCH(UM$1,PortfolioRef[Reference '#]),0),AssetMonthlyReturns[[#This Row],[SPY]:[PE]])</f>
        <v>1.9754931318515332E-2</v>
      </c>
      <c r="UN112" s="27">
        <f>IF(ISNUMBER(UN111),UN111*(1+PortfolioFrontier[[#This Row],[P140 Return]]),1+PortfolioFrontier[[#This Row],[P140 Return]])</f>
        <v>1.9277704557934865</v>
      </c>
      <c r="UO112" s="27">
        <f>MAX(UO111,PortfolioFrontier[[#This Row],[P140 Growth]])</f>
        <v>1.9361783569313893</v>
      </c>
      <c r="UP112" s="27">
        <f>PortfolioFrontier[[#This Row],[P140 Growth]]/PortfolioFrontier[[#This Row],[P140 HWM]]-1</f>
        <v>-4.3425240798726783E-3</v>
      </c>
      <c r="UQ112" s="28">
        <f>SUMPRODUCT(INDEX(PortfolioRef[[SPY]:[PE]],MATCH(UQ$1,PortfolioRef[Reference '#]),0),AssetMonthlyReturns[[#This Row],[SPY]:[PE]])</f>
        <v>1.9554764387290331E-2</v>
      </c>
      <c r="UR112" s="27">
        <f>IF(ISNUMBER(UR111),UR111*(1+PortfolioFrontier[[#This Row],[P141 Return]]),1+PortfolioFrontier[[#This Row],[P141 Return]])</f>
        <v>1.9184698248627388</v>
      </c>
      <c r="US112" s="27">
        <f>MAX(US111,PortfolioFrontier[[#This Row],[P141 Growth]])</f>
        <v>1.9221194307520968</v>
      </c>
      <c r="UT112" s="27">
        <f>PortfolioFrontier[[#This Row],[P141 Growth]]/PortfolioFrontier[[#This Row],[P141 HWM]]-1</f>
        <v>-1.8987404377520667E-3</v>
      </c>
    </row>
    <row r="113" spans="2:566" x14ac:dyDescent="0.2">
      <c r="B113" s="41">
        <f>AssetMonthlyReturns[[#This Row],[Date]]</f>
        <v>45809</v>
      </c>
      <c r="C113" s="28">
        <f>SUMPRODUCT(INDEX(PortfolioRef[[SPY]:[PE]],MATCH(C$1,PortfolioRef[Reference '#]),0),AssetMonthlyReturns[[#This Row],[SPY]:[PE]])</f>
        <v>3.4373755211334359E-2</v>
      </c>
      <c r="D113" s="29">
        <f>IF(ISNUMBER(D112),D112*(1+PortfolioFrontier[[#This Row],[P1 Return]]),1+PortfolioFrontier[[#This Row],[P1 Return]])</f>
        <v>2.4974068042045356</v>
      </c>
      <c r="E113" s="29">
        <f>MAX(E112,PortfolioFrontier[[#This Row],[P1 Growth]])</f>
        <v>2.4974068042045356</v>
      </c>
      <c r="F113" s="29">
        <f>PortfolioFrontier[[#This Row],[P1 Growth]]/PortfolioFrontier[[#This Row],[P1 HWM]]-1</f>
        <v>0</v>
      </c>
      <c r="G113" s="28">
        <f>SUMPRODUCT(INDEX(PortfolioRef[[SPY]:[PE]],MATCH(G$1,PortfolioRef[Reference '#]),0),AssetMonthlyReturns[[#This Row],[SPY]:[PE]])</f>
        <v>3.2684480176250752E-2</v>
      </c>
      <c r="H113" s="27">
        <f>IF(ISNUMBER(H112),H112*(1+PortfolioFrontier[[#This Row],[P2 Return]]),1+PortfolioFrontier[[#This Row],[P2 Return]])</f>
        <v>2.3644192881555308</v>
      </c>
      <c r="I113" s="27">
        <f>MAX(I112,PortfolioFrontier[[#This Row],[P2 Growth]])</f>
        <v>2.3644192881555308</v>
      </c>
      <c r="J113" s="27">
        <f>PortfolioFrontier[[#This Row],[P2 Growth]]/PortfolioFrontier[[#This Row],[P2 HWM]]-1</f>
        <v>0</v>
      </c>
      <c r="K113" s="28">
        <f>SUMPRODUCT(INDEX(PortfolioRef[[SPY]:[PE]],MATCH(K$1,PortfolioRef[Reference '#]),0),AssetMonthlyReturns[[#This Row],[SPY]:[PE]])</f>
        <v>3.2161960063013292E-2</v>
      </c>
      <c r="L113" s="27">
        <f>IF(ISNUMBER(L112),L112*(1+PortfolioFrontier[[#This Row],[P3 Return]]),1+PortfolioFrontier[[#This Row],[P3 Return]])</f>
        <v>2.4639122882715498</v>
      </c>
      <c r="M113" s="27">
        <f>MAX(M112,PortfolioFrontier[[#This Row],[P3 Growth]])</f>
        <v>2.4639122882715498</v>
      </c>
      <c r="N113" s="27">
        <f>PortfolioFrontier[[#This Row],[P3 Growth]]/PortfolioFrontier[[#This Row],[P3 HWM]]-1</f>
        <v>0</v>
      </c>
      <c r="O113" s="28">
        <f>SUMPRODUCT(INDEX(PortfolioRef[[SPY]:[PE]],MATCH(O$1,PortfolioRef[Reference '#]),0),AssetMonthlyReturns[[#This Row],[SPY]:[PE]])</f>
        <v>3.1813848489235713E-2</v>
      </c>
      <c r="P113" s="27">
        <f>IF(ISNUMBER(P112),P112*(1+PortfolioFrontier[[#This Row],[P4 Return]]),1+PortfolioFrontier[[#This Row],[P4 Return]])</f>
        <v>2.4028475879648941</v>
      </c>
      <c r="Q113" s="27">
        <f>MAX(Q112,PortfolioFrontier[[#This Row],[P4 Growth]])</f>
        <v>2.4028475879648941</v>
      </c>
      <c r="R113" s="27">
        <f>PortfolioFrontier[[#This Row],[P4 Growth]]/PortfolioFrontier[[#This Row],[P4 HWM]]-1</f>
        <v>0</v>
      </c>
      <c r="S113" s="28">
        <f>SUMPRODUCT(INDEX(PortfolioRef[[SPY]:[PE]],MATCH(S$1,PortfolioRef[Reference '#]),0),AssetMonthlyReturns[[#This Row],[SPY]:[PE]])</f>
        <v>3.4722636212555794E-2</v>
      </c>
      <c r="T113" s="27">
        <f>IF(ISNUMBER(T112),T112*(1+PortfolioFrontier[[#This Row],[P5 Return]]),1+PortfolioFrontier[[#This Row],[P5 Return]])</f>
        <v>2.3968052458564366</v>
      </c>
      <c r="U113" s="27">
        <f>MAX(U112,PortfolioFrontier[[#This Row],[P5 Growth]])</f>
        <v>2.3968052458564366</v>
      </c>
      <c r="V113" s="27">
        <f>PortfolioFrontier[[#This Row],[P5 Growth]]/PortfolioFrontier[[#This Row],[P5 HWM]]-1</f>
        <v>0</v>
      </c>
      <c r="W113" s="28">
        <f>SUMPRODUCT(INDEX(PortfolioRef[[SPY]:[PE]],MATCH(W$1,PortfolioRef[Reference '#]),0),AssetMonthlyReturns[[#This Row],[SPY]:[PE]])</f>
        <v>3.0995205141167149E-2</v>
      </c>
      <c r="X113" s="27">
        <f>IF(ISNUMBER(X112),X112*(1+PortfolioFrontier[[#This Row],[P6 Return]]),1+PortfolioFrontier[[#This Row],[P6 Return]])</f>
        <v>2.2373805821010415</v>
      </c>
      <c r="Y113" s="27">
        <f>MAX(Y112,PortfolioFrontier[[#This Row],[P6 Growth]])</f>
        <v>2.2373805821010415</v>
      </c>
      <c r="Z113" s="27">
        <f>PortfolioFrontier[[#This Row],[P6 Growth]]/PortfolioFrontier[[#This Row],[P6 HWM]]-1</f>
        <v>0</v>
      </c>
      <c r="AA113" s="28">
        <f>SUMPRODUCT(INDEX(PortfolioRef[[SPY]:[PE]],MATCH(AA$1,PortfolioRef[Reference '#]),0),AssetMonthlyReturns[[#This Row],[SPY]:[PE]])</f>
        <v>3.0472685027929693E-2</v>
      </c>
      <c r="AB113" s="27">
        <f>IF(ISNUMBER(AB112),AB112*(1+PortfolioFrontier[[#This Row],[P7 Return]]),1+PortfolioFrontier[[#This Row],[P7 Return]])</f>
        <v>2.3315080367136876</v>
      </c>
      <c r="AC113" s="27">
        <f>MAX(AC112,PortfolioFrontier[[#This Row],[P7 Growth]])</f>
        <v>2.3315080367136876</v>
      </c>
      <c r="AD113" s="27">
        <f>PortfolioFrontier[[#This Row],[P7 Growth]]/PortfolioFrontier[[#This Row],[P7 HWM]]-1</f>
        <v>0</v>
      </c>
      <c r="AE113" s="28">
        <f>SUMPRODUCT(INDEX(PortfolioRef[[SPY]:[PE]],MATCH(AE$1,PortfolioRef[Reference '#]),0),AssetMonthlyReturns[[#This Row],[SPY]:[PE]])</f>
        <v>3.0124573454152113E-2</v>
      </c>
      <c r="AF113" s="27">
        <f>IF(ISNUMBER(AF112),AF112*(1+PortfolioFrontier[[#This Row],[P8 Return]]),1+PortfolioFrontier[[#This Row],[P8 Return]])</f>
        <v>2.2746614007826222</v>
      </c>
      <c r="AG113" s="27">
        <f>MAX(AG112,PortfolioFrontier[[#This Row],[P8 Growth]])</f>
        <v>2.2746614007826222</v>
      </c>
      <c r="AH113" s="27">
        <f>PortfolioFrontier[[#This Row],[P8 Growth]]/PortfolioFrontier[[#This Row],[P8 HWM]]-1</f>
        <v>0</v>
      </c>
      <c r="AI113" s="28">
        <f>SUMPRODUCT(INDEX(PortfolioRef[[SPY]:[PE]],MATCH(AI$1,PortfolioRef[Reference '#]),0),AssetMonthlyReturns[[#This Row],[SPY]:[PE]])</f>
        <v>3.3033361177472187E-2</v>
      </c>
      <c r="AJ113" s="27">
        <f>IF(ISNUMBER(AJ112),AJ112*(1+PortfolioFrontier[[#This Row],[P9 Return]]),1+PortfolioFrontier[[#This Row],[P9 Return]])</f>
        <v>2.2680836829716768</v>
      </c>
      <c r="AK113" s="27">
        <f>MAX(AK112,PortfolioFrontier[[#This Row],[P9 Growth]])</f>
        <v>2.2680836829716768</v>
      </c>
      <c r="AL113" s="27">
        <f>PortfolioFrontier[[#This Row],[P9 Growth]]/PortfolioFrontier[[#This Row],[P9 HWM]]-1</f>
        <v>0</v>
      </c>
      <c r="AM113" s="28">
        <f>SUMPRODUCT(INDEX(PortfolioRef[[SPY]:[PE]],MATCH(AM$1,PortfolioRef[Reference '#]),0),AssetMonthlyReturns[[#This Row],[SPY]:[PE]])</f>
        <v>2.9950164914692236E-2</v>
      </c>
      <c r="AN113" s="27">
        <f>IF(ISNUMBER(AN112),AN112*(1+PortfolioFrontier[[#This Row],[P10 Return]]),1+PortfolioFrontier[[#This Row],[P10 Return]])</f>
        <v>2.4287364802992095</v>
      </c>
      <c r="AO113" s="27">
        <f>MAX(AO112,PortfolioFrontier[[#This Row],[P10 Growth]])</f>
        <v>2.4287364802992095</v>
      </c>
      <c r="AP113" s="27">
        <f>PortfolioFrontier[[#This Row],[P10 Growth]]/PortfolioFrontier[[#This Row],[P10 HWM]]-1</f>
        <v>0</v>
      </c>
      <c r="AQ113" s="28">
        <f>SUMPRODUCT(INDEX(PortfolioRef[[SPY]:[PE]],MATCH(AQ$1,PortfolioRef[Reference '#]),0),AssetMonthlyReturns[[#This Row],[SPY]:[PE]])</f>
        <v>2.9602053340914657E-2</v>
      </c>
      <c r="AR113" s="27">
        <f>IF(ISNUMBER(AR112),AR112*(1+PortfolioFrontier[[#This Row],[P11 Return]]),1+PortfolioFrontier[[#This Row],[P11 Return]])</f>
        <v>2.3703502717796865</v>
      </c>
      <c r="AS113" s="27">
        <f>MAX(AS112,PortfolioFrontier[[#This Row],[P11 Growth]])</f>
        <v>2.3703502717796865</v>
      </c>
      <c r="AT113" s="27">
        <f>PortfolioFrontier[[#This Row],[P11 Growth]]/PortfolioFrontier[[#This Row],[P11 HWM]]-1</f>
        <v>0</v>
      </c>
      <c r="AU113" s="28">
        <f>SUMPRODUCT(INDEX(PortfolioRef[[SPY]:[PE]],MATCH(AU$1,PortfolioRef[Reference '#]),0),AssetMonthlyReturns[[#This Row],[SPY]:[PE]])</f>
        <v>3.2510841064234727E-2</v>
      </c>
      <c r="AV113" s="27">
        <f>IF(ISNUMBER(AV112),AV112*(1+PortfolioFrontier[[#This Row],[P12 Return]]),1+PortfolioFrontier[[#This Row],[P12 Return]])</f>
        <v>2.3635057799326922</v>
      </c>
      <c r="AW113" s="27">
        <f>MAX(AW112,PortfolioFrontier[[#This Row],[P12 Growth]])</f>
        <v>2.3635057799326922</v>
      </c>
      <c r="AX113" s="27">
        <f>PortfolioFrontier[[#This Row],[P12 Growth]]/PortfolioFrontier[[#This Row],[P12 HWM]]-1</f>
        <v>0</v>
      </c>
      <c r="AY113" s="28">
        <f>SUMPRODUCT(INDEX(PortfolioRef[[SPY]:[PE]],MATCH(AY$1,PortfolioRef[Reference '#]),0),AssetMonthlyReturns[[#This Row],[SPY]:[PE]])</f>
        <v>2.9253941767137075E-2</v>
      </c>
      <c r="AZ113" s="27">
        <f>IF(ISNUMBER(AZ112),AZ112*(1+PortfolioFrontier[[#This Row],[P13 Return]]),1+PortfolioFrontier[[#This Row],[P13 Return]])</f>
        <v>2.311178089100935</v>
      </c>
      <c r="BA113" s="27">
        <f>MAX(BA112,PortfolioFrontier[[#This Row],[P13 Growth]])</f>
        <v>2.311178089100935</v>
      </c>
      <c r="BB113" s="27">
        <f>PortfolioFrontier[[#This Row],[P13 Growth]]/PortfolioFrontier[[#This Row],[P13 HWM]]-1</f>
        <v>0</v>
      </c>
      <c r="BC113" s="28">
        <f>SUMPRODUCT(INDEX(PortfolioRef[[SPY]:[PE]],MATCH(BC$1,PortfolioRef[Reference '#]),0),AssetMonthlyReturns[[#This Row],[SPY]:[PE]])</f>
        <v>3.2162729490457148E-2</v>
      </c>
      <c r="BD113" s="27">
        <f>IF(ISNUMBER(BD112),BD112*(1+PortfolioFrontier[[#This Row],[P14 Return]]),1+PortfolioFrontier[[#This Row],[P14 Return]])</f>
        <v>2.3060076574258459</v>
      </c>
      <c r="BE113" s="27">
        <f>MAX(BE112,PortfolioFrontier[[#This Row],[P14 Growth]])</f>
        <v>2.3060076574258459</v>
      </c>
      <c r="BF113" s="27">
        <f>PortfolioFrontier[[#This Row],[P14 Growth]]/PortfolioFrontier[[#This Row],[P14 HWM]]-1</f>
        <v>0</v>
      </c>
      <c r="BG113" s="28">
        <f>SUMPRODUCT(INDEX(PortfolioRef[[SPY]:[PE]],MATCH(BG$1,PortfolioRef[Reference '#]),0),AssetMonthlyReturns[[#This Row],[SPY]:[PE]])</f>
        <v>3.5071517213777229E-2</v>
      </c>
      <c r="BH113" s="27">
        <f>IF(ISNUMBER(BH112),BH112*(1+PortfolioFrontier[[#This Row],[P15 Return]]),1+PortfolioFrontier[[#This Row],[P15 Return]])</f>
        <v>2.2988547361453047</v>
      </c>
      <c r="BI113" s="27">
        <f>MAX(BI112,PortfolioFrontier[[#This Row],[P15 Growth]])</f>
        <v>2.2988547361453047</v>
      </c>
      <c r="BJ113" s="27">
        <f>PortfolioFrontier[[#This Row],[P15 Growth]]/PortfolioFrontier[[#This Row],[P15 HWM]]-1</f>
        <v>0</v>
      </c>
      <c r="BK113" s="28">
        <f>SUMPRODUCT(INDEX(PortfolioRef[[SPY]:[PE]],MATCH(BK$1,PortfolioRef[Reference '#]),0),AssetMonthlyReturns[[#This Row],[SPY]:[PE]])</f>
        <v>2.9305930106083546E-2</v>
      </c>
      <c r="BL113" s="27">
        <f>IF(ISNUMBER(BL112),BL112*(1+PortfolioFrontier[[#This Row],[P16 Return]]),1+PortfolioFrontier[[#This Row],[P16 Return]])</f>
        <v>2.1160961156289884</v>
      </c>
      <c r="BM113" s="27">
        <f>MAX(BM112,PortfolioFrontier[[#This Row],[P16 Growth]])</f>
        <v>2.1160961156289884</v>
      </c>
      <c r="BN113" s="27">
        <f>PortfolioFrontier[[#This Row],[P16 Growth]]/PortfolioFrontier[[#This Row],[P16 HWM]]-1</f>
        <v>0</v>
      </c>
      <c r="BO113" s="28">
        <f>SUMPRODUCT(INDEX(PortfolioRef[[SPY]:[PE]],MATCH(BO$1,PortfolioRef[Reference '#]),0),AssetMonthlyReturns[[#This Row],[SPY]:[PE]])</f>
        <v>2.8783409992846089E-2</v>
      </c>
      <c r="BP113" s="27">
        <f>IF(ISNUMBER(BP112),BP112*(1+PortfolioFrontier[[#This Row],[P17 Return]]),1+PortfolioFrontier[[#This Row],[P17 Return]])</f>
        <v>2.2051031739323159</v>
      </c>
      <c r="BQ113" s="27">
        <f>MAX(BQ112,PortfolioFrontier[[#This Row],[P17 Growth]])</f>
        <v>2.2051031739323159</v>
      </c>
      <c r="BR113" s="27">
        <f>PortfolioFrontier[[#This Row],[P17 Growth]]/PortfolioFrontier[[#This Row],[P17 HWM]]-1</f>
        <v>0</v>
      </c>
      <c r="BS113" s="28">
        <f>SUMPRODUCT(INDEX(PortfolioRef[[SPY]:[PE]],MATCH(BS$1,PortfolioRef[Reference '#]),0),AssetMonthlyReturns[[#This Row],[SPY]:[PE]])</f>
        <v>2.843529841906851E-2</v>
      </c>
      <c r="BT113" s="27">
        <f>IF(ISNUMBER(BT112),BT112*(1+PortfolioFrontier[[#This Row],[P18 Return]]),1+PortfolioFrontier[[#This Row],[P18 Return]])</f>
        <v>2.1522224825560325</v>
      </c>
      <c r="BU113" s="27">
        <f>MAX(BU112,PortfolioFrontier[[#This Row],[P18 Growth]])</f>
        <v>2.1522224825560325</v>
      </c>
      <c r="BV113" s="27">
        <f>PortfolioFrontier[[#This Row],[P18 Growth]]/PortfolioFrontier[[#This Row],[P18 HWM]]-1</f>
        <v>0</v>
      </c>
      <c r="BW113" s="28">
        <f>SUMPRODUCT(INDEX(PortfolioRef[[SPY]:[PE]],MATCH(BW$1,PortfolioRef[Reference '#]),0),AssetMonthlyReturns[[#This Row],[SPY]:[PE]])</f>
        <v>3.134408614238858E-2</v>
      </c>
      <c r="BX113" s="27">
        <f>IF(ISNUMBER(BX112),BX112*(1+PortfolioFrontier[[#This Row],[P19 Return]]),1+PortfolioFrontier[[#This Row],[P19 Return]])</f>
        <v>2.145189036913163</v>
      </c>
      <c r="BY113" s="27">
        <f>MAX(BY112,PortfolioFrontier[[#This Row],[P19 Growth]])</f>
        <v>2.145189036913163</v>
      </c>
      <c r="BZ113" s="27">
        <f>PortfolioFrontier[[#This Row],[P19 Growth]]/PortfolioFrontier[[#This Row],[P19 HWM]]-1</f>
        <v>0</v>
      </c>
      <c r="CA113" s="28">
        <f>SUMPRODUCT(INDEX(PortfolioRef[[SPY]:[PE]],MATCH(CA$1,PortfolioRef[Reference '#]),0),AssetMonthlyReturns[[#This Row],[SPY]:[PE]])</f>
        <v>2.8260889879608633E-2</v>
      </c>
      <c r="CB113" s="27">
        <f>IF(ISNUMBER(CB112),CB112*(1+PortfolioFrontier[[#This Row],[P20 Return]]),1+PortfolioFrontier[[#This Row],[P20 Return]])</f>
        <v>2.2970406330049462</v>
      </c>
      <c r="CC113" s="27">
        <f>MAX(CC112,PortfolioFrontier[[#This Row],[P20 Growth]])</f>
        <v>2.2970406330049462</v>
      </c>
      <c r="CD113" s="27">
        <f>PortfolioFrontier[[#This Row],[P20 Growth]]/PortfolioFrontier[[#This Row],[P20 HWM]]-1</f>
        <v>0</v>
      </c>
      <c r="CE113" s="28">
        <f>SUMPRODUCT(INDEX(PortfolioRef[[SPY]:[PE]],MATCH(CE$1,PortfolioRef[Reference '#]),0),AssetMonthlyReturns[[#This Row],[SPY]:[PE]])</f>
        <v>2.7912778305831054E-2</v>
      </c>
      <c r="CF113" s="27">
        <f>IF(ISNUMBER(CF112),CF112*(1+PortfolioFrontier[[#This Row],[P21 Return]]),1+PortfolioFrontier[[#This Row],[P21 Return]])</f>
        <v>2.2427419528664996</v>
      </c>
      <c r="CG113" s="27">
        <f>MAX(CG112,PortfolioFrontier[[#This Row],[P21 Growth]])</f>
        <v>2.2427419528664996</v>
      </c>
      <c r="CH113" s="27">
        <f>PortfolioFrontier[[#This Row],[P21 Growth]]/PortfolioFrontier[[#This Row],[P21 HWM]]-1</f>
        <v>0</v>
      </c>
      <c r="CI113" s="28">
        <f>SUMPRODUCT(INDEX(PortfolioRef[[SPY]:[PE]],MATCH(CI$1,PortfolioRef[Reference '#]),0),AssetMonthlyReturns[[#This Row],[SPY]:[PE]])</f>
        <v>3.0821566029151128E-2</v>
      </c>
      <c r="CJ113" s="27">
        <f>IF(ISNUMBER(CJ112),CJ112*(1+PortfolioFrontier[[#This Row],[P22 Return]]),1+PortfolioFrontier[[#This Row],[P22 Return]])</f>
        <v>2.2354225526165923</v>
      </c>
      <c r="CK113" s="27">
        <f>MAX(CK112,PortfolioFrontier[[#This Row],[P22 Growth]])</f>
        <v>2.2354225526165923</v>
      </c>
      <c r="CL113" s="27">
        <f>PortfolioFrontier[[#This Row],[P22 Growth]]/PortfolioFrontier[[#This Row],[P22 HWM]]-1</f>
        <v>0</v>
      </c>
      <c r="CM113" s="28">
        <f>SUMPRODUCT(INDEX(PortfolioRef[[SPY]:[PE]],MATCH(CM$1,PortfolioRef[Reference '#]),0),AssetMonthlyReturns[[#This Row],[SPY]:[PE]])</f>
        <v>2.7564666732053471E-2</v>
      </c>
      <c r="CN113" s="27">
        <f>IF(ISNUMBER(CN112),CN112*(1+PortfolioFrontier[[#This Row],[P23 Return]]),1+PortfolioFrontier[[#This Row],[P23 Return]])</f>
        <v>2.1876570279902139</v>
      </c>
      <c r="CO113" s="27">
        <f>MAX(CO112,PortfolioFrontier[[#This Row],[P23 Growth]])</f>
        <v>2.1876570279902139</v>
      </c>
      <c r="CP113" s="27">
        <f>PortfolioFrontier[[#This Row],[P23 Growth]]/PortfolioFrontier[[#This Row],[P23 HWM]]-1</f>
        <v>0</v>
      </c>
      <c r="CQ113" s="28">
        <f>SUMPRODUCT(INDEX(PortfolioRef[[SPY]:[PE]],MATCH(CQ$1,PortfolioRef[Reference '#]),0),AssetMonthlyReturns[[#This Row],[SPY]:[PE]])</f>
        <v>3.0473454455373548E-2</v>
      </c>
      <c r="CR113" s="27">
        <f>IF(ISNUMBER(CR112),CR112*(1+PortfolioFrontier[[#This Row],[P24 Return]]),1+PortfolioFrontier[[#This Row],[P24 Return]])</f>
        <v>2.1819365382632956</v>
      </c>
      <c r="CS113" s="27">
        <f>MAX(CS112,PortfolioFrontier[[#This Row],[P24 Growth]])</f>
        <v>2.1819365382632956</v>
      </c>
      <c r="CT113" s="27">
        <f>PortfolioFrontier[[#This Row],[P24 Growth]]/PortfolioFrontier[[#This Row],[P24 HWM]]-1</f>
        <v>0</v>
      </c>
      <c r="CU113" s="28">
        <f>SUMPRODUCT(INDEX(PortfolioRef[[SPY]:[PE]],MATCH(CU$1,PortfolioRef[Reference '#]),0),AssetMonthlyReturns[[#This Row],[SPY]:[PE]])</f>
        <v>3.3382242178693622E-2</v>
      </c>
      <c r="CV113" s="27">
        <f>IF(ISNUMBER(CV112),CV112*(1+PortfolioFrontier[[#This Row],[P25 Return]]),1+PortfolioFrontier[[#This Row],[P25 Return]])</f>
        <v>2.1743476785663818</v>
      </c>
      <c r="CW113" s="27">
        <f>MAX(CW112,PortfolioFrontier[[#This Row],[P25 Growth]])</f>
        <v>2.1743476785663818</v>
      </c>
      <c r="CX113" s="27">
        <f>PortfolioFrontier[[#This Row],[P25 Growth]]/PortfolioFrontier[[#This Row],[P25 HWM]]-1</f>
        <v>0</v>
      </c>
      <c r="CY113" s="28">
        <f>SUMPRODUCT(INDEX(PortfolioRef[[SPY]:[PE]],MATCH(CY$1,PortfolioRef[Reference '#]),0),AssetMonthlyReturns[[#This Row],[SPY]:[PE]])</f>
        <v>2.7390258192593598E-2</v>
      </c>
      <c r="CZ113" s="27">
        <f>IF(ISNUMBER(CZ112),CZ112*(1+PortfolioFrontier[[#This Row],[P26 Return]]),1+PortfolioFrontier[[#This Row],[P26 Return]])</f>
        <v>2.3362417603534613</v>
      </c>
      <c r="DA113" s="27">
        <f>MAX(DA112,PortfolioFrontier[[#This Row],[P26 Growth]])</f>
        <v>2.3362417603534613</v>
      </c>
      <c r="DB113" s="27">
        <f>PortfolioFrontier[[#This Row],[P26 Growth]]/PortfolioFrontier[[#This Row],[P26 HWM]]-1</f>
        <v>0</v>
      </c>
      <c r="DC113" s="28">
        <f>SUMPRODUCT(INDEX(PortfolioRef[[SPY]:[PE]],MATCH(DC$1,PortfolioRef[Reference '#]),0),AssetMonthlyReturns[[#This Row],[SPY]:[PE]])</f>
        <v>3.0299045915913671E-2</v>
      </c>
      <c r="DD113" s="27">
        <f>IF(ISNUMBER(DD112),DD112*(1+PortfolioFrontier[[#This Row],[P27 Return]]),1+PortfolioFrontier[[#This Row],[P27 Return]])</f>
        <v>2.3286273910145123</v>
      </c>
      <c r="DE113" s="27">
        <f>MAX(DE112,PortfolioFrontier[[#This Row],[P27 Growth]])</f>
        <v>2.3286273910145123</v>
      </c>
      <c r="DF113" s="27">
        <f>PortfolioFrontier[[#This Row],[P27 Growth]]/PortfolioFrontier[[#This Row],[P27 HWM]]-1</f>
        <v>0</v>
      </c>
      <c r="DG113" s="28">
        <f>SUMPRODUCT(INDEX(PortfolioRef[[SPY]:[PE]],MATCH(DG$1,PortfolioRef[Reference '#]),0),AssetMonthlyReturns[[#This Row],[SPY]:[PE]])</f>
        <v>2.7042146618816015E-2</v>
      </c>
      <c r="DH113" s="27">
        <f>IF(ISNUMBER(DH112),DH112*(1+PortfolioFrontier[[#This Row],[P28 Return]]),1+PortfolioFrontier[[#This Row],[P28 Return]])</f>
        <v>2.279660429965408</v>
      </c>
      <c r="DI113" s="27">
        <f>MAX(DI112,PortfolioFrontier[[#This Row],[P28 Growth]])</f>
        <v>2.279660429965408</v>
      </c>
      <c r="DJ113" s="27">
        <f>PortfolioFrontier[[#This Row],[P28 Growth]]/PortfolioFrontier[[#This Row],[P28 HWM]]-1</f>
        <v>0</v>
      </c>
      <c r="DK113" s="28">
        <f>SUMPRODUCT(INDEX(PortfolioRef[[SPY]:[PE]],MATCH(DK$1,PortfolioRef[Reference '#]),0),AssetMonthlyReturns[[#This Row],[SPY]:[PE]])</f>
        <v>2.9950934342136092E-2</v>
      </c>
      <c r="DL113" s="27">
        <f>IF(ISNUMBER(DL112),DL112*(1+PortfolioFrontier[[#This Row],[P29 Return]]),1+PortfolioFrontier[[#This Row],[P29 Return]])</f>
        <v>2.2737085028681365</v>
      </c>
      <c r="DM113" s="27">
        <f>MAX(DM112,PortfolioFrontier[[#This Row],[P29 Growth]])</f>
        <v>2.2737085028681365</v>
      </c>
      <c r="DN113" s="27">
        <f>PortfolioFrontier[[#This Row],[P29 Growth]]/PortfolioFrontier[[#This Row],[P29 HWM]]-1</f>
        <v>0</v>
      </c>
      <c r="DO113" s="28">
        <f>SUMPRODUCT(INDEX(PortfolioRef[[SPY]:[PE]],MATCH(DO$1,PortfolioRef[Reference '#]),0),AssetMonthlyReturns[[#This Row],[SPY]:[PE]])</f>
        <v>3.2859722065456169E-2</v>
      </c>
      <c r="DP113" s="27">
        <f>IF(ISNUMBER(DP112),DP112*(1+PortfolioFrontier[[#This Row],[P30 Return]]),1+PortfolioFrontier[[#This Row],[P30 Return]])</f>
        <v>2.2658107913390899</v>
      </c>
      <c r="DQ113" s="27">
        <f>MAX(DQ112,PortfolioFrontier[[#This Row],[P30 Growth]])</f>
        <v>2.2658107913390899</v>
      </c>
      <c r="DR113" s="27">
        <f>PortfolioFrontier[[#This Row],[P30 Growth]]/PortfolioFrontier[[#This Row],[P30 HWM]]-1</f>
        <v>0</v>
      </c>
      <c r="DS113" s="28">
        <f>SUMPRODUCT(INDEX(PortfolioRef[[SPY]:[PE]],MATCH(DS$1,PortfolioRef[Reference '#]),0),AssetMonthlyReturns[[#This Row],[SPY]:[PE]])</f>
        <v>2.6694035045038433E-2</v>
      </c>
      <c r="DT113" s="27">
        <f>IF(ISNUMBER(DT112),DT112*(1+PortfolioFrontier[[#This Row],[P31 Return]]),1+PortfolioFrontier[[#This Row],[P31 Return]])</f>
        <v>2.2223408114297474</v>
      </c>
      <c r="DU113" s="27">
        <f>MAX(DU112,PortfolioFrontier[[#This Row],[P31 Growth]])</f>
        <v>2.2223408114297474</v>
      </c>
      <c r="DV113" s="27">
        <f>PortfolioFrontier[[#This Row],[P31 Growth]]/PortfolioFrontier[[#This Row],[P31 HWM]]-1</f>
        <v>0</v>
      </c>
      <c r="DW113" s="28">
        <f>SUMPRODUCT(INDEX(PortfolioRef[[SPY]:[PE]],MATCH(DW$1,PortfolioRef[Reference '#]),0),AssetMonthlyReturns[[#This Row],[SPY]:[PE]])</f>
        <v>2.960282276835851E-2</v>
      </c>
      <c r="DX113" s="27">
        <f>IF(ISNUMBER(DX112),DX112*(1+PortfolioFrontier[[#This Row],[P32 Return]]),1+PortfolioFrontier[[#This Row],[P32 Return]])</f>
        <v>2.2179871047436404</v>
      </c>
      <c r="DY113" s="27">
        <f>MAX(DY112,PortfolioFrontier[[#This Row],[P32 Growth]])</f>
        <v>2.2179871047436404</v>
      </c>
      <c r="DZ113" s="27">
        <f>PortfolioFrontier[[#This Row],[P32 Growth]]/PortfolioFrontier[[#This Row],[P32 HWM]]-1</f>
        <v>0</v>
      </c>
      <c r="EA113" s="28">
        <f>SUMPRODUCT(INDEX(PortfolioRef[[SPY]:[PE]],MATCH(EA$1,PortfolioRef[Reference '#]),0),AssetMonthlyReturns[[#This Row],[SPY]:[PE]])</f>
        <v>3.251161049167859E-2</v>
      </c>
      <c r="EB113" s="27">
        <f>IF(ISNUMBER(EB112),EB112*(1+PortfolioFrontier[[#This Row],[P33 Return]]),1+PortfolioFrontier[[#This Row],[P33 Return]])</f>
        <v>2.2117208418520589</v>
      </c>
      <c r="EC113" s="27">
        <f>MAX(EC112,PortfolioFrontier[[#This Row],[P33 Growth]])</f>
        <v>2.2117208418520589</v>
      </c>
      <c r="ED113" s="27">
        <f>PortfolioFrontier[[#This Row],[P33 Growth]]/PortfolioFrontier[[#This Row],[P33 HWM]]-1</f>
        <v>0</v>
      </c>
      <c r="EE113" s="28">
        <f>SUMPRODUCT(INDEX(PortfolioRef[[SPY]:[PE]],MATCH(EE$1,PortfolioRef[Reference '#]),0),AssetMonthlyReturns[[#This Row],[SPY]:[PE]])</f>
        <v>2.7616655070999935E-2</v>
      </c>
      <c r="EF113" s="27">
        <f>IF(ISNUMBER(EF112),EF112*(1+PortfolioFrontier[[#This Row],[P34 Return]]),1+PortfolioFrontier[[#This Row],[P34 Return]])</f>
        <v>2.0003732306841062</v>
      </c>
      <c r="EG113" s="27">
        <f>MAX(EG112,PortfolioFrontier[[#This Row],[P34 Growth]])</f>
        <v>2.0003732306841062</v>
      </c>
      <c r="EH113" s="27">
        <f>PortfolioFrontier[[#This Row],[P34 Growth]]/PortfolioFrontier[[#This Row],[P34 HWM]]-1</f>
        <v>0</v>
      </c>
      <c r="EI113" s="28">
        <f>SUMPRODUCT(INDEX(PortfolioRef[[SPY]:[PE]],MATCH(EI$1,PortfolioRef[Reference '#]),0),AssetMonthlyReturns[[#This Row],[SPY]:[PE]])</f>
        <v>2.7094134957762479E-2</v>
      </c>
      <c r="EJ113" s="27">
        <f>IF(ISNUMBER(EJ112),EJ112*(1+PortfolioFrontier[[#This Row],[P35 Return]]),1+PortfolioFrontier[[#This Row],[P35 Return]])</f>
        <v>2.0844966425697184</v>
      </c>
      <c r="EK113" s="27">
        <f>MAX(EK112,PortfolioFrontier[[#This Row],[P35 Growth]])</f>
        <v>2.0844966425697184</v>
      </c>
      <c r="EL113" s="27">
        <f>PortfolioFrontier[[#This Row],[P35 Growth]]/PortfolioFrontier[[#This Row],[P35 HWM]]-1</f>
        <v>0</v>
      </c>
      <c r="EM113" s="28">
        <f>SUMPRODUCT(INDEX(PortfolioRef[[SPY]:[PE]],MATCH(EM$1,PortfolioRef[Reference '#]),0),AssetMonthlyReturns[[#This Row],[SPY]:[PE]])</f>
        <v>2.67460233839849E-2</v>
      </c>
      <c r="EN113" s="27">
        <f>IF(ISNUMBER(EN112),EN112*(1+PortfolioFrontier[[#This Row],[P36 Return]]),1+PortfolioFrontier[[#This Row],[P36 Return]])</f>
        <v>2.0353421523154993</v>
      </c>
      <c r="EO113" s="27">
        <f>MAX(EO112,PortfolioFrontier[[#This Row],[P36 Growth]])</f>
        <v>2.0353421523154993</v>
      </c>
      <c r="EP113" s="27">
        <f>PortfolioFrontier[[#This Row],[P36 Growth]]/PortfolioFrontier[[#This Row],[P36 HWM]]-1</f>
        <v>0</v>
      </c>
      <c r="EQ113" s="28">
        <f>SUMPRODUCT(INDEX(PortfolioRef[[SPY]:[PE]],MATCH(EQ$1,PortfolioRef[Reference '#]),0),AssetMonthlyReturns[[#This Row],[SPY]:[PE]])</f>
        <v>2.9654811107304974E-2</v>
      </c>
      <c r="ER113" s="27">
        <f>IF(ISNUMBER(ER112),ER112*(1+PortfolioFrontier[[#This Row],[P37 Return]]),1+PortfolioFrontier[[#This Row],[P37 Return]])</f>
        <v>2.0279264327416104</v>
      </c>
      <c r="ES113" s="27">
        <f>MAX(ES112,PortfolioFrontier[[#This Row],[P37 Growth]])</f>
        <v>2.0279264327416104</v>
      </c>
      <c r="ET113" s="27">
        <f>PortfolioFrontier[[#This Row],[P37 Growth]]/PortfolioFrontier[[#This Row],[P37 HWM]]-1</f>
        <v>0</v>
      </c>
      <c r="EU113" s="28">
        <f>SUMPRODUCT(INDEX(PortfolioRef[[SPY]:[PE]],MATCH(EU$1,PortfolioRef[Reference '#]),0),AssetMonthlyReturns[[#This Row],[SPY]:[PE]])</f>
        <v>2.6571614844525023E-2</v>
      </c>
      <c r="EV113" s="27">
        <f>IF(ISNUMBER(EV112),EV112*(1+PortfolioFrontier[[#This Row],[P38 Return]]),1+PortfolioFrontier[[#This Row],[P38 Return]])</f>
        <v>2.1713878956307684</v>
      </c>
      <c r="EW113" s="27">
        <f>MAX(EW112,PortfolioFrontier[[#This Row],[P38 Growth]])</f>
        <v>2.1713878956307684</v>
      </c>
      <c r="EX113" s="27">
        <f>PortfolioFrontier[[#This Row],[P38 Growth]]/PortfolioFrontier[[#This Row],[P38 HWM]]-1</f>
        <v>0</v>
      </c>
      <c r="EY113" s="28">
        <f>SUMPRODUCT(INDEX(PortfolioRef[[SPY]:[PE]],MATCH(EY$1,PortfolioRef[Reference '#]),0),AssetMonthlyReturns[[#This Row],[SPY]:[PE]])</f>
        <v>2.6223503270747444E-2</v>
      </c>
      <c r="EZ113" s="27">
        <f>IF(ISNUMBER(EZ112),EZ112*(1+PortfolioFrontier[[#This Row],[P39 Return]]),1+PortfolioFrontier[[#This Row],[P39 Return]])</f>
        <v>2.1209289210010178</v>
      </c>
      <c r="FA113" s="27">
        <f>MAX(FA112,PortfolioFrontier[[#This Row],[P39 Growth]])</f>
        <v>2.1209289210010178</v>
      </c>
      <c r="FB113" s="27">
        <f>PortfolioFrontier[[#This Row],[P39 Growth]]/PortfolioFrontier[[#This Row],[P39 HWM]]-1</f>
        <v>0</v>
      </c>
      <c r="FC113" s="28">
        <f>SUMPRODUCT(INDEX(PortfolioRef[[SPY]:[PE]],MATCH(FC$1,PortfolioRef[Reference '#]),0),AssetMonthlyReturns[[#This Row],[SPY]:[PE]])</f>
        <v>2.9132290994067517E-2</v>
      </c>
      <c r="FD113" s="27">
        <f>IF(ISNUMBER(FD112),FD112*(1+PortfolioFrontier[[#This Row],[P40 Return]]),1+PortfolioFrontier[[#This Row],[P40 Return]])</f>
        <v>2.1132111323409046</v>
      </c>
      <c r="FE113" s="27">
        <f>MAX(FE112,PortfolioFrontier[[#This Row],[P40 Growth]])</f>
        <v>2.1132111323409046</v>
      </c>
      <c r="FF113" s="27">
        <f>PortfolioFrontier[[#This Row],[P40 Growth]]/PortfolioFrontier[[#This Row],[P40 HWM]]-1</f>
        <v>0</v>
      </c>
      <c r="FG113" s="28">
        <f>SUMPRODUCT(INDEX(PortfolioRef[[SPY]:[PE]],MATCH(FG$1,PortfolioRef[Reference '#]),0),AssetMonthlyReturns[[#This Row],[SPY]:[PE]])</f>
        <v>2.5875391696969861E-2</v>
      </c>
      <c r="FH113" s="27">
        <f>IF(ISNUMBER(FH112),FH112*(1+PortfolioFrontier[[#This Row],[P41 Return]]),1+PortfolioFrontier[[#This Row],[P41 Return]])</f>
        <v>2.0696868063429847</v>
      </c>
      <c r="FI113" s="27">
        <f>MAX(FI112,PortfolioFrontier[[#This Row],[P41 Growth]])</f>
        <v>2.0696868063429847</v>
      </c>
      <c r="FJ113" s="27">
        <f>PortfolioFrontier[[#This Row],[P41 Growth]]/PortfolioFrontier[[#This Row],[P41 HWM]]-1</f>
        <v>0</v>
      </c>
      <c r="FK113" s="28">
        <f>SUMPRODUCT(INDEX(PortfolioRef[[SPY]:[PE]],MATCH(FK$1,PortfolioRef[Reference '#]),0),AssetMonthlyReturns[[#This Row],[SPY]:[PE]])</f>
        <v>2.8784179420289938E-2</v>
      </c>
      <c r="FL113" s="27">
        <f>IF(ISNUMBER(FL112),FL112*(1+PortfolioFrontier[[#This Row],[P42 Return]]),1+PortfolioFrontier[[#This Row],[P42 Return]])</f>
        <v>2.0634946925453073</v>
      </c>
      <c r="FM113" s="27">
        <f>MAX(FM112,PortfolioFrontier[[#This Row],[P42 Growth]])</f>
        <v>2.0634946925453073</v>
      </c>
      <c r="FN113" s="27">
        <f>PortfolioFrontier[[#This Row],[P42 Growth]]/PortfolioFrontier[[#This Row],[P42 HWM]]-1</f>
        <v>0</v>
      </c>
      <c r="FO113" s="28">
        <f>SUMPRODUCT(INDEX(PortfolioRef[[SPY]:[PE]],MATCH(FO$1,PortfolioRef[Reference '#]),0),AssetMonthlyReturns[[#This Row],[SPY]:[PE]])</f>
        <v>3.1692967143610015E-2</v>
      </c>
      <c r="FP113" s="27">
        <f>IF(ISNUMBER(FP112),FP112*(1+PortfolioFrontier[[#This Row],[P43 Return]]),1+PortfolioFrontier[[#This Row],[P43 Return]])</f>
        <v>2.0555431278089156</v>
      </c>
      <c r="FQ113" s="27">
        <f>MAX(FQ112,PortfolioFrontier[[#This Row],[P43 Growth]])</f>
        <v>2.0555431278089156</v>
      </c>
      <c r="FR113" s="27">
        <f>PortfolioFrontier[[#This Row],[P43 Growth]]/PortfolioFrontier[[#This Row],[P43 HWM]]-1</f>
        <v>0</v>
      </c>
      <c r="FS113" s="28">
        <f>SUMPRODUCT(INDEX(PortfolioRef[[SPY]:[PE]],MATCH(FS$1,PortfolioRef[Reference '#]),0),AssetMonthlyReturns[[#This Row],[SPY]:[PE]])</f>
        <v>2.5700983157509988E-2</v>
      </c>
      <c r="FT113" s="27">
        <f>IF(ISNUMBER(FT112),FT112*(1+PortfolioFrontier[[#This Row],[P44 Return]]),1+PortfolioFrontier[[#This Row],[P44 Return]])</f>
        <v>2.2093318026217541</v>
      </c>
      <c r="FU113" s="27">
        <f>MAX(FU112,PortfolioFrontier[[#This Row],[P44 Growth]])</f>
        <v>2.2093318026217541</v>
      </c>
      <c r="FV113" s="27">
        <f>PortfolioFrontier[[#This Row],[P44 Growth]]/PortfolioFrontier[[#This Row],[P44 HWM]]-1</f>
        <v>0</v>
      </c>
      <c r="FW113" s="28">
        <f>SUMPRODUCT(INDEX(PortfolioRef[[SPY]:[PE]],MATCH(FW$1,PortfolioRef[Reference '#]),0),AssetMonthlyReturns[[#This Row],[SPY]:[PE]])</f>
        <v>2.8609770880830061E-2</v>
      </c>
      <c r="FX113" s="27">
        <f>IF(ISNUMBER(FX112),FX112*(1+PortfolioFrontier[[#This Row],[P45 Return]]),1+PortfolioFrontier[[#This Row],[P45 Return]])</f>
        <v>2.2013023967423528</v>
      </c>
      <c r="FY113" s="27">
        <f>MAX(FY112,PortfolioFrontier[[#This Row],[P45 Growth]])</f>
        <v>2.2013023967423528</v>
      </c>
      <c r="FZ113" s="27">
        <f>PortfolioFrontier[[#This Row],[P45 Growth]]/PortfolioFrontier[[#This Row],[P45 HWM]]-1</f>
        <v>0</v>
      </c>
      <c r="GA113" s="28">
        <f>SUMPRODUCT(INDEX(PortfolioRef[[SPY]:[PE]],MATCH(GA$1,PortfolioRef[Reference '#]),0),AssetMonthlyReturns[[#This Row],[SPY]:[PE]])</f>
        <v>2.5352871583732405E-2</v>
      </c>
      <c r="GB113" s="27">
        <f>IF(ISNUMBER(GB112),GB112*(1+PortfolioFrontier[[#This Row],[P46 Return]]),1+PortfolioFrontier[[#This Row],[P46 Return]])</f>
        <v>2.1567112399929265</v>
      </c>
      <c r="GC113" s="27">
        <f>MAX(GC112,PortfolioFrontier[[#This Row],[P46 Growth]])</f>
        <v>2.1567112399929265</v>
      </c>
      <c r="GD113" s="27">
        <f>PortfolioFrontier[[#This Row],[P46 Growth]]/PortfolioFrontier[[#This Row],[P46 HWM]]-1</f>
        <v>0</v>
      </c>
      <c r="GE113" s="28">
        <f>SUMPRODUCT(INDEX(PortfolioRef[[SPY]:[PE]],MATCH(GE$1,PortfolioRef[Reference '#]),0),AssetMonthlyReturns[[#This Row],[SPY]:[PE]])</f>
        <v>2.8261659307052482E-2</v>
      </c>
      <c r="GF113" s="27">
        <f>IF(ISNUMBER(GF112),GF112*(1+PortfolioFrontier[[#This Row],[P47 Return]]),1+PortfolioFrontier[[#This Row],[P47 Return]])</f>
        <v>2.1502678616498039</v>
      </c>
      <c r="GG113" s="27">
        <f>MAX(GG112,PortfolioFrontier[[#This Row],[P47 Growth]])</f>
        <v>2.1502678616498039</v>
      </c>
      <c r="GH113" s="27">
        <f>PortfolioFrontier[[#This Row],[P47 Growth]]/PortfolioFrontier[[#This Row],[P47 HWM]]-1</f>
        <v>0</v>
      </c>
      <c r="GI113" s="28">
        <f>SUMPRODUCT(INDEX(PortfolioRef[[SPY]:[PE]],MATCH(GI$1,PortfolioRef[Reference '#]),0),AssetMonthlyReturns[[#This Row],[SPY]:[PE]])</f>
        <v>3.1170447030372559E-2</v>
      </c>
      <c r="GJ113" s="27">
        <f>IF(ISNUMBER(GJ112),GJ112*(1+PortfolioFrontier[[#This Row],[P48 Return]]),1+PortfolioFrontier[[#This Row],[P48 Return]])</f>
        <v>2.1419921381734981</v>
      </c>
      <c r="GK113" s="27">
        <f>MAX(GK112,PortfolioFrontier[[#This Row],[P48 Growth]])</f>
        <v>2.1419921381734981</v>
      </c>
      <c r="GL113" s="27">
        <f>PortfolioFrontier[[#This Row],[P48 Growth]]/PortfolioFrontier[[#This Row],[P48 HWM]]-1</f>
        <v>0</v>
      </c>
      <c r="GM113" s="28">
        <f>SUMPRODUCT(INDEX(PortfolioRef[[SPY]:[PE]],MATCH(GM$1,PortfolioRef[Reference '#]),0),AssetMonthlyReturns[[#This Row],[SPY]:[PE]])</f>
        <v>2.5004760009954823E-2</v>
      </c>
      <c r="GN113" s="27">
        <f>IF(ISNUMBER(GN112),GN112*(1+PortfolioFrontier[[#This Row],[P49 Return]]),1+PortfolioFrontier[[#This Row],[P49 Return]])</f>
        <v>2.1033509202996101</v>
      </c>
      <c r="GO113" s="27">
        <f>MAX(GO112,PortfolioFrontier[[#This Row],[P49 Growth]])</f>
        <v>2.1033509202996101</v>
      </c>
      <c r="GP113" s="27">
        <f>PortfolioFrontier[[#This Row],[P49 Growth]]/PortfolioFrontier[[#This Row],[P49 HWM]]-1</f>
        <v>0</v>
      </c>
      <c r="GQ113" s="28">
        <f>SUMPRODUCT(INDEX(PortfolioRef[[SPY]:[PE]],MATCH(GQ$1,PortfolioRef[Reference '#]),0),AssetMonthlyReturns[[#This Row],[SPY]:[PE]])</f>
        <v>2.7913547733274899E-2</v>
      </c>
      <c r="GR113" s="27">
        <f>IF(ISNUMBER(GR112),GR112*(1+PortfolioFrontier[[#This Row],[P50 Return]]),1+PortfolioFrontier[[#This Row],[P50 Return]])</f>
        <v>2.0984343347491889</v>
      </c>
      <c r="GS113" s="27">
        <f>MAX(GS112,PortfolioFrontier[[#This Row],[P50 Growth]])</f>
        <v>2.0984343347491889</v>
      </c>
      <c r="GT113" s="27">
        <f>PortfolioFrontier[[#This Row],[P50 Growth]]/PortfolioFrontier[[#This Row],[P50 HWM]]-1</f>
        <v>0</v>
      </c>
      <c r="GU113" s="28">
        <f>SUMPRODUCT(INDEX(PortfolioRef[[SPY]:[PE]],MATCH(GU$1,PortfolioRef[Reference '#]),0),AssetMonthlyReturns[[#This Row],[SPY]:[PE]])</f>
        <v>3.082233545659498E-2</v>
      </c>
      <c r="GV113" s="27">
        <f>IF(ISNUMBER(GV112),GV112*(1+PortfolioFrontier[[#This Row],[P51 Return]]),1+PortfolioFrontier[[#This Row],[P51 Return]])</f>
        <v>2.0917150705973286</v>
      </c>
      <c r="GW113" s="27">
        <f>MAX(GW112,PortfolioFrontier[[#This Row],[P51 Growth]])</f>
        <v>2.0917150705973286</v>
      </c>
      <c r="GX113" s="27">
        <f>PortfolioFrontier[[#This Row],[P51 Growth]]/PortfolioFrontier[[#This Row],[P51 HWM]]-1</f>
        <v>0</v>
      </c>
      <c r="GY113" s="28">
        <f>SUMPRODUCT(INDEX(PortfolioRef[[SPY]:[PE]],MATCH(GY$1,PortfolioRef[Reference '#]),0),AssetMonthlyReturns[[#This Row],[SPY]:[PE]])</f>
        <v>2.4830351470494949E-2</v>
      </c>
      <c r="GZ113" s="27">
        <f>IF(ISNUMBER(GZ112),GZ112*(1+PortfolioFrontier[[#This Row],[P52 Return]]),1+PortfolioFrontier[[#This Row],[P52 Return]])</f>
        <v>2.246599241436174</v>
      </c>
      <c r="HA113" s="27">
        <f>MAX(HA112,PortfolioFrontier[[#This Row],[P52 Growth]])</f>
        <v>2.246599241436174</v>
      </c>
      <c r="HB113" s="27">
        <f>PortfolioFrontier[[#This Row],[P52 Growth]]/PortfolioFrontier[[#This Row],[P52 HWM]]-1</f>
        <v>0</v>
      </c>
      <c r="HC113" s="28">
        <f>SUMPRODUCT(INDEX(PortfolioRef[[SPY]:[PE]],MATCH(HC$1,PortfolioRef[Reference '#]),0),AssetMonthlyReturns[[#This Row],[SPY]:[PE]])</f>
        <v>2.7739139193815026E-2</v>
      </c>
      <c r="HD113" s="27">
        <f>IF(ISNUMBER(HD112),HD112*(1+PortfolioFrontier[[#This Row],[P53 Return]]),1+PortfolioFrontier[[#This Row],[P53 Return]])</f>
        <v>2.2398967026030432</v>
      </c>
      <c r="HE113" s="27">
        <f>MAX(HE112,PortfolioFrontier[[#This Row],[P53 Growth]])</f>
        <v>2.2398967026030432</v>
      </c>
      <c r="HF113" s="27">
        <f>PortfolioFrontier[[#This Row],[P53 Growth]]/PortfolioFrontier[[#This Row],[P53 HWM]]-1</f>
        <v>0</v>
      </c>
      <c r="HG113" s="28">
        <f>SUMPRODUCT(INDEX(PortfolioRef[[SPY]:[PE]],MATCH(HG$1,PortfolioRef[Reference '#]),0),AssetMonthlyReturns[[#This Row],[SPY]:[PE]])</f>
        <v>3.0647926917135103E-2</v>
      </c>
      <c r="HH113" s="27">
        <f>IF(ISNUMBER(HH112),HH112*(1+PortfolioFrontier[[#This Row],[P54 Return]]),1+PortfolioFrontier[[#This Row],[P54 Return]])</f>
        <v>2.2312865582931138</v>
      </c>
      <c r="HI113" s="27">
        <f>MAX(HI112,PortfolioFrontier[[#This Row],[P54 Growth]])</f>
        <v>2.2312865582931138</v>
      </c>
      <c r="HJ113" s="27">
        <f>PortfolioFrontier[[#This Row],[P54 Growth]]/PortfolioFrontier[[#This Row],[P54 HWM]]-1</f>
        <v>0</v>
      </c>
      <c r="HK113" s="28">
        <f>SUMPRODUCT(INDEX(PortfolioRef[[SPY]:[PE]],MATCH(HK$1,PortfolioRef[Reference '#]),0),AssetMonthlyReturns[[#This Row],[SPY]:[PE]])</f>
        <v>2.4482239896717366E-2</v>
      </c>
      <c r="HL113" s="27">
        <f>IF(ISNUMBER(HL112),HL112*(1+PortfolioFrontier[[#This Row],[P55 Return]]),1+PortfolioFrontier[[#This Row],[P55 Return]])</f>
        <v>2.1917850082933374</v>
      </c>
      <c r="HM113" s="27">
        <f>MAX(HM112,PortfolioFrontier[[#This Row],[P55 Growth]])</f>
        <v>2.1917850082933374</v>
      </c>
      <c r="HN113" s="27">
        <f>PortfolioFrontier[[#This Row],[P55 Growth]]/PortfolioFrontier[[#This Row],[P55 HWM]]-1</f>
        <v>0</v>
      </c>
      <c r="HO113" s="28">
        <f>SUMPRODUCT(INDEX(PortfolioRef[[SPY]:[PE]],MATCH(HO$1,PortfolioRef[Reference '#]),0),AssetMonthlyReturns[[#This Row],[SPY]:[PE]])</f>
        <v>2.7391027620037443E-2</v>
      </c>
      <c r="HP113" s="27">
        <f>IF(ISNUMBER(HP112),HP112*(1+PortfolioFrontier[[#This Row],[P56 Return]]),1+PortfolioFrontier[[#This Row],[P56 Return]])</f>
        <v>2.1866701043600938</v>
      </c>
      <c r="HQ113" s="27">
        <f>MAX(HQ112,PortfolioFrontier[[#This Row],[P56 Growth]])</f>
        <v>2.1866701043600938</v>
      </c>
      <c r="HR113" s="27">
        <f>PortfolioFrontier[[#This Row],[P56 Growth]]/PortfolioFrontier[[#This Row],[P56 HWM]]-1</f>
        <v>0</v>
      </c>
      <c r="HS113" s="28">
        <f>SUMPRODUCT(INDEX(PortfolioRef[[SPY]:[PE]],MATCH(HS$1,PortfolioRef[Reference '#]),0),AssetMonthlyReturns[[#This Row],[SPY]:[PE]])</f>
        <v>3.0299815343357524E-2</v>
      </c>
      <c r="HT113" s="27">
        <f>IF(ISNUMBER(HT112),HT112*(1+PortfolioFrontier[[#This Row],[P57 Return]]),1+PortfolioFrontier[[#This Row],[P57 Return]])</f>
        <v>2.1796778516376021</v>
      </c>
      <c r="HU113" s="27">
        <f>MAX(HU112,PortfolioFrontier[[#This Row],[P57 Growth]])</f>
        <v>2.1796778516376021</v>
      </c>
      <c r="HV113" s="27">
        <f>PortfolioFrontier[[#This Row],[P57 Growth]]/PortfolioFrontier[[#This Row],[P57 HWM]]-1</f>
        <v>0</v>
      </c>
      <c r="HW113" s="28">
        <f>SUMPRODUCT(INDEX(PortfolioRef[[SPY]:[PE]],MATCH(HW$1,PortfolioRef[Reference '#]),0),AssetMonthlyReturns[[#This Row],[SPY]:[PE]])</f>
        <v>2.4134128322939784E-2</v>
      </c>
      <c r="HX113" s="27">
        <f>IF(ISNUMBER(HX112),HX112*(1+PortfolioFrontier[[#This Row],[P58 Return]]),1+PortfolioFrontier[[#This Row],[P58 Return]])</f>
        <v>2.1362780547981597</v>
      </c>
      <c r="HY113" s="27">
        <f>MAX(HY112,PortfolioFrontier[[#This Row],[P58 Growth]])</f>
        <v>2.1362780547981597</v>
      </c>
      <c r="HZ113" s="27">
        <f>PortfolioFrontier[[#This Row],[P58 Growth]]/PortfolioFrontier[[#This Row],[P58 HWM]]-1</f>
        <v>0</v>
      </c>
      <c r="IA113" s="28">
        <f>SUMPRODUCT(INDEX(PortfolioRef[[SPY]:[PE]],MATCH(IA$1,PortfolioRef[Reference '#]),0),AssetMonthlyReturns[[#This Row],[SPY]:[PE]])</f>
        <v>2.7042916046259861E-2</v>
      </c>
      <c r="IB113" s="27">
        <f>IF(ISNUMBER(IB112),IB112*(1+PortfolioFrontier[[#This Row],[P59 Return]]),1+PortfolioFrontier[[#This Row],[P59 Return]])</f>
        <v>2.1326882263128923</v>
      </c>
      <c r="IC113" s="27">
        <f>MAX(IC112,PortfolioFrontier[[#This Row],[P59 Growth]])</f>
        <v>2.1326882263128923</v>
      </c>
      <c r="ID113" s="27">
        <f>PortfolioFrontier[[#This Row],[P59 Growth]]/PortfolioFrontier[[#This Row],[P59 HWM]]-1</f>
        <v>0</v>
      </c>
      <c r="IE113" s="28">
        <f>SUMPRODUCT(INDEX(PortfolioRef[[SPY]:[PE]],MATCH(IE$1,PortfolioRef[Reference '#]),0),AssetMonthlyReturns[[#This Row],[SPY]:[PE]])</f>
        <v>2.9951703769579941E-2</v>
      </c>
      <c r="IF113" s="27">
        <f>IF(ISNUMBER(IF112),IF112*(1+PortfolioFrontier[[#This Row],[P60 Return]]),1+PortfolioFrontier[[#This Row],[P60 Return]])</f>
        <v>2.1272541432362457</v>
      </c>
      <c r="IG113" s="27">
        <f>MAX(IG112,PortfolioFrontier[[#This Row],[P60 Growth]])</f>
        <v>2.1272541432362457</v>
      </c>
      <c r="IH113" s="27">
        <f>PortfolioFrontier[[#This Row],[P60 Growth]]/PortfolioFrontier[[#This Row],[P60 HWM]]-1</f>
        <v>0</v>
      </c>
      <c r="II113" s="28">
        <f>SUMPRODUCT(INDEX(PortfolioRef[[SPY]:[PE]],MATCH(II$1,PortfolioRef[Reference '#]),0),AssetMonthlyReturns[[#This Row],[SPY]:[PE]])</f>
        <v>2.5927380035916336E-2</v>
      </c>
      <c r="IJ113" s="27">
        <f>IF(ISNUMBER(IJ112),IJ112*(1+PortfolioFrontier[[#This Row],[P61 Return]]),1+PortfolioFrontier[[#This Row],[P61 Return]])</f>
        <v>1.8900214788101564</v>
      </c>
      <c r="IK113" s="27">
        <f>MAX(IK112,PortfolioFrontier[[#This Row],[P61 Growth]])</f>
        <v>1.8900214788101564</v>
      </c>
      <c r="IL113" s="27">
        <f>PortfolioFrontier[[#This Row],[P61 Growth]]/PortfolioFrontier[[#This Row],[P61 HWM]]-1</f>
        <v>0</v>
      </c>
      <c r="IM113" s="28">
        <f>SUMPRODUCT(INDEX(PortfolioRef[[SPY]:[PE]],MATCH(IM$1,PortfolioRef[Reference '#]),0),AssetMonthlyReturns[[#This Row],[SPY]:[PE]])</f>
        <v>2.5404859922678876E-2</v>
      </c>
      <c r="IN113" s="27">
        <f>IF(ISNUMBER(IN112),IN112*(1+PortfolioFrontier[[#This Row],[P62 Return]]),1+PortfolioFrontier[[#This Row],[P62 Return]])</f>
        <v>1.9694897085253009</v>
      </c>
      <c r="IO113" s="27">
        <f>MAX(IO112,PortfolioFrontier[[#This Row],[P62 Growth]])</f>
        <v>1.9694897085253009</v>
      </c>
      <c r="IP113" s="27">
        <f>PortfolioFrontier[[#This Row],[P62 Growth]]/PortfolioFrontier[[#This Row],[P62 HWM]]-1</f>
        <v>0</v>
      </c>
      <c r="IQ113" s="28">
        <f>SUMPRODUCT(INDEX(PortfolioRef[[SPY]:[PE]],MATCH(IQ$1,PortfolioRef[Reference '#]),0),AssetMonthlyReturns[[#This Row],[SPY]:[PE]])</f>
        <v>2.5056748348901297E-2</v>
      </c>
      <c r="IR113" s="27">
        <f>IF(ISNUMBER(IR112),IR112*(1+PortfolioFrontier[[#This Row],[P63 Return]]),1+PortfolioFrontier[[#This Row],[P63 Return]])</f>
        <v>1.923833624177117</v>
      </c>
      <c r="IS113" s="27">
        <f>MAX(IS112,PortfolioFrontier[[#This Row],[P63 Growth]])</f>
        <v>1.923833624177117</v>
      </c>
      <c r="IT113" s="27">
        <f>PortfolioFrontier[[#This Row],[P63 Growth]]/PortfolioFrontier[[#This Row],[P63 HWM]]-1</f>
        <v>0</v>
      </c>
      <c r="IU113" s="28">
        <f>SUMPRODUCT(INDEX(PortfolioRef[[SPY]:[PE]],MATCH(IU$1,PortfolioRef[Reference '#]),0),AssetMonthlyReturns[[#This Row],[SPY]:[PE]])</f>
        <v>2.796553607222137E-2</v>
      </c>
      <c r="IV113" s="27">
        <f>IF(ISNUMBER(IV112),IV112*(1+PortfolioFrontier[[#This Row],[P64 Return]]),1+PortfolioFrontier[[#This Row],[P64 Return]])</f>
        <v>1.9161032155603064</v>
      </c>
      <c r="IW113" s="27">
        <f>MAX(IW112,PortfolioFrontier[[#This Row],[P64 Growth]])</f>
        <v>1.9161032155603064</v>
      </c>
      <c r="IX113" s="27">
        <f>PortfolioFrontier[[#This Row],[P64 Growth]]/PortfolioFrontier[[#This Row],[P64 HWM]]-1</f>
        <v>0</v>
      </c>
      <c r="IY113" s="28">
        <f>SUMPRODUCT(INDEX(PortfolioRef[[SPY]:[PE]],MATCH(IY$1,PortfolioRef[Reference '#]),0),AssetMonthlyReturns[[#This Row],[SPY]:[PE]])</f>
        <v>2.488233980944142E-2</v>
      </c>
      <c r="IZ113" s="27">
        <f>IF(ISNUMBER(IZ112),IZ112*(1+PortfolioFrontier[[#This Row],[P65 Return]]),1+PortfolioFrontier[[#This Row],[P65 Return]])</f>
        <v>2.0515709572050231</v>
      </c>
      <c r="JA113" s="27">
        <f>MAX(JA112,PortfolioFrontier[[#This Row],[P65 Growth]])</f>
        <v>2.0515709572050231</v>
      </c>
      <c r="JB113" s="27">
        <f>PortfolioFrontier[[#This Row],[P65 Growth]]/PortfolioFrontier[[#This Row],[P65 HWM]]-1</f>
        <v>0</v>
      </c>
      <c r="JC113" s="28">
        <f>SUMPRODUCT(INDEX(PortfolioRef[[SPY]:[PE]],MATCH(JC$1,PortfolioRef[Reference '#]),0),AssetMonthlyReturns[[#This Row],[SPY]:[PE]])</f>
        <v>2.4534228235663841E-2</v>
      </c>
      <c r="JD113" s="27">
        <f>IF(ISNUMBER(JD112),JD112*(1+PortfolioFrontier[[#This Row],[P66 Return]]),1+PortfolioFrontier[[#This Row],[P66 Return]])</f>
        <v>2.004716253370892</v>
      </c>
      <c r="JE113" s="27">
        <f>MAX(JE112,PortfolioFrontier[[#This Row],[P66 Growth]])</f>
        <v>2.004716253370892</v>
      </c>
      <c r="JF113" s="27">
        <f>PortfolioFrontier[[#This Row],[P66 Growth]]/PortfolioFrontier[[#This Row],[P66 HWM]]-1</f>
        <v>0</v>
      </c>
      <c r="JG113" s="28">
        <f>SUMPRODUCT(INDEX(PortfolioRef[[SPY]:[PE]],MATCH(JG$1,PortfolioRef[Reference '#]),0),AssetMonthlyReturns[[#This Row],[SPY]:[PE]])</f>
        <v>2.7443015958983914E-2</v>
      </c>
      <c r="JH113" s="27">
        <f>IF(ISNUMBER(JH112),JH112*(1+PortfolioFrontier[[#This Row],[P67 Return]]),1+PortfolioFrontier[[#This Row],[P67 Return]])</f>
        <v>1.9966704812651814</v>
      </c>
      <c r="JI113" s="27">
        <f>MAX(JI112,PortfolioFrontier[[#This Row],[P67 Growth]])</f>
        <v>1.9966704812651814</v>
      </c>
      <c r="JJ113" s="27">
        <f>PortfolioFrontier[[#This Row],[P67 Growth]]/PortfolioFrontier[[#This Row],[P67 HWM]]-1</f>
        <v>0</v>
      </c>
      <c r="JK113" s="28">
        <f>SUMPRODUCT(INDEX(PortfolioRef[[SPY]:[PE]],MATCH(JK$1,PortfolioRef[Reference '#]),0),AssetMonthlyReturns[[#This Row],[SPY]:[PE]])</f>
        <v>2.4186116661886258E-2</v>
      </c>
      <c r="JL113" s="27">
        <f>IF(ISNUMBER(JL112),JL112*(1+PortfolioFrontier[[#This Row],[P68 Return]]),1+PortfolioFrontier[[#This Row],[P68 Return]])</f>
        <v>1.9570845170712416</v>
      </c>
      <c r="JM113" s="27">
        <f>MAX(JM112,PortfolioFrontier[[#This Row],[P68 Growth]])</f>
        <v>1.9570845170712416</v>
      </c>
      <c r="JN113" s="27">
        <f>PortfolioFrontier[[#This Row],[P68 Growth]]/PortfolioFrontier[[#This Row],[P68 HWM]]-1</f>
        <v>0</v>
      </c>
      <c r="JO113" s="28">
        <f>SUMPRODUCT(INDEX(PortfolioRef[[SPY]:[PE]],MATCH(JO$1,PortfolioRef[Reference '#]),0),AssetMonthlyReturns[[#This Row],[SPY]:[PE]])</f>
        <v>2.7094904385206335E-2</v>
      </c>
      <c r="JP113" s="27">
        <f>IF(ISNUMBER(JP112),JP112*(1+PortfolioFrontier[[#This Row],[P69 Return]]),1+PortfolioFrontier[[#This Row],[P69 Return]])</f>
        <v>1.9504931672188583</v>
      </c>
      <c r="JQ113" s="27">
        <f>MAX(JQ112,PortfolioFrontier[[#This Row],[P69 Growth]])</f>
        <v>1.9504931672188583</v>
      </c>
      <c r="JR113" s="27">
        <f>PortfolioFrontier[[#This Row],[P69 Growth]]/PortfolioFrontier[[#This Row],[P69 HWM]]-1</f>
        <v>0</v>
      </c>
      <c r="JS113" s="28">
        <f>SUMPRODUCT(INDEX(PortfolioRef[[SPY]:[PE]],MATCH(JS$1,PortfolioRef[Reference '#]),0),AssetMonthlyReturns[[#This Row],[SPY]:[PE]])</f>
        <v>3.0003692108526412E-2</v>
      </c>
      <c r="JT113" s="27">
        <f>IF(ISNUMBER(JT112),JT112*(1+PortfolioFrontier[[#This Row],[P70 Return]]),1+PortfolioFrontier[[#This Row],[P70 Return]])</f>
        <v>1.9422462289355495</v>
      </c>
      <c r="JU113" s="27">
        <f>MAX(JU112,PortfolioFrontier[[#This Row],[P70 Growth]])</f>
        <v>1.9422462289355495</v>
      </c>
      <c r="JV113" s="27">
        <f>PortfolioFrontier[[#This Row],[P70 Growth]]/PortfolioFrontier[[#This Row],[P70 HWM]]-1</f>
        <v>0</v>
      </c>
      <c r="JW113" s="28">
        <f>SUMPRODUCT(INDEX(PortfolioRef[[SPY]:[PE]],MATCH(JW$1,PortfolioRef[Reference '#]),0),AssetMonthlyReturns[[#This Row],[SPY]:[PE]])</f>
        <v>2.4011708122426385E-2</v>
      </c>
      <c r="JX113" s="27">
        <f>IF(ISNUMBER(JX112),JX112*(1+PortfolioFrontier[[#This Row],[P71 Return]]),1+PortfolioFrontier[[#This Row],[P71 Return]])</f>
        <v>2.0882585160491089</v>
      </c>
      <c r="JY113" s="27">
        <f>MAX(JY112,PortfolioFrontier[[#This Row],[P71 Growth]])</f>
        <v>2.0882585160491089</v>
      </c>
      <c r="JZ113" s="27">
        <f>PortfolioFrontier[[#This Row],[P71 Growth]]/PortfolioFrontier[[#This Row],[P71 HWM]]-1</f>
        <v>0</v>
      </c>
      <c r="KA113" s="28">
        <f>SUMPRODUCT(INDEX(PortfolioRef[[SPY]:[PE]],MATCH(KA$1,PortfolioRef[Reference '#]),0),AssetMonthlyReturns[[#This Row],[SPY]:[PE]])</f>
        <v>2.6920495845746458E-2</v>
      </c>
      <c r="KB113" s="27">
        <f>IF(ISNUMBER(KB112),KB112*(1+PortfolioFrontier[[#This Row],[P72 Return]]),1+PortfolioFrontier[[#This Row],[P72 Return]])</f>
        <v>2.0798873915225884</v>
      </c>
      <c r="KC113" s="27">
        <f>MAX(KC112,PortfolioFrontier[[#This Row],[P72 Growth]])</f>
        <v>2.0798873915225884</v>
      </c>
      <c r="KD113" s="27">
        <f>PortfolioFrontier[[#This Row],[P72 Growth]]/PortfolioFrontier[[#This Row],[P72 HWM]]-1</f>
        <v>0</v>
      </c>
      <c r="KE113" s="28">
        <f>SUMPRODUCT(INDEX(PortfolioRef[[SPY]:[PE]],MATCH(KE$1,PortfolioRef[Reference '#]),0),AssetMonthlyReturns[[#This Row],[SPY]:[PE]])</f>
        <v>2.3663596548648802E-2</v>
      </c>
      <c r="KF113" s="27">
        <f>IF(ISNUMBER(KF112),KF112*(1+PortfolioFrontier[[#This Row],[P73 Return]]),1+PortfolioFrontier[[#This Row],[P73 Return]])</f>
        <v>2.0393584539987</v>
      </c>
      <c r="KG113" s="27">
        <f>MAX(KG112,PortfolioFrontier[[#This Row],[P73 Growth]])</f>
        <v>2.0393584539987</v>
      </c>
      <c r="KH113" s="27">
        <f>PortfolioFrontier[[#This Row],[P73 Growth]]/PortfolioFrontier[[#This Row],[P73 HWM]]-1</f>
        <v>0</v>
      </c>
      <c r="KI113" s="28">
        <f>SUMPRODUCT(INDEX(PortfolioRef[[SPY]:[PE]],MATCH(KI$1,PortfolioRef[Reference '#]),0),AssetMonthlyReturns[[#This Row],[SPY]:[PE]])</f>
        <v>2.6572384271968879E-2</v>
      </c>
      <c r="KJ113" s="27">
        <f>IF(ISNUMBER(KJ112),KJ112*(1+PortfolioFrontier[[#This Row],[P74 Return]]),1+PortfolioFrontier[[#This Row],[P74 Return]])</f>
        <v>2.032499033241884</v>
      </c>
      <c r="KK113" s="27">
        <f>MAX(KK112,PortfolioFrontier[[#This Row],[P74 Growth]])</f>
        <v>2.032499033241884</v>
      </c>
      <c r="KL113" s="27">
        <f>PortfolioFrontier[[#This Row],[P74 Growth]]/PortfolioFrontier[[#This Row],[P74 HWM]]-1</f>
        <v>0</v>
      </c>
      <c r="KM113" s="28">
        <f>SUMPRODUCT(INDEX(PortfolioRef[[SPY]:[PE]],MATCH(KM$1,PortfolioRef[Reference '#]),0),AssetMonthlyReturns[[#This Row],[SPY]:[PE]])</f>
        <v>2.9481171995288956E-2</v>
      </c>
      <c r="KN113" s="27">
        <f>IF(ISNUMBER(KN112),KN112*(1+PortfolioFrontier[[#This Row],[P75 Return]]),1+PortfolioFrontier[[#This Row],[P75 Return]])</f>
        <v>2.0239154388220357</v>
      </c>
      <c r="KO113" s="27">
        <f>MAX(KO112,PortfolioFrontier[[#This Row],[P75 Growth]])</f>
        <v>2.0239154388220357</v>
      </c>
      <c r="KP113" s="27">
        <f>PortfolioFrontier[[#This Row],[P75 Growth]]/PortfolioFrontier[[#This Row],[P75 HWM]]-1</f>
        <v>0</v>
      </c>
      <c r="KQ113" s="28">
        <f>SUMPRODUCT(INDEX(PortfolioRef[[SPY]:[PE]],MATCH(KQ$1,PortfolioRef[Reference '#]),0),AssetMonthlyReturns[[#This Row],[SPY]:[PE]])</f>
        <v>2.3315484974871219E-2</v>
      </c>
      <c r="KR113" s="27">
        <f>IF(ISNUMBER(KR112),KR112*(1+PortfolioFrontier[[#This Row],[P76 Return]]),1+PortfolioFrontier[[#This Row],[P76 Return]])</f>
        <v>1.9897204941234323</v>
      </c>
      <c r="KS113" s="27">
        <f>MAX(KS112,PortfolioFrontier[[#This Row],[P76 Growth]])</f>
        <v>1.9897204941234323</v>
      </c>
      <c r="KT113" s="27">
        <f>PortfolioFrontier[[#This Row],[P76 Growth]]/PortfolioFrontier[[#This Row],[P76 HWM]]-1</f>
        <v>0</v>
      </c>
      <c r="KU113" s="28">
        <f>SUMPRODUCT(INDEX(PortfolioRef[[SPY]:[PE]],MATCH(KU$1,PortfolioRef[Reference '#]),0),AssetMonthlyReturns[[#This Row],[SPY]:[PE]])</f>
        <v>2.6224272698191296E-2</v>
      </c>
      <c r="KV113" s="27">
        <f>IF(ISNUMBER(KV112),KV112*(1+PortfolioFrontier[[#This Row],[P77 Return]]),1+PortfolioFrontier[[#This Row],[P77 Return]])</f>
        <v>1.9843182217340045</v>
      </c>
      <c r="KW113" s="27">
        <f>MAX(KW112,PortfolioFrontier[[#This Row],[P77 Growth]])</f>
        <v>1.9843182217340045</v>
      </c>
      <c r="KX113" s="27">
        <f>PortfolioFrontier[[#This Row],[P77 Growth]]/PortfolioFrontier[[#This Row],[P77 HWM]]-1</f>
        <v>0</v>
      </c>
      <c r="KY113" s="28">
        <f>SUMPRODUCT(INDEX(PortfolioRef[[SPY]:[PE]],MATCH(KY$1,PortfolioRef[Reference '#]),0),AssetMonthlyReturns[[#This Row],[SPY]:[PE]])</f>
        <v>2.9133060421511377E-2</v>
      </c>
      <c r="KZ113" s="27">
        <f>IF(ISNUMBER(KZ112),KZ112*(1+PortfolioFrontier[[#This Row],[P78 Return]]),1+PortfolioFrontier[[#This Row],[P78 Return]])</f>
        <v>1.9772181542304661</v>
      </c>
      <c r="LA113" s="27">
        <f>MAX(LA112,PortfolioFrontier[[#This Row],[P78 Growth]])</f>
        <v>1.9772181542304661</v>
      </c>
      <c r="LB113" s="27">
        <f>PortfolioFrontier[[#This Row],[P78 Growth]]/PortfolioFrontier[[#This Row],[P78 HWM]]-1</f>
        <v>0</v>
      </c>
      <c r="LC113" s="28">
        <f>SUMPRODUCT(INDEX(PortfolioRef[[SPY]:[PE]],MATCH(LC$1,PortfolioRef[Reference '#]),0),AssetMonthlyReturns[[#This Row],[SPY]:[PE]])</f>
        <v>2.3141076435411346E-2</v>
      </c>
      <c r="LD113" s="27">
        <f>IF(ISNUMBER(LD112),LD112*(1+PortfolioFrontier[[#This Row],[P79 Return]]),1+PortfolioFrontier[[#This Row],[P79 Return]])</f>
        <v>2.1243379060594672</v>
      </c>
      <c r="LE113" s="27">
        <f>MAX(LE112,PortfolioFrontier[[#This Row],[P79 Growth]])</f>
        <v>2.1243379060594672</v>
      </c>
      <c r="LF113" s="27">
        <f>PortfolioFrontier[[#This Row],[P79 Growth]]/PortfolioFrontier[[#This Row],[P79 HWM]]-1</f>
        <v>0</v>
      </c>
      <c r="LG113" s="28">
        <f>SUMPRODUCT(INDEX(PortfolioRef[[SPY]:[PE]],MATCH(LG$1,PortfolioRef[Reference '#]),0),AssetMonthlyReturns[[#This Row],[SPY]:[PE]])</f>
        <v>2.6049864158731423E-2</v>
      </c>
      <c r="LH113" s="27">
        <f>IF(ISNUMBER(LH112),LH112*(1+PortfolioFrontier[[#This Row],[P80 Return]]),1+PortfolioFrontier[[#This Row],[P80 Return]])</f>
        <v>2.1172019626710705</v>
      </c>
      <c r="LI113" s="27">
        <f>MAX(LI112,PortfolioFrontier[[#This Row],[P80 Growth]])</f>
        <v>2.1172019626710705</v>
      </c>
      <c r="LJ113" s="27">
        <f>PortfolioFrontier[[#This Row],[P80 Growth]]/PortfolioFrontier[[#This Row],[P80 HWM]]-1</f>
        <v>0</v>
      </c>
      <c r="LK113" s="28">
        <f>SUMPRODUCT(INDEX(PortfolioRef[[SPY]:[PE]],MATCH(LK$1,PortfolioRef[Reference '#]),0),AssetMonthlyReturns[[#This Row],[SPY]:[PE]])</f>
        <v>2.89586518820515E-2</v>
      </c>
      <c r="LL113" s="27">
        <f>IF(ISNUMBER(LL112),LL112*(1+PortfolioFrontier[[#This Row],[P81 Return]]),1+PortfolioFrontier[[#This Row],[P81 Return]])</f>
        <v>2.1082710351476424</v>
      </c>
      <c r="LM113" s="27">
        <f>MAX(LM112,PortfolioFrontier[[#This Row],[P81 Growth]])</f>
        <v>2.1082710351476424</v>
      </c>
      <c r="LN113" s="27">
        <f>PortfolioFrontier[[#This Row],[P81 Growth]]/PortfolioFrontier[[#This Row],[P81 HWM]]-1</f>
        <v>0</v>
      </c>
      <c r="LO113" s="28">
        <f>SUMPRODUCT(INDEX(PortfolioRef[[SPY]:[PE]],MATCH(LO$1,PortfolioRef[Reference '#]),0),AssetMonthlyReturns[[#This Row],[SPY]:[PE]])</f>
        <v>2.2792964861633763E-2</v>
      </c>
      <c r="LP113" s="27">
        <f>IF(ISNUMBER(LP112),LP112*(1+PortfolioFrontier[[#This Row],[P82 Return]]),1+PortfolioFrontier[[#This Row],[P82 Return]])</f>
        <v>2.0733604365248852</v>
      </c>
      <c r="LQ113" s="27">
        <f>MAX(LQ112,PortfolioFrontier[[#This Row],[P82 Growth]])</f>
        <v>2.0733604365248852</v>
      </c>
      <c r="LR113" s="27">
        <f>PortfolioFrontier[[#This Row],[P82 Growth]]/PortfolioFrontier[[#This Row],[P82 HWM]]-1</f>
        <v>0</v>
      </c>
      <c r="LS113" s="28">
        <f>SUMPRODUCT(INDEX(PortfolioRef[[SPY]:[PE]],MATCH(LS$1,PortfolioRef[Reference '#]),0),AssetMonthlyReturns[[#This Row],[SPY]:[PE]])</f>
        <v>2.570175258495384E-2</v>
      </c>
      <c r="LT113" s="27">
        <f>IF(ISNUMBER(LT112),LT112*(1+PortfolioFrontier[[#This Row],[P83 Return]]),1+PortfolioFrontier[[#This Row],[P83 Return]])</f>
        <v>2.0677394481530866</v>
      </c>
      <c r="LU113" s="27">
        <f>MAX(LU112,PortfolioFrontier[[#This Row],[P83 Growth]])</f>
        <v>2.0677394481530866</v>
      </c>
      <c r="LV113" s="27">
        <f>PortfolioFrontier[[#This Row],[P83 Growth]]/PortfolioFrontier[[#This Row],[P83 HWM]]-1</f>
        <v>0</v>
      </c>
      <c r="LW113" s="28">
        <f>SUMPRODUCT(INDEX(PortfolioRef[[SPY]:[PE]],MATCH(LW$1,PortfolioRef[Reference '#]),0),AssetMonthlyReturns[[#This Row],[SPY]:[PE]])</f>
        <v>2.8610540308273921E-2</v>
      </c>
      <c r="LX113" s="27">
        <f>IF(ISNUMBER(LX112),LX112*(1+PortfolioFrontier[[#This Row],[P84 Return]]),1+PortfolioFrontier[[#This Row],[P84 Return]])</f>
        <v>2.0603503459618167</v>
      </c>
      <c r="LY113" s="27">
        <f>MAX(LY112,PortfolioFrontier[[#This Row],[P84 Growth]])</f>
        <v>2.0603503459618167</v>
      </c>
      <c r="LZ113" s="27">
        <f>PortfolioFrontier[[#This Row],[P84 Growth]]/PortfolioFrontier[[#This Row],[P84 HWM]]-1</f>
        <v>0</v>
      </c>
      <c r="MA113" s="28">
        <f>SUMPRODUCT(INDEX(PortfolioRef[[SPY]:[PE]],MATCH(MA$1,PortfolioRef[Reference '#]),0),AssetMonthlyReturns[[#This Row],[SPY]:[PE]])</f>
        <v>2.2444853287856181E-2</v>
      </c>
      <c r="MB113" s="27">
        <f>IF(ISNUMBER(MB112),MB112*(1+PortfolioFrontier[[#This Row],[P85 Return]]),1+PortfolioFrontier[[#This Row],[P85 Return]])</f>
        <v>2.021687657583314</v>
      </c>
      <c r="MC113" s="27">
        <f>MAX(MC112,PortfolioFrontier[[#This Row],[P85 Growth]])</f>
        <v>2.021687657583314</v>
      </c>
      <c r="MD113" s="27">
        <f>PortfolioFrontier[[#This Row],[P85 Growth]]/PortfolioFrontier[[#This Row],[P85 HWM]]-1</f>
        <v>0</v>
      </c>
      <c r="ME113" s="28">
        <f>SUMPRODUCT(INDEX(PortfolioRef[[SPY]:[PE]],MATCH(ME$1,PortfolioRef[Reference '#]),0),AssetMonthlyReturns[[#This Row],[SPY]:[PE]])</f>
        <v>2.5353641011176258E-2</v>
      </c>
      <c r="MF113" s="27">
        <f>IF(ISNUMBER(MF112),MF112*(1+PortfolioFrontier[[#This Row],[P86 Return]]),1+PortfolioFrontier[[#This Row],[P86 Return]])</f>
        <v>2.0175238991311994</v>
      </c>
      <c r="MG113" s="27">
        <f>MAX(MG112,PortfolioFrontier[[#This Row],[P86 Growth]])</f>
        <v>2.0175238991311994</v>
      </c>
      <c r="MH113" s="27">
        <f>PortfolioFrontier[[#This Row],[P86 Growth]]/PortfolioFrontier[[#This Row],[P86 HWM]]-1</f>
        <v>0</v>
      </c>
      <c r="MI113" s="28">
        <f>SUMPRODUCT(INDEX(PortfolioRef[[SPY]:[PE]],MATCH(MI$1,PortfolioRef[Reference '#]),0),AssetMonthlyReturns[[#This Row],[SPY]:[PE]])</f>
        <v>2.8262428734496338E-2</v>
      </c>
      <c r="MJ113" s="27">
        <f>IF(ISNUMBER(MJ112),MJ112*(1+PortfolioFrontier[[#This Row],[P87 Return]]),1+PortfolioFrontier[[#This Row],[P87 Return]])</f>
        <v>2.0116216332500692</v>
      </c>
      <c r="MK113" s="27">
        <f>MAX(MK112,PortfolioFrontier[[#This Row],[P87 Growth]])</f>
        <v>2.0116216332500692</v>
      </c>
      <c r="ML113" s="27">
        <f>PortfolioFrontier[[#This Row],[P87 Growth]]/PortfolioFrontier[[#This Row],[P87 HWM]]-1</f>
        <v>0</v>
      </c>
      <c r="MM113" s="28">
        <f>SUMPRODUCT(INDEX(PortfolioRef[[SPY]:[PE]],MATCH(MM$1,PortfolioRef[Reference '#]),0),AssetMonthlyReturns[[#This Row],[SPY]:[PE]])</f>
        <v>2.2270444748396307E-2</v>
      </c>
      <c r="MN113" s="27">
        <f>IF(ISNUMBER(MN112),MN112*(1+PortfolioFrontier[[#This Row],[P88 Return]]),1+PortfolioFrontier[[#This Row],[P88 Return]])</f>
        <v>2.1597509712823695</v>
      </c>
      <c r="MO113" s="27">
        <f>MAX(MO112,PortfolioFrontier[[#This Row],[P88 Growth]])</f>
        <v>2.1597509712823695</v>
      </c>
      <c r="MP113" s="27">
        <f>PortfolioFrontier[[#This Row],[P88 Growth]]/PortfolioFrontier[[#This Row],[P88 HWM]]-1</f>
        <v>0</v>
      </c>
      <c r="MQ113" s="28">
        <f>SUMPRODUCT(INDEX(PortfolioRef[[SPY]:[PE]],MATCH(MQ$1,PortfolioRef[Reference '#]),0),AssetMonthlyReturns[[#This Row],[SPY]:[PE]])</f>
        <v>2.5179232471716384E-2</v>
      </c>
      <c r="MR113" s="27">
        <f>IF(ISNUMBER(MR112),MR112*(1+PortfolioFrontier[[#This Row],[P89 Return]]),1+PortfolioFrontier[[#This Row],[P89 Return]])</f>
        <v>2.1539044192963712</v>
      </c>
      <c r="MS113" s="27">
        <f>MAX(MS112,PortfolioFrontier[[#This Row],[P89 Growth]])</f>
        <v>2.1539044192963712</v>
      </c>
      <c r="MT113" s="27">
        <f>PortfolioFrontier[[#This Row],[P89 Growth]]/PortfolioFrontier[[#This Row],[P89 HWM]]-1</f>
        <v>0</v>
      </c>
      <c r="MU113" s="28">
        <f>SUMPRODUCT(INDEX(PortfolioRef[[SPY]:[PE]],MATCH(MU$1,PortfolioRef[Reference '#]),0),AssetMonthlyReturns[[#This Row],[SPY]:[PE]])</f>
        <v>2.8088020195036464E-2</v>
      </c>
      <c r="MV113" s="27">
        <f>IF(ISNUMBER(MV112),MV112*(1+PortfolioFrontier[[#This Row],[P90 Return]]),1+PortfolioFrontier[[#This Row],[P90 Return]])</f>
        <v>2.1462171536655359</v>
      </c>
      <c r="MW113" s="27">
        <f>MAX(MW112,PortfolioFrontier[[#This Row],[P90 Growth]])</f>
        <v>2.1462171536655359</v>
      </c>
      <c r="MX113" s="27">
        <f>PortfolioFrontier[[#This Row],[P90 Growth]]/PortfolioFrontier[[#This Row],[P90 HWM]]-1</f>
        <v>0</v>
      </c>
      <c r="MY113" s="28">
        <f>SUMPRODUCT(INDEX(PortfolioRef[[SPY]:[PE]],MATCH(MY$1,PortfolioRef[Reference '#]),0),AssetMonthlyReturns[[#This Row],[SPY]:[PE]])</f>
        <v>2.1922333174618724E-2</v>
      </c>
      <c r="MZ113" s="27">
        <f>IF(ISNUMBER(MZ112),MZ112*(1+PortfolioFrontier[[#This Row],[P91 Return]]),1+PortfolioFrontier[[#This Row],[P91 Return]])</f>
        <v>2.1066660824484802</v>
      </c>
      <c r="NA113" s="27">
        <f>MAX(NA112,PortfolioFrontier[[#This Row],[P91 Growth]])</f>
        <v>2.1066660824484802</v>
      </c>
      <c r="NB113" s="27">
        <f>PortfolioFrontier[[#This Row],[P91 Growth]]/PortfolioFrontier[[#This Row],[P91 HWM]]-1</f>
        <v>0</v>
      </c>
      <c r="NC113" s="28">
        <f>SUMPRODUCT(INDEX(PortfolioRef[[SPY]:[PE]],MATCH(NC$1,PortfolioRef[Reference '#]),0),AssetMonthlyReturns[[#This Row],[SPY]:[PE]])</f>
        <v>2.4831120897938801E-2</v>
      </c>
      <c r="ND113" s="27">
        <f>IF(ISNUMBER(ND112),ND112*(1+PortfolioFrontier[[#This Row],[P92 Return]]),1+PortfolioFrontier[[#This Row],[P92 Return]])</f>
        <v>2.1023350019017997</v>
      </c>
      <c r="NE113" s="27">
        <f>MAX(NE112,PortfolioFrontier[[#This Row],[P92 Growth]])</f>
        <v>2.1023350019017997</v>
      </c>
      <c r="NF113" s="27">
        <f>PortfolioFrontier[[#This Row],[P92 Growth]]/PortfolioFrontier[[#This Row],[P92 HWM]]-1</f>
        <v>0</v>
      </c>
      <c r="NG113" s="28">
        <f>SUMPRODUCT(INDEX(PortfolioRef[[SPY]:[PE]],MATCH(NG$1,PortfolioRef[Reference '#]),0),AssetMonthlyReturns[[#This Row],[SPY]:[PE]])</f>
        <v>2.7739908621258882E-2</v>
      </c>
      <c r="NH113" s="27">
        <f>IF(ISNUMBER(NH112),NH112*(1+PortfolioFrontier[[#This Row],[P93 Return]]),1+PortfolioFrontier[[#This Row],[P93 Return]])</f>
        <v>2.096193422671691</v>
      </c>
      <c r="NI113" s="27">
        <f>MAX(NI112,PortfolioFrontier[[#This Row],[P93 Growth]])</f>
        <v>2.096193422671691</v>
      </c>
      <c r="NJ113" s="27">
        <f>PortfolioFrontier[[#This Row],[P93 Growth]]/PortfolioFrontier[[#This Row],[P93 HWM]]-1</f>
        <v>0</v>
      </c>
      <c r="NK113" s="28">
        <f>SUMPRODUCT(INDEX(PortfolioRef[[SPY]:[PE]],MATCH(NK$1,PortfolioRef[Reference '#]),0),AssetMonthlyReturns[[#This Row],[SPY]:[PE]])</f>
        <v>2.1574221600841142E-2</v>
      </c>
      <c r="NL113" s="27">
        <f>IF(ISNUMBER(NL112),NL112*(1+PortfolioFrontier[[#This Row],[P94 Return]]),1+PortfolioFrontier[[#This Row],[P94 Return]])</f>
        <v>2.0529319878504371</v>
      </c>
      <c r="NM113" s="27">
        <f>MAX(NM112,PortfolioFrontier[[#This Row],[P94 Growth]])</f>
        <v>2.0529319878504371</v>
      </c>
      <c r="NN113" s="27">
        <f>PortfolioFrontier[[#This Row],[P94 Growth]]/PortfolioFrontier[[#This Row],[P94 HWM]]-1</f>
        <v>0</v>
      </c>
      <c r="NO113" s="28">
        <f>SUMPRODUCT(INDEX(PortfolioRef[[SPY]:[PE]],MATCH(NO$1,PortfolioRef[Reference '#]),0),AssetMonthlyReturns[[#This Row],[SPY]:[PE]])</f>
        <v>2.4483009324161219E-2</v>
      </c>
      <c r="NP113" s="27">
        <f>IF(ISNUMBER(NP112),NP112*(1+PortfolioFrontier[[#This Row],[P95 Return]]),1+PortfolioFrontier[[#This Row],[P95 Return]])</f>
        <v>2.050055470492</v>
      </c>
      <c r="NQ113" s="27">
        <f>MAX(NQ112,PortfolioFrontier[[#This Row],[P95 Growth]])</f>
        <v>2.050055470492</v>
      </c>
      <c r="NR113" s="27">
        <f>PortfolioFrontier[[#This Row],[P95 Growth]]/PortfolioFrontier[[#This Row],[P95 HWM]]-1</f>
        <v>0</v>
      </c>
      <c r="NS113" s="28">
        <f>SUMPRODUCT(INDEX(PortfolioRef[[SPY]:[PE]],MATCH(NS$1,PortfolioRef[Reference '#]),0),AssetMonthlyReturns[[#This Row],[SPY]:[PE]])</f>
        <v>2.7391797047481299E-2</v>
      </c>
      <c r="NT113" s="27">
        <f>IF(ISNUMBER(NT112),NT112*(1+PortfolioFrontier[[#This Row],[P96 Return]]),1+PortfolioFrontier[[#This Row],[P96 Return]])</f>
        <v>2.0454013655888228</v>
      </c>
      <c r="NU113" s="27">
        <f>MAX(NU112,PortfolioFrontier[[#This Row],[P96 Growth]])</f>
        <v>2.0454013655888228</v>
      </c>
      <c r="NV113" s="27">
        <f>PortfolioFrontier[[#This Row],[P96 Growth]]/PortfolioFrontier[[#This Row],[P96 HWM]]-1</f>
        <v>0</v>
      </c>
      <c r="NW113" s="28">
        <f>SUMPRODUCT(INDEX(PortfolioRef[[SPY]:[PE]],MATCH(NW$1,PortfolioRef[Reference '#]),0),AssetMonthlyReturns[[#This Row],[SPY]:[PE]])</f>
        <v>2.4238105000832733E-2</v>
      </c>
      <c r="NX113" s="27">
        <f>IF(ISNUMBER(NX112),NX112*(1+PortfolioFrontier[[#This Row],[P97 Return]]),1+PortfolioFrontier[[#This Row],[P97 Return]])</f>
        <v>1.7848528940523449</v>
      </c>
      <c r="NY113" s="27">
        <f>MAX(NY112,PortfolioFrontier[[#This Row],[P97 Growth]])</f>
        <v>1.7848528940523449</v>
      </c>
      <c r="NZ113" s="27">
        <f>PortfolioFrontier[[#This Row],[P97 Growth]]/PortfolioFrontier[[#This Row],[P97 HWM]]-1</f>
        <v>0</v>
      </c>
      <c r="OA113" s="28">
        <f>SUMPRODUCT(INDEX(PortfolioRef[[SPY]:[PE]],MATCH(OA$1,PortfolioRef[Reference '#]),0),AssetMonthlyReturns[[#This Row],[SPY]:[PE]])</f>
        <v>2.3715584887595276E-2</v>
      </c>
      <c r="OB113" s="27">
        <f>IF(ISNUMBER(OB112),OB112*(1+PortfolioFrontier[[#This Row],[P98 Return]]),1+PortfolioFrontier[[#This Row],[P98 Return]])</f>
        <v>1.8598862443459518</v>
      </c>
      <c r="OC113" s="27">
        <f>MAX(OC112,PortfolioFrontier[[#This Row],[P98 Growth]])</f>
        <v>1.8598862443459518</v>
      </c>
      <c r="OD113" s="27">
        <f>PortfolioFrontier[[#This Row],[P98 Growth]]/PortfolioFrontier[[#This Row],[P98 HWM]]-1</f>
        <v>0</v>
      </c>
      <c r="OE113" s="28">
        <f>SUMPRODUCT(INDEX(PortfolioRef[[SPY]:[PE]],MATCH(OE$1,PortfolioRef[Reference '#]),0),AssetMonthlyReturns[[#This Row],[SPY]:[PE]])</f>
        <v>2.3367473313817697E-2</v>
      </c>
      <c r="OF113" s="27">
        <f>IF(ISNUMBER(OF112),OF112*(1+PortfolioFrontier[[#This Row],[P99 Return]]),1+PortfolioFrontier[[#This Row],[P99 Return]])</f>
        <v>1.8175122935028372</v>
      </c>
      <c r="OG113" s="27">
        <f>MAX(OG112,PortfolioFrontier[[#This Row],[P99 Growth]])</f>
        <v>1.8175122935028372</v>
      </c>
      <c r="OH113" s="27">
        <f>PortfolioFrontier[[#This Row],[P99 Growth]]/PortfolioFrontier[[#This Row],[P99 HWM]]-1</f>
        <v>0</v>
      </c>
      <c r="OI113" s="28">
        <f>SUMPRODUCT(INDEX(PortfolioRef[[SPY]:[PE]],MATCH(OI$1,PortfolioRef[Reference '#]),0),AssetMonthlyReturns[[#This Row],[SPY]:[PE]])</f>
        <v>2.6276261037137771E-2</v>
      </c>
      <c r="OJ113" s="27">
        <f>IF(ISNUMBER(OJ112),OJ112*(1+PortfolioFrontier[[#This Row],[P100 Return]]),1+PortfolioFrontier[[#This Row],[P100 Return]])</f>
        <v>1.809529227578468</v>
      </c>
      <c r="OK113" s="27">
        <f>MAX(OK112,PortfolioFrontier[[#This Row],[P100 Growth]])</f>
        <v>1.809529227578468</v>
      </c>
      <c r="OL113" s="27">
        <f>PortfolioFrontier[[#This Row],[P100 Growth]]/PortfolioFrontier[[#This Row],[P100 HWM]]-1</f>
        <v>0</v>
      </c>
      <c r="OM113" s="28">
        <f>SUMPRODUCT(INDEX(PortfolioRef[[SPY]:[PE]],MATCH(OM$1,PortfolioRef[Reference '#]),0),AssetMonthlyReturns[[#This Row],[SPY]:[PE]])</f>
        <v>2.3193064774357817E-2</v>
      </c>
      <c r="ON113" s="27">
        <f>IF(ISNUMBER(ON112),ON112*(1+PortfolioFrontier[[#This Row],[P101 Return]]),1+PortfolioFrontier[[#This Row],[P101 Return]])</f>
        <v>1.9373852427113389</v>
      </c>
      <c r="OO113" s="27">
        <f>MAX(OO112,PortfolioFrontier[[#This Row],[P101 Growth]])</f>
        <v>1.9373852427113389</v>
      </c>
      <c r="OP113" s="27">
        <f>PortfolioFrontier[[#This Row],[P101 Growth]]/PortfolioFrontier[[#This Row],[P101 HWM]]-1</f>
        <v>0</v>
      </c>
      <c r="OQ113" s="28">
        <f>SUMPRODUCT(INDEX(PortfolioRef[[SPY]:[PE]],MATCH(OQ$1,PortfolioRef[Reference '#]),0),AssetMonthlyReturns[[#This Row],[SPY]:[PE]])</f>
        <v>2.2844953200580238E-2</v>
      </c>
      <c r="OR113" s="27">
        <f>IF(ISNUMBER(OR112),OR112*(1+PortfolioFrontier[[#This Row],[P102 Return]]),1+PortfolioFrontier[[#This Row],[P102 Return]])</f>
        <v>1.8939113200353874</v>
      </c>
      <c r="OS113" s="27">
        <f>MAX(OS112,PortfolioFrontier[[#This Row],[P102 Growth]])</f>
        <v>1.8939113200353874</v>
      </c>
      <c r="OT113" s="27">
        <f>PortfolioFrontier[[#This Row],[P102 Growth]]/PortfolioFrontier[[#This Row],[P102 HWM]]-1</f>
        <v>0</v>
      </c>
      <c r="OU113" s="28">
        <f>SUMPRODUCT(INDEX(PortfolioRef[[SPY]:[PE]],MATCH(OU$1,PortfolioRef[Reference '#]),0),AssetMonthlyReturns[[#This Row],[SPY]:[PE]])</f>
        <v>2.5753740923900311E-2</v>
      </c>
      <c r="OV113" s="27">
        <f>IF(ISNUMBER(OV112),OV112*(1+PortfolioFrontier[[#This Row],[P103 Return]]),1+PortfolioFrontier[[#This Row],[P103 Return]])</f>
        <v>1.8856021837134413</v>
      </c>
      <c r="OW113" s="27">
        <f>MAX(OW112,PortfolioFrontier[[#This Row],[P103 Growth]])</f>
        <v>1.8856021837134413</v>
      </c>
      <c r="OX113" s="27">
        <f>PortfolioFrontier[[#This Row],[P103 Growth]]/PortfolioFrontier[[#This Row],[P103 HWM]]-1</f>
        <v>0</v>
      </c>
      <c r="OY113" s="28">
        <f>SUMPRODUCT(INDEX(PortfolioRef[[SPY]:[PE]],MATCH(OY$1,PortfolioRef[Reference '#]),0),AssetMonthlyReturns[[#This Row],[SPY]:[PE]])</f>
        <v>2.2496841626802655E-2</v>
      </c>
      <c r="OZ113" s="27">
        <f>IF(ISNUMBER(OZ112),OZ112*(1+PortfolioFrontier[[#This Row],[P104 Return]]),1+PortfolioFrontier[[#This Row],[P104 Return]])</f>
        <v>1.8496691290119665</v>
      </c>
      <c r="PA113" s="27">
        <f>MAX(PA112,PortfolioFrontier[[#This Row],[P104 Growth]])</f>
        <v>1.8496691290119665</v>
      </c>
      <c r="PB113" s="27">
        <f>PortfolioFrontier[[#This Row],[P104 Growth]]/PortfolioFrontier[[#This Row],[P104 HWM]]-1</f>
        <v>0</v>
      </c>
      <c r="PC113" s="28">
        <f>SUMPRODUCT(INDEX(PortfolioRef[[SPY]:[PE]],MATCH(PC$1,PortfolioRef[Reference '#]),0),AssetMonthlyReturns[[#This Row],[SPY]:[PE]])</f>
        <v>2.5405629350122732E-2</v>
      </c>
      <c r="PD113" s="27">
        <f>IF(ISNUMBER(PD112),PD112*(1+PortfolioFrontier[[#This Row],[P105 Return]]),1+PortfolioFrontier[[#This Row],[P105 Return]])</f>
        <v>1.842745201416861</v>
      </c>
      <c r="PE113" s="27">
        <f>MAX(PE112,PortfolioFrontier[[#This Row],[P105 Growth]])</f>
        <v>1.842745201416861</v>
      </c>
      <c r="PF113" s="27">
        <f>PortfolioFrontier[[#This Row],[P105 Growth]]/PortfolioFrontier[[#This Row],[P105 HWM]]-1</f>
        <v>0</v>
      </c>
      <c r="PG113" s="28">
        <f>SUMPRODUCT(INDEX(PortfolioRef[[SPY]:[PE]],MATCH(PG$1,PortfolioRef[Reference '#]),0),AssetMonthlyReturns[[#This Row],[SPY]:[PE]])</f>
        <v>2.8314417073442809E-2</v>
      </c>
      <c r="PH113" s="27">
        <f>IF(ISNUMBER(PH112),PH112*(1+PortfolioFrontier[[#This Row],[P106 Return]]),1+PortfolioFrontier[[#This Row],[P106 Return]])</f>
        <v>1.8342646381429011</v>
      </c>
      <c r="PI113" s="27">
        <f>MAX(PI112,PortfolioFrontier[[#This Row],[P106 Growth]])</f>
        <v>1.8342646381429011</v>
      </c>
      <c r="PJ113" s="27">
        <f>PortfolioFrontier[[#This Row],[P106 Growth]]/PortfolioFrontier[[#This Row],[P106 HWM]]-1</f>
        <v>0</v>
      </c>
      <c r="PK113" s="28">
        <f>SUMPRODUCT(INDEX(PortfolioRef[[SPY]:[PE]],MATCH(PK$1,PortfolioRef[Reference '#]),0),AssetMonthlyReturns[[#This Row],[SPY]:[PE]])</f>
        <v>2.2322433087342781E-2</v>
      </c>
      <c r="PL113" s="27">
        <f>IF(ISNUMBER(PL112),PL112*(1+PortfolioFrontier[[#This Row],[P107 Return]]),1+PortfolioFrontier[[#This Row],[P107 Return]])</f>
        <v>1.9728209636218479</v>
      </c>
      <c r="PM113" s="27">
        <f>MAX(PM112,PortfolioFrontier[[#This Row],[P107 Growth]])</f>
        <v>1.9728209636218479</v>
      </c>
      <c r="PN113" s="27">
        <f>PortfolioFrontier[[#This Row],[P107 Growth]]/PortfolioFrontier[[#This Row],[P107 HWM]]-1</f>
        <v>0</v>
      </c>
      <c r="PO113" s="28">
        <f>SUMPRODUCT(INDEX(PortfolioRef[[SPY]:[PE]],MATCH(PO$1,PortfolioRef[Reference '#]),0),AssetMonthlyReturns[[#This Row],[SPY]:[PE]])</f>
        <v>2.5231220810662855E-2</v>
      </c>
      <c r="PP113" s="27">
        <f>IF(ISNUMBER(PP112),PP112*(1+PortfolioFrontier[[#This Row],[P108 Return]]),1+PortfolioFrontier[[#This Row],[P108 Return]])</f>
        <v>1.9641754122807173</v>
      </c>
      <c r="PQ113" s="27">
        <f>MAX(PQ112,PortfolioFrontier[[#This Row],[P108 Growth]])</f>
        <v>1.9641754122807173</v>
      </c>
      <c r="PR113" s="27">
        <f>PortfolioFrontier[[#This Row],[P108 Growth]]/PortfolioFrontier[[#This Row],[P108 HWM]]-1</f>
        <v>0</v>
      </c>
      <c r="PS113" s="28">
        <f>SUMPRODUCT(INDEX(PortfolioRef[[SPY]:[PE]],MATCH(PS$1,PortfolioRef[Reference '#]),0),AssetMonthlyReturns[[#This Row],[SPY]:[PE]])</f>
        <v>2.1974321513565199E-2</v>
      </c>
      <c r="PT113" s="27">
        <f>IF(ISNUMBER(PT112),PT112*(1+PortfolioFrontier[[#This Row],[P109 Return]]),1+PortfolioFrontier[[#This Row],[P109 Return]])</f>
        <v>1.9274131606536535</v>
      </c>
      <c r="PU113" s="27">
        <f>MAX(PU112,PortfolioFrontier[[#This Row],[P109 Growth]])</f>
        <v>1.9274131606536535</v>
      </c>
      <c r="PV113" s="27">
        <f>PortfolioFrontier[[#This Row],[P109 Growth]]/PortfolioFrontier[[#This Row],[P109 HWM]]-1</f>
        <v>0</v>
      </c>
      <c r="PW113" s="28">
        <f>SUMPRODUCT(INDEX(PortfolioRef[[SPY]:[PE]],MATCH(PW$1,PortfolioRef[Reference '#]),0),AssetMonthlyReturns[[#This Row],[SPY]:[PE]])</f>
        <v>2.4883109236885276E-2</v>
      </c>
      <c r="PX113" s="27">
        <f>IF(ISNUMBER(PX112),PX112*(1+PortfolioFrontier[[#This Row],[P110 Return]]),1+PortfolioFrontier[[#This Row],[P110 Return]])</f>
        <v>1.9202071364974327</v>
      </c>
      <c r="PY113" s="27">
        <f>MAX(PY112,PortfolioFrontier[[#This Row],[P110 Growth]])</f>
        <v>1.9202071364974327</v>
      </c>
      <c r="PZ113" s="27">
        <f>PortfolioFrontier[[#This Row],[P110 Growth]]/PortfolioFrontier[[#This Row],[P110 HWM]]-1</f>
        <v>0</v>
      </c>
      <c r="QA113" s="28">
        <f>SUMPRODUCT(INDEX(PortfolioRef[[SPY]:[PE]],MATCH(QA$1,PortfolioRef[Reference '#]),0),AssetMonthlyReturns[[#This Row],[SPY]:[PE]])</f>
        <v>2.7791896960205353E-2</v>
      </c>
      <c r="QB113" s="27">
        <f>IF(ISNUMBER(QB112),QB112*(1+PortfolioFrontier[[#This Row],[P111 Return]]),1+PortfolioFrontier[[#This Row],[P111 Return]])</f>
        <v>1.9113799953906223</v>
      </c>
      <c r="QC113" s="27">
        <f>MAX(QC112,PortfolioFrontier[[#This Row],[P111 Growth]])</f>
        <v>1.9113799953906223</v>
      </c>
      <c r="QD113" s="27">
        <f>PortfolioFrontier[[#This Row],[P111 Growth]]/PortfolioFrontier[[#This Row],[P111 HWM]]-1</f>
        <v>0</v>
      </c>
      <c r="QE113" s="28">
        <f>SUMPRODUCT(INDEX(PortfolioRef[[SPY]:[PE]],MATCH(QE$1,PortfolioRef[Reference '#]),0),AssetMonthlyReturns[[#This Row],[SPY]:[PE]])</f>
        <v>2.1626209939787616E-2</v>
      </c>
      <c r="QF113" s="27">
        <f>IF(ISNUMBER(QF112),QF112*(1+PortfolioFrontier[[#This Row],[P112 Return]]),1+PortfolioFrontier[[#This Row],[P112 Return]])</f>
        <v>1.8812722837184388</v>
      </c>
      <c r="QG113" s="27">
        <f>MAX(QG112,PortfolioFrontier[[#This Row],[P112 Growth]])</f>
        <v>1.8812722837184388</v>
      </c>
      <c r="QH113" s="27">
        <f>PortfolioFrontier[[#This Row],[P112 Growth]]/PortfolioFrontier[[#This Row],[P112 HWM]]-1</f>
        <v>0</v>
      </c>
      <c r="QI113" s="28">
        <f>SUMPRODUCT(INDEX(PortfolioRef[[SPY]:[PE]],MATCH(QI$1,PortfolioRef[Reference '#]),0),AssetMonthlyReturns[[#This Row],[SPY]:[PE]])</f>
        <v>2.4534997663107693E-2</v>
      </c>
      <c r="QJ113" s="27">
        <f>IF(ISNUMBER(QJ112),QJ112*(1+PortfolioFrontier[[#This Row],[P113 Return]]),1+PortfolioFrontier[[#This Row],[P113 Return]])</f>
        <v>1.8754556168226859</v>
      </c>
      <c r="QK113" s="27">
        <f>MAX(QK112,PortfolioFrontier[[#This Row],[P113 Growth]])</f>
        <v>1.8754556168226859</v>
      </c>
      <c r="QL113" s="27">
        <f>PortfolioFrontier[[#This Row],[P113 Growth]]/PortfolioFrontier[[#This Row],[P113 HWM]]-1</f>
        <v>0</v>
      </c>
      <c r="QM113" s="28">
        <f>SUMPRODUCT(INDEX(PortfolioRef[[SPY]:[PE]],MATCH(QM$1,PortfolioRef[Reference '#]),0),AssetMonthlyReturns[[#This Row],[SPY]:[PE]])</f>
        <v>2.7443785386427774E-2</v>
      </c>
      <c r="QN113" s="27">
        <f>IF(ISNUMBER(QN112),QN112*(1+PortfolioFrontier[[#This Row],[P114 Return]]),1+PortfolioFrontier[[#This Row],[P114 Return]])</f>
        <v>1.868041181433576</v>
      </c>
      <c r="QO113" s="27">
        <f>MAX(QO112,PortfolioFrontier[[#This Row],[P114 Growth]])</f>
        <v>1.868041181433576</v>
      </c>
      <c r="QP113" s="27">
        <f>PortfolioFrontier[[#This Row],[P114 Growth]]/PortfolioFrontier[[#This Row],[P114 HWM]]-1</f>
        <v>0</v>
      </c>
      <c r="QQ113" s="28">
        <f>SUMPRODUCT(INDEX(PortfolioRef[[SPY]:[PE]],MATCH(QQ$1,PortfolioRef[Reference '#]),0),AssetMonthlyReturns[[#This Row],[SPY]:[PE]])</f>
        <v>2.1451801400327743E-2</v>
      </c>
      <c r="QR113" s="27">
        <f>IF(ISNUMBER(QR112),QR112*(1+PortfolioFrontier[[#This Row],[P115 Return]]),1+PortfolioFrontier[[#This Row],[P115 Return]])</f>
        <v>2.007712123597218</v>
      </c>
      <c r="QS113" s="27">
        <f>MAX(QS112,PortfolioFrontier[[#This Row],[P115 Growth]])</f>
        <v>2.007712123597218</v>
      </c>
      <c r="QT113" s="27">
        <f>PortfolioFrontier[[#This Row],[P115 Growth]]/PortfolioFrontier[[#This Row],[P115 HWM]]-1</f>
        <v>0</v>
      </c>
      <c r="QU113" s="28">
        <f>SUMPRODUCT(INDEX(PortfolioRef[[SPY]:[PE]],MATCH(QU$1,PortfolioRef[Reference '#]),0),AssetMonthlyReturns[[#This Row],[SPY]:[PE]])</f>
        <v>2.436058912364782E-2</v>
      </c>
      <c r="QV113" s="27">
        <f>IF(ISNUMBER(QV112),QV112*(1+PortfolioFrontier[[#This Row],[P116 Return]]),1+PortfolioFrontier[[#This Row],[P116 Return]])</f>
        <v>2.0002150868902286</v>
      </c>
      <c r="QW113" s="27">
        <f>MAX(QW112,PortfolioFrontier[[#This Row],[P116 Growth]])</f>
        <v>2.0002150868902286</v>
      </c>
      <c r="QX113" s="27">
        <f>PortfolioFrontier[[#This Row],[P116 Growth]]/PortfolioFrontier[[#This Row],[P116 HWM]]-1</f>
        <v>0</v>
      </c>
      <c r="QY113" s="28">
        <f>SUMPRODUCT(INDEX(PortfolioRef[[SPY]:[PE]],MATCH(QY$1,PortfolioRef[Reference '#]),0),AssetMonthlyReturns[[#This Row],[SPY]:[PE]])</f>
        <v>2.7269376846967897E-2</v>
      </c>
      <c r="QZ113" s="27">
        <f>IF(ISNUMBER(QZ112),QZ112*(1+PortfolioFrontier[[#This Row],[P117 Return]]),1+PortfolioFrontier[[#This Row],[P117 Return]])</f>
        <v>1.9910303608290225</v>
      </c>
      <c r="RA113" s="27">
        <f>MAX(RA112,PortfolioFrontier[[#This Row],[P117 Growth]])</f>
        <v>1.9910303608290225</v>
      </c>
      <c r="RB113" s="27">
        <f>PortfolioFrontier[[#This Row],[P117 Growth]]/PortfolioFrontier[[#This Row],[P117 HWM]]-1</f>
        <v>0</v>
      </c>
      <c r="RC113" s="28">
        <f>SUMPRODUCT(INDEX(PortfolioRef[[SPY]:[PE]],MATCH(RC$1,PortfolioRef[Reference '#]),0),AssetMonthlyReturns[[#This Row],[SPY]:[PE]])</f>
        <v>2.110368982655016E-2</v>
      </c>
      <c r="RD113" s="27">
        <f>IF(ISNUMBER(RD112),RD112*(1+PortfolioFrontier[[#This Row],[P118 Return]]),1+PortfolioFrontier[[#This Row],[P118 Return]])</f>
        <v>1.9603385443999817</v>
      </c>
      <c r="RE113" s="27">
        <f>MAX(RE112,PortfolioFrontier[[#This Row],[P118 Growth]])</f>
        <v>1.9603385443999817</v>
      </c>
      <c r="RF113" s="27">
        <f>PortfolioFrontier[[#This Row],[P118 Growth]]/PortfolioFrontier[[#This Row],[P118 HWM]]-1</f>
        <v>0</v>
      </c>
      <c r="RG113" s="28">
        <f>SUMPRODUCT(INDEX(PortfolioRef[[SPY]:[PE]],MATCH(RG$1,PortfolioRef[Reference '#]),0),AssetMonthlyReturns[[#This Row],[SPY]:[PE]])</f>
        <v>2.4012477549870237E-2</v>
      </c>
      <c r="RH113" s="27">
        <f>IF(ISNUMBER(RH112),RH112*(1+PortfolioFrontier[[#This Row],[P119 Return]]),1+PortfolioFrontier[[#This Row],[P119 Return]])</f>
        <v>1.9542857382465</v>
      </c>
      <c r="RI113" s="27">
        <f>MAX(RI112,PortfolioFrontier[[#This Row],[P119 Growth]])</f>
        <v>1.9542857382465</v>
      </c>
      <c r="RJ113" s="27">
        <f>PortfolioFrontier[[#This Row],[P119 Growth]]/PortfolioFrontier[[#This Row],[P119 HWM]]-1</f>
        <v>0</v>
      </c>
      <c r="RK113" s="28">
        <f>SUMPRODUCT(INDEX(PortfolioRef[[SPY]:[PE]],MATCH(RK$1,PortfolioRef[Reference '#]),0),AssetMonthlyReturns[[#This Row],[SPY]:[PE]])</f>
        <v>2.6921265273190317E-2</v>
      </c>
      <c r="RL113" s="27">
        <f>IF(ISNUMBER(RL112),RL112*(1+PortfolioFrontier[[#This Row],[P120 Return]]),1+PortfolioFrontier[[#This Row],[P120 Return]])</f>
        <v>1.9465689934759234</v>
      </c>
      <c r="RM113" s="27">
        <f>MAX(RM112,PortfolioFrontier[[#This Row],[P120 Growth]])</f>
        <v>1.9465689934759234</v>
      </c>
      <c r="RN113" s="27">
        <f>PortfolioFrontier[[#This Row],[P120 Growth]]/PortfolioFrontier[[#This Row],[P120 HWM]]-1</f>
        <v>0</v>
      </c>
      <c r="RO113" s="28">
        <f>SUMPRODUCT(INDEX(PortfolioRef[[SPY]:[PE]],MATCH(RO$1,PortfolioRef[Reference '#]),0),AssetMonthlyReturns[[#This Row],[SPY]:[PE]])</f>
        <v>2.0755578252772577E-2</v>
      </c>
      <c r="RP113" s="27">
        <f>IF(ISNUMBER(RP112),RP112*(1+PortfolioFrontier[[#This Row],[P121 Return]]),1+PortfolioFrontier[[#This Row],[P121 Return]])</f>
        <v>1.9122703466078825</v>
      </c>
      <c r="RQ113" s="27">
        <f>MAX(RQ112,PortfolioFrontier[[#This Row],[P121 Growth]])</f>
        <v>1.9122703466078825</v>
      </c>
      <c r="RR113" s="27">
        <f>PortfolioFrontier[[#This Row],[P121 Growth]]/PortfolioFrontier[[#This Row],[P121 HWM]]-1</f>
        <v>0</v>
      </c>
      <c r="RS113" s="28">
        <f>SUMPRODUCT(INDEX(PortfolioRef[[SPY]:[PE]],MATCH(RS$1,PortfolioRef[Reference '#]),0),AssetMonthlyReturns[[#This Row],[SPY]:[PE]])</f>
        <v>2.3664365976092654E-2</v>
      </c>
      <c r="RT113" s="27">
        <f>IF(ISNUMBER(RT112),RT112*(1+PortfolioFrontier[[#This Row],[P122 Return]]),1+PortfolioFrontier[[#This Row],[P122 Return]])</f>
        <v>1.9076085829028775</v>
      </c>
      <c r="RU113" s="27">
        <f>MAX(RU112,PortfolioFrontier[[#This Row],[P122 Growth]])</f>
        <v>1.9076085829028775</v>
      </c>
      <c r="RV113" s="27">
        <f>PortfolioFrontier[[#This Row],[P122 Growth]]/PortfolioFrontier[[#This Row],[P122 HWM]]-1</f>
        <v>0</v>
      </c>
      <c r="RW113" s="28">
        <f>SUMPRODUCT(INDEX(PortfolioRef[[SPY]:[PE]],MATCH(RW$1,PortfolioRef[Reference '#]),0),AssetMonthlyReturns[[#This Row],[SPY]:[PE]])</f>
        <v>2.6573153699412735E-2</v>
      </c>
      <c r="RX113" s="27">
        <f>IF(ISNUMBER(RX112),RX112*(1+PortfolioFrontier[[#This Row],[P123 Return]]),1+PortfolioFrontier[[#This Row],[P123 Return]])</f>
        <v>1.9013092653690058</v>
      </c>
      <c r="RY113" s="27">
        <f>MAX(RY112,PortfolioFrontier[[#This Row],[P123 Growth]])</f>
        <v>1.9013092653690058</v>
      </c>
      <c r="RZ113" s="27">
        <f>PortfolioFrontier[[#This Row],[P123 Growth]]/PortfolioFrontier[[#This Row],[P123 HWM]]-1</f>
        <v>0</v>
      </c>
      <c r="SA113" s="28">
        <f>SUMPRODUCT(INDEX(PortfolioRef[[SPY]:[PE]],MATCH(SA$1,PortfolioRef[Reference '#]),0),AssetMonthlyReturns[[#This Row],[SPY]:[PE]])</f>
        <v>2.0581169713312704E-2</v>
      </c>
      <c r="SB113" s="27">
        <f>IF(ISNUMBER(SB112),SB112*(1+PortfolioFrontier[[#This Row],[P124 Return]]),1+PortfolioFrontier[[#This Row],[P124 Return]])</f>
        <v>2.0420033278183283</v>
      </c>
      <c r="SC113" s="27">
        <f>MAX(SC112,PortfolioFrontier[[#This Row],[P124 Growth]])</f>
        <v>2.0420033278183283</v>
      </c>
      <c r="SD113" s="27">
        <f>PortfolioFrontier[[#This Row],[P124 Growth]]/PortfolioFrontier[[#This Row],[P124 HWM]]-1</f>
        <v>0</v>
      </c>
      <c r="SE113" s="28">
        <f>SUMPRODUCT(INDEX(PortfolioRef[[SPY]:[PE]],MATCH(SE$1,PortfolioRef[Reference '#]),0),AssetMonthlyReturns[[#This Row],[SPY]:[PE]])</f>
        <v>2.3489957436632781E-2</v>
      </c>
      <c r="SF113" s="27">
        <f>IF(ISNUMBER(SF112),SF112*(1+PortfolioFrontier[[#This Row],[P125 Return]]),1+PortfolioFrontier[[#This Row],[P125 Return]])</f>
        <v>2.0357069593307813</v>
      </c>
      <c r="SG113" s="27">
        <f>MAX(SG112,PortfolioFrontier[[#This Row],[P125 Growth]])</f>
        <v>2.0357069593307813</v>
      </c>
      <c r="SH113" s="27">
        <f>PortfolioFrontier[[#This Row],[P125 Growth]]/PortfolioFrontier[[#This Row],[P125 HWM]]-1</f>
        <v>0</v>
      </c>
      <c r="SI113" s="28">
        <f>SUMPRODUCT(INDEX(PortfolioRef[[SPY]:[PE]],MATCH(SI$1,PortfolioRef[Reference '#]),0),AssetMonthlyReturns[[#This Row],[SPY]:[PE]])</f>
        <v>2.6398745159952858E-2</v>
      </c>
      <c r="SJ113" s="27">
        <f>IF(ISNUMBER(SJ112),SJ112*(1+PortfolioFrontier[[#This Row],[P126 Return]]),1+PortfolioFrontier[[#This Row],[P126 Return]])</f>
        <v>2.0276783365650193</v>
      </c>
      <c r="SK113" s="27">
        <f>MAX(SK112,PortfolioFrontier[[#This Row],[P126 Growth]])</f>
        <v>2.0276783365650193</v>
      </c>
      <c r="SL113" s="27">
        <f>PortfolioFrontier[[#This Row],[P126 Growth]]/PortfolioFrontier[[#This Row],[P126 HWM]]-1</f>
        <v>0</v>
      </c>
      <c r="SM113" s="28">
        <f>SUMPRODUCT(INDEX(PortfolioRef[[SPY]:[PE]],MATCH(SM$1,PortfolioRef[Reference '#]),0),AssetMonthlyReturns[[#This Row],[SPY]:[PE]])</f>
        <v>2.0233058139535121E-2</v>
      </c>
      <c r="SN113" s="27">
        <f>IF(ISNUMBER(SN112),SN112*(1+PortfolioFrontier[[#This Row],[P127 Return]]),1+PortfolioFrontier[[#This Row],[P127 Return]])</f>
        <v>1.9926339427023509</v>
      </c>
      <c r="SO113" s="27">
        <f>MAX(SO112,PortfolioFrontier[[#This Row],[P127 Growth]])</f>
        <v>1.9926339427023509</v>
      </c>
      <c r="SP113" s="27">
        <f>PortfolioFrontier[[#This Row],[P127 Growth]]/PortfolioFrontier[[#This Row],[P127 HWM]]-1</f>
        <v>0</v>
      </c>
      <c r="SQ113" s="28">
        <f>SUMPRODUCT(INDEX(PortfolioRef[[SPY]:[PE]],MATCH(SQ$1,PortfolioRef[Reference '#]),0),AssetMonthlyReturns[[#This Row],[SPY]:[PE]])</f>
        <v>2.3141845862855198E-2</v>
      </c>
      <c r="SR113" s="27">
        <f>IF(ISNUMBER(SR112),SR112*(1+PortfolioFrontier[[#This Row],[P128 Return]]),1+PortfolioFrontier[[#This Row],[P128 Return]])</f>
        <v>1.9877839612823103</v>
      </c>
      <c r="SS113" s="27">
        <f>MAX(SS112,PortfolioFrontier[[#This Row],[P128 Growth]])</f>
        <v>1.9877839612823103</v>
      </c>
      <c r="ST113" s="27">
        <f>PortfolioFrontier[[#This Row],[P128 Growth]]/PortfolioFrontier[[#This Row],[P128 HWM]]-1</f>
        <v>0</v>
      </c>
      <c r="SU113" s="28">
        <f>SUMPRODUCT(INDEX(PortfolioRef[[SPY]:[PE]],MATCH(SU$1,PortfolioRef[Reference '#]),0),AssetMonthlyReturns[[#This Row],[SPY]:[PE]])</f>
        <v>2.6050633586175279E-2</v>
      </c>
      <c r="SV113" s="27">
        <f>IF(ISNUMBER(SV112),SV112*(1+PortfolioFrontier[[#This Row],[P129 Return]]),1+PortfolioFrontier[[#This Row],[P129 Return]])</f>
        <v>1.9812286219972368</v>
      </c>
      <c r="SW113" s="27">
        <f>MAX(SW112,PortfolioFrontier[[#This Row],[P129 Growth]])</f>
        <v>1.9812286219972368</v>
      </c>
      <c r="SX113" s="27">
        <f>PortfolioFrontier[[#This Row],[P129 Growth]]/PortfolioFrontier[[#This Row],[P129 HWM]]-1</f>
        <v>0</v>
      </c>
      <c r="SY113" s="28">
        <f>SUMPRODUCT(INDEX(PortfolioRef[[SPY]:[PE]],MATCH(SY$1,PortfolioRef[Reference '#]),0),AssetMonthlyReturns[[#This Row],[SPY]:[PE]])</f>
        <v>1.9884946565757539E-2</v>
      </c>
      <c r="SZ113" s="27">
        <f>IF(ISNUMBER(SZ112),SZ112*(1+PortfolioFrontier[[#This Row],[P130 Return]]),1+PortfolioFrontier[[#This Row],[P130 Return]])</f>
        <v>1.9426117179633302</v>
      </c>
      <c r="TA113" s="27">
        <f>MAX(TA112,PortfolioFrontier[[#This Row],[P130 Growth]])</f>
        <v>1.9426117179633302</v>
      </c>
      <c r="TB113" s="27">
        <f>PortfolioFrontier[[#This Row],[P130 Growth]]/PortfolioFrontier[[#This Row],[P130 HWM]]-1</f>
        <v>0</v>
      </c>
      <c r="TC113" s="28">
        <f>SUMPRODUCT(INDEX(PortfolioRef[[SPY]:[PE]],MATCH(TC$1,PortfolioRef[Reference '#]),0),AssetMonthlyReturns[[#This Row],[SPY]:[PE]])</f>
        <v>2.2793734289077616E-2</v>
      </c>
      <c r="TD113" s="27">
        <f>IF(ISNUMBER(TD112),TD112*(1+PortfolioFrontier[[#This Row],[P131 Return]]),1+PortfolioFrontier[[#This Row],[P131 Return]])</f>
        <v>1.939151899759834</v>
      </c>
      <c r="TE113" s="27">
        <f>MAX(TE112,PortfolioFrontier[[#This Row],[P131 Growth]])</f>
        <v>1.939151899759834</v>
      </c>
      <c r="TF113" s="27">
        <f>PortfolioFrontier[[#This Row],[P131 Growth]]/PortfolioFrontier[[#This Row],[P131 HWM]]-1</f>
        <v>0</v>
      </c>
      <c r="TG113" s="28">
        <f>SUMPRODUCT(INDEX(PortfolioRef[[SPY]:[PE]],MATCH(TG$1,PortfolioRef[Reference '#]),0),AssetMonthlyReturns[[#This Row],[SPY]:[PE]])</f>
        <v>2.5702522012397696E-2</v>
      </c>
      <c r="TH113" s="27">
        <f>IF(ISNUMBER(TH112),TH112*(1+PortfolioFrontier[[#This Row],[P132 Return]]),1+PortfolioFrontier[[#This Row],[P132 Return]])</f>
        <v>1.934016221483468</v>
      </c>
      <c r="TI113" s="27">
        <f>MAX(TI112,PortfolioFrontier[[#This Row],[P132 Growth]])</f>
        <v>1.934016221483468</v>
      </c>
      <c r="TJ113" s="27">
        <f>PortfolioFrontier[[#This Row],[P132 Growth]]/PortfolioFrontier[[#This Row],[P132 HWM]]-1</f>
        <v>0</v>
      </c>
      <c r="TK113" s="28">
        <f>SUMPRODUCT(INDEX(PortfolioRef[[SPY]:[PE]],MATCH(TK$1,PortfolioRef[Reference '#]),0),AssetMonthlyReturns[[#This Row],[SPY]:[PE]])</f>
        <v>1.9710538026297665E-2</v>
      </c>
      <c r="TL113" s="27">
        <f>IF(ISNUMBER(TL112),TL112*(1+PortfolioFrontier[[#This Row],[P133 Return]]),1+PortfolioFrontier[[#This Row],[P133 Return]])</f>
        <v>2.0756388616274135</v>
      </c>
      <c r="TM113" s="27">
        <f>MAX(TM112,PortfolioFrontier[[#This Row],[P133 Growth]])</f>
        <v>2.0756388616274135</v>
      </c>
      <c r="TN113" s="27">
        <f>PortfolioFrontier[[#This Row],[P133 Growth]]/PortfolioFrontier[[#This Row],[P133 HWM]]-1</f>
        <v>0</v>
      </c>
      <c r="TO113" s="28">
        <f>SUMPRODUCT(INDEX(PortfolioRef[[SPY]:[PE]],MATCH(TO$1,PortfolioRef[Reference '#]),0),AssetMonthlyReturns[[#This Row],[SPY]:[PE]])</f>
        <v>2.2619325749617739E-2</v>
      </c>
      <c r="TP113" s="27">
        <f>IF(ISNUMBER(TP112),TP112*(1+PortfolioFrontier[[#This Row],[P134 Return]]),1+PortfolioFrontier[[#This Row],[P134 Return]])</f>
        <v>2.0705947960222639</v>
      </c>
      <c r="TQ113" s="27">
        <f>MAX(TQ112,PortfolioFrontier[[#This Row],[P134 Growth]])</f>
        <v>2.0705947960222639</v>
      </c>
      <c r="TR113" s="27">
        <f>PortfolioFrontier[[#This Row],[P134 Growth]]/PortfolioFrontier[[#This Row],[P134 HWM]]-1</f>
        <v>0</v>
      </c>
      <c r="TS113" s="28">
        <f>SUMPRODUCT(INDEX(PortfolioRef[[SPY]:[PE]],MATCH(TS$1,PortfolioRef[Reference '#]),0),AssetMonthlyReturns[[#This Row],[SPY]:[PE]])</f>
        <v>2.5528113472937819E-2</v>
      </c>
      <c r="TT113" s="27">
        <f>IF(ISNUMBER(TT112),TT112*(1+PortfolioFrontier[[#This Row],[P135 Return]]),1+PortfolioFrontier[[#This Row],[P135 Return]])</f>
        <v>2.0637753703242541</v>
      </c>
      <c r="TU113" s="27">
        <f>MAX(TU112,PortfolioFrontier[[#This Row],[P135 Growth]])</f>
        <v>2.0637753703242541</v>
      </c>
      <c r="TV113" s="27">
        <f>PortfolioFrontier[[#This Row],[P135 Growth]]/PortfolioFrontier[[#This Row],[P135 HWM]]-1</f>
        <v>0</v>
      </c>
      <c r="TW113" s="28">
        <f>SUMPRODUCT(INDEX(PortfolioRef[[SPY]:[PE]],MATCH(TW$1,PortfolioRef[Reference '#]),0),AssetMonthlyReturns[[#This Row],[SPY]:[PE]])</f>
        <v>1.9362426452520082E-2</v>
      </c>
      <c r="TX113" s="27">
        <f>IF(ISNUMBER(TX112),TX112*(1+PortfolioFrontier[[#This Row],[P136 Return]]),1+PortfolioFrontier[[#This Row],[P136 Return]])</f>
        <v>2.024245629930733</v>
      </c>
      <c r="TY113" s="27">
        <f>MAX(TY112,PortfolioFrontier[[#This Row],[P136 Growth]])</f>
        <v>2.024245629930733</v>
      </c>
      <c r="TZ113" s="27">
        <f>PortfolioFrontier[[#This Row],[P136 Growth]]/PortfolioFrontier[[#This Row],[P136 HWM]]-1</f>
        <v>0</v>
      </c>
      <c r="UA113" s="28">
        <f>SUMPRODUCT(INDEX(PortfolioRef[[SPY]:[PE]],MATCH(UA$1,PortfolioRef[Reference '#]),0),AssetMonthlyReturns[[#This Row],[SPY]:[PE]])</f>
        <v>2.2271214175840159E-2</v>
      </c>
      <c r="UB113" s="27">
        <f>IF(ISNUMBER(UB112),UB112*(1+PortfolioFrontier[[#This Row],[P137 Return]]),1+PortfolioFrontier[[#This Row],[P137 Return]])</f>
        <v>2.0206474556880369</v>
      </c>
      <c r="UC113" s="27">
        <f>MAX(UC112,PortfolioFrontier[[#This Row],[P137 Growth]])</f>
        <v>2.0206474556880369</v>
      </c>
      <c r="UD113" s="27">
        <f>PortfolioFrontier[[#This Row],[P137 Growth]]/PortfolioFrontier[[#This Row],[P137 HWM]]-1</f>
        <v>0</v>
      </c>
      <c r="UE113" s="28">
        <f>SUMPRODUCT(INDEX(PortfolioRef[[SPY]:[PE]],MATCH(UE$1,PortfolioRef[Reference '#]),0),AssetMonthlyReturns[[#This Row],[SPY]:[PE]])</f>
        <v>2.518000189916024E-2</v>
      </c>
      <c r="UF113" s="27">
        <f>IF(ISNUMBER(UF112),UF112*(1+PortfolioFrontier[[#This Row],[P138 Return]]),1+PortfolioFrontier[[#This Row],[P138 Return]])</f>
        <v>2.01530404370616</v>
      </c>
      <c r="UG113" s="27">
        <f>MAX(UG112,PortfolioFrontier[[#This Row],[P138 Growth]])</f>
        <v>2.01530404370616</v>
      </c>
      <c r="UH113" s="27">
        <f>PortfolioFrontier[[#This Row],[P138 Growth]]/PortfolioFrontier[[#This Row],[P138 HWM]]-1</f>
        <v>0</v>
      </c>
      <c r="UI113" s="28">
        <f>SUMPRODUCT(INDEX(PortfolioRef[[SPY]:[PE]],MATCH(UI$1,PortfolioRef[Reference '#]),0),AssetMonthlyReturns[[#This Row],[SPY]:[PE]])</f>
        <v>1.90143148787425E-2</v>
      </c>
      <c r="UJ113" s="27">
        <f>IF(ISNUMBER(UJ112),UJ112*(1+PortfolioFrontier[[#This Row],[P139 Return]]),1+PortfolioFrontier[[#This Row],[P139 Return]])</f>
        <v>1.9722447180899731</v>
      </c>
      <c r="UK113" s="27">
        <f>MAX(UK112,PortfolioFrontier[[#This Row],[P139 Growth]])</f>
        <v>1.9722447180899731</v>
      </c>
      <c r="UL113" s="27">
        <f>PortfolioFrontier[[#This Row],[P139 Growth]]/PortfolioFrontier[[#This Row],[P139 HWM]]-1</f>
        <v>0</v>
      </c>
      <c r="UM113" s="28">
        <f>SUMPRODUCT(INDEX(PortfolioRef[[SPY]:[PE]],MATCH(UM$1,PortfolioRef[Reference '#]),0),AssetMonthlyReturns[[#This Row],[SPY]:[PE]])</f>
        <v>2.1923102602062577E-2</v>
      </c>
      <c r="UN113" s="27">
        <f>IF(ISNUMBER(UN112),UN112*(1+PortfolioFrontier[[#This Row],[P140 Return]]),1+PortfolioFrontier[[#This Row],[P140 Return]])</f>
        <v>1.9700331652890719</v>
      </c>
      <c r="UO113" s="27">
        <f>MAX(UO112,PortfolioFrontier[[#This Row],[P140 Growth]])</f>
        <v>1.9700331652890719</v>
      </c>
      <c r="UP113" s="27">
        <f>PortfolioFrontier[[#This Row],[P140 Growth]]/PortfolioFrontier[[#This Row],[P140 HWM]]-1</f>
        <v>0</v>
      </c>
      <c r="UQ113" s="28">
        <f>SUMPRODUCT(INDEX(PortfolioRef[[SPY]:[PE]],MATCH(UQ$1,PortfolioRef[Reference '#]),0),AssetMonthlyReturns[[#This Row],[SPY]:[PE]])</f>
        <v>2.4831890325382654E-2</v>
      </c>
      <c r="UR113" s="27">
        <f>IF(ISNUMBER(UR112),UR112*(1+PortfolioFrontier[[#This Row],[P141 Return]]),1+PortfolioFrontier[[#This Row],[P141 Return]])</f>
        <v>1.9661090571462863</v>
      </c>
      <c r="US113" s="27">
        <f>MAX(US112,PortfolioFrontier[[#This Row],[P141 Growth]])</f>
        <v>1.9661090571462863</v>
      </c>
      <c r="UT113" s="27">
        <f>PortfolioFrontier[[#This Row],[P141 Growth]]/PortfolioFrontier[[#This Row],[P141 HWM]]-1</f>
        <v>0</v>
      </c>
    </row>
    <row r="114" spans="2:566" x14ac:dyDescent="0.2">
      <c r="B114" s="41">
        <f>AssetMonthlyReturns[[#This Row],[Date]]</f>
        <v>45839</v>
      </c>
      <c r="C114" s="28">
        <f>SUMPRODUCT(INDEX(PortfolioRef[[SPY]:[PE]],MATCH(C$1,PortfolioRef[Reference '#]),0),AssetMonthlyReturns[[#This Row],[SPY]:[PE]])</f>
        <v>1.4618022117144224E-2</v>
      </c>
      <c r="D114" s="29">
        <f>IF(ISNUMBER(D113),D113*(1+PortfolioFrontier[[#This Row],[P1 Return]]),1+PortfolioFrontier[[#This Row],[P1 Return]])</f>
        <v>2.5339139521039038</v>
      </c>
      <c r="E114" s="29">
        <f>MAX(E113,PortfolioFrontier[[#This Row],[P1 Growth]])</f>
        <v>2.5339139521039038</v>
      </c>
      <c r="F114" s="29">
        <f>PortfolioFrontier[[#This Row],[P1 Growth]]/PortfolioFrontier[[#This Row],[P1 HWM]]-1</f>
        <v>0</v>
      </c>
      <c r="G114" s="28">
        <f>SUMPRODUCT(INDEX(PortfolioRef[[SPY]:[PE]],MATCH(G$1,PortfolioRef[Reference '#]),0),AssetMonthlyReturns[[#This Row],[SPY]:[PE]])</f>
        <v>1.3187415673601609E-2</v>
      </c>
      <c r="H114" s="27">
        <f>IF(ISNUMBER(H113),H113*(1+PortfolioFrontier[[#This Row],[P2 Return]]),1+PortfolioFrontier[[#This Row],[P2 Return]])</f>
        <v>2.3955998681351192</v>
      </c>
      <c r="I114" s="27">
        <f>MAX(I113,PortfolioFrontier[[#This Row],[P2 Growth]])</f>
        <v>2.3955998681351192</v>
      </c>
      <c r="J114" s="27">
        <f>PortfolioFrontier[[#This Row],[P2 Growth]]/PortfolioFrontier[[#This Row],[P2 HWM]]-1</f>
        <v>0</v>
      </c>
      <c r="K114" s="28">
        <f>SUMPRODUCT(INDEX(PortfolioRef[[SPY]:[PE]],MATCH(K$1,PortfolioRef[Reference '#]),0),AssetMonthlyReturns[[#This Row],[SPY]:[PE]])</f>
        <v>1.3008803771021853E-2</v>
      </c>
      <c r="L114" s="27">
        <f>IF(ISNUMBER(L113),L113*(1+PortfolioFrontier[[#This Row],[P3 Return]]),1+PortfolioFrontier[[#This Row],[P3 Return]])</f>
        <v>2.4959648397386838</v>
      </c>
      <c r="M114" s="27">
        <f>MAX(M113,PortfolioFrontier[[#This Row],[P3 Growth]])</f>
        <v>2.4959648397386838</v>
      </c>
      <c r="N114" s="27">
        <f>PortfolioFrontier[[#This Row],[P3 Growth]]/PortfolioFrontier[[#This Row],[P3 HWM]]-1</f>
        <v>0</v>
      </c>
      <c r="O114" s="28">
        <f>SUMPRODUCT(INDEX(PortfolioRef[[SPY]:[PE]],MATCH(O$1,PortfolioRef[Reference '#]),0),AssetMonthlyReturns[[#This Row],[SPY]:[PE]])</f>
        <v>1.3852104987416569E-2</v>
      </c>
      <c r="P114" s="27">
        <f>IF(ISNUMBER(P113),P113*(1+PortfolioFrontier[[#This Row],[P4 Return]]),1+PortfolioFrontier[[#This Row],[P4 Return]])</f>
        <v>2.4361320850221442</v>
      </c>
      <c r="Q114" s="27">
        <f>MAX(Q113,PortfolioFrontier[[#This Row],[P4 Growth]])</f>
        <v>2.4361320850221442</v>
      </c>
      <c r="R114" s="27">
        <f>PortfolioFrontier[[#This Row],[P4 Growth]]/PortfolioFrontier[[#This Row],[P4 HWM]]-1</f>
        <v>0</v>
      </c>
      <c r="S114" s="28">
        <f>SUMPRODUCT(INDEX(PortfolioRef[[SPY]:[PE]],MATCH(S$1,PortfolioRef[Reference '#]),0),AssetMonthlyReturns[[#This Row],[SPY]:[PE]])</f>
        <v>1.3423170357088454E-2</v>
      </c>
      <c r="T114" s="27">
        <f>IF(ISNUMBER(T113),T113*(1+PortfolioFrontier[[#This Row],[P5 Return]]),1+PortfolioFrontier[[#This Row],[P5 Return]])</f>
        <v>2.4289779709843309</v>
      </c>
      <c r="U114" s="27">
        <f>MAX(U113,PortfolioFrontier[[#This Row],[P5 Growth]])</f>
        <v>2.4289779709843309</v>
      </c>
      <c r="V114" s="27">
        <f>PortfolioFrontier[[#This Row],[P5 Growth]]/PortfolioFrontier[[#This Row],[P5 HWM]]-1</f>
        <v>0</v>
      </c>
      <c r="W114" s="28">
        <f>SUMPRODUCT(INDEX(PortfolioRef[[SPY]:[PE]],MATCH(W$1,PortfolioRef[Reference '#]),0),AssetMonthlyReturns[[#This Row],[SPY]:[PE]])</f>
        <v>1.1756809230058994E-2</v>
      </c>
      <c r="X114" s="27">
        <f>IF(ISNUMBER(X113),X113*(1+PortfolioFrontier[[#This Row],[P6 Return]]),1+PortfolioFrontier[[#This Row],[P6 Return]])</f>
        <v>2.2636850387798422</v>
      </c>
      <c r="Y114" s="27">
        <f>MAX(Y113,PortfolioFrontier[[#This Row],[P6 Growth]])</f>
        <v>2.2636850387798422</v>
      </c>
      <c r="Z114" s="27">
        <f>PortfolioFrontier[[#This Row],[P6 Growth]]/PortfolioFrontier[[#This Row],[P6 HWM]]-1</f>
        <v>0</v>
      </c>
      <c r="AA114" s="28">
        <f>SUMPRODUCT(INDEX(PortfolioRef[[SPY]:[PE]],MATCH(AA$1,PortfolioRef[Reference '#]),0),AssetMonthlyReturns[[#This Row],[SPY]:[PE]])</f>
        <v>1.1578197327479238E-2</v>
      </c>
      <c r="AB114" s="27">
        <f>IF(ISNUMBER(AB113),AB113*(1+PortfolioFrontier[[#This Row],[P7 Return]]),1+PortfolioFrontier[[#This Row],[P7 Return]])</f>
        <v>2.3585026968333627</v>
      </c>
      <c r="AC114" s="27">
        <f>MAX(AC113,PortfolioFrontier[[#This Row],[P7 Growth]])</f>
        <v>2.3585026968333627</v>
      </c>
      <c r="AD114" s="27">
        <f>PortfolioFrontier[[#This Row],[P7 Growth]]/PortfolioFrontier[[#This Row],[P7 HWM]]-1</f>
        <v>0</v>
      </c>
      <c r="AE114" s="28">
        <f>SUMPRODUCT(INDEX(PortfolioRef[[SPY]:[PE]],MATCH(AE$1,PortfolioRef[Reference '#]),0),AssetMonthlyReturns[[#This Row],[SPY]:[PE]])</f>
        <v>1.2421498543873954E-2</v>
      </c>
      <c r="AF114" s="27">
        <f>IF(ISNUMBER(AF113),AF113*(1+PortfolioFrontier[[#This Row],[P8 Return]]),1+PortfolioFrontier[[#This Row],[P8 Return]])</f>
        <v>2.3029161040602499</v>
      </c>
      <c r="AG114" s="27">
        <f>MAX(AG113,PortfolioFrontier[[#This Row],[P8 Growth]])</f>
        <v>2.3029161040602499</v>
      </c>
      <c r="AH114" s="27">
        <f>PortfolioFrontier[[#This Row],[P8 Growth]]/PortfolioFrontier[[#This Row],[P8 HWM]]-1</f>
        <v>0</v>
      </c>
      <c r="AI114" s="28">
        <f>SUMPRODUCT(INDEX(PortfolioRef[[SPY]:[PE]],MATCH(AI$1,PortfolioRef[Reference '#]),0),AssetMonthlyReturns[[#This Row],[SPY]:[PE]])</f>
        <v>1.1992563913545839E-2</v>
      </c>
      <c r="AJ114" s="27">
        <f>IF(ISNUMBER(AJ113),AJ113*(1+PortfolioFrontier[[#This Row],[P9 Return]]),1+PortfolioFrontier[[#This Row],[P9 Return]])</f>
        <v>2.295283821500985</v>
      </c>
      <c r="AK114" s="27">
        <f>MAX(AK113,PortfolioFrontier[[#This Row],[P9 Growth]])</f>
        <v>2.295283821500985</v>
      </c>
      <c r="AL114" s="27">
        <f>PortfolioFrontier[[#This Row],[P9 Growth]]/PortfolioFrontier[[#This Row],[P9 HWM]]-1</f>
        <v>0</v>
      </c>
      <c r="AM114" s="28">
        <f>SUMPRODUCT(INDEX(PortfolioRef[[SPY]:[PE]],MATCH(AM$1,PortfolioRef[Reference '#]),0),AssetMonthlyReturns[[#This Row],[SPY]:[PE]])</f>
        <v>1.1399585424899482E-2</v>
      </c>
      <c r="AN114" s="27">
        <f>IF(ISNUMBER(AN113),AN113*(1+PortfolioFrontier[[#This Row],[P10 Return]]),1+PortfolioFrontier[[#This Row],[P10 Return]])</f>
        <v>2.4564230692809499</v>
      </c>
      <c r="AO114" s="27">
        <f>MAX(AO113,PortfolioFrontier[[#This Row],[P10 Growth]])</f>
        <v>2.4564230692809499</v>
      </c>
      <c r="AP114" s="27">
        <f>PortfolioFrontier[[#This Row],[P10 Growth]]/PortfolioFrontier[[#This Row],[P10 HWM]]-1</f>
        <v>0</v>
      </c>
      <c r="AQ114" s="28">
        <f>SUMPRODUCT(INDEX(PortfolioRef[[SPY]:[PE]],MATCH(AQ$1,PortfolioRef[Reference '#]),0),AssetMonthlyReturns[[#This Row],[SPY]:[PE]])</f>
        <v>1.2242886641294198E-2</v>
      </c>
      <c r="AR114" s="27">
        <f>IF(ISNUMBER(AR113),AR113*(1+PortfolioFrontier[[#This Row],[P11 Return]]),1+PortfolioFrontier[[#This Row],[P11 Return]])</f>
        <v>2.3993702014572462</v>
      </c>
      <c r="AS114" s="27">
        <f>MAX(AS113,PortfolioFrontier[[#This Row],[P11 Growth]])</f>
        <v>2.3993702014572462</v>
      </c>
      <c r="AT114" s="27">
        <f>PortfolioFrontier[[#This Row],[P11 Growth]]/PortfolioFrontier[[#This Row],[P11 HWM]]-1</f>
        <v>0</v>
      </c>
      <c r="AU114" s="28">
        <f>SUMPRODUCT(INDEX(PortfolioRef[[SPY]:[PE]],MATCH(AU$1,PortfolioRef[Reference '#]),0),AssetMonthlyReturns[[#This Row],[SPY]:[PE]])</f>
        <v>1.1813952010966083E-2</v>
      </c>
      <c r="AV114" s="27">
        <f>IF(ISNUMBER(AV113),AV113*(1+PortfolioFrontier[[#This Row],[P12 Return]]),1+PortfolioFrontier[[#This Row],[P12 Return]])</f>
        <v>2.3914281237944581</v>
      </c>
      <c r="AW114" s="27">
        <f>MAX(AW113,PortfolioFrontier[[#This Row],[P12 Growth]])</f>
        <v>2.3914281237944581</v>
      </c>
      <c r="AX114" s="27">
        <f>PortfolioFrontier[[#This Row],[P12 Growth]]/PortfolioFrontier[[#This Row],[P12 HWM]]-1</f>
        <v>0</v>
      </c>
      <c r="AY114" s="28">
        <f>SUMPRODUCT(INDEX(PortfolioRef[[SPY]:[PE]],MATCH(AY$1,PortfolioRef[Reference '#]),0),AssetMonthlyReturns[[#This Row],[SPY]:[PE]])</f>
        <v>1.3086187857688914E-2</v>
      </c>
      <c r="AZ114" s="27">
        <f>IF(ISNUMBER(AZ113),AZ113*(1+PortfolioFrontier[[#This Row],[P13 Return]]),1+PortfolioFrontier[[#This Row],[P13 Return]])</f>
        <v>2.3414225997474842</v>
      </c>
      <c r="BA114" s="27">
        <f>MAX(BA113,PortfolioFrontier[[#This Row],[P13 Growth]])</f>
        <v>2.3414225997474842</v>
      </c>
      <c r="BB114" s="27">
        <f>PortfolioFrontier[[#This Row],[P13 Growth]]/PortfolioFrontier[[#This Row],[P13 HWM]]-1</f>
        <v>0</v>
      </c>
      <c r="BC114" s="28">
        <f>SUMPRODUCT(INDEX(PortfolioRef[[SPY]:[PE]],MATCH(BC$1,PortfolioRef[Reference '#]),0),AssetMonthlyReturns[[#This Row],[SPY]:[PE]])</f>
        <v>1.2657253227360799E-2</v>
      </c>
      <c r="BD114" s="27">
        <f>IF(ISNUMBER(BD113),BD113*(1+PortfolioFrontier[[#This Row],[P14 Return]]),1+PortfolioFrontier[[#This Row],[P14 Return]])</f>
        <v>2.3351953802901178</v>
      </c>
      <c r="BE114" s="27">
        <f>MAX(BE113,PortfolioFrontier[[#This Row],[P14 Growth]])</f>
        <v>2.3351953802901178</v>
      </c>
      <c r="BF114" s="27">
        <f>PortfolioFrontier[[#This Row],[P14 Growth]]/PortfolioFrontier[[#This Row],[P14 HWM]]-1</f>
        <v>0</v>
      </c>
      <c r="BG114" s="28">
        <f>SUMPRODUCT(INDEX(PortfolioRef[[SPY]:[PE]],MATCH(BG$1,PortfolioRef[Reference '#]),0),AssetMonthlyReturns[[#This Row],[SPY]:[PE]])</f>
        <v>1.2228318597032682E-2</v>
      </c>
      <c r="BH114" s="27">
        <f>IF(ISNUMBER(BH113),BH113*(1+PortfolioFrontier[[#This Row],[P15 Return]]),1+PortfolioFrontier[[#This Row],[P15 Return]])</f>
        <v>2.3269658642671871</v>
      </c>
      <c r="BI114" s="27">
        <f>MAX(BI113,PortfolioFrontier[[#This Row],[P15 Growth]])</f>
        <v>2.3269658642671871</v>
      </c>
      <c r="BJ114" s="27">
        <f>PortfolioFrontier[[#This Row],[P15 Growth]]/PortfolioFrontier[[#This Row],[P15 HWM]]-1</f>
        <v>0</v>
      </c>
      <c r="BK114" s="28">
        <f>SUMPRODUCT(INDEX(PortfolioRef[[SPY]:[PE]],MATCH(BK$1,PortfolioRef[Reference '#]),0),AssetMonthlyReturns[[#This Row],[SPY]:[PE]])</f>
        <v>1.0326202786516381E-2</v>
      </c>
      <c r="BL114" s="27">
        <f>IF(ISNUMBER(BL113),BL113*(1+PortfolioFrontier[[#This Row],[P16 Return]]),1+PortfolioFrontier[[#This Row],[P16 Return]])</f>
        <v>2.1379473532347326</v>
      </c>
      <c r="BM114" s="27">
        <f>MAX(BM113,PortfolioFrontier[[#This Row],[P16 Growth]])</f>
        <v>2.1379473532347326</v>
      </c>
      <c r="BN114" s="27">
        <f>PortfolioFrontier[[#This Row],[P16 Growth]]/PortfolioFrontier[[#This Row],[P16 HWM]]-1</f>
        <v>0</v>
      </c>
      <c r="BO114" s="28">
        <f>SUMPRODUCT(INDEX(PortfolioRef[[SPY]:[PE]],MATCH(BO$1,PortfolioRef[Reference '#]),0),AssetMonthlyReturns[[#This Row],[SPY]:[PE]])</f>
        <v>1.0147590883936625E-2</v>
      </c>
      <c r="BP114" s="27">
        <f>IF(ISNUMBER(BP113),BP113*(1+PortfolioFrontier[[#This Row],[P17 Return]]),1+PortfolioFrontier[[#This Row],[P17 Return]])</f>
        <v>2.2274796587982513</v>
      </c>
      <c r="BQ114" s="27">
        <f>MAX(BQ113,PortfolioFrontier[[#This Row],[P17 Growth]])</f>
        <v>2.2274796587982513</v>
      </c>
      <c r="BR114" s="27">
        <f>PortfolioFrontier[[#This Row],[P17 Growth]]/PortfolioFrontier[[#This Row],[P17 HWM]]-1</f>
        <v>0</v>
      </c>
      <c r="BS114" s="28">
        <f>SUMPRODUCT(INDEX(PortfolioRef[[SPY]:[PE]],MATCH(BS$1,PortfolioRef[Reference '#]),0),AssetMonthlyReturns[[#This Row],[SPY]:[PE]])</f>
        <v>1.0990892100331341E-2</v>
      </c>
      <c r="BT114" s="27">
        <f>IF(ISNUMBER(BT113),BT113*(1+PortfolioFrontier[[#This Row],[P18 Return]]),1+PortfolioFrontier[[#This Row],[P18 Return]])</f>
        <v>2.1758773276377132</v>
      </c>
      <c r="BU114" s="27">
        <f>MAX(BU113,PortfolioFrontier[[#This Row],[P18 Growth]])</f>
        <v>2.1758773276377132</v>
      </c>
      <c r="BV114" s="27">
        <f>PortfolioFrontier[[#This Row],[P18 Growth]]/PortfolioFrontier[[#This Row],[P18 HWM]]-1</f>
        <v>0</v>
      </c>
      <c r="BW114" s="28">
        <f>SUMPRODUCT(INDEX(PortfolioRef[[SPY]:[PE]],MATCH(BW$1,PortfolioRef[Reference '#]),0),AssetMonthlyReturns[[#This Row],[SPY]:[PE]])</f>
        <v>1.0561957470003226E-2</v>
      </c>
      <c r="BX114" s="27">
        <f>IF(ISNUMBER(BX113),BX113*(1+PortfolioFrontier[[#This Row],[P19 Return]]),1+PortfolioFrontier[[#This Row],[P19 Return]])</f>
        <v>2.167846432286157</v>
      </c>
      <c r="BY114" s="27">
        <f>MAX(BY113,PortfolioFrontier[[#This Row],[P19 Growth]])</f>
        <v>2.167846432286157</v>
      </c>
      <c r="BZ114" s="27">
        <f>PortfolioFrontier[[#This Row],[P19 Growth]]/PortfolioFrontier[[#This Row],[P19 HWM]]-1</f>
        <v>0</v>
      </c>
      <c r="CA114" s="28">
        <f>SUMPRODUCT(INDEX(PortfolioRef[[SPY]:[PE]],MATCH(CA$1,PortfolioRef[Reference '#]),0),AssetMonthlyReturns[[#This Row],[SPY]:[PE]])</f>
        <v>9.9689789813568689E-3</v>
      </c>
      <c r="CB114" s="27">
        <f>IF(ISNUMBER(CB113),CB113*(1+PortfolioFrontier[[#This Row],[P20 Return]]),1+PortfolioFrontier[[#This Row],[P20 Return]])</f>
        <v>2.319939782794695</v>
      </c>
      <c r="CC114" s="27">
        <f>MAX(CC113,PortfolioFrontier[[#This Row],[P20 Growth]])</f>
        <v>2.319939782794695</v>
      </c>
      <c r="CD114" s="27">
        <f>PortfolioFrontier[[#This Row],[P20 Growth]]/PortfolioFrontier[[#This Row],[P20 HWM]]-1</f>
        <v>0</v>
      </c>
      <c r="CE114" s="28">
        <f>SUMPRODUCT(INDEX(PortfolioRef[[SPY]:[PE]],MATCH(CE$1,PortfolioRef[Reference '#]),0),AssetMonthlyReturns[[#This Row],[SPY]:[PE]])</f>
        <v>1.0812280197751585E-2</v>
      </c>
      <c r="CF114" s="27">
        <f>IF(ISNUMBER(CF113),CF113*(1+PortfolioFrontier[[#This Row],[P21 Return]]),1+PortfolioFrontier[[#This Row],[P21 Return]])</f>
        <v>2.2669911072721445</v>
      </c>
      <c r="CG114" s="27">
        <f>MAX(CG113,PortfolioFrontier[[#This Row],[P21 Growth]])</f>
        <v>2.2669911072721445</v>
      </c>
      <c r="CH114" s="27">
        <f>PortfolioFrontier[[#This Row],[P21 Growth]]/PortfolioFrontier[[#This Row],[P21 HWM]]-1</f>
        <v>0</v>
      </c>
      <c r="CI114" s="28">
        <f>SUMPRODUCT(INDEX(PortfolioRef[[SPY]:[PE]],MATCH(CI$1,PortfolioRef[Reference '#]),0),AssetMonthlyReturns[[#This Row],[SPY]:[PE]])</f>
        <v>1.038334556742347E-2</v>
      </c>
      <c r="CJ114" s="27">
        <f>IF(ISNUMBER(CJ113),CJ113*(1+PortfolioFrontier[[#This Row],[P22 Return]]),1+PortfolioFrontier[[#This Row],[P22 Return]])</f>
        <v>2.258633717469622</v>
      </c>
      <c r="CK114" s="27">
        <f>MAX(CK113,PortfolioFrontier[[#This Row],[P22 Growth]])</f>
        <v>2.258633717469622</v>
      </c>
      <c r="CL114" s="27">
        <f>PortfolioFrontier[[#This Row],[P22 Growth]]/PortfolioFrontier[[#This Row],[P22 HWM]]-1</f>
        <v>0</v>
      </c>
      <c r="CM114" s="28">
        <f>SUMPRODUCT(INDEX(PortfolioRef[[SPY]:[PE]],MATCH(CM$1,PortfolioRef[Reference '#]),0),AssetMonthlyReturns[[#This Row],[SPY]:[PE]])</f>
        <v>1.1655581414146301E-2</v>
      </c>
      <c r="CN114" s="27">
        <f>IF(ISNUMBER(CN113),CN113*(1+PortfolioFrontier[[#This Row],[P23 Return]]),1+PortfolioFrontier[[#This Row],[P23 Return]])</f>
        <v>2.2131554425861832</v>
      </c>
      <c r="CO114" s="27">
        <f>MAX(CO113,PortfolioFrontier[[#This Row],[P23 Growth]])</f>
        <v>2.2131554425861832</v>
      </c>
      <c r="CP114" s="27">
        <f>PortfolioFrontier[[#This Row],[P23 Growth]]/PortfolioFrontier[[#This Row],[P23 HWM]]-1</f>
        <v>0</v>
      </c>
      <c r="CQ114" s="28">
        <f>SUMPRODUCT(INDEX(PortfolioRef[[SPY]:[PE]],MATCH(CQ$1,PortfolioRef[Reference '#]),0),AssetMonthlyReturns[[#This Row],[SPY]:[PE]])</f>
        <v>1.1226646783818186E-2</v>
      </c>
      <c r="CR114" s="27">
        <f>IF(ISNUMBER(CR113),CR113*(1+PortfolioFrontier[[#This Row],[P24 Return]]),1+PortfolioFrontier[[#This Row],[P24 Return]])</f>
        <v>2.2064323690830849</v>
      </c>
      <c r="CS114" s="27">
        <f>MAX(CS113,PortfolioFrontier[[#This Row],[P24 Growth]])</f>
        <v>2.2064323690830849</v>
      </c>
      <c r="CT114" s="27">
        <f>PortfolioFrontier[[#This Row],[P24 Growth]]/PortfolioFrontier[[#This Row],[P24 HWM]]-1</f>
        <v>0</v>
      </c>
      <c r="CU114" s="28">
        <f>SUMPRODUCT(INDEX(PortfolioRef[[SPY]:[PE]],MATCH(CU$1,PortfolioRef[Reference '#]),0),AssetMonthlyReturns[[#This Row],[SPY]:[PE]])</f>
        <v>1.0797712153490069E-2</v>
      </c>
      <c r="CV114" s="27">
        <f>IF(ISNUMBER(CV113),CV113*(1+PortfolioFrontier[[#This Row],[P25 Return]]),1+PortfolioFrontier[[#This Row],[P25 Return]])</f>
        <v>2.1978256589211509</v>
      </c>
      <c r="CW114" s="27">
        <f>MAX(CW113,PortfolioFrontier[[#This Row],[P25 Growth]])</f>
        <v>2.1978256589211509</v>
      </c>
      <c r="CX114" s="27">
        <f>PortfolioFrontier[[#This Row],[P25 Growth]]/PortfolioFrontier[[#This Row],[P25 HWM]]-1</f>
        <v>0</v>
      </c>
      <c r="CY114" s="28">
        <f>SUMPRODUCT(INDEX(PortfolioRef[[SPY]:[PE]],MATCH(CY$1,PortfolioRef[Reference '#]),0),AssetMonthlyReturns[[#This Row],[SPY]:[PE]])</f>
        <v>1.0633668295171829E-2</v>
      </c>
      <c r="CZ114" s="27">
        <f>IF(ISNUMBER(CZ113),CZ113*(1+PortfolioFrontier[[#This Row],[P26 Return]]),1+PortfolioFrontier[[#This Row],[P26 Return]])</f>
        <v>2.3610845802903881</v>
      </c>
      <c r="DA114" s="27">
        <f>MAX(DA113,PortfolioFrontier[[#This Row],[P26 Growth]])</f>
        <v>2.3610845802903881</v>
      </c>
      <c r="DB114" s="27">
        <f>PortfolioFrontier[[#This Row],[P26 Growth]]/PortfolioFrontier[[#This Row],[P26 HWM]]-1</f>
        <v>0</v>
      </c>
      <c r="DC114" s="28">
        <f>SUMPRODUCT(INDEX(PortfolioRef[[SPY]:[PE]],MATCH(DC$1,PortfolioRef[Reference '#]),0),AssetMonthlyReturns[[#This Row],[SPY]:[PE]])</f>
        <v>1.0204733664843714E-2</v>
      </c>
      <c r="DD114" s="27">
        <f>IF(ISNUMBER(DD113),DD113*(1+PortfolioFrontier[[#This Row],[P27 Return]]),1+PortfolioFrontier[[#This Row],[P27 Return]])</f>
        <v>2.3523904133444753</v>
      </c>
      <c r="DE114" s="27">
        <f>MAX(DE113,PortfolioFrontier[[#This Row],[P27 Growth]])</f>
        <v>2.3523904133444753</v>
      </c>
      <c r="DF114" s="27">
        <f>PortfolioFrontier[[#This Row],[P27 Growth]]/PortfolioFrontier[[#This Row],[P27 HWM]]-1</f>
        <v>0</v>
      </c>
      <c r="DG114" s="28">
        <f>SUMPRODUCT(INDEX(PortfolioRef[[SPY]:[PE]],MATCH(DG$1,PortfolioRef[Reference '#]),0),AssetMonthlyReturns[[#This Row],[SPY]:[PE]])</f>
        <v>1.1476969511566544E-2</v>
      </c>
      <c r="DH114" s="27">
        <f>IF(ISNUMBER(DH113),DH113*(1+PortfolioFrontier[[#This Row],[P28 Return]]),1+PortfolioFrontier[[#This Row],[P28 Return]])</f>
        <v>2.3058240232168457</v>
      </c>
      <c r="DI114" s="27">
        <f>MAX(DI113,PortfolioFrontier[[#This Row],[P28 Growth]])</f>
        <v>2.3058240232168457</v>
      </c>
      <c r="DJ114" s="27">
        <f>PortfolioFrontier[[#This Row],[P28 Growth]]/PortfolioFrontier[[#This Row],[P28 HWM]]-1</f>
        <v>0</v>
      </c>
      <c r="DK114" s="28">
        <f>SUMPRODUCT(INDEX(PortfolioRef[[SPY]:[PE]],MATCH(DK$1,PortfolioRef[Reference '#]),0),AssetMonthlyReturns[[#This Row],[SPY]:[PE]])</f>
        <v>1.1048034881238429E-2</v>
      </c>
      <c r="DL114" s="27">
        <f>IF(ISNUMBER(DL113),DL113*(1+PortfolioFrontier[[#This Row],[P29 Return]]),1+PortfolioFrontier[[#This Row],[P29 Return]])</f>
        <v>2.2988285137175923</v>
      </c>
      <c r="DM114" s="27">
        <f>MAX(DM113,PortfolioFrontier[[#This Row],[P29 Growth]])</f>
        <v>2.2988285137175923</v>
      </c>
      <c r="DN114" s="27">
        <f>PortfolioFrontier[[#This Row],[P29 Growth]]/PortfolioFrontier[[#This Row],[P29 HWM]]-1</f>
        <v>0</v>
      </c>
      <c r="DO114" s="28">
        <f>SUMPRODUCT(INDEX(PortfolioRef[[SPY]:[PE]],MATCH(DO$1,PortfolioRef[Reference '#]),0),AssetMonthlyReturns[[#This Row],[SPY]:[PE]])</f>
        <v>1.0619100250910313E-2</v>
      </c>
      <c r="DP114" s="27">
        <f>IF(ISNUMBER(DP113),DP113*(1+PortfolioFrontier[[#This Row],[P30 Return]]),1+PortfolioFrontier[[#This Row],[P30 Return]])</f>
        <v>2.2898716632819145</v>
      </c>
      <c r="DQ114" s="27">
        <f>MAX(DQ113,PortfolioFrontier[[#This Row],[P30 Growth]])</f>
        <v>2.2898716632819145</v>
      </c>
      <c r="DR114" s="27">
        <f>PortfolioFrontier[[#This Row],[P30 Growth]]/PortfolioFrontier[[#This Row],[P30 HWM]]-1</f>
        <v>0</v>
      </c>
      <c r="DS114" s="28">
        <f>SUMPRODUCT(INDEX(PortfolioRef[[SPY]:[PE]],MATCH(DS$1,PortfolioRef[Reference '#]),0),AssetMonthlyReturns[[#This Row],[SPY]:[PE]])</f>
        <v>1.2320270727961258E-2</v>
      </c>
      <c r="DT114" s="27">
        <f>IF(ISNUMBER(DT113),DT113*(1+PortfolioFrontier[[#This Row],[P31 Return]]),1+PortfolioFrontier[[#This Row],[P31 Return]])</f>
        <v>2.2497206518763591</v>
      </c>
      <c r="DU114" s="27">
        <f>MAX(DU113,PortfolioFrontier[[#This Row],[P31 Growth]])</f>
        <v>2.2497206518763591</v>
      </c>
      <c r="DV114" s="27">
        <f>PortfolioFrontier[[#This Row],[P31 Growth]]/PortfolioFrontier[[#This Row],[P31 HWM]]-1</f>
        <v>0</v>
      </c>
      <c r="DW114" s="28">
        <f>SUMPRODUCT(INDEX(PortfolioRef[[SPY]:[PE]],MATCH(DW$1,PortfolioRef[Reference '#]),0),AssetMonthlyReturns[[#This Row],[SPY]:[PE]])</f>
        <v>1.1891336097633145E-2</v>
      </c>
      <c r="DX114" s="27">
        <f>IF(ISNUMBER(DX113),DX113*(1+PortfolioFrontier[[#This Row],[P32 Return]]),1+PortfolioFrontier[[#This Row],[P32 Return]])</f>
        <v>2.244361934866363</v>
      </c>
      <c r="DY114" s="27">
        <f>MAX(DY113,PortfolioFrontier[[#This Row],[P32 Growth]])</f>
        <v>2.244361934866363</v>
      </c>
      <c r="DZ114" s="27">
        <f>PortfolioFrontier[[#This Row],[P32 Growth]]/PortfolioFrontier[[#This Row],[P32 HWM]]-1</f>
        <v>0</v>
      </c>
      <c r="EA114" s="28">
        <f>SUMPRODUCT(INDEX(PortfolioRef[[SPY]:[PE]],MATCH(EA$1,PortfolioRef[Reference '#]),0),AssetMonthlyReturns[[#This Row],[SPY]:[PE]])</f>
        <v>1.1462401467305029E-2</v>
      </c>
      <c r="EB114" s="27">
        <f>IF(ISNUMBER(EB113),EB113*(1+PortfolioFrontier[[#This Row],[P33 Return]]),1+PortfolioFrontier[[#This Row],[P33 Return]])</f>
        <v>2.237072474074973</v>
      </c>
      <c r="EC114" s="27">
        <f>MAX(EC113,PortfolioFrontier[[#This Row],[P33 Growth]])</f>
        <v>2.237072474074973</v>
      </c>
      <c r="ED114" s="27">
        <f>PortfolioFrontier[[#This Row],[P33 Growth]]/PortfolioFrontier[[#This Row],[P33 HWM]]-1</f>
        <v>0</v>
      </c>
      <c r="EE114" s="28">
        <f>SUMPRODUCT(INDEX(PortfolioRef[[SPY]:[PE]],MATCH(EE$1,PortfolioRef[Reference '#]),0),AssetMonthlyReturns[[#This Row],[SPY]:[PE]])</f>
        <v>8.8955963429737644E-3</v>
      </c>
      <c r="EF114" s="27">
        <f>IF(ISNUMBER(EF113),EF113*(1+PortfolioFrontier[[#This Row],[P34 Return]]),1+PortfolioFrontier[[#This Row],[P34 Return]])</f>
        <v>2.0181677434795624</v>
      </c>
      <c r="EG114" s="27">
        <f>MAX(EG113,PortfolioFrontier[[#This Row],[P34 Growth]])</f>
        <v>2.0181677434795624</v>
      </c>
      <c r="EH114" s="27">
        <f>PortfolioFrontier[[#This Row],[P34 Growth]]/PortfolioFrontier[[#This Row],[P34 HWM]]-1</f>
        <v>0</v>
      </c>
      <c r="EI114" s="28">
        <f>SUMPRODUCT(INDEX(PortfolioRef[[SPY]:[PE]],MATCH(EI$1,PortfolioRef[Reference '#]),0),AssetMonthlyReturns[[#This Row],[SPY]:[PE]])</f>
        <v>8.7169844403940083E-3</v>
      </c>
      <c r="EJ114" s="27">
        <f>IF(ISNUMBER(EJ113),EJ113*(1+PortfolioFrontier[[#This Row],[P35 Return]]),1+PortfolioFrontier[[#This Row],[P35 Return]])</f>
        <v>2.1026671673690522</v>
      </c>
      <c r="EK114" s="27">
        <f>MAX(EK113,PortfolioFrontier[[#This Row],[P35 Growth]])</f>
        <v>2.1026671673690522</v>
      </c>
      <c r="EL114" s="27">
        <f>PortfolioFrontier[[#This Row],[P35 Growth]]/PortfolioFrontier[[#This Row],[P35 HWM]]-1</f>
        <v>0</v>
      </c>
      <c r="EM114" s="28">
        <f>SUMPRODUCT(INDEX(PortfolioRef[[SPY]:[PE]],MATCH(EM$1,PortfolioRef[Reference '#]),0),AssetMonthlyReturns[[#This Row],[SPY]:[PE]])</f>
        <v>9.5602856567887241E-3</v>
      </c>
      <c r="EN114" s="27">
        <f>IF(ISNUMBER(EN113),EN113*(1+PortfolioFrontier[[#This Row],[P36 Return]]),1+PortfolioFrontier[[#This Row],[P36 Return]])</f>
        <v>2.0548006047009384</v>
      </c>
      <c r="EO114" s="27">
        <f>MAX(EO113,PortfolioFrontier[[#This Row],[P36 Growth]])</f>
        <v>2.0548006047009384</v>
      </c>
      <c r="EP114" s="27">
        <f>PortfolioFrontier[[#This Row],[P36 Growth]]/PortfolioFrontier[[#This Row],[P36 HWM]]-1</f>
        <v>0</v>
      </c>
      <c r="EQ114" s="28">
        <f>SUMPRODUCT(INDEX(PortfolioRef[[SPY]:[PE]],MATCH(EQ$1,PortfolioRef[Reference '#]),0),AssetMonthlyReturns[[#This Row],[SPY]:[PE]])</f>
        <v>9.1313510264606091E-3</v>
      </c>
      <c r="ER114" s="27">
        <f>IF(ISNUMBER(ER113),ER113*(1+PortfolioFrontier[[#This Row],[P37 Return]]),1+PortfolioFrontier[[#This Row],[P37 Return]])</f>
        <v>2.046444140854812</v>
      </c>
      <c r="ES114" s="27">
        <f>MAX(ES113,PortfolioFrontier[[#This Row],[P37 Growth]])</f>
        <v>2.046444140854812</v>
      </c>
      <c r="ET114" s="27">
        <f>PortfolioFrontier[[#This Row],[P37 Growth]]/PortfolioFrontier[[#This Row],[P37 HWM]]-1</f>
        <v>0</v>
      </c>
      <c r="EU114" s="28">
        <f>SUMPRODUCT(INDEX(PortfolioRef[[SPY]:[PE]],MATCH(EU$1,PortfolioRef[Reference '#]),0),AssetMonthlyReturns[[#This Row],[SPY]:[PE]])</f>
        <v>8.5383725378142521E-3</v>
      </c>
      <c r="EV114" s="27">
        <f>IF(ISNUMBER(EV113),EV113*(1+PortfolioFrontier[[#This Row],[P38 Return]]),1+PortfolioFrontier[[#This Row],[P38 Return]])</f>
        <v>2.1899280144077644</v>
      </c>
      <c r="EW114" s="27">
        <f>MAX(EW113,PortfolioFrontier[[#This Row],[P38 Growth]])</f>
        <v>2.1899280144077644</v>
      </c>
      <c r="EX114" s="27">
        <f>PortfolioFrontier[[#This Row],[P38 Growth]]/PortfolioFrontier[[#This Row],[P38 HWM]]-1</f>
        <v>0</v>
      </c>
      <c r="EY114" s="28">
        <f>SUMPRODUCT(INDEX(PortfolioRef[[SPY]:[PE]],MATCH(EY$1,PortfolioRef[Reference '#]),0),AssetMonthlyReturns[[#This Row],[SPY]:[PE]])</f>
        <v>9.3816737542089679E-3</v>
      </c>
      <c r="EZ114" s="27">
        <f>IF(ISNUMBER(EZ113),EZ113*(1+PortfolioFrontier[[#This Row],[P39 Return]]),1+PortfolioFrontier[[#This Row],[P39 Return]])</f>
        <v>2.1408267841937159</v>
      </c>
      <c r="FA114" s="27">
        <f>MAX(FA113,PortfolioFrontier[[#This Row],[P39 Growth]])</f>
        <v>2.1408267841937159</v>
      </c>
      <c r="FB114" s="27">
        <f>PortfolioFrontier[[#This Row],[P39 Growth]]/PortfolioFrontier[[#This Row],[P39 HWM]]-1</f>
        <v>0</v>
      </c>
      <c r="FC114" s="28">
        <f>SUMPRODUCT(INDEX(PortfolioRef[[SPY]:[PE]],MATCH(FC$1,PortfolioRef[Reference '#]),0),AssetMonthlyReturns[[#This Row],[SPY]:[PE]])</f>
        <v>8.952739123880853E-3</v>
      </c>
      <c r="FD114" s="27">
        <f>IF(ISNUMBER(FD113),FD113*(1+PortfolioFrontier[[#This Row],[P40 Return]]),1+PortfolioFrontier[[#This Row],[P40 Return]])</f>
        <v>2.1321301603224336</v>
      </c>
      <c r="FE114" s="27">
        <f>MAX(FE113,PortfolioFrontier[[#This Row],[P40 Growth]])</f>
        <v>2.1321301603224336</v>
      </c>
      <c r="FF114" s="27">
        <f>PortfolioFrontier[[#This Row],[P40 Growth]]/PortfolioFrontier[[#This Row],[P40 HWM]]-1</f>
        <v>0</v>
      </c>
      <c r="FG114" s="28">
        <f>SUMPRODUCT(INDEX(PortfolioRef[[SPY]:[PE]],MATCH(FG$1,PortfolioRef[Reference '#]),0),AssetMonthlyReturns[[#This Row],[SPY]:[PE]])</f>
        <v>1.0224974970603684E-2</v>
      </c>
      <c r="FH114" s="27">
        <f>IF(ISNUMBER(FH113),FH113*(1+PortfolioFrontier[[#This Row],[P41 Return]]),1+PortfolioFrontier[[#This Row],[P41 Return]])</f>
        <v>2.0908493021348304</v>
      </c>
      <c r="FI114" s="27">
        <f>MAX(FI113,PortfolioFrontier[[#This Row],[P41 Growth]])</f>
        <v>2.0908493021348304</v>
      </c>
      <c r="FJ114" s="27">
        <f>PortfolioFrontier[[#This Row],[P41 Growth]]/PortfolioFrontier[[#This Row],[P41 HWM]]-1</f>
        <v>0</v>
      </c>
      <c r="FK114" s="28">
        <f>SUMPRODUCT(INDEX(PortfolioRef[[SPY]:[PE]],MATCH(FK$1,PortfolioRef[Reference '#]),0),AssetMonthlyReturns[[#This Row],[SPY]:[PE]])</f>
        <v>9.7960403402755688E-3</v>
      </c>
      <c r="FL114" s="27">
        <f>IF(ISNUMBER(FL113),FL113*(1+PortfolioFrontier[[#This Row],[P42 Return]]),1+PortfolioFrontier[[#This Row],[P42 Return]])</f>
        <v>2.0837087697954253</v>
      </c>
      <c r="FM114" s="27">
        <f>MAX(FM113,PortfolioFrontier[[#This Row],[P42 Growth]])</f>
        <v>2.0837087697954253</v>
      </c>
      <c r="FN114" s="27">
        <f>PortfolioFrontier[[#This Row],[P42 Growth]]/PortfolioFrontier[[#This Row],[P42 HWM]]-1</f>
        <v>0</v>
      </c>
      <c r="FO114" s="28">
        <f>SUMPRODUCT(INDEX(PortfolioRef[[SPY]:[PE]],MATCH(FO$1,PortfolioRef[Reference '#]),0),AssetMonthlyReturns[[#This Row],[SPY]:[PE]])</f>
        <v>9.3671057099474521E-3</v>
      </c>
      <c r="FP114" s="27">
        <f>IF(ISNUMBER(FP113),FP113*(1+PortfolioFrontier[[#This Row],[P43 Return]]),1+PortfolioFrontier[[#This Row],[P43 Return]])</f>
        <v>2.0747976175784575</v>
      </c>
      <c r="FQ114" s="27">
        <f>MAX(FQ113,PortfolioFrontier[[#This Row],[P43 Growth]])</f>
        <v>2.0747976175784575</v>
      </c>
      <c r="FR114" s="27">
        <f>PortfolioFrontier[[#This Row],[P43 Growth]]/PortfolioFrontier[[#This Row],[P43 HWM]]-1</f>
        <v>0</v>
      </c>
      <c r="FS114" s="28">
        <f>SUMPRODUCT(INDEX(PortfolioRef[[SPY]:[PE]],MATCH(FS$1,PortfolioRef[Reference '#]),0),AssetMonthlyReturns[[#This Row],[SPY]:[PE]])</f>
        <v>9.2030618516292118E-3</v>
      </c>
      <c r="FT114" s="27">
        <f>IF(ISNUMBER(FT113),FT113*(1+PortfolioFrontier[[#This Row],[P44 Return]]),1+PortfolioFrontier[[#This Row],[P44 Return]])</f>
        <v>2.2296644198520537</v>
      </c>
      <c r="FU114" s="27">
        <f>MAX(FU113,PortfolioFrontier[[#This Row],[P44 Growth]])</f>
        <v>2.2296644198520537</v>
      </c>
      <c r="FV114" s="27">
        <f>PortfolioFrontier[[#This Row],[P44 Growth]]/PortfolioFrontier[[#This Row],[P44 HWM]]-1</f>
        <v>0</v>
      </c>
      <c r="FW114" s="28">
        <f>SUMPRODUCT(INDEX(PortfolioRef[[SPY]:[PE]],MATCH(FW$1,PortfolioRef[Reference '#]),0),AssetMonthlyReturns[[#This Row],[SPY]:[PE]])</f>
        <v>8.7741272213010969E-3</v>
      </c>
      <c r="FX114" s="27">
        <f>IF(ISNUMBER(FX113),FX113*(1+PortfolioFrontier[[#This Row],[P45 Return]]),1+PortfolioFrontier[[#This Row],[P45 Return]])</f>
        <v>2.2206169040239252</v>
      </c>
      <c r="FY114" s="27">
        <f>MAX(FY113,PortfolioFrontier[[#This Row],[P45 Growth]])</f>
        <v>2.2206169040239252</v>
      </c>
      <c r="FZ114" s="27">
        <f>PortfolioFrontier[[#This Row],[P45 Growth]]/PortfolioFrontier[[#This Row],[P45 HWM]]-1</f>
        <v>0</v>
      </c>
      <c r="GA114" s="28">
        <f>SUMPRODUCT(INDEX(PortfolioRef[[SPY]:[PE]],MATCH(GA$1,PortfolioRef[Reference '#]),0),AssetMonthlyReturns[[#This Row],[SPY]:[PE]])</f>
        <v>1.0046363068023928E-2</v>
      </c>
      <c r="GB114" s="27">
        <f>IF(ISNUMBER(GB113),GB113*(1+PortfolioFrontier[[#This Row],[P46 Return]]),1+PortfolioFrontier[[#This Row],[P46 Return]])</f>
        <v>2.1783783441427835</v>
      </c>
      <c r="GC114" s="27">
        <f>MAX(GC113,PortfolioFrontier[[#This Row],[P46 Growth]])</f>
        <v>2.1783783441427835</v>
      </c>
      <c r="GD114" s="27">
        <f>PortfolioFrontier[[#This Row],[P46 Growth]]/PortfolioFrontier[[#This Row],[P46 HWM]]-1</f>
        <v>0</v>
      </c>
      <c r="GE114" s="28">
        <f>SUMPRODUCT(INDEX(PortfolioRef[[SPY]:[PE]],MATCH(GE$1,PortfolioRef[Reference '#]),0),AssetMonthlyReturns[[#This Row],[SPY]:[PE]])</f>
        <v>9.6174284376958127E-3</v>
      </c>
      <c r="GF114" s="27">
        <f>IF(ISNUMBER(GF113),GF113*(1+PortfolioFrontier[[#This Row],[P47 Return]]),1+PortfolioFrontier[[#This Row],[P47 Return]])</f>
        <v>2.1709479089310979</v>
      </c>
      <c r="GG114" s="27">
        <f>MAX(GG113,PortfolioFrontier[[#This Row],[P47 Growth]])</f>
        <v>2.1709479089310979</v>
      </c>
      <c r="GH114" s="27">
        <f>PortfolioFrontier[[#This Row],[P47 Growth]]/PortfolioFrontier[[#This Row],[P47 HWM]]-1</f>
        <v>0</v>
      </c>
      <c r="GI114" s="28">
        <f>SUMPRODUCT(INDEX(PortfolioRef[[SPY]:[PE]],MATCH(GI$1,PortfolioRef[Reference '#]),0),AssetMonthlyReturns[[#This Row],[SPY]:[PE]])</f>
        <v>9.188493807367696E-3</v>
      </c>
      <c r="GJ114" s="27">
        <f>IF(ISNUMBER(GJ113),GJ113*(1+PortfolioFrontier[[#This Row],[P48 Return]]),1+PortfolioFrontier[[#This Row],[P48 Return]])</f>
        <v>2.1616738196705354</v>
      </c>
      <c r="GK114" s="27">
        <f>MAX(GK113,PortfolioFrontier[[#This Row],[P48 Growth]])</f>
        <v>2.1616738196705354</v>
      </c>
      <c r="GL114" s="27">
        <f>PortfolioFrontier[[#This Row],[P48 Growth]]/PortfolioFrontier[[#This Row],[P48 HWM]]-1</f>
        <v>0</v>
      </c>
      <c r="GM114" s="28">
        <f>SUMPRODUCT(INDEX(PortfolioRef[[SPY]:[PE]],MATCH(GM$1,PortfolioRef[Reference '#]),0),AssetMonthlyReturns[[#This Row],[SPY]:[PE]])</f>
        <v>1.0889664284418642E-2</v>
      </c>
      <c r="GN114" s="27">
        <f>IF(ISNUMBER(GN113),GN113*(1+PortfolioFrontier[[#This Row],[P49 Return]]),1+PortfolioFrontier[[#This Row],[P49 Return]])</f>
        <v>2.1262557056939961</v>
      </c>
      <c r="GO114" s="27">
        <f>MAX(GO113,PortfolioFrontier[[#This Row],[P49 Growth]])</f>
        <v>2.1262557056939961</v>
      </c>
      <c r="GP114" s="27">
        <f>PortfolioFrontier[[#This Row],[P49 Growth]]/PortfolioFrontier[[#This Row],[P49 HWM]]-1</f>
        <v>0</v>
      </c>
      <c r="GQ114" s="28">
        <f>SUMPRODUCT(INDEX(PortfolioRef[[SPY]:[PE]],MATCH(GQ$1,PortfolioRef[Reference '#]),0),AssetMonthlyReturns[[#This Row],[SPY]:[PE]])</f>
        <v>1.0460729654090528E-2</v>
      </c>
      <c r="GR114" s="27">
        <f>IF(ISNUMBER(GR113),GR113*(1+PortfolioFrontier[[#This Row],[P50 Return]]),1+PortfolioFrontier[[#This Row],[P50 Return]])</f>
        <v>2.1203854890218619</v>
      </c>
      <c r="GS114" s="27">
        <f>MAX(GS113,PortfolioFrontier[[#This Row],[P50 Growth]])</f>
        <v>2.1203854890218619</v>
      </c>
      <c r="GT114" s="27">
        <f>PortfolioFrontier[[#This Row],[P50 Growth]]/PortfolioFrontier[[#This Row],[P50 HWM]]-1</f>
        <v>0</v>
      </c>
      <c r="GU114" s="28">
        <f>SUMPRODUCT(INDEX(PortfolioRef[[SPY]:[PE]],MATCH(GU$1,PortfolioRef[Reference '#]),0),AssetMonthlyReturns[[#This Row],[SPY]:[PE]])</f>
        <v>1.0031795023762412E-2</v>
      </c>
      <c r="GV114" s="27">
        <f>IF(ISNUMBER(GV113),GV113*(1+PortfolioFrontier[[#This Row],[P51 Return]]),1+PortfolioFrontier[[#This Row],[P51 Return]])</f>
        <v>2.1126987274336759</v>
      </c>
      <c r="GW114" s="27">
        <f>MAX(GW113,PortfolioFrontier[[#This Row],[P51 Growth]])</f>
        <v>2.1126987274336759</v>
      </c>
      <c r="GX114" s="27">
        <f>PortfolioFrontier[[#This Row],[P51 Growth]]/PortfolioFrontier[[#This Row],[P51 HWM]]-1</f>
        <v>0</v>
      </c>
      <c r="GY114" s="28">
        <f>SUMPRODUCT(INDEX(PortfolioRef[[SPY]:[PE]],MATCH(GY$1,PortfolioRef[Reference '#]),0),AssetMonthlyReturns[[#This Row],[SPY]:[PE]])</f>
        <v>9.8677511654441715E-3</v>
      </c>
      <c r="GZ114" s="27">
        <f>IF(ISNUMBER(GZ113),GZ113*(1+PortfolioFrontier[[#This Row],[P52 Return]]),1+PortfolioFrontier[[#This Row],[P52 Return]])</f>
        <v>2.2687681237191417</v>
      </c>
      <c r="HA114" s="27">
        <f>MAX(HA113,PortfolioFrontier[[#This Row],[P52 Growth]])</f>
        <v>2.2687681237191417</v>
      </c>
      <c r="HB114" s="27">
        <f>PortfolioFrontier[[#This Row],[P52 Growth]]/PortfolioFrontier[[#This Row],[P52 HWM]]-1</f>
        <v>0</v>
      </c>
      <c r="HC114" s="28">
        <f>SUMPRODUCT(INDEX(PortfolioRef[[SPY]:[PE]],MATCH(HC$1,PortfolioRef[Reference '#]),0),AssetMonthlyReturns[[#This Row],[SPY]:[PE]])</f>
        <v>9.4388165351160565E-3</v>
      </c>
      <c r="HD114" s="27">
        <f>IF(ISNUMBER(HD113),HD113*(1+PortfolioFrontier[[#This Row],[P53 Return]]),1+PortfolioFrontier[[#This Row],[P53 Return]])</f>
        <v>2.2610386766365247</v>
      </c>
      <c r="HE114" s="27">
        <f>MAX(HE113,PortfolioFrontier[[#This Row],[P53 Growth]])</f>
        <v>2.2610386766365247</v>
      </c>
      <c r="HF114" s="27">
        <f>PortfolioFrontier[[#This Row],[P53 Growth]]/PortfolioFrontier[[#This Row],[P53 HWM]]-1</f>
        <v>0</v>
      </c>
      <c r="HG114" s="28">
        <f>SUMPRODUCT(INDEX(PortfolioRef[[SPY]:[PE]],MATCH(HG$1,PortfolioRef[Reference '#]),0),AssetMonthlyReturns[[#This Row],[SPY]:[PE]])</f>
        <v>9.0098819047879398E-3</v>
      </c>
      <c r="HH114" s="27">
        <f>IF(ISNUMBER(HH113),HH113*(1+PortfolioFrontier[[#This Row],[P54 Return]]),1+PortfolioFrontier[[#This Row],[P54 Return]])</f>
        <v>2.2513901866790755</v>
      </c>
      <c r="HI114" s="27">
        <f>MAX(HI113,PortfolioFrontier[[#This Row],[P54 Growth]])</f>
        <v>2.2513901866790755</v>
      </c>
      <c r="HJ114" s="27">
        <f>PortfolioFrontier[[#This Row],[P54 Growth]]/PortfolioFrontier[[#This Row],[P54 HWM]]-1</f>
        <v>0</v>
      </c>
      <c r="HK114" s="28">
        <f>SUMPRODUCT(INDEX(PortfolioRef[[SPY]:[PE]],MATCH(HK$1,PortfolioRef[Reference '#]),0),AssetMonthlyReturns[[#This Row],[SPY]:[PE]])</f>
        <v>1.0711052381838886E-2</v>
      </c>
      <c r="HL114" s="27">
        <f>IF(ISNUMBER(HL113),HL113*(1+PortfolioFrontier[[#This Row],[P55 Return]]),1+PortfolioFrontier[[#This Row],[P55 Return]])</f>
        <v>2.2152613323268961</v>
      </c>
      <c r="HM114" s="27">
        <f>MAX(HM113,PortfolioFrontier[[#This Row],[P55 Growth]])</f>
        <v>2.2152613323268961</v>
      </c>
      <c r="HN114" s="27">
        <f>PortfolioFrontier[[#This Row],[P55 Growth]]/PortfolioFrontier[[#This Row],[P55 HWM]]-1</f>
        <v>0</v>
      </c>
      <c r="HO114" s="28">
        <f>SUMPRODUCT(INDEX(PortfolioRef[[SPY]:[PE]],MATCH(HO$1,PortfolioRef[Reference '#]),0),AssetMonthlyReturns[[#This Row],[SPY]:[PE]])</f>
        <v>1.0282117751510772E-2</v>
      </c>
      <c r="HP114" s="27">
        <f>IF(ISNUMBER(HP113),HP113*(1+PortfolioFrontier[[#This Row],[P56 Return]]),1+PortfolioFrontier[[#This Row],[P56 Return]])</f>
        <v>2.2091537038568325</v>
      </c>
      <c r="HQ114" s="27">
        <f>MAX(HQ113,PortfolioFrontier[[#This Row],[P56 Growth]])</f>
        <v>2.2091537038568325</v>
      </c>
      <c r="HR114" s="27">
        <f>PortfolioFrontier[[#This Row],[P56 Growth]]/PortfolioFrontier[[#This Row],[P56 HWM]]-1</f>
        <v>0</v>
      </c>
      <c r="HS114" s="28">
        <f>SUMPRODUCT(INDEX(PortfolioRef[[SPY]:[PE]],MATCH(HS$1,PortfolioRef[Reference '#]),0),AssetMonthlyReturns[[#This Row],[SPY]:[PE]])</f>
        <v>9.8531831211826557E-3</v>
      </c>
      <c r="HT114" s="27">
        <f>IF(ISNUMBER(HT113),HT113*(1+PortfolioFrontier[[#This Row],[P57 Return]]),1+PortfolioFrontier[[#This Row],[P57 Return]])</f>
        <v>2.2011546166549731</v>
      </c>
      <c r="HU114" s="27">
        <f>MAX(HU113,PortfolioFrontier[[#This Row],[P57 Growth]])</f>
        <v>2.2011546166549731</v>
      </c>
      <c r="HV114" s="27">
        <f>PortfolioFrontier[[#This Row],[P57 Growth]]/PortfolioFrontier[[#This Row],[P57 HWM]]-1</f>
        <v>0</v>
      </c>
      <c r="HW114" s="28">
        <f>SUMPRODUCT(INDEX(PortfolioRef[[SPY]:[PE]],MATCH(HW$1,PortfolioRef[Reference '#]),0),AssetMonthlyReturns[[#This Row],[SPY]:[PE]])</f>
        <v>1.15543535982336E-2</v>
      </c>
      <c r="HX114" s="27">
        <f>IF(ISNUMBER(HX113),HX113*(1+PortfolioFrontier[[#This Row],[P58 Return]]),1+PortfolioFrontier[[#This Row],[P58 Return]])</f>
        <v>2.1609613668274443</v>
      </c>
      <c r="HY114" s="27">
        <f>MAX(HY113,PortfolioFrontier[[#This Row],[P58 Growth]])</f>
        <v>2.1609613668274443</v>
      </c>
      <c r="HZ114" s="27">
        <f>PortfolioFrontier[[#This Row],[P58 Growth]]/PortfolioFrontier[[#This Row],[P58 HWM]]-1</f>
        <v>0</v>
      </c>
      <c r="IA114" s="28">
        <f>SUMPRODUCT(INDEX(PortfolioRef[[SPY]:[PE]],MATCH(IA$1,PortfolioRef[Reference '#]),0),AssetMonthlyReturns[[#This Row],[SPY]:[PE]])</f>
        <v>1.1125418967905486E-2</v>
      </c>
      <c r="IB114" s="27">
        <f>IF(ISNUMBER(IB113),IB113*(1+PortfolioFrontier[[#This Row],[P59 Return]]),1+PortfolioFrontier[[#This Row],[P59 Return]])</f>
        <v>2.1564152763585427</v>
      </c>
      <c r="IC114" s="27">
        <f>MAX(IC113,PortfolioFrontier[[#This Row],[P59 Growth]])</f>
        <v>2.1564152763585427</v>
      </c>
      <c r="ID114" s="27">
        <f>PortfolioFrontier[[#This Row],[P59 Growth]]/PortfolioFrontier[[#This Row],[P59 HWM]]-1</f>
        <v>0</v>
      </c>
      <c r="IE114" s="28">
        <f>SUMPRODUCT(INDEX(PortfolioRef[[SPY]:[PE]],MATCH(IE$1,PortfolioRef[Reference '#]),0),AssetMonthlyReturns[[#This Row],[SPY]:[PE]])</f>
        <v>1.0696484337577371E-2</v>
      </c>
      <c r="IF114" s="27">
        <f>IF(ISNUMBER(IF113),IF113*(1+PortfolioFrontier[[#This Row],[P60 Return]]),1+PortfolioFrontier[[#This Row],[P60 Return]])</f>
        <v>2.150008283861419</v>
      </c>
      <c r="IG114" s="27">
        <f>MAX(IG113,PortfolioFrontier[[#This Row],[P60 Growth]])</f>
        <v>2.150008283861419</v>
      </c>
      <c r="IH114" s="27">
        <f>PortfolioFrontier[[#This Row],[P60 Growth]]/PortfolioFrontier[[#This Row],[P60 HWM]]-1</f>
        <v>0</v>
      </c>
      <c r="II114" s="28">
        <f>SUMPRODUCT(INDEX(PortfolioRef[[SPY]:[PE]],MATCH(II$1,PortfolioRef[Reference '#]),0),AssetMonthlyReturns[[#This Row],[SPY]:[PE]])</f>
        <v>7.4649898994311511E-3</v>
      </c>
      <c r="IJ114" s="27">
        <f>IF(ISNUMBER(IJ113),IJ113*(1+PortfolioFrontier[[#This Row],[P61 Return]]),1+PortfolioFrontier[[#This Row],[P61 Return]])</f>
        <v>1.9041304700591823</v>
      </c>
      <c r="IK114" s="27">
        <f>MAX(IK113,PortfolioFrontier[[#This Row],[P61 Growth]])</f>
        <v>1.9041304700591823</v>
      </c>
      <c r="IL114" s="27">
        <f>PortfolioFrontier[[#This Row],[P61 Growth]]/PortfolioFrontier[[#This Row],[P61 HWM]]-1</f>
        <v>0</v>
      </c>
      <c r="IM114" s="28">
        <f>SUMPRODUCT(INDEX(PortfolioRef[[SPY]:[PE]],MATCH(IM$1,PortfolioRef[Reference '#]),0),AssetMonthlyReturns[[#This Row],[SPY]:[PE]])</f>
        <v>7.286377996851395E-3</v>
      </c>
      <c r="IN114" s="27">
        <f>IF(ISNUMBER(IN113),IN113*(1+PortfolioFrontier[[#This Row],[P62 Return]]),1+PortfolioFrontier[[#This Row],[P62 Return]])</f>
        <v>1.9838401550025251</v>
      </c>
      <c r="IO114" s="27">
        <f>MAX(IO113,PortfolioFrontier[[#This Row],[P62 Growth]])</f>
        <v>1.9838401550025251</v>
      </c>
      <c r="IP114" s="27">
        <f>PortfolioFrontier[[#This Row],[P62 Growth]]/PortfolioFrontier[[#This Row],[P62 HWM]]-1</f>
        <v>0</v>
      </c>
      <c r="IQ114" s="28">
        <f>SUMPRODUCT(INDEX(PortfolioRef[[SPY]:[PE]],MATCH(IQ$1,PortfolioRef[Reference '#]),0),AssetMonthlyReturns[[#This Row],[SPY]:[PE]])</f>
        <v>8.1296792132461108E-3</v>
      </c>
      <c r="IR114" s="27">
        <f>IF(ISNUMBER(IR113),IR113*(1+PortfolioFrontier[[#This Row],[P63 Return]]),1+PortfolioFrontier[[#This Row],[P63 Return]])</f>
        <v>1.9394737744013337</v>
      </c>
      <c r="IS114" s="27">
        <f>MAX(IS113,PortfolioFrontier[[#This Row],[P63 Growth]])</f>
        <v>1.9394737744013337</v>
      </c>
      <c r="IT114" s="27">
        <f>PortfolioFrontier[[#This Row],[P63 Growth]]/PortfolioFrontier[[#This Row],[P63 HWM]]-1</f>
        <v>0</v>
      </c>
      <c r="IU114" s="28">
        <f>SUMPRODUCT(INDEX(PortfolioRef[[SPY]:[PE]],MATCH(IU$1,PortfolioRef[Reference '#]),0),AssetMonthlyReturns[[#This Row],[SPY]:[PE]])</f>
        <v>7.7007445829179958E-3</v>
      </c>
      <c r="IV114" s="27">
        <f>IF(ISNUMBER(IV113),IV113*(1+PortfolioFrontier[[#This Row],[P64 Return]]),1+PortfolioFrontier[[#This Row],[P64 Return]])</f>
        <v>1.9308586370178442</v>
      </c>
      <c r="IW114" s="27">
        <f>MAX(IW113,PortfolioFrontier[[#This Row],[P64 Growth]])</f>
        <v>1.9308586370178442</v>
      </c>
      <c r="IX114" s="27">
        <f>PortfolioFrontier[[#This Row],[P64 Growth]]/PortfolioFrontier[[#This Row],[P64 HWM]]-1</f>
        <v>0</v>
      </c>
      <c r="IY114" s="28">
        <f>SUMPRODUCT(INDEX(PortfolioRef[[SPY]:[PE]],MATCH(IY$1,PortfolioRef[Reference '#]),0),AssetMonthlyReturns[[#This Row],[SPY]:[PE]])</f>
        <v>7.1077660942716388E-3</v>
      </c>
      <c r="IZ114" s="27">
        <f>IF(ISNUMBER(IZ113),IZ113*(1+PortfolioFrontier[[#This Row],[P65 Return]]),1+PortfolioFrontier[[#This Row],[P65 Return]])</f>
        <v>2.0661530436946371</v>
      </c>
      <c r="JA114" s="27">
        <f>MAX(JA113,PortfolioFrontier[[#This Row],[P65 Growth]])</f>
        <v>2.0661530436946371</v>
      </c>
      <c r="JB114" s="27">
        <f>PortfolioFrontier[[#This Row],[P65 Growth]]/PortfolioFrontier[[#This Row],[P65 HWM]]-1</f>
        <v>0</v>
      </c>
      <c r="JC114" s="28">
        <f>SUMPRODUCT(INDEX(PortfolioRef[[SPY]:[PE]],MATCH(JC$1,PortfolioRef[Reference '#]),0),AssetMonthlyReturns[[#This Row],[SPY]:[PE]])</f>
        <v>7.9510673106663547E-3</v>
      </c>
      <c r="JD114" s="27">
        <f>IF(ISNUMBER(JD113),JD113*(1+PortfolioFrontier[[#This Row],[P66 Return]]),1+PortfolioFrontier[[#This Row],[P66 Return]])</f>
        <v>2.0206558872402312</v>
      </c>
      <c r="JE114" s="27">
        <f>MAX(JE113,PortfolioFrontier[[#This Row],[P66 Growth]])</f>
        <v>2.0206558872402312</v>
      </c>
      <c r="JF114" s="27">
        <f>PortfolioFrontier[[#This Row],[P66 Growth]]/PortfolioFrontier[[#This Row],[P66 HWM]]-1</f>
        <v>0</v>
      </c>
      <c r="JG114" s="28">
        <f>SUMPRODUCT(INDEX(PortfolioRef[[SPY]:[PE]],MATCH(JG$1,PortfolioRef[Reference '#]),0),AssetMonthlyReturns[[#This Row],[SPY]:[PE]])</f>
        <v>7.5221326803382397E-3</v>
      </c>
      <c r="JH114" s="27">
        <f>IF(ISNUMBER(JH113),JH113*(1+PortfolioFrontier[[#This Row],[P67 Return]]),1+PortfolioFrontier[[#This Row],[P67 Return]])</f>
        <v>2.011689701544173</v>
      </c>
      <c r="JI114" s="27">
        <f>MAX(JI113,PortfolioFrontier[[#This Row],[P67 Growth]])</f>
        <v>2.011689701544173</v>
      </c>
      <c r="JJ114" s="27">
        <f>PortfolioFrontier[[#This Row],[P67 Growth]]/PortfolioFrontier[[#This Row],[P67 HWM]]-1</f>
        <v>0</v>
      </c>
      <c r="JK114" s="28">
        <f>SUMPRODUCT(INDEX(PortfolioRef[[SPY]:[PE]],MATCH(JK$1,PortfolioRef[Reference '#]),0),AssetMonthlyReturns[[#This Row],[SPY]:[PE]])</f>
        <v>8.7943685270610705E-3</v>
      </c>
      <c r="JL114" s="27">
        <f>IF(ISNUMBER(JL113),JL113*(1+PortfolioFrontier[[#This Row],[P68 Return]]),1+PortfolioFrontier[[#This Row],[P68 Return]])</f>
        <v>1.9742958395529715</v>
      </c>
      <c r="JM114" s="27">
        <f>MAX(JM113,PortfolioFrontier[[#This Row],[P68 Growth]])</f>
        <v>1.9742958395529715</v>
      </c>
      <c r="JN114" s="27">
        <f>PortfolioFrontier[[#This Row],[P68 Growth]]/PortfolioFrontier[[#This Row],[P68 HWM]]-1</f>
        <v>0</v>
      </c>
      <c r="JO114" s="28">
        <f>SUMPRODUCT(INDEX(PortfolioRef[[SPY]:[PE]],MATCH(JO$1,PortfolioRef[Reference '#]),0),AssetMonthlyReturns[[#This Row],[SPY]:[PE]])</f>
        <v>8.3654338967329555E-3</v>
      </c>
      <c r="JP114" s="27">
        <f>IF(ISNUMBER(JP113),JP113*(1+PortfolioFrontier[[#This Row],[P69 Return]]),1+PortfolioFrontier[[#This Row],[P69 Return]])</f>
        <v>1.966809888875257</v>
      </c>
      <c r="JQ114" s="27">
        <f>MAX(JQ113,PortfolioFrontier[[#This Row],[P69 Growth]])</f>
        <v>1.966809888875257</v>
      </c>
      <c r="JR114" s="27">
        <f>PortfolioFrontier[[#This Row],[P69 Growth]]/PortfolioFrontier[[#This Row],[P69 HWM]]-1</f>
        <v>0</v>
      </c>
      <c r="JS114" s="28">
        <f>SUMPRODUCT(INDEX(PortfolioRef[[SPY]:[PE]],MATCH(JS$1,PortfolioRef[Reference '#]),0),AssetMonthlyReturns[[#This Row],[SPY]:[PE]])</f>
        <v>7.9364992664048388E-3</v>
      </c>
      <c r="JT114" s="27">
        <f>IF(ISNUMBER(JT113),JT113*(1+PortfolioFrontier[[#This Row],[P70 Return]]),1+PortfolioFrontier[[#This Row],[P70 Return]])</f>
        <v>1.957660864706674</v>
      </c>
      <c r="JU114" s="27">
        <f>MAX(JU113,PortfolioFrontier[[#This Row],[P70 Growth]])</f>
        <v>1.957660864706674</v>
      </c>
      <c r="JV114" s="27">
        <f>PortfolioFrontier[[#This Row],[P70 Growth]]/PortfolioFrontier[[#This Row],[P70 HWM]]-1</f>
        <v>0</v>
      </c>
      <c r="JW114" s="28">
        <f>SUMPRODUCT(INDEX(PortfolioRef[[SPY]:[PE]],MATCH(JW$1,PortfolioRef[Reference '#]),0),AssetMonthlyReturns[[#This Row],[SPY]:[PE]])</f>
        <v>7.7724554080865985E-3</v>
      </c>
      <c r="JX114" s="27">
        <f>IF(ISNUMBER(JX113),JX113*(1+PortfolioFrontier[[#This Row],[P71 Return]]),1+PortfolioFrontier[[#This Row],[P71 Return]])</f>
        <v>2.1044894122456581</v>
      </c>
      <c r="JY114" s="27">
        <f>MAX(JY113,PortfolioFrontier[[#This Row],[P71 Growth]])</f>
        <v>2.1044894122456581</v>
      </c>
      <c r="JZ114" s="27">
        <f>PortfolioFrontier[[#This Row],[P71 Growth]]/PortfolioFrontier[[#This Row],[P71 HWM]]-1</f>
        <v>0</v>
      </c>
      <c r="KA114" s="28">
        <f>SUMPRODUCT(INDEX(PortfolioRef[[SPY]:[PE]],MATCH(KA$1,PortfolioRef[Reference '#]),0),AssetMonthlyReturns[[#This Row],[SPY]:[PE]])</f>
        <v>7.3435207777584836E-3</v>
      </c>
      <c r="KB114" s="27">
        <f>IF(ISNUMBER(KB113),KB113*(1+PortfolioFrontier[[#This Row],[P72 Return]]),1+PortfolioFrontier[[#This Row],[P72 Return]])</f>
        <v>2.0951610877976328</v>
      </c>
      <c r="KC114" s="27">
        <f>MAX(KC113,PortfolioFrontier[[#This Row],[P72 Growth]])</f>
        <v>2.0951610877976328</v>
      </c>
      <c r="KD114" s="27">
        <f>PortfolioFrontier[[#This Row],[P72 Growth]]/PortfolioFrontier[[#This Row],[P72 HWM]]-1</f>
        <v>0</v>
      </c>
      <c r="KE114" s="28">
        <f>SUMPRODUCT(INDEX(PortfolioRef[[SPY]:[PE]],MATCH(KE$1,PortfolioRef[Reference '#]),0),AssetMonthlyReturns[[#This Row],[SPY]:[PE]])</f>
        <v>8.6157566244813143E-3</v>
      </c>
      <c r="KF114" s="27">
        <f>IF(ISNUMBER(KF113),KF113*(1+PortfolioFrontier[[#This Row],[P73 Return]]),1+PortfolioFrontier[[#This Row],[P73 Return]])</f>
        <v>2.0569290701084313</v>
      </c>
      <c r="KG114" s="27">
        <f>MAX(KG113,PortfolioFrontier[[#This Row],[P73 Growth]])</f>
        <v>2.0569290701084313</v>
      </c>
      <c r="KH114" s="27">
        <f>PortfolioFrontier[[#This Row],[P73 Growth]]/PortfolioFrontier[[#This Row],[P73 HWM]]-1</f>
        <v>0</v>
      </c>
      <c r="KI114" s="28">
        <f>SUMPRODUCT(INDEX(PortfolioRef[[SPY]:[PE]],MATCH(KI$1,PortfolioRef[Reference '#]),0),AssetMonthlyReturns[[#This Row],[SPY]:[PE]])</f>
        <v>8.1868219941531994E-3</v>
      </c>
      <c r="KJ114" s="27">
        <f>IF(ISNUMBER(KJ113),KJ113*(1+PortfolioFrontier[[#This Row],[P74 Return]]),1+PortfolioFrontier[[#This Row],[P74 Return]])</f>
        <v>2.0491387410303239</v>
      </c>
      <c r="KK114" s="27">
        <f>MAX(KK113,PortfolioFrontier[[#This Row],[P74 Growth]])</f>
        <v>2.0491387410303239</v>
      </c>
      <c r="KL114" s="27">
        <f>PortfolioFrontier[[#This Row],[P74 Growth]]/PortfolioFrontier[[#This Row],[P74 HWM]]-1</f>
        <v>0</v>
      </c>
      <c r="KM114" s="28">
        <f>SUMPRODUCT(INDEX(PortfolioRef[[SPY]:[PE]],MATCH(KM$1,PortfolioRef[Reference '#]),0),AssetMonthlyReturns[[#This Row],[SPY]:[PE]])</f>
        <v>7.7578873638250835E-3</v>
      </c>
      <c r="KN114" s="27">
        <f>IF(ISNUMBER(KN113),KN113*(1+PortfolioFrontier[[#This Row],[P75 Return]]),1+PortfolioFrontier[[#This Row],[P75 Return]])</f>
        <v>2.0396167468303239</v>
      </c>
      <c r="KO114" s="27">
        <f>MAX(KO113,PortfolioFrontier[[#This Row],[P75 Growth]])</f>
        <v>2.0396167468303239</v>
      </c>
      <c r="KP114" s="27">
        <f>PortfolioFrontier[[#This Row],[P75 Growth]]/PortfolioFrontier[[#This Row],[P75 HWM]]-1</f>
        <v>0</v>
      </c>
      <c r="KQ114" s="28">
        <f>SUMPRODUCT(INDEX(PortfolioRef[[SPY]:[PE]],MATCH(KQ$1,PortfolioRef[Reference '#]),0),AssetMonthlyReturns[[#This Row],[SPY]:[PE]])</f>
        <v>9.4590578408760284E-3</v>
      </c>
      <c r="KR114" s="27">
        <f>IF(ISNUMBER(KR113),KR113*(1+PortfolioFrontier[[#This Row],[P76 Return]]),1+PortfolioFrontier[[#This Row],[P76 Return]])</f>
        <v>2.0085413753645223</v>
      </c>
      <c r="KS114" s="27">
        <f>MAX(KS113,PortfolioFrontier[[#This Row],[P76 Growth]])</f>
        <v>2.0085413753645223</v>
      </c>
      <c r="KT114" s="27">
        <f>PortfolioFrontier[[#This Row],[P76 Growth]]/PortfolioFrontier[[#This Row],[P76 HWM]]-1</f>
        <v>0</v>
      </c>
      <c r="KU114" s="28">
        <f>SUMPRODUCT(INDEX(PortfolioRef[[SPY]:[PE]],MATCH(KU$1,PortfolioRef[Reference '#]),0),AssetMonthlyReturns[[#This Row],[SPY]:[PE]])</f>
        <v>9.0301232105479152E-3</v>
      </c>
      <c r="KV114" s="27">
        <f>IF(ISNUMBER(KV113),KV113*(1+PortfolioFrontier[[#This Row],[P77 Return]]),1+PortfolioFrontier[[#This Row],[P77 Return]])</f>
        <v>2.0022368597651976</v>
      </c>
      <c r="KW114" s="27">
        <f>MAX(KW113,PortfolioFrontier[[#This Row],[P77 Growth]])</f>
        <v>2.0022368597651976</v>
      </c>
      <c r="KX114" s="27">
        <f>PortfolioFrontier[[#This Row],[P77 Growth]]/PortfolioFrontier[[#This Row],[P77 HWM]]-1</f>
        <v>0</v>
      </c>
      <c r="KY114" s="28">
        <f>SUMPRODUCT(INDEX(PortfolioRef[[SPY]:[PE]],MATCH(KY$1,PortfolioRef[Reference '#]),0),AssetMonthlyReturns[[#This Row],[SPY]:[PE]])</f>
        <v>8.6011885802197985E-3</v>
      </c>
      <c r="KZ114" s="27">
        <f>IF(ISNUMBER(KZ113),KZ113*(1+PortfolioFrontier[[#This Row],[P78 Return]]),1+PortfolioFrontier[[#This Row],[P78 Return]])</f>
        <v>1.9942245804392364</v>
      </c>
      <c r="LA114" s="27">
        <f>MAX(LA113,PortfolioFrontier[[#This Row],[P78 Growth]])</f>
        <v>1.9942245804392364</v>
      </c>
      <c r="LB114" s="27">
        <f>PortfolioFrontier[[#This Row],[P78 Growth]]/PortfolioFrontier[[#This Row],[P78 HWM]]-1</f>
        <v>0</v>
      </c>
      <c r="LC114" s="28">
        <f>SUMPRODUCT(INDEX(PortfolioRef[[SPY]:[PE]],MATCH(LC$1,PortfolioRef[Reference '#]),0),AssetMonthlyReturns[[#This Row],[SPY]:[PE]])</f>
        <v>8.4371447219015582E-3</v>
      </c>
      <c r="LD114" s="27">
        <f>IF(ISNUMBER(LD113),LD113*(1+PortfolioFrontier[[#This Row],[P79 Return]]),1+PortfolioFrontier[[#This Row],[P79 Return]])</f>
        <v>2.1422612524111124</v>
      </c>
      <c r="LE114" s="27">
        <f>MAX(LE113,PortfolioFrontier[[#This Row],[P79 Growth]])</f>
        <v>2.1422612524111124</v>
      </c>
      <c r="LF114" s="27">
        <f>PortfolioFrontier[[#This Row],[P79 Growth]]/PortfolioFrontier[[#This Row],[P79 HWM]]-1</f>
        <v>0</v>
      </c>
      <c r="LG114" s="28">
        <f>SUMPRODUCT(INDEX(PortfolioRef[[SPY]:[PE]],MATCH(LG$1,PortfolioRef[Reference '#]),0),AssetMonthlyReturns[[#This Row],[SPY]:[PE]])</f>
        <v>8.0082100915734433E-3</v>
      </c>
      <c r="LH114" s="27">
        <f>IF(ISNUMBER(LH113),LH113*(1+PortfolioFrontier[[#This Row],[P80 Return]]),1+PortfolioFrontier[[#This Row],[P80 Return]])</f>
        <v>2.1341569607944324</v>
      </c>
      <c r="LI114" s="27">
        <f>MAX(LI113,PortfolioFrontier[[#This Row],[P80 Growth]])</f>
        <v>2.1341569607944324</v>
      </c>
      <c r="LJ114" s="27">
        <f>PortfolioFrontier[[#This Row],[P80 Growth]]/PortfolioFrontier[[#This Row],[P80 HWM]]-1</f>
        <v>0</v>
      </c>
      <c r="LK114" s="28">
        <f>SUMPRODUCT(INDEX(PortfolioRef[[SPY]:[PE]],MATCH(LK$1,PortfolioRef[Reference '#]),0),AssetMonthlyReturns[[#This Row],[SPY]:[PE]])</f>
        <v>7.5792754612453274E-3</v>
      </c>
      <c r="LL114" s="27">
        <f>IF(ISNUMBER(LL113),LL113*(1+PortfolioFrontier[[#This Row],[P81 Return]]),1+PortfolioFrontier[[#This Row],[P81 Return]])</f>
        <v>2.1242502020699914</v>
      </c>
      <c r="LM114" s="27">
        <f>MAX(LM113,PortfolioFrontier[[#This Row],[P81 Growth]])</f>
        <v>2.1242502020699914</v>
      </c>
      <c r="LN114" s="27">
        <f>PortfolioFrontier[[#This Row],[P81 Growth]]/PortfolioFrontier[[#This Row],[P81 HWM]]-1</f>
        <v>0</v>
      </c>
      <c r="LO114" s="28">
        <f>SUMPRODUCT(INDEX(PortfolioRef[[SPY]:[PE]],MATCH(LO$1,PortfolioRef[Reference '#]),0),AssetMonthlyReturns[[#This Row],[SPY]:[PE]])</f>
        <v>9.2804459382962723E-3</v>
      </c>
      <c r="LP114" s="27">
        <f>IF(ISNUMBER(LP113),LP113*(1+PortfolioFrontier[[#This Row],[P82 Return]]),1+PortfolioFrontier[[#This Row],[P82 Return]])</f>
        <v>2.0926021459666568</v>
      </c>
      <c r="LQ114" s="27">
        <f>MAX(LQ113,PortfolioFrontier[[#This Row],[P82 Growth]])</f>
        <v>2.0926021459666568</v>
      </c>
      <c r="LR114" s="27">
        <f>PortfolioFrontier[[#This Row],[P82 Growth]]/PortfolioFrontier[[#This Row],[P82 HWM]]-1</f>
        <v>0</v>
      </c>
      <c r="LS114" s="28">
        <f>SUMPRODUCT(INDEX(PortfolioRef[[SPY]:[PE]],MATCH(LS$1,PortfolioRef[Reference '#]),0),AssetMonthlyReturns[[#This Row],[SPY]:[PE]])</f>
        <v>8.8515113079681591E-3</v>
      </c>
      <c r="LT114" s="27">
        <f>IF(ISNUMBER(LT113),LT113*(1+PortfolioFrontier[[#This Row],[P83 Return]]),1+PortfolioFrontier[[#This Row],[P83 Return]])</f>
        <v>2.0860420672603452</v>
      </c>
      <c r="LU114" s="27">
        <f>MAX(LU113,PortfolioFrontier[[#This Row],[P83 Growth]])</f>
        <v>2.0860420672603452</v>
      </c>
      <c r="LV114" s="27">
        <f>PortfolioFrontier[[#This Row],[P83 Growth]]/PortfolioFrontier[[#This Row],[P83 HWM]]-1</f>
        <v>0</v>
      </c>
      <c r="LW114" s="28">
        <f>SUMPRODUCT(INDEX(PortfolioRef[[SPY]:[PE]],MATCH(LW$1,PortfolioRef[Reference '#]),0),AssetMonthlyReturns[[#This Row],[SPY]:[PE]])</f>
        <v>8.4225766776400424E-3</v>
      </c>
      <c r="LX114" s="27">
        <f>IF(ISNUMBER(LX113),LX113*(1+PortfolioFrontier[[#This Row],[P84 Return]]),1+PortfolioFrontier[[#This Row],[P84 Return]])</f>
        <v>2.0777038047334822</v>
      </c>
      <c r="LY114" s="27">
        <f>MAX(LY113,PortfolioFrontier[[#This Row],[P84 Growth]])</f>
        <v>2.0777038047334822</v>
      </c>
      <c r="LZ114" s="27">
        <f>PortfolioFrontier[[#This Row],[P84 Growth]]/PortfolioFrontier[[#This Row],[P84 HWM]]-1</f>
        <v>0</v>
      </c>
      <c r="MA114" s="28">
        <f>SUMPRODUCT(INDEX(PortfolioRef[[SPY]:[PE]],MATCH(MA$1,PortfolioRef[Reference '#]),0),AssetMonthlyReturns[[#This Row],[SPY]:[PE]])</f>
        <v>1.0123747154690986E-2</v>
      </c>
      <c r="MB114" s="27">
        <f>IF(ISNUMBER(MB113),MB113*(1+PortfolioFrontier[[#This Row],[P85 Return]]),1+PortfolioFrontier[[#This Row],[P85 Return]])</f>
        <v>2.042154712254447</v>
      </c>
      <c r="MC114" s="27">
        <f>MAX(MC113,PortfolioFrontier[[#This Row],[P85 Growth]])</f>
        <v>2.042154712254447</v>
      </c>
      <c r="MD114" s="27">
        <f>PortfolioFrontier[[#This Row],[P85 Growth]]/PortfolioFrontier[[#This Row],[P85 HWM]]-1</f>
        <v>0</v>
      </c>
      <c r="ME114" s="28">
        <f>SUMPRODUCT(INDEX(PortfolioRef[[SPY]:[PE]],MATCH(ME$1,PortfolioRef[Reference '#]),0),AssetMonthlyReturns[[#This Row],[SPY]:[PE]])</f>
        <v>9.6948125243628731E-3</v>
      </c>
      <c r="MF114" s="27">
        <f>IF(ISNUMBER(MF113),MF113*(1+PortfolioFrontier[[#This Row],[P86 Return]]),1+PortfolioFrontier[[#This Row],[P86 Return]])</f>
        <v>2.0370834150966979</v>
      </c>
      <c r="MG114" s="27">
        <f>MAX(MG113,PortfolioFrontier[[#This Row],[P86 Growth]])</f>
        <v>2.0370834150966979</v>
      </c>
      <c r="MH114" s="27">
        <f>PortfolioFrontier[[#This Row],[P86 Growth]]/PortfolioFrontier[[#This Row],[P86 HWM]]-1</f>
        <v>0</v>
      </c>
      <c r="MI114" s="28">
        <f>SUMPRODUCT(INDEX(PortfolioRef[[SPY]:[PE]],MATCH(MI$1,PortfolioRef[Reference '#]),0),AssetMonthlyReturns[[#This Row],[SPY]:[PE]])</f>
        <v>9.2658778940347582E-3</v>
      </c>
      <c r="MJ114" s="27">
        <f>IF(ISNUMBER(MJ113),MJ113*(1+PortfolioFrontier[[#This Row],[P87 Return]]),1+PortfolioFrontier[[#This Row],[P87 Return]])</f>
        <v>2.0302610736727629</v>
      </c>
      <c r="MK114" s="27">
        <f>MAX(MK113,PortfolioFrontier[[#This Row],[P87 Growth]])</f>
        <v>2.0302610736727629</v>
      </c>
      <c r="ML114" s="27">
        <f>PortfolioFrontier[[#This Row],[P87 Growth]]/PortfolioFrontier[[#This Row],[P87 HWM]]-1</f>
        <v>0</v>
      </c>
      <c r="MM114" s="28">
        <f>SUMPRODUCT(INDEX(PortfolioRef[[SPY]:[PE]],MATCH(MM$1,PortfolioRef[Reference '#]),0),AssetMonthlyReturns[[#This Row],[SPY]:[PE]])</f>
        <v>9.1018340357165162E-3</v>
      </c>
      <c r="MN114" s="27">
        <f>IF(ISNUMBER(MN113),MN113*(1+PortfolioFrontier[[#This Row],[P88 Return]]),1+PortfolioFrontier[[#This Row],[P88 Return]])</f>
        <v>2.1794086661814593</v>
      </c>
      <c r="MO114" s="27">
        <f>MAX(MO113,PortfolioFrontier[[#This Row],[P88 Growth]])</f>
        <v>2.1794086661814593</v>
      </c>
      <c r="MP114" s="27">
        <f>PortfolioFrontier[[#This Row],[P88 Growth]]/PortfolioFrontier[[#This Row],[P88 HWM]]-1</f>
        <v>0</v>
      </c>
      <c r="MQ114" s="28">
        <f>SUMPRODUCT(INDEX(PortfolioRef[[SPY]:[PE]],MATCH(MQ$1,PortfolioRef[Reference '#]),0),AssetMonthlyReturns[[#This Row],[SPY]:[PE]])</f>
        <v>8.6728994053884029E-3</v>
      </c>
      <c r="MR114" s="27">
        <f>IF(ISNUMBER(MR113),MR113*(1+PortfolioFrontier[[#This Row],[P89 Return]]),1+PortfolioFrontier[[#This Row],[P89 Return]])</f>
        <v>2.1725850156537501</v>
      </c>
      <c r="MS114" s="27">
        <f>MAX(MS113,PortfolioFrontier[[#This Row],[P89 Growth]])</f>
        <v>2.1725850156537501</v>
      </c>
      <c r="MT114" s="27">
        <f>PortfolioFrontier[[#This Row],[P89 Growth]]/PortfolioFrontier[[#This Row],[P89 HWM]]-1</f>
        <v>0</v>
      </c>
      <c r="MU114" s="28">
        <f>SUMPRODUCT(INDEX(PortfolioRef[[SPY]:[PE]],MATCH(MU$1,PortfolioRef[Reference '#]),0),AssetMonthlyReturns[[#This Row],[SPY]:[PE]])</f>
        <v>8.2439647750602862E-3</v>
      </c>
      <c r="MV114" s="27">
        <f>IF(ISNUMBER(MV113),MV113*(1+PortfolioFrontier[[#This Row],[P90 Return]]),1+PortfolioFrontier[[#This Row],[P90 Return]])</f>
        <v>2.1639104922799848</v>
      </c>
      <c r="MW114" s="27">
        <f>MAX(MW113,PortfolioFrontier[[#This Row],[P90 Growth]])</f>
        <v>2.1639104922799848</v>
      </c>
      <c r="MX114" s="27">
        <f>PortfolioFrontier[[#This Row],[P90 Growth]]/PortfolioFrontier[[#This Row],[P90 HWM]]-1</f>
        <v>0</v>
      </c>
      <c r="MY114" s="28">
        <f>SUMPRODUCT(INDEX(PortfolioRef[[SPY]:[PE]],MATCH(MY$1,PortfolioRef[Reference '#]),0),AssetMonthlyReturns[[#This Row],[SPY]:[PE]])</f>
        <v>9.9451352521112302E-3</v>
      </c>
      <c r="MZ114" s="27">
        <f>IF(ISNUMBER(MZ113),MZ113*(1+PortfolioFrontier[[#This Row],[P91 Return]]),1+PortfolioFrontier[[#This Row],[P91 Return]])</f>
        <v>2.1276171615694657</v>
      </c>
      <c r="NA114" s="27">
        <f>MAX(NA113,PortfolioFrontier[[#This Row],[P91 Growth]])</f>
        <v>2.1276171615694657</v>
      </c>
      <c r="NB114" s="27">
        <f>PortfolioFrontier[[#This Row],[P91 Growth]]/PortfolioFrontier[[#This Row],[P91 HWM]]-1</f>
        <v>0</v>
      </c>
      <c r="NC114" s="28">
        <f>SUMPRODUCT(INDEX(PortfolioRef[[SPY]:[PE]],MATCH(NC$1,PortfolioRef[Reference '#]),0),AssetMonthlyReturns[[#This Row],[SPY]:[PE]])</f>
        <v>9.516200621783117E-3</v>
      </c>
      <c r="ND114" s="27">
        <f>IF(ISNUMBER(ND113),ND113*(1+PortfolioFrontier[[#This Row],[P92 Return]]),1+PortfolioFrontier[[#This Row],[P92 Return]])</f>
        <v>2.1223412435540938</v>
      </c>
      <c r="NE114" s="27">
        <f>MAX(NE113,PortfolioFrontier[[#This Row],[P92 Growth]])</f>
        <v>2.1223412435540938</v>
      </c>
      <c r="NF114" s="27">
        <f>PortfolioFrontier[[#This Row],[P92 Growth]]/PortfolioFrontier[[#This Row],[P92 HWM]]-1</f>
        <v>0</v>
      </c>
      <c r="NG114" s="28">
        <f>SUMPRODUCT(INDEX(PortfolioRef[[SPY]:[PE]],MATCH(NG$1,PortfolioRef[Reference '#]),0),AssetMonthlyReturns[[#This Row],[SPY]:[PE]])</f>
        <v>9.0872659914550021E-3</v>
      </c>
      <c r="NH114" s="27">
        <f>IF(ISNUMBER(NH113),NH113*(1+PortfolioFrontier[[#This Row],[P93 Return]]),1+PortfolioFrontier[[#This Row],[P93 Return]])</f>
        <v>2.1152420898730471</v>
      </c>
      <c r="NI114" s="27">
        <f>MAX(NI113,PortfolioFrontier[[#This Row],[P93 Growth]])</f>
        <v>2.1152420898730471</v>
      </c>
      <c r="NJ114" s="27">
        <f>PortfolioFrontier[[#This Row],[P93 Growth]]/PortfolioFrontier[[#This Row],[P93 HWM]]-1</f>
        <v>0</v>
      </c>
      <c r="NK114" s="28">
        <f>SUMPRODUCT(INDEX(PortfolioRef[[SPY]:[PE]],MATCH(NK$1,PortfolioRef[Reference '#]),0),AssetMonthlyReturns[[#This Row],[SPY]:[PE]])</f>
        <v>1.0788436468505946E-2</v>
      </c>
      <c r="NL114" s="27">
        <f>IF(ISNUMBER(NL113),NL113*(1+PortfolioFrontier[[#This Row],[P94 Return]]),1+PortfolioFrontier[[#This Row],[P94 Return]])</f>
        <v>2.0750799141755252</v>
      </c>
      <c r="NM114" s="27">
        <f>MAX(NM113,PortfolioFrontier[[#This Row],[P94 Growth]])</f>
        <v>2.0750799141755252</v>
      </c>
      <c r="NN114" s="27">
        <f>PortfolioFrontier[[#This Row],[P94 Growth]]/PortfolioFrontier[[#This Row],[P94 HWM]]-1</f>
        <v>0</v>
      </c>
      <c r="NO114" s="28">
        <f>SUMPRODUCT(INDEX(PortfolioRef[[SPY]:[PE]],MATCH(NO$1,PortfolioRef[Reference '#]),0),AssetMonthlyReturns[[#This Row],[SPY]:[PE]])</f>
        <v>1.0359501838177831E-2</v>
      </c>
      <c r="NP114" s="27">
        <f>IF(ISNUMBER(NP113),NP113*(1+PortfolioFrontier[[#This Row],[P95 Return]]),1+PortfolioFrontier[[#This Row],[P95 Return]])</f>
        <v>2.0712930239069287</v>
      </c>
      <c r="NQ114" s="27">
        <f>MAX(NQ113,PortfolioFrontier[[#This Row],[P95 Growth]])</f>
        <v>2.0712930239069287</v>
      </c>
      <c r="NR114" s="27">
        <f>PortfolioFrontier[[#This Row],[P95 Growth]]/PortfolioFrontier[[#This Row],[P95 HWM]]-1</f>
        <v>0</v>
      </c>
      <c r="NS114" s="28">
        <f>SUMPRODUCT(INDEX(PortfolioRef[[SPY]:[PE]],MATCH(NS$1,PortfolioRef[Reference '#]),0),AssetMonthlyReturns[[#This Row],[SPY]:[PE]])</f>
        <v>9.9305672078497161E-3</v>
      </c>
      <c r="NT114" s="27">
        <f>IF(ISNUMBER(NT113),NT113*(1+PortfolioFrontier[[#This Row],[P96 Return]]),1+PortfolioFrontier[[#This Row],[P96 Return]])</f>
        <v>2.0657133613168304</v>
      </c>
      <c r="NU114" s="27">
        <f>MAX(NU113,PortfolioFrontier[[#This Row],[P96 Growth]])</f>
        <v>2.0657133613168304</v>
      </c>
      <c r="NV114" s="27">
        <f>PortfolioFrontier[[#This Row],[P96 Growth]]/PortfolioFrontier[[#This Row],[P96 HWM]]-1</f>
        <v>0</v>
      </c>
      <c r="NW114" s="28">
        <f>SUMPRODUCT(INDEX(PortfolioRef[[SPY]:[PE]],MATCH(NW$1,PortfolioRef[Reference '#]),0),AssetMonthlyReturns[[#This Row],[SPY]:[PE]])</f>
        <v>6.0343834558885361E-3</v>
      </c>
      <c r="NX114" s="27">
        <f>IF(ISNUMBER(NX113),NX113*(1+PortfolioFrontier[[#This Row],[P97 Return]]),1+PortfolioFrontier[[#This Row],[P97 Return]])</f>
        <v>1.7956233808274091</v>
      </c>
      <c r="NY114" s="27">
        <f>MAX(NY113,PortfolioFrontier[[#This Row],[P97 Growth]])</f>
        <v>1.7956233808274091</v>
      </c>
      <c r="NZ114" s="27">
        <f>PortfolioFrontier[[#This Row],[P97 Growth]]/PortfolioFrontier[[#This Row],[P97 HWM]]-1</f>
        <v>0</v>
      </c>
      <c r="OA114" s="28">
        <f>SUMPRODUCT(INDEX(PortfolioRef[[SPY]:[PE]],MATCH(OA$1,PortfolioRef[Reference '#]),0),AssetMonthlyReturns[[#This Row],[SPY]:[PE]])</f>
        <v>5.8557715533087799E-3</v>
      </c>
      <c r="OB114" s="27">
        <f>IF(ISNUMBER(OB113),OB113*(1+PortfolioFrontier[[#This Row],[P98 Return]]),1+PortfolioFrontier[[#This Row],[P98 Return]])</f>
        <v>1.870777313307983</v>
      </c>
      <c r="OC114" s="27">
        <f>MAX(OC113,PortfolioFrontier[[#This Row],[P98 Growth]])</f>
        <v>1.870777313307983</v>
      </c>
      <c r="OD114" s="27">
        <f>PortfolioFrontier[[#This Row],[P98 Growth]]/PortfolioFrontier[[#This Row],[P98 HWM]]-1</f>
        <v>0</v>
      </c>
      <c r="OE114" s="28">
        <f>SUMPRODUCT(INDEX(PortfolioRef[[SPY]:[PE]],MATCH(OE$1,PortfolioRef[Reference '#]),0),AssetMonthlyReturns[[#This Row],[SPY]:[PE]])</f>
        <v>6.6990727697034957E-3</v>
      </c>
      <c r="OF114" s="27">
        <f>IF(ISNUMBER(OF113),OF113*(1+PortfolioFrontier[[#This Row],[P99 Return]]),1+PortfolioFrontier[[#This Row],[P99 Return]])</f>
        <v>1.8296879406168431</v>
      </c>
      <c r="OG114" s="27">
        <f>MAX(OG113,PortfolioFrontier[[#This Row],[P99 Growth]])</f>
        <v>1.8296879406168431</v>
      </c>
      <c r="OH114" s="27">
        <f>PortfolioFrontier[[#This Row],[P99 Growth]]/PortfolioFrontier[[#This Row],[P99 HWM]]-1</f>
        <v>0</v>
      </c>
      <c r="OI114" s="28">
        <f>SUMPRODUCT(INDEX(PortfolioRef[[SPY]:[PE]],MATCH(OI$1,PortfolioRef[Reference '#]),0),AssetMonthlyReturns[[#This Row],[SPY]:[PE]])</f>
        <v>6.2701381393753808E-3</v>
      </c>
      <c r="OJ114" s="27">
        <f>IF(ISNUMBER(OJ113),OJ113*(1+PortfolioFrontier[[#This Row],[P100 Return]]),1+PortfolioFrontier[[#This Row],[P100 Return]])</f>
        <v>1.820875225802622</v>
      </c>
      <c r="OK114" s="27">
        <f>MAX(OK113,PortfolioFrontier[[#This Row],[P100 Growth]])</f>
        <v>1.820875225802622</v>
      </c>
      <c r="OL114" s="27">
        <f>PortfolioFrontier[[#This Row],[P100 Growth]]/PortfolioFrontier[[#This Row],[P100 HWM]]-1</f>
        <v>0</v>
      </c>
      <c r="OM114" s="28">
        <f>SUMPRODUCT(INDEX(PortfolioRef[[SPY]:[PE]],MATCH(OM$1,PortfolioRef[Reference '#]),0),AssetMonthlyReturns[[#This Row],[SPY]:[PE]])</f>
        <v>5.6771596507290238E-3</v>
      </c>
      <c r="ON114" s="27">
        <f>IF(ISNUMBER(ON113),ON113*(1+PortfolioFrontier[[#This Row],[P101 Return]]),1+PortfolioFrontier[[#This Row],[P101 Return]])</f>
        <v>1.9483840880391776</v>
      </c>
      <c r="OO114" s="27">
        <f>MAX(OO113,PortfolioFrontier[[#This Row],[P101 Growth]])</f>
        <v>1.9483840880391776</v>
      </c>
      <c r="OP114" s="27">
        <f>PortfolioFrontier[[#This Row],[P101 Growth]]/PortfolioFrontier[[#This Row],[P101 HWM]]-1</f>
        <v>0</v>
      </c>
      <c r="OQ114" s="28">
        <f>SUMPRODUCT(INDEX(PortfolioRef[[SPY]:[PE]],MATCH(OQ$1,PortfolioRef[Reference '#]),0),AssetMonthlyReturns[[#This Row],[SPY]:[PE]])</f>
        <v>6.5204608671237396E-3</v>
      </c>
      <c r="OR114" s="27">
        <f>IF(ISNUMBER(OR113),OR113*(1+PortfolioFrontier[[#This Row],[P102 Return]]),1+PortfolioFrontier[[#This Row],[P102 Return]])</f>
        <v>1.9062604946834807</v>
      </c>
      <c r="OS114" s="27">
        <f>MAX(OS113,PortfolioFrontier[[#This Row],[P102 Growth]])</f>
        <v>1.9062604946834807</v>
      </c>
      <c r="OT114" s="27">
        <f>PortfolioFrontier[[#This Row],[P102 Growth]]/PortfolioFrontier[[#This Row],[P102 HWM]]-1</f>
        <v>0</v>
      </c>
      <c r="OU114" s="28">
        <f>SUMPRODUCT(INDEX(PortfolioRef[[SPY]:[PE]],MATCH(OU$1,PortfolioRef[Reference '#]),0),AssetMonthlyReturns[[#This Row],[SPY]:[PE]])</f>
        <v>6.0915262367956247E-3</v>
      </c>
      <c r="OV114" s="27">
        <f>IF(ISNUMBER(OV113),OV113*(1+PortfolioFrontier[[#This Row],[P103 Return]]),1+PortfolioFrontier[[#This Row],[P103 Return]])</f>
        <v>1.8970883788876907</v>
      </c>
      <c r="OW114" s="27">
        <f>MAX(OW113,PortfolioFrontier[[#This Row],[P103 Growth]])</f>
        <v>1.8970883788876907</v>
      </c>
      <c r="OX114" s="27">
        <f>PortfolioFrontier[[#This Row],[P103 Growth]]/PortfolioFrontier[[#This Row],[P103 HWM]]-1</f>
        <v>0</v>
      </c>
      <c r="OY114" s="28">
        <f>SUMPRODUCT(INDEX(PortfolioRef[[SPY]:[PE]],MATCH(OY$1,PortfolioRef[Reference '#]),0),AssetMonthlyReturns[[#This Row],[SPY]:[PE]])</f>
        <v>7.3637620835184546E-3</v>
      </c>
      <c r="OZ114" s="27">
        <f>IF(ISNUMBER(OZ113),OZ113*(1+PortfolioFrontier[[#This Row],[P104 Return]]),1+PortfolioFrontier[[#This Row],[P104 Return]])</f>
        <v>1.8632896524112394</v>
      </c>
      <c r="PA114" s="27">
        <f>MAX(PA113,PortfolioFrontier[[#This Row],[P104 Growth]])</f>
        <v>1.8632896524112394</v>
      </c>
      <c r="PB114" s="27">
        <f>PortfolioFrontier[[#This Row],[P104 Growth]]/PortfolioFrontier[[#This Row],[P104 HWM]]-1</f>
        <v>0</v>
      </c>
      <c r="PC114" s="28">
        <f>SUMPRODUCT(INDEX(PortfolioRef[[SPY]:[PE]],MATCH(PC$1,PortfolioRef[Reference '#]),0),AssetMonthlyReturns[[#This Row],[SPY]:[PE]])</f>
        <v>6.9348274531903405E-3</v>
      </c>
      <c r="PD114" s="27">
        <f>IF(ISNUMBER(PD113),PD113*(1+PortfolioFrontier[[#This Row],[P105 Return]]),1+PortfolioFrontier[[#This Row],[P105 Return]])</f>
        <v>1.8555243214288817</v>
      </c>
      <c r="PE114" s="27">
        <f>MAX(PE113,PortfolioFrontier[[#This Row],[P105 Growth]])</f>
        <v>1.8555243214288817</v>
      </c>
      <c r="PF114" s="27">
        <f>PortfolioFrontier[[#This Row],[P105 Growth]]/PortfolioFrontier[[#This Row],[P105 HWM]]-1</f>
        <v>0</v>
      </c>
      <c r="PG114" s="28">
        <f>SUMPRODUCT(INDEX(PortfolioRef[[SPY]:[PE]],MATCH(PG$1,PortfolioRef[Reference '#]),0),AssetMonthlyReturns[[#This Row],[SPY]:[PE]])</f>
        <v>6.5058928228622246E-3</v>
      </c>
      <c r="PH114" s="27">
        <f>IF(ISNUMBER(PH113),PH113*(1+PortfolioFrontier[[#This Row],[P106 Return]]),1+PortfolioFrontier[[#This Row],[P106 Return]])</f>
        <v>1.846198167287425</v>
      </c>
      <c r="PI114" s="27">
        <f>MAX(PI113,PortfolioFrontier[[#This Row],[P106 Growth]])</f>
        <v>1.846198167287425</v>
      </c>
      <c r="PJ114" s="27">
        <f>PortfolioFrontier[[#This Row],[P106 Growth]]/PortfolioFrontier[[#This Row],[P106 HWM]]-1</f>
        <v>0</v>
      </c>
      <c r="PK114" s="28">
        <f>SUMPRODUCT(INDEX(PortfolioRef[[SPY]:[PE]],MATCH(PK$1,PortfolioRef[Reference '#]),0),AssetMonthlyReturns[[#This Row],[SPY]:[PE]])</f>
        <v>6.3418489645439835E-3</v>
      </c>
      <c r="PL114" s="27">
        <f>IF(ISNUMBER(PL113),PL113*(1+PortfolioFrontier[[#This Row],[P107 Return]]),1+PortfolioFrontier[[#This Row],[P107 Return]])</f>
        <v>1.9853322962072237</v>
      </c>
      <c r="PM114" s="27">
        <f>MAX(PM113,PortfolioFrontier[[#This Row],[P107 Growth]])</f>
        <v>1.9853322962072237</v>
      </c>
      <c r="PN114" s="27">
        <f>PortfolioFrontier[[#This Row],[P107 Growth]]/PortfolioFrontier[[#This Row],[P107 HWM]]-1</f>
        <v>0</v>
      </c>
      <c r="PO114" s="28">
        <f>SUMPRODUCT(INDEX(PortfolioRef[[SPY]:[PE]],MATCH(PO$1,PortfolioRef[Reference '#]),0),AssetMonthlyReturns[[#This Row],[SPY]:[PE]])</f>
        <v>5.9129143342158685E-3</v>
      </c>
      <c r="PP114" s="27">
        <f>IF(ISNUMBER(PP113),PP113*(1+PortfolioFrontier[[#This Row],[P108 Return]]),1+PortfolioFrontier[[#This Row],[P108 Return]])</f>
        <v>1.9757894132309062</v>
      </c>
      <c r="PQ114" s="27">
        <f>MAX(PQ113,PortfolioFrontier[[#This Row],[P108 Growth]])</f>
        <v>1.9757894132309062</v>
      </c>
      <c r="PR114" s="27">
        <f>PortfolioFrontier[[#This Row],[P108 Growth]]/PortfolioFrontier[[#This Row],[P108 HWM]]-1</f>
        <v>0</v>
      </c>
      <c r="PS114" s="28">
        <f>SUMPRODUCT(INDEX(PortfolioRef[[SPY]:[PE]],MATCH(PS$1,PortfolioRef[Reference '#]),0),AssetMonthlyReturns[[#This Row],[SPY]:[PE]])</f>
        <v>7.1851501809386984E-3</v>
      </c>
      <c r="PT114" s="27">
        <f>IF(ISNUMBER(PT113),PT113*(1+PortfolioFrontier[[#This Row],[P109 Return]]),1+PortfolioFrontier[[#This Row],[P109 Return]])</f>
        <v>1.941261913673668</v>
      </c>
      <c r="PU114" s="27">
        <f>MAX(PU113,PortfolioFrontier[[#This Row],[P109 Growth]])</f>
        <v>1.941261913673668</v>
      </c>
      <c r="PV114" s="27">
        <f>PortfolioFrontier[[#This Row],[P109 Growth]]/PortfolioFrontier[[#This Row],[P109 HWM]]-1</f>
        <v>0</v>
      </c>
      <c r="PW114" s="28">
        <f>SUMPRODUCT(INDEX(PortfolioRef[[SPY]:[PE]],MATCH(PW$1,PortfolioRef[Reference '#]),0),AssetMonthlyReturns[[#This Row],[SPY]:[PE]])</f>
        <v>6.7562155506105843E-3</v>
      </c>
      <c r="PX114" s="27">
        <f>IF(ISNUMBER(PX113),PX113*(1+PortfolioFrontier[[#This Row],[P110 Return]]),1+PortfolioFrontier[[#This Row],[P110 Return]])</f>
        <v>1.9331804698134303</v>
      </c>
      <c r="PY114" s="27">
        <f>MAX(PY113,PortfolioFrontier[[#This Row],[P110 Growth]])</f>
        <v>1.9331804698134303</v>
      </c>
      <c r="PZ114" s="27">
        <f>PortfolioFrontier[[#This Row],[P110 Growth]]/PortfolioFrontier[[#This Row],[P110 HWM]]-1</f>
        <v>0</v>
      </c>
      <c r="QA114" s="28">
        <f>SUMPRODUCT(INDEX(PortfolioRef[[SPY]:[PE]],MATCH(QA$1,PortfolioRef[Reference '#]),0),AssetMonthlyReturns[[#This Row],[SPY]:[PE]])</f>
        <v>6.3272809202824685E-3</v>
      </c>
      <c r="QB114" s="27">
        <f>IF(ISNUMBER(QB113),QB113*(1+PortfolioFrontier[[#This Row],[P111 Return]]),1+PortfolioFrontier[[#This Row],[P111 Return]])</f>
        <v>1.9234738335668671</v>
      </c>
      <c r="QC114" s="27">
        <f>MAX(QC113,PortfolioFrontier[[#This Row],[P111 Growth]])</f>
        <v>1.9234738335668671</v>
      </c>
      <c r="QD114" s="27">
        <f>PortfolioFrontier[[#This Row],[P111 Growth]]/PortfolioFrontier[[#This Row],[P111 HWM]]-1</f>
        <v>0</v>
      </c>
      <c r="QE114" s="28">
        <f>SUMPRODUCT(INDEX(PortfolioRef[[SPY]:[PE]],MATCH(QE$1,PortfolioRef[Reference '#]),0),AssetMonthlyReturns[[#This Row],[SPY]:[PE]])</f>
        <v>8.0284513973334134E-3</v>
      </c>
      <c r="QF114" s="27">
        <f>IF(ISNUMBER(QF113),QF113*(1+PortfolioFrontier[[#This Row],[P112 Return]]),1+PortfolioFrontier[[#This Row],[P112 Return]])</f>
        <v>1.8963759868134227</v>
      </c>
      <c r="QG114" s="27">
        <f>MAX(QG113,PortfolioFrontier[[#This Row],[P112 Growth]])</f>
        <v>1.8963759868134227</v>
      </c>
      <c r="QH114" s="27">
        <f>PortfolioFrontier[[#This Row],[P112 Growth]]/PortfolioFrontier[[#This Row],[P112 HWM]]-1</f>
        <v>0</v>
      </c>
      <c r="QI114" s="28">
        <f>SUMPRODUCT(INDEX(PortfolioRef[[SPY]:[PE]],MATCH(QI$1,PortfolioRef[Reference '#]),0),AssetMonthlyReturns[[#This Row],[SPY]:[PE]])</f>
        <v>7.5995167670052993E-3</v>
      </c>
      <c r="QJ114" s="27">
        <f>IF(ISNUMBER(QJ113),QJ113*(1+PortfolioFrontier[[#This Row],[P113 Return]]),1+PortfolioFrontier[[#This Row],[P113 Return]])</f>
        <v>1.8897081732285042</v>
      </c>
      <c r="QK114" s="27">
        <f>MAX(QK113,PortfolioFrontier[[#This Row],[P113 Growth]])</f>
        <v>1.8897081732285042</v>
      </c>
      <c r="QL114" s="27">
        <f>PortfolioFrontier[[#This Row],[P113 Growth]]/PortfolioFrontier[[#This Row],[P113 HWM]]-1</f>
        <v>0</v>
      </c>
      <c r="QM114" s="28">
        <f>SUMPRODUCT(INDEX(PortfolioRef[[SPY]:[PE]],MATCH(QM$1,PortfolioRef[Reference '#]),0),AssetMonthlyReturns[[#This Row],[SPY]:[PE]])</f>
        <v>7.1705821366771843E-3</v>
      </c>
      <c r="QN114" s="27">
        <f>IF(ISNUMBER(QN113),QN113*(1+PortfolioFrontier[[#This Row],[P114 Return]]),1+PortfolioFrontier[[#This Row],[P114 Return]])</f>
        <v>1.881436124159741</v>
      </c>
      <c r="QO114" s="27">
        <f>MAX(QO113,PortfolioFrontier[[#This Row],[P114 Growth]])</f>
        <v>1.881436124159741</v>
      </c>
      <c r="QP114" s="27">
        <f>PortfolioFrontier[[#This Row],[P114 Growth]]/PortfolioFrontier[[#This Row],[P114 HWM]]-1</f>
        <v>0</v>
      </c>
      <c r="QQ114" s="28">
        <f>SUMPRODUCT(INDEX(PortfolioRef[[SPY]:[PE]],MATCH(QQ$1,PortfolioRef[Reference '#]),0),AssetMonthlyReturns[[#This Row],[SPY]:[PE]])</f>
        <v>7.0065382783589423E-3</v>
      </c>
      <c r="QR114" s="27">
        <f>IF(ISNUMBER(QR113),QR113*(1+PortfolioFrontier[[#This Row],[P115 Return]]),1+PortfolioFrontier[[#This Row],[P115 Return]])</f>
        <v>2.0217792354431268</v>
      </c>
      <c r="QS114" s="27">
        <f>MAX(QS113,PortfolioFrontier[[#This Row],[P115 Growth]])</f>
        <v>2.0217792354431268</v>
      </c>
      <c r="QT114" s="27">
        <f>PortfolioFrontier[[#This Row],[P115 Growth]]/PortfolioFrontier[[#This Row],[P115 HWM]]-1</f>
        <v>0</v>
      </c>
      <c r="QU114" s="28">
        <f>SUMPRODUCT(INDEX(PortfolioRef[[SPY]:[PE]],MATCH(QU$1,PortfolioRef[Reference '#]),0),AssetMonthlyReturns[[#This Row],[SPY]:[PE]])</f>
        <v>6.5776036480308282E-3</v>
      </c>
      <c r="QV114" s="27">
        <f>IF(ISNUMBER(QV113),QV113*(1+PortfolioFrontier[[#This Row],[P116 Return]]),1+PortfolioFrontier[[#This Row],[P116 Return]])</f>
        <v>2.013371708942604</v>
      </c>
      <c r="QW114" s="27">
        <f>MAX(QW113,PortfolioFrontier[[#This Row],[P116 Growth]])</f>
        <v>2.013371708942604</v>
      </c>
      <c r="QX114" s="27">
        <f>PortfolioFrontier[[#This Row],[P116 Growth]]/PortfolioFrontier[[#This Row],[P116 HWM]]-1</f>
        <v>0</v>
      </c>
      <c r="QY114" s="28">
        <f>SUMPRODUCT(INDEX(PortfolioRef[[SPY]:[PE]],MATCH(QY$1,PortfolioRef[Reference '#]),0),AssetMonthlyReturns[[#This Row],[SPY]:[PE]])</f>
        <v>6.1486690177027124E-3</v>
      </c>
      <c r="QZ114" s="27">
        <f>IF(ISNUMBER(QZ113),QZ113*(1+PortfolioFrontier[[#This Row],[P117 Return]]),1+PortfolioFrontier[[#This Row],[P117 Return]])</f>
        <v>2.003272547521957</v>
      </c>
      <c r="RA114" s="27">
        <f>MAX(RA113,PortfolioFrontier[[#This Row],[P117 Growth]])</f>
        <v>2.003272547521957</v>
      </c>
      <c r="RB114" s="27">
        <f>PortfolioFrontier[[#This Row],[P117 Growth]]/PortfolioFrontier[[#This Row],[P117 HWM]]-1</f>
        <v>0</v>
      </c>
      <c r="RC114" s="28">
        <f>SUMPRODUCT(INDEX(PortfolioRef[[SPY]:[PE]],MATCH(RC$1,PortfolioRef[Reference '#]),0),AssetMonthlyReturns[[#This Row],[SPY]:[PE]])</f>
        <v>7.8498394947536573E-3</v>
      </c>
      <c r="RD114" s="27">
        <f>IF(ISNUMBER(RD113),RD113*(1+PortfolioFrontier[[#This Row],[P118 Return]]),1+PortfolioFrontier[[#This Row],[P118 Return]])</f>
        <v>1.9757268873289007</v>
      </c>
      <c r="RE114" s="27">
        <f>MAX(RE113,PortfolioFrontier[[#This Row],[P118 Growth]])</f>
        <v>1.9757268873289007</v>
      </c>
      <c r="RF114" s="27">
        <f>PortfolioFrontier[[#This Row],[P118 Growth]]/PortfolioFrontier[[#This Row],[P118 HWM]]-1</f>
        <v>0</v>
      </c>
      <c r="RG114" s="28">
        <f>SUMPRODUCT(INDEX(PortfolioRef[[SPY]:[PE]],MATCH(RG$1,PortfolioRef[Reference '#]),0),AssetMonthlyReturns[[#This Row],[SPY]:[PE]])</f>
        <v>7.4209048644255432E-3</v>
      </c>
      <c r="RH114" s="27">
        <f>IF(ISNUMBER(RH113),RH113*(1+PortfolioFrontier[[#This Row],[P119 Return]]),1+PortfolioFrontier[[#This Row],[P119 Return]])</f>
        <v>1.968788306787931</v>
      </c>
      <c r="RI114" s="27">
        <f>MAX(RI113,PortfolioFrontier[[#This Row],[P119 Growth]])</f>
        <v>1.968788306787931</v>
      </c>
      <c r="RJ114" s="27">
        <f>PortfolioFrontier[[#This Row],[P119 Growth]]/PortfolioFrontier[[#This Row],[P119 HWM]]-1</f>
        <v>0</v>
      </c>
      <c r="RK114" s="28">
        <f>SUMPRODUCT(INDEX(PortfolioRef[[SPY]:[PE]],MATCH(RK$1,PortfolioRef[Reference '#]),0),AssetMonthlyReturns[[#This Row],[SPY]:[PE]])</f>
        <v>6.9919702340974282E-3</v>
      </c>
      <c r="RL114" s="27">
        <f>IF(ISNUMBER(RL113),RL113*(1+PortfolioFrontier[[#This Row],[P120 Return]]),1+PortfolioFrontier[[#This Row],[P120 Return]])</f>
        <v>1.9601793459369241</v>
      </c>
      <c r="RM114" s="27">
        <f>MAX(RM113,PortfolioFrontier[[#This Row],[P120 Growth]])</f>
        <v>1.9601793459369241</v>
      </c>
      <c r="RN114" s="27">
        <f>PortfolioFrontier[[#This Row],[P120 Growth]]/PortfolioFrontier[[#This Row],[P120 HWM]]-1</f>
        <v>0</v>
      </c>
      <c r="RO114" s="28">
        <f>SUMPRODUCT(INDEX(PortfolioRef[[SPY]:[PE]],MATCH(RO$1,PortfolioRef[Reference '#]),0),AssetMonthlyReturns[[#This Row],[SPY]:[PE]])</f>
        <v>8.6931407111483731E-3</v>
      </c>
      <c r="RP114" s="27">
        <f>IF(ISNUMBER(RP113),RP113*(1+PortfolioFrontier[[#This Row],[P121 Return]]),1+PortfolioFrontier[[#This Row],[P121 Return]])</f>
        <v>1.9288939818087012</v>
      </c>
      <c r="RQ114" s="27">
        <f>MAX(RQ113,PortfolioFrontier[[#This Row],[P121 Growth]])</f>
        <v>1.9288939818087012</v>
      </c>
      <c r="RR114" s="27">
        <f>PortfolioFrontier[[#This Row],[P121 Growth]]/PortfolioFrontier[[#This Row],[P121 HWM]]-1</f>
        <v>0</v>
      </c>
      <c r="RS114" s="28">
        <f>SUMPRODUCT(INDEX(PortfolioRef[[SPY]:[PE]],MATCH(RS$1,PortfolioRef[Reference '#]),0),AssetMonthlyReturns[[#This Row],[SPY]:[PE]])</f>
        <v>8.2642060808202581E-3</v>
      </c>
      <c r="RT114" s="27">
        <f>IF(ISNUMBER(RT113),RT113*(1+PortfolioFrontier[[#This Row],[P122 Return]]),1+PortfolioFrontier[[#This Row],[P122 Return]])</f>
        <v>1.9233734533535283</v>
      </c>
      <c r="RU114" s="27">
        <f>MAX(RU113,PortfolioFrontier[[#This Row],[P122 Growth]])</f>
        <v>1.9233734533535283</v>
      </c>
      <c r="RV114" s="27">
        <f>PortfolioFrontier[[#This Row],[P122 Growth]]/PortfolioFrontier[[#This Row],[P122 HWM]]-1</f>
        <v>0</v>
      </c>
      <c r="RW114" s="28">
        <f>SUMPRODUCT(INDEX(PortfolioRef[[SPY]:[PE]],MATCH(RW$1,PortfolioRef[Reference '#]),0),AssetMonthlyReturns[[#This Row],[SPY]:[PE]])</f>
        <v>7.8352714504921431E-3</v>
      </c>
      <c r="RX114" s="27">
        <f>IF(ISNUMBER(RX113),RX113*(1+PortfolioFrontier[[#This Row],[P123 Return]]),1+PortfolioFrontier[[#This Row],[P123 Return]])</f>
        <v>1.9162065395745078</v>
      </c>
      <c r="RY114" s="27">
        <f>MAX(RY113,PortfolioFrontier[[#This Row],[P123 Growth]])</f>
        <v>1.9162065395745078</v>
      </c>
      <c r="RZ114" s="27">
        <f>PortfolioFrontier[[#This Row],[P123 Growth]]/PortfolioFrontier[[#This Row],[P123 HWM]]-1</f>
        <v>0</v>
      </c>
      <c r="SA114" s="28">
        <f>SUMPRODUCT(INDEX(PortfolioRef[[SPY]:[PE]],MATCH(SA$1,PortfolioRef[Reference '#]),0),AssetMonthlyReturns[[#This Row],[SPY]:[PE]])</f>
        <v>7.6712275921739011E-3</v>
      </c>
      <c r="SB114" s="27">
        <f>IF(ISNUMBER(SB113),SB113*(1+PortfolioFrontier[[#This Row],[P124 Return]]),1+PortfolioFrontier[[#This Row],[P124 Return]])</f>
        <v>2.0576680000899992</v>
      </c>
      <c r="SC114" s="27">
        <f>MAX(SC113,PortfolioFrontier[[#This Row],[P124 Growth]])</f>
        <v>2.0576680000899992</v>
      </c>
      <c r="SD114" s="27">
        <f>PortfolioFrontier[[#This Row],[P124 Growth]]/PortfolioFrontier[[#This Row],[P124 HWM]]-1</f>
        <v>0</v>
      </c>
      <c r="SE114" s="28">
        <f>SUMPRODUCT(INDEX(PortfolioRef[[SPY]:[PE]],MATCH(SE$1,PortfolioRef[Reference '#]),0),AssetMonthlyReturns[[#This Row],[SPY]:[PE]])</f>
        <v>7.242292961845787E-3</v>
      </c>
      <c r="SF114" s="27">
        <f>IF(ISNUMBER(SF113),SF113*(1+PortfolioFrontier[[#This Row],[P125 Return]]),1+PortfolioFrontier[[#This Row],[P125 Return]])</f>
        <v>2.050450145514723</v>
      </c>
      <c r="SG114" s="27">
        <f>MAX(SG113,PortfolioFrontier[[#This Row],[P125 Growth]])</f>
        <v>2.050450145514723</v>
      </c>
      <c r="SH114" s="27">
        <f>PortfolioFrontier[[#This Row],[P125 Growth]]/PortfolioFrontier[[#This Row],[P125 HWM]]-1</f>
        <v>0</v>
      </c>
      <c r="SI114" s="28">
        <f>SUMPRODUCT(INDEX(PortfolioRef[[SPY]:[PE]],MATCH(SI$1,PortfolioRef[Reference '#]),0),AssetMonthlyReturns[[#This Row],[SPY]:[PE]])</f>
        <v>6.8133583315176721E-3</v>
      </c>
      <c r="SJ114" s="27">
        <f>IF(ISNUMBER(SJ113),SJ113*(1+PortfolioFrontier[[#This Row],[P126 Return]]),1+PortfolioFrontier[[#This Row],[P126 Return]])</f>
        <v>2.0414936356530924</v>
      </c>
      <c r="SK114" s="27">
        <f>MAX(SK113,PortfolioFrontier[[#This Row],[P126 Growth]])</f>
        <v>2.0414936356530924</v>
      </c>
      <c r="SL114" s="27">
        <f>PortfolioFrontier[[#This Row],[P126 Growth]]/PortfolioFrontier[[#This Row],[P126 HWM]]-1</f>
        <v>0</v>
      </c>
      <c r="SM114" s="28">
        <f>SUMPRODUCT(INDEX(PortfolioRef[[SPY]:[PE]],MATCH(SM$1,PortfolioRef[Reference '#]),0),AssetMonthlyReturns[[#This Row],[SPY]:[PE]])</f>
        <v>8.5145288085686169E-3</v>
      </c>
      <c r="SN114" s="27">
        <f>IF(ISNUMBER(SN113),SN113*(1+PortfolioFrontier[[#This Row],[P127 Return]]),1+PortfolioFrontier[[#This Row],[P127 Return]])</f>
        <v>2.0096002818124217</v>
      </c>
      <c r="SO114" s="27">
        <f>MAX(SO113,PortfolioFrontier[[#This Row],[P127 Growth]])</f>
        <v>2.0096002818124217</v>
      </c>
      <c r="SP114" s="27">
        <f>PortfolioFrontier[[#This Row],[P127 Growth]]/PortfolioFrontier[[#This Row],[P127 HWM]]-1</f>
        <v>0</v>
      </c>
      <c r="SQ114" s="28">
        <f>SUMPRODUCT(INDEX(PortfolioRef[[SPY]:[PE]],MATCH(SQ$1,PortfolioRef[Reference '#]),0),AssetMonthlyReturns[[#This Row],[SPY]:[PE]])</f>
        <v>8.085594178240502E-3</v>
      </c>
      <c r="SR114" s="27">
        <f>IF(ISNUMBER(SR113),SR113*(1+PortfolioFrontier[[#This Row],[P128 Return]]),1+PortfolioFrontier[[#This Row],[P128 Return]])</f>
        <v>2.0038563757072545</v>
      </c>
      <c r="SS114" s="27">
        <f>MAX(SS113,PortfolioFrontier[[#This Row],[P128 Growth]])</f>
        <v>2.0038563757072545</v>
      </c>
      <c r="ST114" s="27">
        <f>PortfolioFrontier[[#This Row],[P128 Growth]]/PortfolioFrontier[[#This Row],[P128 HWM]]-1</f>
        <v>0</v>
      </c>
      <c r="SU114" s="28">
        <f>SUMPRODUCT(INDEX(PortfolioRef[[SPY]:[PE]],MATCH(SU$1,PortfolioRef[Reference '#]),0),AssetMonthlyReturns[[#This Row],[SPY]:[PE]])</f>
        <v>7.656659547912387E-3</v>
      </c>
      <c r="SV114" s="27">
        <f>IF(ISNUMBER(SV113),SV113*(1+PortfolioFrontier[[#This Row],[P129 Return]]),1+PortfolioFrontier[[#This Row],[P129 Return]])</f>
        <v>1.9963982150424493</v>
      </c>
      <c r="SW114" s="27">
        <f>MAX(SW113,PortfolioFrontier[[#This Row],[P129 Growth]])</f>
        <v>1.9963982150424493</v>
      </c>
      <c r="SX114" s="27">
        <f>PortfolioFrontier[[#This Row],[P129 Growth]]/PortfolioFrontier[[#This Row],[P129 HWM]]-1</f>
        <v>0</v>
      </c>
      <c r="SY114" s="28">
        <f>SUMPRODUCT(INDEX(PortfolioRef[[SPY]:[PE]],MATCH(SY$1,PortfolioRef[Reference '#]),0),AssetMonthlyReturns[[#This Row],[SPY]:[PE]])</f>
        <v>9.357830024963331E-3</v>
      </c>
      <c r="SZ114" s="27">
        <f>IF(ISNUMBER(SZ113),SZ113*(1+PortfolioFrontier[[#This Row],[P130 Return]]),1+PortfolioFrontier[[#This Row],[P130 Return]])</f>
        <v>1.960790348224533</v>
      </c>
      <c r="TA114" s="27">
        <f>MAX(TA113,PortfolioFrontier[[#This Row],[P130 Growth]])</f>
        <v>1.960790348224533</v>
      </c>
      <c r="TB114" s="27">
        <f>PortfolioFrontier[[#This Row],[P130 Growth]]/PortfolioFrontier[[#This Row],[P130 HWM]]-1</f>
        <v>0</v>
      </c>
      <c r="TC114" s="28">
        <f>SUMPRODUCT(INDEX(PortfolioRef[[SPY]:[PE]],MATCH(TC$1,PortfolioRef[Reference '#]),0),AssetMonthlyReturns[[#This Row],[SPY]:[PE]])</f>
        <v>8.9288953946352178E-3</v>
      </c>
      <c r="TD114" s="27">
        <f>IF(ISNUMBER(TD113),TD113*(1+PortfolioFrontier[[#This Row],[P131 Return]]),1+PortfolioFrontier[[#This Row],[P131 Return]])</f>
        <v>1.9564663842270977</v>
      </c>
      <c r="TE114" s="27">
        <f>MAX(TE113,PortfolioFrontier[[#This Row],[P131 Growth]])</f>
        <v>1.9564663842270977</v>
      </c>
      <c r="TF114" s="27">
        <f>PortfolioFrontier[[#This Row],[P131 Growth]]/PortfolioFrontier[[#This Row],[P131 HWM]]-1</f>
        <v>0</v>
      </c>
      <c r="TG114" s="28">
        <f>SUMPRODUCT(INDEX(PortfolioRef[[SPY]:[PE]],MATCH(TG$1,PortfolioRef[Reference '#]),0),AssetMonthlyReturns[[#This Row],[SPY]:[PE]])</f>
        <v>8.4999607643071011E-3</v>
      </c>
      <c r="TH114" s="27">
        <f>IF(ISNUMBER(TH113),TH113*(1+PortfolioFrontier[[#This Row],[P132 Return]]),1+PortfolioFrontier[[#This Row],[P132 Return]])</f>
        <v>1.9504552834836109</v>
      </c>
      <c r="TI114" s="27">
        <f>MAX(TI113,PortfolioFrontier[[#This Row],[P132 Growth]])</f>
        <v>1.9504552834836109</v>
      </c>
      <c r="TJ114" s="27">
        <f>PortfolioFrontier[[#This Row],[P132 Growth]]/PortfolioFrontier[[#This Row],[P132 HWM]]-1</f>
        <v>0</v>
      </c>
      <c r="TK114" s="28">
        <f>SUMPRODUCT(INDEX(PortfolioRef[[SPY]:[PE]],MATCH(TK$1,PortfolioRef[Reference '#]),0),AssetMonthlyReturns[[#This Row],[SPY]:[PE]])</f>
        <v>8.3359169059888608E-3</v>
      </c>
      <c r="TL114" s="27">
        <f>IF(ISNUMBER(TL113),TL113*(1+PortfolioFrontier[[#This Row],[P133 Return]]),1+PortfolioFrontier[[#This Row],[P133 Return]])</f>
        <v>2.0929412147047812</v>
      </c>
      <c r="TM114" s="27">
        <f>MAX(TM113,PortfolioFrontier[[#This Row],[P133 Growth]])</f>
        <v>2.0929412147047812</v>
      </c>
      <c r="TN114" s="27">
        <f>PortfolioFrontier[[#This Row],[P133 Growth]]/PortfolioFrontier[[#This Row],[P133 HWM]]-1</f>
        <v>0</v>
      </c>
      <c r="TO114" s="28">
        <f>SUMPRODUCT(INDEX(PortfolioRef[[SPY]:[PE]],MATCH(TO$1,PortfolioRef[Reference '#]),0),AssetMonthlyReturns[[#This Row],[SPY]:[PE]])</f>
        <v>7.9069822756607459E-3</v>
      </c>
      <c r="TP114" s="27">
        <f>IF(ISNUMBER(TP113),TP113*(1+PortfolioFrontier[[#This Row],[P134 Return]]),1+PortfolioFrontier[[#This Row],[P134 Return]])</f>
        <v>2.0869669523744876</v>
      </c>
      <c r="TQ114" s="27">
        <f>MAX(TQ113,PortfolioFrontier[[#This Row],[P134 Growth]])</f>
        <v>2.0869669523744876</v>
      </c>
      <c r="TR114" s="27">
        <f>PortfolioFrontier[[#This Row],[P134 Growth]]/PortfolioFrontier[[#This Row],[P134 HWM]]-1</f>
        <v>0</v>
      </c>
      <c r="TS114" s="28">
        <f>SUMPRODUCT(INDEX(PortfolioRef[[SPY]:[PE]],MATCH(TS$1,PortfolioRef[Reference '#]),0),AssetMonthlyReturns[[#This Row],[SPY]:[PE]])</f>
        <v>7.4780476453326309E-3</v>
      </c>
      <c r="TT114" s="27">
        <f>IF(ISNUMBER(TT113),TT113*(1+PortfolioFrontier[[#This Row],[P135 Return]]),1+PortfolioFrontier[[#This Row],[P135 Return]])</f>
        <v>2.079208380872803</v>
      </c>
      <c r="TU114" s="27">
        <f>MAX(TU113,PortfolioFrontier[[#This Row],[P135 Growth]])</f>
        <v>2.079208380872803</v>
      </c>
      <c r="TV114" s="27">
        <f>PortfolioFrontier[[#This Row],[P135 Growth]]/PortfolioFrontier[[#This Row],[P135 HWM]]-1</f>
        <v>0</v>
      </c>
      <c r="TW114" s="28">
        <f>SUMPRODUCT(INDEX(PortfolioRef[[SPY]:[PE]],MATCH(TW$1,PortfolioRef[Reference '#]),0),AssetMonthlyReturns[[#This Row],[SPY]:[PE]])</f>
        <v>9.1792181223835749E-3</v>
      </c>
      <c r="TX114" s="27">
        <f>IF(ISNUMBER(TX113),TX113*(1+PortfolioFrontier[[#This Row],[P136 Return]]),1+PortfolioFrontier[[#This Row],[P136 Return]])</f>
        <v>2.0428266221011486</v>
      </c>
      <c r="TY114" s="27">
        <f>MAX(TY113,PortfolioFrontier[[#This Row],[P136 Growth]])</f>
        <v>2.0428266221011486</v>
      </c>
      <c r="TZ114" s="27">
        <f>PortfolioFrontier[[#This Row],[P136 Growth]]/PortfolioFrontier[[#This Row],[P136 HWM]]-1</f>
        <v>0</v>
      </c>
      <c r="UA114" s="28">
        <f>SUMPRODUCT(INDEX(PortfolioRef[[SPY]:[PE]],MATCH(UA$1,PortfolioRef[Reference '#]),0),AssetMonthlyReturns[[#This Row],[SPY]:[PE]])</f>
        <v>8.7502834920554617E-3</v>
      </c>
      <c r="UB114" s="27">
        <f>IF(ISNUMBER(UB113),UB113*(1+PortfolioFrontier[[#This Row],[P137 Return]]),1+PortfolioFrontier[[#This Row],[P137 Return]])</f>
        <v>2.0383286937628076</v>
      </c>
      <c r="UC114" s="27">
        <f>MAX(UC113,PortfolioFrontier[[#This Row],[P137 Growth]])</f>
        <v>2.0383286937628076</v>
      </c>
      <c r="UD114" s="27">
        <f>PortfolioFrontier[[#This Row],[P137 Growth]]/PortfolioFrontier[[#This Row],[P137 HWM]]-1</f>
        <v>0</v>
      </c>
      <c r="UE114" s="28">
        <f>SUMPRODUCT(INDEX(PortfolioRef[[SPY]:[PE]],MATCH(UE$1,PortfolioRef[Reference '#]),0),AssetMonthlyReturns[[#This Row],[SPY]:[PE]])</f>
        <v>8.321348861727345E-3</v>
      </c>
      <c r="UF114" s="27">
        <f>IF(ISNUMBER(UF113),UF113*(1+PortfolioFrontier[[#This Row],[P138 Return]]),1+PortfolioFrontier[[#This Row],[P138 Return]])</f>
        <v>2.0320740917162885</v>
      </c>
      <c r="UG114" s="27">
        <f>MAX(UG113,PortfolioFrontier[[#This Row],[P138 Growth]])</f>
        <v>2.0320740917162885</v>
      </c>
      <c r="UH114" s="27">
        <f>PortfolioFrontier[[#This Row],[P138 Growth]]/PortfolioFrontier[[#This Row],[P138 HWM]]-1</f>
        <v>0</v>
      </c>
      <c r="UI114" s="28">
        <f>SUMPRODUCT(INDEX(PortfolioRef[[SPY]:[PE]],MATCH(UI$1,PortfolioRef[Reference '#]),0),AssetMonthlyReturns[[#This Row],[SPY]:[PE]])</f>
        <v>1.0022519338778291E-2</v>
      </c>
      <c r="UJ114" s="27">
        <f>IF(ISNUMBER(UJ113),UJ113*(1+PortfolioFrontier[[#This Row],[P139 Return]]),1+PortfolioFrontier[[#This Row],[P139 Return]])</f>
        <v>1.9920115789178334</v>
      </c>
      <c r="UK114" s="27">
        <f>MAX(UK113,PortfolioFrontier[[#This Row],[P139 Growth]])</f>
        <v>1.9920115789178334</v>
      </c>
      <c r="UL114" s="27">
        <f>PortfolioFrontier[[#This Row],[P139 Growth]]/PortfolioFrontier[[#This Row],[P139 HWM]]-1</f>
        <v>0</v>
      </c>
      <c r="UM114" s="28">
        <f>SUMPRODUCT(INDEX(PortfolioRef[[SPY]:[PE]],MATCH(UM$1,PortfolioRef[Reference '#]),0),AssetMonthlyReturns[[#This Row],[SPY]:[PE]])</f>
        <v>9.5935847084501757E-3</v>
      </c>
      <c r="UN114" s="27">
        <f>IF(ISNUMBER(UN113),UN113*(1+PortfolioFrontier[[#This Row],[P140 Return]]),1+PortfolioFrontier[[#This Row],[P140 Return]])</f>
        <v>1.9889328453387292</v>
      </c>
      <c r="UO114" s="27">
        <f>MAX(UO113,PortfolioFrontier[[#This Row],[P140 Growth]])</f>
        <v>1.9889328453387292</v>
      </c>
      <c r="UP114" s="27">
        <f>PortfolioFrontier[[#This Row],[P140 Growth]]/PortfolioFrontier[[#This Row],[P140 HWM]]-1</f>
        <v>0</v>
      </c>
      <c r="UQ114" s="28">
        <f>SUMPRODUCT(INDEX(PortfolioRef[[SPY]:[PE]],MATCH(UQ$1,PortfolioRef[Reference '#]),0),AssetMonthlyReturns[[#This Row],[SPY]:[PE]])</f>
        <v>9.1646500781220608E-3</v>
      </c>
      <c r="UR114" s="27">
        <f>IF(ISNUMBER(UR113),UR113*(1+PortfolioFrontier[[#This Row],[P141 Return]]),1+PortfolioFrontier[[#This Row],[P141 Return]])</f>
        <v>1.9841277586704587</v>
      </c>
      <c r="US114" s="27">
        <f>MAX(US113,PortfolioFrontier[[#This Row],[P141 Growth]])</f>
        <v>1.9841277586704587</v>
      </c>
      <c r="UT114" s="27">
        <f>PortfolioFrontier[[#This Row],[P141 Growth]]/PortfolioFrontier[[#This Row],[P141 HWM]]-1</f>
        <v>0</v>
      </c>
    </row>
    <row r="115" spans="2:566" x14ac:dyDescent="0.2">
      <c r="B115" s="41">
        <f>AssetMonthlyReturns[[#This Row],[Date]]</f>
        <v>45870</v>
      </c>
      <c r="C115" s="28">
        <f>SUMPRODUCT(INDEX(PortfolioRef[[SPY]:[PE]],MATCH(C$1,PortfolioRef[Reference '#]),0),AssetMonthlyReturns[[#This Row],[SPY]:[PE]])</f>
        <v>2.2722907552719822E-2</v>
      </c>
      <c r="D115" s="29">
        <f>IF(ISNUMBER(D114),D114*(1+PortfolioFrontier[[#This Row],[P1 Return]]),1+PortfolioFrontier[[#This Row],[P1 Return]])</f>
        <v>2.5914918445841075</v>
      </c>
      <c r="E115" s="29">
        <f>MAX(E114,PortfolioFrontier[[#This Row],[P1 Growth]])</f>
        <v>2.5914918445841075</v>
      </c>
      <c r="F115" s="29">
        <f>PortfolioFrontier[[#This Row],[P1 Growth]]/PortfolioFrontier[[#This Row],[P1 HWM]]-1</f>
        <v>0</v>
      </c>
      <c r="G115" s="28">
        <f>SUMPRODUCT(INDEX(PortfolioRef[[SPY]:[PE]],MATCH(G$1,PortfolioRef[Reference '#]),0),AssetMonthlyReturns[[#This Row],[SPY]:[PE]])</f>
        <v>2.2285178550556783E-2</v>
      </c>
      <c r="H115" s="27">
        <f>IF(ISNUMBER(H114),H114*(1+PortfolioFrontier[[#This Row],[P2 Return]]),1+PortfolioFrontier[[#This Row],[P2 Return]])</f>
        <v>2.4489862389322004</v>
      </c>
      <c r="I115" s="27">
        <f>MAX(I114,PortfolioFrontier[[#This Row],[P2 Growth]])</f>
        <v>2.4489862389322004</v>
      </c>
      <c r="J115" s="27">
        <f>PortfolioFrontier[[#This Row],[P2 Growth]]/PortfolioFrontier[[#This Row],[P2 HWM]]-1</f>
        <v>0</v>
      </c>
      <c r="K115" s="28">
        <f>SUMPRODUCT(INDEX(PortfolioRef[[SPY]:[PE]],MATCH(K$1,PortfolioRef[Reference '#]),0),AssetMonthlyReturns[[#This Row],[SPY]:[PE]])</f>
        <v>2.4190362947730581E-2</v>
      </c>
      <c r="L115" s="27">
        <f>IF(ISNUMBER(L114),L114*(1+PortfolioFrontier[[#This Row],[P3 Return]]),1+PortfolioFrontier[[#This Row],[P3 Return]])</f>
        <v>2.5563431351167365</v>
      </c>
      <c r="M115" s="27">
        <f>MAX(M114,PortfolioFrontier[[#This Row],[P3 Growth]])</f>
        <v>2.5563431351167365</v>
      </c>
      <c r="N115" s="27">
        <f>PortfolioFrontier[[#This Row],[P3 Growth]]/PortfolioFrontier[[#This Row],[P3 HWM]]-1</f>
        <v>0</v>
      </c>
      <c r="O115" s="28">
        <f>SUMPRODUCT(INDEX(PortfolioRef[[SPY]:[PE]],MATCH(O$1,PortfolioRef[Reference '#]),0),AssetMonthlyReturns[[#This Row],[SPY]:[PE]])</f>
        <v>2.3435469643476224E-2</v>
      </c>
      <c r="P115" s="27">
        <f>IF(ISNUMBER(P114),P114*(1+PortfolioFrontier[[#This Row],[P4 Return]]),1+PortfolioFrontier[[#This Row],[P4 Return]])</f>
        <v>2.493223984548179</v>
      </c>
      <c r="Q115" s="27">
        <f>MAX(Q114,PortfolioFrontier[[#This Row],[P4 Growth]])</f>
        <v>2.493223984548179</v>
      </c>
      <c r="R115" s="27">
        <f>PortfolioFrontier[[#This Row],[P4 Growth]]/PortfolioFrontier[[#This Row],[P4 HWM]]-1</f>
        <v>0</v>
      </c>
      <c r="S115" s="28">
        <f>SUMPRODUCT(INDEX(PortfolioRef[[SPY]:[PE]],MATCH(S$1,PortfolioRef[Reference '#]),0),AssetMonthlyReturns[[#This Row],[SPY]:[PE]])</f>
        <v>2.2298179070736758E-2</v>
      </c>
      <c r="T115" s="27">
        <f>IF(ISNUMBER(T114),T114*(1+PortfolioFrontier[[#This Row],[P5 Return]]),1+PortfolioFrontier[[#This Row],[P5 Return]])</f>
        <v>2.4831397567402145</v>
      </c>
      <c r="U115" s="27">
        <f>MAX(U114,PortfolioFrontier[[#This Row],[P5 Growth]])</f>
        <v>2.4831397567402145</v>
      </c>
      <c r="V115" s="27">
        <f>PortfolioFrontier[[#This Row],[P5 Growth]]/PortfolioFrontier[[#This Row],[P5 HWM]]-1</f>
        <v>0</v>
      </c>
      <c r="W115" s="28">
        <f>SUMPRODUCT(INDEX(PortfolioRef[[SPY]:[PE]],MATCH(W$1,PortfolioRef[Reference '#]),0),AssetMonthlyReturns[[#This Row],[SPY]:[PE]])</f>
        <v>2.1847449548393752E-2</v>
      </c>
      <c r="X115" s="27">
        <f>IF(ISNUMBER(X114),X114*(1+PortfolioFrontier[[#This Row],[P6 Return]]),1+PortfolioFrontier[[#This Row],[P6 Return]])</f>
        <v>2.3131407834580386</v>
      </c>
      <c r="Y115" s="27">
        <f>MAX(Y114,PortfolioFrontier[[#This Row],[P6 Growth]])</f>
        <v>2.3131407834580386</v>
      </c>
      <c r="Z115" s="27">
        <f>PortfolioFrontier[[#This Row],[P6 Growth]]/PortfolioFrontier[[#This Row],[P6 HWM]]-1</f>
        <v>0</v>
      </c>
      <c r="AA115" s="28">
        <f>SUMPRODUCT(INDEX(PortfolioRef[[SPY]:[PE]],MATCH(AA$1,PortfolioRef[Reference '#]),0),AssetMonthlyReturns[[#This Row],[SPY]:[PE]])</f>
        <v>2.375263394556755E-2</v>
      </c>
      <c r="AB115" s="27">
        <f>IF(ISNUMBER(AB114),AB114*(1+PortfolioFrontier[[#This Row],[P7 Return]]),1+PortfolioFrontier[[#This Row],[P7 Return]])</f>
        <v>2.4145233480508796</v>
      </c>
      <c r="AC115" s="27">
        <f>MAX(AC114,PortfolioFrontier[[#This Row],[P7 Growth]])</f>
        <v>2.4145233480508796</v>
      </c>
      <c r="AD115" s="27">
        <f>PortfolioFrontier[[#This Row],[P7 Growth]]/PortfolioFrontier[[#This Row],[P7 HWM]]-1</f>
        <v>0</v>
      </c>
      <c r="AE115" s="28">
        <f>SUMPRODUCT(INDEX(PortfolioRef[[SPY]:[PE]],MATCH(AE$1,PortfolioRef[Reference '#]),0),AssetMonthlyReturns[[#This Row],[SPY]:[PE]])</f>
        <v>2.2997740641313193E-2</v>
      </c>
      <c r="AF115" s="27">
        <f>IF(ISNUMBER(AF114),AF114*(1+PortfolioFrontier[[#This Row],[P8 Return]]),1+PortfolioFrontier[[#This Row],[P8 Return]])</f>
        <v>2.355877971340131</v>
      </c>
      <c r="AG115" s="27">
        <f>MAX(AG114,PortfolioFrontier[[#This Row],[P8 Growth]])</f>
        <v>2.355877971340131</v>
      </c>
      <c r="AH115" s="27">
        <f>PortfolioFrontier[[#This Row],[P8 Growth]]/PortfolioFrontier[[#This Row],[P8 HWM]]-1</f>
        <v>0</v>
      </c>
      <c r="AI115" s="28">
        <f>SUMPRODUCT(INDEX(PortfolioRef[[SPY]:[PE]],MATCH(AI$1,PortfolioRef[Reference '#]),0),AssetMonthlyReturns[[#This Row],[SPY]:[PE]])</f>
        <v>2.1860450068573727E-2</v>
      </c>
      <c r="AJ115" s="27">
        <f>IF(ISNUMBER(AJ114),AJ114*(1+PortfolioFrontier[[#This Row],[P9 Return]]),1+PortfolioFrontier[[#This Row],[P9 Return]])</f>
        <v>2.3454597588741124</v>
      </c>
      <c r="AK115" s="27">
        <f>MAX(AK114,PortfolioFrontier[[#This Row],[P9 Growth]])</f>
        <v>2.3454597588741124</v>
      </c>
      <c r="AL115" s="27">
        <f>PortfolioFrontier[[#This Row],[P9 Growth]]/PortfolioFrontier[[#This Row],[P9 HWM]]-1</f>
        <v>0</v>
      </c>
      <c r="AM115" s="28">
        <f>SUMPRODUCT(INDEX(PortfolioRef[[SPY]:[PE]],MATCH(AM$1,PortfolioRef[Reference '#]),0),AssetMonthlyReturns[[#This Row],[SPY]:[PE]])</f>
        <v>2.5657818342741348E-2</v>
      </c>
      <c r="AN115" s="27">
        <f>IF(ISNUMBER(AN114),AN114*(1+PortfolioFrontier[[#This Row],[P10 Return]]),1+PortfolioFrontier[[#This Row],[P10 Return]])</f>
        <v>2.5194495261654799</v>
      </c>
      <c r="AO115" s="27">
        <f>MAX(AO114,PortfolioFrontier[[#This Row],[P10 Growth]])</f>
        <v>2.5194495261654799</v>
      </c>
      <c r="AP115" s="27">
        <f>PortfolioFrontier[[#This Row],[P10 Growth]]/PortfolioFrontier[[#This Row],[P10 HWM]]-1</f>
        <v>0</v>
      </c>
      <c r="AQ115" s="28">
        <f>SUMPRODUCT(INDEX(PortfolioRef[[SPY]:[PE]],MATCH(AQ$1,PortfolioRef[Reference '#]),0),AssetMonthlyReturns[[#This Row],[SPY]:[PE]])</f>
        <v>2.4902925038486987E-2</v>
      </c>
      <c r="AR115" s="27">
        <f>IF(ISNUMBER(AR114),AR114*(1+PortfolioFrontier[[#This Row],[P11 Return]]),1+PortfolioFrontier[[#This Row],[P11 Return]])</f>
        <v>2.4591215377237154</v>
      </c>
      <c r="AS115" s="27">
        <f>MAX(AS114,PortfolioFrontier[[#This Row],[P11 Growth]])</f>
        <v>2.4591215377237154</v>
      </c>
      <c r="AT115" s="27">
        <f>PortfolioFrontier[[#This Row],[P11 Growth]]/PortfolioFrontier[[#This Row],[P11 HWM]]-1</f>
        <v>0</v>
      </c>
      <c r="AU115" s="28">
        <f>SUMPRODUCT(INDEX(PortfolioRef[[SPY]:[PE]],MATCH(AU$1,PortfolioRef[Reference '#]),0),AssetMonthlyReturns[[#This Row],[SPY]:[PE]])</f>
        <v>2.3765634465747521E-2</v>
      </c>
      <c r="AV115" s="27">
        <f>IF(ISNUMBER(AV114),AV114*(1+PortfolioFrontier[[#This Row],[P12 Return]]),1+PortfolioFrontier[[#This Row],[P12 Return]])</f>
        <v>2.4482619304356659</v>
      </c>
      <c r="AW115" s="27">
        <f>MAX(AW114,PortfolioFrontier[[#This Row],[P12 Growth]])</f>
        <v>2.4482619304356659</v>
      </c>
      <c r="AX115" s="27">
        <f>PortfolioFrontier[[#This Row],[P12 Growth]]/PortfolioFrontier[[#This Row],[P12 HWM]]-1</f>
        <v>0</v>
      </c>
      <c r="AY115" s="28">
        <f>SUMPRODUCT(INDEX(PortfolioRef[[SPY]:[PE]],MATCH(AY$1,PortfolioRef[Reference '#]),0),AssetMonthlyReturns[[#This Row],[SPY]:[PE]])</f>
        <v>2.4148031734232633E-2</v>
      </c>
      <c r="AZ115" s="27">
        <f>IF(ISNUMBER(AZ114),AZ114*(1+PortfolioFrontier[[#This Row],[P13 Return]]),1+PortfolioFrontier[[#This Row],[P13 Return]])</f>
        <v>2.3979633469894361</v>
      </c>
      <c r="BA115" s="27">
        <f>MAX(BA114,PortfolioFrontier[[#This Row],[P13 Growth]])</f>
        <v>2.3979633469894361</v>
      </c>
      <c r="BB115" s="27">
        <f>PortfolioFrontier[[#This Row],[P13 Growth]]/PortfolioFrontier[[#This Row],[P13 HWM]]-1</f>
        <v>0</v>
      </c>
      <c r="BC115" s="28">
        <f>SUMPRODUCT(INDEX(PortfolioRef[[SPY]:[PE]],MATCH(BC$1,PortfolioRef[Reference '#]),0),AssetMonthlyReturns[[#This Row],[SPY]:[PE]])</f>
        <v>2.3010741161493164E-2</v>
      </c>
      <c r="BD115" s="27">
        <f>IF(ISNUMBER(BD114),BD114*(1+PortfolioFrontier[[#This Row],[P14 Return]]),1+PortfolioFrontier[[#This Row],[P14 Return]])</f>
        <v>2.3889299567474884</v>
      </c>
      <c r="BE115" s="27">
        <f>MAX(BE114,PortfolioFrontier[[#This Row],[P14 Growth]])</f>
        <v>2.3889299567474884</v>
      </c>
      <c r="BF115" s="27">
        <f>PortfolioFrontier[[#This Row],[P14 Growth]]/PortfolioFrontier[[#This Row],[P14 HWM]]-1</f>
        <v>0</v>
      </c>
      <c r="BG115" s="28">
        <f>SUMPRODUCT(INDEX(PortfolioRef[[SPY]:[PE]],MATCH(BG$1,PortfolioRef[Reference '#]),0),AssetMonthlyReturns[[#This Row],[SPY]:[PE]])</f>
        <v>2.1873450588753698E-2</v>
      </c>
      <c r="BH115" s="27">
        <f>IF(ISNUMBER(BH114),BH114*(1+PortfolioFrontier[[#This Row],[P15 Return]]),1+PortfolioFrontier[[#This Row],[P15 Return]])</f>
        <v>2.3778646371209518</v>
      </c>
      <c r="BI115" s="27">
        <f>MAX(BI114,PortfolioFrontier[[#This Row],[P15 Growth]])</f>
        <v>2.3778646371209518</v>
      </c>
      <c r="BJ115" s="27">
        <f>PortfolioFrontier[[#This Row],[P15 Growth]]/PortfolioFrontier[[#This Row],[P15 HWM]]-1</f>
        <v>0</v>
      </c>
      <c r="BK115" s="28">
        <f>SUMPRODUCT(INDEX(PortfolioRef[[SPY]:[PE]],MATCH(BK$1,PortfolioRef[Reference '#]),0),AssetMonthlyReturns[[#This Row],[SPY]:[PE]])</f>
        <v>2.1409720546230717E-2</v>
      </c>
      <c r="BL115" s="27">
        <f>IF(ISNUMBER(BL114),BL114*(1+PortfolioFrontier[[#This Row],[P16 Return]]),1+PortfolioFrontier[[#This Row],[P16 Return]])</f>
        <v>2.1837202086100418</v>
      </c>
      <c r="BM115" s="27">
        <f>MAX(BM114,PortfolioFrontier[[#This Row],[P16 Growth]])</f>
        <v>2.1837202086100418</v>
      </c>
      <c r="BN115" s="27">
        <f>PortfolioFrontier[[#This Row],[P16 Growth]]/PortfolioFrontier[[#This Row],[P16 HWM]]-1</f>
        <v>0</v>
      </c>
      <c r="BO115" s="28">
        <f>SUMPRODUCT(INDEX(PortfolioRef[[SPY]:[PE]],MATCH(BO$1,PortfolioRef[Reference '#]),0),AssetMonthlyReturns[[#This Row],[SPY]:[PE]])</f>
        <v>2.3314904943404512E-2</v>
      </c>
      <c r="BP115" s="27">
        <f>IF(ISNUMBER(BP114),BP114*(1+PortfolioFrontier[[#This Row],[P17 Return]]),1+PortfolioFrontier[[#This Row],[P17 Return]])</f>
        <v>2.2794131353064997</v>
      </c>
      <c r="BQ115" s="27">
        <f>MAX(BQ114,PortfolioFrontier[[#This Row],[P17 Growth]])</f>
        <v>2.2794131353064997</v>
      </c>
      <c r="BR115" s="27">
        <f>PortfolioFrontier[[#This Row],[P17 Growth]]/PortfolioFrontier[[#This Row],[P17 HWM]]-1</f>
        <v>0</v>
      </c>
      <c r="BS115" s="28">
        <f>SUMPRODUCT(INDEX(PortfolioRef[[SPY]:[PE]],MATCH(BS$1,PortfolioRef[Reference '#]),0),AssetMonthlyReturns[[#This Row],[SPY]:[PE]])</f>
        <v>2.2560011639150154E-2</v>
      </c>
      <c r="BT115" s="27">
        <f>IF(ISNUMBER(BT114),BT114*(1+PortfolioFrontier[[#This Row],[P18 Return]]),1+PortfolioFrontier[[#This Row],[P18 Return]])</f>
        <v>2.2249651454745831</v>
      </c>
      <c r="BU115" s="27">
        <f>MAX(BU114,PortfolioFrontier[[#This Row],[P18 Growth]])</f>
        <v>2.2249651454745831</v>
      </c>
      <c r="BV115" s="27">
        <f>PortfolioFrontier[[#This Row],[P18 Growth]]/PortfolioFrontier[[#This Row],[P18 HWM]]-1</f>
        <v>0</v>
      </c>
      <c r="BW115" s="28">
        <f>SUMPRODUCT(INDEX(PortfolioRef[[SPY]:[PE]],MATCH(BW$1,PortfolioRef[Reference '#]),0),AssetMonthlyReturns[[#This Row],[SPY]:[PE]])</f>
        <v>2.1422721066410688E-2</v>
      </c>
      <c r="BX115" s="27">
        <f>IF(ISNUMBER(BX114),BX114*(1+PortfolioFrontier[[#This Row],[P19 Return]]),1+PortfolioFrontier[[#This Row],[P19 Return]])</f>
        <v>2.2142876017198367</v>
      </c>
      <c r="BY115" s="27">
        <f>MAX(BY114,PortfolioFrontier[[#This Row],[P19 Growth]])</f>
        <v>2.2142876017198367</v>
      </c>
      <c r="BZ115" s="27">
        <f>PortfolioFrontier[[#This Row],[P19 Growth]]/PortfolioFrontier[[#This Row],[P19 HWM]]-1</f>
        <v>0</v>
      </c>
      <c r="CA115" s="28">
        <f>SUMPRODUCT(INDEX(PortfolioRef[[SPY]:[PE]],MATCH(CA$1,PortfolioRef[Reference '#]),0),AssetMonthlyReturns[[#This Row],[SPY]:[PE]])</f>
        <v>2.5220089340578313E-2</v>
      </c>
      <c r="CB115" s="27">
        <f>IF(ISNUMBER(CB114),CB114*(1+PortfolioFrontier[[#This Row],[P20 Return]]),1+PortfolioFrontier[[#This Row],[P20 Return]])</f>
        <v>2.378448871381539</v>
      </c>
      <c r="CC115" s="27">
        <f>MAX(CC114,PortfolioFrontier[[#This Row],[P20 Growth]])</f>
        <v>2.378448871381539</v>
      </c>
      <c r="CD115" s="27">
        <f>PortfolioFrontier[[#This Row],[P20 Growth]]/PortfolioFrontier[[#This Row],[P20 HWM]]-1</f>
        <v>0</v>
      </c>
      <c r="CE115" s="28">
        <f>SUMPRODUCT(INDEX(PortfolioRef[[SPY]:[PE]],MATCH(CE$1,PortfolioRef[Reference '#]),0),AssetMonthlyReturns[[#This Row],[SPY]:[PE]])</f>
        <v>2.4465196036323952E-2</v>
      </c>
      <c r="CF115" s="27">
        <f>IF(ISNUMBER(CF114),CF114*(1+PortfolioFrontier[[#This Row],[P21 Return]]),1+PortfolioFrontier[[#This Row],[P21 Return]])</f>
        <v>2.3224534891241606</v>
      </c>
      <c r="CG115" s="27">
        <f>MAX(CG114,PortfolioFrontier[[#This Row],[P21 Growth]])</f>
        <v>2.3224534891241606</v>
      </c>
      <c r="CH115" s="27">
        <f>PortfolioFrontier[[#This Row],[P21 Growth]]/PortfolioFrontier[[#This Row],[P21 HWM]]-1</f>
        <v>0</v>
      </c>
      <c r="CI115" s="28">
        <f>SUMPRODUCT(INDEX(PortfolioRef[[SPY]:[PE]],MATCH(CI$1,PortfolioRef[Reference '#]),0),AssetMonthlyReturns[[#This Row],[SPY]:[PE]])</f>
        <v>2.3327905463584486E-2</v>
      </c>
      <c r="CJ115" s="27">
        <f>IF(ISNUMBER(CJ114),CJ114*(1+PortfolioFrontier[[#This Row],[P22 Return]]),1+PortfolioFrontier[[#This Row],[P22 Return]])</f>
        <v>2.3113229113076175</v>
      </c>
      <c r="CK115" s="27">
        <f>MAX(CK114,PortfolioFrontier[[#This Row],[P22 Growth]])</f>
        <v>2.3113229113076175</v>
      </c>
      <c r="CL115" s="27">
        <f>PortfolioFrontier[[#This Row],[P22 Growth]]/PortfolioFrontier[[#This Row],[P22 HWM]]-1</f>
        <v>0</v>
      </c>
      <c r="CM115" s="28">
        <f>SUMPRODUCT(INDEX(PortfolioRef[[SPY]:[PE]],MATCH(CM$1,PortfolioRef[Reference '#]),0),AssetMonthlyReturns[[#This Row],[SPY]:[PE]])</f>
        <v>2.3710302732069598E-2</v>
      </c>
      <c r="CN115" s="27">
        <f>IF(ISNUMBER(CN114),CN114*(1+PortfolioFrontier[[#This Row],[P23 Return]]),1+PortfolioFrontier[[#This Row],[P23 Return]])</f>
        <v>2.265630028123029</v>
      </c>
      <c r="CO115" s="27">
        <f>MAX(CO114,PortfolioFrontier[[#This Row],[P23 Growth]])</f>
        <v>2.265630028123029</v>
      </c>
      <c r="CP115" s="27">
        <f>PortfolioFrontier[[#This Row],[P23 Growth]]/PortfolioFrontier[[#This Row],[P23 HWM]]-1</f>
        <v>0</v>
      </c>
      <c r="CQ115" s="28">
        <f>SUMPRODUCT(INDEX(PortfolioRef[[SPY]:[PE]],MATCH(CQ$1,PortfolioRef[Reference '#]),0),AssetMonthlyReturns[[#This Row],[SPY]:[PE]])</f>
        <v>2.2573012159330129E-2</v>
      </c>
      <c r="CR115" s="27">
        <f>IF(ISNUMBER(CR114),CR114*(1+PortfolioFrontier[[#This Row],[P24 Return]]),1+PortfolioFrontier[[#This Row],[P24 Return]])</f>
        <v>2.2562381937791369</v>
      </c>
      <c r="CS115" s="27">
        <f>MAX(CS114,PortfolioFrontier[[#This Row],[P24 Growth]])</f>
        <v>2.2562381937791369</v>
      </c>
      <c r="CT115" s="27">
        <f>PortfolioFrontier[[#This Row],[P24 Growth]]/PortfolioFrontier[[#This Row],[P24 HWM]]-1</f>
        <v>0</v>
      </c>
      <c r="CU115" s="28">
        <f>SUMPRODUCT(INDEX(PortfolioRef[[SPY]:[PE]],MATCH(CU$1,PortfolioRef[Reference '#]),0),AssetMonthlyReturns[[#This Row],[SPY]:[PE]])</f>
        <v>2.1435721586590663E-2</v>
      </c>
      <c r="CV115" s="27">
        <f>IF(ISNUMBER(CV114),CV114*(1+PortfolioFrontier[[#This Row],[P25 Return]]),1+PortfolioFrontier[[#This Row],[P25 Return]])</f>
        <v>2.2449376378416495</v>
      </c>
      <c r="CW115" s="27">
        <f>MAX(CW114,PortfolioFrontier[[#This Row],[P25 Growth]])</f>
        <v>2.2449376378416495</v>
      </c>
      <c r="CX115" s="27">
        <f>PortfolioFrontier[[#This Row],[P25 Growth]]/PortfolioFrontier[[#This Row],[P25 HWM]]-1</f>
        <v>0</v>
      </c>
      <c r="CY115" s="28">
        <f>SUMPRODUCT(INDEX(PortfolioRef[[SPY]:[PE]],MATCH(CY$1,PortfolioRef[Reference '#]),0),AssetMonthlyReturns[[#This Row],[SPY]:[PE]])</f>
        <v>2.637038043349775E-2</v>
      </c>
      <c r="CZ115" s="27">
        <f>IF(ISNUMBER(CZ114),CZ114*(1+PortfolioFrontier[[#This Row],[P26 Return]]),1+PortfolioFrontier[[#This Row],[P26 Return]])</f>
        <v>2.4233472789083113</v>
      </c>
      <c r="DA115" s="27">
        <f>MAX(DA114,PortfolioFrontier[[#This Row],[P26 Growth]])</f>
        <v>2.4233472789083113</v>
      </c>
      <c r="DB115" s="27">
        <f>PortfolioFrontier[[#This Row],[P26 Growth]]/PortfolioFrontier[[#This Row],[P26 HWM]]-1</f>
        <v>0</v>
      </c>
      <c r="DC115" s="28">
        <f>SUMPRODUCT(INDEX(PortfolioRef[[SPY]:[PE]],MATCH(DC$1,PortfolioRef[Reference '#]),0),AssetMonthlyReturns[[#This Row],[SPY]:[PE]])</f>
        <v>2.5233089860758284E-2</v>
      </c>
      <c r="DD115" s="27">
        <f>IF(ISNUMBER(DD114),DD114*(1+PortfolioFrontier[[#This Row],[P27 Return]]),1+PortfolioFrontier[[#This Row],[P27 Return]])</f>
        <v>2.4117484920319825</v>
      </c>
      <c r="DE115" s="27">
        <f>MAX(DE114,PortfolioFrontier[[#This Row],[P27 Growth]])</f>
        <v>2.4117484920319825</v>
      </c>
      <c r="DF115" s="27">
        <f>PortfolioFrontier[[#This Row],[P27 Growth]]/PortfolioFrontier[[#This Row],[P27 HWM]]-1</f>
        <v>0</v>
      </c>
      <c r="DG115" s="28">
        <f>SUMPRODUCT(INDEX(PortfolioRef[[SPY]:[PE]],MATCH(DG$1,PortfolioRef[Reference '#]),0),AssetMonthlyReturns[[#This Row],[SPY]:[PE]])</f>
        <v>2.5615487129243397E-2</v>
      </c>
      <c r="DH115" s="27">
        <f>IF(ISNUMBER(DH114),DH114*(1+PortfolioFrontier[[#This Row],[P28 Return]]),1+PortfolioFrontier[[#This Row],[P28 Return]])</f>
        <v>2.3648888288058569</v>
      </c>
      <c r="DI115" s="27">
        <f>MAX(DI114,PortfolioFrontier[[#This Row],[P28 Growth]])</f>
        <v>2.3648888288058569</v>
      </c>
      <c r="DJ115" s="27">
        <f>PortfolioFrontier[[#This Row],[P28 Growth]]/PortfolioFrontier[[#This Row],[P28 HWM]]-1</f>
        <v>0</v>
      </c>
      <c r="DK115" s="28">
        <f>SUMPRODUCT(INDEX(PortfolioRef[[SPY]:[PE]],MATCH(DK$1,PortfolioRef[Reference '#]),0),AssetMonthlyReturns[[#This Row],[SPY]:[PE]])</f>
        <v>2.4478196556503927E-2</v>
      </c>
      <c r="DL115" s="27">
        <f>IF(ISNUMBER(DL114),DL114*(1+PortfolioFrontier[[#This Row],[P29 Return]]),1+PortfolioFrontier[[#This Row],[P29 Return]])</f>
        <v>2.3550996899260674</v>
      </c>
      <c r="DM115" s="27">
        <f>MAX(DM114,PortfolioFrontier[[#This Row],[P29 Growth]])</f>
        <v>2.3550996899260674</v>
      </c>
      <c r="DN115" s="27">
        <f>PortfolioFrontier[[#This Row],[P29 Growth]]/PortfolioFrontier[[#This Row],[P29 HWM]]-1</f>
        <v>0</v>
      </c>
      <c r="DO115" s="28">
        <f>SUMPRODUCT(INDEX(PortfolioRef[[SPY]:[PE]],MATCH(DO$1,PortfolioRef[Reference '#]),0),AssetMonthlyReturns[[#This Row],[SPY]:[PE]])</f>
        <v>2.3340905983764461E-2</v>
      </c>
      <c r="DP115" s="27">
        <f>IF(ISNUMBER(DP114),DP114*(1+PortfolioFrontier[[#This Row],[P30 Return]]),1+PortfolioFrontier[[#This Row],[P30 Return]])</f>
        <v>2.3433193424894636</v>
      </c>
      <c r="DQ115" s="27">
        <f>MAX(DQ114,PortfolioFrontier[[#This Row],[P30 Growth]])</f>
        <v>2.3433193424894636</v>
      </c>
      <c r="DR115" s="27">
        <f>PortfolioFrontier[[#This Row],[P30 Growth]]/PortfolioFrontier[[#This Row],[P30 HWM]]-1</f>
        <v>0</v>
      </c>
      <c r="DS115" s="28">
        <f>SUMPRODUCT(INDEX(PortfolioRef[[SPY]:[PE]],MATCH(DS$1,PortfolioRef[Reference '#]),0),AssetMonthlyReturns[[#This Row],[SPY]:[PE]])</f>
        <v>2.4860593824989043E-2</v>
      </c>
      <c r="DT115" s="27">
        <f>IF(ISNUMBER(DT114),DT114*(1+PortfolioFrontier[[#This Row],[P31 Return]]),1+PortfolioFrontier[[#This Row],[P31 Return]])</f>
        <v>2.305650043222347</v>
      </c>
      <c r="DU115" s="27">
        <f>MAX(DU114,PortfolioFrontier[[#This Row],[P31 Growth]])</f>
        <v>2.305650043222347</v>
      </c>
      <c r="DV115" s="27">
        <f>PortfolioFrontier[[#This Row],[P31 Growth]]/PortfolioFrontier[[#This Row],[P31 HWM]]-1</f>
        <v>0</v>
      </c>
      <c r="DW115" s="28">
        <f>SUMPRODUCT(INDEX(PortfolioRef[[SPY]:[PE]],MATCH(DW$1,PortfolioRef[Reference '#]),0),AssetMonthlyReturns[[#This Row],[SPY]:[PE]])</f>
        <v>2.3723303252249573E-2</v>
      </c>
      <c r="DX115" s="27">
        <f>IF(ISNUMBER(DX114),DX114*(1+PortfolioFrontier[[#This Row],[P32 Return]]),1+PortfolioFrontier[[#This Row],[P32 Return]])</f>
        <v>2.2976056136550032</v>
      </c>
      <c r="DY115" s="27">
        <f>MAX(DY114,PortfolioFrontier[[#This Row],[P32 Growth]])</f>
        <v>2.2976056136550032</v>
      </c>
      <c r="DZ115" s="27">
        <f>PortfolioFrontier[[#This Row],[P32 Growth]]/PortfolioFrontier[[#This Row],[P32 HWM]]-1</f>
        <v>0</v>
      </c>
      <c r="EA115" s="28">
        <f>SUMPRODUCT(INDEX(PortfolioRef[[SPY]:[PE]],MATCH(EA$1,PortfolioRef[Reference '#]),0),AssetMonthlyReturns[[#This Row],[SPY]:[PE]])</f>
        <v>2.2586012679510103E-2</v>
      </c>
      <c r="EB115" s="27">
        <f>IF(ISNUMBER(EB114),EB114*(1+PortfolioFrontier[[#This Row],[P33 Return]]),1+PortfolioFrontier[[#This Row],[P33 Return]])</f>
        <v>2.2875990213394135</v>
      </c>
      <c r="EC115" s="27">
        <f>MAX(EC114,PortfolioFrontier[[#This Row],[P33 Growth]])</f>
        <v>2.2875990213394135</v>
      </c>
      <c r="ED115" s="27">
        <f>PortfolioFrontier[[#This Row],[P33 Growth]]/PortfolioFrontier[[#This Row],[P33 HWM]]-1</f>
        <v>0</v>
      </c>
      <c r="EE115" s="28">
        <f>SUMPRODUCT(INDEX(PortfolioRef[[SPY]:[PE]],MATCH(EE$1,PortfolioRef[Reference '#]),0),AssetMonthlyReturns[[#This Row],[SPY]:[PE]])</f>
        <v>2.0971991544067682E-2</v>
      </c>
      <c r="EF115" s="27">
        <f>IF(ISNUMBER(EF114),EF114*(1+PortfolioFrontier[[#This Row],[P34 Return]]),1+PortfolioFrontier[[#This Row],[P34 Return]])</f>
        <v>2.0604927403303259</v>
      </c>
      <c r="EG115" s="27">
        <f>MAX(EG114,PortfolioFrontier[[#This Row],[P34 Growth]])</f>
        <v>2.0604927403303259</v>
      </c>
      <c r="EH115" s="27">
        <f>PortfolioFrontier[[#This Row],[P34 Growth]]/PortfolioFrontier[[#This Row],[P34 HWM]]-1</f>
        <v>0</v>
      </c>
      <c r="EI115" s="28">
        <f>SUMPRODUCT(INDEX(PortfolioRef[[SPY]:[PE]],MATCH(EI$1,PortfolioRef[Reference '#]),0),AssetMonthlyReturns[[#This Row],[SPY]:[PE]])</f>
        <v>2.287717594124148E-2</v>
      </c>
      <c r="EJ115" s="27">
        <f>IF(ISNUMBER(EJ114),EJ114*(1+PortfolioFrontier[[#This Row],[P35 Return]]),1+PortfolioFrontier[[#This Row],[P35 Return]])</f>
        <v>2.1507702541028255</v>
      </c>
      <c r="EK115" s="27">
        <f>MAX(EK114,PortfolioFrontier[[#This Row],[P35 Growth]])</f>
        <v>2.1507702541028255</v>
      </c>
      <c r="EL115" s="27">
        <f>PortfolioFrontier[[#This Row],[P35 Growth]]/PortfolioFrontier[[#This Row],[P35 HWM]]-1</f>
        <v>0</v>
      </c>
      <c r="EM115" s="28">
        <f>SUMPRODUCT(INDEX(PortfolioRef[[SPY]:[PE]],MATCH(EM$1,PortfolioRef[Reference '#]),0),AssetMonthlyReturns[[#This Row],[SPY]:[PE]])</f>
        <v>2.2122282636987123E-2</v>
      </c>
      <c r="EN115" s="27">
        <f>IF(ISNUMBER(EN114),EN114*(1+PortfolioFrontier[[#This Row],[P36 Return]]),1+PortfolioFrontier[[#This Row],[P36 Return]])</f>
        <v>2.1002574844407844</v>
      </c>
      <c r="EO115" s="27">
        <f>MAX(EO114,PortfolioFrontier[[#This Row],[P36 Growth]])</f>
        <v>2.1002574844407844</v>
      </c>
      <c r="EP115" s="27">
        <f>PortfolioFrontier[[#This Row],[P36 Growth]]/PortfolioFrontier[[#This Row],[P36 HWM]]-1</f>
        <v>0</v>
      </c>
      <c r="EQ115" s="28">
        <f>SUMPRODUCT(INDEX(PortfolioRef[[SPY]:[PE]],MATCH(EQ$1,PortfolioRef[Reference '#]),0),AssetMonthlyReturns[[#This Row],[SPY]:[PE]])</f>
        <v>2.0984992064247657E-2</v>
      </c>
      <c r="ER115" s="27">
        <f>IF(ISNUMBER(ER114),ER114*(1+PortfolioFrontier[[#This Row],[P37 Return]]),1+PortfolioFrontier[[#This Row],[P37 Return]])</f>
        <v>2.0893887549105763</v>
      </c>
      <c r="ES115" s="27">
        <f>MAX(ES114,PortfolioFrontier[[#This Row],[P37 Growth]])</f>
        <v>2.0893887549105763</v>
      </c>
      <c r="ET115" s="27">
        <f>PortfolioFrontier[[#This Row],[P37 Growth]]/PortfolioFrontier[[#This Row],[P37 HWM]]-1</f>
        <v>0</v>
      </c>
      <c r="EU115" s="28">
        <f>SUMPRODUCT(INDEX(PortfolioRef[[SPY]:[PE]],MATCH(EU$1,PortfolioRef[Reference '#]),0),AssetMonthlyReturns[[#This Row],[SPY]:[PE]])</f>
        <v>2.4782360338415278E-2</v>
      </c>
      <c r="EV115" s="27">
        <f>IF(ISNUMBER(EV114),EV114*(1+PortfolioFrontier[[#This Row],[P38 Return]]),1+PortfolioFrontier[[#This Row],[P38 Return]])</f>
        <v>2.2441995995760076</v>
      </c>
      <c r="EW115" s="27">
        <f>MAX(EW114,PortfolioFrontier[[#This Row],[P38 Growth]])</f>
        <v>2.2441995995760076</v>
      </c>
      <c r="EX115" s="27">
        <f>PortfolioFrontier[[#This Row],[P38 Growth]]/PortfolioFrontier[[#This Row],[P38 HWM]]-1</f>
        <v>0</v>
      </c>
      <c r="EY115" s="28">
        <f>SUMPRODUCT(INDEX(PortfolioRef[[SPY]:[PE]],MATCH(EY$1,PortfolioRef[Reference '#]),0),AssetMonthlyReturns[[#This Row],[SPY]:[PE]])</f>
        <v>2.4027467034160917E-2</v>
      </c>
      <c r="EZ115" s="27">
        <f>IF(ISNUMBER(EZ114),EZ114*(1+PortfolioFrontier[[#This Row],[P39 Return]]),1+PortfolioFrontier[[#This Row],[P39 Return]])</f>
        <v>2.1922654291767789</v>
      </c>
      <c r="FA115" s="27">
        <f>MAX(FA114,PortfolioFrontier[[#This Row],[P39 Growth]])</f>
        <v>2.1922654291767789</v>
      </c>
      <c r="FB115" s="27">
        <f>PortfolioFrontier[[#This Row],[P39 Growth]]/PortfolioFrontier[[#This Row],[P39 HWM]]-1</f>
        <v>0</v>
      </c>
      <c r="FC115" s="28">
        <f>SUMPRODUCT(INDEX(PortfolioRef[[SPY]:[PE]],MATCH(FC$1,PortfolioRef[Reference '#]),0),AssetMonthlyReturns[[#This Row],[SPY]:[PE]])</f>
        <v>2.2890176461421451E-2</v>
      </c>
      <c r="FD115" s="27">
        <f>IF(ISNUMBER(FD114),FD114*(1+PortfolioFrontier[[#This Row],[P40 Return]]),1+PortfolioFrontier[[#This Row],[P40 Return]])</f>
        <v>2.180934995930933</v>
      </c>
      <c r="FE115" s="27">
        <f>MAX(FE114,PortfolioFrontier[[#This Row],[P40 Growth]])</f>
        <v>2.180934995930933</v>
      </c>
      <c r="FF115" s="27">
        <f>PortfolioFrontier[[#This Row],[P40 Growth]]/PortfolioFrontier[[#This Row],[P40 HWM]]-1</f>
        <v>0</v>
      </c>
      <c r="FG115" s="28">
        <f>SUMPRODUCT(INDEX(PortfolioRef[[SPY]:[PE]],MATCH(FG$1,PortfolioRef[Reference '#]),0),AssetMonthlyReturns[[#This Row],[SPY]:[PE]])</f>
        <v>2.3272573729906564E-2</v>
      </c>
      <c r="FH115" s="27">
        <f>IF(ISNUMBER(FH114),FH114*(1+PortfolioFrontier[[#This Row],[P41 Return]]),1+PortfolioFrontier[[#This Row],[P41 Return]])</f>
        <v>2.1395087466768872</v>
      </c>
      <c r="FI115" s="27">
        <f>MAX(FI114,PortfolioFrontier[[#This Row],[P41 Growth]])</f>
        <v>2.1395087466768872</v>
      </c>
      <c r="FJ115" s="27">
        <f>PortfolioFrontier[[#This Row],[P41 Growth]]/PortfolioFrontier[[#This Row],[P41 HWM]]-1</f>
        <v>0</v>
      </c>
      <c r="FK115" s="28">
        <f>SUMPRODUCT(INDEX(PortfolioRef[[SPY]:[PE]],MATCH(FK$1,PortfolioRef[Reference '#]),0),AssetMonthlyReturns[[#This Row],[SPY]:[PE]])</f>
        <v>2.2135283157167094E-2</v>
      </c>
      <c r="FL115" s="27">
        <f>IF(ISNUMBER(FL114),FL114*(1+PortfolioFrontier[[#This Row],[P42 Return]]),1+PortfolioFrontier[[#This Row],[P42 Return]])</f>
        <v>2.1298322534319194</v>
      </c>
      <c r="FM115" s="27">
        <f>MAX(FM114,PortfolioFrontier[[#This Row],[P42 Growth]])</f>
        <v>2.1298322534319194</v>
      </c>
      <c r="FN115" s="27">
        <f>PortfolioFrontier[[#This Row],[P42 Growth]]/PortfolioFrontier[[#This Row],[P42 HWM]]-1</f>
        <v>0</v>
      </c>
      <c r="FO115" s="28">
        <f>SUMPRODUCT(INDEX(PortfolioRef[[SPY]:[PE]],MATCH(FO$1,PortfolioRef[Reference '#]),0),AssetMonthlyReturns[[#This Row],[SPY]:[PE]])</f>
        <v>2.0997992584427628E-2</v>
      </c>
      <c r="FP115" s="27">
        <f>IF(ISNUMBER(FP114),FP114*(1+PortfolioFrontier[[#This Row],[P43 Return]]),1+PortfolioFrontier[[#This Row],[P43 Return]])</f>
        <v>2.1183642025665583</v>
      </c>
      <c r="FQ115" s="27">
        <f>MAX(FQ114,PortfolioFrontier[[#This Row],[P43 Growth]])</f>
        <v>2.1183642025665583</v>
      </c>
      <c r="FR115" s="27">
        <f>PortfolioFrontier[[#This Row],[P43 Growth]]/PortfolioFrontier[[#This Row],[P43 HWM]]-1</f>
        <v>0</v>
      </c>
      <c r="FS115" s="28">
        <f>SUMPRODUCT(INDEX(PortfolioRef[[SPY]:[PE]],MATCH(FS$1,PortfolioRef[Reference '#]),0),AssetMonthlyReturns[[#This Row],[SPY]:[PE]])</f>
        <v>2.5932651431334719E-2</v>
      </c>
      <c r="FT115" s="27">
        <f>IF(ISNUMBER(FT114),FT114*(1+PortfolioFrontier[[#This Row],[P44 Return]]),1+PortfolioFrontier[[#This Row],[P44 Return]])</f>
        <v>2.287485530060926</v>
      </c>
      <c r="FU115" s="27">
        <f>MAX(FU114,PortfolioFrontier[[#This Row],[P44 Growth]])</f>
        <v>2.287485530060926</v>
      </c>
      <c r="FV115" s="27">
        <f>PortfolioFrontier[[#This Row],[P44 Growth]]/PortfolioFrontier[[#This Row],[P44 HWM]]-1</f>
        <v>0</v>
      </c>
      <c r="FW115" s="28">
        <f>SUMPRODUCT(INDEX(PortfolioRef[[SPY]:[PE]],MATCH(FW$1,PortfolioRef[Reference '#]),0),AssetMonthlyReturns[[#This Row],[SPY]:[PE]])</f>
        <v>2.4795360858595253E-2</v>
      </c>
      <c r="FX115" s="27">
        <f>IF(ISNUMBER(FX114),FX114*(1+PortfolioFrontier[[#This Row],[P45 Return]]),1+PortfolioFrontier[[#This Row],[P45 Return]])</f>
        <v>2.2756779014878954</v>
      </c>
      <c r="FY115" s="27">
        <f>MAX(FY114,PortfolioFrontier[[#This Row],[P45 Growth]])</f>
        <v>2.2756779014878954</v>
      </c>
      <c r="FZ115" s="27">
        <f>PortfolioFrontier[[#This Row],[P45 Growth]]/PortfolioFrontier[[#This Row],[P45 HWM]]-1</f>
        <v>0</v>
      </c>
      <c r="GA115" s="28">
        <f>SUMPRODUCT(INDEX(PortfolioRef[[SPY]:[PE]],MATCH(GA$1,PortfolioRef[Reference '#]),0),AssetMonthlyReturns[[#This Row],[SPY]:[PE]])</f>
        <v>2.5177758127080362E-2</v>
      </c>
      <c r="GB115" s="27">
        <f>IF(ISNUMBER(GB114),GB114*(1+PortfolioFrontier[[#This Row],[P46 Return]]),1+PortfolioFrontier[[#This Row],[P46 Return]])</f>
        <v>2.2332250272008807</v>
      </c>
      <c r="GC115" s="27">
        <f>MAX(GC114,PortfolioFrontier[[#This Row],[P46 Growth]])</f>
        <v>2.2332250272008807</v>
      </c>
      <c r="GD115" s="27">
        <f>PortfolioFrontier[[#This Row],[P46 Growth]]/PortfolioFrontier[[#This Row],[P46 HWM]]-1</f>
        <v>0</v>
      </c>
      <c r="GE115" s="28">
        <f>SUMPRODUCT(INDEX(PortfolioRef[[SPY]:[PE]],MATCH(GE$1,PortfolioRef[Reference '#]),0),AssetMonthlyReturns[[#This Row],[SPY]:[PE]])</f>
        <v>2.4040467554340892E-2</v>
      </c>
      <c r="GF115" s="27">
        <f>IF(ISNUMBER(GF114),GF114*(1+PortfolioFrontier[[#This Row],[P47 Return]]),1+PortfolioFrontier[[#This Row],[P47 Return]])</f>
        <v>2.2231385116979201</v>
      </c>
      <c r="GG115" s="27">
        <f>MAX(GG114,PortfolioFrontier[[#This Row],[P47 Growth]])</f>
        <v>2.2231385116979201</v>
      </c>
      <c r="GH115" s="27">
        <f>PortfolioFrontier[[#This Row],[P47 Growth]]/PortfolioFrontier[[#This Row],[P47 HWM]]-1</f>
        <v>0</v>
      </c>
      <c r="GI115" s="28">
        <f>SUMPRODUCT(INDEX(PortfolioRef[[SPY]:[PE]],MATCH(GI$1,PortfolioRef[Reference '#]),0),AssetMonthlyReturns[[#This Row],[SPY]:[PE]])</f>
        <v>2.2903176981601426E-2</v>
      </c>
      <c r="GJ115" s="27">
        <f>IF(ISNUMBER(GJ114),GJ114*(1+PortfolioFrontier[[#This Row],[P48 Return]]),1+PortfolioFrontier[[#This Row],[P48 Return]])</f>
        <v>2.2111830177389442</v>
      </c>
      <c r="GK115" s="27">
        <f>MAX(GK114,PortfolioFrontier[[#This Row],[P48 Growth]])</f>
        <v>2.2111830177389442</v>
      </c>
      <c r="GL115" s="27">
        <f>PortfolioFrontier[[#This Row],[P48 Growth]]/PortfolioFrontier[[#This Row],[P48 HWM]]-1</f>
        <v>0</v>
      </c>
      <c r="GM115" s="28">
        <f>SUMPRODUCT(INDEX(PortfolioRef[[SPY]:[PE]],MATCH(GM$1,PortfolioRef[Reference '#]),0),AssetMonthlyReturns[[#This Row],[SPY]:[PE]])</f>
        <v>2.4422864822826008E-2</v>
      </c>
      <c r="GN115" s="27">
        <f>IF(ISNUMBER(GN114),GN114*(1+PortfolioFrontier[[#This Row],[P49 Return]]),1+PortfolioFrontier[[#This Row],[P49 Return]])</f>
        <v>2.1781849613729229</v>
      </c>
      <c r="GO115" s="27">
        <f>MAX(GO114,PortfolioFrontier[[#This Row],[P49 Growth]])</f>
        <v>2.1781849613729229</v>
      </c>
      <c r="GP115" s="27">
        <f>PortfolioFrontier[[#This Row],[P49 Growth]]/PortfolioFrontier[[#This Row],[P49 HWM]]-1</f>
        <v>0</v>
      </c>
      <c r="GQ115" s="28">
        <f>SUMPRODUCT(INDEX(PortfolioRef[[SPY]:[PE]],MATCH(GQ$1,PortfolioRef[Reference '#]),0),AssetMonthlyReturns[[#This Row],[SPY]:[PE]])</f>
        <v>2.3285574250086538E-2</v>
      </c>
      <c r="GR115" s="27">
        <f>IF(ISNUMBER(GR114),GR114*(1+PortfolioFrontier[[#This Row],[P50 Return]]),1+PortfolioFrontier[[#This Row],[P50 Return]])</f>
        <v>2.1697598827652866</v>
      </c>
      <c r="GS115" s="27">
        <f>MAX(GS114,PortfolioFrontier[[#This Row],[P50 Growth]])</f>
        <v>2.1697598827652866</v>
      </c>
      <c r="GT115" s="27">
        <f>PortfolioFrontier[[#This Row],[P50 Growth]]/PortfolioFrontier[[#This Row],[P50 HWM]]-1</f>
        <v>0</v>
      </c>
      <c r="GU115" s="28">
        <f>SUMPRODUCT(INDEX(PortfolioRef[[SPY]:[PE]],MATCH(GU$1,PortfolioRef[Reference '#]),0),AssetMonthlyReturns[[#This Row],[SPY]:[PE]])</f>
        <v>2.2148283677347069E-2</v>
      </c>
      <c r="GV115" s="27">
        <f>IF(ISNUMBER(GV114),GV114*(1+PortfolioFrontier[[#This Row],[P51 Return]]),1+PortfolioFrontier[[#This Row],[P51 Return]])</f>
        <v>2.1594913781736471</v>
      </c>
      <c r="GW115" s="27">
        <f>MAX(GW114,PortfolioFrontier[[#This Row],[P51 Growth]])</f>
        <v>2.1594913781736471</v>
      </c>
      <c r="GX115" s="27">
        <f>PortfolioFrontier[[#This Row],[P51 Growth]]/PortfolioFrontier[[#This Row],[P51 HWM]]-1</f>
        <v>0</v>
      </c>
      <c r="GY115" s="28">
        <f>SUMPRODUCT(INDEX(PortfolioRef[[SPY]:[PE]],MATCH(GY$1,PortfolioRef[Reference '#]),0),AssetMonthlyReturns[[#This Row],[SPY]:[PE]])</f>
        <v>2.7082942524254163E-2</v>
      </c>
      <c r="GZ115" s="27">
        <f>IF(ISNUMBER(GZ114),GZ114*(1+PortfolioFrontier[[#This Row],[P52 Return]]),1+PortfolioFrontier[[#This Row],[P52 Return]])</f>
        <v>2.3302130404146872</v>
      </c>
      <c r="HA115" s="27">
        <f>MAX(HA114,PortfolioFrontier[[#This Row],[P52 Growth]])</f>
        <v>2.3302130404146872</v>
      </c>
      <c r="HB115" s="27">
        <f>PortfolioFrontier[[#This Row],[P52 Growth]]/PortfolioFrontier[[#This Row],[P52 HWM]]-1</f>
        <v>0</v>
      </c>
      <c r="HC115" s="28">
        <f>SUMPRODUCT(INDEX(PortfolioRef[[SPY]:[PE]],MATCH(HC$1,PortfolioRef[Reference '#]),0),AssetMonthlyReturns[[#This Row],[SPY]:[PE]])</f>
        <v>2.5945651951514694E-2</v>
      </c>
      <c r="HD115" s="27">
        <f>IF(ISNUMBER(HD114),HD114*(1+PortfolioFrontier[[#This Row],[P53 Return]]),1+PortfolioFrontier[[#This Row],[P53 Return]])</f>
        <v>2.3197027991894492</v>
      </c>
      <c r="HE115" s="27">
        <f>MAX(HE114,PortfolioFrontier[[#This Row],[P53 Growth]])</f>
        <v>2.3197027991894492</v>
      </c>
      <c r="HF115" s="27">
        <f>PortfolioFrontier[[#This Row],[P53 Growth]]/PortfolioFrontier[[#This Row],[P53 HWM]]-1</f>
        <v>0</v>
      </c>
      <c r="HG115" s="28">
        <f>SUMPRODUCT(INDEX(PortfolioRef[[SPY]:[PE]],MATCH(HG$1,PortfolioRef[Reference '#]),0),AssetMonthlyReturns[[#This Row],[SPY]:[PE]])</f>
        <v>2.4808361378775227E-2</v>
      </c>
      <c r="HH115" s="27">
        <f>IF(ISNUMBER(HH114),HH114*(1+PortfolioFrontier[[#This Row],[P54 Return]]),1+PortfolioFrontier[[#This Row],[P54 Return]])</f>
        <v>2.3072434880348385</v>
      </c>
      <c r="HI115" s="27">
        <f>MAX(HI114,PortfolioFrontier[[#This Row],[P54 Growth]])</f>
        <v>2.3072434880348385</v>
      </c>
      <c r="HJ115" s="27">
        <f>PortfolioFrontier[[#This Row],[P54 Growth]]/PortfolioFrontier[[#This Row],[P54 HWM]]-1</f>
        <v>0</v>
      </c>
      <c r="HK115" s="28">
        <f>SUMPRODUCT(INDEX(PortfolioRef[[SPY]:[PE]],MATCH(HK$1,PortfolioRef[Reference '#]),0),AssetMonthlyReturns[[#This Row],[SPY]:[PE]])</f>
        <v>2.6328049219999802E-2</v>
      </c>
      <c r="HL115" s="27">
        <f>IF(ISNUMBER(HL114),HL114*(1+PortfolioFrontier[[#This Row],[P55 Return]]),1+PortfolioFrontier[[#This Row],[P55 Return]])</f>
        <v>2.2735848417195608</v>
      </c>
      <c r="HM115" s="27">
        <f>MAX(HM114,PortfolioFrontier[[#This Row],[P55 Growth]])</f>
        <v>2.2735848417195608</v>
      </c>
      <c r="HN115" s="27">
        <f>PortfolioFrontier[[#This Row],[P55 Growth]]/PortfolioFrontier[[#This Row],[P55 HWM]]-1</f>
        <v>0</v>
      </c>
      <c r="HO115" s="28">
        <f>SUMPRODUCT(INDEX(PortfolioRef[[SPY]:[PE]],MATCH(HO$1,PortfolioRef[Reference '#]),0),AssetMonthlyReturns[[#This Row],[SPY]:[PE]])</f>
        <v>2.5190758647260333E-2</v>
      </c>
      <c r="HP115" s="27">
        <f>IF(ISNUMBER(HP114),HP114*(1+PortfolioFrontier[[#This Row],[P56 Return]]),1+PortfolioFrontier[[#This Row],[P56 Return]])</f>
        <v>2.2648039616253914</v>
      </c>
      <c r="HQ115" s="27">
        <f>MAX(HQ114,PortfolioFrontier[[#This Row],[P56 Growth]])</f>
        <v>2.2648039616253914</v>
      </c>
      <c r="HR115" s="27">
        <f>PortfolioFrontier[[#This Row],[P56 Growth]]/PortfolioFrontier[[#This Row],[P56 HWM]]-1</f>
        <v>0</v>
      </c>
      <c r="HS115" s="28">
        <f>SUMPRODUCT(INDEX(PortfolioRef[[SPY]:[PE]],MATCH(HS$1,PortfolioRef[Reference '#]),0),AssetMonthlyReturns[[#This Row],[SPY]:[PE]])</f>
        <v>2.4053468074520863E-2</v>
      </c>
      <c r="HT115" s="27">
        <f>IF(ISNUMBER(HT114),HT114*(1+PortfolioFrontier[[#This Row],[P57 Return]]),1+PortfolioFrontier[[#This Row],[P57 Return]])</f>
        <v>2.2541000189537677</v>
      </c>
      <c r="HU115" s="27">
        <f>MAX(HU114,PortfolioFrontier[[#This Row],[P57 Growth]])</f>
        <v>2.2541000189537677</v>
      </c>
      <c r="HV115" s="27">
        <f>PortfolioFrontier[[#This Row],[P57 Growth]]/PortfolioFrontier[[#This Row],[P57 HWM]]-1</f>
        <v>0</v>
      </c>
      <c r="HW115" s="28">
        <f>SUMPRODUCT(INDEX(PortfolioRef[[SPY]:[PE]],MATCH(HW$1,PortfolioRef[Reference '#]),0),AssetMonthlyReturns[[#This Row],[SPY]:[PE]])</f>
        <v>2.5573155915745448E-2</v>
      </c>
      <c r="HX115" s="27">
        <f>IF(ISNUMBER(HX114),HX114*(1+PortfolioFrontier[[#This Row],[P58 Return]]),1+PortfolioFrontier[[#This Row],[P58 Return]])</f>
        <v>2.2162239687892251</v>
      </c>
      <c r="HY115" s="27">
        <f>MAX(HY114,PortfolioFrontier[[#This Row],[P58 Growth]])</f>
        <v>2.2162239687892251</v>
      </c>
      <c r="HZ115" s="27">
        <f>PortfolioFrontier[[#This Row],[P58 Growth]]/PortfolioFrontier[[#This Row],[P58 HWM]]-1</f>
        <v>0</v>
      </c>
      <c r="IA115" s="28">
        <f>SUMPRODUCT(INDEX(PortfolioRef[[SPY]:[PE]],MATCH(IA$1,PortfolioRef[Reference '#]),0),AssetMonthlyReturns[[#This Row],[SPY]:[PE]])</f>
        <v>2.4435865343005979E-2</v>
      </c>
      <c r="IB115" s="27">
        <f>IF(ISNUMBER(IB114),IB114*(1+PortfolioFrontier[[#This Row],[P59 Return]]),1+PortfolioFrontier[[#This Row],[P59 Return]])</f>
        <v>2.2091091496752409</v>
      </c>
      <c r="IC115" s="27">
        <f>MAX(IC114,PortfolioFrontier[[#This Row],[P59 Growth]])</f>
        <v>2.2091091496752409</v>
      </c>
      <c r="ID115" s="27">
        <f>PortfolioFrontier[[#This Row],[P59 Growth]]/PortfolioFrontier[[#This Row],[P59 HWM]]-1</f>
        <v>0</v>
      </c>
      <c r="IE115" s="28">
        <f>SUMPRODUCT(INDEX(PortfolioRef[[SPY]:[PE]],MATCH(IE$1,PortfolioRef[Reference '#]),0),AssetMonthlyReturns[[#This Row],[SPY]:[PE]])</f>
        <v>2.3298574770266513E-2</v>
      </c>
      <c r="IF115" s="27">
        <f>IF(ISNUMBER(IF114),IF114*(1+PortfolioFrontier[[#This Row],[P60 Return]]),1+PortfolioFrontier[[#This Row],[P60 Return]])</f>
        <v>2.2001004126196566</v>
      </c>
      <c r="IG115" s="27">
        <f>MAX(IG114,PortfolioFrontier[[#This Row],[P60 Growth]])</f>
        <v>2.2001004126196566</v>
      </c>
      <c r="IH115" s="27">
        <f>PortfolioFrontier[[#This Row],[P60 Growth]]/PortfolioFrontier[[#This Row],[P60 HWM]]-1</f>
        <v>0</v>
      </c>
      <c r="II115" s="28">
        <f>SUMPRODUCT(INDEX(PortfolioRef[[SPY]:[PE]],MATCH(II$1,PortfolioRef[Reference '#]),0),AssetMonthlyReturns[[#This Row],[SPY]:[PE]])</f>
        <v>2.0534262541904651E-2</v>
      </c>
      <c r="IJ115" s="27">
        <f>IF(ISNUMBER(IJ114),IJ114*(1+PortfolioFrontier[[#This Row],[P61 Return]]),1+PortfolioFrontier[[#This Row],[P61 Return]])</f>
        <v>1.943230385045418</v>
      </c>
      <c r="IK115" s="27">
        <f>MAX(IK114,PortfolioFrontier[[#This Row],[P61 Growth]])</f>
        <v>1.943230385045418</v>
      </c>
      <c r="IL115" s="27">
        <f>PortfolioFrontier[[#This Row],[P61 Growth]]/PortfolioFrontier[[#This Row],[P61 HWM]]-1</f>
        <v>0</v>
      </c>
      <c r="IM115" s="28">
        <f>SUMPRODUCT(INDEX(PortfolioRef[[SPY]:[PE]],MATCH(IM$1,PortfolioRef[Reference '#]),0),AssetMonthlyReturns[[#This Row],[SPY]:[PE]])</f>
        <v>2.2439446939078445E-2</v>
      </c>
      <c r="IN115" s="27">
        <f>IF(ISNUMBER(IN114),IN114*(1+PortfolioFrontier[[#This Row],[P62 Return]]),1+PortfolioFrontier[[#This Row],[P62 Return]])</f>
        <v>2.0283564308963173</v>
      </c>
      <c r="IO115" s="27">
        <f>MAX(IO114,PortfolioFrontier[[#This Row],[P62 Growth]])</f>
        <v>2.0283564308963173</v>
      </c>
      <c r="IP115" s="27">
        <f>PortfolioFrontier[[#This Row],[P62 Growth]]/PortfolioFrontier[[#This Row],[P62 HWM]]-1</f>
        <v>0</v>
      </c>
      <c r="IQ115" s="28">
        <f>SUMPRODUCT(INDEX(PortfolioRef[[SPY]:[PE]],MATCH(IQ$1,PortfolioRef[Reference '#]),0),AssetMonthlyReturns[[#This Row],[SPY]:[PE]])</f>
        <v>2.1684553634824088E-2</v>
      </c>
      <c r="IR115" s="27">
        <f>IF(ISNUMBER(IR114),IR114*(1+PortfolioFrontier[[#This Row],[P63 Return]]),1+PortfolioFrontier[[#This Row],[P63 Return]])</f>
        <v>1.9815303974856739</v>
      </c>
      <c r="IS115" s="27">
        <f>MAX(IS114,PortfolioFrontier[[#This Row],[P63 Growth]])</f>
        <v>1.9815303974856739</v>
      </c>
      <c r="IT115" s="27">
        <f>PortfolioFrontier[[#This Row],[P63 Growth]]/PortfolioFrontier[[#This Row],[P63 HWM]]-1</f>
        <v>0</v>
      </c>
      <c r="IU115" s="28">
        <f>SUMPRODUCT(INDEX(PortfolioRef[[SPY]:[PE]],MATCH(IU$1,PortfolioRef[Reference '#]),0),AssetMonthlyReturns[[#This Row],[SPY]:[PE]])</f>
        <v>2.0547263062084622E-2</v>
      </c>
      <c r="IV115" s="27">
        <f>IF(ISNUMBER(IV114),IV114*(1+PortfolioFrontier[[#This Row],[P64 Return]]),1+PortfolioFrontier[[#This Row],[P64 Return]])</f>
        <v>1.970532497368348</v>
      </c>
      <c r="IW115" s="27">
        <f>MAX(IW114,PortfolioFrontier[[#This Row],[P64 Growth]])</f>
        <v>1.970532497368348</v>
      </c>
      <c r="IX115" s="27">
        <f>PortfolioFrontier[[#This Row],[P64 Growth]]/PortfolioFrontier[[#This Row],[P64 HWM]]-1</f>
        <v>0</v>
      </c>
      <c r="IY115" s="28">
        <f>SUMPRODUCT(INDEX(PortfolioRef[[SPY]:[PE]],MATCH(IY$1,PortfolioRef[Reference '#]),0),AssetMonthlyReturns[[#This Row],[SPY]:[PE]])</f>
        <v>2.4344631336252247E-2</v>
      </c>
      <c r="IZ115" s="27">
        <f>IF(ISNUMBER(IZ114),IZ114*(1+PortfolioFrontier[[#This Row],[P65 Return]]),1+PortfolioFrontier[[#This Row],[P65 Return]])</f>
        <v>2.1164527778276585</v>
      </c>
      <c r="JA115" s="27">
        <f>MAX(JA114,PortfolioFrontier[[#This Row],[P65 Growth]])</f>
        <v>2.1164527778276585</v>
      </c>
      <c r="JB115" s="27">
        <f>PortfolioFrontier[[#This Row],[P65 Growth]]/PortfolioFrontier[[#This Row],[P65 HWM]]-1</f>
        <v>0</v>
      </c>
      <c r="JC115" s="28">
        <f>SUMPRODUCT(INDEX(PortfolioRef[[SPY]:[PE]],MATCH(JC$1,PortfolioRef[Reference '#]),0),AssetMonthlyReturns[[#This Row],[SPY]:[PE]])</f>
        <v>2.3589738031997882E-2</v>
      </c>
      <c r="JD115" s="27">
        <f>IF(ISNUMBER(JD114),JD114*(1+PortfolioFrontier[[#This Row],[P66 Return]]),1+PortfolioFrontier[[#This Row],[P66 Return]])</f>
        <v>2.0683226302730424</v>
      </c>
      <c r="JE115" s="27">
        <f>MAX(JE114,PortfolioFrontier[[#This Row],[P66 Growth]])</f>
        <v>2.0683226302730424</v>
      </c>
      <c r="JF115" s="27">
        <f>PortfolioFrontier[[#This Row],[P66 Growth]]/PortfolioFrontier[[#This Row],[P66 HWM]]-1</f>
        <v>0</v>
      </c>
      <c r="JG115" s="28">
        <f>SUMPRODUCT(INDEX(PortfolioRef[[SPY]:[PE]],MATCH(JG$1,PortfolioRef[Reference '#]),0),AssetMonthlyReturns[[#This Row],[SPY]:[PE]])</f>
        <v>2.2452447459258416E-2</v>
      </c>
      <c r="JH115" s="27">
        <f>IF(ISNUMBER(JH114),JH114*(1+PortfolioFrontier[[#This Row],[P67 Return]]),1+PortfolioFrontier[[#This Row],[P67 Return]])</f>
        <v>2.0568570588724251</v>
      </c>
      <c r="JI115" s="27">
        <f>MAX(JI114,PortfolioFrontier[[#This Row],[P67 Growth]])</f>
        <v>2.0568570588724251</v>
      </c>
      <c r="JJ115" s="27">
        <f>PortfolioFrontier[[#This Row],[P67 Growth]]/PortfolioFrontier[[#This Row],[P67 HWM]]-1</f>
        <v>0</v>
      </c>
      <c r="JK115" s="28">
        <f>SUMPRODUCT(INDEX(PortfolioRef[[SPY]:[PE]],MATCH(JK$1,PortfolioRef[Reference '#]),0),AssetMonthlyReturns[[#This Row],[SPY]:[PE]])</f>
        <v>2.2834844727743532E-2</v>
      </c>
      <c r="JL115" s="27">
        <f>IF(ISNUMBER(JL114),JL114*(1+PortfolioFrontier[[#This Row],[P68 Return]]),1+PortfolioFrontier[[#This Row],[P68 Return]])</f>
        <v>2.0193785784957936</v>
      </c>
      <c r="JM115" s="27">
        <f>MAX(JM114,PortfolioFrontier[[#This Row],[P68 Growth]])</f>
        <v>2.0193785784957936</v>
      </c>
      <c r="JN115" s="27">
        <f>PortfolioFrontier[[#This Row],[P68 Growth]]/PortfolioFrontier[[#This Row],[P68 HWM]]-1</f>
        <v>0</v>
      </c>
      <c r="JO115" s="28">
        <f>SUMPRODUCT(INDEX(PortfolioRef[[SPY]:[PE]],MATCH(JO$1,PortfolioRef[Reference '#]),0),AssetMonthlyReturns[[#This Row],[SPY]:[PE]])</f>
        <v>2.1697554155004063E-2</v>
      </c>
      <c r="JP115" s="27">
        <f>IF(ISNUMBER(JP114),JP114*(1+PortfolioFrontier[[#This Row],[P69 Return]]),1+PortfolioFrontier[[#This Row],[P69 Return]])</f>
        <v>2.0094848529517253</v>
      </c>
      <c r="JQ115" s="27">
        <f>MAX(JQ114,PortfolioFrontier[[#This Row],[P69 Growth]])</f>
        <v>2.0094848529517253</v>
      </c>
      <c r="JR115" s="27">
        <f>PortfolioFrontier[[#This Row],[P69 Growth]]/PortfolioFrontier[[#This Row],[P69 HWM]]-1</f>
        <v>0</v>
      </c>
      <c r="JS115" s="28">
        <f>SUMPRODUCT(INDEX(PortfolioRef[[SPY]:[PE]],MATCH(JS$1,PortfolioRef[Reference '#]),0),AssetMonthlyReturns[[#This Row],[SPY]:[PE]])</f>
        <v>2.0560263582264593E-2</v>
      </c>
      <c r="JT115" s="27">
        <f>IF(ISNUMBER(JT114),JT114*(1+PortfolioFrontier[[#This Row],[P70 Return]]),1+PortfolioFrontier[[#This Row],[P70 Return]])</f>
        <v>1.9979108880897272</v>
      </c>
      <c r="JU115" s="27">
        <f>MAX(JU114,PortfolioFrontier[[#This Row],[P70 Growth]])</f>
        <v>1.9979108880897272</v>
      </c>
      <c r="JV115" s="27">
        <f>PortfolioFrontier[[#This Row],[P70 Growth]]/PortfolioFrontier[[#This Row],[P70 HWM]]-1</f>
        <v>0</v>
      </c>
      <c r="JW115" s="28">
        <f>SUMPRODUCT(INDEX(PortfolioRef[[SPY]:[PE]],MATCH(JW$1,PortfolioRef[Reference '#]),0),AssetMonthlyReturns[[#This Row],[SPY]:[PE]])</f>
        <v>2.5494922429171684E-2</v>
      </c>
      <c r="JX115" s="27">
        <f>IF(ISNUMBER(JX114),JX114*(1+PortfolioFrontier[[#This Row],[P71 Return]]),1+PortfolioFrontier[[#This Row],[P71 Return]])</f>
        <v>2.1581432065638739</v>
      </c>
      <c r="JY115" s="27">
        <f>MAX(JY114,PortfolioFrontier[[#This Row],[P71 Growth]])</f>
        <v>2.1581432065638739</v>
      </c>
      <c r="JZ115" s="27">
        <f>PortfolioFrontier[[#This Row],[P71 Growth]]/PortfolioFrontier[[#This Row],[P71 HWM]]-1</f>
        <v>0</v>
      </c>
      <c r="KA115" s="28">
        <f>SUMPRODUCT(INDEX(PortfolioRef[[SPY]:[PE]],MATCH(KA$1,PortfolioRef[Reference '#]),0),AssetMonthlyReturns[[#This Row],[SPY]:[PE]])</f>
        <v>2.4357631856432218E-2</v>
      </c>
      <c r="KB115" s="27">
        <f>IF(ISNUMBER(KB114),KB114*(1+PortfolioFrontier[[#This Row],[P72 Return]]),1+PortfolioFrontier[[#This Row],[P72 Return]])</f>
        <v>2.1461942502541298</v>
      </c>
      <c r="KC115" s="27">
        <f>MAX(KC114,PortfolioFrontier[[#This Row],[P72 Growth]])</f>
        <v>2.1461942502541298</v>
      </c>
      <c r="KD115" s="27">
        <f>PortfolioFrontier[[#This Row],[P72 Growth]]/PortfolioFrontier[[#This Row],[P72 HWM]]-1</f>
        <v>0</v>
      </c>
      <c r="KE115" s="28">
        <f>SUMPRODUCT(INDEX(PortfolioRef[[SPY]:[PE]],MATCH(KE$1,PortfolioRef[Reference '#]),0),AssetMonthlyReturns[[#This Row],[SPY]:[PE]])</f>
        <v>2.4740029124917327E-2</v>
      </c>
      <c r="KF115" s="27">
        <f>IF(ISNUMBER(KF114),KF114*(1+PortfolioFrontier[[#This Row],[P73 Return]]),1+PortfolioFrontier[[#This Row],[P73 Return]])</f>
        <v>2.1078175552108029</v>
      </c>
      <c r="KG115" s="27">
        <f>MAX(KG114,PortfolioFrontier[[#This Row],[P73 Growth]])</f>
        <v>2.1078175552108029</v>
      </c>
      <c r="KH115" s="27">
        <f>PortfolioFrontier[[#This Row],[P73 Growth]]/PortfolioFrontier[[#This Row],[P73 HWM]]-1</f>
        <v>0</v>
      </c>
      <c r="KI115" s="28">
        <f>SUMPRODUCT(INDEX(PortfolioRef[[SPY]:[PE]],MATCH(KI$1,PortfolioRef[Reference '#]),0),AssetMonthlyReturns[[#This Row],[SPY]:[PE]])</f>
        <v>2.3602738552177857E-2</v>
      </c>
      <c r="KJ115" s="27">
        <f>IF(ISNUMBER(KJ114),KJ114*(1+PortfolioFrontier[[#This Row],[P74 Return]]),1+PortfolioFrontier[[#This Row],[P74 Return]])</f>
        <v>2.0975040269920013</v>
      </c>
      <c r="KK115" s="27">
        <f>MAX(KK114,PortfolioFrontier[[#This Row],[P74 Growth]])</f>
        <v>2.0975040269920013</v>
      </c>
      <c r="KL115" s="27">
        <f>PortfolioFrontier[[#This Row],[P74 Growth]]/PortfolioFrontier[[#This Row],[P74 HWM]]-1</f>
        <v>0</v>
      </c>
      <c r="KM115" s="28">
        <f>SUMPRODUCT(INDEX(PortfolioRef[[SPY]:[PE]],MATCH(KM$1,PortfolioRef[Reference '#]),0),AssetMonthlyReturns[[#This Row],[SPY]:[PE]])</f>
        <v>2.2465447979438391E-2</v>
      </c>
      <c r="KN115" s="27">
        <f>IF(ISNUMBER(KN114),KN114*(1+PortfolioFrontier[[#This Row],[P75 Return]]),1+PortfolioFrontier[[#This Row],[P75 Return]])</f>
        <v>2.085437650754232</v>
      </c>
      <c r="KO115" s="27">
        <f>MAX(KO114,PortfolioFrontier[[#This Row],[P75 Growth]])</f>
        <v>2.085437650754232</v>
      </c>
      <c r="KP115" s="27">
        <f>PortfolioFrontier[[#This Row],[P75 Growth]]/PortfolioFrontier[[#This Row],[P75 HWM]]-1</f>
        <v>0</v>
      </c>
      <c r="KQ115" s="28">
        <f>SUMPRODUCT(INDEX(PortfolioRef[[SPY]:[PE]],MATCH(KQ$1,PortfolioRef[Reference '#]),0),AssetMonthlyReturns[[#This Row],[SPY]:[PE]])</f>
        <v>2.3985135820662973E-2</v>
      </c>
      <c r="KR115" s="27">
        <f>IF(ISNUMBER(KR114),KR114*(1+PortfolioFrontier[[#This Row],[P76 Return]]),1+PortfolioFrontier[[#This Row],[P76 Return]])</f>
        <v>2.0567165130540612</v>
      </c>
      <c r="KS115" s="27">
        <f>MAX(KS114,PortfolioFrontier[[#This Row],[P76 Growth]])</f>
        <v>2.0567165130540612</v>
      </c>
      <c r="KT115" s="27">
        <f>PortfolioFrontier[[#This Row],[P76 Growth]]/PortfolioFrontier[[#This Row],[P76 HWM]]-1</f>
        <v>0</v>
      </c>
      <c r="KU115" s="28">
        <f>SUMPRODUCT(INDEX(PortfolioRef[[SPY]:[PE]],MATCH(KU$1,PortfolioRef[Reference '#]),0),AssetMonthlyReturns[[#This Row],[SPY]:[PE]])</f>
        <v>2.2847845247923503E-2</v>
      </c>
      <c r="KV115" s="27">
        <f>IF(ISNUMBER(KV114),KV114*(1+PortfolioFrontier[[#This Row],[P77 Return]]),1+PortfolioFrontier[[#This Row],[P77 Return]])</f>
        <v>2.0479836576868014</v>
      </c>
      <c r="KW115" s="27">
        <f>MAX(KW114,PortfolioFrontier[[#This Row],[P77 Growth]])</f>
        <v>2.0479836576868014</v>
      </c>
      <c r="KX115" s="27">
        <f>PortfolioFrontier[[#This Row],[P77 Growth]]/PortfolioFrontier[[#This Row],[P77 HWM]]-1</f>
        <v>0</v>
      </c>
      <c r="KY115" s="28">
        <f>SUMPRODUCT(INDEX(PortfolioRef[[SPY]:[PE]],MATCH(KY$1,PortfolioRef[Reference '#]),0),AssetMonthlyReturns[[#This Row],[SPY]:[PE]])</f>
        <v>2.1710554675184034E-2</v>
      </c>
      <c r="KZ115" s="27">
        <f>IF(ISNUMBER(KZ114),KZ114*(1+PortfolioFrontier[[#This Row],[P78 Return]]),1+PortfolioFrontier[[#This Row],[P78 Return]])</f>
        <v>2.0375203022274584</v>
      </c>
      <c r="LA115" s="27">
        <f>MAX(LA114,PortfolioFrontier[[#This Row],[P78 Growth]])</f>
        <v>2.0375203022274584</v>
      </c>
      <c r="LB115" s="27">
        <f>PortfolioFrontier[[#This Row],[P78 Growth]]/PortfolioFrontier[[#This Row],[P78 HWM]]-1</f>
        <v>0</v>
      </c>
      <c r="LC115" s="28">
        <f>SUMPRODUCT(INDEX(PortfolioRef[[SPY]:[PE]],MATCH(LC$1,PortfolioRef[Reference '#]),0),AssetMonthlyReturns[[#This Row],[SPY]:[PE]])</f>
        <v>2.6645213522091128E-2</v>
      </c>
      <c r="LD115" s="27">
        <f>IF(ISNUMBER(LD114),LD114*(1+PortfolioFrontier[[#This Row],[P79 Return]]),1+PortfolioFrontier[[#This Row],[P79 Return]])</f>
        <v>2.1993422609017088</v>
      </c>
      <c r="LE115" s="27">
        <f>MAX(LE114,PortfolioFrontier[[#This Row],[P79 Growth]])</f>
        <v>2.1993422609017088</v>
      </c>
      <c r="LF115" s="27">
        <f>PortfolioFrontier[[#This Row],[P79 Growth]]/PortfolioFrontier[[#This Row],[P79 HWM]]-1</f>
        <v>0</v>
      </c>
      <c r="LG115" s="28">
        <f>SUMPRODUCT(INDEX(PortfolioRef[[SPY]:[PE]],MATCH(LG$1,PortfolioRef[Reference '#]),0),AssetMonthlyReturns[[#This Row],[SPY]:[PE]])</f>
        <v>2.5507922949351659E-2</v>
      </c>
      <c r="LH115" s="27">
        <f>IF(ISNUMBER(LH114),LH114*(1+PortfolioFrontier[[#This Row],[P80 Return]]),1+PortfolioFrontier[[#This Row],[P80 Return]])</f>
        <v>2.1885948721121991</v>
      </c>
      <c r="LI115" s="27">
        <f>MAX(LI114,PortfolioFrontier[[#This Row],[P80 Growth]])</f>
        <v>2.1885948721121991</v>
      </c>
      <c r="LJ115" s="27">
        <f>PortfolioFrontier[[#This Row],[P80 Growth]]/PortfolioFrontier[[#This Row],[P80 HWM]]-1</f>
        <v>0</v>
      </c>
      <c r="LK115" s="28">
        <f>SUMPRODUCT(INDEX(PortfolioRef[[SPY]:[PE]],MATCH(LK$1,PortfolioRef[Reference '#]),0),AssetMonthlyReturns[[#This Row],[SPY]:[PE]])</f>
        <v>2.4370632376612193E-2</v>
      </c>
      <c r="LL115" s="27">
        <f>IF(ISNUMBER(LL114),LL114*(1+PortfolioFrontier[[#This Row],[P81 Return]]),1+PortfolioFrontier[[#This Row],[P81 Return]])</f>
        <v>2.1760195228205834</v>
      </c>
      <c r="LM115" s="27">
        <f>MAX(LM114,PortfolioFrontier[[#This Row],[P81 Growth]])</f>
        <v>2.1760195228205834</v>
      </c>
      <c r="LN115" s="27">
        <f>PortfolioFrontier[[#This Row],[P81 Growth]]/PortfolioFrontier[[#This Row],[P81 HWM]]-1</f>
        <v>0</v>
      </c>
      <c r="LO115" s="28">
        <f>SUMPRODUCT(INDEX(PortfolioRef[[SPY]:[PE]],MATCH(LO$1,PortfolioRef[Reference '#]),0),AssetMonthlyReturns[[#This Row],[SPY]:[PE]])</f>
        <v>2.5890320217836771E-2</v>
      </c>
      <c r="LP115" s="27">
        <f>IF(ISNUMBER(LP114),LP114*(1+PortfolioFrontier[[#This Row],[P82 Return]]),1+PortfolioFrontier[[#This Row],[P82 Return]])</f>
        <v>2.1467802856142657</v>
      </c>
      <c r="LQ115" s="27">
        <f>MAX(LQ114,PortfolioFrontier[[#This Row],[P82 Growth]])</f>
        <v>2.1467802856142657</v>
      </c>
      <c r="LR115" s="27">
        <f>PortfolioFrontier[[#This Row],[P82 Growth]]/PortfolioFrontier[[#This Row],[P82 HWM]]-1</f>
        <v>0</v>
      </c>
      <c r="LS115" s="28">
        <f>SUMPRODUCT(INDEX(PortfolioRef[[SPY]:[PE]],MATCH(LS$1,PortfolioRef[Reference '#]),0),AssetMonthlyReturns[[#This Row],[SPY]:[PE]])</f>
        <v>2.4753029645097301E-2</v>
      </c>
      <c r="LT115" s="27">
        <f>IF(ISNUMBER(LT114),LT114*(1+PortfolioFrontier[[#This Row],[P83 Return]]),1+PortfolioFrontier[[#This Row],[P83 Return]])</f>
        <v>2.1376779283921605</v>
      </c>
      <c r="LU115" s="27">
        <f>MAX(LU114,PortfolioFrontier[[#This Row],[P83 Growth]])</f>
        <v>2.1376779283921605</v>
      </c>
      <c r="LV115" s="27">
        <f>PortfolioFrontier[[#This Row],[P83 Growth]]/PortfolioFrontier[[#This Row],[P83 HWM]]-1</f>
        <v>0</v>
      </c>
      <c r="LW115" s="28">
        <f>SUMPRODUCT(INDEX(PortfolioRef[[SPY]:[PE]],MATCH(LW$1,PortfolioRef[Reference '#]),0),AssetMonthlyReturns[[#This Row],[SPY]:[PE]])</f>
        <v>2.3615739072357832E-2</v>
      </c>
      <c r="LX115" s="27">
        <f>IF(ISNUMBER(LX114),LX114*(1+PortfolioFrontier[[#This Row],[P84 Return]]),1+PortfolioFrontier[[#This Row],[P84 Return]])</f>
        <v>2.1267703156557132</v>
      </c>
      <c r="LY115" s="27">
        <f>MAX(LY114,PortfolioFrontier[[#This Row],[P84 Growth]])</f>
        <v>2.1267703156557132</v>
      </c>
      <c r="LZ115" s="27">
        <f>PortfolioFrontier[[#This Row],[P84 Growth]]/PortfolioFrontier[[#This Row],[P84 HWM]]-1</f>
        <v>0</v>
      </c>
      <c r="MA115" s="28">
        <f>SUMPRODUCT(INDEX(PortfolioRef[[SPY]:[PE]],MATCH(MA$1,PortfolioRef[Reference '#]),0),AssetMonthlyReturns[[#This Row],[SPY]:[PE]])</f>
        <v>2.5135426913582413E-2</v>
      </c>
      <c r="MB115" s="27">
        <f>IF(ISNUMBER(MB114),MB114*(1+PortfolioFrontier[[#This Row],[P85 Return]]),1+PortfolioFrontier[[#This Row],[P85 Return]])</f>
        <v>2.0934851427705463</v>
      </c>
      <c r="MC115" s="27">
        <f>MAX(MC114,PortfolioFrontier[[#This Row],[P85 Growth]])</f>
        <v>2.0934851427705463</v>
      </c>
      <c r="MD115" s="27">
        <f>PortfolioFrontier[[#This Row],[P85 Growth]]/PortfolioFrontier[[#This Row],[P85 HWM]]-1</f>
        <v>0</v>
      </c>
      <c r="ME115" s="28">
        <f>SUMPRODUCT(INDEX(PortfolioRef[[SPY]:[PE]],MATCH(ME$1,PortfolioRef[Reference '#]),0),AssetMonthlyReturns[[#This Row],[SPY]:[PE]])</f>
        <v>2.3998136340842947E-2</v>
      </c>
      <c r="MF115" s="27">
        <f>IF(ISNUMBER(MF114),MF114*(1+PortfolioFrontier[[#This Row],[P86 Return]]),1+PortfolioFrontier[[#This Row],[P86 Return]])</f>
        <v>2.0859696206298586</v>
      </c>
      <c r="MG115" s="27">
        <f>MAX(MG114,PortfolioFrontier[[#This Row],[P86 Growth]])</f>
        <v>2.0859696206298586</v>
      </c>
      <c r="MH115" s="27">
        <f>PortfolioFrontier[[#This Row],[P86 Growth]]/PortfolioFrontier[[#This Row],[P86 HWM]]-1</f>
        <v>0</v>
      </c>
      <c r="MI115" s="28">
        <f>SUMPRODUCT(INDEX(PortfolioRef[[SPY]:[PE]],MATCH(MI$1,PortfolioRef[Reference '#]),0),AssetMonthlyReturns[[#This Row],[SPY]:[PE]])</f>
        <v>2.2860845768103478E-2</v>
      </c>
      <c r="MJ115" s="27">
        <f>IF(ISNUMBER(MJ114),MJ114*(1+PortfolioFrontier[[#This Row],[P87 Return]]),1+PortfolioFrontier[[#This Row],[P87 Return]])</f>
        <v>2.0766745589469799</v>
      </c>
      <c r="MK115" s="27">
        <f>MAX(MK114,PortfolioFrontier[[#This Row],[P87 Growth]])</f>
        <v>2.0766745589469799</v>
      </c>
      <c r="ML115" s="27">
        <f>PortfolioFrontier[[#This Row],[P87 Growth]]/PortfolioFrontier[[#This Row],[P87 HWM]]-1</f>
        <v>0</v>
      </c>
      <c r="MM115" s="28">
        <f>SUMPRODUCT(INDEX(PortfolioRef[[SPY]:[PE]],MATCH(MM$1,PortfolioRef[Reference '#]),0),AssetMonthlyReturns[[#This Row],[SPY]:[PE]])</f>
        <v>2.7795504615010569E-2</v>
      </c>
      <c r="MN115" s="27">
        <f>IF(ISNUMBER(MN114),MN114*(1+PortfolioFrontier[[#This Row],[P88 Return]]),1+PortfolioFrontier[[#This Row],[P88 Return]])</f>
        <v>2.2399864298202998</v>
      </c>
      <c r="MO115" s="27">
        <f>MAX(MO114,PortfolioFrontier[[#This Row],[P88 Growth]])</f>
        <v>2.2399864298202998</v>
      </c>
      <c r="MP115" s="27">
        <f>PortfolioFrontier[[#This Row],[P88 Growth]]/PortfolioFrontier[[#This Row],[P88 HWM]]-1</f>
        <v>0</v>
      </c>
      <c r="MQ115" s="28">
        <f>SUMPRODUCT(INDEX(PortfolioRef[[SPY]:[PE]],MATCH(MQ$1,PortfolioRef[Reference '#]),0),AssetMonthlyReturns[[#This Row],[SPY]:[PE]])</f>
        <v>2.6658214042271099E-2</v>
      </c>
      <c r="MR115" s="27">
        <f>IF(ISNUMBER(MR114),MR114*(1+PortfolioFrontier[[#This Row],[P89 Return]]),1+PortfolioFrontier[[#This Row],[P89 Return]])</f>
        <v>2.2305022520260787</v>
      </c>
      <c r="MS115" s="27">
        <f>MAX(MS114,PortfolioFrontier[[#This Row],[P89 Growth]])</f>
        <v>2.2305022520260787</v>
      </c>
      <c r="MT115" s="27">
        <f>PortfolioFrontier[[#This Row],[P89 Growth]]/PortfolioFrontier[[#This Row],[P89 HWM]]-1</f>
        <v>0</v>
      </c>
      <c r="MU115" s="28">
        <f>SUMPRODUCT(INDEX(PortfolioRef[[SPY]:[PE]],MATCH(MU$1,PortfolioRef[Reference '#]),0),AssetMonthlyReturns[[#This Row],[SPY]:[PE]])</f>
        <v>2.552092346953163E-2</v>
      </c>
      <c r="MV115" s="27">
        <f>IF(ISNUMBER(MV114),MV114*(1+PortfolioFrontier[[#This Row],[P90 Return]]),1+PortfolioFrontier[[#This Row],[P90 Return]])</f>
        <v>2.219135486348379</v>
      </c>
      <c r="MW115" s="27">
        <f>MAX(MW114,PortfolioFrontier[[#This Row],[P90 Growth]])</f>
        <v>2.219135486348379</v>
      </c>
      <c r="MX115" s="27">
        <f>PortfolioFrontier[[#This Row],[P90 Growth]]/PortfolioFrontier[[#This Row],[P90 HWM]]-1</f>
        <v>0</v>
      </c>
      <c r="MY115" s="28">
        <f>SUMPRODUCT(INDEX(PortfolioRef[[SPY]:[PE]],MATCH(MY$1,PortfolioRef[Reference '#]),0),AssetMonthlyReturns[[#This Row],[SPY]:[PE]])</f>
        <v>2.7040611310756212E-2</v>
      </c>
      <c r="MZ115" s="27">
        <f>IF(ISNUMBER(MZ114),MZ114*(1+PortfolioFrontier[[#This Row],[P91 Return]]),1+PortfolioFrontier[[#This Row],[P91 Return]])</f>
        <v>2.1851492302535598</v>
      </c>
      <c r="NA115" s="27">
        <f>MAX(NA114,PortfolioFrontier[[#This Row],[P91 Growth]])</f>
        <v>2.1851492302535598</v>
      </c>
      <c r="NB115" s="27">
        <f>PortfolioFrontier[[#This Row],[P91 Growth]]/PortfolioFrontier[[#This Row],[P91 HWM]]-1</f>
        <v>0</v>
      </c>
      <c r="NC115" s="28">
        <f>SUMPRODUCT(INDEX(PortfolioRef[[SPY]:[PE]],MATCH(NC$1,PortfolioRef[Reference '#]),0),AssetMonthlyReturns[[#This Row],[SPY]:[PE]])</f>
        <v>2.5903320738016745E-2</v>
      </c>
      <c r="ND115" s="27">
        <f>IF(ISNUMBER(ND114),ND114*(1+PortfolioFrontier[[#This Row],[P92 Return]]),1+PortfolioFrontier[[#This Row],[P92 Return]])</f>
        <v>2.177316929501397</v>
      </c>
      <c r="NE115" s="27">
        <f>MAX(NE114,PortfolioFrontier[[#This Row],[P92 Growth]])</f>
        <v>2.177316929501397</v>
      </c>
      <c r="NF115" s="27">
        <f>PortfolioFrontier[[#This Row],[P92 Growth]]/PortfolioFrontier[[#This Row],[P92 HWM]]-1</f>
        <v>0</v>
      </c>
      <c r="NG115" s="28">
        <f>SUMPRODUCT(INDEX(PortfolioRef[[SPY]:[PE]],MATCH(NG$1,PortfolioRef[Reference '#]),0),AssetMonthlyReturns[[#This Row],[SPY]:[PE]])</f>
        <v>2.4766030165277276E-2</v>
      </c>
      <c r="NH115" s="27">
        <f>IF(ISNUMBER(NH114),NH114*(1+PortfolioFrontier[[#This Row],[P93 Return]]),1+PortfolioFrontier[[#This Row],[P93 Return]])</f>
        <v>2.1676282392777071</v>
      </c>
      <c r="NI115" s="27">
        <f>MAX(NI114,PortfolioFrontier[[#This Row],[P93 Growth]])</f>
        <v>2.1676282392777071</v>
      </c>
      <c r="NJ115" s="27">
        <f>PortfolioFrontier[[#This Row],[P93 Growth]]/PortfolioFrontier[[#This Row],[P93 HWM]]-1</f>
        <v>0</v>
      </c>
      <c r="NK115" s="28">
        <f>SUMPRODUCT(INDEX(PortfolioRef[[SPY]:[PE]],MATCH(NK$1,PortfolioRef[Reference '#]),0),AssetMonthlyReturns[[#This Row],[SPY]:[PE]])</f>
        <v>2.6285718006501858E-2</v>
      </c>
      <c r="NL115" s="27">
        <f>IF(ISNUMBER(NL114),NL114*(1+PortfolioFrontier[[#This Row],[P94 Return]]),1+PortfolioFrontier[[#This Row],[P94 Return]])</f>
        <v>2.1296248796404993</v>
      </c>
      <c r="NM115" s="27">
        <f>MAX(NM114,PortfolioFrontier[[#This Row],[P94 Growth]])</f>
        <v>2.1296248796404993</v>
      </c>
      <c r="NN115" s="27">
        <f>PortfolioFrontier[[#This Row],[P94 Growth]]/PortfolioFrontier[[#This Row],[P94 HWM]]-1</f>
        <v>0</v>
      </c>
      <c r="NO115" s="28">
        <f>SUMPRODUCT(INDEX(PortfolioRef[[SPY]:[PE]],MATCH(NO$1,PortfolioRef[Reference '#]),0),AssetMonthlyReturns[[#This Row],[SPY]:[PE]])</f>
        <v>2.5148427433762388E-2</v>
      </c>
      <c r="NP115" s="27">
        <f>IF(ISNUMBER(NP114),NP114*(1+PortfolioFrontier[[#This Row],[P95 Return]]),1+PortfolioFrontier[[#This Row],[P95 Return]])</f>
        <v>2.1233827862127104</v>
      </c>
      <c r="NQ115" s="27">
        <f>MAX(NQ114,PortfolioFrontier[[#This Row],[P95 Growth]])</f>
        <v>2.1233827862127104</v>
      </c>
      <c r="NR115" s="27">
        <f>PortfolioFrontier[[#This Row],[P95 Growth]]/PortfolioFrontier[[#This Row],[P95 HWM]]-1</f>
        <v>0</v>
      </c>
      <c r="NS115" s="28">
        <f>SUMPRODUCT(INDEX(PortfolioRef[[SPY]:[PE]],MATCH(NS$1,PortfolioRef[Reference '#]),0),AssetMonthlyReturns[[#This Row],[SPY]:[PE]])</f>
        <v>2.4011136861022922E-2</v>
      </c>
      <c r="NT115" s="27">
        <f>IF(ISNUMBER(NT114),NT114*(1+PortfolioFrontier[[#This Row],[P96 Return]]),1+PortfolioFrontier[[#This Row],[P96 Return]])</f>
        <v>2.1153134875510524</v>
      </c>
      <c r="NU115" s="27">
        <f>MAX(NU114,PortfolioFrontier[[#This Row],[P96 Growth]])</f>
        <v>2.1153134875510524</v>
      </c>
      <c r="NV115" s="27">
        <f>PortfolioFrontier[[#This Row],[P96 Growth]]/PortfolioFrontier[[#This Row],[P96 HWM]]-1</f>
        <v>0</v>
      </c>
      <c r="NW115" s="28">
        <f>SUMPRODUCT(INDEX(PortfolioRef[[SPY]:[PE]],MATCH(NW$1,PortfolioRef[Reference '#]),0),AssetMonthlyReturns[[#This Row],[SPY]:[PE]])</f>
        <v>2.0096533539741616E-2</v>
      </c>
      <c r="NX115" s="27">
        <f>IF(ISNUMBER(NX114),NX114*(1+PortfolioFrontier[[#This Row],[P97 Return]]),1+PortfolioFrontier[[#This Row],[P97 Return]])</f>
        <v>1.8317091863249513</v>
      </c>
      <c r="NY115" s="27">
        <f>MAX(NY114,PortfolioFrontier[[#This Row],[P97 Growth]])</f>
        <v>1.8317091863249513</v>
      </c>
      <c r="NZ115" s="27">
        <f>PortfolioFrontier[[#This Row],[P97 Growth]]/PortfolioFrontier[[#This Row],[P97 HWM]]-1</f>
        <v>0</v>
      </c>
      <c r="OA115" s="28">
        <f>SUMPRODUCT(INDEX(PortfolioRef[[SPY]:[PE]],MATCH(OA$1,PortfolioRef[Reference '#]),0),AssetMonthlyReturns[[#This Row],[SPY]:[PE]])</f>
        <v>2.200171793691541E-2</v>
      </c>
      <c r="OB115" s="27">
        <f>IF(ISNUMBER(OB114),OB114*(1+PortfolioFrontier[[#This Row],[P98 Return]]),1+PortfolioFrontier[[#This Row],[P98 Return]])</f>
        <v>1.9119376280781657</v>
      </c>
      <c r="OC115" s="27">
        <f>MAX(OC114,PortfolioFrontier[[#This Row],[P98 Growth]])</f>
        <v>1.9119376280781657</v>
      </c>
      <c r="OD115" s="27">
        <f>PortfolioFrontier[[#This Row],[P98 Growth]]/PortfolioFrontier[[#This Row],[P98 HWM]]-1</f>
        <v>0</v>
      </c>
      <c r="OE115" s="28">
        <f>SUMPRODUCT(INDEX(PortfolioRef[[SPY]:[PE]],MATCH(OE$1,PortfolioRef[Reference '#]),0),AssetMonthlyReturns[[#This Row],[SPY]:[PE]])</f>
        <v>2.1246824632661053E-2</v>
      </c>
      <c r="OF115" s="27">
        <f>IF(ISNUMBER(OF114),OF114*(1+PortfolioFrontier[[#This Row],[P99 Return]]),1+PortfolioFrontier[[#This Row],[P99 Return]])</f>
        <v>1.8685629994236241</v>
      </c>
      <c r="OG115" s="27">
        <f>MAX(OG114,PortfolioFrontier[[#This Row],[P99 Growth]])</f>
        <v>1.8685629994236241</v>
      </c>
      <c r="OH115" s="27">
        <f>PortfolioFrontier[[#This Row],[P99 Growth]]/PortfolioFrontier[[#This Row],[P99 HWM]]-1</f>
        <v>0</v>
      </c>
      <c r="OI115" s="28">
        <f>SUMPRODUCT(INDEX(PortfolioRef[[SPY]:[PE]],MATCH(OI$1,PortfolioRef[Reference '#]),0),AssetMonthlyReturns[[#This Row],[SPY]:[PE]])</f>
        <v>2.0109534059921587E-2</v>
      </c>
      <c r="OJ115" s="27">
        <f>IF(ISNUMBER(OJ114),OJ114*(1+PortfolioFrontier[[#This Row],[P100 Return]]),1+PortfolioFrontier[[#This Row],[P100 Return]])</f>
        <v>1.8574921781747671</v>
      </c>
      <c r="OK115" s="27">
        <f>MAX(OK114,PortfolioFrontier[[#This Row],[P100 Growth]])</f>
        <v>1.8574921781747671</v>
      </c>
      <c r="OL115" s="27">
        <f>PortfolioFrontier[[#This Row],[P100 Growth]]/PortfolioFrontier[[#This Row],[P100 HWM]]-1</f>
        <v>0</v>
      </c>
      <c r="OM115" s="28">
        <f>SUMPRODUCT(INDEX(PortfolioRef[[SPY]:[PE]],MATCH(OM$1,PortfolioRef[Reference '#]),0),AssetMonthlyReturns[[#This Row],[SPY]:[PE]])</f>
        <v>2.3906902334089212E-2</v>
      </c>
      <c r="ON115" s="27">
        <f>IF(ISNUMBER(ON114),ON114*(1+PortfolioFrontier[[#This Row],[P101 Return]]),1+PortfolioFrontier[[#This Row],[P101 Return]])</f>
        <v>1.9949639161412238</v>
      </c>
      <c r="OO115" s="27">
        <f>MAX(OO114,PortfolioFrontier[[#This Row],[P101 Growth]])</f>
        <v>1.9949639161412238</v>
      </c>
      <c r="OP115" s="27">
        <f>PortfolioFrontier[[#This Row],[P101 Growth]]/PortfolioFrontier[[#This Row],[P101 HWM]]-1</f>
        <v>0</v>
      </c>
      <c r="OQ115" s="28">
        <f>SUMPRODUCT(INDEX(PortfolioRef[[SPY]:[PE]],MATCH(OQ$1,PortfolioRef[Reference '#]),0),AssetMonthlyReturns[[#This Row],[SPY]:[PE]])</f>
        <v>2.3152009029834851E-2</v>
      </c>
      <c r="OR115" s="27">
        <f>IF(ISNUMBER(OR114),OR114*(1+PortfolioFrontier[[#This Row],[P102 Return]]),1+PortfolioFrontier[[#This Row],[P102 Return]])</f>
        <v>1.9503942548696103</v>
      </c>
      <c r="OS115" s="27">
        <f>MAX(OS114,PortfolioFrontier[[#This Row],[P102 Growth]])</f>
        <v>1.9503942548696103</v>
      </c>
      <c r="OT115" s="27">
        <f>PortfolioFrontier[[#This Row],[P102 Growth]]/PortfolioFrontier[[#This Row],[P102 HWM]]-1</f>
        <v>0</v>
      </c>
      <c r="OU115" s="28">
        <f>SUMPRODUCT(INDEX(PortfolioRef[[SPY]:[PE]],MATCH(OU$1,PortfolioRef[Reference '#]),0),AssetMonthlyReturns[[#This Row],[SPY]:[PE]])</f>
        <v>2.2014718457095385E-2</v>
      </c>
      <c r="OV115" s="27">
        <f>IF(ISNUMBER(OV114),OV114*(1+PortfolioFrontier[[#This Row],[P103 Return]]),1+PortfolioFrontier[[#This Row],[P103 Return]])</f>
        <v>1.9388522454371306</v>
      </c>
      <c r="OW115" s="27">
        <f>MAX(OW114,PortfolioFrontier[[#This Row],[P103 Growth]])</f>
        <v>1.9388522454371306</v>
      </c>
      <c r="OX115" s="27">
        <f>PortfolioFrontier[[#This Row],[P103 Growth]]/PortfolioFrontier[[#This Row],[P103 HWM]]-1</f>
        <v>0</v>
      </c>
      <c r="OY115" s="28">
        <f>SUMPRODUCT(INDEX(PortfolioRef[[SPY]:[PE]],MATCH(OY$1,PortfolioRef[Reference '#]),0),AssetMonthlyReturns[[#This Row],[SPY]:[PE]])</f>
        <v>2.2397115725580497E-2</v>
      </c>
      <c r="OZ115" s="27">
        <f>IF(ISNUMBER(OZ114),OZ114*(1+PortfolioFrontier[[#This Row],[P104 Return]]),1+PortfolioFrontier[[#This Row],[P104 Return]])</f>
        <v>1.9050219663865706</v>
      </c>
      <c r="PA115" s="27">
        <f>MAX(PA114,PortfolioFrontier[[#This Row],[P104 Growth]])</f>
        <v>1.9050219663865706</v>
      </c>
      <c r="PB115" s="27">
        <f>PortfolioFrontier[[#This Row],[P104 Growth]]/PortfolioFrontier[[#This Row],[P104 HWM]]-1</f>
        <v>0</v>
      </c>
      <c r="PC115" s="28">
        <f>SUMPRODUCT(INDEX(PortfolioRef[[SPY]:[PE]],MATCH(PC$1,PortfolioRef[Reference '#]),0),AssetMonthlyReturns[[#This Row],[SPY]:[PE]])</f>
        <v>2.1259825152841028E-2</v>
      </c>
      <c r="PD115" s="27">
        <f>IF(ISNUMBER(PD114),PD114*(1+PortfolioFrontier[[#This Row],[P105 Return]]),1+PortfolioFrontier[[#This Row],[P105 Return]])</f>
        <v>1.8949724440693039</v>
      </c>
      <c r="PE115" s="27">
        <f>MAX(PE114,PortfolioFrontier[[#This Row],[P105 Growth]])</f>
        <v>1.8949724440693039</v>
      </c>
      <c r="PF115" s="27">
        <f>PortfolioFrontier[[#This Row],[P105 Growth]]/PortfolioFrontier[[#This Row],[P105 HWM]]-1</f>
        <v>0</v>
      </c>
      <c r="PG115" s="28">
        <f>SUMPRODUCT(INDEX(PortfolioRef[[SPY]:[PE]],MATCH(PG$1,PortfolioRef[Reference '#]),0),AssetMonthlyReturns[[#This Row],[SPY]:[PE]])</f>
        <v>2.0122534580101561E-2</v>
      </c>
      <c r="PH115" s="27">
        <f>IF(ISNUMBER(PH114),PH114*(1+PortfolioFrontier[[#This Row],[P106 Return]]),1+PortfolioFrontier[[#This Row],[P106 Return]])</f>
        <v>1.8833483537503863</v>
      </c>
      <c r="PI115" s="27">
        <f>MAX(PI114,PortfolioFrontier[[#This Row],[P106 Growth]])</f>
        <v>1.8833483537503863</v>
      </c>
      <c r="PJ115" s="27">
        <f>PortfolioFrontier[[#This Row],[P106 Growth]]/PortfolioFrontier[[#This Row],[P106 HWM]]-1</f>
        <v>0</v>
      </c>
      <c r="PK115" s="28">
        <f>SUMPRODUCT(INDEX(PortfolioRef[[SPY]:[PE]],MATCH(PK$1,PortfolioRef[Reference '#]),0),AssetMonthlyReturns[[#This Row],[SPY]:[PE]])</f>
        <v>2.5057193427008649E-2</v>
      </c>
      <c r="PL115" s="27">
        <f>IF(ISNUMBER(PL114),PL114*(1+PortfolioFrontier[[#This Row],[P107 Return]]),1+PortfolioFrontier[[#This Row],[P107 Return]])</f>
        <v>2.0350791515701756</v>
      </c>
      <c r="PM115" s="27">
        <f>MAX(PM114,PortfolioFrontier[[#This Row],[P107 Growth]])</f>
        <v>2.0350791515701756</v>
      </c>
      <c r="PN115" s="27">
        <f>PortfolioFrontier[[#This Row],[P107 Growth]]/PortfolioFrontier[[#This Row],[P107 HWM]]-1</f>
        <v>0</v>
      </c>
      <c r="PO115" s="28">
        <f>SUMPRODUCT(INDEX(PortfolioRef[[SPY]:[PE]],MATCH(PO$1,PortfolioRef[Reference '#]),0),AssetMonthlyReturns[[#This Row],[SPY]:[PE]])</f>
        <v>2.3919902854269183E-2</v>
      </c>
      <c r="PP115" s="27">
        <f>IF(ISNUMBER(PP114),PP114*(1+PortfolioFrontier[[#This Row],[P108 Return]]),1+PortfolioFrontier[[#This Row],[P108 Return]])</f>
        <v>2.023050104055883</v>
      </c>
      <c r="PQ115" s="27">
        <f>MAX(PQ114,PortfolioFrontier[[#This Row],[P108 Growth]])</f>
        <v>2.023050104055883</v>
      </c>
      <c r="PR115" s="27">
        <f>PortfolioFrontier[[#This Row],[P108 Growth]]/PortfolioFrontier[[#This Row],[P108 HWM]]-1</f>
        <v>0</v>
      </c>
      <c r="PS115" s="28">
        <f>SUMPRODUCT(INDEX(PortfolioRef[[SPY]:[PE]],MATCH(PS$1,PortfolioRef[Reference '#]),0),AssetMonthlyReturns[[#This Row],[SPY]:[PE]])</f>
        <v>2.4302300122754295E-2</v>
      </c>
      <c r="PT115" s="27">
        <f>IF(ISNUMBER(PT114),PT114*(1+PortfolioFrontier[[#This Row],[P109 Return]]),1+PortfolioFrontier[[#This Row],[P109 Return]])</f>
        <v>1.9884390433166377</v>
      </c>
      <c r="PU115" s="27">
        <f>MAX(PU114,PortfolioFrontier[[#This Row],[P109 Growth]])</f>
        <v>1.9884390433166377</v>
      </c>
      <c r="PV115" s="27">
        <f>PortfolioFrontier[[#This Row],[P109 Growth]]/PortfolioFrontier[[#This Row],[P109 HWM]]-1</f>
        <v>0</v>
      </c>
      <c r="PW115" s="28">
        <f>SUMPRODUCT(INDEX(PortfolioRef[[SPY]:[PE]],MATCH(PW$1,PortfolioRef[Reference '#]),0),AssetMonthlyReturns[[#This Row],[SPY]:[PE]])</f>
        <v>2.3165009550014826E-2</v>
      </c>
      <c r="PX115" s="27">
        <f>IF(ISNUMBER(PX114),PX114*(1+PortfolioFrontier[[#This Row],[P110 Return]]),1+PortfolioFrontier[[#This Row],[P110 Return]])</f>
        <v>1.9779626138585606</v>
      </c>
      <c r="PY115" s="27">
        <f>MAX(PY114,PortfolioFrontier[[#This Row],[P110 Growth]])</f>
        <v>1.9779626138585606</v>
      </c>
      <c r="PZ115" s="27">
        <f>PortfolioFrontier[[#This Row],[P110 Growth]]/PortfolioFrontier[[#This Row],[P110 HWM]]-1</f>
        <v>0</v>
      </c>
      <c r="QA115" s="28">
        <f>SUMPRODUCT(INDEX(PortfolioRef[[SPY]:[PE]],MATCH(QA$1,PortfolioRef[Reference '#]),0),AssetMonthlyReturns[[#This Row],[SPY]:[PE]])</f>
        <v>2.202771897727536E-2</v>
      </c>
      <c r="QB115" s="27">
        <f>IF(ISNUMBER(QB114),QB114*(1+PortfolioFrontier[[#This Row],[P111 Return]]),1+PortfolioFrontier[[#This Row],[P111 Return]])</f>
        <v>1.9658435746328204</v>
      </c>
      <c r="QC115" s="27">
        <f>MAX(QC114,PortfolioFrontier[[#This Row],[P111 Growth]])</f>
        <v>1.9658435746328204</v>
      </c>
      <c r="QD115" s="27">
        <f>PortfolioFrontier[[#This Row],[P111 Growth]]/PortfolioFrontier[[#This Row],[P111 HWM]]-1</f>
        <v>0</v>
      </c>
      <c r="QE115" s="28">
        <f>SUMPRODUCT(INDEX(PortfolioRef[[SPY]:[PE]],MATCH(QE$1,PortfolioRef[Reference '#]),0),AssetMonthlyReturns[[#This Row],[SPY]:[PE]])</f>
        <v>2.3547406818499941E-2</v>
      </c>
      <c r="QF115" s="27">
        <f>IF(ISNUMBER(QF114),QF114*(1+PortfolioFrontier[[#This Row],[P112 Return]]),1+PortfolioFrontier[[#This Row],[P112 Return]])</f>
        <v>1.9410307236557527</v>
      </c>
      <c r="QG115" s="27">
        <f>MAX(QG114,PortfolioFrontier[[#This Row],[P112 Growth]])</f>
        <v>1.9410307236557527</v>
      </c>
      <c r="QH115" s="27">
        <f>PortfolioFrontier[[#This Row],[P112 Growth]]/PortfolioFrontier[[#This Row],[P112 HWM]]-1</f>
        <v>0</v>
      </c>
      <c r="QI115" s="28">
        <f>SUMPRODUCT(INDEX(PortfolioRef[[SPY]:[PE]],MATCH(QI$1,PortfolioRef[Reference '#]),0),AssetMonthlyReturns[[#This Row],[SPY]:[PE]])</f>
        <v>2.2410116245760472E-2</v>
      </c>
      <c r="QJ115" s="27">
        <f>IF(ISNUMBER(QJ114),QJ114*(1+PortfolioFrontier[[#This Row],[P113 Return]]),1+PortfolioFrontier[[#This Row],[P113 Return]])</f>
        <v>1.9320567530611183</v>
      </c>
      <c r="QK115" s="27">
        <f>MAX(QK114,PortfolioFrontier[[#This Row],[P113 Growth]])</f>
        <v>1.9320567530611183</v>
      </c>
      <c r="QL115" s="27">
        <f>PortfolioFrontier[[#This Row],[P113 Growth]]/PortfolioFrontier[[#This Row],[P113 HWM]]-1</f>
        <v>0</v>
      </c>
      <c r="QM115" s="28">
        <f>SUMPRODUCT(INDEX(PortfolioRef[[SPY]:[PE]],MATCH(QM$1,PortfolioRef[Reference '#]),0),AssetMonthlyReturns[[#This Row],[SPY]:[PE]])</f>
        <v>2.1272825673021002E-2</v>
      </c>
      <c r="QN115" s="27">
        <f>IF(ISNUMBER(QN114),QN114*(1+PortfolioFrontier[[#This Row],[P114 Return]]),1+PortfolioFrontier[[#This Row],[P114 Return]])</f>
        <v>1.9214595868439155</v>
      </c>
      <c r="QO115" s="27">
        <f>MAX(QO114,PortfolioFrontier[[#This Row],[P114 Growth]])</f>
        <v>1.9214595868439155</v>
      </c>
      <c r="QP115" s="27">
        <f>PortfolioFrontier[[#This Row],[P114 Growth]]/PortfolioFrontier[[#This Row],[P114 HWM]]-1</f>
        <v>0</v>
      </c>
      <c r="QQ115" s="28">
        <f>SUMPRODUCT(INDEX(PortfolioRef[[SPY]:[PE]],MATCH(QQ$1,PortfolioRef[Reference '#]),0),AssetMonthlyReturns[[#This Row],[SPY]:[PE]])</f>
        <v>2.6207484519928093E-2</v>
      </c>
      <c r="QR115" s="27">
        <f>IF(ISNUMBER(QR114),QR114*(1+PortfolioFrontier[[#This Row],[P115 Return]]),1+PortfolioFrontier[[#This Row],[P115 Return]])</f>
        <v>2.0747649834587145</v>
      </c>
      <c r="QS115" s="27">
        <f>MAX(QS114,PortfolioFrontier[[#This Row],[P115 Growth]])</f>
        <v>2.0747649834587145</v>
      </c>
      <c r="QT115" s="27">
        <f>PortfolioFrontier[[#This Row],[P115 Growth]]/PortfolioFrontier[[#This Row],[P115 HWM]]-1</f>
        <v>0</v>
      </c>
      <c r="QU115" s="28">
        <f>SUMPRODUCT(INDEX(PortfolioRef[[SPY]:[PE]],MATCH(QU$1,PortfolioRef[Reference '#]),0),AssetMonthlyReturns[[#This Row],[SPY]:[PE]])</f>
        <v>2.5070193947188624E-2</v>
      </c>
      <c r="QV115" s="27">
        <f>IF(ISNUMBER(QV114),QV114*(1+PortfolioFrontier[[#This Row],[P116 Return]]),1+PortfolioFrontier[[#This Row],[P116 Return]])</f>
        <v>2.0638473281735776</v>
      </c>
      <c r="QW115" s="27">
        <f>MAX(QW114,PortfolioFrontier[[#This Row],[P116 Growth]])</f>
        <v>2.0638473281735776</v>
      </c>
      <c r="QX115" s="27">
        <f>PortfolioFrontier[[#This Row],[P116 Growth]]/PortfolioFrontier[[#This Row],[P116 HWM]]-1</f>
        <v>0</v>
      </c>
      <c r="QY115" s="28">
        <f>SUMPRODUCT(INDEX(PortfolioRef[[SPY]:[PE]],MATCH(QY$1,PortfolioRef[Reference '#]),0),AssetMonthlyReturns[[#This Row],[SPY]:[PE]])</f>
        <v>2.3932903374449158E-2</v>
      </c>
      <c r="QZ115" s="27">
        <f>IF(ISNUMBER(QZ114),QZ114*(1+PortfolioFrontier[[#This Row],[P117 Return]]),1+PortfolioFrontier[[#This Row],[P117 Return]])</f>
        <v>2.0512166758344863</v>
      </c>
      <c r="RA115" s="27">
        <f>MAX(RA114,PortfolioFrontier[[#This Row],[P117 Growth]])</f>
        <v>2.0512166758344863</v>
      </c>
      <c r="RB115" s="27">
        <f>PortfolioFrontier[[#This Row],[P117 Growth]]/PortfolioFrontier[[#This Row],[P117 HWM]]-1</f>
        <v>0</v>
      </c>
      <c r="RC115" s="28">
        <f>SUMPRODUCT(INDEX(PortfolioRef[[SPY]:[PE]],MATCH(RC$1,PortfolioRef[Reference '#]),0),AssetMonthlyReturns[[#This Row],[SPY]:[PE]])</f>
        <v>2.5452591215673736E-2</v>
      </c>
      <c r="RD115" s="27">
        <f>IF(ISNUMBER(RD114),RD114*(1+PortfolioFrontier[[#This Row],[P118 Return]]),1+PortfolioFrontier[[#This Row],[P118 Return]])</f>
        <v>2.0260142561458987</v>
      </c>
      <c r="RE115" s="27">
        <f>MAX(RE114,PortfolioFrontier[[#This Row],[P118 Growth]])</f>
        <v>2.0260142561458987</v>
      </c>
      <c r="RF115" s="27">
        <f>PortfolioFrontier[[#This Row],[P118 Growth]]/PortfolioFrontier[[#This Row],[P118 HWM]]-1</f>
        <v>0</v>
      </c>
      <c r="RG115" s="28">
        <f>SUMPRODUCT(INDEX(PortfolioRef[[SPY]:[PE]],MATCH(RG$1,PortfolioRef[Reference '#]),0),AssetMonthlyReturns[[#This Row],[SPY]:[PE]])</f>
        <v>2.4315300642934266E-2</v>
      </c>
      <c r="RH115" s="27">
        <f>IF(ISNUMBER(RH114),RH114*(1+PortfolioFrontier[[#This Row],[P119 Return]]),1+PortfolioFrontier[[#This Row],[P119 Return]])</f>
        <v>2.0166599863697727</v>
      </c>
      <c r="RI115" s="27">
        <f>MAX(RI114,PortfolioFrontier[[#This Row],[P119 Growth]])</f>
        <v>2.0166599863697727</v>
      </c>
      <c r="RJ115" s="27">
        <f>PortfolioFrontier[[#This Row],[P119 Growth]]/PortfolioFrontier[[#This Row],[P119 HWM]]-1</f>
        <v>0</v>
      </c>
      <c r="RK115" s="28">
        <f>SUMPRODUCT(INDEX(PortfolioRef[[SPY]:[PE]],MATCH(RK$1,PortfolioRef[Reference '#]),0),AssetMonthlyReturns[[#This Row],[SPY]:[PE]])</f>
        <v>2.3178010070194797E-2</v>
      </c>
      <c r="RL115" s="27">
        <f>IF(ISNUMBER(RL114),RL114*(1+PortfolioFrontier[[#This Row],[P120 Return]]),1+PortfolioFrontier[[#This Row],[P120 Return]])</f>
        <v>2.0056124025564381</v>
      </c>
      <c r="RM115" s="27">
        <f>MAX(RM114,PortfolioFrontier[[#This Row],[P120 Growth]])</f>
        <v>2.0056124025564381</v>
      </c>
      <c r="RN115" s="27">
        <f>PortfolioFrontier[[#This Row],[P120 Growth]]/PortfolioFrontier[[#This Row],[P120 HWM]]-1</f>
        <v>0</v>
      </c>
      <c r="RO115" s="28">
        <f>SUMPRODUCT(INDEX(PortfolioRef[[SPY]:[PE]],MATCH(RO$1,PortfolioRef[Reference '#]),0),AssetMonthlyReturns[[#This Row],[SPY]:[PE]])</f>
        <v>2.4697697911419382E-2</v>
      </c>
      <c r="RP115" s="27">
        <f>IF(ISNUMBER(RP114),RP114*(1+PortfolioFrontier[[#This Row],[P121 Return]]),1+PortfolioFrontier[[#This Row],[P121 Return]])</f>
        <v>1.9765332226745671</v>
      </c>
      <c r="RQ115" s="27">
        <f>MAX(RQ114,PortfolioFrontier[[#This Row],[P121 Growth]])</f>
        <v>1.9765332226745671</v>
      </c>
      <c r="RR115" s="27">
        <f>PortfolioFrontier[[#This Row],[P121 Growth]]/PortfolioFrontier[[#This Row],[P121 HWM]]-1</f>
        <v>0</v>
      </c>
      <c r="RS115" s="28">
        <f>SUMPRODUCT(INDEX(PortfolioRef[[SPY]:[PE]],MATCH(RS$1,PortfolioRef[Reference '#]),0),AssetMonthlyReturns[[#This Row],[SPY]:[PE]])</f>
        <v>2.3560407338679912E-2</v>
      </c>
      <c r="RT115" s="27">
        <f>IF(ISNUMBER(RT114),RT114*(1+PortfolioFrontier[[#This Row],[P122 Return]]),1+PortfolioFrontier[[#This Row],[P122 Return]])</f>
        <v>1.9686889153789409</v>
      </c>
      <c r="RU115" s="27">
        <f>MAX(RU114,PortfolioFrontier[[#This Row],[P122 Growth]])</f>
        <v>1.9686889153789409</v>
      </c>
      <c r="RV115" s="27">
        <f>PortfolioFrontier[[#This Row],[P122 Growth]]/PortfolioFrontier[[#This Row],[P122 HWM]]-1</f>
        <v>0</v>
      </c>
      <c r="RW115" s="28">
        <f>SUMPRODUCT(INDEX(PortfolioRef[[SPY]:[PE]],MATCH(RW$1,PortfolioRef[Reference '#]),0),AssetMonthlyReturns[[#This Row],[SPY]:[PE]])</f>
        <v>2.2423116765940443E-2</v>
      </c>
      <c r="RX115" s="27">
        <f>IF(ISNUMBER(RX114),RX114*(1+PortfolioFrontier[[#This Row],[P123 Return]]),1+PortfolioFrontier[[#This Row],[P123 Return]])</f>
        <v>1.9591738625590456</v>
      </c>
      <c r="RY115" s="27">
        <f>MAX(RY114,PortfolioFrontier[[#This Row],[P123 Growth]])</f>
        <v>1.9591738625590456</v>
      </c>
      <c r="RZ115" s="27">
        <f>PortfolioFrontier[[#This Row],[P123 Growth]]/PortfolioFrontier[[#This Row],[P123 HWM]]-1</f>
        <v>0</v>
      </c>
      <c r="SA115" s="28">
        <f>SUMPRODUCT(INDEX(PortfolioRef[[SPY]:[PE]],MATCH(SA$1,PortfolioRef[Reference '#]),0),AssetMonthlyReturns[[#This Row],[SPY]:[PE]])</f>
        <v>2.7357775612847537E-2</v>
      </c>
      <c r="SB115" s="27">
        <f>IF(ISNUMBER(SB114),SB114*(1+PortfolioFrontier[[#This Row],[P124 Return]]),1+PortfolioFrontier[[#This Row],[P124 Return]])</f>
        <v>2.1139612195221984</v>
      </c>
      <c r="SC115" s="27">
        <f>MAX(SC114,PortfolioFrontier[[#This Row],[P124 Growth]])</f>
        <v>2.1139612195221984</v>
      </c>
      <c r="SD115" s="27">
        <f>PortfolioFrontier[[#This Row],[P124 Growth]]/PortfolioFrontier[[#This Row],[P124 HWM]]-1</f>
        <v>0</v>
      </c>
      <c r="SE115" s="28">
        <f>SUMPRODUCT(INDEX(PortfolioRef[[SPY]:[PE]],MATCH(SE$1,PortfolioRef[Reference '#]),0),AssetMonthlyReturns[[#This Row],[SPY]:[PE]])</f>
        <v>2.6220485040108068E-2</v>
      </c>
      <c r="SF115" s="27">
        <f>IF(ISNUMBER(SF114),SF114*(1+PortfolioFrontier[[#This Row],[P125 Return]]),1+PortfolioFrontier[[#This Row],[P125 Return]])</f>
        <v>2.104213942880679</v>
      </c>
      <c r="SG115" s="27">
        <f>MAX(SG114,PortfolioFrontier[[#This Row],[P125 Growth]])</f>
        <v>2.104213942880679</v>
      </c>
      <c r="SH115" s="27">
        <f>PortfolioFrontier[[#This Row],[P125 Growth]]/PortfolioFrontier[[#This Row],[P125 HWM]]-1</f>
        <v>0</v>
      </c>
      <c r="SI115" s="28">
        <f>SUMPRODUCT(INDEX(PortfolioRef[[SPY]:[PE]],MATCH(SI$1,PortfolioRef[Reference '#]),0),AssetMonthlyReturns[[#This Row],[SPY]:[PE]])</f>
        <v>2.5083194467368598E-2</v>
      </c>
      <c r="SJ115" s="27">
        <f>IF(ISNUMBER(SJ114),SJ114*(1+PortfolioFrontier[[#This Row],[P126 Return]]),1+PortfolioFrontier[[#This Row],[P126 Return]])</f>
        <v>2.0927008175200741</v>
      </c>
      <c r="SK115" s="27">
        <f>MAX(SK114,PortfolioFrontier[[#This Row],[P126 Growth]])</f>
        <v>2.0927008175200741</v>
      </c>
      <c r="SL115" s="27">
        <f>PortfolioFrontier[[#This Row],[P126 Growth]]/PortfolioFrontier[[#This Row],[P126 HWM]]-1</f>
        <v>0</v>
      </c>
      <c r="SM115" s="28">
        <f>SUMPRODUCT(INDEX(PortfolioRef[[SPY]:[PE]],MATCH(SM$1,PortfolioRef[Reference '#]),0),AssetMonthlyReturns[[#This Row],[SPY]:[PE]])</f>
        <v>2.6602882308593177E-2</v>
      </c>
      <c r="SN115" s="27">
        <f>IF(ISNUMBER(SN114),SN114*(1+PortfolioFrontier[[#This Row],[P127 Return]]),1+PortfolioFrontier[[#This Row],[P127 Return]])</f>
        <v>2.0630614415967932</v>
      </c>
      <c r="SO115" s="27">
        <f>MAX(SO114,PortfolioFrontier[[#This Row],[P127 Growth]])</f>
        <v>2.0630614415967932</v>
      </c>
      <c r="SP115" s="27">
        <f>PortfolioFrontier[[#This Row],[P127 Growth]]/PortfolioFrontier[[#This Row],[P127 HWM]]-1</f>
        <v>0</v>
      </c>
      <c r="SQ115" s="28">
        <f>SUMPRODUCT(INDEX(PortfolioRef[[SPY]:[PE]],MATCH(SQ$1,PortfolioRef[Reference '#]),0),AssetMonthlyReturns[[#This Row],[SPY]:[PE]])</f>
        <v>2.5465591735853707E-2</v>
      </c>
      <c r="SR115" s="27">
        <f>IF(ISNUMBER(SR114),SR114*(1+PortfolioFrontier[[#This Row],[P128 Return]]),1+PortfolioFrontier[[#This Row],[P128 Return]])</f>
        <v>2.0548857640683029</v>
      </c>
      <c r="SS115" s="27">
        <f>MAX(SS114,PortfolioFrontier[[#This Row],[P128 Growth]])</f>
        <v>2.0548857640683029</v>
      </c>
      <c r="ST115" s="27">
        <f>PortfolioFrontier[[#This Row],[P128 Growth]]/PortfolioFrontier[[#This Row],[P128 HWM]]-1</f>
        <v>0</v>
      </c>
      <c r="SU115" s="28">
        <f>SUMPRODUCT(INDEX(PortfolioRef[[SPY]:[PE]],MATCH(SU$1,PortfolioRef[Reference '#]),0),AssetMonthlyReturns[[#This Row],[SPY]:[PE]])</f>
        <v>2.4328301163114241E-2</v>
      </c>
      <c r="SV115" s="27">
        <f>IF(ISNUMBER(SV114),SV114*(1+PortfolioFrontier[[#This Row],[P129 Return]]),1+PortfolioFrontier[[#This Row],[P129 Return]])</f>
        <v>2.0449671920595054</v>
      </c>
      <c r="SW115" s="27">
        <f>MAX(SW114,PortfolioFrontier[[#This Row],[P129 Growth]])</f>
        <v>2.0449671920595054</v>
      </c>
      <c r="SX115" s="27">
        <f>PortfolioFrontier[[#This Row],[P129 Growth]]/PortfolioFrontier[[#This Row],[P129 HWM]]-1</f>
        <v>0</v>
      </c>
      <c r="SY115" s="28">
        <f>SUMPRODUCT(INDEX(PortfolioRef[[SPY]:[PE]],MATCH(SY$1,PortfolioRef[Reference '#]),0),AssetMonthlyReturns[[#This Row],[SPY]:[PE]])</f>
        <v>2.5847989004338823E-2</v>
      </c>
      <c r="SZ115" s="27">
        <f>IF(ISNUMBER(SZ114),SZ114*(1+PortfolioFrontier[[#This Row],[P130 Return]]),1+PortfolioFrontier[[#This Row],[P130 Return]])</f>
        <v>2.0114728355852542</v>
      </c>
      <c r="TA115" s="27">
        <f>MAX(TA114,PortfolioFrontier[[#This Row],[P130 Growth]])</f>
        <v>2.0114728355852542</v>
      </c>
      <c r="TB115" s="27">
        <f>PortfolioFrontier[[#This Row],[P130 Growth]]/PortfolioFrontier[[#This Row],[P130 HWM]]-1</f>
        <v>0</v>
      </c>
      <c r="TC115" s="28">
        <f>SUMPRODUCT(INDEX(PortfolioRef[[SPY]:[PE]],MATCH(TC$1,PortfolioRef[Reference '#]),0),AssetMonthlyReturns[[#This Row],[SPY]:[PE]])</f>
        <v>2.4710698431599353E-2</v>
      </c>
      <c r="TD115" s="27">
        <f>IF(ISNUMBER(TD114),TD114*(1+PortfolioFrontier[[#This Row],[P131 Return]]),1+PortfolioFrontier[[#This Row],[P131 Return]])</f>
        <v>2.0048120350392953</v>
      </c>
      <c r="TE115" s="27">
        <f>MAX(TE114,PortfolioFrontier[[#This Row],[P131 Growth]])</f>
        <v>2.0048120350392953</v>
      </c>
      <c r="TF115" s="27">
        <f>PortfolioFrontier[[#This Row],[P131 Growth]]/PortfolioFrontier[[#This Row],[P131 HWM]]-1</f>
        <v>0</v>
      </c>
      <c r="TG115" s="28">
        <f>SUMPRODUCT(INDEX(PortfolioRef[[SPY]:[PE]],MATCH(TG$1,PortfolioRef[Reference '#]),0),AssetMonthlyReturns[[#This Row],[SPY]:[PE]])</f>
        <v>2.3573407858859884E-2</v>
      </c>
      <c r="TH115" s="27">
        <f>IF(ISNUMBER(TH114),TH114*(1+PortfolioFrontier[[#This Row],[P132 Return]]),1+PortfolioFrontier[[#This Row],[P132 Return]])</f>
        <v>1.9964341613916381</v>
      </c>
      <c r="TI115" s="27">
        <f>MAX(TI114,PortfolioFrontier[[#This Row],[P132 Growth]])</f>
        <v>1.9964341613916381</v>
      </c>
      <c r="TJ115" s="27">
        <f>PortfolioFrontier[[#This Row],[P132 Growth]]/PortfolioFrontier[[#This Row],[P132 HWM]]-1</f>
        <v>0</v>
      </c>
      <c r="TK115" s="28">
        <f>SUMPRODUCT(INDEX(PortfolioRef[[SPY]:[PE]],MATCH(TK$1,PortfolioRef[Reference '#]),0),AssetMonthlyReturns[[#This Row],[SPY]:[PE]])</f>
        <v>2.8508066705766978E-2</v>
      </c>
      <c r="TL115" s="27">
        <f>IF(ISNUMBER(TL114),TL114*(1+PortfolioFrontier[[#This Row],[P133 Return]]),1+PortfolioFrontier[[#This Row],[P133 Return]])</f>
        <v>2.1526069224648339</v>
      </c>
      <c r="TM115" s="27">
        <f>MAX(TM114,PortfolioFrontier[[#This Row],[P133 Growth]])</f>
        <v>2.1526069224648339</v>
      </c>
      <c r="TN115" s="27">
        <f>PortfolioFrontier[[#This Row],[P133 Growth]]/PortfolioFrontier[[#This Row],[P133 HWM]]-1</f>
        <v>0</v>
      </c>
      <c r="TO115" s="28">
        <f>SUMPRODUCT(INDEX(PortfolioRef[[SPY]:[PE]],MATCH(TO$1,PortfolioRef[Reference '#]),0),AssetMonthlyReturns[[#This Row],[SPY]:[PE]])</f>
        <v>2.7370776133027509E-2</v>
      </c>
      <c r="TP115" s="27">
        <f>IF(ISNUMBER(TP114),TP114*(1+PortfolioFrontier[[#This Row],[P134 Return]]),1+PortfolioFrontier[[#This Row],[P134 Return]])</f>
        <v>2.1440888576249564</v>
      </c>
      <c r="TQ115" s="27">
        <f>MAX(TQ114,PortfolioFrontier[[#This Row],[P134 Growth]])</f>
        <v>2.1440888576249564</v>
      </c>
      <c r="TR115" s="27">
        <f>PortfolioFrontier[[#This Row],[P134 Growth]]/PortfolioFrontier[[#This Row],[P134 HWM]]-1</f>
        <v>0</v>
      </c>
      <c r="TS115" s="28">
        <f>SUMPRODUCT(INDEX(PortfolioRef[[SPY]:[PE]],MATCH(TS$1,PortfolioRef[Reference '#]),0),AssetMonthlyReturns[[#This Row],[SPY]:[PE]])</f>
        <v>2.6233485560288039E-2</v>
      </c>
      <c r="TT115" s="27">
        <f>IF(ISNUMBER(TT114),TT114*(1+PortfolioFrontier[[#This Row],[P135 Return]]),1+PortfolioFrontier[[#This Row],[P135 Return]])</f>
        <v>2.1337532639092593</v>
      </c>
      <c r="TU115" s="27">
        <f>MAX(TU114,PortfolioFrontier[[#This Row],[P135 Growth]])</f>
        <v>2.1337532639092593</v>
      </c>
      <c r="TV115" s="27">
        <f>PortfolioFrontier[[#This Row],[P135 Growth]]/PortfolioFrontier[[#This Row],[P135 HWM]]-1</f>
        <v>0</v>
      </c>
      <c r="TW115" s="28">
        <f>SUMPRODUCT(INDEX(PortfolioRef[[SPY]:[PE]],MATCH(TW$1,PortfolioRef[Reference '#]),0),AssetMonthlyReturns[[#This Row],[SPY]:[PE]])</f>
        <v>2.7753173401512621E-2</v>
      </c>
      <c r="TX115" s="27">
        <f>IF(ISNUMBER(TX114),TX114*(1+PortfolioFrontier[[#This Row],[P136 Return]]),1+PortfolioFrontier[[#This Row],[P136 Return]])</f>
        <v>2.0995215435735481</v>
      </c>
      <c r="TY115" s="27">
        <f>MAX(TY114,PortfolioFrontier[[#This Row],[P136 Growth]])</f>
        <v>2.0995215435735481</v>
      </c>
      <c r="TZ115" s="27">
        <f>PortfolioFrontier[[#This Row],[P136 Growth]]/PortfolioFrontier[[#This Row],[P136 HWM]]-1</f>
        <v>0</v>
      </c>
      <c r="UA115" s="28">
        <f>SUMPRODUCT(INDEX(PortfolioRef[[SPY]:[PE]],MATCH(UA$1,PortfolioRef[Reference '#]),0),AssetMonthlyReturns[[#This Row],[SPY]:[PE]])</f>
        <v>2.6615882828773148E-2</v>
      </c>
      <c r="UB115" s="27">
        <f>IF(ISNUMBER(UB114),UB114*(1+PortfolioFrontier[[#This Row],[P137 Return]]),1+PortfolioFrontier[[#This Row],[P137 Return]])</f>
        <v>2.0925806114425249</v>
      </c>
      <c r="UC115" s="27">
        <f>MAX(UC114,PortfolioFrontier[[#This Row],[P137 Growth]])</f>
        <v>2.0925806114425249</v>
      </c>
      <c r="UD115" s="27">
        <f>PortfolioFrontier[[#This Row],[P137 Growth]]/PortfolioFrontier[[#This Row],[P137 HWM]]-1</f>
        <v>0</v>
      </c>
      <c r="UE115" s="28">
        <f>SUMPRODUCT(INDEX(PortfolioRef[[SPY]:[PE]],MATCH(UE$1,PortfolioRef[Reference '#]),0),AssetMonthlyReturns[[#This Row],[SPY]:[PE]])</f>
        <v>2.5478592256033682E-2</v>
      </c>
      <c r="UF115" s="27">
        <f>IF(ISNUMBER(UF114),UF114*(1+PortfolioFrontier[[#This Row],[P138 Return]]),1+PortfolioFrontier[[#This Row],[P138 Return]])</f>
        <v>2.0838484789331777</v>
      </c>
      <c r="UG115" s="27">
        <f>MAX(UG114,PortfolioFrontier[[#This Row],[P138 Growth]])</f>
        <v>2.0838484789331777</v>
      </c>
      <c r="UH115" s="27">
        <f>PortfolioFrontier[[#This Row],[P138 Growth]]/PortfolioFrontier[[#This Row],[P138 HWM]]-1</f>
        <v>0</v>
      </c>
      <c r="UI115" s="28">
        <f>SUMPRODUCT(INDEX(PortfolioRef[[SPY]:[PE]],MATCH(UI$1,PortfolioRef[Reference '#]),0),AssetMonthlyReturns[[#This Row],[SPY]:[PE]])</f>
        <v>2.6998280097258263E-2</v>
      </c>
      <c r="UJ115" s="27">
        <f>IF(ISNUMBER(UJ114),UJ114*(1+PortfolioFrontier[[#This Row],[P139 Return]]),1+PortfolioFrontier[[#This Row],[P139 Return]])</f>
        <v>2.0457924654824389</v>
      </c>
      <c r="UK115" s="27">
        <f>MAX(UK114,PortfolioFrontier[[#This Row],[P139 Growth]])</f>
        <v>2.0457924654824389</v>
      </c>
      <c r="UL115" s="27">
        <f>PortfolioFrontier[[#This Row],[P139 Growth]]/PortfolioFrontier[[#This Row],[P139 HWM]]-1</f>
        <v>0</v>
      </c>
      <c r="UM115" s="28">
        <f>SUMPRODUCT(INDEX(PortfolioRef[[SPY]:[PE]],MATCH(UM$1,PortfolioRef[Reference '#]),0),AssetMonthlyReturns[[#This Row],[SPY]:[PE]])</f>
        <v>2.5860989524518797E-2</v>
      </c>
      <c r="UN115" s="27">
        <f>IF(ISNUMBER(UN114),UN114*(1+PortfolioFrontier[[#This Row],[P140 Return]]),1+PortfolioFrontier[[#This Row],[P140 Return]])</f>
        <v>2.0403686168170054</v>
      </c>
      <c r="UO115" s="27">
        <f>MAX(UO114,PortfolioFrontier[[#This Row],[P140 Growth]])</f>
        <v>2.0403686168170054</v>
      </c>
      <c r="UP115" s="27">
        <f>PortfolioFrontier[[#This Row],[P140 Growth]]/PortfolioFrontier[[#This Row],[P140 HWM]]-1</f>
        <v>0</v>
      </c>
      <c r="UQ115" s="28">
        <f>SUMPRODUCT(INDEX(PortfolioRef[[SPY]:[PE]],MATCH(UQ$1,PortfolioRef[Reference '#]),0),AssetMonthlyReturns[[#This Row],[SPY]:[PE]])</f>
        <v>2.4723698951779324E-2</v>
      </c>
      <c r="UR115" s="27">
        <f>IF(ISNUMBER(UR114),UR114*(1+PortfolioFrontier[[#This Row],[P141 Return]]),1+PortfolioFrontier[[#This Row],[P141 Return]])</f>
        <v>2.0331827360576957</v>
      </c>
      <c r="US115" s="27">
        <f>MAX(US114,PortfolioFrontier[[#This Row],[P141 Growth]])</f>
        <v>2.0331827360576957</v>
      </c>
      <c r="UT115" s="27">
        <f>PortfolioFrontier[[#This Row],[P141 Growth]]/PortfolioFrontier[[#This Row],[P141 HWM]]-1</f>
        <v>0</v>
      </c>
    </row>
    <row r="116" spans="2:566" x14ac:dyDescent="0.2">
      <c r="B116" s="41">
        <f>AssetMonthlyReturns[[#This Row],[Date]]</f>
        <v>45901</v>
      </c>
      <c r="C116" s="28">
        <f>SUMPRODUCT(INDEX(PortfolioRef[[SPY]:[PE]],MATCH(C$1,PortfolioRef[Reference '#]),0),AssetMonthlyReturns[[#This Row],[SPY]:[PE]])</f>
        <v>3.1115415452388554E-2</v>
      </c>
      <c r="D116" s="29">
        <f>IF(ISNUMBER(D115),D115*(1+PortfolioFrontier[[#This Row],[P1 Return]]),1+PortfolioFrontier[[#This Row],[P1 Return]])</f>
        <v>2.6721271899698187</v>
      </c>
      <c r="E116" s="29">
        <f>MAX(E115,PortfolioFrontier[[#This Row],[P1 Growth]])</f>
        <v>2.6721271899698187</v>
      </c>
      <c r="F116" s="29">
        <f>PortfolioFrontier[[#This Row],[P1 Growth]]/PortfolioFrontier[[#This Row],[P1 HWM]]-1</f>
        <v>0</v>
      </c>
      <c r="G116" s="28">
        <f>SUMPRODUCT(INDEX(PortfolioRef[[SPY]:[PE]],MATCH(G$1,PortfolioRef[Reference '#]),0),AssetMonthlyReturns[[#This Row],[SPY]:[PE]])</f>
        <v>3.0043909415842885E-2</v>
      </c>
      <c r="H116" s="27">
        <f>IF(ISNUMBER(H115),H115*(1+PortfolioFrontier[[#This Row],[P2 Return]]),1+PortfolioFrontier[[#This Row],[P2 Return]])</f>
        <v>2.522563359655325</v>
      </c>
      <c r="I116" s="27">
        <f>MAX(I115,PortfolioFrontier[[#This Row],[P2 Growth]])</f>
        <v>2.522563359655325</v>
      </c>
      <c r="J116" s="27">
        <f>PortfolioFrontier[[#This Row],[P2 Growth]]/PortfolioFrontier[[#This Row],[P2 HWM]]-1</f>
        <v>0</v>
      </c>
      <c r="K116" s="28">
        <f>SUMPRODUCT(INDEX(PortfolioRef[[SPY]:[PE]],MATCH(K$1,PortfolioRef[Reference '#]),0),AssetMonthlyReturns[[#This Row],[SPY]:[PE]])</f>
        <v>3.5356771200280128E-2</v>
      </c>
      <c r="L116" s="27">
        <f>IF(ISNUMBER(L115),L115*(1+PortfolioFrontier[[#This Row],[P3 Return]]),1+PortfolioFrontier[[#This Row],[P3 Return]])</f>
        <v>2.6467271744544654</v>
      </c>
      <c r="M116" s="27">
        <f>MAX(M115,PortfolioFrontier[[#This Row],[P3 Growth]])</f>
        <v>2.6467271744544654</v>
      </c>
      <c r="N116" s="27">
        <f>PortfolioFrontier[[#This Row],[P3 Growth]]/PortfolioFrontier[[#This Row],[P3 HWM]]-1</f>
        <v>0</v>
      </c>
      <c r="O116" s="28">
        <f>SUMPRODUCT(INDEX(PortfolioRef[[SPY]:[PE]],MATCH(O$1,PortfolioRef[Reference '#]),0),AssetMonthlyReturns[[#This Row],[SPY]:[PE]])</f>
        <v>2.9033069025183992E-2</v>
      </c>
      <c r="P116" s="27">
        <f>IF(ISNUMBER(P115),P115*(1+PortfolioFrontier[[#This Row],[P4 Return]]),1+PortfolioFrontier[[#This Row],[P4 Return]])</f>
        <v>2.5656099285868108</v>
      </c>
      <c r="Q116" s="27">
        <f>MAX(Q115,PortfolioFrontier[[#This Row],[P4 Growth]])</f>
        <v>2.5656099285868108</v>
      </c>
      <c r="R116" s="27">
        <f>PortfolioFrontier[[#This Row],[P4 Growth]]/PortfolioFrontier[[#This Row],[P4 HWM]]-1</f>
        <v>0</v>
      </c>
      <c r="S116" s="28">
        <f>SUMPRODUCT(INDEX(PortfolioRef[[SPY]:[PE]],MATCH(S$1,PortfolioRef[Reference '#]),0),AssetMonthlyReturns[[#This Row],[SPY]:[PE]])</f>
        <v>2.974285153849129E-2</v>
      </c>
      <c r="T116" s="27">
        <f>IF(ISNUMBER(T115),T115*(1+PortfolioFrontier[[#This Row],[P5 Return]]),1+PortfolioFrontier[[#This Row],[P5 Return]])</f>
        <v>2.5569954138742639</v>
      </c>
      <c r="U116" s="27">
        <f>MAX(U115,PortfolioFrontier[[#This Row],[P5 Growth]])</f>
        <v>2.5569954138742639</v>
      </c>
      <c r="V116" s="27">
        <f>PortfolioFrontier[[#This Row],[P5 Growth]]/PortfolioFrontier[[#This Row],[P5 HWM]]-1</f>
        <v>0</v>
      </c>
      <c r="W116" s="28">
        <f>SUMPRODUCT(INDEX(PortfolioRef[[SPY]:[PE]],MATCH(W$1,PortfolioRef[Reference '#]),0),AssetMonthlyReturns[[#This Row],[SPY]:[PE]])</f>
        <v>2.8972403379297219E-2</v>
      </c>
      <c r="X116" s="27">
        <f>IF(ISNUMBER(X115),X115*(1+PortfolioFrontier[[#This Row],[P6 Return]]),1+PortfolioFrontier[[#This Row],[P6 Return]])</f>
        <v>2.3801580313094886</v>
      </c>
      <c r="Y116" s="27">
        <f>MAX(Y115,PortfolioFrontier[[#This Row],[P6 Growth]])</f>
        <v>2.3801580313094886</v>
      </c>
      <c r="Z116" s="27">
        <f>PortfolioFrontier[[#This Row],[P6 Growth]]/PortfolioFrontier[[#This Row],[P6 HWM]]-1</f>
        <v>0</v>
      </c>
      <c r="AA116" s="28">
        <f>SUMPRODUCT(INDEX(PortfolioRef[[SPY]:[PE]],MATCH(AA$1,PortfolioRef[Reference '#]),0),AssetMonthlyReturns[[#This Row],[SPY]:[PE]])</f>
        <v>3.4285265163734459E-2</v>
      </c>
      <c r="AB116" s="27">
        <f>IF(ISNUMBER(AB115),AB115*(1+PortfolioFrontier[[#This Row],[P7 Return]]),1+PortfolioFrontier[[#This Row],[P7 Return]])</f>
        <v>2.4973059212828317</v>
      </c>
      <c r="AC116" s="27">
        <f>MAX(AC115,PortfolioFrontier[[#This Row],[P7 Growth]])</f>
        <v>2.4973059212828317</v>
      </c>
      <c r="AD116" s="27">
        <f>PortfolioFrontier[[#This Row],[P7 Growth]]/PortfolioFrontier[[#This Row],[P7 HWM]]-1</f>
        <v>0</v>
      </c>
      <c r="AE116" s="28">
        <f>SUMPRODUCT(INDEX(PortfolioRef[[SPY]:[PE]],MATCH(AE$1,PortfolioRef[Reference '#]),0),AssetMonthlyReturns[[#This Row],[SPY]:[PE]])</f>
        <v>2.7961562988638326E-2</v>
      </c>
      <c r="AF116" s="27">
        <f>IF(ISNUMBER(AF115),AF115*(1+PortfolioFrontier[[#This Row],[P8 Return]]),1+PortfolioFrontier[[#This Row],[P8 Return]])</f>
        <v>2.4217520016293035</v>
      </c>
      <c r="AG116" s="27">
        <f>MAX(AG115,PortfolioFrontier[[#This Row],[P8 Growth]])</f>
        <v>2.4217520016293035</v>
      </c>
      <c r="AH116" s="27">
        <f>PortfolioFrontier[[#This Row],[P8 Growth]]/PortfolioFrontier[[#This Row],[P8 HWM]]-1</f>
        <v>0</v>
      </c>
      <c r="AI116" s="28">
        <f>SUMPRODUCT(INDEX(PortfolioRef[[SPY]:[PE]],MATCH(AI$1,PortfolioRef[Reference '#]),0),AssetMonthlyReturns[[#This Row],[SPY]:[PE]])</f>
        <v>2.8671345501945625E-2</v>
      </c>
      <c r="AJ116" s="27">
        <f>IF(ISNUMBER(AJ115),AJ115*(1+PortfolioFrontier[[#This Row],[P9 Return]]),1+PortfolioFrontier[[#This Row],[P9 Return]])</f>
        <v>2.4127072459817023</v>
      </c>
      <c r="AK116" s="27">
        <f>MAX(AK115,PortfolioFrontier[[#This Row],[P9 Growth]])</f>
        <v>2.4127072459817023</v>
      </c>
      <c r="AL116" s="27">
        <f>PortfolioFrontier[[#This Row],[P9 Growth]]/PortfolioFrontier[[#This Row],[P9 HWM]]-1</f>
        <v>0</v>
      </c>
      <c r="AM116" s="28">
        <f>SUMPRODUCT(INDEX(PortfolioRef[[SPY]:[PE]],MATCH(AM$1,PortfolioRef[Reference '#]),0),AssetMonthlyReturns[[#This Row],[SPY]:[PE]])</f>
        <v>3.9598126948171698E-2</v>
      </c>
      <c r="AN116" s="27">
        <f>IF(ISNUMBER(AN115),AN115*(1+PortfolioFrontier[[#This Row],[P10 Return]]),1+PortfolioFrontier[[#This Row],[P10 Return]])</f>
        <v>2.619215008342092</v>
      </c>
      <c r="AO116" s="27">
        <f>MAX(AO115,PortfolioFrontier[[#This Row],[P10 Growth]])</f>
        <v>2.619215008342092</v>
      </c>
      <c r="AP116" s="27">
        <f>PortfolioFrontier[[#This Row],[P10 Growth]]/PortfolioFrontier[[#This Row],[P10 HWM]]-1</f>
        <v>0</v>
      </c>
      <c r="AQ116" s="28">
        <f>SUMPRODUCT(INDEX(PortfolioRef[[SPY]:[PE]],MATCH(AQ$1,PortfolioRef[Reference '#]),0),AssetMonthlyReturns[[#This Row],[SPY]:[PE]])</f>
        <v>3.3274424773075566E-2</v>
      </c>
      <c r="AR116" s="27">
        <f>IF(ISNUMBER(AR115),AR115*(1+PortfolioFrontier[[#This Row],[P11 Return]]),1+PortfolioFrontier[[#This Row],[P11 Return]])</f>
        <v>2.5409473923385533</v>
      </c>
      <c r="AS116" s="27">
        <f>MAX(AS115,PortfolioFrontier[[#This Row],[P11 Growth]])</f>
        <v>2.5409473923385533</v>
      </c>
      <c r="AT116" s="27">
        <f>PortfolioFrontier[[#This Row],[P11 Growth]]/PortfolioFrontier[[#This Row],[P11 HWM]]-1</f>
        <v>0</v>
      </c>
      <c r="AU116" s="28">
        <f>SUMPRODUCT(INDEX(PortfolioRef[[SPY]:[PE]],MATCH(AU$1,PortfolioRef[Reference '#]),0),AssetMonthlyReturns[[#This Row],[SPY]:[PE]])</f>
        <v>3.3984207286382857E-2</v>
      </c>
      <c r="AV116" s="27">
        <f>IF(ISNUMBER(AV115),AV115*(1+PortfolioFrontier[[#This Row],[P12 Return]]),1+PortfolioFrontier[[#This Row],[P12 Return]])</f>
        <v>2.5314641713709518</v>
      </c>
      <c r="AW116" s="27">
        <f>MAX(AW115,PortfolioFrontier[[#This Row],[P12 Growth]])</f>
        <v>2.5314641713709518</v>
      </c>
      <c r="AX116" s="27">
        <f>PortfolioFrontier[[#This Row],[P12 Growth]]/PortfolioFrontier[[#This Row],[P12 HWM]]-1</f>
        <v>0</v>
      </c>
      <c r="AY116" s="28">
        <f>SUMPRODUCT(INDEX(PortfolioRef[[SPY]:[PE]],MATCH(AY$1,PortfolioRef[Reference '#]),0),AssetMonthlyReturns[[#This Row],[SPY]:[PE]])</f>
        <v>2.6950722597979437E-2</v>
      </c>
      <c r="AZ116" s="27">
        <f>IF(ISNUMBER(AZ115),AZ115*(1+PortfolioFrontier[[#This Row],[P13 Return]]),1+PortfolioFrontier[[#This Row],[P13 Return]])</f>
        <v>2.4625901919542708</v>
      </c>
      <c r="BA116" s="27">
        <f>MAX(BA115,PortfolioFrontier[[#This Row],[P13 Growth]])</f>
        <v>2.4625901919542708</v>
      </c>
      <c r="BB116" s="27">
        <f>PortfolioFrontier[[#This Row],[P13 Growth]]/PortfolioFrontier[[#This Row],[P13 HWM]]-1</f>
        <v>0</v>
      </c>
      <c r="BC116" s="28">
        <f>SUMPRODUCT(INDEX(PortfolioRef[[SPY]:[PE]],MATCH(BC$1,PortfolioRef[Reference '#]),0),AssetMonthlyReturns[[#This Row],[SPY]:[PE]])</f>
        <v>2.7660505111286732E-2</v>
      </c>
      <c r="BD116" s="27">
        <f>IF(ISNUMBER(BD115),BD115*(1+PortfolioFrontier[[#This Row],[P14 Return]]),1+PortfolioFrontier[[#This Row],[P14 Return]])</f>
        <v>2.4550089660266083</v>
      </c>
      <c r="BE116" s="27">
        <f>MAX(BE115,PortfolioFrontier[[#This Row],[P14 Growth]])</f>
        <v>2.4550089660266083</v>
      </c>
      <c r="BF116" s="27">
        <f>PortfolioFrontier[[#This Row],[P14 Growth]]/PortfolioFrontier[[#This Row],[P14 HWM]]-1</f>
        <v>0</v>
      </c>
      <c r="BG116" s="28">
        <f>SUMPRODUCT(INDEX(PortfolioRef[[SPY]:[PE]],MATCH(BG$1,PortfolioRef[Reference '#]),0),AssetMonthlyReturns[[#This Row],[SPY]:[PE]])</f>
        <v>2.8370287624594027E-2</v>
      </c>
      <c r="BH116" s="27">
        <f>IF(ISNUMBER(BH115),BH115*(1+PortfolioFrontier[[#This Row],[P15 Return]]),1+PortfolioFrontier[[#This Row],[P15 Return]])</f>
        <v>2.4453253408084237</v>
      </c>
      <c r="BI116" s="27">
        <f>MAX(BI115,PortfolioFrontier[[#This Row],[P15 Growth]])</f>
        <v>2.4453253408084237</v>
      </c>
      <c r="BJ116" s="27">
        <f>PortfolioFrontier[[#This Row],[P15 Growth]]/PortfolioFrontier[[#This Row],[P15 HWM]]-1</f>
        <v>0</v>
      </c>
      <c r="BK116" s="28">
        <f>SUMPRODUCT(INDEX(PortfolioRef[[SPY]:[PE]],MATCH(BK$1,PortfolioRef[Reference '#]),0),AssetMonthlyReturns[[#This Row],[SPY]:[PE]])</f>
        <v>2.7900897342751554E-2</v>
      </c>
      <c r="BL116" s="27">
        <f>IF(ISNUMBER(BL115),BL115*(1+PortfolioFrontier[[#This Row],[P16 Return]]),1+PortfolioFrontier[[#This Row],[P16 Return]])</f>
        <v>2.2446479619757622</v>
      </c>
      <c r="BM116" s="27">
        <f>MAX(BM115,PortfolioFrontier[[#This Row],[P16 Growth]])</f>
        <v>2.2446479619757622</v>
      </c>
      <c r="BN116" s="27">
        <f>PortfolioFrontier[[#This Row],[P16 Growth]]/PortfolioFrontier[[#This Row],[P16 HWM]]-1</f>
        <v>0</v>
      </c>
      <c r="BO116" s="28">
        <f>SUMPRODUCT(INDEX(PortfolioRef[[SPY]:[PE]],MATCH(BO$1,PortfolioRef[Reference '#]),0),AssetMonthlyReturns[[#This Row],[SPY]:[PE]])</f>
        <v>3.3213759127188797E-2</v>
      </c>
      <c r="BP116" s="27">
        <f>IF(ISNUMBER(BP115),BP115*(1+PortfolioFrontier[[#This Row],[P17 Return]]),1+PortfolioFrontier[[#This Row],[P17 Return]])</f>
        <v>2.3551210141339198</v>
      </c>
      <c r="BQ116" s="27">
        <f>MAX(BQ115,PortfolioFrontier[[#This Row],[P17 Growth]])</f>
        <v>2.3551210141339198</v>
      </c>
      <c r="BR116" s="27">
        <f>PortfolioFrontier[[#This Row],[P17 Growth]]/PortfolioFrontier[[#This Row],[P17 HWM]]-1</f>
        <v>0</v>
      </c>
      <c r="BS116" s="28">
        <f>SUMPRODUCT(INDEX(PortfolioRef[[SPY]:[PE]],MATCH(BS$1,PortfolioRef[Reference '#]),0),AssetMonthlyReturns[[#This Row],[SPY]:[PE]])</f>
        <v>2.6890056952092661E-2</v>
      </c>
      <c r="BT116" s="27">
        <f>IF(ISNUMBER(BT115),BT115*(1+PortfolioFrontier[[#This Row],[P18 Return]]),1+PortfolioFrontier[[#This Row],[P18 Return]])</f>
        <v>2.2847945849528157</v>
      </c>
      <c r="BU116" s="27">
        <f>MAX(BU115,PortfolioFrontier[[#This Row],[P18 Growth]])</f>
        <v>2.2847945849528157</v>
      </c>
      <c r="BV116" s="27">
        <f>PortfolioFrontier[[#This Row],[P18 Growth]]/PortfolioFrontier[[#This Row],[P18 HWM]]-1</f>
        <v>0</v>
      </c>
      <c r="BW116" s="28">
        <f>SUMPRODUCT(INDEX(PortfolioRef[[SPY]:[PE]],MATCH(BW$1,PortfolioRef[Reference '#]),0),AssetMonthlyReturns[[#This Row],[SPY]:[PE]])</f>
        <v>2.7599839465399959E-2</v>
      </c>
      <c r="BX116" s="27">
        <f>IF(ISNUMBER(BX115),BX115*(1+PortfolioFrontier[[#This Row],[P19 Return]]),1+PortfolioFrontier[[#This Row],[P19 Return]])</f>
        <v>2.2754015840575299</v>
      </c>
      <c r="BY116" s="27">
        <f>MAX(BY115,PortfolioFrontier[[#This Row],[P19 Growth]])</f>
        <v>2.2754015840575299</v>
      </c>
      <c r="BZ116" s="27">
        <f>PortfolioFrontier[[#This Row],[P19 Growth]]/PortfolioFrontier[[#This Row],[P19 HWM]]-1</f>
        <v>0</v>
      </c>
      <c r="CA116" s="28">
        <f>SUMPRODUCT(INDEX(PortfolioRef[[SPY]:[PE]],MATCH(CA$1,PortfolioRef[Reference '#]),0),AssetMonthlyReturns[[#This Row],[SPY]:[PE]])</f>
        <v>3.8526620911626036E-2</v>
      </c>
      <c r="CB116" s="27">
        <f>IF(ISNUMBER(CB115),CB115*(1+PortfolioFrontier[[#This Row],[P20 Return]]),1+PortfolioFrontier[[#This Row],[P20 Return]])</f>
        <v>2.4700824694069401</v>
      </c>
      <c r="CC116" s="27">
        <f>MAX(CC115,PortfolioFrontier[[#This Row],[P20 Growth]])</f>
        <v>2.4700824694069401</v>
      </c>
      <c r="CD116" s="27">
        <f>PortfolioFrontier[[#This Row],[P20 Growth]]/PortfolioFrontier[[#This Row],[P20 HWM]]-1</f>
        <v>0</v>
      </c>
      <c r="CE116" s="28">
        <f>SUMPRODUCT(INDEX(PortfolioRef[[SPY]:[PE]],MATCH(CE$1,PortfolioRef[Reference '#]),0),AssetMonthlyReturns[[#This Row],[SPY]:[PE]])</f>
        <v>3.2202918736529904E-2</v>
      </c>
      <c r="CF116" s="27">
        <f>IF(ISNUMBER(CF115),CF115*(1+PortfolioFrontier[[#This Row],[P21 Return]]),1+PortfolioFrontier[[#This Row],[P21 Return]])</f>
        <v>2.3972432701037962</v>
      </c>
      <c r="CG116" s="27">
        <f>MAX(CG115,PortfolioFrontier[[#This Row],[P21 Growth]])</f>
        <v>2.3972432701037962</v>
      </c>
      <c r="CH116" s="27">
        <f>PortfolioFrontier[[#This Row],[P21 Growth]]/PortfolioFrontier[[#This Row],[P21 HWM]]-1</f>
        <v>0</v>
      </c>
      <c r="CI116" s="28">
        <f>SUMPRODUCT(INDEX(PortfolioRef[[SPY]:[PE]],MATCH(CI$1,PortfolioRef[Reference '#]),0),AssetMonthlyReturns[[#This Row],[SPY]:[PE]])</f>
        <v>3.2912701249837195E-2</v>
      </c>
      <c r="CJ116" s="27">
        <f>IF(ISNUMBER(CJ115),CJ115*(1+PortfolioFrontier[[#This Row],[P22 Return]]),1+PortfolioFrontier[[#This Row],[P22 Return]])</f>
        <v>2.3873947917793887</v>
      </c>
      <c r="CK116" s="27">
        <f>MAX(CK115,PortfolioFrontier[[#This Row],[P22 Growth]])</f>
        <v>2.3873947917793887</v>
      </c>
      <c r="CL116" s="27">
        <f>PortfolioFrontier[[#This Row],[P22 Growth]]/PortfolioFrontier[[#This Row],[P22 HWM]]-1</f>
        <v>0</v>
      </c>
      <c r="CM116" s="28">
        <f>SUMPRODUCT(INDEX(PortfolioRef[[SPY]:[PE]],MATCH(CM$1,PortfolioRef[Reference '#]),0),AssetMonthlyReturns[[#This Row],[SPY]:[PE]])</f>
        <v>2.5879216561433771E-2</v>
      </c>
      <c r="CN116" s="27">
        <f>IF(ISNUMBER(CN115),CN115*(1+PortfolioFrontier[[#This Row],[P23 Return]]),1+PortfolioFrontier[[#This Row],[P23 Return]])</f>
        <v>2.3242627582689126</v>
      </c>
      <c r="CO116" s="27">
        <f>MAX(CO115,PortfolioFrontier[[#This Row],[P23 Growth]])</f>
        <v>2.3242627582689126</v>
      </c>
      <c r="CP116" s="27">
        <f>PortfolioFrontier[[#This Row],[P23 Growth]]/PortfolioFrontier[[#This Row],[P23 HWM]]-1</f>
        <v>0</v>
      </c>
      <c r="CQ116" s="28">
        <f>SUMPRODUCT(INDEX(PortfolioRef[[SPY]:[PE]],MATCH(CQ$1,PortfolioRef[Reference '#]),0),AssetMonthlyReturns[[#This Row],[SPY]:[PE]])</f>
        <v>2.6588999074741066E-2</v>
      </c>
      <c r="CR116" s="27">
        <f>IF(ISNUMBER(CR115),CR115*(1+PortfolioFrontier[[#This Row],[P24 Return]]),1+PortfolioFrontier[[#This Row],[P24 Return]])</f>
        <v>2.3162293090259256</v>
      </c>
      <c r="CS116" s="27">
        <f>MAX(CS115,PortfolioFrontier[[#This Row],[P24 Growth]])</f>
        <v>2.3162293090259256</v>
      </c>
      <c r="CT116" s="27">
        <f>PortfolioFrontier[[#This Row],[P24 Growth]]/PortfolioFrontier[[#This Row],[P24 HWM]]-1</f>
        <v>0</v>
      </c>
      <c r="CU116" s="28">
        <f>SUMPRODUCT(INDEX(PortfolioRef[[SPY]:[PE]],MATCH(CU$1,PortfolioRef[Reference '#]),0),AssetMonthlyReturns[[#This Row],[SPY]:[PE]])</f>
        <v>2.7298781588048361E-2</v>
      </c>
      <c r="CV116" s="27">
        <f>IF(ISNUMBER(CV115),CV115*(1+PortfolioFrontier[[#This Row],[P25 Return]]),1+PortfolioFrontier[[#This Row],[P25 Return]])</f>
        <v>2.3062217000958776</v>
      </c>
      <c r="CW116" s="27">
        <f>MAX(CW115,PortfolioFrontier[[#This Row],[P25 Growth]])</f>
        <v>2.3062217000958776</v>
      </c>
      <c r="CX116" s="27">
        <f>PortfolioFrontier[[#This Row],[P25 Growth]]/PortfolioFrontier[[#This Row],[P25 HWM]]-1</f>
        <v>0</v>
      </c>
      <c r="CY116" s="28">
        <f>SUMPRODUCT(INDEX(PortfolioRef[[SPY]:[PE]],MATCH(CY$1,PortfolioRef[Reference '#]),0),AssetMonthlyReturns[[#This Row],[SPY]:[PE]])</f>
        <v>3.7515780520967143E-2</v>
      </c>
      <c r="CZ116" s="27">
        <f>IF(ISNUMBER(CZ115),CZ115*(1+PortfolioFrontier[[#This Row],[P26 Return]]),1+PortfolioFrontier[[#This Row],[P26 Return]])</f>
        <v>2.5142610435499186</v>
      </c>
      <c r="DA116" s="27">
        <f>MAX(DA115,PortfolioFrontier[[#This Row],[P26 Growth]])</f>
        <v>2.5142610435499186</v>
      </c>
      <c r="DB116" s="27">
        <f>PortfolioFrontier[[#This Row],[P26 Growth]]/PortfolioFrontier[[#This Row],[P26 HWM]]-1</f>
        <v>0</v>
      </c>
      <c r="DC116" s="28">
        <f>SUMPRODUCT(INDEX(PortfolioRef[[SPY]:[PE]],MATCH(DC$1,PortfolioRef[Reference '#]),0),AssetMonthlyReturns[[#This Row],[SPY]:[PE]])</f>
        <v>3.8225563034274435E-2</v>
      </c>
      <c r="DD116" s="27">
        <f>IF(ISNUMBER(DD115),DD115*(1+PortfolioFrontier[[#This Row],[P27 Return]]),1+PortfolioFrontier[[#This Row],[P27 Return]])</f>
        <v>2.5039389360369673</v>
      </c>
      <c r="DE116" s="27">
        <f>MAX(DE115,PortfolioFrontier[[#This Row],[P27 Growth]])</f>
        <v>2.5039389360369673</v>
      </c>
      <c r="DF116" s="27">
        <f>PortfolioFrontier[[#This Row],[P27 Growth]]/PortfolioFrontier[[#This Row],[P27 HWM]]-1</f>
        <v>0</v>
      </c>
      <c r="DG116" s="28">
        <f>SUMPRODUCT(INDEX(PortfolioRef[[SPY]:[PE]],MATCH(DG$1,PortfolioRef[Reference '#]),0),AssetMonthlyReturns[[#This Row],[SPY]:[PE]])</f>
        <v>3.119207834587101E-2</v>
      </c>
      <c r="DH116" s="27">
        <f>IF(ISNUMBER(DH115),DH115*(1+PortfolioFrontier[[#This Row],[P28 Return]]),1+PortfolioFrontier[[#This Row],[P28 Return]])</f>
        <v>2.4386546264332445</v>
      </c>
      <c r="DI116" s="27">
        <f>MAX(DI115,PortfolioFrontier[[#This Row],[P28 Growth]])</f>
        <v>2.4386546264332445</v>
      </c>
      <c r="DJ116" s="27">
        <f>PortfolioFrontier[[#This Row],[P28 Growth]]/PortfolioFrontier[[#This Row],[P28 HWM]]-1</f>
        <v>0</v>
      </c>
      <c r="DK116" s="28">
        <f>SUMPRODUCT(INDEX(PortfolioRef[[SPY]:[PE]],MATCH(DK$1,PortfolioRef[Reference '#]),0),AssetMonthlyReturns[[#This Row],[SPY]:[PE]])</f>
        <v>3.1901860859178302E-2</v>
      </c>
      <c r="DL116" s="27">
        <f>IF(ISNUMBER(DL115),DL115*(1+PortfolioFrontier[[#This Row],[P29 Return]]),1+PortfolioFrontier[[#This Row],[P29 Return]])</f>
        <v>2.430231752543583</v>
      </c>
      <c r="DM116" s="27">
        <f>MAX(DM115,PortfolioFrontier[[#This Row],[P29 Growth]])</f>
        <v>2.430231752543583</v>
      </c>
      <c r="DN116" s="27">
        <f>PortfolioFrontier[[#This Row],[P29 Growth]]/PortfolioFrontier[[#This Row],[P29 HWM]]-1</f>
        <v>0</v>
      </c>
      <c r="DO116" s="28">
        <f>SUMPRODUCT(INDEX(PortfolioRef[[SPY]:[PE]],MATCH(DO$1,PortfolioRef[Reference '#]),0),AssetMonthlyReturns[[#This Row],[SPY]:[PE]])</f>
        <v>3.2611643372485601E-2</v>
      </c>
      <c r="DP116" s="27">
        <f>IF(ISNUMBER(DP115),DP115*(1+PortfolioFrontier[[#This Row],[P30 Return]]),1+PortfolioFrontier[[#This Row],[P30 Return]])</f>
        <v>2.4197388371945778</v>
      </c>
      <c r="DQ116" s="27">
        <f>MAX(DQ115,PortfolioFrontier[[#This Row],[P30 Growth]])</f>
        <v>2.4197388371945778</v>
      </c>
      <c r="DR116" s="27">
        <f>PortfolioFrontier[[#This Row],[P30 Growth]]/PortfolioFrontier[[#This Row],[P30 HWM]]-1</f>
        <v>0</v>
      </c>
      <c r="DS116" s="28">
        <f>SUMPRODUCT(INDEX(PortfolioRef[[SPY]:[PE]],MATCH(DS$1,PortfolioRef[Reference '#]),0),AssetMonthlyReturns[[#This Row],[SPY]:[PE]])</f>
        <v>2.4868376170774881E-2</v>
      </c>
      <c r="DT116" s="27">
        <f>IF(ISNUMBER(DT115),DT115*(1+PortfolioFrontier[[#This Row],[P31 Return]]),1+PortfolioFrontier[[#This Row],[P31 Return]])</f>
        <v>2.3629878158153637</v>
      </c>
      <c r="DU116" s="27">
        <f>MAX(DU115,PortfolioFrontier[[#This Row],[P31 Growth]])</f>
        <v>2.3629878158153637</v>
      </c>
      <c r="DV116" s="27">
        <f>PortfolioFrontier[[#This Row],[P31 Growth]]/PortfolioFrontier[[#This Row],[P31 HWM]]-1</f>
        <v>0</v>
      </c>
      <c r="DW116" s="28">
        <f>SUMPRODUCT(INDEX(PortfolioRef[[SPY]:[PE]],MATCH(DW$1,PortfolioRef[Reference '#]),0),AssetMonthlyReturns[[#This Row],[SPY]:[PE]])</f>
        <v>2.5578158684082176E-2</v>
      </c>
      <c r="DX116" s="27">
        <f>IF(ISNUMBER(DX115),DX115*(1+PortfolioFrontier[[#This Row],[P32 Return]]),1+PortfolioFrontier[[#This Row],[P32 Return]])</f>
        <v>2.3563741346345091</v>
      </c>
      <c r="DY116" s="27">
        <f>MAX(DY115,PortfolioFrontier[[#This Row],[P32 Growth]])</f>
        <v>2.3563741346345091</v>
      </c>
      <c r="DZ116" s="27">
        <f>PortfolioFrontier[[#This Row],[P32 Growth]]/PortfolioFrontier[[#This Row],[P32 HWM]]-1</f>
        <v>0</v>
      </c>
      <c r="EA116" s="28">
        <f>SUMPRODUCT(INDEX(PortfolioRef[[SPY]:[PE]],MATCH(EA$1,PortfolioRef[Reference '#]),0),AssetMonthlyReturns[[#This Row],[SPY]:[PE]])</f>
        <v>2.6287941197389468E-2</v>
      </c>
      <c r="EB116" s="27">
        <f>IF(ISNUMBER(EB115),EB115*(1+PortfolioFrontier[[#This Row],[P33 Return]]),1+PortfolioFrontier[[#This Row],[P33 Return]])</f>
        <v>2.3477352898955899</v>
      </c>
      <c r="EC116" s="27">
        <f>MAX(EC115,PortfolioFrontier[[#This Row],[P33 Growth]])</f>
        <v>2.3477352898955899</v>
      </c>
      <c r="ED116" s="27">
        <f>PortfolioFrontier[[#This Row],[P33 Growth]]/PortfolioFrontier[[#This Row],[P33 HWM]]-1</f>
        <v>0</v>
      </c>
      <c r="EE116" s="28">
        <f>SUMPRODUCT(INDEX(PortfolioRef[[SPY]:[PE]],MATCH(EE$1,PortfolioRef[Reference '#]),0),AssetMonthlyReturns[[#This Row],[SPY]:[PE]])</f>
        <v>2.6829391306205885E-2</v>
      </c>
      <c r="EF116" s="27">
        <f>IF(ISNUMBER(EF115),EF115*(1+PortfolioFrontier[[#This Row],[P34 Return]]),1+PortfolioFrontier[[#This Row],[P34 Return]])</f>
        <v>2.1157745063442448</v>
      </c>
      <c r="EG116" s="27">
        <f>MAX(EG115,PortfolioFrontier[[#This Row],[P34 Growth]])</f>
        <v>2.1157745063442448</v>
      </c>
      <c r="EH116" s="27">
        <f>PortfolioFrontier[[#This Row],[P34 Growth]]/PortfolioFrontier[[#This Row],[P34 HWM]]-1</f>
        <v>0</v>
      </c>
      <c r="EI116" s="28">
        <f>SUMPRODUCT(INDEX(PortfolioRef[[SPY]:[PE]],MATCH(EI$1,PortfolioRef[Reference '#]),0),AssetMonthlyReturns[[#This Row],[SPY]:[PE]])</f>
        <v>3.2142253090643128E-2</v>
      </c>
      <c r="EJ116" s="27">
        <f>IF(ISNUMBER(EJ115),EJ115*(1+PortfolioFrontier[[#This Row],[P35 Return]]),1+PortfolioFrontier[[#This Row],[P35 Return]])</f>
        <v>2.2199008559500255</v>
      </c>
      <c r="EK116" s="27">
        <f>MAX(EK115,PortfolioFrontier[[#This Row],[P35 Growth]])</f>
        <v>2.2199008559500255</v>
      </c>
      <c r="EL116" s="27">
        <f>PortfolioFrontier[[#This Row],[P35 Growth]]/PortfolioFrontier[[#This Row],[P35 HWM]]-1</f>
        <v>0</v>
      </c>
      <c r="EM116" s="28">
        <f>SUMPRODUCT(INDEX(PortfolioRef[[SPY]:[PE]],MATCH(EM$1,PortfolioRef[Reference '#]),0),AssetMonthlyReturns[[#This Row],[SPY]:[PE]])</f>
        <v>2.5818550915546992E-2</v>
      </c>
      <c r="EN116" s="27">
        <f>IF(ISNUMBER(EN115),EN115*(1+PortfolioFrontier[[#This Row],[P36 Return]]),1+PortfolioFrontier[[#This Row],[P36 Return]])</f>
        <v>2.1544830892385778</v>
      </c>
      <c r="EO116" s="27">
        <f>MAX(EO115,PortfolioFrontier[[#This Row],[P36 Growth]])</f>
        <v>2.1544830892385778</v>
      </c>
      <c r="EP116" s="27">
        <f>PortfolioFrontier[[#This Row],[P36 Growth]]/PortfolioFrontier[[#This Row],[P36 HWM]]-1</f>
        <v>0</v>
      </c>
      <c r="EQ116" s="28">
        <f>SUMPRODUCT(INDEX(PortfolioRef[[SPY]:[PE]],MATCH(EQ$1,PortfolioRef[Reference '#]),0),AssetMonthlyReturns[[#This Row],[SPY]:[PE]])</f>
        <v>2.652833342885429E-2</v>
      </c>
      <c r="ER116" s="27">
        <f>IF(ISNUMBER(ER115),ER115*(1+PortfolioFrontier[[#This Row],[P37 Return]]),1+PortfolioFrontier[[#This Row],[P37 Return]])</f>
        <v>2.1448167564633427</v>
      </c>
      <c r="ES116" s="27">
        <f>MAX(ES115,PortfolioFrontier[[#This Row],[P37 Growth]])</f>
        <v>2.1448167564633427</v>
      </c>
      <c r="ET116" s="27">
        <f>PortfolioFrontier[[#This Row],[P37 Growth]]/PortfolioFrontier[[#This Row],[P37 HWM]]-1</f>
        <v>0</v>
      </c>
      <c r="EU116" s="28">
        <f>SUMPRODUCT(INDEX(PortfolioRef[[SPY]:[PE]],MATCH(EU$1,PortfolioRef[Reference '#]),0),AssetMonthlyReturns[[#This Row],[SPY]:[PE]])</f>
        <v>3.7455114875080367E-2</v>
      </c>
      <c r="EV116" s="27">
        <f>IF(ISNUMBER(EV115),EV115*(1+PortfolioFrontier[[#This Row],[P38 Return]]),1+PortfolioFrontier[[#This Row],[P38 Return]])</f>
        <v>2.3282563533807363</v>
      </c>
      <c r="EW116" s="27">
        <f>MAX(EW115,PortfolioFrontier[[#This Row],[P38 Growth]])</f>
        <v>2.3282563533807363</v>
      </c>
      <c r="EX116" s="27">
        <f>PortfolioFrontier[[#This Row],[P38 Growth]]/PortfolioFrontier[[#This Row],[P38 HWM]]-1</f>
        <v>0</v>
      </c>
      <c r="EY116" s="28">
        <f>SUMPRODUCT(INDEX(PortfolioRef[[SPY]:[PE]],MATCH(EY$1,PortfolioRef[Reference '#]),0),AssetMonthlyReturns[[#This Row],[SPY]:[PE]])</f>
        <v>3.1131412699984231E-2</v>
      </c>
      <c r="EZ116" s="27">
        <f>IF(ISNUMBER(EZ115),EZ115*(1+PortfolioFrontier[[#This Row],[P39 Return]]),1+PortfolioFrontier[[#This Row],[P39 Return]])</f>
        <v>2.2605137490003893</v>
      </c>
      <c r="FA116" s="27">
        <f>MAX(FA115,PortfolioFrontier[[#This Row],[P39 Growth]])</f>
        <v>2.2605137490003893</v>
      </c>
      <c r="FB116" s="27">
        <f>PortfolioFrontier[[#This Row],[P39 Growth]]/PortfolioFrontier[[#This Row],[P39 HWM]]-1</f>
        <v>0</v>
      </c>
      <c r="FC116" s="28">
        <f>SUMPRODUCT(INDEX(PortfolioRef[[SPY]:[PE]],MATCH(FC$1,PortfolioRef[Reference '#]),0),AssetMonthlyReturns[[#This Row],[SPY]:[PE]])</f>
        <v>3.1841195213291526E-2</v>
      </c>
      <c r="FD116" s="27">
        <f>IF(ISNUMBER(FD115),FD115*(1+PortfolioFrontier[[#This Row],[P40 Return]]),1+PortfolioFrontier[[#This Row],[P40 Return]])</f>
        <v>2.2503785728838692</v>
      </c>
      <c r="FE116" s="27">
        <f>MAX(FE115,PortfolioFrontier[[#This Row],[P40 Growth]])</f>
        <v>2.2503785728838692</v>
      </c>
      <c r="FF116" s="27">
        <f>PortfolioFrontier[[#This Row],[P40 Growth]]/PortfolioFrontier[[#This Row],[P40 HWM]]-1</f>
        <v>0</v>
      </c>
      <c r="FG116" s="28">
        <f>SUMPRODUCT(INDEX(PortfolioRef[[SPY]:[PE]],MATCH(FG$1,PortfolioRef[Reference '#]),0),AssetMonthlyReturns[[#This Row],[SPY]:[PE]])</f>
        <v>2.4807710524888102E-2</v>
      </c>
      <c r="FH116" s="27">
        <f>IF(ISNUMBER(FH115),FH115*(1+PortfolioFrontier[[#This Row],[P41 Return]]),1+PortfolioFrontier[[#This Row],[P41 Return]])</f>
        <v>2.1925850603299133</v>
      </c>
      <c r="FI116" s="27">
        <f>MAX(FI115,PortfolioFrontier[[#This Row],[P41 Growth]])</f>
        <v>2.1925850603299133</v>
      </c>
      <c r="FJ116" s="27">
        <f>PortfolioFrontier[[#This Row],[P41 Growth]]/PortfolioFrontier[[#This Row],[P41 HWM]]-1</f>
        <v>0</v>
      </c>
      <c r="FK116" s="28">
        <f>SUMPRODUCT(INDEX(PortfolioRef[[SPY]:[PE]],MATCH(FK$1,PortfolioRef[Reference '#]),0),AssetMonthlyReturns[[#This Row],[SPY]:[PE]])</f>
        <v>2.5517493038195397E-2</v>
      </c>
      <c r="FL116" s="27">
        <f>IF(ISNUMBER(FL115),FL115*(1+PortfolioFrontier[[#This Row],[P42 Return]]),1+PortfolioFrontier[[#This Row],[P42 Return]])</f>
        <v>2.1841802331313924</v>
      </c>
      <c r="FM116" s="27">
        <f>MAX(FM115,PortfolioFrontier[[#This Row],[P42 Growth]])</f>
        <v>2.1841802331313924</v>
      </c>
      <c r="FN116" s="27">
        <f>PortfolioFrontier[[#This Row],[P42 Growth]]/PortfolioFrontier[[#This Row],[P42 HWM]]-1</f>
        <v>0</v>
      </c>
      <c r="FO116" s="28">
        <f>SUMPRODUCT(INDEX(PortfolioRef[[SPY]:[PE]],MATCH(FO$1,PortfolioRef[Reference '#]),0),AssetMonthlyReturns[[#This Row],[SPY]:[PE]])</f>
        <v>2.6227275551502692E-2</v>
      </c>
      <c r="FP116" s="27">
        <f>IF(ISNUMBER(FP115),FP115*(1+PortfolioFrontier[[#This Row],[P43 Return]]),1+PortfolioFrontier[[#This Row],[P43 Return]])</f>
        <v>2.1739231242257109</v>
      </c>
      <c r="FQ116" s="27">
        <f>MAX(FQ115,PortfolioFrontier[[#This Row],[P43 Growth]])</f>
        <v>2.1739231242257109</v>
      </c>
      <c r="FR116" s="27">
        <f>PortfolioFrontier[[#This Row],[P43 Growth]]/PortfolioFrontier[[#This Row],[P43 HWM]]-1</f>
        <v>0</v>
      </c>
      <c r="FS116" s="28">
        <f>SUMPRODUCT(INDEX(PortfolioRef[[SPY]:[PE]],MATCH(FS$1,PortfolioRef[Reference '#]),0),AssetMonthlyReturns[[#This Row],[SPY]:[PE]])</f>
        <v>3.6444274484421474E-2</v>
      </c>
      <c r="FT116" s="27">
        <f>IF(ISNUMBER(FT115),FT115*(1+PortfolioFrontier[[#This Row],[P44 Return]]),1+PortfolioFrontier[[#This Row],[P44 Return]])</f>
        <v>2.3708512805976087</v>
      </c>
      <c r="FU116" s="27">
        <f>MAX(FU115,PortfolioFrontier[[#This Row],[P44 Growth]])</f>
        <v>2.3708512805976087</v>
      </c>
      <c r="FV116" s="27">
        <f>PortfolioFrontier[[#This Row],[P44 Growth]]/PortfolioFrontier[[#This Row],[P44 HWM]]-1</f>
        <v>0</v>
      </c>
      <c r="FW116" s="28">
        <f>SUMPRODUCT(INDEX(PortfolioRef[[SPY]:[PE]],MATCH(FW$1,PortfolioRef[Reference '#]),0),AssetMonthlyReturns[[#This Row],[SPY]:[PE]])</f>
        <v>3.7154056997728765E-2</v>
      </c>
      <c r="FX116" s="27">
        <f>IF(ISNUMBER(FX115),FX115*(1+PortfolioFrontier[[#This Row],[P45 Return]]),1+PortfolioFrontier[[#This Row],[P45 Return]])</f>
        <v>2.3602285679482482</v>
      </c>
      <c r="FY116" s="27">
        <f>MAX(FY115,PortfolioFrontier[[#This Row],[P45 Growth]])</f>
        <v>2.3602285679482482</v>
      </c>
      <c r="FZ116" s="27">
        <f>PortfolioFrontier[[#This Row],[P45 Growth]]/PortfolioFrontier[[#This Row],[P45 HWM]]-1</f>
        <v>0</v>
      </c>
      <c r="GA116" s="28">
        <f>SUMPRODUCT(INDEX(PortfolioRef[[SPY]:[PE]],MATCH(GA$1,PortfolioRef[Reference '#]),0),AssetMonthlyReturns[[#This Row],[SPY]:[PE]])</f>
        <v>3.0120572309325341E-2</v>
      </c>
      <c r="GB116" s="27">
        <f>IF(ISNUMBER(GB115),GB115*(1+PortfolioFrontier[[#This Row],[P46 Return]]),1+PortfolioFrontier[[#This Row],[P46 Return]])</f>
        <v>2.30049104311568</v>
      </c>
      <c r="GC116" s="27">
        <f>MAX(GC115,PortfolioFrontier[[#This Row],[P46 Growth]])</f>
        <v>2.30049104311568</v>
      </c>
      <c r="GD116" s="27">
        <f>PortfolioFrontier[[#This Row],[P46 Growth]]/PortfolioFrontier[[#This Row],[P46 HWM]]-1</f>
        <v>0</v>
      </c>
      <c r="GE116" s="28">
        <f>SUMPRODUCT(INDEX(PortfolioRef[[SPY]:[PE]],MATCH(GE$1,PortfolioRef[Reference '#]),0),AssetMonthlyReturns[[#This Row],[SPY]:[PE]])</f>
        <v>3.0830354822632636E-2</v>
      </c>
      <c r="GF116" s="27">
        <f>IF(ISNUMBER(GF115),GF115*(1+PortfolioFrontier[[#This Row],[P47 Return]]),1+PortfolioFrontier[[#This Row],[P47 Return]])</f>
        <v>2.2916786608334268</v>
      </c>
      <c r="GG116" s="27">
        <f>MAX(GG115,PortfolioFrontier[[#This Row],[P47 Growth]])</f>
        <v>2.2916786608334268</v>
      </c>
      <c r="GH116" s="27">
        <f>PortfolioFrontier[[#This Row],[P47 Growth]]/PortfolioFrontier[[#This Row],[P47 HWM]]-1</f>
        <v>0</v>
      </c>
      <c r="GI116" s="28">
        <f>SUMPRODUCT(INDEX(PortfolioRef[[SPY]:[PE]],MATCH(GI$1,PortfolioRef[Reference '#]),0),AssetMonthlyReturns[[#This Row],[SPY]:[PE]])</f>
        <v>3.1540137335939931E-2</v>
      </c>
      <c r="GJ116" s="27">
        <f>IF(ISNUMBER(GJ115),GJ115*(1+PortfolioFrontier[[#This Row],[P48 Return]]),1+PortfolioFrontier[[#This Row],[P48 Return]])</f>
        <v>2.2809240337933283</v>
      </c>
      <c r="GK116" s="27">
        <f>MAX(GK115,PortfolioFrontier[[#This Row],[P48 Growth]])</f>
        <v>2.2809240337933283</v>
      </c>
      <c r="GL116" s="27">
        <f>PortfolioFrontier[[#This Row],[P48 Growth]]/PortfolioFrontier[[#This Row],[P48 HWM]]-1</f>
        <v>0</v>
      </c>
      <c r="GM116" s="28">
        <f>SUMPRODUCT(INDEX(PortfolioRef[[SPY]:[PE]],MATCH(GM$1,PortfolioRef[Reference '#]),0),AssetMonthlyReturns[[#This Row],[SPY]:[PE]])</f>
        <v>2.3796870134229212E-2</v>
      </c>
      <c r="GN116" s="27">
        <f>IF(ISNUMBER(GN115),GN115*(1+PortfolioFrontier[[#This Row],[P49 Return]]),1+PortfolioFrontier[[#This Row],[P49 Return]])</f>
        <v>2.2300189460270454</v>
      </c>
      <c r="GO116" s="27">
        <f>MAX(GO115,PortfolioFrontier[[#This Row],[P49 Growth]])</f>
        <v>2.2300189460270454</v>
      </c>
      <c r="GP116" s="27">
        <f>PortfolioFrontier[[#This Row],[P49 Growth]]/PortfolioFrontier[[#This Row],[P49 HWM]]-1</f>
        <v>0</v>
      </c>
      <c r="GQ116" s="28">
        <f>SUMPRODUCT(INDEX(PortfolioRef[[SPY]:[PE]],MATCH(GQ$1,PortfolioRef[Reference '#]),0),AssetMonthlyReturns[[#This Row],[SPY]:[PE]])</f>
        <v>2.4506652647536507E-2</v>
      </c>
      <c r="GR116" s="27">
        <f>IF(ISNUMBER(GR115),GR115*(1+PortfolioFrontier[[#This Row],[P50 Return]]),1+PortfolioFrontier[[#This Row],[P50 Return]])</f>
        <v>2.2229334345407752</v>
      </c>
      <c r="GS116" s="27">
        <f>MAX(GS115,PortfolioFrontier[[#This Row],[P50 Growth]])</f>
        <v>2.2229334345407752</v>
      </c>
      <c r="GT116" s="27">
        <f>PortfolioFrontier[[#This Row],[P50 Growth]]/PortfolioFrontier[[#This Row],[P50 HWM]]-1</f>
        <v>0</v>
      </c>
      <c r="GU116" s="28">
        <f>SUMPRODUCT(INDEX(PortfolioRef[[SPY]:[PE]],MATCH(GU$1,PortfolioRef[Reference '#]),0),AssetMonthlyReturns[[#This Row],[SPY]:[PE]])</f>
        <v>2.5216435160843799E-2</v>
      </c>
      <c r="GV116" s="27">
        <f>IF(ISNUMBER(GV115),GV115*(1+PortfolioFrontier[[#This Row],[P51 Return]]),1+PortfolioFrontier[[#This Row],[P51 Return]])</f>
        <v>2.2139460524917638</v>
      </c>
      <c r="GW116" s="27">
        <f>MAX(GW115,PortfolioFrontier[[#This Row],[P51 Growth]])</f>
        <v>2.2139460524917638</v>
      </c>
      <c r="GX116" s="27">
        <f>PortfolioFrontier[[#This Row],[P51 Growth]]/PortfolioFrontier[[#This Row],[P51 HWM]]-1</f>
        <v>0</v>
      </c>
      <c r="GY116" s="28">
        <f>SUMPRODUCT(INDEX(PortfolioRef[[SPY]:[PE]],MATCH(GY$1,PortfolioRef[Reference '#]),0),AssetMonthlyReturns[[#This Row],[SPY]:[PE]])</f>
        <v>3.5433434093762588E-2</v>
      </c>
      <c r="GZ116" s="27">
        <f>IF(ISNUMBER(GZ115),GZ115*(1+PortfolioFrontier[[#This Row],[P52 Return]]),1+PortfolioFrontier[[#This Row],[P52 Return]])</f>
        <v>2.412780490606647</v>
      </c>
      <c r="HA116" s="27">
        <f>MAX(HA115,PortfolioFrontier[[#This Row],[P52 Growth]])</f>
        <v>2.412780490606647</v>
      </c>
      <c r="HB116" s="27">
        <f>PortfolioFrontier[[#This Row],[P52 Growth]]/PortfolioFrontier[[#This Row],[P52 HWM]]-1</f>
        <v>0</v>
      </c>
      <c r="HC116" s="28">
        <f>SUMPRODUCT(INDEX(PortfolioRef[[SPY]:[PE]],MATCH(HC$1,PortfolioRef[Reference '#]),0),AssetMonthlyReturns[[#This Row],[SPY]:[PE]])</f>
        <v>3.6143216607069872E-2</v>
      </c>
      <c r="HD116" s="27">
        <f>IF(ISNUMBER(HD115),HD115*(1+PortfolioFrontier[[#This Row],[P53 Return]]),1+PortfolioFrontier[[#This Row],[P53 Return]])</f>
        <v>2.4035443199245798</v>
      </c>
      <c r="HE116" s="27">
        <f>MAX(HE115,PortfolioFrontier[[#This Row],[P53 Growth]])</f>
        <v>2.4035443199245798</v>
      </c>
      <c r="HF116" s="27">
        <f>PortfolioFrontier[[#This Row],[P53 Growth]]/PortfolioFrontier[[#This Row],[P53 HWM]]-1</f>
        <v>0</v>
      </c>
      <c r="HG116" s="28">
        <f>SUMPRODUCT(INDEX(PortfolioRef[[SPY]:[PE]],MATCH(HG$1,PortfolioRef[Reference '#]),0),AssetMonthlyReturns[[#This Row],[SPY]:[PE]])</f>
        <v>3.6852999120377171E-2</v>
      </c>
      <c r="HH116" s="27">
        <f>IF(ISNUMBER(HH115),HH115*(1+PortfolioFrontier[[#This Row],[P54 Return]]),1+PortfolioFrontier[[#This Row],[P54 Return]])</f>
        <v>2.3922723302698823</v>
      </c>
      <c r="HI116" s="27">
        <f>MAX(HI115,PortfolioFrontier[[#This Row],[P54 Growth]])</f>
        <v>2.3922723302698823</v>
      </c>
      <c r="HJ116" s="27">
        <f>PortfolioFrontier[[#This Row],[P54 Growth]]/PortfolioFrontier[[#This Row],[P54 HWM]]-1</f>
        <v>0</v>
      </c>
      <c r="HK116" s="28">
        <f>SUMPRODUCT(INDEX(PortfolioRef[[SPY]:[PE]],MATCH(HK$1,PortfolioRef[Reference '#]),0),AssetMonthlyReturns[[#This Row],[SPY]:[PE]])</f>
        <v>2.9109731918666452E-2</v>
      </c>
      <c r="HL116" s="27">
        <f>IF(ISNUMBER(HL115),HL115*(1+PortfolioFrontier[[#This Row],[P55 Return]]),1+PortfolioFrontier[[#This Row],[P55 Return]])</f>
        <v>2.3397682869563607</v>
      </c>
      <c r="HM116" s="27">
        <f>MAX(HM115,PortfolioFrontier[[#This Row],[P55 Growth]])</f>
        <v>2.3397682869563607</v>
      </c>
      <c r="HN116" s="27">
        <f>PortfolioFrontier[[#This Row],[P55 Growth]]/PortfolioFrontier[[#This Row],[P55 HWM]]-1</f>
        <v>0</v>
      </c>
      <c r="HO116" s="28">
        <f>SUMPRODUCT(INDEX(PortfolioRef[[SPY]:[PE]],MATCH(HO$1,PortfolioRef[Reference '#]),0),AssetMonthlyReturns[[#This Row],[SPY]:[PE]])</f>
        <v>2.9819514431973747E-2</v>
      </c>
      <c r="HP116" s="27">
        <f>IF(ISNUMBER(HP115),HP115*(1+PortfolioFrontier[[#This Row],[P56 Return]]),1+PortfolioFrontier[[#This Row],[P56 Return]])</f>
        <v>2.332339316044671</v>
      </c>
      <c r="HQ116" s="27">
        <f>MAX(HQ115,PortfolioFrontier[[#This Row],[P56 Growth]])</f>
        <v>2.332339316044671</v>
      </c>
      <c r="HR116" s="27">
        <f>PortfolioFrontier[[#This Row],[P56 Growth]]/PortfolioFrontier[[#This Row],[P56 HWM]]-1</f>
        <v>0</v>
      </c>
      <c r="HS116" s="28">
        <f>SUMPRODUCT(INDEX(PortfolioRef[[SPY]:[PE]],MATCH(HS$1,PortfolioRef[Reference '#]),0),AssetMonthlyReturns[[#This Row],[SPY]:[PE]])</f>
        <v>3.0529296945281038E-2</v>
      </c>
      <c r="HT116" s="27">
        <f>IF(ISNUMBER(HT115),HT115*(1+PortfolioFrontier[[#This Row],[P57 Return]]),1+PortfolioFrontier[[#This Row],[P57 Return]])</f>
        <v>2.3229161077767708</v>
      </c>
      <c r="HU116" s="27">
        <f>MAX(HU115,PortfolioFrontier[[#This Row],[P57 Growth]])</f>
        <v>2.3229161077767708</v>
      </c>
      <c r="HV116" s="27">
        <f>PortfolioFrontier[[#This Row],[P57 Growth]]/PortfolioFrontier[[#This Row],[P57 HWM]]-1</f>
        <v>0</v>
      </c>
      <c r="HW116" s="28">
        <f>SUMPRODUCT(INDEX(PortfolioRef[[SPY]:[PE]],MATCH(HW$1,PortfolioRef[Reference '#]),0),AssetMonthlyReturns[[#This Row],[SPY]:[PE]])</f>
        <v>2.2786029743570323E-2</v>
      </c>
      <c r="HX116" s="27">
        <f>IF(ISNUMBER(HX115),HX115*(1+PortfolioFrontier[[#This Row],[P58 Return]]),1+PortfolioFrontier[[#This Row],[P58 Return]])</f>
        <v>2.2667229140604697</v>
      </c>
      <c r="HY116" s="27">
        <f>MAX(HY115,PortfolioFrontier[[#This Row],[P58 Growth]])</f>
        <v>2.2667229140604697</v>
      </c>
      <c r="HZ116" s="27">
        <f>PortfolioFrontier[[#This Row],[P58 Growth]]/PortfolioFrontier[[#This Row],[P58 HWM]]-1</f>
        <v>0</v>
      </c>
      <c r="IA116" s="28">
        <f>SUMPRODUCT(INDEX(PortfolioRef[[SPY]:[PE]],MATCH(IA$1,PortfolioRef[Reference '#]),0),AssetMonthlyReturns[[#This Row],[SPY]:[PE]])</f>
        <v>2.3495812256877618E-2</v>
      </c>
      <c r="IB116" s="27">
        <f>IF(ISNUMBER(IB115),IB115*(1+PortfolioFrontier[[#This Row],[P59 Return]]),1+PortfolioFrontier[[#This Row],[P59 Return]])</f>
        <v>2.261013963510961</v>
      </c>
      <c r="IC116" s="27">
        <f>MAX(IC115,PortfolioFrontier[[#This Row],[P59 Growth]])</f>
        <v>2.261013963510961</v>
      </c>
      <c r="ID116" s="27">
        <f>PortfolioFrontier[[#This Row],[P59 Growth]]/PortfolioFrontier[[#This Row],[P59 HWM]]-1</f>
        <v>0</v>
      </c>
      <c r="IE116" s="28">
        <f>SUMPRODUCT(INDEX(PortfolioRef[[SPY]:[PE]],MATCH(IE$1,PortfolioRef[Reference '#]),0),AssetMonthlyReturns[[#This Row],[SPY]:[PE]])</f>
        <v>2.4205594770184909E-2</v>
      </c>
      <c r="IF116" s="27">
        <f>IF(ISNUMBER(IF115),IF115*(1+PortfolioFrontier[[#This Row],[P60 Return]]),1+PortfolioFrontier[[#This Row],[P60 Return]])</f>
        <v>2.2533551516612444</v>
      </c>
      <c r="IG116" s="27">
        <f>MAX(IG115,PortfolioFrontier[[#This Row],[P60 Growth]])</f>
        <v>2.2533551516612444</v>
      </c>
      <c r="IH116" s="27">
        <f>PortfolioFrontier[[#This Row],[P60 Growth]]/PortfolioFrontier[[#This Row],[P60 HWM]]-1</f>
        <v>0</v>
      </c>
      <c r="II116" s="28">
        <f>SUMPRODUCT(INDEX(PortfolioRef[[SPY]:[PE]],MATCH(II$1,PortfolioRef[Reference '#]),0),AssetMonthlyReturns[[#This Row],[SPY]:[PE]])</f>
        <v>2.5757885269660219E-2</v>
      </c>
      <c r="IJ116" s="27">
        <f>IF(ISNUMBER(IJ115),IJ115*(1+PortfolioFrontier[[#This Row],[P61 Return]]),1+PortfolioFrontier[[#This Row],[P61 Return]])</f>
        <v>1.9932838903559356</v>
      </c>
      <c r="IK116" s="27">
        <f>MAX(IK115,PortfolioFrontier[[#This Row],[P61 Growth]])</f>
        <v>1.9932838903559356</v>
      </c>
      <c r="IL116" s="27">
        <f>PortfolioFrontier[[#This Row],[P61 Growth]]/PortfolioFrontier[[#This Row],[P61 HWM]]-1</f>
        <v>0</v>
      </c>
      <c r="IM116" s="28">
        <f>SUMPRODUCT(INDEX(PortfolioRef[[SPY]:[PE]],MATCH(IM$1,PortfolioRef[Reference '#]),0),AssetMonthlyReturns[[#This Row],[SPY]:[PE]])</f>
        <v>3.1070747054097462E-2</v>
      </c>
      <c r="IN116" s="27">
        <f>IF(ISNUMBER(IN115),IN115*(1+PortfolioFrontier[[#This Row],[P62 Return]]),1+PortfolioFrontier[[#This Row],[P62 Return]])</f>
        <v>2.0913789804962488</v>
      </c>
      <c r="IO116" s="27">
        <f>MAX(IO115,PortfolioFrontier[[#This Row],[P62 Growth]])</f>
        <v>2.0913789804962488</v>
      </c>
      <c r="IP116" s="27">
        <f>PortfolioFrontier[[#This Row],[P62 Growth]]/PortfolioFrontier[[#This Row],[P62 HWM]]-1</f>
        <v>0</v>
      </c>
      <c r="IQ116" s="28">
        <f>SUMPRODUCT(INDEX(PortfolioRef[[SPY]:[PE]],MATCH(IQ$1,PortfolioRef[Reference '#]),0),AssetMonthlyReturns[[#This Row],[SPY]:[PE]])</f>
        <v>2.4747044879001326E-2</v>
      </c>
      <c r="IR116" s="27">
        <f>IF(ISNUMBER(IR115),IR115*(1+PortfolioFrontier[[#This Row],[P63 Return]]),1+PortfolioFrontier[[#This Row],[P63 Return]])</f>
        <v>2.0305674191613572</v>
      </c>
      <c r="IS116" s="27">
        <f>MAX(IS115,PortfolioFrontier[[#This Row],[P63 Growth]])</f>
        <v>2.0305674191613572</v>
      </c>
      <c r="IT116" s="27">
        <f>PortfolioFrontier[[#This Row],[P63 Growth]]/PortfolioFrontier[[#This Row],[P63 HWM]]-1</f>
        <v>0</v>
      </c>
      <c r="IU116" s="28">
        <f>SUMPRODUCT(INDEX(PortfolioRef[[SPY]:[PE]],MATCH(IU$1,PortfolioRef[Reference '#]),0),AssetMonthlyReturns[[#This Row],[SPY]:[PE]])</f>
        <v>2.5456827392308624E-2</v>
      </c>
      <c r="IV116" s="27">
        <f>IF(ISNUMBER(IV115),IV115*(1+PortfolioFrontier[[#This Row],[P64 Return]]),1+PortfolioFrontier[[#This Row],[P64 Return]])</f>
        <v>2.0206960030247889</v>
      </c>
      <c r="IW116" s="27">
        <f>MAX(IW115,PortfolioFrontier[[#This Row],[P64 Growth]])</f>
        <v>2.0206960030247889</v>
      </c>
      <c r="IX116" s="27">
        <f>PortfolioFrontier[[#This Row],[P64 Growth]]/PortfolioFrontier[[#This Row],[P64 HWM]]-1</f>
        <v>0</v>
      </c>
      <c r="IY116" s="28">
        <f>SUMPRODUCT(INDEX(PortfolioRef[[SPY]:[PE]],MATCH(IY$1,PortfolioRef[Reference '#]),0),AssetMonthlyReturns[[#This Row],[SPY]:[PE]])</f>
        <v>3.6383608838534705E-2</v>
      </c>
      <c r="IZ116" s="27">
        <f>IF(ISNUMBER(IZ115),IZ115*(1+PortfolioFrontier[[#This Row],[P65 Return]]),1+PortfolioFrontier[[#This Row],[P65 Return]])</f>
        <v>2.1934569678213705</v>
      </c>
      <c r="JA116" s="27">
        <f>MAX(JA115,PortfolioFrontier[[#This Row],[P65 Growth]])</f>
        <v>2.1934569678213705</v>
      </c>
      <c r="JB116" s="27">
        <f>PortfolioFrontier[[#This Row],[P65 Growth]]/PortfolioFrontier[[#This Row],[P65 HWM]]-1</f>
        <v>0</v>
      </c>
      <c r="JC116" s="28">
        <f>SUMPRODUCT(INDEX(PortfolioRef[[SPY]:[PE]],MATCH(JC$1,PortfolioRef[Reference '#]),0),AssetMonthlyReturns[[#This Row],[SPY]:[PE]])</f>
        <v>3.0059906663438565E-2</v>
      </c>
      <c r="JD116" s="27">
        <f>IF(ISNUMBER(JD115),JD115*(1+PortfolioFrontier[[#This Row],[P66 Return]]),1+PortfolioFrontier[[#This Row],[P66 Return]])</f>
        <v>2.130496215488928</v>
      </c>
      <c r="JE116" s="27">
        <f>MAX(JE115,PortfolioFrontier[[#This Row],[P66 Growth]])</f>
        <v>2.130496215488928</v>
      </c>
      <c r="JF116" s="27">
        <f>PortfolioFrontier[[#This Row],[P66 Growth]]/PortfolioFrontier[[#This Row],[P66 HWM]]-1</f>
        <v>0</v>
      </c>
      <c r="JG116" s="28">
        <f>SUMPRODUCT(INDEX(PortfolioRef[[SPY]:[PE]],MATCH(JG$1,PortfolioRef[Reference '#]),0),AssetMonthlyReturns[[#This Row],[SPY]:[PE]])</f>
        <v>3.0769689176745864E-2</v>
      </c>
      <c r="JH116" s="27">
        <f>IF(ISNUMBER(JH115),JH115*(1+PortfolioFrontier[[#This Row],[P67 Return]]),1+PortfolioFrontier[[#This Row],[P67 Return]])</f>
        <v>2.1201459112549252</v>
      </c>
      <c r="JI116" s="27">
        <f>MAX(JI115,PortfolioFrontier[[#This Row],[P67 Growth]])</f>
        <v>2.1201459112549252</v>
      </c>
      <c r="JJ116" s="27">
        <f>PortfolioFrontier[[#This Row],[P67 Growth]]/PortfolioFrontier[[#This Row],[P67 HWM]]-1</f>
        <v>0</v>
      </c>
      <c r="JK116" s="28">
        <f>SUMPRODUCT(INDEX(PortfolioRef[[SPY]:[PE]],MATCH(JK$1,PortfolioRef[Reference '#]),0),AssetMonthlyReturns[[#This Row],[SPY]:[PE]])</f>
        <v>2.3736204488342436E-2</v>
      </c>
      <c r="JL116" s="27">
        <f>IF(ISNUMBER(JL115),JL115*(1+PortfolioFrontier[[#This Row],[P68 Return]]),1+PortfolioFrontier[[#This Row],[P68 Return]])</f>
        <v>2.0673109613743481</v>
      </c>
      <c r="JM116" s="27">
        <f>MAX(JM115,PortfolioFrontier[[#This Row],[P68 Growth]])</f>
        <v>2.0673109613743481</v>
      </c>
      <c r="JN116" s="27">
        <f>PortfolioFrontier[[#This Row],[P68 Growth]]/PortfolioFrontier[[#This Row],[P68 HWM]]-1</f>
        <v>0</v>
      </c>
      <c r="JO116" s="28">
        <f>SUMPRODUCT(INDEX(PortfolioRef[[SPY]:[PE]],MATCH(JO$1,PortfolioRef[Reference '#]),0),AssetMonthlyReturns[[#This Row],[SPY]:[PE]])</f>
        <v>2.4445987001649731E-2</v>
      </c>
      <c r="JP116" s="27">
        <f>IF(ISNUMBER(JP115),JP115*(1+PortfolioFrontier[[#This Row],[P69 Return]]),1+PortfolioFrontier[[#This Row],[P69 Return]])</f>
        <v>2.0586086935469954</v>
      </c>
      <c r="JQ116" s="27">
        <f>MAX(JQ115,PortfolioFrontier[[#This Row],[P69 Growth]])</f>
        <v>2.0586086935469954</v>
      </c>
      <c r="JR116" s="27">
        <f>PortfolioFrontier[[#This Row],[P69 Growth]]/PortfolioFrontier[[#This Row],[P69 HWM]]-1</f>
        <v>0</v>
      </c>
      <c r="JS116" s="28">
        <f>SUMPRODUCT(INDEX(PortfolioRef[[SPY]:[PE]],MATCH(JS$1,PortfolioRef[Reference '#]),0),AssetMonthlyReturns[[#This Row],[SPY]:[PE]])</f>
        <v>2.5155769514957026E-2</v>
      </c>
      <c r="JT116" s="27">
        <f>IF(ISNUMBER(JT115),JT115*(1+PortfolioFrontier[[#This Row],[P70 Return]]),1+PortfolioFrontier[[#This Row],[P70 Return]])</f>
        <v>2.0481698739019358</v>
      </c>
      <c r="JU116" s="27">
        <f>MAX(JU115,PortfolioFrontier[[#This Row],[P70 Growth]])</f>
        <v>2.0481698739019358</v>
      </c>
      <c r="JV116" s="27">
        <f>PortfolioFrontier[[#This Row],[P70 Growth]]/PortfolioFrontier[[#This Row],[P70 HWM]]-1</f>
        <v>0</v>
      </c>
      <c r="JW116" s="28">
        <f>SUMPRODUCT(INDEX(PortfolioRef[[SPY]:[PE]],MATCH(JW$1,PortfolioRef[Reference '#]),0),AssetMonthlyReturns[[#This Row],[SPY]:[PE]])</f>
        <v>3.5372768447875812E-2</v>
      </c>
      <c r="JX116" s="27">
        <f>IF(ISNUMBER(JX115),JX115*(1+PortfolioFrontier[[#This Row],[P71 Return]]),1+PortfolioFrontier[[#This Row],[P71 Return]])</f>
        <v>2.2344827064870141</v>
      </c>
      <c r="JY116" s="27">
        <f>MAX(JY115,PortfolioFrontier[[#This Row],[P71 Growth]])</f>
        <v>2.2344827064870141</v>
      </c>
      <c r="JZ116" s="27">
        <f>PortfolioFrontier[[#This Row],[P71 Growth]]/PortfolioFrontier[[#This Row],[P71 HWM]]-1</f>
        <v>0</v>
      </c>
      <c r="KA116" s="28">
        <f>SUMPRODUCT(INDEX(PortfolioRef[[SPY]:[PE]],MATCH(KA$1,PortfolioRef[Reference '#]),0),AssetMonthlyReturns[[#This Row],[SPY]:[PE]])</f>
        <v>3.6082550961183103E-2</v>
      </c>
      <c r="KB116" s="27">
        <f>IF(ISNUMBER(KB115),KB115*(1+PortfolioFrontier[[#This Row],[P72 Return]]),1+PortfolioFrontier[[#This Row],[P72 Return]])</f>
        <v>2.2236344136615225</v>
      </c>
      <c r="KC116" s="27">
        <f>MAX(KC115,PortfolioFrontier[[#This Row],[P72 Growth]])</f>
        <v>2.2236344136615225</v>
      </c>
      <c r="KD116" s="27">
        <f>PortfolioFrontier[[#This Row],[P72 Growth]]/PortfolioFrontier[[#This Row],[P72 HWM]]-1</f>
        <v>0</v>
      </c>
      <c r="KE116" s="28">
        <f>SUMPRODUCT(INDEX(PortfolioRef[[SPY]:[PE]],MATCH(KE$1,PortfolioRef[Reference '#]),0),AssetMonthlyReturns[[#This Row],[SPY]:[PE]])</f>
        <v>2.9049066272779676E-2</v>
      </c>
      <c r="KF116" s="27">
        <f>IF(ISNUMBER(KF115),KF115*(1+PortfolioFrontier[[#This Row],[P73 Return]]),1+PortfolioFrontier[[#This Row],[P73 Return]])</f>
        <v>2.16904768706305</v>
      </c>
      <c r="KG116" s="27">
        <f>MAX(KG115,PortfolioFrontier[[#This Row],[P73 Growth]])</f>
        <v>2.16904768706305</v>
      </c>
      <c r="KH116" s="27">
        <f>PortfolioFrontier[[#This Row],[P73 Growth]]/PortfolioFrontier[[#This Row],[P73 HWM]]-1</f>
        <v>0</v>
      </c>
      <c r="KI116" s="28">
        <f>SUMPRODUCT(INDEX(PortfolioRef[[SPY]:[PE]],MATCH(KI$1,PortfolioRef[Reference '#]),0),AssetMonthlyReturns[[#This Row],[SPY]:[PE]])</f>
        <v>2.9758848786086971E-2</v>
      </c>
      <c r="KJ116" s="27">
        <f>IF(ISNUMBER(KJ115),KJ115*(1+PortfolioFrontier[[#This Row],[P74 Return]]),1+PortfolioFrontier[[#This Row],[P74 Return]])</f>
        <v>2.1599233321594649</v>
      </c>
      <c r="KK116" s="27">
        <f>MAX(KK115,PortfolioFrontier[[#This Row],[P74 Growth]])</f>
        <v>2.1599233321594649</v>
      </c>
      <c r="KL116" s="27">
        <f>PortfolioFrontier[[#This Row],[P74 Growth]]/PortfolioFrontier[[#This Row],[P74 HWM]]-1</f>
        <v>0</v>
      </c>
      <c r="KM116" s="28">
        <f>SUMPRODUCT(INDEX(PortfolioRef[[SPY]:[PE]],MATCH(KM$1,PortfolioRef[Reference '#]),0),AssetMonthlyReturns[[#This Row],[SPY]:[PE]])</f>
        <v>3.0468631299394266E-2</v>
      </c>
      <c r="KN116" s="27">
        <f>IF(ISNUMBER(KN115),KN115*(1+PortfolioFrontier[[#This Row],[P75 Return]]),1+PortfolioFrontier[[#This Row],[P75 Return]])</f>
        <v>2.1489780816329378</v>
      </c>
      <c r="KO116" s="27">
        <f>MAX(KO115,PortfolioFrontier[[#This Row],[P75 Growth]])</f>
        <v>2.1489780816329378</v>
      </c>
      <c r="KP116" s="27">
        <f>PortfolioFrontier[[#This Row],[P75 Growth]]/PortfolioFrontier[[#This Row],[P75 HWM]]-1</f>
        <v>0</v>
      </c>
      <c r="KQ116" s="28">
        <f>SUMPRODUCT(INDEX(PortfolioRef[[SPY]:[PE]],MATCH(KQ$1,PortfolioRef[Reference '#]),0),AssetMonthlyReturns[[#This Row],[SPY]:[PE]])</f>
        <v>2.2725364097683547E-2</v>
      </c>
      <c r="KR116" s="27">
        <f>IF(ISNUMBER(KR115),KR115*(1+PortfolioFrontier[[#This Row],[P76 Return]]),1+PortfolioFrontier[[#This Row],[P76 Return]])</f>
        <v>2.1034561446589328</v>
      </c>
      <c r="KS116" s="27">
        <f>MAX(KS115,PortfolioFrontier[[#This Row],[P76 Growth]])</f>
        <v>2.1034561446589328</v>
      </c>
      <c r="KT116" s="27">
        <f>PortfolioFrontier[[#This Row],[P76 Growth]]/PortfolioFrontier[[#This Row],[P76 HWM]]-1</f>
        <v>0</v>
      </c>
      <c r="KU116" s="28">
        <f>SUMPRODUCT(INDEX(PortfolioRef[[SPY]:[PE]],MATCH(KU$1,PortfolioRef[Reference '#]),0),AssetMonthlyReturns[[#This Row],[SPY]:[PE]])</f>
        <v>2.3435146610990842E-2</v>
      </c>
      <c r="KV116" s="27">
        <f>IF(ISNUMBER(KV115),KV115*(1+PortfolioFrontier[[#This Row],[P77 Return]]),1+PortfolioFrontier[[#This Row],[P77 Return]])</f>
        <v>2.0959784549616045</v>
      </c>
      <c r="KW116" s="27">
        <f>MAX(KW115,PortfolioFrontier[[#This Row],[P77 Growth]])</f>
        <v>2.0959784549616045</v>
      </c>
      <c r="KX116" s="27">
        <f>PortfolioFrontier[[#This Row],[P77 Growth]]/PortfolioFrontier[[#This Row],[P77 HWM]]-1</f>
        <v>0</v>
      </c>
      <c r="KY116" s="28">
        <f>SUMPRODUCT(INDEX(PortfolioRef[[SPY]:[PE]],MATCH(KY$1,PortfolioRef[Reference '#]),0),AssetMonthlyReturns[[#This Row],[SPY]:[PE]])</f>
        <v>2.4144929124298133E-2</v>
      </c>
      <c r="KZ116" s="27">
        <f>IF(ISNUMBER(KZ115),KZ115*(1+PortfolioFrontier[[#This Row],[P78 Return]]),1+PortfolioFrontier[[#This Row],[P78 Return]])</f>
        <v>2.086716085514059</v>
      </c>
      <c r="LA116" s="27">
        <f>MAX(LA115,PortfolioFrontier[[#This Row],[P78 Growth]])</f>
        <v>2.086716085514059</v>
      </c>
      <c r="LB116" s="27">
        <f>PortfolioFrontier[[#This Row],[P78 Growth]]/PortfolioFrontier[[#This Row],[P78 HWM]]-1</f>
        <v>0</v>
      </c>
      <c r="LC116" s="28">
        <f>SUMPRODUCT(INDEX(PortfolioRef[[SPY]:[PE]],MATCH(LC$1,PortfolioRef[Reference '#]),0),AssetMonthlyReturns[[#This Row],[SPY]:[PE]])</f>
        <v>3.4361928057216926E-2</v>
      </c>
      <c r="LD116" s="27">
        <f>IF(ISNUMBER(LD115),LD115*(1+PortfolioFrontier[[#This Row],[P79 Return]]),1+PortfolioFrontier[[#This Row],[P79 Return]])</f>
        <v>2.2749159014440101</v>
      </c>
      <c r="LE116" s="27">
        <f>MAX(LE115,PortfolioFrontier[[#This Row],[P79 Growth]])</f>
        <v>2.2749159014440101</v>
      </c>
      <c r="LF116" s="27">
        <f>PortfolioFrontier[[#This Row],[P79 Growth]]/PortfolioFrontier[[#This Row],[P79 HWM]]-1</f>
        <v>0</v>
      </c>
      <c r="LG116" s="28">
        <f>SUMPRODUCT(INDEX(PortfolioRef[[SPY]:[PE]],MATCH(LG$1,PortfolioRef[Reference '#]),0),AssetMonthlyReturns[[#This Row],[SPY]:[PE]])</f>
        <v>3.507171057052421E-2</v>
      </c>
      <c r="LH116" s="27">
        <f>IF(ISNUMBER(LH115),LH115*(1+PortfolioFrontier[[#This Row],[P80 Return]]),1+PortfolioFrontier[[#This Row],[P80 Return]])</f>
        <v>2.2653526380230518</v>
      </c>
      <c r="LI116" s="27">
        <f>MAX(LI115,PortfolioFrontier[[#This Row],[P80 Growth]])</f>
        <v>2.2653526380230518</v>
      </c>
      <c r="LJ116" s="27">
        <f>PortfolioFrontier[[#This Row],[P80 Growth]]/PortfolioFrontier[[#This Row],[P80 HWM]]-1</f>
        <v>0</v>
      </c>
      <c r="LK116" s="28">
        <f>SUMPRODUCT(INDEX(PortfolioRef[[SPY]:[PE]],MATCH(LK$1,PortfolioRef[Reference '#]),0),AssetMonthlyReturns[[#This Row],[SPY]:[PE]])</f>
        <v>3.5781493083831509E-2</v>
      </c>
      <c r="LL116" s="27">
        <f>IF(ISNUMBER(LL115),LL115*(1+PortfolioFrontier[[#This Row],[P81 Return]]),1+PortfolioFrontier[[#This Row],[P81 Return]])</f>
        <v>2.2538807503266707</v>
      </c>
      <c r="LM116" s="27">
        <f>MAX(LM115,PortfolioFrontier[[#This Row],[P81 Growth]])</f>
        <v>2.2538807503266707</v>
      </c>
      <c r="LN116" s="27">
        <f>PortfolioFrontier[[#This Row],[P81 Growth]]/PortfolioFrontier[[#This Row],[P81 HWM]]-1</f>
        <v>0</v>
      </c>
      <c r="LO116" s="28">
        <f>SUMPRODUCT(INDEX(PortfolioRef[[SPY]:[PE]],MATCH(LO$1,PortfolioRef[Reference '#]),0),AssetMonthlyReturns[[#This Row],[SPY]:[PE]])</f>
        <v>2.8038225882120786E-2</v>
      </c>
      <c r="LP116" s="27">
        <f>IF(ISNUMBER(LP115),LP115*(1+PortfolioFrontier[[#This Row],[P82 Return]]),1+PortfolioFrontier[[#This Row],[P82 Return]])</f>
        <v>2.2069721961816025</v>
      </c>
      <c r="LQ116" s="27">
        <f>MAX(LQ115,PortfolioFrontier[[#This Row],[P82 Growth]])</f>
        <v>2.2069721961816025</v>
      </c>
      <c r="LR116" s="27">
        <f>PortfolioFrontier[[#This Row],[P82 Growth]]/PortfolioFrontier[[#This Row],[P82 HWM]]-1</f>
        <v>0</v>
      </c>
      <c r="LS116" s="28">
        <f>SUMPRODUCT(INDEX(PortfolioRef[[SPY]:[PE]],MATCH(LS$1,PortfolioRef[Reference '#]),0),AssetMonthlyReturns[[#This Row],[SPY]:[PE]])</f>
        <v>2.8748008395428081E-2</v>
      </c>
      <c r="LT116" s="27">
        <f>IF(ISNUMBER(LT115),LT115*(1+PortfolioFrontier[[#This Row],[P83 Return]]),1+PortfolioFrontier[[#This Row],[P83 Return]])</f>
        <v>2.1991319114243</v>
      </c>
      <c r="LU116" s="27">
        <f>MAX(LU115,PortfolioFrontier[[#This Row],[P83 Growth]])</f>
        <v>2.1991319114243</v>
      </c>
      <c r="LV116" s="27">
        <f>PortfolioFrontier[[#This Row],[P83 Growth]]/PortfolioFrontier[[#This Row],[P83 HWM]]-1</f>
        <v>0</v>
      </c>
      <c r="LW116" s="28">
        <f>SUMPRODUCT(INDEX(PortfolioRef[[SPY]:[PE]],MATCH(LW$1,PortfolioRef[Reference '#]),0),AssetMonthlyReturns[[#This Row],[SPY]:[PE]])</f>
        <v>2.9457790908735373E-2</v>
      </c>
      <c r="LX116" s="27">
        <f>IF(ISNUMBER(LX115),LX115*(1+PortfolioFrontier[[#This Row],[P84 Return]]),1+PortfolioFrontier[[#This Row],[P84 Return]])</f>
        <v>2.1894202709252046</v>
      </c>
      <c r="LY116" s="27">
        <f>MAX(LY115,PortfolioFrontier[[#This Row],[P84 Growth]])</f>
        <v>2.1894202709252046</v>
      </c>
      <c r="LZ116" s="27">
        <f>PortfolioFrontier[[#This Row],[P84 Growth]]/PortfolioFrontier[[#This Row],[P84 HWM]]-1</f>
        <v>0</v>
      </c>
      <c r="MA116" s="28">
        <f>SUMPRODUCT(INDEX(PortfolioRef[[SPY]:[PE]],MATCH(MA$1,PortfolioRef[Reference '#]),0),AssetMonthlyReturns[[#This Row],[SPY]:[PE]])</f>
        <v>2.1714523707024657E-2</v>
      </c>
      <c r="MB116" s="27">
        <f>IF(ISNUMBER(MB115),MB115*(1+PortfolioFrontier[[#This Row],[P85 Return]]),1+PortfolioFrontier[[#This Row],[P85 Return]])</f>
        <v>2.1389441755335414</v>
      </c>
      <c r="MC116" s="27">
        <f>MAX(MC115,PortfolioFrontier[[#This Row],[P85 Growth]])</f>
        <v>2.1389441755335414</v>
      </c>
      <c r="MD116" s="27">
        <f>PortfolioFrontier[[#This Row],[P85 Growth]]/PortfolioFrontier[[#This Row],[P85 HWM]]-1</f>
        <v>0</v>
      </c>
      <c r="ME116" s="28">
        <f>SUMPRODUCT(INDEX(PortfolioRef[[SPY]:[PE]],MATCH(ME$1,PortfolioRef[Reference '#]),0),AssetMonthlyReturns[[#This Row],[SPY]:[PE]])</f>
        <v>2.2424306220331952E-2</v>
      </c>
      <c r="MF116" s="27">
        <f>IF(ISNUMBER(MF115),MF115*(1+PortfolioFrontier[[#This Row],[P86 Return]]),1+PortfolioFrontier[[#This Row],[P86 Return]])</f>
        <v>2.1327460421691722</v>
      </c>
      <c r="MG116" s="27">
        <f>MAX(MG115,PortfolioFrontier[[#This Row],[P86 Growth]])</f>
        <v>2.1327460421691722</v>
      </c>
      <c r="MH116" s="27">
        <f>PortfolioFrontier[[#This Row],[P86 Growth]]/PortfolioFrontier[[#This Row],[P86 HWM]]-1</f>
        <v>0</v>
      </c>
      <c r="MI116" s="28">
        <f>SUMPRODUCT(INDEX(PortfolioRef[[SPY]:[PE]],MATCH(MI$1,PortfolioRef[Reference '#]),0),AssetMonthlyReturns[[#This Row],[SPY]:[PE]])</f>
        <v>2.3134088733639244E-2</v>
      </c>
      <c r="MJ116" s="27">
        <f>IF(ISNUMBER(MJ115),MJ115*(1+PortfolioFrontier[[#This Row],[P87 Return]]),1+PortfolioFrontier[[#This Row],[P87 Return]])</f>
        <v>2.1247165324645505</v>
      </c>
      <c r="MK116" s="27">
        <f>MAX(MK115,PortfolioFrontier[[#This Row],[P87 Growth]])</f>
        <v>2.1247165324645505</v>
      </c>
      <c r="ML116" s="27">
        <f>PortfolioFrontier[[#This Row],[P87 Growth]]/PortfolioFrontier[[#This Row],[P87 HWM]]-1</f>
        <v>0</v>
      </c>
      <c r="MM116" s="28">
        <f>SUMPRODUCT(INDEX(PortfolioRef[[SPY]:[PE]],MATCH(MM$1,PortfolioRef[Reference '#]),0),AssetMonthlyReturns[[#This Row],[SPY]:[PE]])</f>
        <v>3.3351087666558032E-2</v>
      </c>
      <c r="MN116" s="27">
        <f>IF(ISNUMBER(MN115),MN115*(1+PortfolioFrontier[[#This Row],[P88 Return]]),1+PortfolioFrontier[[#This Row],[P88 Return]])</f>
        <v>2.314692413613137</v>
      </c>
      <c r="MO116" s="27">
        <f>MAX(MO115,PortfolioFrontier[[#This Row],[P88 Growth]])</f>
        <v>2.314692413613137</v>
      </c>
      <c r="MP116" s="27">
        <f>PortfolioFrontier[[#This Row],[P88 Growth]]/PortfolioFrontier[[#This Row],[P88 HWM]]-1</f>
        <v>0</v>
      </c>
      <c r="MQ116" s="28">
        <f>SUMPRODUCT(INDEX(PortfolioRef[[SPY]:[PE]],MATCH(MQ$1,PortfolioRef[Reference '#]),0),AssetMonthlyReturns[[#This Row],[SPY]:[PE]])</f>
        <v>3.4060870179865324E-2</v>
      </c>
      <c r="MR116" s="27">
        <f>IF(ISNUMBER(MR115),MR115*(1+PortfolioFrontier[[#This Row],[P89 Return]]),1+PortfolioFrontier[[#This Row],[P89 Return]])</f>
        <v>2.3064750996682362</v>
      </c>
      <c r="MS116" s="27">
        <f>MAX(MS115,PortfolioFrontier[[#This Row],[P89 Growth]])</f>
        <v>2.3064750996682362</v>
      </c>
      <c r="MT116" s="27">
        <f>PortfolioFrontier[[#This Row],[P89 Growth]]/PortfolioFrontier[[#This Row],[P89 HWM]]-1</f>
        <v>0</v>
      </c>
      <c r="MU116" s="28">
        <f>SUMPRODUCT(INDEX(PortfolioRef[[SPY]:[PE]],MATCH(MU$1,PortfolioRef[Reference '#]),0),AssetMonthlyReturns[[#This Row],[SPY]:[PE]])</f>
        <v>3.4770652693172616E-2</v>
      </c>
      <c r="MV116" s="27">
        <f>IF(ISNUMBER(MV115),MV115*(1+PortfolioFrontier[[#This Row],[P90 Return]]),1+PortfolioFrontier[[#This Row],[P90 Return]])</f>
        <v>2.296296275623293</v>
      </c>
      <c r="MW116" s="27">
        <f>MAX(MW115,PortfolioFrontier[[#This Row],[P90 Growth]])</f>
        <v>2.296296275623293</v>
      </c>
      <c r="MX116" s="27">
        <f>PortfolioFrontier[[#This Row],[P90 Growth]]/PortfolioFrontier[[#This Row],[P90 HWM]]-1</f>
        <v>0</v>
      </c>
      <c r="MY116" s="28">
        <f>SUMPRODUCT(INDEX(PortfolioRef[[SPY]:[PE]],MATCH(MY$1,PortfolioRef[Reference '#]),0),AssetMonthlyReturns[[#This Row],[SPY]:[PE]])</f>
        <v>2.7027385491461896E-2</v>
      </c>
      <c r="MZ116" s="27">
        <f>IF(ISNUMBER(MZ115),MZ115*(1+PortfolioFrontier[[#This Row],[P91 Return]]),1+PortfolioFrontier[[#This Row],[P91 Return]])</f>
        <v>2.2442081008559942</v>
      </c>
      <c r="NA116" s="27">
        <f>MAX(NA115,PortfolioFrontier[[#This Row],[P91 Growth]])</f>
        <v>2.2442081008559942</v>
      </c>
      <c r="NB116" s="27">
        <f>PortfolioFrontier[[#This Row],[P91 Growth]]/PortfolioFrontier[[#This Row],[P91 HWM]]-1</f>
        <v>0</v>
      </c>
      <c r="NC116" s="28">
        <f>SUMPRODUCT(INDEX(PortfolioRef[[SPY]:[PE]],MATCH(NC$1,PortfolioRef[Reference '#]),0),AssetMonthlyReturns[[#This Row],[SPY]:[PE]])</f>
        <v>2.7737168004769192E-2</v>
      </c>
      <c r="ND116" s="27">
        <f>IF(ISNUMBER(ND115),ND115*(1+PortfolioFrontier[[#This Row],[P92 Return]]),1+PortfolioFrontier[[#This Row],[P92 Return]])</f>
        <v>2.2377095349746052</v>
      </c>
      <c r="NE116" s="27">
        <f>MAX(NE115,PortfolioFrontier[[#This Row],[P92 Growth]])</f>
        <v>2.2377095349746052</v>
      </c>
      <c r="NF116" s="27">
        <f>PortfolioFrontier[[#This Row],[P92 Growth]]/PortfolioFrontier[[#This Row],[P92 HWM]]-1</f>
        <v>0</v>
      </c>
      <c r="NG116" s="28">
        <f>SUMPRODUCT(INDEX(PortfolioRef[[SPY]:[PE]],MATCH(NG$1,PortfolioRef[Reference '#]),0),AssetMonthlyReturns[[#This Row],[SPY]:[PE]])</f>
        <v>2.8446950518076483E-2</v>
      </c>
      <c r="NH116" s="27">
        <f>IF(ISNUMBER(NH115),NH115*(1+PortfolioFrontier[[#This Row],[P93 Return]]),1+PortfolioFrontier[[#This Row],[P93 Return]])</f>
        <v>2.2292906525420251</v>
      </c>
      <c r="NI116" s="27">
        <f>MAX(NI115,PortfolioFrontier[[#This Row],[P93 Growth]])</f>
        <v>2.2292906525420251</v>
      </c>
      <c r="NJ116" s="27">
        <f>PortfolioFrontier[[#This Row],[P93 Growth]]/PortfolioFrontier[[#This Row],[P93 HWM]]-1</f>
        <v>0</v>
      </c>
      <c r="NK116" s="28">
        <f>SUMPRODUCT(INDEX(PortfolioRef[[SPY]:[PE]],MATCH(NK$1,PortfolioRef[Reference '#]),0),AssetMonthlyReturns[[#This Row],[SPY]:[PE]])</f>
        <v>2.0703683316365767E-2</v>
      </c>
      <c r="NL116" s="27">
        <f>IF(ISNUMBER(NL115),NL115*(1+PortfolioFrontier[[#This Row],[P94 Return]]),1+PortfolioFrontier[[#This Row],[P94 Return]])</f>
        <v>2.17371595873123</v>
      </c>
      <c r="NM116" s="27">
        <f>MAX(NM115,PortfolioFrontier[[#This Row],[P94 Growth]])</f>
        <v>2.17371595873123</v>
      </c>
      <c r="NN116" s="27">
        <f>PortfolioFrontier[[#This Row],[P94 Growth]]/PortfolioFrontier[[#This Row],[P94 HWM]]-1</f>
        <v>0</v>
      </c>
      <c r="NO116" s="28">
        <f>SUMPRODUCT(INDEX(PortfolioRef[[SPY]:[PE]],MATCH(NO$1,PortfolioRef[Reference '#]),0),AssetMonthlyReturns[[#This Row],[SPY]:[PE]])</f>
        <v>2.1413465829673062E-2</v>
      </c>
      <c r="NP116" s="27">
        <f>IF(ISNUMBER(NP115),NP115*(1+PortfolioFrontier[[#This Row],[P95 Return]]),1+PortfolioFrontier[[#This Row],[P95 Return]])</f>
        <v>2.1688517709485922</v>
      </c>
      <c r="NQ116" s="27">
        <f>MAX(NQ115,PortfolioFrontier[[#This Row],[P95 Growth]])</f>
        <v>2.1688517709485922</v>
      </c>
      <c r="NR116" s="27">
        <f>PortfolioFrontier[[#This Row],[P95 Growth]]/PortfolioFrontier[[#This Row],[P95 HWM]]-1</f>
        <v>0</v>
      </c>
      <c r="NS116" s="28">
        <f>SUMPRODUCT(INDEX(PortfolioRef[[SPY]:[PE]],MATCH(NS$1,PortfolioRef[Reference '#]),0),AssetMonthlyReturns[[#This Row],[SPY]:[PE]])</f>
        <v>2.2123248342980354E-2</v>
      </c>
      <c r="NT116" s="27">
        <f>IF(ISNUMBER(NT115),NT115*(1+PortfolioFrontier[[#This Row],[P96 Return]]),1+PortfolioFrontier[[#This Row],[P96 Return]])</f>
        <v>2.1621110931594001</v>
      </c>
      <c r="NU116" s="27">
        <f>MAX(NU115,PortfolioFrontier[[#This Row],[P96 Growth]])</f>
        <v>2.1621110931594001</v>
      </c>
      <c r="NV116" s="27">
        <f>PortfolioFrontier[[#This Row],[P96 Growth]]/PortfolioFrontier[[#This Row],[P96 HWM]]-1</f>
        <v>0</v>
      </c>
      <c r="NW116" s="28">
        <f>SUMPRODUCT(INDEX(PortfolioRef[[SPY]:[PE]],MATCH(NW$1,PortfolioRef[Reference '#]),0),AssetMonthlyReturns[[#This Row],[SPY]:[PE]])</f>
        <v>2.4686379233114553E-2</v>
      </c>
      <c r="NX116" s="27">
        <f>IF(ISNUMBER(NX115),NX115*(1+PortfolioFrontier[[#This Row],[P97 Return]]),1+PortfolioFrontier[[#This Row],[P97 Return]])</f>
        <v>1.8769274539433485</v>
      </c>
      <c r="NY116" s="27">
        <f>MAX(NY115,PortfolioFrontier[[#This Row],[P97 Growth]])</f>
        <v>1.8769274539433485</v>
      </c>
      <c r="NZ116" s="27">
        <f>PortfolioFrontier[[#This Row],[P97 Growth]]/PortfolioFrontier[[#This Row],[P97 HWM]]-1</f>
        <v>0</v>
      </c>
      <c r="OA116" s="28">
        <f>SUMPRODUCT(INDEX(PortfolioRef[[SPY]:[PE]],MATCH(OA$1,PortfolioRef[Reference '#]),0),AssetMonthlyReturns[[#This Row],[SPY]:[PE]])</f>
        <v>2.9999241017551793E-2</v>
      </c>
      <c r="OB116" s="27">
        <f>IF(ISNUMBER(OB115),OB115*(1+PortfolioFrontier[[#This Row],[P98 Return]]),1+PortfolioFrontier[[#This Row],[P98 Return]])</f>
        <v>1.9692943057934089</v>
      </c>
      <c r="OC116" s="27">
        <f>MAX(OC115,PortfolioFrontier[[#This Row],[P98 Growth]])</f>
        <v>1.9692943057934089</v>
      </c>
      <c r="OD116" s="27">
        <f>PortfolioFrontier[[#This Row],[P98 Growth]]/PortfolioFrontier[[#This Row],[P98 HWM]]-1</f>
        <v>0</v>
      </c>
      <c r="OE116" s="28">
        <f>SUMPRODUCT(INDEX(PortfolioRef[[SPY]:[PE]],MATCH(OE$1,PortfolioRef[Reference '#]),0),AssetMonthlyReturns[[#This Row],[SPY]:[PE]])</f>
        <v>2.367553884245566E-2</v>
      </c>
      <c r="OF116" s="27">
        <f>IF(ISNUMBER(OF115),OF115*(1+PortfolioFrontier[[#This Row],[P99 Return]]),1+PortfolioFrontier[[#This Row],[P99 Return]])</f>
        <v>1.9128022352960536</v>
      </c>
      <c r="OG116" s="27">
        <f>MAX(OG115,PortfolioFrontier[[#This Row],[P99 Growth]])</f>
        <v>1.9128022352960536</v>
      </c>
      <c r="OH116" s="27">
        <f>PortfolioFrontier[[#This Row],[P99 Growth]]/PortfolioFrontier[[#This Row],[P99 HWM]]-1</f>
        <v>0</v>
      </c>
      <c r="OI116" s="28">
        <f>SUMPRODUCT(INDEX(PortfolioRef[[SPY]:[PE]],MATCH(OI$1,PortfolioRef[Reference '#]),0),AssetMonthlyReturns[[#This Row],[SPY]:[PE]])</f>
        <v>2.4385321355762959E-2</v>
      </c>
      <c r="OJ116" s="27">
        <f>IF(ISNUMBER(OJ115),OJ115*(1+PortfolioFrontier[[#This Row],[P100 Return]]),1+PortfolioFrontier[[#This Row],[P100 Return]])</f>
        <v>1.902787721855375</v>
      </c>
      <c r="OK116" s="27">
        <f>MAX(OK115,PortfolioFrontier[[#This Row],[P100 Growth]])</f>
        <v>1.902787721855375</v>
      </c>
      <c r="OL116" s="27">
        <f>PortfolioFrontier[[#This Row],[P100 Growth]]/PortfolioFrontier[[#This Row],[P100 HWM]]-1</f>
        <v>0</v>
      </c>
      <c r="OM116" s="28">
        <f>SUMPRODUCT(INDEX(PortfolioRef[[SPY]:[PE]],MATCH(OM$1,PortfolioRef[Reference '#]),0),AssetMonthlyReturns[[#This Row],[SPY]:[PE]])</f>
        <v>3.5312102801989036E-2</v>
      </c>
      <c r="ON116" s="27">
        <f>IF(ISNUMBER(ON115),ON115*(1+PortfolioFrontier[[#This Row],[P101 Return]]),1+PortfolioFrontier[[#This Row],[P101 Return]])</f>
        <v>2.0654102870342612</v>
      </c>
      <c r="OO116" s="27">
        <f>MAX(OO115,PortfolioFrontier[[#This Row],[P101 Growth]])</f>
        <v>2.0654102870342612</v>
      </c>
      <c r="OP116" s="27">
        <f>PortfolioFrontier[[#This Row],[P101 Growth]]/PortfolioFrontier[[#This Row],[P101 HWM]]-1</f>
        <v>0</v>
      </c>
      <c r="OQ116" s="28">
        <f>SUMPRODUCT(INDEX(PortfolioRef[[SPY]:[PE]],MATCH(OQ$1,PortfolioRef[Reference '#]),0),AssetMonthlyReturns[[#This Row],[SPY]:[PE]])</f>
        <v>2.89884006268929E-2</v>
      </c>
      <c r="OR116" s="27">
        <f>IF(ISNUMBER(OR115),OR115*(1+PortfolioFrontier[[#This Row],[P102 Return]]),1+PortfolioFrontier[[#This Row],[P102 Return]])</f>
        <v>2.0069330649101609</v>
      </c>
      <c r="OS116" s="27">
        <f>MAX(OS115,PortfolioFrontier[[#This Row],[P102 Growth]])</f>
        <v>2.0069330649101609</v>
      </c>
      <c r="OT116" s="27">
        <f>PortfolioFrontier[[#This Row],[P102 Growth]]/PortfolioFrontier[[#This Row],[P102 HWM]]-1</f>
        <v>0</v>
      </c>
      <c r="OU116" s="28">
        <f>SUMPRODUCT(INDEX(PortfolioRef[[SPY]:[PE]],MATCH(OU$1,PortfolioRef[Reference '#]),0),AssetMonthlyReturns[[#This Row],[SPY]:[PE]])</f>
        <v>2.9698183140200198E-2</v>
      </c>
      <c r="OV116" s="27">
        <f>IF(ISNUMBER(OV115),OV115*(1+PortfolioFrontier[[#This Row],[P103 Return]]),1+PortfolioFrontier[[#This Row],[P103 Return]])</f>
        <v>1.9964326345039107</v>
      </c>
      <c r="OW116" s="27">
        <f>MAX(OW115,PortfolioFrontier[[#This Row],[P103 Growth]])</f>
        <v>1.9964326345039107</v>
      </c>
      <c r="OX116" s="27">
        <f>PortfolioFrontier[[#This Row],[P103 Growth]]/PortfolioFrontier[[#This Row],[P103 HWM]]-1</f>
        <v>0</v>
      </c>
      <c r="OY116" s="28">
        <f>SUMPRODUCT(INDEX(PortfolioRef[[SPY]:[PE]],MATCH(OY$1,PortfolioRef[Reference '#]),0),AssetMonthlyReturns[[#This Row],[SPY]:[PE]])</f>
        <v>2.2664698451796771E-2</v>
      </c>
      <c r="OZ116" s="27">
        <f>IF(ISNUMBER(OZ115),OZ115*(1+PortfolioFrontier[[#This Row],[P104 Return]]),1+PortfolioFrontier[[#This Row],[P104 Return]])</f>
        <v>1.9481987147987714</v>
      </c>
      <c r="PA116" s="27">
        <f>MAX(PA115,PortfolioFrontier[[#This Row],[P104 Growth]])</f>
        <v>1.9481987147987714</v>
      </c>
      <c r="PB116" s="27">
        <f>PortfolioFrontier[[#This Row],[P104 Growth]]/PortfolioFrontier[[#This Row],[P104 HWM]]-1</f>
        <v>0</v>
      </c>
      <c r="PC116" s="28">
        <f>SUMPRODUCT(INDEX(PortfolioRef[[SPY]:[PE]],MATCH(PC$1,PortfolioRef[Reference '#]),0),AssetMonthlyReturns[[#This Row],[SPY]:[PE]])</f>
        <v>2.3374480965104066E-2</v>
      </c>
      <c r="PD116" s="27">
        <f>IF(ISNUMBER(PD115),PD115*(1+PortfolioFrontier[[#This Row],[P105 Return]]),1+PortfolioFrontier[[#This Row],[P105 Return]])</f>
        <v>1.9392664413925984</v>
      </c>
      <c r="PE116" s="27">
        <f>MAX(PE115,PortfolioFrontier[[#This Row],[P105 Growth]])</f>
        <v>1.9392664413925984</v>
      </c>
      <c r="PF116" s="27">
        <f>PortfolioFrontier[[#This Row],[P105 Growth]]/PortfolioFrontier[[#This Row],[P105 HWM]]-1</f>
        <v>0</v>
      </c>
      <c r="PG116" s="28">
        <f>SUMPRODUCT(INDEX(PortfolioRef[[SPY]:[PE]],MATCH(PG$1,PortfolioRef[Reference '#]),0),AssetMonthlyReturns[[#This Row],[SPY]:[PE]])</f>
        <v>2.4084263478411361E-2</v>
      </c>
      <c r="PH116" s="27">
        <f>IF(ISNUMBER(PH115),PH115*(1+PortfolioFrontier[[#This Row],[P106 Return]]),1+PortfolioFrontier[[#This Row],[P106 Return]])</f>
        <v>1.9287074117237428</v>
      </c>
      <c r="PI116" s="27">
        <f>MAX(PI115,PortfolioFrontier[[#This Row],[P106 Growth]])</f>
        <v>1.9287074117237428</v>
      </c>
      <c r="PJ116" s="27">
        <f>PortfolioFrontier[[#This Row],[P106 Growth]]/PortfolioFrontier[[#This Row],[P106 HWM]]-1</f>
        <v>0</v>
      </c>
      <c r="PK116" s="28">
        <f>SUMPRODUCT(INDEX(PortfolioRef[[SPY]:[PE]],MATCH(PK$1,PortfolioRef[Reference '#]),0),AssetMonthlyReturns[[#This Row],[SPY]:[PE]])</f>
        <v>3.4301262411330143E-2</v>
      </c>
      <c r="PL116" s="27">
        <f>IF(ISNUMBER(PL115),PL115*(1+PortfolioFrontier[[#This Row],[P107 Return]]),1+PortfolioFrontier[[#This Row],[P107 Return]])</f>
        <v>2.1048849355760111</v>
      </c>
      <c r="PM116" s="27">
        <f>MAX(PM115,PortfolioFrontier[[#This Row],[P107 Growth]])</f>
        <v>2.1048849355760111</v>
      </c>
      <c r="PN116" s="27">
        <f>PortfolioFrontier[[#This Row],[P107 Growth]]/PortfolioFrontier[[#This Row],[P107 HWM]]-1</f>
        <v>0</v>
      </c>
      <c r="PO116" s="28">
        <f>SUMPRODUCT(INDEX(PortfolioRef[[SPY]:[PE]],MATCH(PO$1,PortfolioRef[Reference '#]),0),AssetMonthlyReturns[[#This Row],[SPY]:[PE]])</f>
        <v>3.5011044924637434E-2</v>
      </c>
      <c r="PP116" s="27">
        <f>IF(ISNUMBER(PP115),PP115*(1+PortfolioFrontier[[#This Row],[P108 Return]]),1+PortfolioFrontier[[#This Row],[P108 Return]])</f>
        <v>2.0938792021337762</v>
      </c>
      <c r="PQ116" s="27">
        <f>MAX(PQ115,PortfolioFrontier[[#This Row],[P108 Growth]])</f>
        <v>2.0938792021337762</v>
      </c>
      <c r="PR116" s="27">
        <f>PortfolioFrontier[[#This Row],[P108 Growth]]/PortfolioFrontier[[#This Row],[P108 HWM]]-1</f>
        <v>0</v>
      </c>
      <c r="PS116" s="28">
        <f>SUMPRODUCT(INDEX(PortfolioRef[[SPY]:[PE]],MATCH(PS$1,PortfolioRef[Reference '#]),0),AssetMonthlyReturns[[#This Row],[SPY]:[PE]])</f>
        <v>2.797756023623401E-2</v>
      </c>
      <c r="PT116" s="27">
        <f>IF(ISNUMBER(PT115),PT115*(1+PortfolioFrontier[[#This Row],[P109 Return]]),1+PortfolioFrontier[[#This Row],[P109 Return]])</f>
        <v>2.0440707164271084</v>
      </c>
      <c r="PU116" s="27">
        <f>MAX(PU115,PortfolioFrontier[[#This Row],[P109 Growth]])</f>
        <v>2.0440707164271084</v>
      </c>
      <c r="PV116" s="27">
        <f>PortfolioFrontier[[#This Row],[P109 Growth]]/PortfolioFrontier[[#This Row],[P109 HWM]]-1</f>
        <v>0</v>
      </c>
      <c r="PW116" s="28">
        <f>SUMPRODUCT(INDEX(PortfolioRef[[SPY]:[PE]],MATCH(PW$1,PortfolioRef[Reference '#]),0),AssetMonthlyReturns[[#This Row],[SPY]:[PE]])</f>
        <v>2.8687342749541305E-2</v>
      </c>
      <c r="PX116" s="27">
        <f>IF(ISNUMBER(PX115),PX115*(1+PortfolioFrontier[[#This Row],[P110 Return]]),1+PortfolioFrontier[[#This Row],[P110 Return]])</f>
        <v>2.0347051053080998</v>
      </c>
      <c r="PY116" s="27">
        <f>MAX(PY115,PortfolioFrontier[[#This Row],[P110 Growth]])</f>
        <v>2.0347051053080998</v>
      </c>
      <c r="PZ116" s="27">
        <f>PortfolioFrontier[[#This Row],[P110 Growth]]/PortfolioFrontier[[#This Row],[P110 HWM]]-1</f>
        <v>0</v>
      </c>
      <c r="QA116" s="28">
        <f>SUMPRODUCT(INDEX(PortfolioRef[[SPY]:[PE]],MATCH(QA$1,PortfolioRef[Reference '#]),0),AssetMonthlyReturns[[#This Row],[SPY]:[PE]])</f>
        <v>2.93971252628486E-2</v>
      </c>
      <c r="QB116" s="27">
        <f>IF(ISNUMBER(QB115),QB115*(1+PortfolioFrontier[[#This Row],[P111 Return]]),1+PortfolioFrontier[[#This Row],[P111 Return]])</f>
        <v>2.0236337244434677</v>
      </c>
      <c r="QC116" s="27">
        <f>MAX(QC115,PortfolioFrontier[[#This Row],[P111 Growth]])</f>
        <v>2.0236337244434677</v>
      </c>
      <c r="QD116" s="27">
        <f>PortfolioFrontier[[#This Row],[P111 Growth]]/PortfolioFrontier[[#This Row],[P111 HWM]]-1</f>
        <v>0</v>
      </c>
      <c r="QE116" s="28">
        <f>SUMPRODUCT(INDEX(PortfolioRef[[SPY]:[PE]],MATCH(QE$1,PortfolioRef[Reference '#]),0),AssetMonthlyReturns[[#This Row],[SPY]:[PE]])</f>
        <v>2.1653858061137881E-2</v>
      </c>
      <c r="QF116" s="27">
        <f>IF(ISNUMBER(QF115),QF115*(1+PortfolioFrontier[[#This Row],[P112 Return]]),1+PortfolioFrontier[[#This Row],[P112 Return]])</f>
        <v>1.983061527438102</v>
      </c>
      <c r="QG116" s="27">
        <f>MAX(QG115,PortfolioFrontier[[#This Row],[P112 Growth]])</f>
        <v>1.983061527438102</v>
      </c>
      <c r="QH116" s="27">
        <f>PortfolioFrontier[[#This Row],[P112 Growth]]/PortfolioFrontier[[#This Row],[P112 HWM]]-1</f>
        <v>0</v>
      </c>
      <c r="QI116" s="28">
        <f>SUMPRODUCT(INDEX(PortfolioRef[[SPY]:[PE]],MATCH(QI$1,PortfolioRef[Reference '#]),0),AssetMonthlyReturns[[#This Row],[SPY]:[PE]])</f>
        <v>2.2363640574445176E-2</v>
      </c>
      <c r="QJ116" s="27">
        <f>IF(ISNUMBER(QJ115),QJ115*(1+PortfolioFrontier[[#This Row],[P113 Return]]),1+PortfolioFrontier[[#This Row],[P113 Return]])</f>
        <v>1.9752645758560068</v>
      </c>
      <c r="QK116" s="27">
        <f>MAX(QK115,PortfolioFrontier[[#This Row],[P113 Growth]])</f>
        <v>1.9752645758560068</v>
      </c>
      <c r="QL116" s="27">
        <f>PortfolioFrontier[[#This Row],[P113 Growth]]/PortfolioFrontier[[#This Row],[P113 HWM]]-1</f>
        <v>0</v>
      </c>
      <c r="QM116" s="28">
        <f>SUMPRODUCT(INDEX(PortfolioRef[[SPY]:[PE]],MATCH(QM$1,PortfolioRef[Reference '#]),0),AssetMonthlyReturns[[#This Row],[SPY]:[PE]])</f>
        <v>2.3073423087752468E-2</v>
      </c>
      <c r="QN116" s="27">
        <f>IF(ISNUMBER(QN115),QN115*(1+PortfolioFrontier[[#This Row],[P114 Return]]),1+PortfolioFrontier[[#This Row],[P114 Return]])</f>
        <v>1.9657942368371832</v>
      </c>
      <c r="QO116" s="27">
        <f>MAX(QO115,PortfolioFrontier[[#This Row],[P114 Growth]])</f>
        <v>1.9657942368371832</v>
      </c>
      <c r="QP116" s="27">
        <f>PortfolioFrontier[[#This Row],[P114 Growth]]/PortfolioFrontier[[#This Row],[P114 HWM]]-1</f>
        <v>0</v>
      </c>
      <c r="QQ116" s="28">
        <f>SUMPRODUCT(INDEX(PortfolioRef[[SPY]:[PE]],MATCH(QQ$1,PortfolioRef[Reference '#]),0),AssetMonthlyReturns[[#This Row],[SPY]:[PE]])</f>
        <v>3.3290422020671256E-2</v>
      </c>
      <c r="QR116" s="27">
        <f>IF(ISNUMBER(QR115),QR115*(1+PortfolioFrontier[[#This Row],[P115 Return]]),1+PortfolioFrontier[[#This Row],[P115 Return]])</f>
        <v>2.1438347853517663</v>
      </c>
      <c r="QS116" s="27">
        <f>MAX(QS115,PortfolioFrontier[[#This Row],[P115 Growth]])</f>
        <v>2.1438347853517663</v>
      </c>
      <c r="QT116" s="27">
        <f>PortfolioFrontier[[#This Row],[P115 Growth]]/PortfolioFrontier[[#This Row],[P115 HWM]]-1</f>
        <v>0</v>
      </c>
      <c r="QU116" s="28">
        <f>SUMPRODUCT(INDEX(PortfolioRef[[SPY]:[PE]],MATCH(QU$1,PortfolioRef[Reference '#]),0),AssetMonthlyReturns[[#This Row],[SPY]:[PE]])</f>
        <v>3.4000204533978541E-2</v>
      </c>
      <c r="QV116" s="27">
        <f>IF(ISNUMBER(QV115),QV115*(1+PortfolioFrontier[[#This Row],[P116 Return]]),1+PortfolioFrontier[[#This Row],[P116 Return]])</f>
        <v>2.1340185594583843</v>
      </c>
      <c r="QW116" s="27">
        <f>MAX(QW115,PortfolioFrontier[[#This Row],[P116 Growth]])</f>
        <v>2.1340185594583843</v>
      </c>
      <c r="QX116" s="27">
        <f>PortfolioFrontier[[#This Row],[P116 Growth]]/PortfolioFrontier[[#This Row],[P116 HWM]]-1</f>
        <v>0</v>
      </c>
      <c r="QY116" s="28">
        <f>SUMPRODUCT(INDEX(PortfolioRef[[SPY]:[PE]],MATCH(QY$1,PortfolioRef[Reference '#]),0),AssetMonthlyReturns[[#This Row],[SPY]:[PE]])</f>
        <v>3.470998704728584E-2</v>
      </c>
      <c r="QZ116" s="27">
        <f>IF(ISNUMBER(QZ115),QZ115*(1+PortfolioFrontier[[#This Row],[P117 Return]]),1+PortfolioFrontier[[#This Row],[P117 Return]])</f>
        <v>2.1224143800838777</v>
      </c>
      <c r="RA116" s="27">
        <f>MAX(RA115,PortfolioFrontier[[#This Row],[P117 Growth]])</f>
        <v>2.1224143800838777</v>
      </c>
      <c r="RB116" s="27">
        <f>PortfolioFrontier[[#This Row],[P117 Growth]]/PortfolioFrontier[[#This Row],[P117 HWM]]-1</f>
        <v>0</v>
      </c>
      <c r="RC116" s="28">
        <f>SUMPRODUCT(INDEX(PortfolioRef[[SPY]:[PE]],MATCH(RC$1,PortfolioRef[Reference '#]),0),AssetMonthlyReturns[[#This Row],[SPY]:[PE]])</f>
        <v>2.696671984557512E-2</v>
      </c>
      <c r="RD116" s="27">
        <f>IF(ISNUMBER(RD115),RD115*(1+PortfolioFrontier[[#This Row],[P118 Return]]),1+PortfolioFrontier[[#This Row],[P118 Return]])</f>
        <v>2.0806492149945264</v>
      </c>
      <c r="RE116" s="27">
        <f>MAX(RE115,PortfolioFrontier[[#This Row],[P118 Growth]])</f>
        <v>2.0806492149945264</v>
      </c>
      <c r="RF116" s="27">
        <f>PortfolioFrontier[[#This Row],[P118 Growth]]/PortfolioFrontier[[#This Row],[P118 HWM]]-1</f>
        <v>0</v>
      </c>
      <c r="RG116" s="28">
        <f>SUMPRODUCT(INDEX(PortfolioRef[[SPY]:[PE]],MATCH(RG$1,PortfolioRef[Reference '#]),0),AssetMonthlyReturns[[#This Row],[SPY]:[PE]])</f>
        <v>2.7676502358882415E-2</v>
      </c>
      <c r="RH116" s="27">
        <f>IF(ISNUMBER(RH115),RH115*(1+PortfolioFrontier[[#This Row],[P119 Return]]),1+PortfolioFrontier[[#This Row],[P119 Return]])</f>
        <v>2.0724740812395996</v>
      </c>
      <c r="RI116" s="27">
        <f>MAX(RI115,PortfolioFrontier[[#This Row],[P119 Growth]])</f>
        <v>2.0724740812395996</v>
      </c>
      <c r="RJ116" s="27">
        <f>PortfolioFrontier[[#This Row],[P119 Growth]]/PortfolioFrontier[[#This Row],[P119 HWM]]-1</f>
        <v>0</v>
      </c>
      <c r="RK116" s="28">
        <f>SUMPRODUCT(INDEX(PortfolioRef[[SPY]:[PE]],MATCH(RK$1,PortfolioRef[Reference '#]),0),AssetMonthlyReturns[[#This Row],[SPY]:[PE]])</f>
        <v>2.8386284872189707E-2</v>
      </c>
      <c r="RL116" s="27">
        <f>IF(ISNUMBER(RL115),RL115*(1+PortfolioFrontier[[#This Row],[P120 Return]]),1+PortfolioFrontier[[#This Row],[P120 Return]])</f>
        <v>2.0625442875586018</v>
      </c>
      <c r="RM116" s="27">
        <f>MAX(RM115,PortfolioFrontier[[#This Row],[P120 Growth]])</f>
        <v>2.0625442875586018</v>
      </c>
      <c r="RN116" s="27">
        <f>PortfolioFrontier[[#This Row],[P120 Growth]]/PortfolioFrontier[[#This Row],[P120 HWM]]-1</f>
        <v>0</v>
      </c>
      <c r="RO116" s="28">
        <f>SUMPRODUCT(INDEX(PortfolioRef[[SPY]:[PE]],MATCH(RO$1,PortfolioRef[Reference '#]),0),AssetMonthlyReturns[[#This Row],[SPY]:[PE]])</f>
        <v>2.0643017670478991E-2</v>
      </c>
      <c r="RP116" s="27">
        <f>IF(ISNUMBER(RP115),RP115*(1+PortfolioFrontier[[#This Row],[P121 Return]]),1+PortfolioFrontier[[#This Row],[P121 Return]])</f>
        <v>2.0173348329165273</v>
      </c>
      <c r="RQ116" s="27">
        <f>MAX(RQ115,PortfolioFrontier[[#This Row],[P121 Growth]])</f>
        <v>2.0173348329165273</v>
      </c>
      <c r="RR116" s="27">
        <f>PortfolioFrontier[[#This Row],[P121 Growth]]/PortfolioFrontier[[#This Row],[P121 HWM]]-1</f>
        <v>0</v>
      </c>
      <c r="RS116" s="28">
        <f>SUMPRODUCT(INDEX(PortfolioRef[[SPY]:[PE]],MATCH(RS$1,PortfolioRef[Reference '#]),0),AssetMonthlyReturns[[#This Row],[SPY]:[PE]])</f>
        <v>2.1352800183786286E-2</v>
      </c>
      <c r="RT116" s="27">
        <f>IF(ISNUMBER(RT115),RT115*(1+PortfolioFrontier[[#This Row],[P122 Return]]),1+PortfolioFrontier[[#This Row],[P122 Return]])</f>
        <v>2.0107259364130625</v>
      </c>
      <c r="RU116" s="27">
        <f>MAX(RU115,PortfolioFrontier[[#This Row],[P122 Growth]])</f>
        <v>2.0107259364130625</v>
      </c>
      <c r="RV116" s="27">
        <f>PortfolioFrontier[[#This Row],[P122 Growth]]/PortfolioFrontier[[#This Row],[P122 HWM]]-1</f>
        <v>0</v>
      </c>
      <c r="RW116" s="28">
        <f>SUMPRODUCT(INDEX(PortfolioRef[[SPY]:[PE]],MATCH(RW$1,PortfolioRef[Reference '#]),0),AssetMonthlyReturns[[#This Row],[SPY]:[PE]])</f>
        <v>2.2062582697093578E-2</v>
      </c>
      <c r="RX116" s="27">
        <f>IF(ISNUMBER(RX115),RX115*(1+PortfolioFrontier[[#This Row],[P123 Return]]),1+PortfolioFrontier[[#This Row],[P123 Return]])</f>
        <v>2.0023982979197386</v>
      </c>
      <c r="RY116" s="27">
        <f>MAX(RY115,PortfolioFrontier[[#This Row],[P123 Growth]])</f>
        <v>2.0023982979197386</v>
      </c>
      <c r="RZ116" s="27">
        <f>PortfolioFrontier[[#This Row],[P123 Growth]]/PortfolioFrontier[[#This Row],[P123 HWM]]-1</f>
        <v>0</v>
      </c>
      <c r="SA116" s="28">
        <f>SUMPRODUCT(INDEX(PortfolioRef[[SPY]:[PE]],MATCH(SA$1,PortfolioRef[Reference '#]),0),AssetMonthlyReturns[[#This Row],[SPY]:[PE]])</f>
        <v>3.2279581630012363E-2</v>
      </c>
      <c r="SB116" s="27">
        <f>IF(ISNUMBER(SB115),SB115*(1+PortfolioFrontier[[#This Row],[P124 Return]]),1+PortfolioFrontier[[#This Row],[P124 Return]])</f>
        <v>2.1821990032704455</v>
      </c>
      <c r="SC116" s="27">
        <f>MAX(SC115,PortfolioFrontier[[#This Row],[P124 Growth]])</f>
        <v>2.1821990032704455</v>
      </c>
      <c r="SD116" s="27">
        <f>PortfolioFrontier[[#This Row],[P124 Growth]]/PortfolioFrontier[[#This Row],[P124 HWM]]-1</f>
        <v>0</v>
      </c>
      <c r="SE116" s="28">
        <f>SUMPRODUCT(INDEX(PortfolioRef[[SPY]:[PE]],MATCH(SE$1,PortfolioRef[Reference '#]),0),AssetMonthlyReturns[[#This Row],[SPY]:[PE]])</f>
        <v>3.2989364143319655E-2</v>
      </c>
      <c r="SF116" s="27">
        <f>IF(ISNUMBER(SF115),SF115*(1+PortfolioFrontier[[#This Row],[P125 Return]]),1+PortfolioFrontier[[#This Row],[P125 Return]])</f>
        <v>2.1736306228778202</v>
      </c>
      <c r="SG116" s="27">
        <f>MAX(SG115,PortfolioFrontier[[#This Row],[P125 Growth]])</f>
        <v>2.1736306228778202</v>
      </c>
      <c r="SH116" s="27">
        <f>PortfolioFrontier[[#This Row],[P125 Growth]]/PortfolioFrontier[[#This Row],[P125 HWM]]-1</f>
        <v>0</v>
      </c>
      <c r="SI116" s="28">
        <f>SUMPRODUCT(INDEX(PortfolioRef[[SPY]:[PE]],MATCH(SI$1,PortfolioRef[Reference '#]),0),AssetMonthlyReturns[[#This Row],[SPY]:[PE]])</f>
        <v>3.3699146656626947E-2</v>
      </c>
      <c r="SJ116" s="27">
        <f>IF(ISNUMBER(SJ115),SJ115*(1+PortfolioFrontier[[#This Row],[P126 Return]]),1+PortfolioFrontier[[#This Row],[P126 Return]])</f>
        <v>2.1632230492781264</v>
      </c>
      <c r="SK116" s="27">
        <f>MAX(SK115,PortfolioFrontier[[#This Row],[P126 Growth]])</f>
        <v>2.1632230492781264</v>
      </c>
      <c r="SL116" s="27">
        <f>PortfolioFrontier[[#This Row],[P126 Growth]]/PortfolioFrontier[[#This Row],[P126 HWM]]-1</f>
        <v>0</v>
      </c>
      <c r="SM116" s="28">
        <f>SUMPRODUCT(INDEX(PortfolioRef[[SPY]:[PE]],MATCH(SM$1,PortfolioRef[Reference '#]),0),AssetMonthlyReturns[[#This Row],[SPY]:[PE]])</f>
        <v>2.5955879454916231E-2</v>
      </c>
      <c r="SN116" s="27">
        <f>IF(ISNUMBER(SN115),SN115*(1+PortfolioFrontier[[#This Row],[P127 Return]]),1+PortfolioFrontier[[#This Row],[P127 Return]])</f>
        <v>2.1166100156829653</v>
      </c>
      <c r="SO116" s="27">
        <f>MAX(SO115,PortfolioFrontier[[#This Row],[P127 Growth]])</f>
        <v>2.1166100156829653</v>
      </c>
      <c r="SP116" s="27">
        <f>PortfolioFrontier[[#This Row],[P127 Growth]]/PortfolioFrontier[[#This Row],[P127 HWM]]-1</f>
        <v>0</v>
      </c>
      <c r="SQ116" s="28">
        <f>SUMPRODUCT(INDEX(PortfolioRef[[SPY]:[PE]],MATCH(SQ$1,PortfolioRef[Reference '#]),0),AssetMonthlyReturns[[#This Row],[SPY]:[PE]])</f>
        <v>2.6665661968223526E-2</v>
      </c>
      <c r="SR116" s="27">
        <f>IF(ISNUMBER(SR115),SR115*(1+PortfolioFrontier[[#This Row],[P128 Return]]),1+PortfolioFrontier[[#This Row],[P128 Return]])</f>
        <v>2.1096806532362629</v>
      </c>
      <c r="SS116" s="27">
        <f>MAX(SS115,PortfolioFrontier[[#This Row],[P128 Growth]])</f>
        <v>2.1096806532362629</v>
      </c>
      <c r="ST116" s="27">
        <f>PortfolioFrontier[[#This Row],[P128 Growth]]/PortfolioFrontier[[#This Row],[P128 HWM]]-1</f>
        <v>0</v>
      </c>
      <c r="SU116" s="28">
        <f>SUMPRODUCT(INDEX(PortfolioRef[[SPY]:[PE]],MATCH(SU$1,PortfolioRef[Reference '#]),0),AssetMonthlyReturns[[#This Row],[SPY]:[PE]])</f>
        <v>2.7375444481530817E-2</v>
      </c>
      <c r="SV116" s="27">
        <f>IF(ISNUMBER(SV115),SV115*(1+PortfolioFrontier[[#This Row],[P129 Return]]),1+PortfolioFrontier[[#This Row],[P129 Return]])</f>
        <v>2.1009490778922824</v>
      </c>
      <c r="SW116" s="27">
        <f>MAX(SW115,PortfolioFrontier[[#This Row],[P129 Growth]])</f>
        <v>2.1009490778922824</v>
      </c>
      <c r="SX116" s="27">
        <f>PortfolioFrontier[[#This Row],[P129 Growth]]/PortfolioFrontier[[#This Row],[P129 HWM]]-1</f>
        <v>0</v>
      </c>
      <c r="SY116" s="28">
        <f>SUMPRODUCT(INDEX(PortfolioRef[[SPY]:[PE]],MATCH(SY$1,PortfolioRef[Reference '#]),0),AssetMonthlyReturns[[#This Row],[SPY]:[PE]])</f>
        <v>1.9632177279820102E-2</v>
      </c>
      <c r="SZ116" s="27">
        <f>IF(ISNUMBER(SZ115),SZ115*(1+PortfolioFrontier[[#This Row],[P130 Return]]),1+PortfolioFrontier[[#This Row],[P130 Return]])</f>
        <v>2.0509624268870064</v>
      </c>
      <c r="TA116" s="27">
        <f>MAX(TA115,PortfolioFrontier[[#This Row],[P130 Growth]])</f>
        <v>2.0509624268870064</v>
      </c>
      <c r="TB116" s="27">
        <f>PortfolioFrontier[[#This Row],[P130 Growth]]/PortfolioFrontier[[#This Row],[P130 HWM]]-1</f>
        <v>0</v>
      </c>
      <c r="TC116" s="28">
        <f>SUMPRODUCT(INDEX(PortfolioRef[[SPY]:[PE]],MATCH(TC$1,PortfolioRef[Reference '#]),0),AssetMonthlyReturns[[#This Row],[SPY]:[PE]])</f>
        <v>2.0341959793127397E-2</v>
      </c>
      <c r="TD116" s="27">
        <f>IF(ISNUMBER(TD115),TD115*(1+PortfolioFrontier[[#This Row],[P131 Return]]),1+PortfolioFrontier[[#This Row],[P131 Return]])</f>
        <v>2.0455938408488423</v>
      </c>
      <c r="TE116" s="27">
        <f>MAX(TE115,PortfolioFrontier[[#This Row],[P131 Growth]])</f>
        <v>2.0455938408488423</v>
      </c>
      <c r="TF116" s="27">
        <f>PortfolioFrontier[[#This Row],[P131 Growth]]/PortfolioFrontier[[#This Row],[P131 HWM]]-1</f>
        <v>0</v>
      </c>
      <c r="TG116" s="28">
        <f>SUMPRODUCT(INDEX(PortfolioRef[[SPY]:[PE]],MATCH(TG$1,PortfolioRef[Reference '#]),0),AssetMonthlyReturns[[#This Row],[SPY]:[PE]])</f>
        <v>2.1051742306434688E-2</v>
      </c>
      <c r="TH116" s="27">
        <f>IF(ISNUMBER(TH115),TH115*(1+PortfolioFrontier[[#This Row],[P132 Return]]),1+PortfolioFrontier[[#This Row],[P132 Return]])</f>
        <v>2.0384625788890181</v>
      </c>
      <c r="TI116" s="27">
        <f>MAX(TI115,PortfolioFrontier[[#This Row],[P132 Growth]])</f>
        <v>2.0384625788890181</v>
      </c>
      <c r="TJ116" s="27">
        <f>PortfolioFrontier[[#This Row],[P132 Growth]]/PortfolioFrontier[[#This Row],[P132 HWM]]-1</f>
        <v>0</v>
      </c>
      <c r="TK116" s="28">
        <f>SUMPRODUCT(INDEX(PortfolioRef[[SPY]:[PE]],MATCH(TK$1,PortfolioRef[Reference '#]),0),AssetMonthlyReturns[[#This Row],[SPY]:[PE]])</f>
        <v>3.126874123935347E-2</v>
      </c>
      <c r="TL116" s="27">
        <f>IF(ISNUMBER(TL115),TL115*(1+PortfolioFrontier[[#This Row],[P133 Return]]),1+PortfolioFrontier[[#This Row],[P133 Return]])</f>
        <v>2.219916231313428</v>
      </c>
      <c r="TM116" s="27">
        <f>MAX(TM115,PortfolioFrontier[[#This Row],[P133 Growth]])</f>
        <v>2.219916231313428</v>
      </c>
      <c r="TN116" s="27">
        <f>PortfolioFrontier[[#This Row],[P133 Growth]]/PortfolioFrontier[[#This Row],[P133 HWM]]-1</f>
        <v>0</v>
      </c>
      <c r="TO116" s="28">
        <f>SUMPRODUCT(INDEX(PortfolioRef[[SPY]:[PE]],MATCH(TO$1,PortfolioRef[Reference '#]),0),AssetMonthlyReturns[[#This Row],[SPY]:[PE]])</f>
        <v>3.1978523752660762E-2</v>
      </c>
      <c r="TP116" s="27">
        <f>IF(ISNUMBER(TP115),TP115*(1+PortfolioFrontier[[#This Row],[P134 Return]]),1+PortfolioFrontier[[#This Row],[P134 Return]])</f>
        <v>2.2126536540863317</v>
      </c>
      <c r="TQ116" s="27">
        <f>MAX(TQ115,PortfolioFrontier[[#This Row],[P134 Growth]])</f>
        <v>2.2126536540863317</v>
      </c>
      <c r="TR116" s="27">
        <f>PortfolioFrontier[[#This Row],[P134 Growth]]/PortfolioFrontier[[#This Row],[P134 HWM]]-1</f>
        <v>0</v>
      </c>
      <c r="TS116" s="28">
        <f>SUMPRODUCT(INDEX(PortfolioRef[[SPY]:[PE]],MATCH(TS$1,PortfolioRef[Reference '#]),0),AssetMonthlyReturns[[#This Row],[SPY]:[PE]])</f>
        <v>3.268830626596806E-2</v>
      </c>
      <c r="TT116" s="27">
        <f>IF(ISNUMBER(TT115),TT115*(1+PortfolioFrontier[[#This Row],[P135 Return]]),1+PortfolioFrontier[[#This Row],[P135 Return]])</f>
        <v>2.2035020440959339</v>
      </c>
      <c r="TU116" s="27">
        <f>MAX(TU115,PortfolioFrontier[[#This Row],[P135 Growth]])</f>
        <v>2.2035020440959339</v>
      </c>
      <c r="TV116" s="27">
        <f>PortfolioFrontier[[#This Row],[P135 Growth]]/PortfolioFrontier[[#This Row],[P135 HWM]]-1</f>
        <v>0</v>
      </c>
      <c r="TW116" s="28">
        <f>SUMPRODUCT(INDEX(PortfolioRef[[SPY]:[PE]],MATCH(TW$1,PortfolioRef[Reference '#]),0),AssetMonthlyReturns[[#This Row],[SPY]:[PE]])</f>
        <v>2.4945039064257341E-2</v>
      </c>
      <c r="TX116" s="27">
        <f>IF(ISNUMBER(TX115),TX115*(1+PortfolioFrontier[[#This Row],[P136 Return]]),1+PortfolioFrontier[[#This Row],[P136 Return]])</f>
        <v>2.1518941904942404</v>
      </c>
      <c r="TY116" s="27">
        <f>MAX(TY115,PortfolioFrontier[[#This Row],[P136 Growth]])</f>
        <v>2.1518941904942404</v>
      </c>
      <c r="TZ116" s="27">
        <f>PortfolioFrontier[[#This Row],[P136 Growth]]/PortfolioFrontier[[#This Row],[P136 HWM]]-1</f>
        <v>0</v>
      </c>
      <c r="UA116" s="28">
        <f>SUMPRODUCT(INDEX(PortfolioRef[[SPY]:[PE]],MATCH(UA$1,PortfolioRef[Reference '#]),0),AssetMonthlyReturns[[#This Row],[SPY]:[PE]])</f>
        <v>2.5654821577564636E-2</v>
      </c>
      <c r="UB116" s="27">
        <f>IF(ISNUMBER(UB115),UB115*(1+PortfolioFrontier[[#This Row],[P137 Return]]),1+PortfolioFrontier[[#This Row],[P137 Return]])</f>
        <v>2.1462653936657543</v>
      </c>
      <c r="UC116" s="27">
        <f>MAX(UC115,PortfolioFrontier[[#This Row],[P137 Growth]])</f>
        <v>2.1462653936657543</v>
      </c>
      <c r="UD116" s="27">
        <f>PortfolioFrontier[[#This Row],[P137 Growth]]/PortfolioFrontier[[#This Row],[P137 HWM]]-1</f>
        <v>0</v>
      </c>
      <c r="UE116" s="28">
        <f>SUMPRODUCT(INDEX(PortfolioRef[[SPY]:[PE]],MATCH(UE$1,PortfolioRef[Reference '#]),0),AssetMonthlyReturns[[#This Row],[SPY]:[PE]])</f>
        <v>2.6364604090871928E-2</v>
      </c>
      <c r="UF116" s="27">
        <f>IF(ISNUMBER(UF115),UF115*(1+PortfolioFrontier[[#This Row],[P138 Return]]),1+PortfolioFrontier[[#This Row],[P138 Return]])</f>
        <v>2.1387883190656165</v>
      </c>
      <c r="UG116" s="27">
        <f>MAX(UG115,PortfolioFrontier[[#This Row],[P138 Growth]])</f>
        <v>2.1387883190656165</v>
      </c>
      <c r="UH116" s="27">
        <f>PortfolioFrontier[[#This Row],[P138 Growth]]/PortfolioFrontier[[#This Row],[P138 HWM]]-1</f>
        <v>0</v>
      </c>
      <c r="UI116" s="28">
        <f>SUMPRODUCT(INDEX(PortfolioRef[[SPY]:[PE]],MATCH(UI$1,PortfolioRef[Reference '#]),0),AssetMonthlyReturns[[#This Row],[SPY]:[PE]])</f>
        <v>1.8621336889161209E-2</v>
      </c>
      <c r="UJ116" s="27">
        <f>IF(ISNUMBER(UJ115),UJ115*(1+PortfolioFrontier[[#This Row],[P139 Return]]),1+PortfolioFrontier[[#This Row],[P139 Return]])</f>
        <v>2.0838878561874949</v>
      </c>
      <c r="UK116" s="27">
        <f>MAX(UK115,PortfolioFrontier[[#This Row],[P139 Growth]])</f>
        <v>2.0838878561874949</v>
      </c>
      <c r="UL116" s="27">
        <f>PortfolioFrontier[[#This Row],[P139 Growth]]/PortfolioFrontier[[#This Row],[P139 HWM]]-1</f>
        <v>0</v>
      </c>
      <c r="UM116" s="28">
        <f>SUMPRODUCT(INDEX(PortfolioRef[[SPY]:[PE]],MATCH(UM$1,PortfolioRef[Reference '#]),0),AssetMonthlyReturns[[#This Row],[SPY]:[PE]])</f>
        <v>1.9331119402468507E-2</v>
      </c>
      <c r="UN116" s="27">
        <f>IF(ISNUMBER(UN115),UN115*(1+PortfolioFrontier[[#This Row],[P140 Return]]),1+PortfolioFrontier[[#This Row],[P140 Return]])</f>
        <v>2.0798112261737445</v>
      </c>
      <c r="UO116" s="27">
        <f>MAX(UO115,PortfolioFrontier[[#This Row],[P140 Growth]])</f>
        <v>2.0798112261737445</v>
      </c>
      <c r="UP116" s="27">
        <f>PortfolioFrontier[[#This Row],[P140 Growth]]/PortfolioFrontier[[#This Row],[P140 HWM]]-1</f>
        <v>0</v>
      </c>
      <c r="UQ116" s="28">
        <f>SUMPRODUCT(INDEX(PortfolioRef[[SPY]:[PE]],MATCH(UQ$1,PortfolioRef[Reference '#]),0),AssetMonthlyReturns[[#This Row],[SPY]:[PE]])</f>
        <v>2.0040901915775799E-2</v>
      </c>
      <c r="UR116" s="27">
        <f>IF(ISNUMBER(UR115),UR115*(1+PortfolioFrontier[[#This Row],[P141 Return]]),1+PortfolioFrontier[[#This Row],[P141 Return]])</f>
        <v>2.0739295518478769</v>
      </c>
      <c r="US116" s="27">
        <f>MAX(US115,PortfolioFrontier[[#This Row],[P141 Growth]])</f>
        <v>2.0739295518478769</v>
      </c>
      <c r="UT116" s="27">
        <f>PortfolioFrontier[[#This Row],[P141 Growth]]/PortfolioFrontier[[#This Row],[P141 HWM]]-1</f>
        <v>0</v>
      </c>
    </row>
    <row r="117" spans="2:566" x14ac:dyDescent="0.2">
      <c r="B117" s="41">
        <f>AssetMonthlyReturns[[#This Row],[Date]]</f>
        <v>45931</v>
      </c>
      <c r="C117" s="28">
        <f>SUMPRODUCT(INDEX(PortfolioRef[[SPY]:[PE]],MATCH(C$1,PortfolioRef[Reference '#]),0),AssetMonthlyReturns[[#This Row],[SPY]:[PE]])</f>
        <v>1.5904733347295565E-2</v>
      </c>
      <c r="D117" s="29">
        <f>IF(ISNUMBER(D116),D116*(1+PortfolioFrontier[[#This Row],[P1 Return]]),1+PortfolioFrontier[[#This Row],[P1 Return]])</f>
        <v>2.7146266603963465</v>
      </c>
      <c r="E117" s="29">
        <f>MAX(E116,PortfolioFrontier[[#This Row],[P1 Growth]])</f>
        <v>2.7146266603963465</v>
      </c>
      <c r="F117" s="29">
        <f>PortfolioFrontier[[#This Row],[P1 Growth]]/PortfolioFrontier[[#This Row],[P1 HWM]]-1</f>
        <v>0</v>
      </c>
      <c r="G117" s="28">
        <f>SUMPRODUCT(INDEX(PortfolioRef[[SPY]:[PE]],MATCH(G$1,PortfolioRef[Reference '#]),0),AssetMonthlyReturns[[#This Row],[SPY]:[PE]])</f>
        <v>1.4880986612342526E-2</v>
      </c>
      <c r="H117" s="27">
        <f>IF(ISNUMBER(H116),H116*(1+PortfolioFrontier[[#This Row],[P2 Return]]),1+PortfolioFrontier[[#This Row],[P2 Return]])</f>
        <v>2.5601015912391416</v>
      </c>
      <c r="I117" s="27">
        <f>MAX(I116,PortfolioFrontier[[#This Row],[P2 Growth]])</f>
        <v>2.5601015912391416</v>
      </c>
      <c r="J117" s="27">
        <f>PortfolioFrontier[[#This Row],[P2 Growth]]/PortfolioFrontier[[#This Row],[P2 HWM]]-1</f>
        <v>0</v>
      </c>
      <c r="K117" s="28">
        <f>SUMPRODUCT(INDEX(PortfolioRef[[SPY]:[PE]],MATCH(K$1,PortfolioRef[Reference '#]),0),AssetMonthlyReturns[[#This Row],[SPY]:[PE]])</f>
        <v>1.6350268796560308E-2</v>
      </c>
      <c r="L117" s="27">
        <f>IF(ISNUMBER(L116),L116*(1+PortfolioFrontier[[#This Row],[P3 Return]]),1+PortfolioFrontier[[#This Row],[P3 Return]])</f>
        <v>2.690001875187956</v>
      </c>
      <c r="M117" s="27">
        <f>MAX(M116,PortfolioFrontier[[#This Row],[P3 Growth]])</f>
        <v>2.690001875187956</v>
      </c>
      <c r="N117" s="27">
        <f>PortfolioFrontier[[#This Row],[P3 Growth]]/PortfolioFrontier[[#This Row],[P3 HWM]]-1</f>
        <v>0</v>
      </c>
      <c r="O117" s="28">
        <f>SUMPRODUCT(INDEX(PortfolioRef[[SPY]:[PE]],MATCH(O$1,PortfolioRef[Reference '#]),0),AssetMonthlyReturns[[#This Row],[SPY]:[PE]])</f>
        <v>1.381167990188165E-2</v>
      </c>
      <c r="P117" s="27">
        <f>IF(ISNUMBER(P116),P116*(1+PortfolioFrontier[[#This Row],[P4 Return]]),1+PortfolioFrontier[[#This Row],[P4 Return]])</f>
        <v>2.6010453116735412</v>
      </c>
      <c r="Q117" s="27">
        <f>MAX(Q116,PortfolioFrontier[[#This Row],[P4 Growth]])</f>
        <v>2.6010453116735412</v>
      </c>
      <c r="R117" s="27">
        <f>PortfolioFrontier[[#This Row],[P4 Growth]]/PortfolioFrontier[[#This Row],[P4 HWM]]-1</f>
        <v>0</v>
      </c>
      <c r="S117" s="28">
        <f>SUMPRODUCT(INDEX(PortfolioRef[[SPY]:[PE]],MATCH(S$1,PortfolioRef[Reference '#]),0),AssetMonthlyReturns[[#This Row],[SPY]:[PE]])</f>
        <v>1.3702257229020531E-2</v>
      </c>
      <c r="T117" s="27">
        <f>IF(ISNUMBER(T116),T116*(1+PortfolioFrontier[[#This Row],[P5 Return]]),1+PortfolioFrontier[[#This Row],[P5 Return]])</f>
        <v>2.5920320227685951</v>
      </c>
      <c r="U117" s="27">
        <f>MAX(U116,PortfolioFrontier[[#This Row],[P5 Growth]])</f>
        <v>2.5920320227685951</v>
      </c>
      <c r="V117" s="27">
        <f>PortfolioFrontier[[#This Row],[P5 Growth]]/PortfolioFrontier[[#This Row],[P5 HWM]]-1</f>
        <v>0</v>
      </c>
      <c r="W117" s="28">
        <f>SUMPRODUCT(INDEX(PortfolioRef[[SPY]:[PE]],MATCH(W$1,PortfolioRef[Reference '#]),0),AssetMonthlyReturns[[#This Row],[SPY]:[PE]])</f>
        <v>1.3857239877389491E-2</v>
      </c>
      <c r="X117" s="27">
        <f>IF(ISNUMBER(X116),X116*(1+PortfolioFrontier[[#This Row],[P6 Return]]),1+PortfolioFrontier[[#This Row],[P6 Return]])</f>
        <v>2.4131404520954391</v>
      </c>
      <c r="Y117" s="27">
        <f>MAX(Y116,PortfolioFrontier[[#This Row],[P6 Growth]])</f>
        <v>2.4131404520954391</v>
      </c>
      <c r="Z117" s="27">
        <f>PortfolioFrontier[[#This Row],[P6 Growth]]/PortfolioFrontier[[#This Row],[P6 HWM]]-1</f>
        <v>0</v>
      </c>
      <c r="AA117" s="28">
        <f>SUMPRODUCT(INDEX(PortfolioRef[[SPY]:[PE]],MATCH(AA$1,PortfolioRef[Reference '#]),0),AssetMonthlyReturns[[#This Row],[SPY]:[PE]])</f>
        <v>1.5326522061607274E-2</v>
      </c>
      <c r="AB117" s="27">
        <f>IF(ISNUMBER(AB116),AB116*(1+PortfolioFrontier[[#This Row],[P7 Return]]),1+PortfolioFrontier[[#This Row],[P7 Return]])</f>
        <v>2.5355809355799552</v>
      </c>
      <c r="AC117" s="27">
        <f>MAX(AC116,PortfolioFrontier[[#This Row],[P7 Growth]])</f>
        <v>2.5355809355799552</v>
      </c>
      <c r="AD117" s="27">
        <f>PortfolioFrontier[[#This Row],[P7 Growth]]/PortfolioFrontier[[#This Row],[P7 HWM]]-1</f>
        <v>0</v>
      </c>
      <c r="AE117" s="28">
        <f>SUMPRODUCT(INDEX(PortfolioRef[[SPY]:[PE]],MATCH(AE$1,PortfolioRef[Reference '#]),0),AssetMonthlyReturns[[#This Row],[SPY]:[PE]])</f>
        <v>1.2787933166928615E-2</v>
      </c>
      <c r="AF117" s="27">
        <f>IF(ISNUMBER(AF116),AF116*(1+PortfolioFrontier[[#This Row],[P8 Return]]),1+PortfolioFrontier[[#This Row],[P8 Return]])</f>
        <v>2.4527212043730149</v>
      </c>
      <c r="AG117" s="27">
        <f>MAX(AG116,PortfolioFrontier[[#This Row],[P8 Growth]])</f>
        <v>2.4527212043730149</v>
      </c>
      <c r="AH117" s="27">
        <f>PortfolioFrontier[[#This Row],[P8 Growth]]/PortfolioFrontier[[#This Row],[P8 HWM]]-1</f>
        <v>0</v>
      </c>
      <c r="AI117" s="28">
        <f>SUMPRODUCT(INDEX(PortfolioRef[[SPY]:[PE]],MATCH(AI$1,PortfolioRef[Reference '#]),0),AssetMonthlyReturns[[#This Row],[SPY]:[PE]])</f>
        <v>1.2678510494067496E-2</v>
      </c>
      <c r="AJ117" s="27">
        <f>IF(ISNUMBER(AJ116),AJ116*(1+PortfolioFrontier[[#This Row],[P9 Return]]),1+PortfolioFrontier[[#This Row],[P9 Return]])</f>
        <v>2.443296780118994</v>
      </c>
      <c r="AK117" s="27">
        <f>MAX(AK116,PortfolioFrontier[[#This Row],[P9 Growth]])</f>
        <v>2.443296780118994</v>
      </c>
      <c r="AL117" s="27">
        <f>PortfolioFrontier[[#This Row],[P9 Growth]]/PortfolioFrontier[[#This Row],[P9 HWM]]-1</f>
        <v>0</v>
      </c>
      <c r="AM117" s="28">
        <f>SUMPRODUCT(INDEX(PortfolioRef[[SPY]:[PE]],MATCH(AM$1,PortfolioRef[Reference '#]),0),AssetMonthlyReturns[[#This Row],[SPY]:[PE]])</f>
        <v>1.6795804245825052E-2</v>
      </c>
      <c r="AN117" s="27">
        <f>IF(ISNUMBER(AN116),AN116*(1+PortfolioFrontier[[#This Row],[P10 Return]]),1+PortfolioFrontier[[#This Row],[P10 Return]])</f>
        <v>2.663206830899933</v>
      </c>
      <c r="AO117" s="27">
        <f>MAX(AO116,PortfolioFrontier[[#This Row],[P10 Growth]])</f>
        <v>2.663206830899933</v>
      </c>
      <c r="AP117" s="27">
        <f>PortfolioFrontier[[#This Row],[P10 Growth]]/PortfolioFrontier[[#This Row],[P10 HWM]]-1</f>
        <v>0</v>
      </c>
      <c r="AQ117" s="28">
        <f>SUMPRODUCT(INDEX(PortfolioRef[[SPY]:[PE]],MATCH(AQ$1,PortfolioRef[Reference '#]),0),AssetMonthlyReturns[[#This Row],[SPY]:[PE]])</f>
        <v>1.4257215351146397E-2</v>
      </c>
      <c r="AR117" s="27">
        <f>IF(ISNUMBER(AR116),AR116*(1+PortfolioFrontier[[#This Row],[P11 Return]]),1+PortfolioFrontier[[#This Row],[P11 Return]])</f>
        <v>2.5771742265070579</v>
      </c>
      <c r="AS117" s="27">
        <f>MAX(AS116,PortfolioFrontier[[#This Row],[P11 Growth]])</f>
        <v>2.5771742265070579</v>
      </c>
      <c r="AT117" s="27">
        <f>PortfolioFrontier[[#This Row],[P11 Growth]]/PortfolioFrontier[[#This Row],[P11 HWM]]-1</f>
        <v>0</v>
      </c>
      <c r="AU117" s="28">
        <f>SUMPRODUCT(INDEX(PortfolioRef[[SPY]:[PE]],MATCH(AU$1,PortfolioRef[Reference '#]),0),AssetMonthlyReturns[[#This Row],[SPY]:[PE]])</f>
        <v>1.4147792678285278E-2</v>
      </c>
      <c r="AV117" s="27">
        <f>IF(ISNUMBER(AV116),AV116*(1+PortfolioFrontier[[#This Row],[P12 Return]]),1+PortfolioFrontier[[#This Row],[P12 Return]])</f>
        <v>2.5672788016400157</v>
      </c>
      <c r="AW117" s="27">
        <f>MAX(AW116,PortfolioFrontier[[#This Row],[P12 Growth]])</f>
        <v>2.5672788016400157</v>
      </c>
      <c r="AX117" s="27">
        <f>PortfolioFrontier[[#This Row],[P12 Growth]]/PortfolioFrontier[[#This Row],[P12 HWM]]-1</f>
        <v>0</v>
      </c>
      <c r="AY117" s="28">
        <f>SUMPRODUCT(INDEX(PortfolioRef[[SPY]:[PE]],MATCH(AY$1,PortfolioRef[Reference '#]),0),AssetMonthlyReturns[[#This Row],[SPY]:[PE]])</f>
        <v>1.1718626456467738E-2</v>
      </c>
      <c r="AZ117" s="27">
        <f>IF(ISNUMBER(AZ116),AZ116*(1+PortfolioFrontier[[#This Row],[P13 Return]]),1+PortfolioFrontier[[#This Row],[P13 Return]])</f>
        <v>2.491448366529144</v>
      </c>
      <c r="BA117" s="27">
        <f>MAX(BA116,PortfolioFrontier[[#This Row],[P13 Growth]])</f>
        <v>2.491448366529144</v>
      </c>
      <c r="BB117" s="27">
        <f>PortfolioFrontier[[#This Row],[P13 Growth]]/PortfolioFrontier[[#This Row],[P13 HWM]]-1</f>
        <v>0</v>
      </c>
      <c r="BC117" s="28">
        <f>SUMPRODUCT(INDEX(PortfolioRef[[SPY]:[PE]],MATCH(BC$1,PortfolioRef[Reference '#]),0),AssetMonthlyReturns[[#This Row],[SPY]:[PE]])</f>
        <v>1.1609203783606619E-2</v>
      </c>
      <c r="BD117" s="27">
        <f>IF(ISNUMBER(BD116),BD116*(1+PortfolioFrontier[[#This Row],[P14 Return]]),1+PortfolioFrontier[[#This Row],[P14 Return]])</f>
        <v>2.4835096654037927</v>
      </c>
      <c r="BE117" s="27">
        <f>MAX(BE116,PortfolioFrontier[[#This Row],[P14 Growth]])</f>
        <v>2.4835096654037927</v>
      </c>
      <c r="BF117" s="27">
        <f>PortfolioFrontier[[#This Row],[P14 Growth]]/PortfolioFrontier[[#This Row],[P14 HWM]]-1</f>
        <v>0</v>
      </c>
      <c r="BG117" s="28">
        <f>SUMPRODUCT(INDEX(PortfolioRef[[SPY]:[PE]],MATCH(BG$1,PortfolioRef[Reference '#]),0),AssetMonthlyReturns[[#This Row],[SPY]:[PE]])</f>
        <v>1.1499781110745498E-2</v>
      </c>
      <c r="BH117" s="27">
        <f>IF(ISNUMBER(BH116),BH116*(1+PortfolioFrontier[[#This Row],[P15 Return]]),1+PortfolioFrontier[[#This Row],[P15 Return]])</f>
        <v>2.4734460469722799</v>
      </c>
      <c r="BI117" s="27">
        <f>MAX(BI116,PortfolioFrontier[[#This Row],[P15 Growth]])</f>
        <v>2.4734460469722799</v>
      </c>
      <c r="BJ117" s="27">
        <f>PortfolioFrontier[[#This Row],[P15 Growth]]/PortfolioFrontier[[#This Row],[P15 HWM]]-1</f>
        <v>0</v>
      </c>
      <c r="BK117" s="28">
        <f>SUMPRODUCT(INDEX(PortfolioRef[[SPY]:[PE]],MATCH(BK$1,PortfolioRef[Reference '#]),0),AssetMonthlyReturns[[#This Row],[SPY]:[PE]])</f>
        <v>1.2833493142436456E-2</v>
      </c>
      <c r="BL117" s="27">
        <f>IF(ISNUMBER(BL116),BL116*(1+PortfolioFrontier[[#This Row],[P16 Return]]),1+PortfolioFrontier[[#This Row],[P16 Return]])</f>
        <v>2.2734546362029624</v>
      </c>
      <c r="BM117" s="27">
        <f>MAX(BM116,PortfolioFrontier[[#This Row],[P16 Growth]])</f>
        <v>2.2734546362029624</v>
      </c>
      <c r="BN117" s="27">
        <f>PortfolioFrontier[[#This Row],[P16 Growth]]/PortfolioFrontier[[#This Row],[P16 HWM]]-1</f>
        <v>0</v>
      </c>
      <c r="BO117" s="28">
        <f>SUMPRODUCT(INDEX(PortfolioRef[[SPY]:[PE]],MATCH(BO$1,PortfolioRef[Reference '#]),0),AssetMonthlyReturns[[#This Row],[SPY]:[PE]])</f>
        <v>1.4302775326654239E-2</v>
      </c>
      <c r="BP117" s="27">
        <f>IF(ISNUMBER(BP116),BP116*(1+PortfolioFrontier[[#This Row],[P17 Return]]),1+PortfolioFrontier[[#This Row],[P17 Return]])</f>
        <v>2.3888057808661594</v>
      </c>
      <c r="BQ117" s="27">
        <f>MAX(BQ116,PortfolioFrontier[[#This Row],[P17 Growth]])</f>
        <v>2.3888057808661594</v>
      </c>
      <c r="BR117" s="27">
        <f>PortfolioFrontier[[#This Row],[P17 Growth]]/PortfolioFrontier[[#This Row],[P17 HWM]]-1</f>
        <v>0</v>
      </c>
      <c r="BS117" s="28">
        <f>SUMPRODUCT(INDEX(PortfolioRef[[SPY]:[PE]],MATCH(BS$1,PortfolioRef[Reference '#]),0),AssetMonthlyReturns[[#This Row],[SPY]:[PE]])</f>
        <v>1.176418643197558E-2</v>
      </c>
      <c r="BT117" s="27">
        <f>IF(ISNUMBER(BT116),BT116*(1+PortfolioFrontier[[#This Row],[P18 Return]]),1+PortfolioFrontier[[#This Row],[P18 Return]])</f>
        <v>2.3116733344089688</v>
      </c>
      <c r="BU117" s="27">
        <f>MAX(BU116,PortfolioFrontier[[#This Row],[P18 Growth]])</f>
        <v>2.3116733344089688</v>
      </c>
      <c r="BV117" s="27">
        <f>PortfolioFrontier[[#This Row],[P18 Growth]]/PortfolioFrontier[[#This Row],[P18 HWM]]-1</f>
        <v>0</v>
      </c>
      <c r="BW117" s="28">
        <f>SUMPRODUCT(INDEX(PortfolioRef[[SPY]:[PE]],MATCH(BW$1,PortfolioRef[Reference '#]),0),AssetMonthlyReturns[[#This Row],[SPY]:[PE]])</f>
        <v>1.1654763759114461E-2</v>
      </c>
      <c r="BX117" s="27">
        <f>IF(ISNUMBER(BX116),BX116*(1+PortfolioFrontier[[#This Row],[P19 Return]]),1+PortfolioFrontier[[#This Row],[P19 Return]])</f>
        <v>2.3019208519768353</v>
      </c>
      <c r="BY117" s="27">
        <f>MAX(BY116,PortfolioFrontier[[#This Row],[P19 Growth]])</f>
        <v>2.3019208519768353</v>
      </c>
      <c r="BZ117" s="27">
        <f>PortfolioFrontier[[#This Row],[P19 Growth]]/PortfolioFrontier[[#This Row],[P19 HWM]]-1</f>
        <v>0</v>
      </c>
      <c r="CA117" s="28">
        <f>SUMPRODUCT(INDEX(PortfolioRef[[SPY]:[PE]],MATCH(CA$1,PortfolioRef[Reference '#]),0),AssetMonthlyReturns[[#This Row],[SPY]:[PE]])</f>
        <v>1.5772057510872017E-2</v>
      </c>
      <c r="CB117" s="27">
        <f>IF(ISNUMBER(CB116),CB116*(1+PortfolioFrontier[[#This Row],[P20 Return]]),1+PortfolioFrontier[[#This Row],[P20 Return]])</f>
        <v>2.509040752171023</v>
      </c>
      <c r="CC117" s="27">
        <f>MAX(CC116,PortfolioFrontier[[#This Row],[P20 Growth]])</f>
        <v>2.509040752171023</v>
      </c>
      <c r="CD117" s="27">
        <f>PortfolioFrontier[[#This Row],[P20 Growth]]/PortfolioFrontier[[#This Row],[P20 HWM]]-1</f>
        <v>0</v>
      </c>
      <c r="CE117" s="28">
        <f>SUMPRODUCT(INDEX(PortfolioRef[[SPY]:[PE]],MATCH(CE$1,PortfolioRef[Reference '#]),0),AssetMonthlyReturns[[#This Row],[SPY]:[PE]])</f>
        <v>1.3233468616193362E-2</v>
      </c>
      <c r="CF117" s="27">
        <f>IF(ISNUMBER(CF116),CF116*(1+PortfolioFrontier[[#This Row],[P21 Return]]),1+PortfolioFrontier[[#This Row],[P21 Return]])</f>
        <v>2.4289671136840956</v>
      </c>
      <c r="CG117" s="27">
        <f>MAX(CG116,PortfolioFrontier[[#This Row],[P21 Growth]])</f>
        <v>2.4289671136840956</v>
      </c>
      <c r="CH117" s="27">
        <f>PortfolioFrontier[[#This Row],[P21 Growth]]/PortfolioFrontier[[#This Row],[P21 HWM]]-1</f>
        <v>0</v>
      </c>
      <c r="CI117" s="28">
        <f>SUMPRODUCT(INDEX(PortfolioRef[[SPY]:[PE]],MATCH(CI$1,PortfolioRef[Reference '#]),0),AssetMonthlyReturns[[#This Row],[SPY]:[PE]])</f>
        <v>1.3124045943332243E-2</v>
      </c>
      <c r="CJ117" s="27">
        <f>IF(ISNUMBER(CJ116),CJ116*(1+PortfolioFrontier[[#This Row],[P22 Return]]),1+PortfolioFrontier[[#This Row],[P22 Return]])</f>
        <v>2.4187270707115736</v>
      </c>
      <c r="CK117" s="27">
        <f>MAX(CK116,PortfolioFrontier[[#This Row],[P22 Growth]])</f>
        <v>2.4187270707115736</v>
      </c>
      <c r="CL117" s="27">
        <f>PortfolioFrontier[[#This Row],[P22 Growth]]/PortfolioFrontier[[#This Row],[P22 HWM]]-1</f>
        <v>0</v>
      </c>
      <c r="CM117" s="28">
        <f>SUMPRODUCT(INDEX(PortfolioRef[[SPY]:[PE]],MATCH(CM$1,PortfolioRef[Reference '#]),0),AssetMonthlyReturns[[#This Row],[SPY]:[PE]])</f>
        <v>1.0694879721514705E-2</v>
      </c>
      <c r="CN117" s="27">
        <f>IF(ISNUMBER(CN116),CN116*(1+PortfolioFrontier[[#This Row],[P23 Return]]),1+PortfolioFrontier[[#This Row],[P23 Return]])</f>
        <v>2.3491204689097946</v>
      </c>
      <c r="CO117" s="27">
        <f>MAX(CO116,PortfolioFrontier[[#This Row],[P23 Growth]])</f>
        <v>2.3491204689097946</v>
      </c>
      <c r="CP117" s="27">
        <f>PortfolioFrontier[[#This Row],[P23 Growth]]/PortfolioFrontier[[#This Row],[P23 HWM]]-1</f>
        <v>0</v>
      </c>
      <c r="CQ117" s="28">
        <f>SUMPRODUCT(INDEX(PortfolioRef[[SPY]:[PE]],MATCH(CQ$1,PortfolioRef[Reference '#]),0),AssetMonthlyReturns[[#This Row],[SPY]:[PE]])</f>
        <v>1.0585457048653586E-2</v>
      </c>
      <c r="CR117" s="27">
        <f>IF(ISNUMBER(CR116),CR116*(1+PortfolioFrontier[[#This Row],[P24 Return]]),1+PortfolioFrontier[[#This Row],[P24 Return]])</f>
        <v>2.3407476548914521</v>
      </c>
      <c r="CS117" s="27">
        <f>MAX(CS116,PortfolioFrontier[[#This Row],[P24 Growth]])</f>
        <v>2.3407476548914521</v>
      </c>
      <c r="CT117" s="27">
        <f>PortfolioFrontier[[#This Row],[P24 Growth]]/PortfolioFrontier[[#This Row],[P24 HWM]]-1</f>
        <v>0</v>
      </c>
      <c r="CU117" s="28">
        <f>SUMPRODUCT(INDEX(PortfolioRef[[SPY]:[PE]],MATCH(CU$1,PortfolioRef[Reference '#]),0),AssetMonthlyReturns[[#This Row],[SPY]:[PE]])</f>
        <v>1.0476034375792465E-2</v>
      </c>
      <c r="CV117" s="27">
        <f>IF(ISNUMBER(CV116),CV116*(1+PortfolioFrontier[[#This Row],[P25 Return]]),1+PortfolioFrontier[[#This Row],[P25 Return]])</f>
        <v>2.3303817579042803</v>
      </c>
      <c r="CW117" s="27">
        <f>MAX(CW116,PortfolioFrontier[[#This Row],[P25 Growth]])</f>
        <v>2.3303817579042803</v>
      </c>
      <c r="CX117" s="27">
        <f>PortfolioFrontier[[#This Row],[P25 Growth]]/PortfolioFrontier[[#This Row],[P25 HWM]]-1</f>
        <v>0</v>
      </c>
      <c r="CY117" s="28">
        <f>SUMPRODUCT(INDEX(PortfolioRef[[SPY]:[PE]],MATCH(CY$1,PortfolioRef[Reference '#]),0),AssetMonthlyReturns[[#This Row],[SPY]:[PE]])</f>
        <v>1.4702750800411141E-2</v>
      </c>
      <c r="CZ117" s="27">
        <f>IF(ISNUMBER(CZ116),CZ116*(1+PortfolioFrontier[[#This Row],[P26 Return]]),1+PortfolioFrontier[[#This Row],[P26 Return]])</f>
        <v>2.5512275971204148</v>
      </c>
      <c r="DA117" s="27">
        <f>MAX(DA116,PortfolioFrontier[[#This Row],[P26 Growth]])</f>
        <v>2.5512275971204148</v>
      </c>
      <c r="DB117" s="27">
        <f>PortfolioFrontier[[#This Row],[P26 Growth]]/PortfolioFrontier[[#This Row],[P26 HWM]]-1</f>
        <v>0</v>
      </c>
      <c r="DC117" s="28">
        <f>SUMPRODUCT(INDEX(PortfolioRef[[SPY]:[PE]],MATCH(DC$1,PortfolioRef[Reference '#]),0),AssetMonthlyReturns[[#This Row],[SPY]:[PE]])</f>
        <v>1.4593328127550022E-2</v>
      </c>
      <c r="DD117" s="27">
        <f>IF(ISNUMBER(DD116),DD116*(1+PortfolioFrontier[[#This Row],[P27 Return]]),1+PortfolioFrontier[[#This Row],[P27 Return]])</f>
        <v>2.5404797385419036</v>
      </c>
      <c r="DE117" s="27">
        <f>MAX(DE116,PortfolioFrontier[[#This Row],[P27 Growth]])</f>
        <v>2.5404797385419036</v>
      </c>
      <c r="DF117" s="27">
        <f>PortfolioFrontier[[#This Row],[P27 Growth]]/PortfolioFrontier[[#This Row],[P27 HWM]]-1</f>
        <v>0</v>
      </c>
      <c r="DG117" s="28">
        <f>SUMPRODUCT(INDEX(PortfolioRef[[SPY]:[PE]],MATCH(DG$1,PortfolioRef[Reference '#]),0),AssetMonthlyReturns[[#This Row],[SPY]:[PE]])</f>
        <v>1.2164161905732485E-2</v>
      </c>
      <c r="DH117" s="27">
        <f>IF(ISNUMBER(DH116),DH116*(1+PortfolioFrontier[[#This Row],[P28 Return]]),1+PortfolioFrontier[[#This Row],[P28 Return]])</f>
        <v>2.4683188161413421</v>
      </c>
      <c r="DI117" s="27">
        <f>MAX(DI116,PortfolioFrontier[[#This Row],[P28 Growth]])</f>
        <v>2.4683188161413421</v>
      </c>
      <c r="DJ117" s="27">
        <f>PortfolioFrontier[[#This Row],[P28 Growth]]/PortfolioFrontier[[#This Row],[P28 HWM]]-1</f>
        <v>0</v>
      </c>
      <c r="DK117" s="28">
        <f>SUMPRODUCT(INDEX(PortfolioRef[[SPY]:[PE]],MATCH(DK$1,PortfolioRef[Reference '#]),0),AssetMonthlyReturns[[#This Row],[SPY]:[PE]])</f>
        <v>1.2054739232871366E-2</v>
      </c>
      <c r="DL117" s="27">
        <f>IF(ISNUMBER(DL116),DL116*(1+PortfolioFrontier[[#This Row],[P29 Return]]),1+PortfolioFrontier[[#This Row],[P29 Return]])</f>
        <v>2.4595275625959401</v>
      </c>
      <c r="DM117" s="27">
        <f>MAX(DM116,PortfolioFrontier[[#This Row],[P29 Growth]])</f>
        <v>2.4595275625959401</v>
      </c>
      <c r="DN117" s="27">
        <f>PortfolioFrontier[[#This Row],[P29 Growth]]/PortfolioFrontier[[#This Row],[P29 HWM]]-1</f>
        <v>0</v>
      </c>
      <c r="DO117" s="28">
        <f>SUMPRODUCT(INDEX(PortfolioRef[[SPY]:[PE]],MATCH(DO$1,PortfolioRef[Reference '#]),0),AssetMonthlyReturns[[#This Row],[SPY]:[PE]])</f>
        <v>1.1945316560010246E-2</v>
      </c>
      <c r="DP117" s="27">
        <f>IF(ISNUMBER(DP116),DP116*(1+PortfolioFrontier[[#This Row],[P30 Return]]),1+PortfolioFrontier[[#This Row],[P30 Return]])</f>
        <v>2.4486433835974184</v>
      </c>
      <c r="DQ117" s="27">
        <f>MAX(DQ116,PortfolioFrontier[[#This Row],[P30 Growth]])</f>
        <v>2.4486433835974184</v>
      </c>
      <c r="DR117" s="27">
        <f>PortfolioFrontier[[#This Row],[P30 Growth]]/PortfolioFrontier[[#This Row],[P30 HWM]]-1</f>
        <v>0</v>
      </c>
      <c r="DS117" s="28">
        <f>SUMPRODUCT(INDEX(PortfolioRef[[SPY]:[PE]],MATCH(DS$1,PortfolioRef[Reference '#]),0),AssetMonthlyReturns[[#This Row],[SPY]:[PE]])</f>
        <v>9.6255730110538281E-3</v>
      </c>
      <c r="DT117" s="27">
        <f>IF(ISNUMBER(DT116),DT116*(1+PortfolioFrontier[[#This Row],[P31 Return]]),1+PortfolioFrontier[[#This Row],[P31 Return]])</f>
        <v>2.3857329275607255</v>
      </c>
      <c r="DU117" s="27">
        <f>MAX(DU116,PortfolioFrontier[[#This Row],[P31 Growth]])</f>
        <v>2.3857329275607255</v>
      </c>
      <c r="DV117" s="27">
        <f>PortfolioFrontier[[#This Row],[P31 Growth]]/PortfolioFrontier[[#This Row],[P31 HWM]]-1</f>
        <v>0</v>
      </c>
      <c r="DW117" s="28">
        <f>SUMPRODUCT(INDEX(PortfolioRef[[SPY]:[PE]],MATCH(DW$1,PortfolioRef[Reference '#]),0),AssetMonthlyReturns[[#This Row],[SPY]:[PE]])</f>
        <v>9.5161503381927092E-3</v>
      </c>
      <c r="DX117" s="27">
        <f>IF(ISNUMBER(DX116),DX116*(1+PortfolioFrontier[[#This Row],[P32 Return]]),1+PortfolioFrontier[[#This Row],[P32 Return]])</f>
        <v>2.3787977451527196</v>
      </c>
      <c r="DY117" s="27">
        <f>MAX(DY116,PortfolioFrontier[[#This Row],[P32 Growth]])</f>
        <v>2.3787977451527196</v>
      </c>
      <c r="DZ117" s="27">
        <f>PortfolioFrontier[[#This Row],[P32 Growth]]/PortfolioFrontier[[#This Row],[P32 HWM]]-1</f>
        <v>0</v>
      </c>
      <c r="EA117" s="28">
        <f>SUMPRODUCT(INDEX(PortfolioRef[[SPY]:[PE]],MATCH(EA$1,PortfolioRef[Reference '#]),0),AssetMonthlyReturns[[#This Row],[SPY]:[PE]])</f>
        <v>9.4067276653315886E-3</v>
      </c>
      <c r="EB117" s="27">
        <f>IF(ISNUMBER(EB116),EB116*(1+PortfolioFrontier[[#This Row],[P33 Return]]),1+PortfolioFrontier[[#This Row],[P33 Return]])</f>
        <v>2.3698197963979259</v>
      </c>
      <c r="EC117" s="27">
        <f>MAX(EC116,PortfolioFrontier[[#This Row],[P33 Growth]])</f>
        <v>2.3698197963979259</v>
      </c>
      <c r="ED117" s="27">
        <f>PortfolioFrontier[[#This Row],[P33 Growth]]/PortfolioFrontier[[#This Row],[P33 HWM]]-1</f>
        <v>0</v>
      </c>
      <c r="EE117" s="28">
        <f>SUMPRODUCT(INDEX(PortfolioRef[[SPY]:[PE]],MATCH(EE$1,PortfolioRef[Reference '#]),0),AssetMonthlyReturns[[#This Row],[SPY]:[PE]])</f>
        <v>1.1809746407483423E-2</v>
      </c>
      <c r="EF117" s="27">
        <f>IF(ISNUMBER(EF116),EF116*(1+PortfolioFrontier[[#This Row],[P34 Return]]),1+PortfolioFrontier[[#This Row],[P34 Return]])</f>
        <v>2.1407612667195886</v>
      </c>
      <c r="EG117" s="27">
        <f>MAX(EG116,PortfolioFrontier[[#This Row],[P34 Growth]])</f>
        <v>2.1407612667195886</v>
      </c>
      <c r="EH117" s="27">
        <f>PortfolioFrontier[[#This Row],[P34 Growth]]/PortfolioFrontier[[#This Row],[P34 HWM]]-1</f>
        <v>0</v>
      </c>
      <c r="EI117" s="28">
        <f>SUMPRODUCT(INDEX(PortfolioRef[[SPY]:[PE]],MATCH(EI$1,PortfolioRef[Reference '#]),0),AssetMonthlyReturns[[#This Row],[SPY]:[PE]])</f>
        <v>1.3279028591701204E-2</v>
      </c>
      <c r="EJ117" s="27">
        <f>IF(ISNUMBER(EJ116),EJ116*(1+PortfolioFrontier[[#This Row],[P35 Return]]),1+PortfolioFrontier[[#This Row],[P35 Return]])</f>
        <v>2.2493789828869279</v>
      </c>
      <c r="EK117" s="27">
        <f>MAX(EK116,PortfolioFrontier[[#This Row],[P35 Growth]])</f>
        <v>2.2493789828869279</v>
      </c>
      <c r="EL117" s="27">
        <f>PortfolioFrontier[[#This Row],[P35 Growth]]/PortfolioFrontier[[#This Row],[P35 HWM]]-1</f>
        <v>0</v>
      </c>
      <c r="EM117" s="28">
        <f>SUMPRODUCT(INDEX(PortfolioRef[[SPY]:[PE]],MATCH(EM$1,PortfolioRef[Reference '#]),0),AssetMonthlyReturns[[#This Row],[SPY]:[PE]])</f>
        <v>1.0740439697022547E-2</v>
      </c>
      <c r="EN117" s="27">
        <f>IF(ISNUMBER(EN116),EN116*(1+PortfolioFrontier[[#This Row],[P36 Return]]),1+PortfolioFrontier[[#This Row],[P36 Return]])</f>
        <v>2.1776231849367997</v>
      </c>
      <c r="EO117" s="27">
        <f>MAX(EO116,PortfolioFrontier[[#This Row],[P36 Growth]])</f>
        <v>2.1776231849367997</v>
      </c>
      <c r="EP117" s="27">
        <f>PortfolioFrontier[[#This Row],[P36 Growth]]/PortfolioFrontier[[#This Row],[P36 HWM]]-1</f>
        <v>0</v>
      </c>
      <c r="EQ117" s="28">
        <f>SUMPRODUCT(INDEX(PortfolioRef[[SPY]:[PE]],MATCH(EQ$1,PortfolioRef[Reference '#]),0),AssetMonthlyReturns[[#This Row],[SPY]:[PE]])</f>
        <v>1.0631017024161428E-2</v>
      </c>
      <c r="ER117" s="27">
        <f>IF(ISNUMBER(ER116),ER116*(1+PortfolioFrontier[[#This Row],[P37 Return]]),1+PortfolioFrontier[[#This Row],[P37 Return]])</f>
        <v>2.1676183399150113</v>
      </c>
      <c r="ES117" s="27">
        <f>MAX(ES116,PortfolioFrontier[[#This Row],[P37 Growth]])</f>
        <v>2.1676183399150113</v>
      </c>
      <c r="ET117" s="27">
        <f>PortfolioFrontier[[#This Row],[P37 Growth]]/PortfolioFrontier[[#This Row],[P37 HWM]]-1</f>
        <v>0</v>
      </c>
      <c r="EU117" s="28">
        <f>SUMPRODUCT(INDEX(PortfolioRef[[SPY]:[PE]],MATCH(EU$1,PortfolioRef[Reference '#]),0),AssetMonthlyReturns[[#This Row],[SPY]:[PE]])</f>
        <v>1.4748310775918982E-2</v>
      </c>
      <c r="EV117" s="27">
        <f>IF(ISNUMBER(EV116),EV116*(1+PortfolioFrontier[[#This Row],[P38 Return]]),1+PortfolioFrontier[[#This Row],[P38 Return]])</f>
        <v>2.3625942016464032</v>
      </c>
      <c r="EW117" s="27">
        <f>MAX(EW116,PortfolioFrontier[[#This Row],[P38 Growth]])</f>
        <v>2.3625942016464032</v>
      </c>
      <c r="EX117" s="27">
        <f>PortfolioFrontier[[#This Row],[P38 Growth]]/PortfolioFrontier[[#This Row],[P38 HWM]]-1</f>
        <v>0</v>
      </c>
      <c r="EY117" s="28">
        <f>SUMPRODUCT(INDEX(PortfolioRef[[SPY]:[PE]],MATCH(EY$1,PortfolioRef[Reference '#]),0),AssetMonthlyReturns[[#This Row],[SPY]:[PE]])</f>
        <v>1.2209721881240327E-2</v>
      </c>
      <c r="EZ117" s="27">
        <f>IF(ISNUMBER(EZ116),EZ116*(1+PortfolioFrontier[[#This Row],[P39 Return]]),1+PortfolioFrontier[[#This Row],[P39 Return]])</f>
        <v>2.2881139931844037</v>
      </c>
      <c r="FA117" s="27">
        <f>MAX(FA116,PortfolioFrontier[[#This Row],[P39 Growth]])</f>
        <v>2.2881139931844037</v>
      </c>
      <c r="FB117" s="27">
        <f>PortfolioFrontier[[#This Row],[P39 Growth]]/PortfolioFrontier[[#This Row],[P39 HWM]]-1</f>
        <v>0</v>
      </c>
      <c r="FC117" s="28">
        <f>SUMPRODUCT(INDEX(PortfolioRef[[SPY]:[PE]],MATCH(FC$1,PortfolioRef[Reference '#]),0),AssetMonthlyReturns[[#This Row],[SPY]:[PE]])</f>
        <v>1.2100299208379208E-2</v>
      </c>
      <c r="FD117" s="27">
        <f>IF(ISNUMBER(FD116),FD116*(1+PortfolioFrontier[[#This Row],[P40 Return]]),1+PortfolioFrontier[[#This Row],[P40 Return]])</f>
        <v>2.2776088269478896</v>
      </c>
      <c r="FE117" s="27">
        <f>MAX(FE116,PortfolioFrontier[[#This Row],[P40 Growth]])</f>
        <v>2.2776088269478896</v>
      </c>
      <c r="FF117" s="27">
        <f>PortfolioFrontier[[#This Row],[P40 Growth]]/PortfolioFrontier[[#This Row],[P40 HWM]]-1</f>
        <v>0</v>
      </c>
      <c r="FG117" s="28">
        <f>SUMPRODUCT(INDEX(PortfolioRef[[SPY]:[PE]],MATCH(FG$1,PortfolioRef[Reference '#]),0),AssetMonthlyReturns[[#This Row],[SPY]:[PE]])</f>
        <v>9.6711329865616699E-3</v>
      </c>
      <c r="FH117" s="27">
        <f>IF(ISNUMBER(FH116),FH116*(1+PortfolioFrontier[[#This Row],[P41 Return]]),1+PortfolioFrontier[[#This Row],[P41 Return]])</f>
        <v>2.2137898420327122</v>
      </c>
      <c r="FI117" s="27">
        <f>MAX(FI116,PortfolioFrontier[[#This Row],[P41 Growth]])</f>
        <v>2.2137898420327122</v>
      </c>
      <c r="FJ117" s="27">
        <f>PortfolioFrontier[[#This Row],[P41 Growth]]/PortfolioFrontier[[#This Row],[P41 HWM]]-1</f>
        <v>0</v>
      </c>
      <c r="FK117" s="28">
        <f>SUMPRODUCT(INDEX(PortfolioRef[[SPY]:[PE]],MATCH(FK$1,PortfolioRef[Reference '#]),0),AssetMonthlyReturns[[#This Row],[SPY]:[PE]])</f>
        <v>9.561710313700551E-3</v>
      </c>
      <c r="FL117" s="27">
        <f>IF(ISNUMBER(FL116),FL116*(1+PortfolioFrontier[[#This Row],[P42 Return]]),1+PortfolioFrontier[[#This Row],[P42 Return]])</f>
        <v>2.2050647317935055</v>
      </c>
      <c r="FM117" s="27">
        <f>MAX(FM116,PortfolioFrontier[[#This Row],[P42 Growth]])</f>
        <v>2.2050647317935055</v>
      </c>
      <c r="FN117" s="27">
        <f>PortfolioFrontier[[#This Row],[P42 Growth]]/PortfolioFrontier[[#This Row],[P42 HWM]]-1</f>
        <v>0</v>
      </c>
      <c r="FO117" s="28">
        <f>SUMPRODUCT(INDEX(PortfolioRef[[SPY]:[PE]],MATCH(FO$1,PortfolioRef[Reference '#]),0),AssetMonthlyReturns[[#This Row],[SPY]:[PE]])</f>
        <v>9.4522876408394303E-3</v>
      </c>
      <c r="FP117" s="27">
        <f>IF(ISNUMBER(FP116),FP116*(1+PortfolioFrontier[[#This Row],[P43 Return]]),1+PortfolioFrontier[[#This Row],[P43 Return]])</f>
        <v>2.1944716709049645</v>
      </c>
      <c r="FQ117" s="27">
        <f>MAX(FQ116,PortfolioFrontier[[#This Row],[P43 Growth]])</f>
        <v>2.1944716709049645</v>
      </c>
      <c r="FR117" s="27">
        <f>PortfolioFrontier[[#This Row],[P43 Growth]]/PortfolioFrontier[[#This Row],[P43 HWM]]-1</f>
        <v>0</v>
      </c>
      <c r="FS117" s="28">
        <f>SUMPRODUCT(INDEX(PortfolioRef[[SPY]:[PE]],MATCH(FS$1,PortfolioRef[Reference '#]),0),AssetMonthlyReturns[[#This Row],[SPY]:[PE]])</f>
        <v>1.3679004065458106E-2</v>
      </c>
      <c r="FT117" s="27">
        <f>IF(ISNUMBER(FT116),FT116*(1+PortfolioFrontier[[#This Row],[P44 Return]]),1+PortfolioFrontier[[#This Row],[P44 Return]])</f>
        <v>2.4032821649035001</v>
      </c>
      <c r="FU117" s="27">
        <f>MAX(FU116,PortfolioFrontier[[#This Row],[P44 Growth]])</f>
        <v>2.4032821649035001</v>
      </c>
      <c r="FV117" s="27">
        <f>PortfolioFrontier[[#This Row],[P44 Growth]]/PortfolioFrontier[[#This Row],[P44 HWM]]-1</f>
        <v>0</v>
      </c>
      <c r="FW117" s="28">
        <f>SUMPRODUCT(INDEX(PortfolioRef[[SPY]:[PE]],MATCH(FW$1,PortfolioRef[Reference '#]),0),AssetMonthlyReturns[[#This Row],[SPY]:[PE]])</f>
        <v>1.3569581392596987E-2</v>
      </c>
      <c r="FX117" s="27">
        <f>IF(ISNUMBER(FX116),FX116*(1+PortfolioFrontier[[#This Row],[P45 Return]]),1+PortfolioFrontier[[#This Row],[P45 Return]])</f>
        <v>2.3922558816061543</v>
      </c>
      <c r="FY117" s="27">
        <f>MAX(FY116,PortfolioFrontier[[#This Row],[P45 Growth]])</f>
        <v>2.3922558816061543</v>
      </c>
      <c r="FZ117" s="27">
        <f>PortfolioFrontier[[#This Row],[P45 Growth]]/PortfolioFrontier[[#This Row],[P45 HWM]]-1</f>
        <v>0</v>
      </c>
      <c r="GA117" s="28">
        <f>SUMPRODUCT(INDEX(PortfolioRef[[SPY]:[PE]],MATCH(GA$1,PortfolioRef[Reference '#]),0),AssetMonthlyReturns[[#This Row],[SPY]:[PE]])</f>
        <v>1.114041517077945E-2</v>
      </c>
      <c r="GB117" s="27">
        <f>IF(ISNUMBER(GB116),GB116*(1+PortfolioFrontier[[#This Row],[P46 Return]]),1+PortfolioFrontier[[#This Row],[P46 Return]])</f>
        <v>2.3261194684326481</v>
      </c>
      <c r="GC117" s="27">
        <f>MAX(GC116,PortfolioFrontier[[#This Row],[P46 Growth]])</f>
        <v>2.3261194684326481</v>
      </c>
      <c r="GD117" s="27">
        <f>PortfolioFrontier[[#This Row],[P46 Growth]]/PortfolioFrontier[[#This Row],[P46 HWM]]-1</f>
        <v>0</v>
      </c>
      <c r="GE117" s="28">
        <f>SUMPRODUCT(INDEX(PortfolioRef[[SPY]:[PE]],MATCH(GE$1,PortfolioRef[Reference '#]),0),AssetMonthlyReturns[[#This Row],[SPY]:[PE]])</f>
        <v>1.1030992497918331E-2</v>
      </c>
      <c r="GF117" s="27">
        <f>IF(ISNUMBER(GF116),GF116*(1+PortfolioFrontier[[#This Row],[P47 Return]]),1+PortfolioFrontier[[#This Row],[P47 Return]])</f>
        <v>2.3169581509487198</v>
      </c>
      <c r="GG117" s="27">
        <f>MAX(GG116,PortfolioFrontier[[#This Row],[P47 Growth]])</f>
        <v>2.3169581509487198</v>
      </c>
      <c r="GH117" s="27">
        <f>PortfolioFrontier[[#This Row],[P47 Growth]]/PortfolioFrontier[[#This Row],[P47 HWM]]-1</f>
        <v>0</v>
      </c>
      <c r="GI117" s="28">
        <f>SUMPRODUCT(INDEX(PortfolioRef[[SPY]:[PE]],MATCH(GI$1,PortfolioRef[Reference '#]),0),AssetMonthlyReturns[[#This Row],[SPY]:[PE]])</f>
        <v>1.0921569825057211E-2</v>
      </c>
      <c r="GJ117" s="27">
        <f>IF(ISNUMBER(GJ116),GJ116*(1+PortfolioFrontier[[#This Row],[P48 Return]]),1+PortfolioFrontier[[#This Row],[P48 Return]])</f>
        <v>2.3058353048940536</v>
      </c>
      <c r="GK117" s="27">
        <f>MAX(GK116,PortfolioFrontier[[#This Row],[P48 Growth]])</f>
        <v>2.3058353048940536</v>
      </c>
      <c r="GL117" s="27">
        <f>PortfolioFrontier[[#This Row],[P48 Growth]]/PortfolioFrontier[[#This Row],[P48 HWM]]-1</f>
        <v>0</v>
      </c>
      <c r="GM117" s="28">
        <f>SUMPRODUCT(INDEX(PortfolioRef[[SPY]:[PE]],MATCH(GM$1,PortfolioRef[Reference '#]),0),AssetMonthlyReturns[[#This Row],[SPY]:[PE]])</f>
        <v>8.6018262761007932E-3</v>
      </c>
      <c r="GN117" s="27">
        <f>IF(ISNUMBER(GN116),GN116*(1+PortfolioFrontier[[#This Row],[P49 Return]]),1+PortfolioFrontier[[#This Row],[P49 Return]])</f>
        <v>2.2492011815931834</v>
      </c>
      <c r="GO117" s="27">
        <f>MAX(GO116,PortfolioFrontier[[#This Row],[P49 Growth]])</f>
        <v>2.2492011815931834</v>
      </c>
      <c r="GP117" s="27">
        <f>PortfolioFrontier[[#This Row],[P49 Growth]]/PortfolioFrontier[[#This Row],[P49 HWM]]-1</f>
        <v>0</v>
      </c>
      <c r="GQ117" s="28">
        <f>SUMPRODUCT(INDEX(PortfolioRef[[SPY]:[PE]],MATCH(GQ$1,PortfolioRef[Reference '#]),0),AssetMonthlyReturns[[#This Row],[SPY]:[PE]])</f>
        <v>8.4924036032396743E-3</v>
      </c>
      <c r="GR117" s="27">
        <f>IF(ISNUMBER(GR116),GR116*(1+PortfolioFrontier[[#This Row],[P50 Return]]),1+PortfolioFrontier[[#This Row],[P50 Return]])</f>
        <v>2.2418114824500313</v>
      </c>
      <c r="GS117" s="27">
        <f>MAX(GS116,PortfolioFrontier[[#This Row],[P50 Growth]])</f>
        <v>2.2418114824500313</v>
      </c>
      <c r="GT117" s="27">
        <f>PortfolioFrontier[[#This Row],[P50 Growth]]/PortfolioFrontier[[#This Row],[P50 HWM]]-1</f>
        <v>0</v>
      </c>
      <c r="GU117" s="28">
        <f>SUMPRODUCT(INDEX(PortfolioRef[[SPY]:[PE]],MATCH(GU$1,PortfolioRef[Reference '#]),0),AssetMonthlyReturns[[#This Row],[SPY]:[PE]])</f>
        <v>8.3829809303785537E-3</v>
      </c>
      <c r="GV117" s="27">
        <f>IF(ISNUMBER(GV116),GV116*(1+PortfolioFrontier[[#This Row],[P51 Return]]),1+PortfolioFrontier[[#This Row],[P51 Return]])</f>
        <v>2.2325055200306894</v>
      </c>
      <c r="GW117" s="27">
        <f>MAX(GW116,PortfolioFrontier[[#This Row],[P51 Growth]])</f>
        <v>2.2325055200306894</v>
      </c>
      <c r="GX117" s="27">
        <f>PortfolioFrontier[[#This Row],[P51 Growth]]/PortfolioFrontier[[#This Row],[P51 HWM]]-1</f>
        <v>0</v>
      </c>
      <c r="GY117" s="28">
        <f>SUMPRODUCT(INDEX(PortfolioRef[[SPY]:[PE]],MATCH(GY$1,PortfolioRef[Reference '#]),0),AssetMonthlyReturns[[#This Row],[SPY]:[PE]])</f>
        <v>1.2609697354997229E-2</v>
      </c>
      <c r="GZ117" s="27">
        <f>IF(ISNUMBER(GZ116),GZ116*(1+PortfolioFrontier[[#This Row],[P52 Return]]),1+PortfolioFrontier[[#This Row],[P52 Return]])</f>
        <v>2.4432049223772383</v>
      </c>
      <c r="HA117" s="27">
        <f>MAX(HA116,PortfolioFrontier[[#This Row],[P52 Growth]])</f>
        <v>2.4432049223772383</v>
      </c>
      <c r="HB117" s="27">
        <f>PortfolioFrontier[[#This Row],[P52 Growth]]/PortfolioFrontier[[#This Row],[P52 HWM]]-1</f>
        <v>0</v>
      </c>
      <c r="HC117" s="28">
        <f>SUMPRODUCT(INDEX(PortfolioRef[[SPY]:[PE]],MATCH(HC$1,PortfolioRef[Reference '#]),0),AssetMonthlyReturns[[#This Row],[SPY]:[PE]])</f>
        <v>1.250027468213611E-2</v>
      </c>
      <c r="HD117" s="27">
        <f>IF(ISNUMBER(HD116),HD116*(1+PortfolioFrontier[[#This Row],[P53 Return]]),1+PortfolioFrontier[[#This Row],[P53 Return]])</f>
        <v>2.433589284134325</v>
      </c>
      <c r="HE117" s="27">
        <f>MAX(HE116,PortfolioFrontier[[#This Row],[P53 Growth]])</f>
        <v>2.433589284134325</v>
      </c>
      <c r="HF117" s="27">
        <f>PortfolioFrontier[[#This Row],[P53 Growth]]/PortfolioFrontier[[#This Row],[P53 HWM]]-1</f>
        <v>0</v>
      </c>
      <c r="HG117" s="28">
        <f>SUMPRODUCT(INDEX(PortfolioRef[[SPY]:[PE]],MATCH(HG$1,PortfolioRef[Reference '#]),0),AssetMonthlyReturns[[#This Row],[SPY]:[PE]])</f>
        <v>1.239085200927499E-2</v>
      </c>
      <c r="HH117" s="27">
        <f>IF(ISNUMBER(HH116),HH116*(1+PortfolioFrontier[[#This Row],[P54 Return]]),1+PortfolioFrontier[[#This Row],[P54 Return]])</f>
        <v>2.42191462268014</v>
      </c>
      <c r="HI117" s="27">
        <f>MAX(HI116,PortfolioFrontier[[#This Row],[P54 Growth]])</f>
        <v>2.42191462268014</v>
      </c>
      <c r="HJ117" s="27">
        <f>PortfolioFrontier[[#This Row],[P54 Growth]]/PortfolioFrontier[[#This Row],[P54 HWM]]-1</f>
        <v>0</v>
      </c>
      <c r="HK117" s="28">
        <f>SUMPRODUCT(INDEX(PortfolioRef[[SPY]:[PE]],MATCH(HK$1,PortfolioRef[Reference '#]),0),AssetMonthlyReturns[[#This Row],[SPY]:[PE]])</f>
        <v>1.0071108460318572E-2</v>
      </c>
      <c r="HL117" s="27">
        <f>IF(ISNUMBER(HL116),HL116*(1+PortfolioFrontier[[#This Row],[P55 Return]]),1+PortfolioFrontier[[#This Row],[P55 Return]])</f>
        <v>2.3633323471463124</v>
      </c>
      <c r="HM117" s="27">
        <f>MAX(HM116,PortfolioFrontier[[#This Row],[P55 Growth]])</f>
        <v>2.3633323471463124</v>
      </c>
      <c r="HN117" s="27">
        <f>PortfolioFrontier[[#This Row],[P55 Growth]]/PortfolioFrontier[[#This Row],[P55 HWM]]-1</f>
        <v>0</v>
      </c>
      <c r="HO117" s="28">
        <f>SUMPRODUCT(INDEX(PortfolioRef[[SPY]:[PE]],MATCH(HO$1,PortfolioRef[Reference '#]),0),AssetMonthlyReturns[[#This Row],[SPY]:[PE]])</f>
        <v>9.961685787457453E-3</v>
      </c>
      <c r="HP117" s="27">
        <f>IF(ISNUMBER(HP116),HP116*(1+PortfolioFrontier[[#This Row],[P56 Return]]),1+PortfolioFrontier[[#This Row],[P56 Return]])</f>
        <v>2.3555733474608411</v>
      </c>
      <c r="HQ117" s="27">
        <f>MAX(HQ116,PortfolioFrontier[[#This Row],[P56 Growth]])</f>
        <v>2.3555733474608411</v>
      </c>
      <c r="HR117" s="27">
        <f>PortfolioFrontier[[#This Row],[P56 Growth]]/PortfolioFrontier[[#This Row],[P56 HWM]]-1</f>
        <v>0</v>
      </c>
      <c r="HS117" s="28">
        <f>SUMPRODUCT(INDEX(PortfolioRef[[SPY]:[PE]],MATCH(HS$1,PortfolioRef[Reference '#]),0),AssetMonthlyReturns[[#This Row],[SPY]:[PE]])</f>
        <v>9.8522631145963324E-3</v>
      </c>
      <c r="HT117" s="27">
        <f>IF(ISNUMBER(HT116),HT116*(1+PortfolioFrontier[[#This Row],[P57 Return]]),1+PortfolioFrontier[[#This Row],[P57 Return]])</f>
        <v>2.3458020884637216</v>
      </c>
      <c r="HU117" s="27">
        <f>MAX(HU116,PortfolioFrontier[[#This Row],[P57 Growth]])</f>
        <v>2.3458020884637216</v>
      </c>
      <c r="HV117" s="27">
        <f>PortfolioFrontier[[#This Row],[P57 Growth]]/PortfolioFrontier[[#This Row],[P57 HWM]]-1</f>
        <v>0</v>
      </c>
      <c r="HW117" s="28">
        <f>SUMPRODUCT(INDEX(PortfolioRef[[SPY]:[PE]],MATCH(HW$1,PortfolioRef[Reference '#]),0),AssetMonthlyReturns[[#This Row],[SPY]:[PE]])</f>
        <v>7.5325195656399174E-3</v>
      </c>
      <c r="HX117" s="27">
        <f>IF(ISNUMBER(HX116),HX116*(1+PortfolioFrontier[[#This Row],[P58 Return]]),1+PortfolioFrontier[[#This Row],[P58 Return]])</f>
        <v>2.2837970487605146</v>
      </c>
      <c r="HY117" s="27">
        <f>MAX(HY116,PortfolioFrontier[[#This Row],[P58 Growth]])</f>
        <v>2.2837970487605146</v>
      </c>
      <c r="HZ117" s="27">
        <f>PortfolioFrontier[[#This Row],[P58 Growth]]/PortfolioFrontier[[#This Row],[P58 HWM]]-1</f>
        <v>0</v>
      </c>
      <c r="IA117" s="28">
        <f>SUMPRODUCT(INDEX(PortfolioRef[[SPY]:[PE]],MATCH(IA$1,PortfolioRef[Reference '#]),0),AssetMonthlyReturns[[#This Row],[SPY]:[PE]])</f>
        <v>7.4230968927787976E-3</v>
      </c>
      <c r="IB117" s="27">
        <f>IF(ISNUMBER(IB116),IB116*(1+PortfolioFrontier[[#This Row],[P59 Return]]),1+PortfolioFrontier[[#This Row],[P59 Return]])</f>
        <v>2.2777976892380289</v>
      </c>
      <c r="IC117" s="27">
        <f>MAX(IC116,PortfolioFrontier[[#This Row],[P59 Growth]])</f>
        <v>2.2777976892380289</v>
      </c>
      <c r="ID117" s="27">
        <f>PortfolioFrontier[[#This Row],[P59 Growth]]/PortfolioFrontier[[#This Row],[P59 HWM]]-1</f>
        <v>0</v>
      </c>
      <c r="IE117" s="28">
        <f>SUMPRODUCT(INDEX(PortfolioRef[[SPY]:[PE]],MATCH(IE$1,PortfolioRef[Reference '#]),0),AssetMonthlyReturns[[#This Row],[SPY]:[PE]])</f>
        <v>7.313674219917677E-3</v>
      </c>
      <c r="IF117" s="27">
        <f>IF(ISNUMBER(IF116),IF116*(1+PortfolioFrontier[[#This Row],[P60 Return]]),1+PortfolioFrontier[[#This Row],[P60 Return]])</f>
        <v>2.2698354571422676</v>
      </c>
      <c r="IG117" s="27">
        <f>MAX(IG116,PortfolioFrontier[[#This Row],[P60 Growth]])</f>
        <v>2.2698354571422676</v>
      </c>
      <c r="IH117" s="27">
        <f>PortfolioFrontier[[#This Row],[P60 Growth]]/PortfolioFrontier[[#This Row],[P60 HWM]]-1</f>
        <v>0</v>
      </c>
      <c r="II117" s="28">
        <f>SUMPRODUCT(INDEX(PortfolioRef[[SPY]:[PE]],MATCH(II$1,PortfolioRef[Reference '#]),0),AssetMonthlyReturns[[#This Row],[SPY]:[PE]])</f>
        <v>1.0785999672530388E-2</v>
      </c>
      <c r="IJ117" s="27">
        <f>IF(ISNUMBER(IJ116),IJ116*(1+PortfolioFrontier[[#This Row],[P61 Return]]),1+PortfolioFrontier[[#This Row],[P61 Return]])</f>
        <v>2.0147834497445749</v>
      </c>
      <c r="IK117" s="27">
        <f>MAX(IK116,PortfolioFrontier[[#This Row],[P61 Growth]])</f>
        <v>2.0147834497445749</v>
      </c>
      <c r="IL117" s="27">
        <f>PortfolioFrontier[[#This Row],[P61 Growth]]/PortfolioFrontier[[#This Row],[P61 HWM]]-1</f>
        <v>0</v>
      </c>
      <c r="IM117" s="28">
        <f>SUMPRODUCT(INDEX(PortfolioRef[[SPY]:[PE]],MATCH(IM$1,PortfolioRef[Reference '#]),0),AssetMonthlyReturns[[#This Row],[SPY]:[PE]])</f>
        <v>1.2255281856748167E-2</v>
      </c>
      <c r="IN117" s="27">
        <f>IF(ISNUMBER(IN116),IN116*(1+PortfolioFrontier[[#This Row],[P62 Return]]),1+PortfolioFrontier[[#This Row],[P62 Return]])</f>
        <v>2.1170094193715085</v>
      </c>
      <c r="IO117" s="27">
        <f>MAX(IO116,PortfolioFrontier[[#This Row],[P62 Growth]])</f>
        <v>2.1170094193715085</v>
      </c>
      <c r="IP117" s="27">
        <f>PortfolioFrontier[[#This Row],[P62 Growth]]/PortfolioFrontier[[#This Row],[P62 HWM]]-1</f>
        <v>0</v>
      </c>
      <c r="IQ117" s="28">
        <f>SUMPRODUCT(INDEX(PortfolioRef[[SPY]:[PE]],MATCH(IQ$1,PortfolioRef[Reference '#]),0),AssetMonthlyReturns[[#This Row],[SPY]:[PE]])</f>
        <v>9.7166929620695116E-3</v>
      </c>
      <c r="IR117" s="27">
        <f>IF(ISNUMBER(IR116),IR116*(1+PortfolioFrontier[[#This Row],[P63 Return]]),1+PortfolioFrontier[[#This Row],[P63 Return]])</f>
        <v>2.0502978193121302</v>
      </c>
      <c r="IS117" s="27">
        <f>MAX(IS116,PortfolioFrontier[[#This Row],[P63 Growth]])</f>
        <v>2.0502978193121302</v>
      </c>
      <c r="IT117" s="27">
        <f>PortfolioFrontier[[#This Row],[P63 Growth]]/PortfolioFrontier[[#This Row],[P63 HWM]]-1</f>
        <v>0</v>
      </c>
      <c r="IU117" s="28">
        <f>SUMPRODUCT(INDEX(PortfolioRef[[SPY]:[PE]],MATCH(IU$1,PortfolioRef[Reference '#]),0),AssetMonthlyReturns[[#This Row],[SPY]:[PE]])</f>
        <v>9.6072702892083927E-3</v>
      </c>
      <c r="IV117" s="27">
        <f>IF(ISNUMBER(IV116),IV116*(1+PortfolioFrontier[[#This Row],[P64 Return]]),1+PortfolioFrontier[[#This Row],[P64 Return]])</f>
        <v>2.0401093756981714</v>
      </c>
      <c r="IW117" s="27">
        <f>MAX(IW116,PortfolioFrontier[[#This Row],[P64 Growth]])</f>
        <v>2.0401093756981714</v>
      </c>
      <c r="IX117" s="27">
        <f>PortfolioFrontier[[#This Row],[P64 Growth]]/PortfolioFrontier[[#This Row],[P64 HWM]]-1</f>
        <v>0</v>
      </c>
      <c r="IY117" s="28">
        <f>SUMPRODUCT(INDEX(PortfolioRef[[SPY]:[PE]],MATCH(IY$1,PortfolioRef[Reference '#]),0),AssetMonthlyReturns[[#This Row],[SPY]:[PE]])</f>
        <v>1.3724564040965948E-2</v>
      </c>
      <c r="IZ117" s="27">
        <f>IF(ISNUMBER(IZ116),IZ116*(1+PortfolioFrontier[[#This Row],[P65 Return]]),1+PortfolioFrontier[[#This Row],[P65 Return]])</f>
        <v>2.2235612084473377</v>
      </c>
      <c r="JA117" s="27">
        <f>MAX(JA116,PortfolioFrontier[[#This Row],[P65 Growth]])</f>
        <v>2.2235612084473377</v>
      </c>
      <c r="JB117" s="27">
        <f>PortfolioFrontier[[#This Row],[P65 Growth]]/PortfolioFrontier[[#This Row],[P65 HWM]]-1</f>
        <v>0</v>
      </c>
      <c r="JC117" s="28">
        <f>SUMPRODUCT(INDEX(PortfolioRef[[SPY]:[PE]],MATCH(JC$1,PortfolioRef[Reference '#]),0),AssetMonthlyReturns[[#This Row],[SPY]:[PE]])</f>
        <v>1.118597514628729E-2</v>
      </c>
      <c r="JD117" s="27">
        <f>IF(ISNUMBER(JD116),JD116*(1+PortfolioFrontier[[#This Row],[P66 Return]]),1+PortfolioFrontier[[#This Row],[P66 Return]])</f>
        <v>2.1543278932046461</v>
      </c>
      <c r="JE117" s="27">
        <f>MAX(JE116,PortfolioFrontier[[#This Row],[P66 Growth]])</f>
        <v>2.1543278932046461</v>
      </c>
      <c r="JF117" s="27">
        <f>PortfolioFrontier[[#This Row],[P66 Growth]]/PortfolioFrontier[[#This Row],[P66 HWM]]-1</f>
        <v>0</v>
      </c>
      <c r="JG117" s="28">
        <f>SUMPRODUCT(INDEX(PortfolioRef[[SPY]:[PE]],MATCH(JG$1,PortfolioRef[Reference '#]),0),AssetMonthlyReturns[[#This Row],[SPY]:[PE]])</f>
        <v>1.1076552473426171E-2</v>
      </c>
      <c r="JH117" s="27">
        <f>IF(ISNUMBER(JH116),JH116*(1+PortfolioFrontier[[#This Row],[P67 Return]]),1+PortfolioFrontier[[#This Row],[P67 Return]])</f>
        <v>2.1436298186922604</v>
      </c>
      <c r="JI117" s="27">
        <f>MAX(JI116,PortfolioFrontier[[#This Row],[P67 Growth]])</f>
        <v>2.1436298186922604</v>
      </c>
      <c r="JJ117" s="27">
        <f>PortfolioFrontier[[#This Row],[P67 Growth]]/PortfolioFrontier[[#This Row],[P67 HWM]]-1</f>
        <v>0</v>
      </c>
      <c r="JK117" s="28">
        <f>SUMPRODUCT(INDEX(PortfolioRef[[SPY]:[PE]],MATCH(JK$1,PortfolioRef[Reference '#]),0),AssetMonthlyReturns[[#This Row],[SPY]:[PE]])</f>
        <v>8.6473862516086349E-3</v>
      </c>
      <c r="JL117" s="27">
        <f>IF(ISNUMBER(JL116),JL116*(1+PortfolioFrontier[[#This Row],[P68 Return]]),1+PortfolioFrontier[[#This Row],[P68 Return]])</f>
        <v>2.0851877977595361</v>
      </c>
      <c r="JM117" s="27">
        <f>MAX(JM116,PortfolioFrontier[[#This Row],[P68 Growth]])</f>
        <v>2.0851877977595361</v>
      </c>
      <c r="JN117" s="27">
        <f>PortfolioFrontier[[#This Row],[P68 Growth]]/PortfolioFrontier[[#This Row],[P68 HWM]]-1</f>
        <v>0</v>
      </c>
      <c r="JO117" s="28">
        <f>SUMPRODUCT(INDEX(PortfolioRef[[SPY]:[PE]],MATCH(JO$1,PortfolioRef[Reference '#]),0),AssetMonthlyReturns[[#This Row],[SPY]:[PE]])</f>
        <v>8.537963578747516E-3</v>
      </c>
      <c r="JP117" s="27">
        <f>IF(ISNUMBER(JP116),JP116*(1+PortfolioFrontier[[#This Row],[P69 Return]]),1+PortfolioFrontier[[#This Row],[P69 Return]])</f>
        <v>2.0761850195953926</v>
      </c>
      <c r="JQ117" s="27">
        <f>MAX(JQ116,PortfolioFrontier[[#This Row],[P69 Growth]])</f>
        <v>2.0761850195953926</v>
      </c>
      <c r="JR117" s="27">
        <f>PortfolioFrontier[[#This Row],[P69 Growth]]/PortfolioFrontier[[#This Row],[P69 HWM]]-1</f>
        <v>0</v>
      </c>
      <c r="JS117" s="28">
        <f>SUMPRODUCT(INDEX(PortfolioRef[[SPY]:[PE]],MATCH(JS$1,PortfolioRef[Reference '#]),0),AssetMonthlyReturns[[#This Row],[SPY]:[PE]])</f>
        <v>8.4285409058863954E-3</v>
      </c>
      <c r="JT117" s="27">
        <f>IF(ISNUMBER(JT116),JT116*(1+PortfolioFrontier[[#This Row],[P70 Return]]),1+PortfolioFrontier[[#This Row],[P70 Return]])</f>
        <v>2.0654329574663226</v>
      </c>
      <c r="JU117" s="27">
        <f>MAX(JU116,PortfolioFrontier[[#This Row],[P70 Growth]])</f>
        <v>2.0654329574663226</v>
      </c>
      <c r="JV117" s="27">
        <f>PortfolioFrontier[[#This Row],[P70 Growth]]/PortfolioFrontier[[#This Row],[P70 HWM]]-1</f>
        <v>0</v>
      </c>
      <c r="JW117" s="28">
        <f>SUMPRODUCT(INDEX(PortfolioRef[[SPY]:[PE]],MATCH(JW$1,PortfolioRef[Reference '#]),0),AssetMonthlyReturns[[#This Row],[SPY]:[PE]])</f>
        <v>1.2655257330505071E-2</v>
      </c>
      <c r="JX117" s="27">
        <f>IF(ISNUMBER(JX116),JX116*(1+PortfolioFrontier[[#This Row],[P71 Return]]),1+PortfolioFrontier[[#This Row],[P71 Return]])</f>
        <v>2.2627606601381705</v>
      </c>
      <c r="JY117" s="27">
        <f>MAX(JY116,PortfolioFrontier[[#This Row],[P71 Growth]])</f>
        <v>2.2627606601381705</v>
      </c>
      <c r="JZ117" s="27">
        <f>PortfolioFrontier[[#This Row],[P71 Growth]]/PortfolioFrontier[[#This Row],[P71 HWM]]-1</f>
        <v>0</v>
      </c>
      <c r="KA117" s="28">
        <f>SUMPRODUCT(INDEX(PortfolioRef[[SPY]:[PE]],MATCH(KA$1,PortfolioRef[Reference '#]),0),AssetMonthlyReturns[[#This Row],[SPY]:[PE]])</f>
        <v>1.2545834657643952E-2</v>
      </c>
      <c r="KB117" s="27">
        <f>IF(ISNUMBER(KB116),KB116*(1+PortfolioFrontier[[#This Row],[P72 Return]]),1+PortfolioFrontier[[#This Row],[P72 Return]])</f>
        <v>2.2515317633543668</v>
      </c>
      <c r="KC117" s="27">
        <f>MAX(KC116,PortfolioFrontier[[#This Row],[P72 Growth]])</f>
        <v>2.2515317633543668</v>
      </c>
      <c r="KD117" s="27">
        <f>PortfolioFrontier[[#This Row],[P72 Growth]]/PortfolioFrontier[[#This Row],[P72 HWM]]-1</f>
        <v>0</v>
      </c>
      <c r="KE117" s="28">
        <f>SUMPRODUCT(INDEX(PortfolioRef[[SPY]:[PE]],MATCH(KE$1,PortfolioRef[Reference '#]),0),AssetMonthlyReturns[[#This Row],[SPY]:[PE]])</f>
        <v>1.0116668435826414E-2</v>
      </c>
      <c r="KF117" s="27">
        <f>IF(ISNUMBER(KF116),KF116*(1+PortfolioFrontier[[#This Row],[P73 Return]]),1+PortfolioFrontier[[#This Row],[P73 Return]])</f>
        <v>2.1909912233345632</v>
      </c>
      <c r="KG117" s="27">
        <f>MAX(KG116,PortfolioFrontier[[#This Row],[P73 Growth]])</f>
        <v>2.1909912233345632</v>
      </c>
      <c r="KH117" s="27">
        <f>PortfolioFrontier[[#This Row],[P73 Growth]]/PortfolioFrontier[[#This Row],[P73 HWM]]-1</f>
        <v>0</v>
      </c>
      <c r="KI117" s="28">
        <f>SUMPRODUCT(INDEX(PortfolioRef[[SPY]:[PE]],MATCH(KI$1,PortfolioRef[Reference '#]),0),AssetMonthlyReturns[[#This Row],[SPY]:[PE]])</f>
        <v>1.0007245762965295E-2</v>
      </c>
      <c r="KJ117" s="27">
        <f>IF(ISNUMBER(KJ116),KJ116*(1+PortfolioFrontier[[#This Row],[P74 Return]]),1+PortfolioFrontier[[#This Row],[P74 Return]])</f>
        <v>2.1815382157735472</v>
      </c>
      <c r="KK117" s="27">
        <f>MAX(KK116,PortfolioFrontier[[#This Row],[P74 Growth]])</f>
        <v>2.1815382157735472</v>
      </c>
      <c r="KL117" s="27">
        <f>PortfolioFrontier[[#This Row],[P74 Growth]]/PortfolioFrontier[[#This Row],[P74 HWM]]-1</f>
        <v>0</v>
      </c>
      <c r="KM117" s="28">
        <f>SUMPRODUCT(INDEX(PortfolioRef[[SPY]:[PE]],MATCH(KM$1,PortfolioRef[Reference '#]),0),AssetMonthlyReturns[[#This Row],[SPY]:[PE]])</f>
        <v>9.8978230901041742E-3</v>
      </c>
      <c r="KN117" s="27">
        <f>IF(ISNUMBER(KN116),KN116*(1+PortfolioFrontier[[#This Row],[P75 Return]]),1+PortfolioFrontier[[#This Row],[P75 Return]])</f>
        <v>2.1702482865094521</v>
      </c>
      <c r="KO117" s="27">
        <f>MAX(KO116,PortfolioFrontier[[#This Row],[P75 Growth]])</f>
        <v>2.1702482865094521</v>
      </c>
      <c r="KP117" s="27">
        <f>PortfolioFrontier[[#This Row],[P75 Growth]]/PortfolioFrontier[[#This Row],[P75 HWM]]-1</f>
        <v>0</v>
      </c>
      <c r="KQ117" s="28">
        <f>SUMPRODUCT(INDEX(PortfolioRef[[SPY]:[PE]],MATCH(KQ$1,PortfolioRef[Reference '#]),0),AssetMonthlyReturns[[#This Row],[SPY]:[PE]])</f>
        <v>7.5780795411477591E-3</v>
      </c>
      <c r="KR117" s="27">
        <f>IF(ISNUMBER(KR116),KR116*(1+PortfolioFrontier[[#This Row],[P76 Return]]),1+PortfolioFrontier[[#This Row],[P76 Return]])</f>
        <v>2.1193963026344744</v>
      </c>
      <c r="KS117" s="27">
        <f>MAX(KS116,PortfolioFrontier[[#This Row],[P76 Growth]])</f>
        <v>2.1193963026344744</v>
      </c>
      <c r="KT117" s="27">
        <f>PortfolioFrontier[[#This Row],[P76 Growth]]/PortfolioFrontier[[#This Row],[P76 HWM]]-1</f>
        <v>0</v>
      </c>
      <c r="KU117" s="28">
        <f>SUMPRODUCT(INDEX(PortfolioRef[[SPY]:[PE]],MATCH(KU$1,PortfolioRef[Reference '#]),0),AssetMonthlyReturns[[#This Row],[SPY]:[PE]])</f>
        <v>7.4686568682866394E-3</v>
      </c>
      <c r="KV117" s="27">
        <f>IF(ISNUMBER(KV116),KV116*(1+PortfolioFrontier[[#This Row],[P77 Return]]),1+PortfolioFrontier[[#This Row],[P77 Return]])</f>
        <v>2.1116325988450346</v>
      </c>
      <c r="KW117" s="27">
        <f>MAX(KW116,PortfolioFrontier[[#This Row],[P77 Growth]])</f>
        <v>2.1116325988450346</v>
      </c>
      <c r="KX117" s="27">
        <f>PortfolioFrontier[[#This Row],[P77 Growth]]/PortfolioFrontier[[#This Row],[P77 HWM]]-1</f>
        <v>0</v>
      </c>
      <c r="KY117" s="28">
        <f>SUMPRODUCT(INDEX(PortfolioRef[[SPY]:[PE]],MATCH(KY$1,PortfolioRef[Reference '#]),0),AssetMonthlyReturns[[#This Row],[SPY]:[PE]])</f>
        <v>7.3592341954255187E-3</v>
      </c>
      <c r="KZ117" s="27">
        <f>IF(ISNUMBER(KZ116),KZ116*(1+PortfolioFrontier[[#This Row],[P78 Return]]),1+PortfolioFrontier[[#This Row],[P78 Return]])</f>
        <v>2.1020727178867187</v>
      </c>
      <c r="LA117" s="27">
        <f>MAX(LA116,PortfolioFrontier[[#This Row],[P78 Growth]])</f>
        <v>2.1020727178867187</v>
      </c>
      <c r="LB117" s="27">
        <f>PortfolioFrontier[[#This Row],[P78 Growth]]/PortfolioFrontier[[#This Row],[P78 HWM]]-1</f>
        <v>0</v>
      </c>
      <c r="LC117" s="28">
        <f>SUMPRODUCT(INDEX(PortfolioRef[[SPY]:[PE]],MATCH(LC$1,PortfolioRef[Reference '#]),0),AssetMonthlyReturns[[#This Row],[SPY]:[PE]])</f>
        <v>1.1585950620044194E-2</v>
      </c>
      <c r="LD117" s="27">
        <f>IF(ISNUMBER(LD116),LD116*(1+PortfolioFrontier[[#This Row],[P79 Return]]),1+PortfolioFrontier[[#This Row],[P79 Return]])</f>
        <v>2.3012729647428936</v>
      </c>
      <c r="LE117" s="27">
        <f>MAX(LE116,PortfolioFrontier[[#This Row],[P79 Growth]])</f>
        <v>2.3012729647428936</v>
      </c>
      <c r="LF117" s="27">
        <f>PortfolioFrontier[[#This Row],[P79 Growth]]/PortfolioFrontier[[#This Row],[P79 HWM]]-1</f>
        <v>0</v>
      </c>
      <c r="LG117" s="28">
        <f>SUMPRODUCT(INDEX(PortfolioRef[[SPY]:[PE]],MATCH(LG$1,PortfolioRef[Reference '#]),0),AssetMonthlyReturns[[#This Row],[SPY]:[PE]])</f>
        <v>1.1476527947183075E-2</v>
      </c>
      <c r="LH117" s="27">
        <f>IF(ISNUMBER(LH116),LH116*(1+PortfolioFrontier[[#This Row],[P80 Return]]),1+PortfolioFrontier[[#This Row],[P80 Return]])</f>
        <v>2.2913510208835484</v>
      </c>
      <c r="LI117" s="27">
        <f>MAX(LI116,PortfolioFrontier[[#This Row],[P80 Growth]])</f>
        <v>2.2913510208835484</v>
      </c>
      <c r="LJ117" s="27">
        <f>PortfolioFrontier[[#This Row],[P80 Growth]]/PortfolioFrontier[[#This Row],[P80 HWM]]-1</f>
        <v>0</v>
      </c>
      <c r="LK117" s="28">
        <f>SUMPRODUCT(INDEX(PortfolioRef[[SPY]:[PE]],MATCH(LK$1,PortfolioRef[Reference '#]),0),AssetMonthlyReturns[[#This Row],[SPY]:[PE]])</f>
        <v>1.1367105274321955E-2</v>
      </c>
      <c r="LL117" s="27">
        <f>IF(ISNUMBER(LL116),LL116*(1+PortfolioFrontier[[#This Row],[P81 Return]]),1+PortfolioFrontier[[#This Row],[P81 Return]])</f>
        <v>2.2795008500914018</v>
      </c>
      <c r="LM117" s="27">
        <f>MAX(LM116,PortfolioFrontier[[#This Row],[P81 Growth]])</f>
        <v>2.2795008500914018</v>
      </c>
      <c r="LN117" s="27">
        <f>PortfolioFrontier[[#This Row],[P81 Growth]]/PortfolioFrontier[[#This Row],[P81 HWM]]-1</f>
        <v>0</v>
      </c>
      <c r="LO117" s="28">
        <f>SUMPRODUCT(INDEX(PortfolioRef[[SPY]:[PE]],MATCH(LO$1,PortfolioRef[Reference '#]),0),AssetMonthlyReturns[[#This Row],[SPY]:[PE]])</f>
        <v>9.047361725365537E-3</v>
      </c>
      <c r="LP117" s="27">
        <f>IF(ISNUMBER(LP116),LP116*(1+PortfolioFrontier[[#This Row],[P82 Return]]),1+PortfolioFrontier[[#This Row],[P82 Return]])</f>
        <v>2.2269394719582816</v>
      </c>
      <c r="LQ117" s="27">
        <f>MAX(LQ116,PortfolioFrontier[[#This Row],[P82 Growth]])</f>
        <v>2.2269394719582816</v>
      </c>
      <c r="LR117" s="27">
        <f>PortfolioFrontier[[#This Row],[P82 Growth]]/PortfolioFrontier[[#This Row],[P82 HWM]]-1</f>
        <v>0</v>
      </c>
      <c r="LS117" s="28">
        <f>SUMPRODUCT(INDEX(PortfolioRef[[SPY]:[PE]],MATCH(LS$1,PortfolioRef[Reference '#]),0),AssetMonthlyReturns[[#This Row],[SPY]:[PE]])</f>
        <v>8.9379390525044181E-3</v>
      </c>
      <c r="LT117" s="27">
        <f>IF(ISNUMBER(LT116),LT116*(1+PortfolioFrontier[[#This Row],[P83 Return]]),1+PortfolioFrontier[[#This Row],[P83 Return]])</f>
        <v>2.2187876184170277</v>
      </c>
      <c r="LU117" s="27">
        <f>MAX(LU116,PortfolioFrontier[[#This Row],[P83 Growth]])</f>
        <v>2.2187876184170277</v>
      </c>
      <c r="LV117" s="27">
        <f>PortfolioFrontier[[#This Row],[P83 Growth]]/PortfolioFrontier[[#This Row],[P83 HWM]]-1</f>
        <v>0</v>
      </c>
      <c r="LW117" s="28">
        <f>SUMPRODUCT(INDEX(PortfolioRef[[SPY]:[PE]],MATCH(LW$1,PortfolioRef[Reference '#]),0),AssetMonthlyReturns[[#This Row],[SPY]:[PE]])</f>
        <v>8.8285163796432975E-3</v>
      </c>
      <c r="LX117" s="27">
        <f>IF(ISNUMBER(LX116),LX116*(1+PortfolioFrontier[[#This Row],[P84 Return]]),1+PortfolioFrontier[[#This Row],[P84 Return]])</f>
        <v>2.2087496036489909</v>
      </c>
      <c r="LY117" s="27">
        <f>MAX(LY116,PortfolioFrontier[[#This Row],[P84 Growth]])</f>
        <v>2.2087496036489909</v>
      </c>
      <c r="LZ117" s="27">
        <f>PortfolioFrontier[[#This Row],[P84 Growth]]/PortfolioFrontier[[#This Row],[P84 HWM]]-1</f>
        <v>0</v>
      </c>
      <c r="MA117" s="28">
        <f>SUMPRODUCT(INDEX(PortfolioRef[[SPY]:[PE]],MATCH(MA$1,PortfolioRef[Reference '#]),0),AssetMonthlyReturns[[#This Row],[SPY]:[PE]])</f>
        <v>6.5087728306868825E-3</v>
      </c>
      <c r="MB117" s="27">
        <f>IF(ISNUMBER(MB116),MB116*(1+PortfolioFrontier[[#This Row],[P85 Return]]),1+PortfolioFrontier[[#This Row],[P85 Return]])</f>
        <v>2.1528660772696102</v>
      </c>
      <c r="MC117" s="27">
        <f>MAX(MC116,PortfolioFrontier[[#This Row],[P85 Growth]])</f>
        <v>2.1528660772696102</v>
      </c>
      <c r="MD117" s="27">
        <f>PortfolioFrontier[[#This Row],[P85 Growth]]/PortfolioFrontier[[#This Row],[P85 HWM]]-1</f>
        <v>0</v>
      </c>
      <c r="ME117" s="28">
        <f>SUMPRODUCT(INDEX(PortfolioRef[[SPY]:[PE]],MATCH(ME$1,PortfolioRef[Reference '#]),0),AssetMonthlyReturns[[#This Row],[SPY]:[PE]])</f>
        <v>6.3993501578257627E-3</v>
      </c>
      <c r="MF117" s="27">
        <f>IF(ISNUMBER(MF116),MF116*(1+PortfolioFrontier[[#This Row],[P86 Return]]),1+PortfolioFrontier[[#This Row],[P86 Return]])</f>
        <v>2.1463942308907296</v>
      </c>
      <c r="MG117" s="27">
        <f>MAX(MG116,PortfolioFrontier[[#This Row],[P86 Growth]])</f>
        <v>2.1463942308907296</v>
      </c>
      <c r="MH117" s="27">
        <f>PortfolioFrontier[[#This Row],[P86 Growth]]/PortfolioFrontier[[#This Row],[P86 HWM]]-1</f>
        <v>0</v>
      </c>
      <c r="MI117" s="28">
        <f>SUMPRODUCT(INDEX(PortfolioRef[[SPY]:[PE]],MATCH(MI$1,PortfolioRef[Reference '#]),0),AssetMonthlyReturns[[#This Row],[SPY]:[PE]])</f>
        <v>6.2899274849646421E-3</v>
      </c>
      <c r="MJ117" s="27">
        <f>IF(ISNUMBER(MJ116),MJ116*(1+PortfolioFrontier[[#This Row],[P87 Return]]),1+PortfolioFrontier[[#This Row],[P87 Return]])</f>
        <v>2.1380808453798581</v>
      </c>
      <c r="MK117" s="27">
        <f>MAX(MK116,PortfolioFrontier[[#This Row],[P87 Growth]])</f>
        <v>2.1380808453798581</v>
      </c>
      <c r="ML117" s="27">
        <f>PortfolioFrontier[[#This Row],[P87 Growth]]/PortfolioFrontier[[#This Row],[P87 HWM]]-1</f>
        <v>0</v>
      </c>
      <c r="MM117" s="28">
        <f>SUMPRODUCT(INDEX(PortfolioRef[[SPY]:[PE]],MATCH(MM$1,PortfolioRef[Reference '#]),0),AssetMonthlyReturns[[#This Row],[SPY]:[PE]])</f>
        <v>1.0516643909583318E-2</v>
      </c>
      <c r="MN117" s="27">
        <f>IF(ISNUMBER(MN116),MN116*(1+PortfolioFrontier[[#This Row],[P88 Return]]),1+PortfolioFrontier[[#This Row],[P88 Return]])</f>
        <v>2.3390352094873204</v>
      </c>
      <c r="MO117" s="27">
        <f>MAX(MO116,PortfolioFrontier[[#This Row],[P88 Growth]])</f>
        <v>2.3390352094873204</v>
      </c>
      <c r="MP117" s="27">
        <f>PortfolioFrontier[[#This Row],[P88 Growth]]/PortfolioFrontier[[#This Row],[P88 HWM]]-1</f>
        <v>0</v>
      </c>
      <c r="MQ117" s="28">
        <f>SUMPRODUCT(INDEX(PortfolioRef[[SPY]:[PE]],MATCH(MQ$1,PortfolioRef[Reference '#]),0),AssetMonthlyReturns[[#This Row],[SPY]:[PE]])</f>
        <v>1.0407221236722199E-2</v>
      </c>
      <c r="MR117" s="27">
        <f>IF(ISNUMBER(MR116),MR116*(1+PortfolioFrontier[[#This Row],[P89 Return]]),1+PortfolioFrontier[[#This Row],[P89 Return]])</f>
        <v>2.330479096307474</v>
      </c>
      <c r="MS117" s="27">
        <f>MAX(MS116,PortfolioFrontier[[#This Row],[P89 Growth]])</f>
        <v>2.330479096307474</v>
      </c>
      <c r="MT117" s="27">
        <f>PortfolioFrontier[[#This Row],[P89 Growth]]/PortfolioFrontier[[#This Row],[P89 HWM]]-1</f>
        <v>0</v>
      </c>
      <c r="MU117" s="28">
        <f>SUMPRODUCT(INDEX(PortfolioRef[[SPY]:[PE]],MATCH(MU$1,PortfolioRef[Reference '#]),0),AssetMonthlyReturns[[#This Row],[SPY]:[PE]])</f>
        <v>1.0297798563861078E-2</v>
      </c>
      <c r="MV117" s="27">
        <f>IF(ISNUMBER(MV116),MV116*(1+PortfolioFrontier[[#This Row],[P90 Return]]),1+PortfolioFrontier[[#This Row],[P90 Return]])</f>
        <v>2.319943072112606</v>
      </c>
      <c r="MW117" s="27">
        <f>MAX(MW116,PortfolioFrontier[[#This Row],[P90 Growth]])</f>
        <v>2.319943072112606</v>
      </c>
      <c r="MX117" s="27">
        <f>PortfolioFrontier[[#This Row],[P90 Growth]]/PortfolioFrontier[[#This Row],[P90 HWM]]-1</f>
        <v>0</v>
      </c>
      <c r="MY117" s="28">
        <f>SUMPRODUCT(INDEX(PortfolioRef[[SPY]:[PE]],MATCH(MY$1,PortfolioRef[Reference '#]),0),AssetMonthlyReturns[[#This Row],[SPY]:[PE]])</f>
        <v>7.9780550149046604E-3</v>
      </c>
      <c r="MZ117" s="27">
        <f>IF(ISNUMBER(MZ116),MZ116*(1+PortfolioFrontier[[#This Row],[P91 Return]]),1+PortfolioFrontier[[#This Row],[P91 Return]])</f>
        <v>2.2621125165495179</v>
      </c>
      <c r="NA117" s="27">
        <f>MAX(NA116,PortfolioFrontier[[#This Row],[P91 Growth]])</f>
        <v>2.2621125165495179</v>
      </c>
      <c r="NB117" s="27">
        <f>PortfolioFrontier[[#This Row],[P91 Growth]]/PortfolioFrontier[[#This Row],[P91 HWM]]-1</f>
        <v>0</v>
      </c>
      <c r="NC117" s="28">
        <f>SUMPRODUCT(INDEX(PortfolioRef[[SPY]:[PE]],MATCH(NC$1,PortfolioRef[Reference '#]),0),AssetMonthlyReturns[[#This Row],[SPY]:[PE]])</f>
        <v>7.8686323420435415E-3</v>
      </c>
      <c r="ND117" s="27">
        <f>IF(ISNUMBER(ND116),ND116*(1+PortfolioFrontier[[#This Row],[P92 Return]]),1+PortfolioFrontier[[#This Row],[P92 Return]])</f>
        <v>2.2553172485936059</v>
      </c>
      <c r="NE117" s="27">
        <f>MAX(NE116,PortfolioFrontier[[#This Row],[P92 Growth]])</f>
        <v>2.2553172485936059</v>
      </c>
      <c r="NF117" s="27">
        <f>PortfolioFrontier[[#This Row],[P92 Growth]]/PortfolioFrontier[[#This Row],[P92 HWM]]-1</f>
        <v>0</v>
      </c>
      <c r="NG117" s="28">
        <f>SUMPRODUCT(INDEX(PortfolioRef[[SPY]:[PE]],MATCH(NG$1,PortfolioRef[Reference '#]),0),AssetMonthlyReturns[[#This Row],[SPY]:[PE]])</f>
        <v>7.7592096691824208E-3</v>
      </c>
      <c r="NH117" s="27">
        <f>IF(ISNUMBER(NH116),NH116*(1+PortfolioFrontier[[#This Row],[P93 Return]]),1+PortfolioFrontier[[#This Row],[P93 Return]])</f>
        <v>2.2465881861286472</v>
      </c>
      <c r="NI117" s="27">
        <f>MAX(NI116,PortfolioFrontier[[#This Row],[P93 Growth]])</f>
        <v>2.2465881861286472</v>
      </c>
      <c r="NJ117" s="27">
        <f>PortfolioFrontier[[#This Row],[P93 Growth]]/PortfolioFrontier[[#This Row],[P93 HWM]]-1</f>
        <v>0</v>
      </c>
      <c r="NK117" s="28">
        <f>SUMPRODUCT(INDEX(PortfolioRef[[SPY]:[PE]],MATCH(NK$1,PortfolioRef[Reference '#]),0),AssetMonthlyReturns[[#This Row],[SPY]:[PE]])</f>
        <v>5.4394661202260058E-3</v>
      </c>
      <c r="NL117" s="27">
        <f>IF(ISNUMBER(NL116),NL116*(1+PortfolioFrontier[[#This Row],[P94 Return]]),1+PortfolioFrontier[[#This Row],[P94 Return]])</f>
        <v>2.1855398130437429</v>
      </c>
      <c r="NM117" s="27">
        <f>MAX(NM116,PortfolioFrontier[[#This Row],[P94 Growth]])</f>
        <v>2.1855398130437429</v>
      </c>
      <c r="NN117" s="27">
        <f>PortfolioFrontier[[#This Row],[P94 Growth]]/PortfolioFrontier[[#This Row],[P94 HWM]]-1</f>
        <v>0</v>
      </c>
      <c r="NO117" s="28">
        <f>SUMPRODUCT(INDEX(PortfolioRef[[SPY]:[PE]],MATCH(NO$1,PortfolioRef[Reference '#]),0),AssetMonthlyReturns[[#This Row],[SPY]:[PE]])</f>
        <v>5.330043447364886E-3</v>
      </c>
      <c r="NP117" s="27">
        <f>IF(ISNUMBER(NP116),NP116*(1+PortfolioFrontier[[#This Row],[P95 Return]]),1+PortfolioFrontier[[#This Row],[P95 Return]])</f>
        <v>2.1804118451186425</v>
      </c>
      <c r="NQ117" s="27">
        <f>MAX(NQ116,PortfolioFrontier[[#This Row],[P95 Growth]])</f>
        <v>2.1804118451186425</v>
      </c>
      <c r="NR117" s="27">
        <f>PortfolioFrontier[[#This Row],[P95 Growth]]/PortfolioFrontier[[#This Row],[P95 HWM]]-1</f>
        <v>0</v>
      </c>
      <c r="NS117" s="28">
        <f>SUMPRODUCT(INDEX(PortfolioRef[[SPY]:[PE]],MATCH(NS$1,PortfolioRef[Reference '#]),0),AssetMonthlyReturns[[#This Row],[SPY]:[PE]])</f>
        <v>5.2206207745037654E-3</v>
      </c>
      <c r="NT117" s="27">
        <f>IF(ISNUMBER(NT116),NT116*(1+PortfolioFrontier[[#This Row],[P96 Return]]),1+PortfolioFrontier[[#This Row],[P96 Return]])</f>
        <v>2.1733986552491333</v>
      </c>
      <c r="NU117" s="27">
        <f>MAX(NU116,PortfolioFrontier[[#This Row],[P96 Growth]])</f>
        <v>2.1733986552491333</v>
      </c>
      <c r="NV117" s="27">
        <f>PortfolioFrontier[[#This Row],[P96 Growth]]/PortfolioFrontier[[#This Row],[P96 HWM]]-1</f>
        <v>0</v>
      </c>
      <c r="NW117" s="28">
        <f>SUMPRODUCT(INDEX(PortfolioRef[[SPY]:[PE]],MATCH(NW$1,PortfolioRef[Reference '#]),0),AssetMonthlyReturns[[#This Row],[SPY]:[PE]])</f>
        <v>9.7622529375773533E-3</v>
      </c>
      <c r="NX117" s="27">
        <f>IF(ISNUMBER(NX116),NX116*(1+PortfolioFrontier[[#This Row],[P97 Return]]),1+PortfolioFrontier[[#This Row],[P97 Return]])</f>
        <v>1.8952504944942266</v>
      </c>
      <c r="NY117" s="27">
        <f>MAX(NY116,PortfolioFrontier[[#This Row],[P97 Growth]])</f>
        <v>1.8952504944942266</v>
      </c>
      <c r="NZ117" s="27">
        <f>PortfolioFrontier[[#This Row],[P97 Growth]]/PortfolioFrontier[[#This Row],[P97 HWM]]-1</f>
        <v>0</v>
      </c>
      <c r="OA117" s="28">
        <f>SUMPRODUCT(INDEX(PortfolioRef[[SPY]:[PE]],MATCH(OA$1,PortfolioRef[Reference '#]),0),AssetMonthlyReturns[[#This Row],[SPY]:[PE]])</f>
        <v>1.1231535121795132E-2</v>
      </c>
      <c r="OB117" s="27">
        <f>IF(ISNUMBER(OB116),OB116*(1+PortfolioFrontier[[#This Row],[P98 Return]]),1+PortfolioFrontier[[#This Row],[P98 Return]])</f>
        <v>1.9914125039540786</v>
      </c>
      <c r="OC117" s="27">
        <f>MAX(OC116,PortfolioFrontier[[#This Row],[P98 Growth]])</f>
        <v>1.9914125039540786</v>
      </c>
      <c r="OD117" s="27">
        <f>PortfolioFrontier[[#This Row],[P98 Growth]]/PortfolioFrontier[[#This Row],[P98 HWM]]-1</f>
        <v>0</v>
      </c>
      <c r="OE117" s="28">
        <f>SUMPRODUCT(INDEX(PortfolioRef[[SPY]:[PE]],MATCH(OE$1,PortfolioRef[Reference '#]),0),AssetMonthlyReturns[[#This Row],[SPY]:[PE]])</f>
        <v>8.6929462271164767E-3</v>
      </c>
      <c r="OF117" s="27">
        <f>IF(ISNUMBER(OF116),OF116*(1+PortfolioFrontier[[#This Row],[P99 Return]]),1+PortfolioFrontier[[#This Row],[P99 Return]])</f>
        <v>1.9294301222705907</v>
      </c>
      <c r="OG117" s="27">
        <f>MAX(OG116,PortfolioFrontier[[#This Row],[P99 Growth]])</f>
        <v>1.9294301222705907</v>
      </c>
      <c r="OH117" s="27">
        <f>PortfolioFrontier[[#This Row],[P99 Growth]]/PortfolioFrontier[[#This Row],[P99 HWM]]-1</f>
        <v>0</v>
      </c>
      <c r="OI117" s="28">
        <f>SUMPRODUCT(INDEX(PortfolioRef[[SPY]:[PE]],MATCH(OI$1,PortfolioRef[Reference '#]),0),AssetMonthlyReturns[[#This Row],[SPY]:[PE]])</f>
        <v>8.5835235542553578E-3</v>
      </c>
      <c r="OJ117" s="27">
        <f>IF(ISNUMBER(OJ116),OJ116*(1+PortfolioFrontier[[#This Row],[P100 Return]]),1+PortfolioFrontier[[#This Row],[P100 Return]])</f>
        <v>1.9191203450846683</v>
      </c>
      <c r="OK117" s="27">
        <f>MAX(OK116,PortfolioFrontier[[#This Row],[P100 Growth]])</f>
        <v>1.9191203450846683</v>
      </c>
      <c r="OL117" s="27">
        <f>PortfolioFrontier[[#This Row],[P100 Growth]]/PortfolioFrontier[[#This Row],[P100 HWM]]-1</f>
        <v>0</v>
      </c>
      <c r="OM117" s="28">
        <f>SUMPRODUCT(INDEX(PortfolioRef[[SPY]:[PE]],MATCH(OM$1,PortfolioRef[Reference '#]),0),AssetMonthlyReturns[[#This Row],[SPY]:[PE]])</f>
        <v>1.2700817306012913E-2</v>
      </c>
      <c r="ON117" s="27">
        <f>IF(ISNUMBER(ON116),ON116*(1+PortfolioFrontier[[#This Row],[P101 Return]]),1+PortfolioFrontier[[#This Row],[P101 Return]])</f>
        <v>2.0916426857518426</v>
      </c>
      <c r="OO117" s="27">
        <f>MAX(OO116,PortfolioFrontier[[#This Row],[P101 Growth]])</f>
        <v>2.0916426857518426</v>
      </c>
      <c r="OP117" s="27">
        <f>PortfolioFrontier[[#This Row],[P101 Growth]]/PortfolioFrontier[[#This Row],[P101 HWM]]-1</f>
        <v>0</v>
      </c>
      <c r="OQ117" s="28">
        <f>SUMPRODUCT(INDEX(PortfolioRef[[SPY]:[PE]],MATCH(OQ$1,PortfolioRef[Reference '#]),0),AssetMonthlyReturns[[#This Row],[SPY]:[PE]])</f>
        <v>1.0162228411334255E-2</v>
      </c>
      <c r="OR117" s="27">
        <f>IF(ISNUMBER(OR116),OR116*(1+PortfolioFrontier[[#This Row],[P102 Return]]),1+PortfolioFrontier[[#This Row],[P102 Return]])</f>
        <v>2.0273279771220372</v>
      </c>
      <c r="OS117" s="27">
        <f>MAX(OS116,PortfolioFrontier[[#This Row],[P102 Growth]])</f>
        <v>2.0273279771220372</v>
      </c>
      <c r="OT117" s="27">
        <f>PortfolioFrontier[[#This Row],[P102 Growth]]/PortfolioFrontier[[#This Row],[P102 HWM]]-1</f>
        <v>0</v>
      </c>
      <c r="OU117" s="28">
        <f>SUMPRODUCT(INDEX(PortfolioRef[[SPY]:[PE]],MATCH(OU$1,PortfolioRef[Reference '#]),0),AssetMonthlyReturns[[#This Row],[SPY]:[PE]])</f>
        <v>1.0052805738473137E-2</v>
      </c>
      <c r="OV117" s="27">
        <f>IF(ISNUMBER(OV116),OV116*(1+PortfolioFrontier[[#This Row],[P103 Return]]),1+PortfolioFrontier[[#This Row],[P103 Return]])</f>
        <v>2.0165023839485268</v>
      </c>
      <c r="OW117" s="27">
        <f>MAX(OW116,PortfolioFrontier[[#This Row],[P103 Growth]])</f>
        <v>2.0165023839485268</v>
      </c>
      <c r="OX117" s="27">
        <f>PortfolioFrontier[[#This Row],[P103 Growth]]/PortfolioFrontier[[#This Row],[P103 HWM]]-1</f>
        <v>0</v>
      </c>
      <c r="OY117" s="28">
        <f>SUMPRODUCT(INDEX(PortfolioRef[[SPY]:[PE]],MATCH(OY$1,PortfolioRef[Reference '#]),0),AssetMonthlyReturns[[#This Row],[SPY]:[PE]])</f>
        <v>7.6236395166556009E-3</v>
      </c>
      <c r="OZ117" s="27">
        <f>IF(ISNUMBER(OZ116),OZ116*(1+PortfolioFrontier[[#This Row],[P104 Return]]),1+PortfolioFrontier[[#This Row],[P104 Return]])</f>
        <v>1.9630510795072089</v>
      </c>
      <c r="PA117" s="27">
        <f>MAX(PA116,PortfolioFrontier[[#This Row],[P104 Growth]])</f>
        <v>1.9630510795072089</v>
      </c>
      <c r="PB117" s="27">
        <f>PortfolioFrontier[[#This Row],[P104 Growth]]/PortfolioFrontier[[#This Row],[P104 HWM]]-1</f>
        <v>0</v>
      </c>
      <c r="PC117" s="28">
        <f>SUMPRODUCT(INDEX(PortfolioRef[[SPY]:[PE]],MATCH(PC$1,PortfolioRef[Reference '#]),0),AssetMonthlyReturns[[#This Row],[SPY]:[PE]])</f>
        <v>7.5142168437944811E-3</v>
      </c>
      <c r="PD117" s="27">
        <f>IF(ISNUMBER(PD116),PD116*(1+PortfolioFrontier[[#This Row],[P105 Return]]),1+PortfolioFrontier[[#This Row],[P105 Return]])</f>
        <v>1.9538385099511162</v>
      </c>
      <c r="PE117" s="27">
        <f>MAX(PE116,PortfolioFrontier[[#This Row],[P105 Growth]])</f>
        <v>1.9538385099511162</v>
      </c>
      <c r="PF117" s="27">
        <f>PortfolioFrontier[[#This Row],[P105 Growth]]/PortfolioFrontier[[#This Row],[P105 HWM]]-1</f>
        <v>0</v>
      </c>
      <c r="PG117" s="28">
        <f>SUMPRODUCT(INDEX(PortfolioRef[[SPY]:[PE]],MATCH(PG$1,PortfolioRef[Reference '#]),0),AssetMonthlyReturns[[#This Row],[SPY]:[PE]])</f>
        <v>7.4047941709333605E-3</v>
      </c>
      <c r="PH117" s="27">
        <f>IF(ISNUMBER(PH116),PH116*(1+PortfolioFrontier[[#This Row],[P106 Return]]),1+PortfolioFrontier[[#This Row],[P106 Return]])</f>
        <v>1.942989093123511</v>
      </c>
      <c r="PI117" s="27">
        <f>MAX(PI116,PortfolioFrontier[[#This Row],[P106 Growth]])</f>
        <v>1.942989093123511</v>
      </c>
      <c r="PJ117" s="27">
        <f>PortfolioFrontier[[#This Row],[P106 Growth]]/PortfolioFrontier[[#This Row],[P106 HWM]]-1</f>
        <v>0</v>
      </c>
      <c r="PK117" s="28">
        <f>SUMPRODUCT(INDEX(PortfolioRef[[SPY]:[PE]],MATCH(PK$1,PortfolioRef[Reference '#]),0),AssetMonthlyReturns[[#This Row],[SPY]:[PE]])</f>
        <v>1.1631510595552036E-2</v>
      </c>
      <c r="PL117" s="27">
        <f>IF(ISNUMBER(PL116),PL116*(1+PortfolioFrontier[[#This Row],[P107 Return]]),1+PortfolioFrontier[[#This Row],[P107 Return]])</f>
        <v>2.1293679270065811</v>
      </c>
      <c r="PM117" s="27">
        <f>MAX(PM116,PortfolioFrontier[[#This Row],[P107 Growth]])</f>
        <v>2.1293679270065811</v>
      </c>
      <c r="PN117" s="27">
        <f>PortfolioFrontier[[#This Row],[P107 Growth]]/PortfolioFrontier[[#This Row],[P107 HWM]]-1</f>
        <v>0</v>
      </c>
      <c r="PO117" s="28">
        <f>SUMPRODUCT(INDEX(PortfolioRef[[SPY]:[PE]],MATCH(PO$1,PortfolioRef[Reference '#]),0),AssetMonthlyReturns[[#This Row],[SPY]:[PE]])</f>
        <v>1.1522087922690917E-2</v>
      </c>
      <c r="PP117" s="27">
        <f>IF(ISNUMBER(PP116),PP116*(1+PortfolioFrontier[[#This Row],[P108 Return]]),1+PortfolioFrontier[[#This Row],[P108 Return]])</f>
        <v>2.1180050624002553</v>
      </c>
      <c r="PQ117" s="27">
        <f>MAX(PQ116,PortfolioFrontier[[#This Row],[P108 Growth]])</f>
        <v>2.1180050624002553</v>
      </c>
      <c r="PR117" s="27">
        <f>PortfolioFrontier[[#This Row],[P108 Growth]]/PortfolioFrontier[[#This Row],[P108 HWM]]-1</f>
        <v>0</v>
      </c>
      <c r="PS117" s="28">
        <f>SUMPRODUCT(INDEX(PortfolioRef[[SPY]:[PE]],MATCH(PS$1,PortfolioRef[Reference '#]),0),AssetMonthlyReturns[[#This Row],[SPY]:[PE]])</f>
        <v>9.0929217008733788E-3</v>
      </c>
      <c r="PT117" s="27">
        <f>IF(ISNUMBER(PT116),PT116*(1+PortfolioFrontier[[#This Row],[P109 Return]]),1+PortfolioFrontier[[#This Row],[P109 Return]])</f>
        <v>2.062657291402628</v>
      </c>
      <c r="PU117" s="27">
        <f>MAX(PU116,PortfolioFrontier[[#This Row],[P109 Growth]])</f>
        <v>2.062657291402628</v>
      </c>
      <c r="PV117" s="27">
        <f>PortfolioFrontier[[#This Row],[P109 Growth]]/PortfolioFrontier[[#This Row],[P109 HWM]]-1</f>
        <v>0</v>
      </c>
      <c r="PW117" s="28">
        <f>SUMPRODUCT(INDEX(PortfolioRef[[SPY]:[PE]],MATCH(PW$1,PortfolioRef[Reference '#]),0),AssetMonthlyReturns[[#This Row],[SPY]:[PE]])</f>
        <v>8.9834990280122599E-3</v>
      </c>
      <c r="PX117" s="27">
        <f>IF(ISNUMBER(PX116),PX116*(1+PortfolioFrontier[[#This Row],[P110 Return]]),1+PortfolioFrontier[[#This Row],[P110 Return]])</f>
        <v>2.0529838766439266</v>
      </c>
      <c r="PY117" s="27">
        <f>MAX(PY116,PortfolioFrontier[[#This Row],[P110 Growth]])</f>
        <v>2.0529838766439266</v>
      </c>
      <c r="PZ117" s="27">
        <f>PortfolioFrontier[[#This Row],[P110 Growth]]/PortfolioFrontier[[#This Row],[P110 HWM]]-1</f>
        <v>0</v>
      </c>
      <c r="QA117" s="28">
        <f>SUMPRODUCT(INDEX(PortfolioRef[[SPY]:[PE]],MATCH(QA$1,PortfolioRef[Reference '#]),0),AssetMonthlyReturns[[#This Row],[SPY]:[PE]])</f>
        <v>8.8740763551511392E-3</v>
      </c>
      <c r="QB117" s="27">
        <f>IF(ISNUMBER(QB116),QB116*(1+PortfolioFrontier[[#This Row],[P111 Return]]),1+PortfolioFrontier[[#This Row],[P111 Return]])</f>
        <v>2.0415916046290379</v>
      </c>
      <c r="QC117" s="27">
        <f>MAX(QC116,PortfolioFrontier[[#This Row],[P111 Growth]])</f>
        <v>2.0415916046290379</v>
      </c>
      <c r="QD117" s="27">
        <f>PortfolioFrontier[[#This Row],[P111 Growth]]/PortfolioFrontier[[#This Row],[P111 HWM]]-1</f>
        <v>0</v>
      </c>
      <c r="QE117" s="28">
        <f>SUMPRODUCT(INDEX(PortfolioRef[[SPY]:[PE]],MATCH(QE$1,PortfolioRef[Reference '#]),0),AssetMonthlyReturns[[#This Row],[SPY]:[PE]])</f>
        <v>6.5543328061947242E-3</v>
      </c>
      <c r="QF117" s="27">
        <f>IF(ISNUMBER(QF116),QF116*(1+PortfolioFrontier[[#This Row],[P112 Return]]),1+PortfolioFrontier[[#This Row],[P112 Return]])</f>
        <v>1.9960591726640924</v>
      </c>
      <c r="QG117" s="27">
        <f>MAX(QG116,PortfolioFrontier[[#This Row],[P112 Growth]])</f>
        <v>1.9960591726640924</v>
      </c>
      <c r="QH117" s="27">
        <f>PortfolioFrontier[[#This Row],[P112 Growth]]/PortfolioFrontier[[#This Row],[P112 HWM]]-1</f>
        <v>0</v>
      </c>
      <c r="QI117" s="28">
        <f>SUMPRODUCT(INDEX(PortfolioRef[[SPY]:[PE]],MATCH(QI$1,PortfolioRef[Reference '#]),0),AssetMonthlyReturns[[#This Row],[SPY]:[PE]])</f>
        <v>6.4449101333336044E-3</v>
      </c>
      <c r="QJ117" s="27">
        <f>IF(ISNUMBER(QJ116),QJ116*(1+PortfolioFrontier[[#This Row],[P113 Return]]),1+PortfolioFrontier[[#This Row],[P113 Return]])</f>
        <v>1.9879949785369562</v>
      </c>
      <c r="QK117" s="27">
        <f>MAX(QK116,PortfolioFrontier[[#This Row],[P113 Growth]])</f>
        <v>1.9879949785369562</v>
      </c>
      <c r="QL117" s="27">
        <f>PortfolioFrontier[[#This Row],[P113 Growth]]/PortfolioFrontier[[#This Row],[P113 HWM]]-1</f>
        <v>0</v>
      </c>
      <c r="QM117" s="28">
        <f>SUMPRODUCT(INDEX(PortfolioRef[[SPY]:[PE]],MATCH(QM$1,PortfolioRef[Reference '#]),0),AssetMonthlyReturns[[#This Row],[SPY]:[PE]])</f>
        <v>6.3354874604724838E-3</v>
      </c>
      <c r="QN117" s="27">
        <f>IF(ISNUMBER(QN116),QN116*(1+PortfolioFrontier[[#This Row],[P114 Return]]),1+PortfolioFrontier[[#This Row],[P114 Return]])</f>
        <v>1.9782485015745341</v>
      </c>
      <c r="QO117" s="27">
        <f>MAX(QO116,PortfolioFrontier[[#This Row],[P114 Growth]])</f>
        <v>1.9782485015745341</v>
      </c>
      <c r="QP117" s="27">
        <f>PortfolioFrontier[[#This Row],[P114 Growth]]/PortfolioFrontier[[#This Row],[P114 HWM]]-1</f>
        <v>0</v>
      </c>
      <c r="QQ117" s="28">
        <f>SUMPRODUCT(INDEX(PortfolioRef[[SPY]:[PE]],MATCH(QQ$1,PortfolioRef[Reference '#]),0),AssetMonthlyReturns[[#This Row],[SPY]:[PE]])</f>
        <v>1.0562203885091159E-2</v>
      </c>
      <c r="QR117" s="27">
        <f>IF(ISNUMBER(QR116),QR116*(1+PortfolioFrontier[[#This Row],[P115 Return]]),1+PortfolioFrontier[[#This Row],[P115 Return]])</f>
        <v>2.1664784054506026</v>
      </c>
      <c r="QS117" s="27">
        <f>MAX(QS116,PortfolioFrontier[[#This Row],[P115 Growth]])</f>
        <v>2.1664784054506026</v>
      </c>
      <c r="QT117" s="27">
        <f>PortfolioFrontier[[#This Row],[P115 Growth]]/PortfolioFrontier[[#This Row],[P115 HWM]]-1</f>
        <v>0</v>
      </c>
      <c r="QU117" s="28">
        <f>SUMPRODUCT(INDEX(PortfolioRef[[SPY]:[PE]],MATCH(QU$1,PortfolioRef[Reference '#]),0),AssetMonthlyReturns[[#This Row],[SPY]:[PE]])</f>
        <v>1.045278121223004E-2</v>
      </c>
      <c r="QV117" s="27">
        <f>IF(ISNUMBER(QV116),QV116*(1+PortfolioFrontier[[#This Row],[P116 Return]]),1+PortfolioFrontier[[#This Row],[P116 Return]])</f>
        <v>2.1563249885632412</v>
      </c>
      <c r="QW117" s="27">
        <f>MAX(QW116,PortfolioFrontier[[#This Row],[P116 Growth]])</f>
        <v>2.1563249885632412</v>
      </c>
      <c r="QX117" s="27">
        <f>PortfolioFrontier[[#This Row],[P116 Growth]]/PortfolioFrontier[[#This Row],[P116 HWM]]-1</f>
        <v>0</v>
      </c>
      <c r="QY117" s="28">
        <f>SUMPRODUCT(INDEX(PortfolioRef[[SPY]:[PE]],MATCH(QY$1,PortfolioRef[Reference '#]),0),AssetMonthlyReturns[[#This Row],[SPY]:[PE]])</f>
        <v>1.034335853936892E-2</v>
      </c>
      <c r="QZ117" s="27">
        <f>IF(ISNUMBER(QZ116),QZ116*(1+PortfolioFrontier[[#This Row],[P117 Return]]),1+PortfolioFrontier[[#This Row],[P117 Return]])</f>
        <v>2.1443672729861976</v>
      </c>
      <c r="RA117" s="27">
        <f>MAX(RA116,PortfolioFrontier[[#This Row],[P117 Growth]])</f>
        <v>2.1443672729861976</v>
      </c>
      <c r="RB117" s="27">
        <f>PortfolioFrontier[[#This Row],[P117 Growth]]/PortfolioFrontier[[#This Row],[P117 HWM]]-1</f>
        <v>0</v>
      </c>
      <c r="RC117" s="28">
        <f>SUMPRODUCT(INDEX(PortfolioRef[[SPY]:[PE]],MATCH(RC$1,PortfolioRef[Reference '#]),0),AssetMonthlyReturns[[#This Row],[SPY]:[PE]])</f>
        <v>8.0236149904125021E-3</v>
      </c>
      <c r="RD117" s="27">
        <f>IF(ISNUMBER(RD116),RD116*(1+PortfolioFrontier[[#This Row],[P118 Return]]),1+PortfolioFrontier[[#This Row],[P118 Return]])</f>
        <v>2.0973435432257466</v>
      </c>
      <c r="RE117" s="27">
        <f>MAX(RE116,PortfolioFrontier[[#This Row],[P118 Growth]])</f>
        <v>2.0973435432257466</v>
      </c>
      <c r="RF117" s="27">
        <f>PortfolioFrontier[[#This Row],[P118 Growth]]/PortfolioFrontier[[#This Row],[P118 HWM]]-1</f>
        <v>0</v>
      </c>
      <c r="RG117" s="28">
        <f>SUMPRODUCT(INDEX(PortfolioRef[[SPY]:[PE]],MATCH(RG$1,PortfolioRef[Reference '#]),0),AssetMonthlyReturns[[#This Row],[SPY]:[PE]])</f>
        <v>7.9141923175513832E-3</v>
      </c>
      <c r="RH117" s="27">
        <f>IF(ISNUMBER(RH116),RH116*(1+PortfolioFrontier[[#This Row],[P119 Return]]),1+PortfolioFrontier[[#This Row],[P119 Return]])</f>
        <v>2.0888760396916703</v>
      </c>
      <c r="RI117" s="27">
        <f>MAX(RI116,PortfolioFrontier[[#This Row],[P119 Growth]])</f>
        <v>2.0888760396916703</v>
      </c>
      <c r="RJ117" s="27">
        <f>PortfolioFrontier[[#This Row],[P119 Growth]]/PortfolioFrontier[[#This Row],[P119 HWM]]-1</f>
        <v>0</v>
      </c>
      <c r="RK117" s="28">
        <f>SUMPRODUCT(INDEX(PortfolioRef[[SPY]:[PE]],MATCH(RK$1,PortfolioRef[Reference '#]),0),AssetMonthlyReturns[[#This Row],[SPY]:[PE]])</f>
        <v>7.8047696446902626E-3</v>
      </c>
      <c r="RL117" s="27">
        <f>IF(ISNUMBER(RL116),RL116*(1+PortfolioFrontier[[#This Row],[P120 Return]]),1+PortfolioFrontier[[#This Row],[P120 Return]])</f>
        <v>2.0786419706049686</v>
      </c>
      <c r="RM117" s="27">
        <f>MAX(RM116,PortfolioFrontier[[#This Row],[P120 Growth]])</f>
        <v>2.0786419706049686</v>
      </c>
      <c r="RN117" s="27">
        <f>PortfolioFrontier[[#This Row],[P120 Growth]]/PortfolioFrontier[[#This Row],[P120 HWM]]-1</f>
        <v>0</v>
      </c>
      <c r="RO117" s="28">
        <f>SUMPRODUCT(INDEX(PortfolioRef[[SPY]:[PE]],MATCH(RO$1,PortfolioRef[Reference '#]),0),AssetMonthlyReturns[[#This Row],[SPY]:[PE]])</f>
        <v>5.4850260957338475E-3</v>
      </c>
      <c r="RP117" s="27">
        <f>IF(ISNUMBER(RP116),RP116*(1+PortfolioFrontier[[#This Row],[P121 Return]]),1+PortfolioFrontier[[#This Row],[P121 Return]])</f>
        <v>2.028399967118907</v>
      </c>
      <c r="RQ117" s="27">
        <f>MAX(RQ116,PortfolioFrontier[[#This Row],[P121 Growth]])</f>
        <v>2.028399967118907</v>
      </c>
      <c r="RR117" s="27">
        <f>PortfolioFrontier[[#This Row],[P121 Growth]]/PortfolioFrontier[[#This Row],[P121 HWM]]-1</f>
        <v>0</v>
      </c>
      <c r="RS117" s="28">
        <f>SUMPRODUCT(INDEX(PortfolioRef[[SPY]:[PE]],MATCH(RS$1,PortfolioRef[Reference '#]),0),AssetMonthlyReturns[[#This Row],[SPY]:[PE]])</f>
        <v>5.3756034228727278E-3</v>
      </c>
      <c r="RT117" s="27">
        <f>IF(ISNUMBER(RT116),RT116*(1+PortfolioFrontier[[#This Row],[P122 Return]]),1+PortfolioFrontier[[#This Row],[P122 Return]])</f>
        <v>2.0215348016393033</v>
      </c>
      <c r="RU117" s="27">
        <f>MAX(RU116,PortfolioFrontier[[#This Row],[P122 Growth]])</f>
        <v>2.0215348016393033</v>
      </c>
      <c r="RV117" s="27">
        <f>PortfolioFrontier[[#This Row],[P122 Growth]]/PortfolioFrontier[[#This Row],[P122 HWM]]-1</f>
        <v>0</v>
      </c>
      <c r="RW117" s="28">
        <f>SUMPRODUCT(INDEX(PortfolioRef[[SPY]:[PE]],MATCH(RW$1,PortfolioRef[Reference '#]),0),AssetMonthlyReturns[[#This Row],[SPY]:[PE]])</f>
        <v>5.2661807500116072E-3</v>
      </c>
      <c r="RX117" s="27">
        <f>IF(ISNUMBER(RX116),RX116*(1+PortfolioFrontier[[#This Row],[P123 Return]]),1+PortfolioFrontier[[#This Row],[P123 Return]])</f>
        <v>2.0129432892900994</v>
      </c>
      <c r="RY117" s="27">
        <f>MAX(RY116,PortfolioFrontier[[#This Row],[P123 Growth]])</f>
        <v>2.0129432892900994</v>
      </c>
      <c r="RZ117" s="27">
        <f>PortfolioFrontier[[#This Row],[P123 Growth]]/PortfolioFrontier[[#This Row],[P123 HWM]]-1</f>
        <v>0</v>
      </c>
      <c r="SA117" s="28">
        <f>SUMPRODUCT(INDEX(PortfolioRef[[SPY]:[PE]],MATCH(SA$1,PortfolioRef[Reference '#]),0),AssetMonthlyReturns[[#This Row],[SPY]:[PE]])</f>
        <v>9.4928971746302826E-3</v>
      </c>
      <c r="SB117" s="27">
        <f>IF(ISNUMBER(SB116),SB116*(1+PortfolioFrontier[[#This Row],[P124 Return]]),1+PortfolioFrontier[[#This Row],[P124 Return]])</f>
        <v>2.2029143940230722</v>
      </c>
      <c r="SC117" s="27">
        <f>MAX(SC116,PortfolioFrontier[[#This Row],[P124 Growth]])</f>
        <v>2.2029143940230722</v>
      </c>
      <c r="SD117" s="27">
        <f>PortfolioFrontier[[#This Row],[P124 Growth]]/PortfolioFrontier[[#This Row],[P124 HWM]]-1</f>
        <v>0</v>
      </c>
      <c r="SE117" s="28">
        <f>SUMPRODUCT(INDEX(PortfolioRef[[SPY]:[PE]],MATCH(SE$1,PortfolioRef[Reference '#]),0),AssetMonthlyReturns[[#This Row],[SPY]:[PE]])</f>
        <v>9.3834745017691637E-3</v>
      </c>
      <c r="SF117" s="27">
        <f>IF(ISNUMBER(SF116),SF116*(1+PortfolioFrontier[[#This Row],[P125 Return]]),1+PortfolioFrontier[[#This Row],[P125 Return]])</f>
        <v>2.1940268304038586</v>
      </c>
      <c r="SG117" s="27">
        <f>MAX(SG116,PortfolioFrontier[[#This Row],[P125 Growth]])</f>
        <v>2.1940268304038586</v>
      </c>
      <c r="SH117" s="27">
        <f>PortfolioFrontier[[#This Row],[P125 Growth]]/PortfolioFrontier[[#This Row],[P125 HWM]]-1</f>
        <v>0</v>
      </c>
      <c r="SI117" s="28">
        <f>SUMPRODUCT(INDEX(PortfolioRef[[SPY]:[PE]],MATCH(SI$1,PortfolioRef[Reference '#]),0),AssetMonthlyReturns[[#This Row],[SPY]:[PE]])</f>
        <v>9.2740518289080431E-3</v>
      </c>
      <c r="SJ117" s="27">
        <f>IF(ISNUMBER(SJ116),SJ116*(1+PortfolioFrontier[[#This Row],[P126 Return]]),1+PortfolioFrontier[[#This Row],[P126 Return]])</f>
        <v>2.1832848919546204</v>
      </c>
      <c r="SK117" s="27">
        <f>MAX(SK116,PortfolioFrontier[[#This Row],[P126 Growth]])</f>
        <v>2.1832848919546204</v>
      </c>
      <c r="SL117" s="27">
        <f>PortfolioFrontier[[#This Row],[P126 Growth]]/PortfolioFrontier[[#This Row],[P126 HWM]]-1</f>
        <v>0</v>
      </c>
      <c r="SM117" s="28">
        <f>SUMPRODUCT(INDEX(PortfolioRef[[SPY]:[PE]],MATCH(SM$1,PortfolioRef[Reference '#]),0),AssetMonthlyReturns[[#This Row],[SPY]:[PE]])</f>
        <v>6.9543082799516263E-3</v>
      </c>
      <c r="SN117" s="27">
        <f>IF(ISNUMBER(SN116),SN116*(1+PortfolioFrontier[[#This Row],[P127 Return]]),1+PortfolioFrontier[[#This Row],[P127 Return]])</f>
        <v>2.1313295742404579</v>
      </c>
      <c r="SO117" s="27">
        <f>MAX(SO116,PortfolioFrontier[[#This Row],[P127 Growth]])</f>
        <v>2.1313295742404579</v>
      </c>
      <c r="SP117" s="27">
        <f>PortfolioFrontier[[#This Row],[P127 Growth]]/PortfolioFrontier[[#This Row],[P127 HWM]]-1</f>
        <v>0</v>
      </c>
      <c r="SQ117" s="28">
        <f>SUMPRODUCT(INDEX(PortfolioRef[[SPY]:[PE]],MATCH(SQ$1,PortfolioRef[Reference '#]),0),AssetMonthlyReturns[[#This Row],[SPY]:[PE]])</f>
        <v>6.8448856070905065E-3</v>
      </c>
      <c r="SR117" s="27">
        <f>IF(ISNUMBER(SR116),SR116*(1+PortfolioFrontier[[#This Row],[P128 Return]]),1+PortfolioFrontier[[#This Row],[P128 Return]])</f>
        <v>2.1241211759751568</v>
      </c>
      <c r="SS117" s="27">
        <f>MAX(SS116,PortfolioFrontier[[#This Row],[P128 Growth]])</f>
        <v>2.1241211759751568</v>
      </c>
      <c r="ST117" s="27">
        <f>PortfolioFrontier[[#This Row],[P128 Growth]]/PortfolioFrontier[[#This Row],[P128 HWM]]-1</f>
        <v>0</v>
      </c>
      <c r="SU117" s="28">
        <f>SUMPRODUCT(INDEX(PortfolioRef[[SPY]:[PE]],MATCH(SU$1,PortfolioRef[Reference '#]),0),AssetMonthlyReturns[[#This Row],[SPY]:[PE]])</f>
        <v>6.7354629342293859E-3</v>
      </c>
      <c r="SV117" s="27">
        <f>IF(ISNUMBER(SV116),SV116*(1+PortfolioFrontier[[#This Row],[P129 Return]]),1+PortfolioFrontier[[#This Row],[P129 Return]])</f>
        <v>2.1150999425331292</v>
      </c>
      <c r="SW117" s="27">
        <f>MAX(SW116,PortfolioFrontier[[#This Row],[P129 Growth]])</f>
        <v>2.1150999425331292</v>
      </c>
      <c r="SX117" s="27">
        <f>PortfolioFrontier[[#This Row],[P129 Growth]]/PortfolioFrontier[[#This Row],[P129 HWM]]-1</f>
        <v>0</v>
      </c>
      <c r="SY117" s="28">
        <f>SUMPRODUCT(INDEX(PortfolioRef[[SPY]:[PE]],MATCH(SY$1,PortfolioRef[Reference '#]),0),AssetMonthlyReturns[[#This Row],[SPY]:[PE]])</f>
        <v>4.4157193852729709E-3</v>
      </c>
      <c r="SZ117" s="27">
        <f>IF(ISNUMBER(SZ116),SZ116*(1+PortfolioFrontier[[#This Row],[P130 Return]]),1+PortfolioFrontier[[#This Row],[P130 Return]])</f>
        <v>2.0600189014338777</v>
      </c>
      <c r="TA117" s="27">
        <f>MAX(TA116,PortfolioFrontier[[#This Row],[P130 Growth]])</f>
        <v>2.0600189014338777</v>
      </c>
      <c r="TB117" s="27">
        <f>PortfolioFrontier[[#This Row],[P130 Growth]]/PortfolioFrontier[[#This Row],[P130 HWM]]-1</f>
        <v>0</v>
      </c>
      <c r="TC117" s="28">
        <f>SUMPRODUCT(INDEX(PortfolioRef[[SPY]:[PE]],MATCH(TC$1,PortfolioRef[Reference '#]),0),AssetMonthlyReturns[[#This Row],[SPY]:[PE]])</f>
        <v>4.3062967124118511E-3</v>
      </c>
      <c r="TD117" s="27">
        <f>IF(ISNUMBER(TD116),TD116*(1+PortfolioFrontier[[#This Row],[P131 Return]]),1+PortfolioFrontier[[#This Row],[P131 Return]])</f>
        <v>2.0544027748806197</v>
      </c>
      <c r="TE117" s="27">
        <f>MAX(TE116,PortfolioFrontier[[#This Row],[P131 Growth]])</f>
        <v>2.0544027748806197</v>
      </c>
      <c r="TF117" s="27">
        <f>PortfolioFrontier[[#This Row],[P131 Growth]]/PortfolioFrontier[[#This Row],[P131 HWM]]-1</f>
        <v>0</v>
      </c>
      <c r="TG117" s="28">
        <f>SUMPRODUCT(INDEX(PortfolioRef[[SPY]:[PE]],MATCH(TG$1,PortfolioRef[Reference '#]),0),AssetMonthlyReturns[[#This Row],[SPY]:[PE]])</f>
        <v>4.1968740395507305E-3</v>
      </c>
      <c r="TH117" s="27">
        <f>IF(ISNUMBER(TH116),TH116*(1+PortfolioFrontier[[#This Row],[P132 Return]]),1+PortfolioFrontier[[#This Row],[P132 Return]])</f>
        <v>2.0470177495669533</v>
      </c>
      <c r="TI117" s="27">
        <f>MAX(TI116,PortfolioFrontier[[#This Row],[P132 Growth]])</f>
        <v>2.0470177495669533</v>
      </c>
      <c r="TJ117" s="27">
        <f>PortfolioFrontier[[#This Row],[P132 Growth]]/PortfolioFrontier[[#This Row],[P132 HWM]]-1</f>
        <v>0</v>
      </c>
      <c r="TK117" s="28">
        <f>SUMPRODUCT(INDEX(PortfolioRef[[SPY]:[PE]],MATCH(TK$1,PortfolioRef[Reference '#]),0),AssetMonthlyReturns[[#This Row],[SPY]:[PE]])</f>
        <v>8.4235904641694059E-3</v>
      </c>
      <c r="TL117" s="27">
        <f>IF(ISNUMBER(TL116),TL116*(1+PortfolioFrontier[[#This Row],[P133 Return]]),1+PortfolioFrontier[[#This Row],[P133 Return]])</f>
        <v>2.2386158965107747</v>
      </c>
      <c r="TM117" s="27">
        <f>MAX(TM116,PortfolioFrontier[[#This Row],[P133 Growth]])</f>
        <v>2.2386158965107747</v>
      </c>
      <c r="TN117" s="27">
        <f>PortfolioFrontier[[#This Row],[P133 Growth]]/PortfolioFrontier[[#This Row],[P133 HWM]]-1</f>
        <v>0</v>
      </c>
      <c r="TO117" s="28">
        <f>SUMPRODUCT(INDEX(PortfolioRef[[SPY]:[PE]],MATCH(TO$1,PortfolioRef[Reference '#]),0),AssetMonthlyReturns[[#This Row],[SPY]:[PE]])</f>
        <v>8.314167791308287E-3</v>
      </c>
      <c r="TP117" s="27">
        <f>IF(ISNUMBER(TP116),TP116*(1+PortfolioFrontier[[#This Row],[P134 Return]]),1+PortfolioFrontier[[#This Row],[P134 Return]])</f>
        <v>2.2310500278304568</v>
      </c>
      <c r="TQ117" s="27">
        <f>MAX(TQ116,PortfolioFrontier[[#This Row],[P134 Growth]])</f>
        <v>2.2310500278304568</v>
      </c>
      <c r="TR117" s="27">
        <f>PortfolioFrontier[[#This Row],[P134 Growth]]/PortfolioFrontier[[#This Row],[P134 HWM]]-1</f>
        <v>0</v>
      </c>
      <c r="TS117" s="28">
        <f>SUMPRODUCT(INDEX(PortfolioRef[[SPY]:[PE]],MATCH(TS$1,PortfolioRef[Reference '#]),0),AssetMonthlyReturns[[#This Row],[SPY]:[PE]])</f>
        <v>8.2047451184471664E-3</v>
      </c>
      <c r="TT117" s="27">
        <f>IF(ISNUMBER(TT116),TT116*(1+PortfolioFrontier[[#This Row],[P135 Return]]),1+PortfolioFrontier[[#This Row],[P135 Return]])</f>
        <v>2.2215812167357187</v>
      </c>
      <c r="TU117" s="27">
        <f>MAX(TU116,PortfolioFrontier[[#This Row],[P135 Growth]])</f>
        <v>2.2215812167357187</v>
      </c>
      <c r="TV117" s="27">
        <f>PortfolioFrontier[[#This Row],[P135 Growth]]/PortfolioFrontier[[#This Row],[P135 HWM]]-1</f>
        <v>0</v>
      </c>
      <c r="TW117" s="28">
        <f>SUMPRODUCT(INDEX(PortfolioRef[[SPY]:[PE]],MATCH(TW$1,PortfolioRef[Reference '#]),0),AssetMonthlyReturns[[#This Row],[SPY]:[PE]])</f>
        <v>5.8850015694907496E-3</v>
      </c>
      <c r="TX117" s="27">
        <f>IF(ISNUMBER(TX116),TX116*(1+PortfolioFrontier[[#This Row],[P136 Return]]),1+PortfolioFrontier[[#This Row],[P136 Return]])</f>
        <v>2.1645580911826769</v>
      </c>
      <c r="TY117" s="27">
        <f>MAX(TY116,PortfolioFrontier[[#This Row],[P136 Growth]])</f>
        <v>2.1645580911826769</v>
      </c>
      <c r="TZ117" s="27">
        <f>PortfolioFrontier[[#This Row],[P136 Growth]]/PortfolioFrontier[[#This Row],[P136 HWM]]-1</f>
        <v>0</v>
      </c>
      <c r="UA117" s="28">
        <f>SUMPRODUCT(INDEX(PortfolioRef[[SPY]:[PE]],MATCH(UA$1,PortfolioRef[Reference '#]),0),AssetMonthlyReturns[[#This Row],[SPY]:[PE]])</f>
        <v>5.7755788966296299E-3</v>
      </c>
      <c r="UB117" s="27">
        <f>IF(ISNUMBER(UB116),UB116*(1+PortfolioFrontier[[#This Row],[P137 Return]]),1+PortfolioFrontier[[#This Row],[P137 Return]])</f>
        <v>2.1586613187799766</v>
      </c>
      <c r="UC117" s="27">
        <f>MAX(UC116,PortfolioFrontier[[#This Row],[P137 Growth]])</f>
        <v>2.1586613187799766</v>
      </c>
      <c r="UD117" s="27">
        <f>PortfolioFrontier[[#This Row],[P137 Growth]]/PortfolioFrontier[[#This Row],[P137 HWM]]-1</f>
        <v>0</v>
      </c>
      <c r="UE117" s="28">
        <f>SUMPRODUCT(INDEX(PortfolioRef[[SPY]:[PE]],MATCH(UE$1,PortfolioRef[Reference '#]),0),AssetMonthlyReturns[[#This Row],[SPY]:[PE]])</f>
        <v>5.6661562237685092E-3</v>
      </c>
      <c r="UF117" s="27">
        <f>IF(ISNUMBER(UF116),UF116*(1+PortfolioFrontier[[#This Row],[P138 Return]]),1+PortfolioFrontier[[#This Row],[P138 Return]])</f>
        <v>2.1509070278110136</v>
      </c>
      <c r="UG117" s="27">
        <f>MAX(UG116,PortfolioFrontier[[#This Row],[P138 Growth]])</f>
        <v>2.1509070278110136</v>
      </c>
      <c r="UH117" s="27">
        <f>PortfolioFrontier[[#This Row],[P138 Growth]]/PortfolioFrontier[[#This Row],[P138 HWM]]-1</f>
        <v>0</v>
      </c>
      <c r="UI117" s="28">
        <f>SUMPRODUCT(INDEX(PortfolioRef[[SPY]:[PE]],MATCH(UI$1,PortfolioRef[Reference '#]),0),AssetMonthlyReturns[[#This Row],[SPY]:[PE]])</f>
        <v>3.3464126748120942E-3</v>
      </c>
      <c r="UJ117" s="27">
        <f>IF(ISNUMBER(UJ116),UJ116*(1+PortfolioFrontier[[#This Row],[P139 Return]]),1+PortfolioFrontier[[#This Row],[P139 Return]])</f>
        <v>2.090861404922328</v>
      </c>
      <c r="UK117" s="27">
        <f>MAX(UK116,PortfolioFrontier[[#This Row],[P139 Growth]])</f>
        <v>2.090861404922328</v>
      </c>
      <c r="UL117" s="27">
        <f>PortfolioFrontier[[#This Row],[P139 Growth]]/PortfolioFrontier[[#This Row],[P139 HWM]]-1</f>
        <v>0</v>
      </c>
      <c r="UM117" s="28">
        <f>SUMPRODUCT(INDEX(PortfolioRef[[SPY]:[PE]],MATCH(UM$1,PortfolioRef[Reference '#]),0),AssetMonthlyReturns[[#This Row],[SPY]:[PE]])</f>
        <v>3.236990001950974E-3</v>
      </c>
      <c r="UN117" s="27">
        <f>IF(ISNUMBER(UN116),UN116*(1+PortfolioFrontier[[#This Row],[P140 Return]]),1+PortfolioFrontier[[#This Row],[P140 Return]])</f>
        <v>2.0865435543188142</v>
      </c>
      <c r="UO117" s="27">
        <f>MAX(UO116,PortfolioFrontier[[#This Row],[P140 Growth]])</f>
        <v>2.0865435543188142</v>
      </c>
      <c r="UP117" s="27">
        <f>PortfolioFrontier[[#This Row],[P140 Growth]]/PortfolioFrontier[[#This Row],[P140 HWM]]-1</f>
        <v>0</v>
      </c>
      <c r="UQ117" s="28">
        <f>SUMPRODUCT(INDEX(PortfolioRef[[SPY]:[PE]],MATCH(UQ$1,PortfolioRef[Reference '#]),0),AssetMonthlyReturns[[#This Row],[SPY]:[PE]])</f>
        <v>3.1275673290898534E-3</v>
      </c>
      <c r="UR117" s="27">
        <f>IF(ISNUMBER(UR116),UR116*(1+PortfolioFrontier[[#This Row],[P141 Return]]),1+PortfolioFrontier[[#This Row],[P141 Return]])</f>
        <v>2.0804159061570702</v>
      </c>
      <c r="US117" s="27">
        <f>MAX(US116,PortfolioFrontier[[#This Row],[P141 Growth]])</f>
        <v>2.0804159061570702</v>
      </c>
      <c r="UT117" s="27">
        <f>PortfolioFrontier[[#This Row],[P141 Growth]]/PortfolioFrontier[[#This Row],[P141 HWM]]-1</f>
        <v>0</v>
      </c>
    </row>
    <row r="118" spans="2:566" x14ac:dyDescent="0.2">
      <c r="B118" s="41">
        <f>AssetMonthlyReturns[[#This Row],[Date]]</f>
        <v>45962</v>
      </c>
      <c r="C118" s="28">
        <f>SUMPRODUCT(INDEX(PortfolioRef[[SPY]:[PE]],MATCH(C$1,PortfolioRef[Reference '#]),0),AssetMonthlyReturns[[#This Row],[SPY]:[PE]])</f>
        <v>1.2654998128459051E-2</v>
      </c>
      <c r="D118" s="29">
        <f>IF(ISNUMBER(D117),D117*(1+PortfolioFrontier[[#This Row],[P1 Return]]),1+PortfolioFrontier[[#This Row],[P1 Return]])</f>
        <v>2.7489802557031275</v>
      </c>
      <c r="E118" s="29">
        <f>MAX(E117,PortfolioFrontier[[#This Row],[P1 Growth]])</f>
        <v>2.7489802557031275</v>
      </c>
      <c r="F118" s="29">
        <f>PortfolioFrontier[[#This Row],[P1 Growth]]/PortfolioFrontier[[#This Row],[P1 HWM]]-1</f>
        <v>0</v>
      </c>
      <c r="G118" s="28">
        <f>SUMPRODUCT(INDEX(PortfolioRef[[SPY]:[PE]],MATCH(G$1,PortfolioRef[Reference '#]),0),AssetMonthlyReturns[[#This Row],[SPY]:[PE]])</f>
        <v>1.2859814557452666E-2</v>
      </c>
      <c r="H118" s="27">
        <f>IF(ISNUMBER(H117),H117*(1+PortfolioFrontier[[#This Row],[P2 Return]]),1+PortfolioFrontier[[#This Row],[P2 Return]])</f>
        <v>2.5930240229507167</v>
      </c>
      <c r="I118" s="27">
        <f>MAX(I117,PortfolioFrontier[[#This Row],[P2 Growth]])</f>
        <v>2.5930240229507167</v>
      </c>
      <c r="J118" s="27">
        <f>PortfolioFrontier[[#This Row],[P2 Growth]]/PortfolioFrontier[[#This Row],[P2 HWM]]-1</f>
        <v>0</v>
      </c>
      <c r="K118" s="28">
        <f>SUMPRODUCT(INDEX(PortfolioRef[[SPY]:[PE]],MATCH(K$1,PortfolioRef[Reference '#]),0),AssetMonthlyReturns[[#This Row],[SPY]:[PE]])</f>
        <v>1.5241405215614923E-2</v>
      </c>
      <c r="L118" s="27">
        <f>IF(ISNUMBER(L117),L117*(1+PortfolioFrontier[[#This Row],[P3 Return]]),1+PortfolioFrontier[[#This Row],[P3 Return]])</f>
        <v>2.7310012837984594</v>
      </c>
      <c r="M118" s="27">
        <f>MAX(M117,PortfolioFrontier[[#This Row],[P3 Growth]])</f>
        <v>2.7310012837984594</v>
      </c>
      <c r="N118" s="27">
        <f>PortfolioFrontier[[#This Row],[P3 Growth]]/PortfolioFrontier[[#This Row],[P3 HWM]]-1</f>
        <v>0</v>
      </c>
      <c r="O118" s="28">
        <f>SUMPRODUCT(INDEX(PortfolioRef[[SPY]:[PE]],MATCH(O$1,PortfolioRef[Reference '#]),0),AssetMonthlyReturns[[#This Row],[SPY]:[PE]])</f>
        <v>1.3768527328534487E-2</v>
      </c>
      <c r="P118" s="27">
        <f>IF(ISNUMBER(P117),P117*(1+PortfolioFrontier[[#This Row],[P4 Return]]),1+PortfolioFrontier[[#This Row],[P4 Return]])</f>
        <v>2.6368578751300746</v>
      </c>
      <c r="Q118" s="27">
        <f>MAX(Q117,PortfolioFrontier[[#This Row],[P4 Growth]])</f>
        <v>2.6368578751300746</v>
      </c>
      <c r="R118" s="27">
        <f>PortfolioFrontier[[#This Row],[P4 Growth]]/PortfolioFrontier[[#This Row],[P4 HWM]]-1</f>
        <v>0</v>
      </c>
      <c r="S118" s="28">
        <f>SUMPRODUCT(INDEX(PortfolioRef[[SPY]:[PE]],MATCH(S$1,PortfolioRef[Reference '#]),0),AssetMonthlyReturns[[#This Row],[SPY]:[PE]])</f>
        <v>1.4000319250466908E-2</v>
      </c>
      <c r="T118" s="27">
        <f>IF(ISNUMBER(T117),T117*(1+PortfolioFrontier[[#This Row],[P5 Return]]),1+PortfolioFrontier[[#This Row],[P5 Return]])</f>
        <v>2.628321298594789</v>
      </c>
      <c r="U118" s="27">
        <f>MAX(U117,PortfolioFrontier[[#This Row],[P5 Growth]])</f>
        <v>2.628321298594789</v>
      </c>
      <c r="V118" s="27">
        <f>PortfolioFrontier[[#This Row],[P5 Growth]]/PortfolioFrontier[[#This Row],[P5 HWM]]-1</f>
        <v>0</v>
      </c>
      <c r="W118" s="28">
        <f>SUMPRODUCT(INDEX(PortfolioRef[[SPY]:[PE]],MATCH(W$1,PortfolioRef[Reference '#]),0),AssetMonthlyReturns[[#This Row],[SPY]:[PE]])</f>
        <v>1.3064630986446281E-2</v>
      </c>
      <c r="X118" s="27">
        <f>IF(ISNUMBER(X117),X117*(1+PortfolioFrontier[[#This Row],[P6 Return]]),1+PortfolioFrontier[[#This Row],[P6 Return]])</f>
        <v>2.4446672416205324</v>
      </c>
      <c r="Y118" s="27">
        <f>MAX(Y117,PortfolioFrontier[[#This Row],[P6 Growth]])</f>
        <v>2.4446672416205324</v>
      </c>
      <c r="Z118" s="27">
        <f>PortfolioFrontier[[#This Row],[P6 Growth]]/PortfolioFrontier[[#This Row],[P6 HWM]]-1</f>
        <v>0</v>
      </c>
      <c r="AA118" s="28">
        <f>SUMPRODUCT(INDEX(PortfolioRef[[SPY]:[PE]],MATCH(AA$1,PortfolioRef[Reference '#]),0),AssetMonthlyReturns[[#This Row],[SPY]:[PE]])</f>
        <v>1.544622164460854E-2</v>
      </c>
      <c r="AB118" s="27">
        <f>IF(ISNUMBER(AB117),AB117*(1+PortfolioFrontier[[#This Row],[P7 Return]]),1+PortfolioFrontier[[#This Row],[P7 Return]])</f>
        <v>2.574746080708767</v>
      </c>
      <c r="AC118" s="27">
        <f>MAX(AC117,PortfolioFrontier[[#This Row],[P7 Growth]])</f>
        <v>2.574746080708767</v>
      </c>
      <c r="AD118" s="27">
        <f>PortfolioFrontier[[#This Row],[P7 Growth]]/PortfolioFrontier[[#This Row],[P7 HWM]]-1</f>
        <v>0</v>
      </c>
      <c r="AE118" s="28">
        <f>SUMPRODUCT(INDEX(PortfolioRef[[SPY]:[PE]],MATCH(AE$1,PortfolioRef[Reference '#]),0),AssetMonthlyReturns[[#This Row],[SPY]:[PE]])</f>
        <v>1.3973343757528102E-2</v>
      </c>
      <c r="AF118" s="27">
        <f>IF(ISNUMBER(AF117),AF117*(1+PortfolioFrontier[[#This Row],[P8 Return]]),1+PortfolioFrontier[[#This Row],[P8 Return]])</f>
        <v>2.4869939209030973</v>
      </c>
      <c r="AG118" s="27">
        <f>MAX(AG117,PortfolioFrontier[[#This Row],[P8 Growth]])</f>
        <v>2.4869939209030973</v>
      </c>
      <c r="AH118" s="27">
        <f>PortfolioFrontier[[#This Row],[P8 Growth]]/PortfolioFrontier[[#This Row],[P8 HWM]]-1</f>
        <v>0</v>
      </c>
      <c r="AI118" s="28">
        <f>SUMPRODUCT(INDEX(PortfolioRef[[SPY]:[PE]],MATCH(AI$1,PortfolioRef[Reference '#]),0),AssetMonthlyReturns[[#This Row],[SPY]:[PE]])</f>
        <v>1.4205135679460523E-2</v>
      </c>
      <c r="AJ118" s="27">
        <f>IF(ISNUMBER(AJ117),AJ117*(1+PortfolioFrontier[[#This Row],[P9 Return]]),1+PortfolioFrontier[[#This Row],[P9 Return]])</f>
        <v>2.4780041423857733</v>
      </c>
      <c r="AK118" s="27">
        <f>MAX(AK117,PortfolioFrontier[[#This Row],[P9 Growth]])</f>
        <v>2.4780041423857733</v>
      </c>
      <c r="AL118" s="27">
        <f>PortfolioFrontier[[#This Row],[P9 Growth]]/PortfolioFrontier[[#This Row],[P9 HWM]]-1</f>
        <v>0</v>
      </c>
      <c r="AM118" s="28">
        <f>SUMPRODUCT(INDEX(PortfolioRef[[SPY]:[PE]],MATCH(AM$1,PortfolioRef[Reference '#]),0),AssetMonthlyReturns[[#This Row],[SPY]:[PE]])</f>
        <v>1.7827812302770796E-2</v>
      </c>
      <c r="AN118" s="27">
        <f>IF(ISNUMBER(AN117),AN117*(1+PortfolioFrontier[[#This Row],[P10 Return]]),1+PortfolioFrontier[[#This Row],[P10 Return]])</f>
        <v>2.7106859824046743</v>
      </c>
      <c r="AO118" s="27">
        <f>MAX(AO117,PortfolioFrontier[[#This Row],[P10 Growth]])</f>
        <v>2.7106859824046743</v>
      </c>
      <c r="AP118" s="27">
        <f>PortfolioFrontier[[#This Row],[P10 Growth]]/PortfolioFrontier[[#This Row],[P10 HWM]]-1</f>
        <v>0</v>
      </c>
      <c r="AQ118" s="28">
        <f>SUMPRODUCT(INDEX(PortfolioRef[[SPY]:[PE]],MATCH(AQ$1,PortfolioRef[Reference '#]),0),AssetMonthlyReturns[[#This Row],[SPY]:[PE]])</f>
        <v>1.6354934415690359E-2</v>
      </c>
      <c r="AR118" s="27">
        <f>IF(ISNUMBER(AR117),AR117*(1+PortfolioFrontier[[#This Row],[P11 Return]]),1+PortfolioFrontier[[#This Row],[P11 Return]])</f>
        <v>2.6193237419593882</v>
      </c>
      <c r="AS118" s="27">
        <f>MAX(AS117,PortfolioFrontier[[#This Row],[P11 Growth]])</f>
        <v>2.6193237419593882</v>
      </c>
      <c r="AT118" s="27">
        <f>PortfolioFrontier[[#This Row],[P11 Growth]]/PortfolioFrontier[[#This Row],[P11 HWM]]-1</f>
        <v>0</v>
      </c>
      <c r="AU118" s="28">
        <f>SUMPRODUCT(INDEX(PortfolioRef[[SPY]:[PE]],MATCH(AU$1,PortfolioRef[Reference '#]),0),AssetMonthlyReturns[[#This Row],[SPY]:[PE]])</f>
        <v>1.658672633762278E-2</v>
      </c>
      <c r="AV118" s="27">
        <f>IF(ISNUMBER(AV117),AV117*(1+PortfolioFrontier[[#This Row],[P12 Return]]),1+PortfolioFrontier[[#This Row],[P12 Return]])</f>
        <v>2.6098615525551985</v>
      </c>
      <c r="AW118" s="27">
        <f>MAX(AW117,PortfolioFrontier[[#This Row],[P12 Growth]])</f>
        <v>2.6098615525551985</v>
      </c>
      <c r="AX118" s="27">
        <f>PortfolioFrontier[[#This Row],[P12 Growth]]/PortfolioFrontier[[#This Row],[P12 HWM]]-1</f>
        <v>0</v>
      </c>
      <c r="AY118" s="28">
        <f>SUMPRODUCT(INDEX(PortfolioRef[[SPY]:[PE]],MATCH(AY$1,PortfolioRef[Reference '#]),0),AssetMonthlyReturns[[#This Row],[SPY]:[PE]])</f>
        <v>1.4882056528609923E-2</v>
      </c>
      <c r="AZ118" s="27">
        <f>IF(ISNUMBER(AZ117),AZ117*(1+PortfolioFrontier[[#This Row],[P13 Return]]),1+PortfolioFrontier[[#This Row],[P13 Return]])</f>
        <v>2.5285262419579433</v>
      </c>
      <c r="BA118" s="27">
        <f>MAX(BA117,PortfolioFrontier[[#This Row],[P13 Growth]])</f>
        <v>2.5285262419579433</v>
      </c>
      <c r="BB118" s="27">
        <f>PortfolioFrontier[[#This Row],[P13 Growth]]/PortfolioFrontier[[#This Row],[P13 HWM]]-1</f>
        <v>0</v>
      </c>
      <c r="BC118" s="28">
        <f>SUMPRODUCT(INDEX(PortfolioRef[[SPY]:[PE]],MATCH(BC$1,PortfolioRef[Reference '#]),0),AssetMonthlyReturns[[#This Row],[SPY]:[PE]])</f>
        <v>1.5113848450542346E-2</v>
      </c>
      <c r="BD118" s="27">
        <f>IF(ISNUMBER(BD117),BD117*(1+PortfolioFrontier[[#This Row],[P14 Return]]),1+PortfolioFrontier[[#This Row],[P14 Return]])</f>
        <v>2.5210450541121627</v>
      </c>
      <c r="BE118" s="27">
        <f>MAX(BE117,PortfolioFrontier[[#This Row],[P14 Growth]])</f>
        <v>2.5210450541121627</v>
      </c>
      <c r="BF118" s="27">
        <f>PortfolioFrontier[[#This Row],[P14 Growth]]/PortfolioFrontier[[#This Row],[P14 HWM]]-1</f>
        <v>0</v>
      </c>
      <c r="BG118" s="28">
        <f>SUMPRODUCT(INDEX(PortfolioRef[[SPY]:[PE]],MATCH(BG$1,PortfolioRef[Reference '#]),0),AssetMonthlyReturns[[#This Row],[SPY]:[PE]])</f>
        <v>1.5345640372474767E-2</v>
      </c>
      <c r="BH118" s="27">
        <f>IF(ISNUMBER(BH117),BH117*(1+PortfolioFrontier[[#This Row],[P15 Return]]),1+PortfolioFrontier[[#This Row],[P15 Return]])</f>
        <v>2.5114026604898356</v>
      </c>
      <c r="BI118" s="27">
        <f>MAX(BI117,PortfolioFrontier[[#This Row],[P15 Growth]])</f>
        <v>2.5114026604898356</v>
      </c>
      <c r="BJ118" s="27">
        <f>PortfolioFrontier[[#This Row],[P15 Growth]]/PortfolioFrontier[[#This Row],[P15 HWM]]-1</f>
        <v>0</v>
      </c>
      <c r="BK118" s="28">
        <f>SUMPRODUCT(INDEX(PortfolioRef[[SPY]:[PE]],MATCH(BK$1,PortfolioRef[Reference '#]),0),AssetMonthlyReturns[[#This Row],[SPY]:[PE]])</f>
        <v>1.3269447415439896E-2</v>
      </c>
      <c r="BL118" s="27">
        <f>IF(ISNUMBER(BL117),BL117*(1+PortfolioFrontier[[#This Row],[P16 Return]]),1+PortfolioFrontier[[#This Row],[P16 Return]])</f>
        <v>2.303622122949446</v>
      </c>
      <c r="BM118" s="27">
        <f>MAX(BM117,PortfolioFrontier[[#This Row],[P16 Growth]])</f>
        <v>2.303622122949446</v>
      </c>
      <c r="BN118" s="27">
        <f>PortfolioFrontier[[#This Row],[P16 Growth]]/PortfolioFrontier[[#This Row],[P16 HWM]]-1</f>
        <v>0</v>
      </c>
      <c r="BO118" s="28">
        <f>SUMPRODUCT(INDEX(PortfolioRef[[SPY]:[PE]],MATCH(BO$1,PortfolioRef[Reference '#]),0),AssetMonthlyReturns[[#This Row],[SPY]:[PE]])</f>
        <v>1.5651038073602155E-2</v>
      </c>
      <c r="BP118" s="27">
        <f>IF(ISNUMBER(BP117),BP117*(1+PortfolioFrontier[[#This Row],[P17 Return]]),1+PortfolioFrontier[[#This Row],[P17 Return]])</f>
        <v>2.4261930710929365</v>
      </c>
      <c r="BQ118" s="27">
        <f>MAX(BQ117,PortfolioFrontier[[#This Row],[P17 Growth]])</f>
        <v>2.4261930710929365</v>
      </c>
      <c r="BR118" s="27">
        <f>PortfolioFrontier[[#This Row],[P17 Growth]]/PortfolioFrontier[[#This Row],[P17 HWM]]-1</f>
        <v>0</v>
      </c>
      <c r="BS118" s="28">
        <f>SUMPRODUCT(INDEX(PortfolioRef[[SPY]:[PE]],MATCH(BS$1,PortfolioRef[Reference '#]),0),AssetMonthlyReturns[[#This Row],[SPY]:[PE]])</f>
        <v>1.4178160186521717E-2</v>
      </c>
      <c r="BT118" s="27">
        <f>IF(ISNUMBER(BT117),BT117*(1+PortfolioFrontier[[#This Row],[P18 Return]]),1+PortfolioFrontier[[#This Row],[P18 Return]])</f>
        <v>2.3444486092431296</v>
      </c>
      <c r="BU118" s="27">
        <f>MAX(BU117,PortfolioFrontier[[#This Row],[P18 Growth]])</f>
        <v>2.3444486092431296</v>
      </c>
      <c r="BV118" s="27">
        <f>PortfolioFrontier[[#This Row],[P18 Growth]]/PortfolioFrontier[[#This Row],[P18 HWM]]-1</f>
        <v>0</v>
      </c>
      <c r="BW118" s="28">
        <f>SUMPRODUCT(INDEX(PortfolioRef[[SPY]:[PE]],MATCH(BW$1,PortfolioRef[Reference '#]),0),AssetMonthlyReturns[[#This Row],[SPY]:[PE]])</f>
        <v>1.4409952108454138E-2</v>
      </c>
      <c r="BX118" s="27">
        <f>IF(ISNUMBER(BX117),BX117*(1+PortfolioFrontier[[#This Row],[P19 Return]]),1+PortfolioFrontier[[#This Row],[P19 Return]])</f>
        <v>2.3350914212112737</v>
      </c>
      <c r="BY118" s="27">
        <f>MAX(BY117,PortfolioFrontier[[#This Row],[P19 Growth]])</f>
        <v>2.3350914212112737</v>
      </c>
      <c r="BZ118" s="27">
        <f>PortfolioFrontier[[#This Row],[P19 Growth]]/PortfolioFrontier[[#This Row],[P19 HWM]]-1</f>
        <v>0</v>
      </c>
      <c r="CA118" s="28">
        <f>SUMPRODUCT(INDEX(PortfolioRef[[SPY]:[PE]],MATCH(CA$1,PortfolioRef[Reference '#]),0),AssetMonthlyReturns[[#This Row],[SPY]:[PE]])</f>
        <v>1.8032628731764411E-2</v>
      </c>
      <c r="CB118" s="27">
        <f>IF(ISNUMBER(CB117),CB117*(1+PortfolioFrontier[[#This Row],[P20 Return]]),1+PortfolioFrontier[[#This Row],[P20 Return]])</f>
        <v>2.5542853525277902</v>
      </c>
      <c r="CC118" s="27">
        <f>MAX(CC117,PortfolioFrontier[[#This Row],[P20 Growth]])</f>
        <v>2.5542853525277902</v>
      </c>
      <c r="CD118" s="27">
        <f>PortfolioFrontier[[#This Row],[P20 Growth]]/PortfolioFrontier[[#This Row],[P20 HWM]]-1</f>
        <v>0</v>
      </c>
      <c r="CE118" s="28">
        <f>SUMPRODUCT(INDEX(PortfolioRef[[SPY]:[PE]],MATCH(CE$1,PortfolioRef[Reference '#]),0),AssetMonthlyReturns[[#This Row],[SPY]:[PE]])</f>
        <v>1.6559750844683974E-2</v>
      </c>
      <c r="CF118" s="27">
        <f>IF(ISNUMBER(CF117),CF117*(1+PortfolioFrontier[[#This Row],[P21 Return]]),1+PortfolioFrontier[[#This Row],[P21 Return]])</f>
        <v>2.4691902038966353</v>
      </c>
      <c r="CG118" s="27">
        <f>MAX(CG117,PortfolioFrontier[[#This Row],[P21 Growth]])</f>
        <v>2.4691902038966353</v>
      </c>
      <c r="CH118" s="27">
        <f>PortfolioFrontier[[#This Row],[P21 Growth]]/PortfolioFrontier[[#This Row],[P21 HWM]]-1</f>
        <v>0</v>
      </c>
      <c r="CI118" s="28">
        <f>SUMPRODUCT(INDEX(PortfolioRef[[SPY]:[PE]],MATCH(CI$1,PortfolioRef[Reference '#]),0),AssetMonthlyReturns[[#This Row],[SPY]:[PE]])</f>
        <v>1.6791542766616398E-2</v>
      </c>
      <c r="CJ118" s="27">
        <f>IF(ISNUMBER(CJ117),CJ117*(1+PortfolioFrontier[[#This Row],[P22 Return]]),1+PortfolioFrontier[[#This Row],[P22 Return]])</f>
        <v>2.4593412297601995</v>
      </c>
      <c r="CK118" s="27">
        <f>MAX(CK117,PortfolioFrontier[[#This Row],[P22 Growth]])</f>
        <v>2.4593412297601995</v>
      </c>
      <c r="CL118" s="27">
        <f>PortfolioFrontier[[#This Row],[P22 Growth]]/PortfolioFrontier[[#This Row],[P22 HWM]]-1</f>
        <v>0</v>
      </c>
      <c r="CM118" s="28">
        <f>SUMPRODUCT(INDEX(PortfolioRef[[SPY]:[PE]],MATCH(CM$1,PortfolioRef[Reference '#]),0),AssetMonthlyReturns[[#This Row],[SPY]:[PE]])</f>
        <v>1.5086872957603538E-2</v>
      </c>
      <c r="CN118" s="27">
        <f>IF(ISNUMBER(CN117),CN117*(1+PortfolioFrontier[[#This Row],[P23 Return]]),1+PortfolioFrontier[[#This Row],[P23 Return]])</f>
        <v>2.3845613509863428</v>
      </c>
      <c r="CO118" s="27">
        <f>MAX(CO117,PortfolioFrontier[[#This Row],[P23 Growth]])</f>
        <v>2.3845613509863428</v>
      </c>
      <c r="CP118" s="27">
        <f>PortfolioFrontier[[#This Row],[P23 Growth]]/PortfolioFrontier[[#This Row],[P23 HWM]]-1</f>
        <v>0</v>
      </c>
      <c r="CQ118" s="28">
        <f>SUMPRODUCT(INDEX(PortfolioRef[[SPY]:[PE]],MATCH(CQ$1,PortfolioRef[Reference '#]),0),AssetMonthlyReturns[[#This Row],[SPY]:[PE]])</f>
        <v>1.5318664879535961E-2</v>
      </c>
      <c r="CR118" s="27">
        <f>IF(ISNUMBER(CR117),CR117*(1+PortfolioFrontier[[#This Row],[P24 Return]]),1+PortfolioFrontier[[#This Row],[P24 Return]])</f>
        <v>2.3766047837842943</v>
      </c>
      <c r="CS118" s="27">
        <f>MAX(CS117,PortfolioFrontier[[#This Row],[P24 Growth]])</f>
        <v>2.3766047837842943</v>
      </c>
      <c r="CT118" s="27">
        <f>PortfolioFrontier[[#This Row],[P24 Growth]]/PortfolioFrontier[[#This Row],[P24 HWM]]-1</f>
        <v>0</v>
      </c>
      <c r="CU118" s="28">
        <f>SUMPRODUCT(INDEX(PortfolioRef[[SPY]:[PE]],MATCH(CU$1,PortfolioRef[Reference '#]),0),AssetMonthlyReturns[[#This Row],[SPY]:[PE]])</f>
        <v>1.5550456801468382E-2</v>
      </c>
      <c r="CV118" s="27">
        <f>IF(ISNUMBER(CV117),CV117*(1+PortfolioFrontier[[#This Row],[P25 Return]]),1+PortfolioFrontier[[#This Row],[P25 Return]])</f>
        <v>2.3666202587615008</v>
      </c>
      <c r="CW118" s="27">
        <f>MAX(CW117,PortfolioFrontier[[#This Row],[P25 Growth]])</f>
        <v>2.3666202587615008</v>
      </c>
      <c r="CX118" s="27">
        <f>PortfolioFrontier[[#This Row],[P25 Growth]]/PortfolioFrontier[[#This Row],[P25 HWM]]-1</f>
        <v>0</v>
      </c>
      <c r="CY118" s="28">
        <f>SUMPRODUCT(INDEX(PortfolioRef[[SPY]:[PE]],MATCH(CY$1,PortfolioRef[Reference '#]),0),AssetMonthlyReturns[[#This Row],[SPY]:[PE]])</f>
        <v>1.8941341502846234E-2</v>
      </c>
      <c r="CZ118" s="27">
        <f>IF(ISNUMBER(CZ117),CZ117*(1+PortfolioFrontier[[#This Row],[P26 Return]]),1+PortfolioFrontier[[#This Row],[P26 Return]])</f>
        <v>2.5995512702889587</v>
      </c>
      <c r="DA118" s="27">
        <f>MAX(DA117,PortfolioFrontier[[#This Row],[P26 Growth]])</f>
        <v>2.5995512702889587</v>
      </c>
      <c r="DB118" s="27">
        <f>PortfolioFrontier[[#This Row],[P26 Growth]]/PortfolioFrontier[[#This Row],[P26 HWM]]-1</f>
        <v>0</v>
      </c>
      <c r="DC118" s="28">
        <f>SUMPRODUCT(INDEX(PortfolioRef[[SPY]:[PE]],MATCH(DC$1,PortfolioRef[Reference '#]),0),AssetMonthlyReturns[[#This Row],[SPY]:[PE]])</f>
        <v>1.9173133424778655E-2</v>
      </c>
      <c r="DD118" s="27">
        <f>IF(ISNUMBER(DD117),DD117*(1+PortfolioFrontier[[#This Row],[P27 Return]]),1+PortfolioFrontier[[#This Row],[P27 Return]])</f>
        <v>2.5891886955319143</v>
      </c>
      <c r="DE118" s="27">
        <f>MAX(DE117,PortfolioFrontier[[#This Row],[P27 Growth]])</f>
        <v>2.5891886955319143</v>
      </c>
      <c r="DF118" s="27">
        <f>PortfolioFrontier[[#This Row],[P27 Growth]]/PortfolioFrontier[[#This Row],[P27 HWM]]-1</f>
        <v>0</v>
      </c>
      <c r="DG118" s="28">
        <f>SUMPRODUCT(INDEX(PortfolioRef[[SPY]:[PE]],MATCH(DG$1,PortfolioRef[Reference '#]),0),AssetMonthlyReturns[[#This Row],[SPY]:[PE]])</f>
        <v>1.7468463615765796E-2</v>
      </c>
      <c r="DH118" s="27">
        <f>IF(ISNUMBER(DH117),DH117*(1+PortfolioFrontier[[#This Row],[P28 Return]]),1+PortfolioFrontier[[#This Row],[P28 Return]])</f>
        <v>2.5114365535732173</v>
      </c>
      <c r="DI118" s="27">
        <f>MAX(DI117,PortfolioFrontier[[#This Row],[P28 Growth]])</f>
        <v>2.5114365535732173</v>
      </c>
      <c r="DJ118" s="27">
        <f>PortfolioFrontier[[#This Row],[P28 Growth]]/PortfolioFrontier[[#This Row],[P28 HWM]]-1</f>
        <v>0</v>
      </c>
      <c r="DK118" s="28">
        <f>SUMPRODUCT(INDEX(PortfolioRef[[SPY]:[PE]],MATCH(DK$1,PortfolioRef[Reference '#]),0),AssetMonthlyReturns[[#This Row],[SPY]:[PE]])</f>
        <v>1.7700255537698217E-2</v>
      </c>
      <c r="DL118" s="27">
        <f>IF(ISNUMBER(DL117),DL117*(1+PortfolioFrontier[[#This Row],[P29 Return]]),1+PortfolioFrontier[[#This Row],[P29 Return]])</f>
        <v>2.5030618289559001</v>
      </c>
      <c r="DM118" s="27">
        <f>MAX(DM117,PortfolioFrontier[[#This Row],[P29 Growth]])</f>
        <v>2.5030618289559001</v>
      </c>
      <c r="DN118" s="27">
        <f>PortfolioFrontier[[#This Row],[P29 Growth]]/PortfolioFrontier[[#This Row],[P29 HWM]]-1</f>
        <v>0</v>
      </c>
      <c r="DO118" s="28">
        <f>SUMPRODUCT(INDEX(PortfolioRef[[SPY]:[PE]],MATCH(DO$1,PortfolioRef[Reference '#]),0),AssetMonthlyReturns[[#This Row],[SPY]:[PE]])</f>
        <v>1.7932047459630642E-2</v>
      </c>
      <c r="DP118" s="27">
        <f>IF(ISNUMBER(DP117),DP117*(1+PortfolioFrontier[[#This Row],[P30 Return]]),1+PortfolioFrontier[[#This Row],[P30 Return]])</f>
        <v>2.4925525729637981</v>
      </c>
      <c r="DQ118" s="27">
        <f>MAX(DQ117,PortfolioFrontier[[#This Row],[P30 Growth]])</f>
        <v>2.4925525729637981</v>
      </c>
      <c r="DR118" s="27">
        <f>PortfolioFrontier[[#This Row],[P30 Growth]]/PortfolioFrontier[[#This Row],[P30 HWM]]-1</f>
        <v>0</v>
      </c>
      <c r="DS118" s="28">
        <f>SUMPRODUCT(INDEX(PortfolioRef[[SPY]:[PE]],MATCH(DS$1,PortfolioRef[Reference '#]),0),AssetMonthlyReturns[[#This Row],[SPY]:[PE]])</f>
        <v>1.5995585728685358E-2</v>
      </c>
      <c r="DT118" s="27">
        <f>IF(ISNUMBER(DT117),DT117*(1+PortfolioFrontier[[#This Row],[P31 Return]]),1+PortfolioFrontier[[#This Row],[P31 Return]])</f>
        <v>2.4238941231292706</v>
      </c>
      <c r="DU118" s="27">
        <f>MAX(DU117,PortfolioFrontier[[#This Row],[P31 Growth]])</f>
        <v>2.4238941231292706</v>
      </c>
      <c r="DV118" s="27">
        <f>PortfolioFrontier[[#This Row],[P31 Growth]]/PortfolioFrontier[[#This Row],[P31 HWM]]-1</f>
        <v>0</v>
      </c>
      <c r="DW118" s="28">
        <f>SUMPRODUCT(INDEX(PortfolioRef[[SPY]:[PE]],MATCH(DW$1,PortfolioRef[Reference '#]),0),AssetMonthlyReturns[[#This Row],[SPY]:[PE]])</f>
        <v>1.622737765061778E-2</v>
      </c>
      <c r="DX118" s="27">
        <f>IF(ISNUMBER(DX117),DX117*(1+PortfolioFrontier[[#This Row],[P32 Return]]),1+PortfolioFrontier[[#This Row],[P32 Return]])</f>
        <v>2.417399394517751</v>
      </c>
      <c r="DY118" s="27">
        <f>MAX(DY117,PortfolioFrontier[[#This Row],[P32 Growth]])</f>
        <v>2.417399394517751</v>
      </c>
      <c r="DZ118" s="27">
        <f>PortfolioFrontier[[#This Row],[P32 Growth]]/PortfolioFrontier[[#This Row],[P32 HWM]]-1</f>
        <v>0</v>
      </c>
      <c r="EA118" s="28">
        <f>SUMPRODUCT(INDEX(PortfolioRef[[SPY]:[PE]],MATCH(EA$1,PortfolioRef[Reference '#]),0),AssetMonthlyReturns[[#This Row],[SPY]:[PE]])</f>
        <v>1.6459169572550204E-2</v>
      </c>
      <c r="EB118" s="27">
        <f>IF(ISNUMBER(EB117),EB117*(1+PortfolioFrontier[[#This Row],[P33 Return]]),1+PortfolioFrontier[[#This Row],[P33 Return]])</f>
        <v>2.4088250622832259</v>
      </c>
      <c r="EC118" s="27">
        <f>MAX(EC117,PortfolioFrontier[[#This Row],[P33 Growth]])</f>
        <v>2.4088250622832259</v>
      </c>
      <c r="ED118" s="27">
        <f>PortfolioFrontier[[#This Row],[P33 Growth]]/PortfolioFrontier[[#This Row],[P33 HWM]]-1</f>
        <v>0</v>
      </c>
      <c r="EE118" s="28">
        <f>SUMPRODUCT(INDEX(PortfolioRef[[SPY]:[PE]],MATCH(EE$1,PortfolioRef[Reference '#]),0),AssetMonthlyReturns[[#This Row],[SPY]:[PE]])</f>
        <v>1.3474263844433509E-2</v>
      </c>
      <c r="EF118" s="27">
        <f>IF(ISNUMBER(EF117),EF117*(1+PortfolioFrontier[[#This Row],[P34 Return]]),1+PortfolioFrontier[[#This Row],[P34 Return]])</f>
        <v>2.169606448855312</v>
      </c>
      <c r="EG118" s="27">
        <f>MAX(EG117,PortfolioFrontier[[#This Row],[P34 Growth]])</f>
        <v>2.169606448855312</v>
      </c>
      <c r="EH118" s="27">
        <f>PortfolioFrontier[[#This Row],[P34 Growth]]/PortfolioFrontier[[#This Row],[P34 HWM]]-1</f>
        <v>0</v>
      </c>
      <c r="EI118" s="28">
        <f>SUMPRODUCT(INDEX(PortfolioRef[[SPY]:[PE]],MATCH(EI$1,PortfolioRef[Reference '#]),0),AssetMonthlyReturns[[#This Row],[SPY]:[PE]])</f>
        <v>1.5855854502595766E-2</v>
      </c>
      <c r="EJ118" s="27">
        <f>IF(ISNUMBER(EJ117),EJ117*(1+PortfolioFrontier[[#This Row],[P35 Return]]),1+PortfolioFrontier[[#This Row],[P35 Return]])</f>
        <v>2.2850448087607798</v>
      </c>
      <c r="EK118" s="27">
        <f>MAX(EK117,PortfolioFrontier[[#This Row],[P35 Growth]])</f>
        <v>2.2850448087607798</v>
      </c>
      <c r="EL118" s="27">
        <f>PortfolioFrontier[[#This Row],[P35 Growth]]/PortfolioFrontier[[#This Row],[P35 HWM]]-1</f>
        <v>0</v>
      </c>
      <c r="EM118" s="28">
        <f>SUMPRODUCT(INDEX(PortfolioRef[[SPY]:[PE]],MATCH(EM$1,PortfolioRef[Reference '#]),0),AssetMonthlyReturns[[#This Row],[SPY]:[PE]])</f>
        <v>1.4382976615515332E-2</v>
      </c>
      <c r="EN118" s="27">
        <f>IF(ISNUMBER(EN117),EN117*(1+PortfolioFrontier[[#This Row],[P36 Return]]),1+PortfolioFrontier[[#This Row],[P36 Return]])</f>
        <v>2.2089438882831494</v>
      </c>
      <c r="EO118" s="27">
        <f>MAX(EO117,PortfolioFrontier[[#This Row],[P36 Growth]])</f>
        <v>2.2089438882831494</v>
      </c>
      <c r="EP118" s="27">
        <f>PortfolioFrontier[[#This Row],[P36 Growth]]/PortfolioFrontier[[#This Row],[P36 HWM]]-1</f>
        <v>0</v>
      </c>
      <c r="EQ118" s="28">
        <f>SUMPRODUCT(INDEX(PortfolioRef[[SPY]:[PE]],MATCH(EQ$1,PortfolioRef[Reference '#]),0),AssetMonthlyReturns[[#This Row],[SPY]:[PE]])</f>
        <v>1.4614768537447753E-2</v>
      </c>
      <c r="ER118" s="27">
        <f>IF(ISNUMBER(ER117),ER117*(1+PortfolioFrontier[[#This Row],[P37 Return]]),1+PortfolioFrontier[[#This Row],[P37 Return]])</f>
        <v>2.1992975802303962</v>
      </c>
      <c r="ES118" s="27">
        <f>MAX(ES117,PortfolioFrontier[[#This Row],[P37 Growth]])</f>
        <v>2.1992975802303962</v>
      </c>
      <c r="ET118" s="27">
        <f>PortfolioFrontier[[#This Row],[P37 Growth]]/PortfolioFrontier[[#This Row],[P37 HWM]]-1</f>
        <v>0</v>
      </c>
      <c r="EU118" s="28">
        <f>SUMPRODUCT(INDEX(PortfolioRef[[SPY]:[PE]],MATCH(EU$1,PortfolioRef[Reference '#]),0),AssetMonthlyReturns[[#This Row],[SPY]:[PE]])</f>
        <v>1.8237445160758026E-2</v>
      </c>
      <c r="EV118" s="27">
        <f>IF(ISNUMBER(EV117),EV117*(1+PortfolioFrontier[[#This Row],[P38 Return]]),1+PortfolioFrontier[[#This Row],[P38 Return]])</f>
        <v>2.4056818838360545</v>
      </c>
      <c r="EW118" s="27">
        <f>MAX(EW117,PortfolioFrontier[[#This Row],[P38 Growth]])</f>
        <v>2.4056818838360545</v>
      </c>
      <c r="EX118" s="27">
        <f>PortfolioFrontier[[#This Row],[P38 Growth]]/PortfolioFrontier[[#This Row],[P38 HWM]]-1</f>
        <v>0</v>
      </c>
      <c r="EY118" s="28">
        <f>SUMPRODUCT(INDEX(PortfolioRef[[SPY]:[PE]],MATCH(EY$1,PortfolioRef[Reference '#]),0),AssetMonthlyReturns[[#This Row],[SPY]:[PE]])</f>
        <v>1.6764567273677589E-2</v>
      </c>
      <c r="EZ118" s="27">
        <f>IF(ISNUMBER(EZ117),EZ117*(1+PortfolioFrontier[[#This Row],[P39 Return]]),1+PortfolioFrontier[[#This Row],[P39 Return]])</f>
        <v>2.3264732341529868</v>
      </c>
      <c r="FA118" s="27">
        <f>MAX(FA117,PortfolioFrontier[[#This Row],[P39 Growth]])</f>
        <v>2.3264732341529868</v>
      </c>
      <c r="FB118" s="27">
        <f>PortfolioFrontier[[#This Row],[P39 Growth]]/PortfolioFrontier[[#This Row],[P39 HWM]]-1</f>
        <v>0</v>
      </c>
      <c r="FC118" s="28">
        <f>SUMPRODUCT(INDEX(PortfolioRef[[SPY]:[PE]],MATCH(FC$1,PortfolioRef[Reference '#]),0),AssetMonthlyReturns[[#This Row],[SPY]:[PE]])</f>
        <v>1.699635919561001E-2</v>
      </c>
      <c r="FD118" s="27">
        <f>IF(ISNUMBER(FD117),FD117*(1+PortfolioFrontier[[#This Row],[P40 Return]]),1+PortfolioFrontier[[#This Row],[P40 Return]])</f>
        <v>2.3163198846777875</v>
      </c>
      <c r="FE118" s="27">
        <f>MAX(FE117,PortfolioFrontier[[#This Row],[P40 Growth]])</f>
        <v>2.3163198846777875</v>
      </c>
      <c r="FF118" s="27">
        <f>PortfolioFrontier[[#This Row],[P40 Growth]]/PortfolioFrontier[[#This Row],[P40 HWM]]-1</f>
        <v>0</v>
      </c>
      <c r="FG118" s="28">
        <f>SUMPRODUCT(INDEX(PortfolioRef[[SPY]:[PE]],MATCH(FG$1,PortfolioRef[Reference '#]),0),AssetMonthlyReturns[[#This Row],[SPY]:[PE]])</f>
        <v>1.5291689386597153E-2</v>
      </c>
      <c r="FH118" s="27">
        <f>IF(ISNUMBER(FH117),FH117*(1+PortfolioFrontier[[#This Row],[P41 Return]]),1+PortfolioFrontier[[#This Row],[P41 Return]])</f>
        <v>2.2476424286642804</v>
      </c>
      <c r="FI118" s="27">
        <f>MAX(FI117,PortfolioFrontier[[#This Row],[P41 Growth]])</f>
        <v>2.2476424286642804</v>
      </c>
      <c r="FJ118" s="27">
        <f>PortfolioFrontier[[#This Row],[P41 Growth]]/PortfolioFrontier[[#This Row],[P41 HWM]]-1</f>
        <v>0</v>
      </c>
      <c r="FK118" s="28">
        <f>SUMPRODUCT(INDEX(PortfolioRef[[SPY]:[PE]],MATCH(FK$1,PortfolioRef[Reference '#]),0),AssetMonthlyReturns[[#This Row],[SPY]:[PE]])</f>
        <v>1.5523481308529576E-2</v>
      </c>
      <c r="FL118" s="27">
        <f>IF(ISNUMBER(FL117),FL117*(1+PortfolioFrontier[[#This Row],[P42 Return]]),1+PortfolioFrontier[[#This Row],[P42 Return]])</f>
        <v>2.2392950129416</v>
      </c>
      <c r="FM118" s="27">
        <f>MAX(FM117,PortfolioFrontier[[#This Row],[P42 Growth]])</f>
        <v>2.2392950129416</v>
      </c>
      <c r="FN118" s="27">
        <f>PortfolioFrontier[[#This Row],[P42 Growth]]/PortfolioFrontier[[#This Row],[P42 HWM]]-1</f>
        <v>0</v>
      </c>
      <c r="FO118" s="28">
        <f>SUMPRODUCT(INDEX(PortfolioRef[[SPY]:[PE]],MATCH(FO$1,PortfolioRef[Reference '#]),0),AssetMonthlyReturns[[#This Row],[SPY]:[PE]])</f>
        <v>1.5755273230461997E-2</v>
      </c>
      <c r="FP118" s="27">
        <f>IF(ISNUMBER(FP117),FP117*(1+PortfolioFrontier[[#This Row],[P43 Return]]),1+PortfolioFrontier[[#This Row],[P43 Return]])</f>
        <v>2.2290461716765808</v>
      </c>
      <c r="FQ118" s="27">
        <f>MAX(FQ117,PortfolioFrontier[[#This Row],[P43 Growth]])</f>
        <v>2.2290461716765808</v>
      </c>
      <c r="FR118" s="27">
        <f>PortfolioFrontier[[#This Row],[P43 Growth]]/PortfolioFrontier[[#This Row],[P43 HWM]]-1</f>
        <v>0</v>
      </c>
      <c r="FS118" s="28">
        <f>SUMPRODUCT(INDEX(PortfolioRef[[SPY]:[PE]],MATCH(FS$1,PortfolioRef[Reference '#]),0),AssetMonthlyReturns[[#This Row],[SPY]:[PE]])</f>
        <v>1.9146157931839849E-2</v>
      </c>
      <c r="FT118" s="27">
        <f>IF(ISNUMBER(FT117),FT117*(1+PortfolioFrontier[[#This Row],[P44 Return]]),1+PortfolioFrontier[[#This Row],[P44 Return]])</f>
        <v>2.4492957847875165</v>
      </c>
      <c r="FU118" s="27">
        <f>MAX(FU117,PortfolioFrontier[[#This Row],[P44 Growth]])</f>
        <v>2.4492957847875165</v>
      </c>
      <c r="FV118" s="27">
        <f>PortfolioFrontier[[#This Row],[P44 Growth]]/PortfolioFrontier[[#This Row],[P44 HWM]]-1</f>
        <v>0</v>
      </c>
      <c r="FW118" s="28">
        <f>SUMPRODUCT(INDEX(PortfolioRef[[SPY]:[PE]],MATCH(FW$1,PortfolioRef[Reference '#]),0),AssetMonthlyReturns[[#This Row],[SPY]:[PE]])</f>
        <v>1.937794985377227E-2</v>
      </c>
      <c r="FX118" s="27">
        <f>IF(ISNUMBER(FX117),FX117*(1+PortfolioFrontier[[#This Row],[P45 Return]]),1+PortfolioFrontier[[#This Row],[P45 Return]])</f>
        <v>2.4386128961173101</v>
      </c>
      <c r="FY118" s="27">
        <f>MAX(FY117,PortfolioFrontier[[#This Row],[P45 Growth]])</f>
        <v>2.4386128961173101</v>
      </c>
      <c r="FZ118" s="27">
        <f>PortfolioFrontier[[#This Row],[P45 Growth]]/PortfolioFrontier[[#This Row],[P45 HWM]]-1</f>
        <v>0</v>
      </c>
      <c r="GA118" s="28">
        <f>SUMPRODUCT(INDEX(PortfolioRef[[SPY]:[PE]],MATCH(GA$1,PortfolioRef[Reference '#]),0),AssetMonthlyReturns[[#This Row],[SPY]:[PE]])</f>
        <v>1.7673280044759411E-2</v>
      </c>
      <c r="GB118" s="27">
        <f>IF(ISNUMBER(GB117),GB117*(1+PortfolioFrontier[[#This Row],[P46 Return]]),1+PortfolioFrontier[[#This Row],[P46 Return]])</f>
        <v>2.3672296292158252</v>
      </c>
      <c r="GC118" s="27">
        <f>MAX(GC117,PortfolioFrontier[[#This Row],[P46 Growth]])</f>
        <v>2.3672296292158252</v>
      </c>
      <c r="GD118" s="27">
        <f>PortfolioFrontier[[#This Row],[P46 Growth]]/PortfolioFrontier[[#This Row],[P46 HWM]]-1</f>
        <v>0</v>
      </c>
      <c r="GE118" s="28">
        <f>SUMPRODUCT(INDEX(PortfolioRef[[SPY]:[PE]],MATCH(GE$1,PortfolioRef[Reference '#]),0),AssetMonthlyReturns[[#This Row],[SPY]:[PE]])</f>
        <v>1.7905071966691832E-2</v>
      </c>
      <c r="GF118" s="27">
        <f>IF(ISNUMBER(GF117),GF117*(1+PortfolioFrontier[[#This Row],[P47 Return]]),1+PortfolioFrontier[[#This Row],[P47 Return]])</f>
        <v>2.3584434533852696</v>
      </c>
      <c r="GG118" s="27">
        <f>MAX(GG117,PortfolioFrontier[[#This Row],[P47 Growth]])</f>
        <v>2.3584434533852696</v>
      </c>
      <c r="GH118" s="27">
        <f>PortfolioFrontier[[#This Row],[P47 Growth]]/PortfolioFrontier[[#This Row],[P47 HWM]]-1</f>
        <v>0</v>
      </c>
      <c r="GI118" s="28">
        <f>SUMPRODUCT(INDEX(PortfolioRef[[SPY]:[PE]],MATCH(GI$1,PortfolioRef[Reference '#]),0),AssetMonthlyReturns[[#This Row],[SPY]:[PE]])</f>
        <v>1.8136863888624257E-2</v>
      </c>
      <c r="GJ118" s="27">
        <f>IF(ISNUMBER(GJ117),GJ117*(1+PortfolioFrontier[[#This Row],[P48 Return]]),1+PortfolioFrontier[[#This Row],[P48 Return]])</f>
        <v>2.3476559259685019</v>
      </c>
      <c r="GK118" s="27">
        <f>MAX(GK117,PortfolioFrontier[[#This Row],[P48 Growth]])</f>
        <v>2.3476559259685019</v>
      </c>
      <c r="GL118" s="27">
        <f>PortfolioFrontier[[#This Row],[P48 Growth]]/PortfolioFrontier[[#This Row],[P48 HWM]]-1</f>
        <v>0</v>
      </c>
      <c r="GM118" s="28">
        <f>SUMPRODUCT(INDEX(PortfolioRef[[SPY]:[PE]],MATCH(GM$1,PortfolioRef[Reference '#]),0),AssetMonthlyReturns[[#This Row],[SPY]:[PE]])</f>
        <v>1.6200402157678973E-2</v>
      </c>
      <c r="GN118" s="27">
        <f>IF(ISNUMBER(GN117),GN117*(1+PortfolioFrontier[[#This Row],[P49 Return]]),1+PortfolioFrontier[[#This Row],[P49 Return]])</f>
        <v>2.2856391452685196</v>
      </c>
      <c r="GO118" s="27">
        <f>MAX(GO117,PortfolioFrontier[[#This Row],[P49 Growth]])</f>
        <v>2.2856391452685196</v>
      </c>
      <c r="GP118" s="27">
        <f>PortfolioFrontier[[#This Row],[P49 Growth]]/PortfolioFrontier[[#This Row],[P49 HWM]]-1</f>
        <v>0</v>
      </c>
      <c r="GQ118" s="28">
        <f>SUMPRODUCT(INDEX(PortfolioRef[[SPY]:[PE]],MATCH(GQ$1,PortfolioRef[Reference '#]),0),AssetMonthlyReturns[[#This Row],[SPY]:[PE]])</f>
        <v>1.6432194079611395E-2</v>
      </c>
      <c r="GR118" s="27">
        <f>IF(ISNUMBER(GR117),GR117*(1+PortfolioFrontier[[#This Row],[P50 Return]]),1+PortfolioFrontier[[#This Row],[P50 Return]])</f>
        <v>2.2786493638195515</v>
      </c>
      <c r="GS118" s="27">
        <f>MAX(GS117,PortfolioFrontier[[#This Row],[P50 Growth]])</f>
        <v>2.2786493638195515</v>
      </c>
      <c r="GT118" s="27">
        <f>PortfolioFrontier[[#This Row],[P50 Growth]]/PortfolioFrontier[[#This Row],[P50 HWM]]-1</f>
        <v>0</v>
      </c>
      <c r="GU118" s="28">
        <f>SUMPRODUCT(INDEX(PortfolioRef[[SPY]:[PE]],MATCH(GU$1,PortfolioRef[Reference '#]),0),AssetMonthlyReturns[[#This Row],[SPY]:[PE]])</f>
        <v>1.6663986001543819E-2</v>
      </c>
      <c r="GV118" s="27">
        <f>IF(ISNUMBER(GV117),GV117*(1+PortfolioFrontier[[#This Row],[P51 Return]]),1+PortfolioFrontier[[#This Row],[P51 Return]])</f>
        <v>2.2697079607648503</v>
      </c>
      <c r="GW118" s="27">
        <f>MAX(GW117,PortfolioFrontier[[#This Row],[P51 Growth]])</f>
        <v>2.2697079607648503</v>
      </c>
      <c r="GX118" s="27">
        <f>PortfolioFrontier[[#This Row],[P51 Growth]]/PortfolioFrontier[[#This Row],[P51 HWM]]-1</f>
        <v>0</v>
      </c>
      <c r="GY118" s="28">
        <f>SUMPRODUCT(INDEX(PortfolioRef[[SPY]:[PE]],MATCH(GY$1,PortfolioRef[Reference '#]),0),AssetMonthlyReturns[[#This Row],[SPY]:[PE]])</f>
        <v>2.0054870702921671E-2</v>
      </c>
      <c r="GZ118" s="27">
        <f>IF(ISNUMBER(GZ117),GZ117*(1+PortfolioFrontier[[#This Row],[P52 Return]]),1+PortfolioFrontier[[#This Row],[P52 Return]])</f>
        <v>2.4922030811962559</v>
      </c>
      <c r="HA118" s="27">
        <f>MAX(HA117,PortfolioFrontier[[#This Row],[P52 Growth]])</f>
        <v>2.4922030811962559</v>
      </c>
      <c r="HB118" s="27">
        <f>PortfolioFrontier[[#This Row],[P52 Growth]]/PortfolioFrontier[[#This Row],[P52 HWM]]-1</f>
        <v>0</v>
      </c>
      <c r="HC118" s="28">
        <f>SUMPRODUCT(INDEX(PortfolioRef[[SPY]:[PE]],MATCH(HC$1,PortfolioRef[Reference '#]),0),AssetMonthlyReturns[[#This Row],[SPY]:[PE]])</f>
        <v>2.0286662624854093E-2</v>
      </c>
      <c r="HD118" s="27">
        <f>IF(ISNUMBER(HD117),HD117*(1+PortfolioFrontier[[#This Row],[P53 Return]]),1+PortfolioFrontier[[#This Row],[P53 Return]])</f>
        <v>2.4829586889090183</v>
      </c>
      <c r="HE118" s="27">
        <f>MAX(HE117,PortfolioFrontier[[#This Row],[P53 Growth]])</f>
        <v>2.4829586889090183</v>
      </c>
      <c r="HF118" s="27">
        <f>PortfolioFrontier[[#This Row],[P53 Growth]]/PortfolioFrontier[[#This Row],[P53 HWM]]-1</f>
        <v>0</v>
      </c>
      <c r="HG118" s="28">
        <f>SUMPRODUCT(INDEX(PortfolioRef[[SPY]:[PE]],MATCH(HG$1,PortfolioRef[Reference '#]),0),AssetMonthlyReturns[[#This Row],[SPY]:[PE]])</f>
        <v>2.0518454546786514E-2</v>
      </c>
      <c r="HH118" s="27">
        <f>IF(ISNUMBER(HH117),HH117*(1+PortfolioFrontier[[#This Row],[P54 Return]]),1+PortfolioFrontier[[#This Row],[P54 Return]])</f>
        <v>2.4716085677818</v>
      </c>
      <c r="HI118" s="27">
        <f>MAX(HI117,PortfolioFrontier[[#This Row],[P54 Growth]])</f>
        <v>2.4716085677818</v>
      </c>
      <c r="HJ118" s="27">
        <f>PortfolioFrontier[[#This Row],[P54 Growth]]/PortfolioFrontier[[#This Row],[P54 HWM]]-1</f>
        <v>0</v>
      </c>
      <c r="HK118" s="28">
        <f>SUMPRODUCT(INDEX(PortfolioRef[[SPY]:[PE]],MATCH(HK$1,PortfolioRef[Reference '#]),0),AssetMonthlyReturns[[#This Row],[SPY]:[PE]])</f>
        <v>1.858199281584123E-2</v>
      </c>
      <c r="HL118" s="27">
        <f>IF(ISNUMBER(HL117),HL117*(1+PortfolioFrontier[[#This Row],[P55 Return]]),1+PortfolioFrontier[[#This Row],[P55 Return]])</f>
        <v>2.4072477718424303</v>
      </c>
      <c r="HM118" s="27">
        <f>MAX(HM117,PortfolioFrontier[[#This Row],[P55 Growth]])</f>
        <v>2.4072477718424303</v>
      </c>
      <c r="HN118" s="27">
        <f>PortfolioFrontier[[#This Row],[P55 Growth]]/PortfolioFrontier[[#This Row],[P55 HWM]]-1</f>
        <v>0</v>
      </c>
      <c r="HO118" s="28">
        <f>SUMPRODUCT(INDEX(PortfolioRef[[SPY]:[PE]],MATCH(HO$1,PortfolioRef[Reference '#]),0),AssetMonthlyReturns[[#This Row],[SPY]:[PE]])</f>
        <v>1.8813784737773655E-2</v>
      </c>
      <c r="HP118" s="27">
        <f>IF(ISNUMBER(HP117),HP117*(1+PortfolioFrontier[[#This Row],[P56 Return]]),1+PortfolioFrontier[[#This Row],[P56 Return]])</f>
        <v>2.3998905973540063</v>
      </c>
      <c r="HQ118" s="27">
        <f>MAX(HQ117,PortfolioFrontier[[#This Row],[P56 Growth]])</f>
        <v>2.3998905973540063</v>
      </c>
      <c r="HR118" s="27">
        <f>PortfolioFrontier[[#This Row],[P56 Growth]]/PortfolioFrontier[[#This Row],[P56 HWM]]-1</f>
        <v>0</v>
      </c>
      <c r="HS118" s="28">
        <f>SUMPRODUCT(INDEX(PortfolioRef[[SPY]:[PE]],MATCH(HS$1,PortfolioRef[Reference '#]),0),AssetMonthlyReturns[[#This Row],[SPY]:[PE]])</f>
        <v>1.9045576659706076E-2</v>
      </c>
      <c r="HT118" s="27">
        <f>IF(ISNUMBER(HT117),HT117*(1+PortfolioFrontier[[#This Row],[P57 Return]]),1+PortfolioFrontier[[#This Row],[P57 Return]])</f>
        <v>2.3904792419680558</v>
      </c>
      <c r="HU118" s="27">
        <f>MAX(HU117,PortfolioFrontier[[#This Row],[P57 Growth]])</f>
        <v>2.3904792419680558</v>
      </c>
      <c r="HV118" s="27">
        <f>PortfolioFrontier[[#This Row],[P57 Growth]]/PortfolioFrontier[[#This Row],[P57 HWM]]-1</f>
        <v>0</v>
      </c>
      <c r="HW118" s="28">
        <f>SUMPRODUCT(INDEX(PortfolioRef[[SPY]:[PE]],MATCH(HW$1,PortfolioRef[Reference '#]),0),AssetMonthlyReturns[[#This Row],[SPY]:[PE]])</f>
        <v>1.7109114928760796E-2</v>
      </c>
      <c r="HX118" s="27">
        <f>IF(ISNUMBER(HX117),HX117*(1+PortfolioFrontier[[#This Row],[P58 Return]]),1+PortfolioFrontier[[#This Row],[P58 Return]])</f>
        <v>2.3228707949417231</v>
      </c>
      <c r="HY118" s="27">
        <f>MAX(HY117,PortfolioFrontier[[#This Row],[P58 Growth]])</f>
        <v>2.3228707949417231</v>
      </c>
      <c r="HZ118" s="27">
        <f>PortfolioFrontier[[#This Row],[P58 Growth]]/PortfolioFrontier[[#This Row],[P58 HWM]]-1</f>
        <v>0</v>
      </c>
      <c r="IA118" s="28">
        <f>SUMPRODUCT(INDEX(PortfolioRef[[SPY]:[PE]],MATCH(IA$1,PortfolioRef[Reference '#]),0),AssetMonthlyReturns[[#This Row],[SPY]:[PE]])</f>
        <v>1.7340906850693217E-2</v>
      </c>
      <c r="IB118" s="27">
        <f>IF(ISNUMBER(IB117),IB117*(1+PortfolioFrontier[[#This Row],[P59 Return]]),1+PortfolioFrontier[[#This Row],[P59 Return]])</f>
        <v>2.3172967667918298</v>
      </c>
      <c r="IC118" s="27">
        <f>MAX(IC117,PortfolioFrontier[[#This Row],[P59 Growth]])</f>
        <v>2.3172967667918298</v>
      </c>
      <c r="ID118" s="27">
        <f>PortfolioFrontier[[#This Row],[P59 Growth]]/PortfolioFrontier[[#This Row],[P59 HWM]]-1</f>
        <v>0</v>
      </c>
      <c r="IE118" s="28">
        <f>SUMPRODUCT(INDEX(PortfolioRef[[SPY]:[PE]],MATCH(IE$1,PortfolioRef[Reference '#]),0),AssetMonthlyReturns[[#This Row],[SPY]:[PE]])</f>
        <v>1.7572698772625642E-2</v>
      </c>
      <c r="IF118" s="27">
        <f>IF(ISNUMBER(IF117),IF117*(1+PortfolioFrontier[[#This Row],[P60 Return]]),1+PortfolioFrontier[[#This Row],[P60 Return]])</f>
        <v>2.309722591894054</v>
      </c>
      <c r="IG118" s="27">
        <f>MAX(IG117,PortfolioFrontier[[#This Row],[P60 Growth]])</f>
        <v>2.309722591894054</v>
      </c>
      <c r="IH118" s="27">
        <f>PortfolioFrontier[[#This Row],[P60 Growth]]/PortfolioFrontier[[#This Row],[P60 HWM]]-1</f>
        <v>0</v>
      </c>
      <c r="II118" s="28">
        <f>SUMPRODUCT(INDEX(PortfolioRef[[SPY]:[PE]],MATCH(II$1,PortfolioRef[Reference '#]),0),AssetMonthlyReturns[[#This Row],[SPY]:[PE]])</f>
        <v>1.3679080273427126E-2</v>
      </c>
      <c r="IJ118" s="27">
        <f>IF(ISNUMBER(IJ117),IJ117*(1+PortfolioFrontier[[#This Row],[P61 Return]]),1+PortfolioFrontier[[#This Row],[P61 Return]])</f>
        <v>2.0423438342872036</v>
      </c>
      <c r="IK118" s="27">
        <f>MAX(IK117,PortfolioFrontier[[#This Row],[P61 Growth]])</f>
        <v>2.0423438342872036</v>
      </c>
      <c r="IL118" s="27">
        <f>PortfolioFrontier[[#This Row],[P61 Growth]]/PortfolioFrontier[[#This Row],[P61 HWM]]-1</f>
        <v>0</v>
      </c>
      <c r="IM118" s="28">
        <f>SUMPRODUCT(INDEX(PortfolioRef[[SPY]:[PE]],MATCH(IM$1,PortfolioRef[Reference '#]),0),AssetMonthlyReturns[[#This Row],[SPY]:[PE]])</f>
        <v>1.6060670931589381E-2</v>
      </c>
      <c r="IN118" s="27">
        <f>IF(ISNUMBER(IN117),IN117*(1+PortfolioFrontier[[#This Row],[P62 Return]]),1+PortfolioFrontier[[#This Row],[P62 Return]])</f>
        <v>2.1510100110151096</v>
      </c>
      <c r="IO118" s="27">
        <f>MAX(IO117,PortfolioFrontier[[#This Row],[P62 Growth]])</f>
        <v>2.1510100110151096</v>
      </c>
      <c r="IP118" s="27">
        <f>PortfolioFrontier[[#This Row],[P62 Growth]]/PortfolioFrontier[[#This Row],[P62 HWM]]-1</f>
        <v>0</v>
      </c>
      <c r="IQ118" s="28">
        <f>SUMPRODUCT(INDEX(PortfolioRef[[SPY]:[PE]],MATCH(IQ$1,PortfolioRef[Reference '#]),0),AssetMonthlyReturns[[#This Row],[SPY]:[PE]])</f>
        <v>1.4587793044508947E-2</v>
      </c>
      <c r="IR118" s="27">
        <f>IF(ISNUMBER(IR117),IR117*(1+PortfolioFrontier[[#This Row],[P63 Return]]),1+PortfolioFrontier[[#This Row],[P63 Return]])</f>
        <v>2.0802071395798634</v>
      </c>
      <c r="IS118" s="27">
        <f>MAX(IS117,PortfolioFrontier[[#This Row],[P63 Growth]])</f>
        <v>2.0802071395798634</v>
      </c>
      <c r="IT118" s="27">
        <f>PortfolioFrontier[[#This Row],[P63 Growth]]/PortfolioFrontier[[#This Row],[P63 HWM]]-1</f>
        <v>0</v>
      </c>
      <c r="IU118" s="28">
        <f>SUMPRODUCT(INDEX(PortfolioRef[[SPY]:[PE]],MATCH(IU$1,PortfolioRef[Reference '#]),0),AssetMonthlyReturns[[#This Row],[SPY]:[PE]])</f>
        <v>1.4819584966441368E-2</v>
      </c>
      <c r="IV118" s="27">
        <f>IF(ISNUMBER(IV117),IV117*(1+PortfolioFrontier[[#This Row],[P64 Return]]),1+PortfolioFrontier[[#This Row],[P64 Return]])</f>
        <v>2.0703429499321642</v>
      </c>
      <c r="IW118" s="27">
        <f>MAX(IW117,PortfolioFrontier[[#This Row],[P64 Growth]])</f>
        <v>2.0703429499321642</v>
      </c>
      <c r="IX118" s="27">
        <f>PortfolioFrontier[[#This Row],[P64 Growth]]/PortfolioFrontier[[#This Row],[P64 HWM]]-1</f>
        <v>0</v>
      </c>
      <c r="IY118" s="28">
        <f>SUMPRODUCT(INDEX(PortfolioRef[[SPY]:[PE]],MATCH(IY$1,PortfolioRef[Reference '#]),0),AssetMonthlyReturns[[#This Row],[SPY]:[PE]])</f>
        <v>1.8442261589751641E-2</v>
      </c>
      <c r="IZ118" s="27">
        <f>IF(ISNUMBER(IZ117),IZ117*(1+PortfolioFrontier[[#This Row],[P65 Return]]),1+PortfolioFrontier[[#This Row],[P65 Return]])</f>
        <v>2.264568705914348</v>
      </c>
      <c r="JA118" s="27">
        <f>MAX(JA117,PortfolioFrontier[[#This Row],[P65 Growth]])</f>
        <v>2.264568705914348</v>
      </c>
      <c r="JB118" s="27">
        <f>PortfolioFrontier[[#This Row],[P65 Growth]]/PortfolioFrontier[[#This Row],[P65 HWM]]-1</f>
        <v>0</v>
      </c>
      <c r="JC118" s="28">
        <f>SUMPRODUCT(INDEX(PortfolioRef[[SPY]:[PE]],MATCH(JC$1,PortfolioRef[Reference '#]),0),AssetMonthlyReturns[[#This Row],[SPY]:[PE]])</f>
        <v>1.6969383702671204E-2</v>
      </c>
      <c r="JD118" s="27">
        <f>IF(ISNUMBER(JD117),JD117*(1+PortfolioFrontier[[#This Row],[P66 Return]]),1+PortfolioFrontier[[#This Row],[P66 Return]])</f>
        <v>2.1908855098458031</v>
      </c>
      <c r="JE118" s="27">
        <f>MAX(JE117,PortfolioFrontier[[#This Row],[P66 Growth]])</f>
        <v>2.1908855098458031</v>
      </c>
      <c r="JF118" s="27">
        <f>PortfolioFrontier[[#This Row],[P66 Growth]]/PortfolioFrontier[[#This Row],[P66 HWM]]-1</f>
        <v>0</v>
      </c>
      <c r="JG118" s="28">
        <f>SUMPRODUCT(INDEX(PortfolioRef[[SPY]:[PE]],MATCH(JG$1,PortfolioRef[Reference '#]),0),AssetMonthlyReturns[[#This Row],[SPY]:[PE]])</f>
        <v>1.7201175624603625E-2</v>
      </c>
      <c r="JH118" s="27">
        <f>IF(ISNUMBER(JH117),JH117*(1+PortfolioFrontier[[#This Row],[P67 Return]]),1+PortfolioFrontier[[#This Row],[P67 Return]])</f>
        <v>2.1805027716777232</v>
      </c>
      <c r="JI118" s="27">
        <f>MAX(JI117,PortfolioFrontier[[#This Row],[P67 Growth]])</f>
        <v>2.1805027716777232</v>
      </c>
      <c r="JJ118" s="27">
        <f>PortfolioFrontier[[#This Row],[P67 Growth]]/PortfolioFrontier[[#This Row],[P67 HWM]]-1</f>
        <v>0</v>
      </c>
      <c r="JK118" s="28">
        <f>SUMPRODUCT(INDEX(PortfolioRef[[SPY]:[PE]],MATCH(JK$1,PortfolioRef[Reference '#]),0),AssetMonthlyReturns[[#This Row],[SPY]:[PE]])</f>
        <v>1.5496505815590767E-2</v>
      </c>
      <c r="JL118" s="27">
        <f>IF(ISNUMBER(JL117),JL117*(1+PortfolioFrontier[[#This Row],[P68 Return]]),1+PortfolioFrontier[[#This Row],[P68 Return]])</f>
        <v>2.1175009225941155</v>
      </c>
      <c r="JM118" s="27">
        <f>MAX(JM117,PortfolioFrontier[[#This Row],[P68 Growth]])</f>
        <v>2.1175009225941155</v>
      </c>
      <c r="JN118" s="27">
        <f>PortfolioFrontier[[#This Row],[P68 Growth]]/PortfolioFrontier[[#This Row],[P68 HWM]]-1</f>
        <v>0</v>
      </c>
      <c r="JO118" s="28">
        <f>SUMPRODUCT(INDEX(PortfolioRef[[SPY]:[PE]],MATCH(JO$1,PortfolioRef[Reference '#]),0),AssetMonthlyReturns[[#This Row],[SPY]:[PE]])</f>
        <v>1.5728297737523191E-2</v>
      </c>
      <c r="JP118" s="27">
        <f>IF(ISNUMBER(JP117),JP117*(1+PortfolioFrontier[[#This Row],[P69 Return]]),1+PortfolioFrontier[[#This Row],[P69 Return]])</f>
        <v>2.1088398757417743</v>
      </c>
      <c r="JQ118" s="27">
        <f>MAX(JQ117,PortfolioFrontier[[#This Row],[P69 Growth]])</f>
        <v>2.1088398757417743</v>
      </c>
      <c r="JR118" s="27">
        <f>PortfolioFrontier[[#This Row],[P69 Growth]]/PortfolioFrontier[[#This Row],[P69 HWM]]-1</f>
        <v>0</v>
      </c>
      <c r="JS118" s="28">
        <f>SUMPRODUCT(INDEX(PortfolioRef[[SPY]:[PE]],MATCH(JS$1,PortfolioRef[Reference '#]),0),AssetMonthlyReturns[[#This Row],[SPY]:[PE]])</f>
        <v>1.5960089659455612E-2</v>
      </c>
      <c r="JT118" s="27">
        <f>IF(ISNUMBER(JT117),JT117*(1+PortfolioFrontier[[#This Row],[P70 Return]]),1+PortfolioFrontier[[#This Row],[P70 Return]])</f>
        <v>2.0983974526530798</v>
      </c>
      <c r="JU118" s="27">
        <f>MAX(JU117,PortfolioFrontier[[#This Row],[P70 Growth]])</f>
        <v>2.0983974526530798</v>
      </c>
      <c r="JV118" s="27">
        <f>PortfolioFrontier[[#This Row],[P70 Growth]]/PortfolioFrontier[[#This Row],[P70 HWM]]-1</f>
        <v>0</v>
      </c>
      <c r="JW118" s="28">
        <f>SUMPRODUCT(INDEX(PortfolioRef[[SPY]:[PE]],MATCH(JW$1,PortfolioRef[Reference '#]),0),AssetMonthlyReturns[[#This Row],[SPY]:[PE]])</f>
        <v>1.9350974360833464E-2</v>
      </c>
      <c r="JX118" s="27">
        <f>IF(ISNUMBER(JX117),JX117*(1+PortfolioFrontier[[#This Row],[P71 Return]]),1+PortfolioFrontier[[#This Row],[P71 Return]])</f>
        <v>2.3065472836572072</v>
      </c>
      <c r="JY118" s="27">
        <f>MAX(JY117,PortfolioFrontier[[#This Row],[P71 Growth]])</f>
        <v>2.3065472836572072</v>
      </c>
      <c r="JZ118" s="27">
        <f>PortfolioFrontier[[#This Row],[P71 Growth]]/PortfolioFrontier[[#This Row],[P71 HWM]]-1</f>
        <v>0</v>
      </c>
      <c r="KA118" s="28">
        <f>SUMPRODUCT(INDEX(PortfolioRef[[SPY]:[PE]],MATCH(KA$1,PortfolioRef[Reference '#]),0),AssetMonthlyReturns[[#This Row],[SPY]:[PE]])</f>
        <v>1.9582766282765885E-2</v>
      </c>
      <c r="KB118" s="27">
        <f>IF(ISNUMBER(KB117),KB117*(1+PortfolioFrontier[[#This Row],[P72 Return]]),1+PortfolioFrontier[[#This Row],[P72 Return]])</f>
        <v>2.2956229836543591</v>
      </c>
      <c r="KC118" s="27">
        <f>MAX(KC117,PortfolioFrontier[[#This Row],[P72 Growth]])</f>
        <v>2.2956229836543591</v>
      </c>
      <c r="KD118" s="27">
        <f>PortfolioFrontier[[#This Row],[P72 Growth]]/PortfolioFrontier[[#This Row],[P72 HWM]]-1</f>
        <v>0</v>
      </c>
      <c r="KE118" s="28">
        <f>SUMPRODUCT(INDEX(PortfolioRef[[SPY]:[PE]],MATCH(KE$1,PortfolioRef[Reference '#]),0),AssetMonthlyReturns[[#This Row],[SPY]:[PE]])</f>
        <v>1.7878096473753026E-2</v>
      </c>
      <c r="KF118" s="27">
        <f>IF(ISNUMBER(KF117),KF117*(1+PortfolioFrontier[[#This Row],[P73 Return]]),1+PortfolioFrontier[[#This Row],[P73 Return]])</f>
        <v>2.2301619757984845</v>
      </c>
      <c r="KG118" s="27">
        <f>MAX(KG117,PortfolioFrontier[[#This Row],[P73 Growth]])</f>
        <v>2.2301619757984845</v>
      </c>
      <c r="KH118" s="27">
        <f>PortfolioFrontier[[#This Row],[P73 Growth]]/PortfolioFrontier[[#This Row],[P73 HWM]]-1</f>
        <v>0</v>
      </c>
      <c r="KI118" s="28">
        <f>SUMPRODUCT(INDEX(PortfolioRef[[SPY]:[PE]],MATCH(KI$1,PortfolioRef[Reference '#]),0),AssetMonthlyReturns[[#This Row],[SPY]:[PE]])</f>
        <v>1.8109888395685447E-2</v>
      </c>
      <c r="KJ118" s="27">
        <f>IF(ISNUMBER(KJ117),KJ117*(1+PortfolioFrontier[[#This Row],[P74 Return]]),1+PortfolioFrontier[[#This Row],[P74 Return]])</f>
        <v>2.2210456293921288</v>
      </c>
      <c r="KK118" s="27">
        <f>MAX(KK117,PortfolioFrontier[[#This Row],[P74 Growth]])</f>
        <v>2.2210456293921288</v>
      </c>
      <c r="KL118" s="27">
        <f>PortfolioFrontier[[#This Row],[P74 Growth]]/PortfolioFrontier[[#This Row],[P74 HWM]]-1</f>
        <v>0</v>
      </c>
      <c r="KM118" s="28">
        <f>SUMPRODUCT(INDEX(PortfolioRef[[SPY]:[PE]],MATCH(KM$1,PortfolioRef[Reference '#]),0),AssetMonthlyReturns[[#This Row],[SPY]:[PE]])</f>
        <v>1.8341680317617872E-2</v>
      </c>
      <c r="KN118" s="27">
        <f>IF(ISNUMBER(KN117),KN117*(1+PortfolioFrontier[[#This Row],[P75 Return]]),1+PortfolioFrontier[[#This Row],[P75 Return]])</f>
        <v>2.2100542867904664</v>
      </c>
      <c r="KO118" s="27">
        <f>MAX(KO117,PortfolioFrontier[[#This Row],[P75 Growth]])</f>
        <v>2.2100542867904664</v>
      </c>
      <c r="KP118" s="27">
        <f>PortfolioFrontier[[#This Row],[P75 Growth]]/PortfolioFrontier[[#This Row],[P75 HWM]]-1</f>
        <v>0</v>
      </c>
      <c r="KQ118" s="28">
        <f>SUMPRODUCT(INDEX(PortfolioRef[[SPY]:[PE]],MATCH(KQ$1,PortfolioRef[Reference '#]),0),AssetMonthlyReturns[[#This Row],[SPY]:[PE]])</f>
        <v>1.6405218586672588E-2</v>
      </c>
      <c r="KR118" s="27">
        <f>IF(ISNUMBER(KR117),KR117*(1+PortfolioFrontier[[#This Row],[P76 Return]]),1+PortfolioFrontier[[#This Row],[P76 Return]])</f>
        <v>2.1541654622509787</v>
      </c>
      <c r="KS118" s="27">
        <f>MAX(KS117,PortfolioFrontier[[#This Row],[P76 Growth]])</f>
        <v>2.1541654622509787</v>
      </c>
      <c r="KT118" s="27">
        <f>PortfolioFrontier[[#This Row],[P76 Growth]]/PortfolioFrontier[[#This Row],[P76 HWM]]-1</f>
        <v>0</v>
      </c>
      <c r="KU118" s="28">
        <f>SUMPRODUCT(INDEX(PortfolioRef[[SPY]:[PE]],MATCH(KU$1,PortfolioRef[Reference '#]),0),AssetMonthlyReturns[[#This Row],[SPY]:[PE]])</f>
        <v>1.6637010508605009E-2</v>
      </c>
      <c r="KV118" s="27">
        <f>IF(ISNUMBER(KV117),KV117*(1+PortfolioFrontier[[#This Row],[P77 Return]]),1+PortfolioFrontier[[#This Row],[P77 Return]])</f>
        <v>2.1467638525823327</v>
      </c>
      <c r="KW118" s="27">
        <f>MAX(KW117,PortfolioFrontier[[#This Row],[P77 Growth]])</f>
        <v>2.1467638525823327</v>
      </c>
      <c r="KX118" s="27">
        <f>PortfolioFrontier[[#This Row],[P77 Growth]]/PortfolioFrontier[[#This Row],[P77 HWM]]-1</f>
        <v>0</v>
      </c>
      <c r="KY118" s="28">
        <f>SUMPRODUCT(INDEX(PortfolioRef[[SPY]:[PE]],MATCH(KY$1,PortfolioRef[Reference '#]),0),AssetMonthlyReturns[[#This Row],[SPY]:[PE]])</f>
        <v>1.6868802430537434E-2</v>
      </c>
      <c r="KZ118" s="27">
        <f>IF(ISNUMBER(KZ117),KZ117*(1+PortfolioFrontier[[#This Row],[P78 Return]]),1+PortfolioFrontier[[#This Row],[P78 Return]])</f>
        <v>2.1375321672593728</v>
      </c>
      <c r="LA118" s="27">
        <f>MAX(LA117,PortfolioFrontier[[#This Row],[P78 Growth]])</f>
        <v>2.1375321672593728</v>
      </c>
      <c r="LB118" s="27">
        <f>PortfolioFrontier[[#This Row],[P78 Growth]]/PortfolioFrontier[[#This Row],[P78 HWM]]-1</f>
        <v>0</v>
      </c>
      <c r="LC118" s="28">
        <f>SUMPRODUCT(INDEX(PortfolioRef[[SPY]:[PE]],MATCH(LC$1,PortfolioRef[Reference '#]),0),AssetMonthlyReturns[[#This Row],[SPY]:[PE]])</f>
        <v>2.0259687131915286E-2</v>
      </c>
      <c r="LD118" s="27">
        <f>IF(ISNUMBER(LD117),LD117*(1+PortfolioFrontier[[#This Row],[P79 Return]]),1+PortfolioFrontier[[#This Row],[P79 Return]])</f>
        <v>2.3478960350137199</v>
      </c>
      <c r="LE118" s="27">
        <f>MAX(LE117,PortfolioFrontier[[#This Row],[P79 Growth]])</f>
        <v>2.3478960350137199</v>
      </c>
      <c r="LF118" s="27">
        <f>PortfolioFrontier[[#This Row],[P79 Growth]]/PortfolioFrontier[[#This Row],[P79 HWM]]-1</f>
        <v>0</v>
      </c>
      <c r="LG118" s="28">
        <f>SUMPRODUCT(INDEX(PortfolioRef[[SPY]:[PE]],MATCH(LG$1,PortfolioRef[Reference '#]),0),AssetMonthlyReturns[[#This Row],[SPY]:[PE]])</f>
        <v>2.0491479053847707E-2</v>
      </c>
      <c r="LH118" s="27">
        <f>IF(ISNUMBER(LH117),LH117*(1+PortfolioFrontier[[#This Row],[P80 Return]]),1+PortfolioFrontier[[#This Row],[P80 Return]])</f>
        <v>2.3383041923329961</v>
      </c>
      <c r="LI118" s="27">
        <f>MAX(LI117,PortfolioFrontier[[#This Row],[P80 Growth]])</f>
        <v>2.3383041923329961</v>
      </c>
      <c r="LJ118" s="27">
        <f>PortfolioFrontier[[#This Row],[P80 Growth]]/PortfolioFrontier[[#This Row],[P80 HWM]]-1</f>
        <v>0</v>
      </c>
      <c r="LK118" s="28">
        <f>SUMPRODUCT(INDEX(PortfolioRef[[SPY]:[PE]],MATCH(LK$1,PortfolioRef[Reference '#]),0),AssetMonthlyReturns[[#This Row],[SPY]:[PE]])</f>
        <v>2.0723270975780129E-2</v>
      </c>
      <c r="LL118" s="27">
        <f>IF(ISNUMBER(LL117),LL117*(1+PortfolioFrontier[[#This Row],[P81 Return]]),1+PortfolioFrontier[[#This Row],[P81 Return]])</f>
        <v>2.3267395638973669</v>
      </c>
      <c r="LM118" s="27">
        <f>MAX(LM117,PortfolioFrontier[[#This Row],[P81 Growth]])</f>
        <v>2.3267395638973669</v>
      </c>
      <c r="LN118" s="27">
        <f>PortfolioFrontier[[#This Row],[P81 Growth]]/PortfolioFrontier[[#This Row],[P81 HWM]]-1</f>
        <v>0</v>
      </c>
      <c r="LO118" s="28">
        <f>SUMPRODUCT(INDEX(PortfolioRef[[SPY]:[PE]],MATCH(LO$1,PortfolioRef[Reference '#]),0),AssetMonthlyReturns[[#This Row],[SPY]:[PE]])</f>
        <v>1.8786809244834845E-2</v>
      </c>
      <c r="LP118" s="27">
        <f>IF(ISNUMBER(LP117),LP117*(1+PortfolioFrontier[[#This Row],[P82 Return]]),1+PortfolioFrontier[[#This Row],[P82 Return]])</f>
        <v>2.2687765590177551</v>
      </c>
      <c r="LQ118" s="27">
        <f>MAX(LQ117,PortfolioFrontier[[#This Row],[P82 Growth]])</f>
        <v>2.2687765590177551</v>
      </c>
      <c r="LR118" s="27">
        <f>PortfolioFrontier[[#This Row],[P82 Growth]]/PortfolioFrontier[[#This Row],[P82 HWM]]-1</f>
        <v>0</v>
      </c>
      <c r="LS118" s="28">
        <f>SUMPRODUCT(INDEX(PortfolioRef[[SPY]:[PE]],MATCH(LS$1,PortfolioRef[Reference '#]),0),AssetMonthlyReturns[[#This Row],[SPY]:[PE]])</f>
        <v>1.901860116676727E-2</v>
      </c>
      <c r="LT118" s="27">
        <f>IF(ISNUMBER(LT117),LT117*(1+PortfolioFrontier[[#This Row],[P83 Return]]),1+PortfolioFrontier[[#This Row],[P83 Return]])</f>
        <v>2.2609858552054622</v>
      </c>
      <c r="LU118" s="27">
        <f>MAX(LU117,PortfolioFrontier[[#This Row],[P83 Growth]])</f>
        <v>2.2609858552054622</v>
      </c>
      <c r="LV118" s="27">
        <f>PortfolioFrontier[[#This Row],[P83 Growth]]/PortfolioFrontier[[#This Row],[P83 HWM]]-1</f>
        <v>0</v>
      </c>
      <c r="LW118" s="28">
        <f>SUMPRODUCT(INDEX(PortfolioRef[[SPY]:[PE]],MATCH(LW$1,PortfolioRef[Reference '#]),0),AssetMonthlyReturns[[#This Row],[SPY]:[PE]])</f>
        <v>1.9250393088699691E-2</v>
      </c>
      <c r="LX118" s="27">
        <f>IF(ISNUMBER(LX117),LX117*(1+PortfolioFrontier[[#This Row],[P84 Return]]),1+PortfolioFrontier[[#This Row],[P84 Return]])</f>
        <v>2.2512689017537437</v>
      </c>
      <c r="LY118" s="27">
        <f>MAX(LY117,PortfolioFrontier[[#This Row],[P84 Growth]])</f>
        <v>2.2512689017537437</v>
      </c>
      <c r="LZ118" s="27">
        <f>PortfolioFrontier[[#This Row],[P84 Growth]]/PortfolioFrontier[[#This Row],[P84 HWM]]-1</f>
        <v>0</v>
      </c>
      <c r="MA118" s="28">
        <f>SUMPRODUCT(INDEX(PortfolioRef[[SPY]:[PE]],MATCH(MA$1,PortfolioRef[Reference '#]),0),AssetMonthlyReturns[[#This Row],[SPY]:[PE]])</f>
        <v>1.7313931357754411E-2</v>
      </c>
      <c r="MB118" s="27">
        <f>IF(ISNUMBER(MB117),MB117*(1+PortfolioFrontier[[#This Row],[P85 Return]]),1+PortfolioFrontier[[#This Row],[P85 Return]])</f>
        <v>2.190140652753894</v>
      </c>
      <c r="MC118" s="27">
        <f>MAX(MC117,PortfolioFrontier[[#This Row],[P85 Growth]])</f>
        <v>2.190140652753894</v>
      </c>
      <c r="MD118" s="27">
        <f>PortfolioFrontier[[#This Row],[P85 Growth]]/PortfolioFrontier[[#This Row],[P85 HWM]]-1</f>
        <v>0</v>
      </c>
      <c r="ME118" s="28">
        <f>SUMPRODUCT(INDEX(PortfolioRef[[SPY]:[PE]],MATCH(ME$1,PortfolioRef[Reference '#]),0),AssetMonthlyReturns[[#This Row],[SPY]:[PE]])</f>
        <v>1.7545723279686832E-2</v>
      </c>
      <c r="MF118" s="27">
        <f>IF(ISNUMBER(MF117),MF117*(1+PortfolioFrontier[[#This Row],[P86 Return]]),1+PortfolioFrontier[[#This Row],[P86 Return]])</f>
        <v>2.1840542701150545</v>
      </c>
      <c r="MG118" s="27">
        <f>MAX(MG117,PortfolioFrontier[[#This Row],[P86 Growth]])</f>
        <v>2.1840542701150545</v>
      </c>
      <c r="MH118" s="27">
        <f>PortfolioFrontier[[#This Row],[P86 Growth]]/PortfolioFrontier[[#This Row],[P86 HWM]]-1</f>
        <v>0</v>
      </c>
      <c r="MI118" s="28">
        <f>SUMPRODUCT(INDEX(PortfolioRef[[SPY]:[PE]],MATCH(MI$1,PortfolioRef[Reference '#]),0),AssetMonthlyReturns[[#This Row],[SPY]:[PE]])</f>
        <v>1.7777515201619257E-2</v>
      </c>
      <c r="MJ118" s="27">
        <f>IF(ISNUMBER(MJ117),MJ117*(1+PortfolioFrontier[[#This Row],[P87 Return]]),1+PortfolioFrontier[[#This Row],[P87 Return]])</f>
        <v>2.1760906101108897</v>
      </c>
      <c r="MK118" s="27">
        <f>MAX(MK117,PortfolioFrontier[[#This Row],[P87 Growth]])</f>
        <v>2.1760906101108897</v>
      </c>
      <c r="ML118" s="27">
        <f>PortfolioFrontier[[#This Row],[P87 Growth]]/PortfolioFrontier[[#This Row],[P87 HWM]]-1</f>
        <v>0</v>
      </c>
      <c r="MM118" s="28">
        <f>SUMPRODUCT(INDEX(PortfolioRef[[SPY]:[PE]],MATCH(MM$1,PortfolioRef[Reference '#]),0),AssetMonthlyReturns[[#This Row],[SPY]:[PE]])</f>
        <v>2.1168399902997105E-2</v>
      </c>
      <c r="MN118" s="27">
        <f>IF(ISNUMBER(MN117),MN117*(1+PortfolioFrontier[[#This Row],[P88 Return]]),1+PortfolioFrontier[[#This Row],[P88 Return]])</f>
        <v>2.3885488421889383</v>
      </c>
      <c r="MO118" s="27">
        <f>MAX(MO117,PortfolioFrontier[[#This Row],[P88 Growth]])</f>
        <v>2.3885488421889383</v>
      </c>
      <c r="MP118" s="27">
        <f>PortfolioFrontier[[#This Row],[P88 Growth]]/PortfolioFrontier[[#This Row],[P88 HWM]]-1</f>
        <v>0</v>
      </c>
      <c r="MQ118" s="28">
        <f>SUMPRODUCT(INDEX(PortfolioRef[[SPY]:[PE]],MATCH(MQ$1,PortfolioRef[Reference '#]),0),AssetMonthlyReturns[[#This Row],[SPY]:[PE]])</f>
        <v>2.1400191824929526E-2</v>
      </c>
      <c r="MR118" s="27">
        <f>IF(ISNUMBER(MR117),MR117*(1+PortfolioFrontier[[#This Row],[P89 Return]]),1+PortfolioFrontier[[#This Row],[P89 Return]])</f>
        <v>2.3803517960124423</v>
      </c>
      <c r="MS118" s="27">
        <f>MAX(MS117,PortfolioFrontier[[#This Row],[P89 Growth]])</f>
        <v>2.3803517960124423</v>
      </c>
      <c r="MT118" s="27">
        <f>PortfolioFrontier[[#This Row],[P89 Growth]]/PortfolioFrontier[[#This Row],[P89 HWM]]-1</f>
        <v>0</v>
      </c>
      <c r="MU118" s="28">
        <f>SUMPRODUCT(INDEX(PortfolioRef[[SPY]:[PE]],MATCH(MU$1,PortfolioRef[Reference '#]),0),AssetMonthlyReturns[[#This Row],[SPY]:[PE]])</f>
        <v>2.1631983746861951E-2</v>
      </c>
      <c r="MV118" s="27">
        <f>IF(ISNUMBER(MV117),MV117*(1+PortfolioFrontier[[#This Row],[P90 Return]]),1+PortfolioFrontier[[#This Row],[P90 Return]])</f>
        <v>2.3701280429421909</v>
      </c>
      <c r="MW118" s="27">
        <f>MAX(MW117,PortfolioFrontier[[#This Row],[P90 Growth]])</f>
        <v>2.3701280429421909</v>
      </c>
      <c r="MX118" s="27">
        <f>PortfolioFrontier[[#This Row],[P90 Growth]]/PortfolioFrontier[[#This Row],[P90 HWM]]-1</f>
        <v>0</v>
      </c>
      <c r="MY118" s="28">
        <f>SUMPRODUCT(INDEX(PortfolioRef[[SPY]:[PE]],MATCH(MY$1,PortfolioRef[Reference '#]),0),AssetMonthlyReturns[[#This Row],[SPY]:[PE]])</f>
        <v>1.9695522015916667E-2</v>
      </c>
      <c r="MZ118" s="27">
        <f>IF(ISNUMBER(MZ117),MZ117*(1+PortfolioFrontier[[#This Row],[P91 Return]]),1+PortfolioFrontier[[#This Row],[P91 Return]])</f>
        <v>2.3066660034216997</v>
      </c>
      <c r="NA118" s="27">
        <f>MAX(NA117,PortfolioFrontier[[#This Row],[P91 Growth]])</f>
        <v>2.3066660034216997</v>
      </c>
      <c r="NB118" s="27">
        <f>PortfolioFrontier[[#This Row],[P91 Growth]]/PortfolioFrontier[[#This Row],[P91 HWM]]-1</f>
        <v>0</v>
      </c>
      <c r="NC118" s="28">
        <f>SUMPRODUCT(INDEX(PortfolioRef[[SPY]:[PE]],MATCH(NC$1,PortfolioRef[Reference '#]),0),AssetMonthlyReturns[[#This Row],[SPY]:[PE]])</f>
        <v>1.9927313937849089E-2</v>
      </c>
      <c r="ND118" s="27">
        <f>IF(ISNUMBER(ND117),ND117*(1+PortfolioFrontier[[#This Row],[P92 Return]]),1+PortfolioFrontier[[#This Row],[P92 Return]])</f>
        <v>2.3002596634357766</v>
      </c>
      <c r="NE118" s="27">
        <f>MAX(NE117,PortfolioFrontier[[#This Row],[P92 Growth]])</f>
        <v>2.3002596634357766</v>
      </c>
      <c r="NF118" s="27">
        <f>PortfolioFrontier[[#This Row],[P92 Growth]]/PortfolioFrontier[[#This Row],[P92 HWM]]-1</f>
        <v>0</v>
      </c>
      <c r="NG118" s="28">
        <f>SUMPRODUCT(INDEX(PortfolioRef[[SPY]:[PE]],MATCH(NG$1,PortfolioRef[Reference '#]),0),AssetMonthlyReturns[[#This Row],[SPY]:[PE]])</f>
        <v>2.0159105859781513E-2</v>
      </c>
      <c r="NH118" s="27">
        <f>IF(ISNUMBER(NH117),NH117*(1+PortfolioFrontier[[#This Row],[P93 Return]]),1+PortfolioFrontier[[#This Row],[P93 Return]])</f>
        <v>2.2918773951961491</v>
      </c>
      <c r="NI118" s="27">
        <f>MAX(NI117,PortfolioFrontier[[#This Row],[P93 Growth]])</f>
        <v>2.2918773951961491</v>
      </c>
      <c r="NJ118" s="27">
        <f>PortfolioFrontier[[#This Row],[P93 Growth]]/PortfolioFrontier[[#This Row],[P93 HWM]]-1</f>
        <v>0</v>
      </c>
      <c r="NK118" s="28">
        <f>SUMPRODUCT(INDEX(PortfolioRef[[SPY]:[PE]],MATCH(NK$1,PortfolioRef[Reference '#]),0),AssetMonthlyReturns[[#This Row],[SPY]:[PE]])</f>
        <v>1.822264412883623E-2</v>
      </c>
      <c r="NL118" s="27">
        <f>IF(ISNUMBER(NL117),NL117*(1+PortfolioFrontier[[#This Row],[P94 Return]]),1+PortfolioFrontier[[#This Row],[P94 Return]])</f>
        <v>2.2253661272862422</v>
      </c>
      <c r="NM118" s="27">
        <f>MAX(NM117,PortfolioFrontier[[#This Row],[P94 Growth]])</f>
        <v>2.2253661272862422</v>
      </c>
      <c r="NN118" s="27">
        <f>PortfolioFrontier[[#This Row],[P94 Growth]]/PortfolioFrontier[[#This Row],[P94 HWM]]-1</f>
        <v>0</v>
      </c>
      <c r="NO118" s="28">
        <f>SUMPRODUCT(INDEX(PortfolioRef[[SPY]:[PE]],MATCH(NO$1,PortfolioRef[Reference '#]),0),AssetMonthlyReturns[[#This Row],[SPY]:[PE]])</f>
        <v>1.8454436050768654E-2</v>
      </c>
      <c r="NP118" s="27">
        <f>IF(ISNUMBER(NP117),NP117*(1+PortfolioFrontier[[#This Row],[P95 Return]]),1+PortfolioFrontier[[#This Row],[P95 Return]])</f>
        <v>2.2206501160787226</v>
      </c>
      <c r="NQ118" s="27">
        <f>MAX(NQ117,PortfolioFrontier[[#This Row],[P95 Growth]])</f>
        <v>2.2206501160787226</v>
      </c>
      <c r="NR118" s="27">
        <f>PortfolioFrontier[[#This Row],[P95 Growth]]/PortfolioFrontier[[#This Row],[P95 HWM]]-1</f>
        <v>0</v>
      </c>
      <c r="NS118" s="28">
        <f>SUMPRODUCT(INDEX(PortfolioRef[[SPY]:[PE]],MATCH(NS$1,PortfolioRef[Reference '#]),0),AssetMonthlyReturns[[#This Row],[SPY]:[PE]])</f>
        <v>1.8686227972701076E-2</v>
      </c>
      <c r="NT118" s="27">
        <f>IF(ISNUMBER(NT117),NT117*(1+PortfolioFrontier[[#This Row],[P96 Return]]),1+PortfolioFrontier[[#This Row],[P96 Return]])</f>
        <v>2.214011277996681</v>
      </c>
      <c r="NU118" s="27">
        <f>MAX(NU117,PortfolioFrontier[[#This Row],[P96 Growth]])</f>
        <v>2.214011277996681</v>
      </c>
      <c r="NV118" s="27">
        <f>PortfolioFrontier[[#This Row],[P96 Growth]]/PortfolioFrontier[[#This Row],[P96 HWM]]-1</f>
        <v>0</v>
      </c>
      <c r="NW118" s="28">
        <f>SUMPRODUCT(INDEX(PortfolioRef[[SPY]:[PE]],MATCH(NW$1,PortfolioRef[Reference '#]),0),AssetMonthlyReturns[[#This Row],[SPY]:[PE]])</f>
        <v>1.3883896702420741E-2</v>
      </c>
      <c r="NX118" s="27">
        <f>IF(ISNUMBER(NX117),NX117*(1+PortfolioFrontier[[#This Row],[P97 Return]]),1+PortfolioFrontier[[#This Row],[P97 Return]])</f>
        <v>1.9215639565849965</v>
      </c>
      <c r="NY118" s="27">
        <f>MAX(NY117,PortfolioFrontier[[#This Row],[P97 Growth]])</f>
        <v>1.9215639565849965</v>
      </c>
      <c r="NZ118" s="27">
        <f>PortfolioFrontier[[#This Row],[P97 Growth]]/PortfolioFrontier[[#This Row],[P97 HWM]]-1</f>
        <v>0</v>
      </c>
      <c r="OA118" s="28">
        <f>SUMPRODUCT(INDEX(PortfolioRef[[SPY]:[PE]],MATCH(OA$1,PortfolioRef[Reference '#]),0),AssetMonthlyReturns[[#This Row],[SPY]:[PE]])</f>
        <v>1.6265487360583E-2</v>
      </c>
      <c r="OB118" s="27">
        <f>IF(ISNUMBER(OB117),OB117*(1+PortfolioFrontier[[#This Row],[P98 Return]]),1+PortfolioFrontier[[#This Row],[P98 Return]])</f>
        <v>2.0238037988668505</v>
      </c>
      <c r="OC118" s="27">
        <f>MAX(OC117,PortfolioFrontier[[#This Row],[P98 Growth]])</f>
        <v>2.0238037988668505</v>
      </c>
      <c r="OD118" s="27">
        <f>PortfolioFrontier[[#This Row],[P98 Growth]]/PortfolioFrontier[[#This Row],[P98 HWM]]-1</f>
        <v>0</v>
      </c>
      <c r="OE118" s="28">
        <f>SUMPRODUCT(INDEX(PortfolioRef[[SPY]:[PE]],MATCH(OE$1,PortfolioRef[Reference '#]),0),AssetMonthlyReturns[[#This Row],[SPY]:[PE]])</f>
        <v>1.4792609473502562E-2</v>
      </c>
      <c r="OF118" s="27">
        <f>IF(ISNUMBER(OF117),OF117*(1+PortfolioFrontier[[#This Row],[P99 Return]]),1+PortfolioFrontier[[#This Row],[P99 Return]])</f>
        <v>1.9579714285757517</v>
      </c>
      <c r="OG118" s="27">
        <f>MAX(OG117,PortfolioFrontier[[#This Row],[P99 Growth]])</f>
        <v>1.9579714285757517</v>
      </c>
      <c r="OH118" s="27">
        <f>PortfolioFrontier[[#This Row],[P99 Growth]]/PortfolioFrontier[[#This Row],[P99 HWM]]-1</f>
        <v>0</v>
      </c>
      <c r="OI118" s="28">
        <f>SUMPRODUCT(INDEX(PortfolioRef[[SPY]:[PE]],MATCH(OI$1,PortfolioRef[Reference '#]),0),AssetMonthlyReturns[[#This Row],[SPY]:[PE]])</f>
        <v>1.5024401395434983E-2</v>
      </c>
      <c r="OJ118" s="27">
        <f>IF(ISNUMBER(OJ117),OJ117*(1+PortfolioFrontier[[#This Row],[P100 Return]]),1+PortfolioFrontier[[#This Row],[P100 Return]])</f>
        <v>1.9479539794753662</v>
      </c>
      <c r="OK118" s="27">
        <f>MAX(OK117,PortfolioFrontier[[#This Row],[P100 Growth]])</f>
        <v>1.9479539794753662</v>
      </c>
      <c r="OL118" s="27">
        <f>PortfolioFrontier[[#This Row],[P100 Growth]]/PortfolioFrontier[[#This Row],[P100 HWM]]-1</f>
        <v>0</v>
      </c>
      <c r="OM118" s="28">
        <f>SUMPRODUCT(INDEX(PortfolioRef[[SPY]:[PE]],MATCH(OM$1,PortfolioRef[Reference '#]),0),AssetMonthlyReturns[[#This Row],[SPY]:[PE]])</f>
        <v>1.8647078018745256E-2</v>
      </c>
      <c r="ON118" s="27">
        <f>IF(ISNUMBER(ON117),ON117*(1+PortfolioFrontier[[#This Row],[P101 Return]]),1+PortfolioFrontier[[#This Row],[P101 Return]])</f>
        <v>2.1306457101003953</v>
      </c>
      <c r="OO118" s="27">
        <f>MAX(OO117,PortfolioFrontier[[#This Row],[P101 Growth]])</f>
        <v>2.1306457101003953</v>
      </c>
      <c r="OP118" s="27">
        <f>PortfolioFrontier[[#This Row],[P101 Growth]]/PortfolioFrontier[[#This Row],[P101 HWM]]-1</f>
        <v>0</v>
      </c>
      <c r="OQ118" s="28">
        <f>SUMPRODUCT(INDEX(PortfolioRef[[SPY]:[PE]],MATCH(OQ$1,PortfolioRef[Reference '#]),0),AssetMonthlyReturns[[#This Row],[SPY]:[PE]])</f>
        <v>1.7174200131664819E-2</v>
      </c>
      <c r="OR118" s="27">
        <f>IF(ISNUMBER(OR117),OR117*(1+PortfolioFrontier[[#This Row],[P102 Return]]),1+PortfolioFrontier[[#This Row],[P102 Return]])</f>
        <v>2.0621457135336541</v>
      </c>
      <c r="OS118" s="27">
        <f>MAX(OS117,PortfolioFrontier[[#This Row],[P102 Growth]])</f>
        <v>2.0621457135336541</v>
      </c>
      <c r="OT118" s="27">
        <f>PortfolioFrontier[[#This Row],[P102 Growth]]/PortfolioFrontier[[#This Row],[P102 HWM]]-1</f>
        <v>0</v>
      </c>
      <c r="OU118" s="28">
        <f>SUMPRODUCT(INDEX(PortfolioRef[[SPY]:[PE]],MATCH(OU$1,PortfolioRef[Reference '#]),0),AssetMonthlyReturns[[#This Row],[SPY]:[PE]])</f>
        <v>1.740599205359724E-2</v>
      </c>
      <c r="OV118" s="27">
        <f>IF(ISNUMBER(OV117),OV117*(1+PortfolioFrontier[[#This Row],[P103 Return]]),1+PortfolioFrontier[[#This Row],[P103 Return]])</f>
        <v>2.0516016084195945</v>
      </c>
      <c r="OW118" s="27">
        <f>MAX(OW117,PortfolioFrontier[[#This Row],[P103 Growth]])</f>
        <v>2.0516016084195945</v>
      </c>
      <c r="OX118" s="27">
        <f>PortfolioFrontier[[#This Row],[P103 Growth]]/PortfolioFrontier[[#This Row],[P103 HWM]]-1</f>
        <v>0</v>
      </c>
      <c r="OY118" s="28">
        <f>SUMPRODUCT(INDEX(PortfolioRef[[SPY]:[PE]],MATCH(OY$1,PortfolioRef[Reference '#]),0),AssetMonthlyReturns[[#This Row],[SPY]:[PE]])</f>
        <v>1.5701322244584381E-2</v>
      </c>
      <c r="OZ118" s="27">
        <f>IF(ISNUMBER(OZ117),OZ117*(1+PortfolioFrontier[[#This Row],[P104 Return]]),1+PortfolioFrontier[[#This Row],[P104 Return]])</f>
        <v>1.9938735770891307</v>
      </c>
      <c r="PA118" s="27">
        <f>MAX(PA117,PortfolioFrontier[[#This Row],[P104 Growth]])</f>
        <v>1.9938735770891307</v>
      </c>
      <c r="PB118" s="27">
        <f>PortfolioFrontier[[#This Row],[P104 Growth]]/PortfolioFrontier[[#This Row],[P104 HWM]]-1</f>
        <v>0</v>
      </c>
      <c r="PC118" s="28">
        <f>SUMPRODUCT(INDEX(PortfolioRef[[SPY]:[PE]],MATCH(PC$1,PortfolioRef[Reference '#]),0),AssetMonthlyReturns[[#This Row],[SPY]:[PE]])</f>
        <v>1.5933114166516806E-2</v>
      </c>
      <c r="PD118" s="27">
        <f>IF(ISNUMBER(PD117),PD117*(1+PortfolioFrontier[[#This Row],[P105 Return]]),1+PortfolioFrontier[[#This Row],[P105 Return]])</f>
        <v>1.9849692419931046</v>
      </c>
      <c r="PE118" s="27">
        <f>MAX(PE117,PortfolioFrontier[[#This Row],[P105 Growth]])</f>
        <v>1.9849692419931046</v>
      </c>
      <c r="PF118" s="27">
        <f>PortfolioFrontier[[#This Row],[P105 Growth]]/PortfolioFrontier[[#This Row],[P105 HWM]]-1</f>
        <v>0</v>
      </c>
      <c r="PG118" s="28">
        <f>SUMPRODUCT(INDEX(PortfolioRef[[SPY]:[PE]],MATCH(PG$1,PortfolioRef[Reference '#]),0),AssetMonthlyReturns[[#This Row],[SPY]:[PE]])</f>
        <v>1.6164906088449227E-2</v>
      </c>
      <c r="PH118" s="27">
        <f>IF(ISNUMBER(PH117),PH117*(1+PortfolioFrontier[[#This Row],[P106 Return]]),1+PortfolioFrontier[[#This Row],[P106 Return]])</f>
        <v>1.9743973293447337</v>
      </c>
      <c r="PI118" s="27">
        <f>MAX(PI117,PortfolioFrontier[[#This Row],[P106 Growth]])</f>
        <v>1.9743973293447337</v>
      </c>
      <c r="PJ118" s="27">
        <f>PortfolioFrontier[[#This Row],[P106 Growth]]/PortfolioFrontier[[#This Row],[P106 HWM]]-1</f>
        <v>0</v>
      </c>
      <c r="PK118" s="28">
        <f>SUMPRODUCT(INDEX(PortfolioRef[[SPY]:[PE]],MATCH(PK$1,PortfolioRef[Reference '#]),0),AssetMonthlyReturns[[#This Row],[SPY]:[PE]])</f>
        <v>1.9555790789827079E-2</v>
      </c>
      <c r="PL118" s="27">
        <f>IF(ISNUMBER(PL117),PL117*(1+PortfolioFrontier[[#This Row],[P107 Return]]),1+PortfolioFrontier[[#This Row],[P107 Return]])</f>
        <v>2.1710094007016898</v>
      </c>
      <c r="PM118" s="27">
        <f>MAX(PM117,PortfolioFrontier[[#This Row],[P107 Growth]])</f>
        <v>2.1710094007016898</v>
      </c>
      <c r="PN118" s="27">
        <f>PortfolioFrontier[[#This Row],[P107 Growth]]/PortfolioFrontier[[#This Row],[P107 HWM]]-1</f>
        <v>0</v>
      </c>
      <c r="PO118" s="28">
        <f>SUMPRODUCT(INDEX(PortfolioRef[[SPY]:[PE]],MATCH(PO$1,PortfolioRef[Reference '#]),0),AssetMonthlyReturns[[#This Row],[SPY]:[PE]])</f>
        <v>1.97875827117595E-2</v>
      </c>
      <c r="PP118" s="27">
        <f>IF(ISNUMBER(PP117),PP117*(1+PortfolioFrontier[[#This Row],[P108 Return]]),1+PortfolioFrontier[[#This Row],[P108 Return]])</f>
        <v>2.1599152627564258</v>
      </c>
      <c r="PQ118" s="27">
        <f>MAX(PQ117,PortfolioFrontier[[#This Row],[P108 Growth]])</f>
        <v>2.1599152627564258</v>
      </c>
      <c r="PR118" s="27">
        <f>PortfolioFrontier[[#This Row],[P108 Growth]]/PortfolioFrontier[[#This Row],[P108 HWM]]-1</f>
        <v>0</v>
      </c>
      <c r="PS118" s="28">
        <f>SUMPRODUCT(INDEX(PortfolioRef[[SPY]:[PE]],MATCH(PS$1,PortfolioRef[Reference '#]),0),AssetMonthlyReturns[[#This Row],[SPY]:[PE]])</f>
        <v>1.8082912902746641E-2</v>
      </c>
      <c r="PT118" s="27">
        <f>IF(ISNUMBER(PT117),PT117*(1+PortfolioFrontier[[#This Row],[P109 Return]]),1+PortfolioFrontier[[#This Row],[P109 Return]])</f>
        <v>2.0999561435512772</v>
      </c>
      <c r="PU118" s="27">
        <f>MAX(PU117,PortfolioFrontier[[#This Row],[P109 Growth]])</f>
        <v>2.0999561435512772</v>
      </c>
      <c r="PV118" s="27">
        <f>PortfolioFrontier[[#This Row],[P109 Growth]]/PortfolioFrontier[[#This Row],[P109 HWM]]-1</f>
        <v>0</v>
      </c>
      <c r="PW118" s="28">
        <f>SUMPRODUCT(INDEX(PortfolioRef[[SPY]:[PE]],MATCH(PW$1,PortfolioRef[Reference '#]),0),AssetMonthlyReturns[[#This Row],[SPY]:[PE]])</f>
        <v>1.8314704824679062E-2</v>
      </c>
      <c r="PX118" s="27">
        <f>IF(ISNUMBER(PX117),PX117*(1+PortfolioFrontier[[#This Row],[P110 Return]]),1+PortfolioFrontier[[#This Row],[P110 Return]])</f>
        <v>2.0905836703544853</v>
      </c>
      <c r="PY118" s="27">
        <f>MAX(PY117,PortfolioFrontier[[#This Row],[P110 Growth]])</f>
        <v>2.0905836703544853</v>
      </c>
      <c r="PZ118" s="27">
        <f>PortfolioFrontier[[#This Row],[P110 Growth]]/PortfolioFrontier[[#This Row],[P110 HWM]]-1</f>
        <v>0</v>
      </c>
      <c r="QA118" s="28">
        <f>SUMPRODUCT(INDEX(PortfolioRef[[SPY]:[PE]],MATCH(QA$1,PortfolioRef[Reference '#]),0),AssetMonthlyReturns[[#This Row],[SPY]:[PE]])</f>
        <v>1.8546496746611487E-2</v>
      </c>
      <c r="QB118" s="27">
        <f>IF(ISNUMBER(QB117),QB117*(1+PortfolioFrontier[[#This Row],[P111 Return]]),1+PortfolioFrontier[[#This Row],[P111 Return]])</f>
        <v>2.0794559766821998</v>
      </c>
      <c r="QC118" s="27">
        <f>MAX(QC117,PortfolioFrontier[[#This Row],[P111 Growth]])</f>
        <v>2.0794559766821998</v>
      </c>
      <c r="QD118" s="27">
        <f>PortfolioFrontier[[#This Row],[P111 Growth]]/PortfolioFrontier[[#This Row],[P111 HWM]]-1</f>
        <v>0</v>
      </c>
      <c r="QE118" s="28">
        <f>SUMPRODUCT(INDEX(PortfolioRef[[SPY]:[PE]],MATCH(QE$1,PortfolioRef[Reference '#]),0),AssetMonthlyReturns[[#This Row],[SPY]:[PE]])</f>
        <v>1.6610035015666203E-2</v>
      </c>
      <c r="QF118" s="27">
        <f>IF(ISNUMBER(QF117),QF117*(1+PortfolioFrontier[[#This Row],[P112 Return]]),1+PortfolioFrontier[[#This Row],[P112 Return]])</f>
        <v>2.0292137854153847</v>
      </c>
      <c r="QG118" s="27">
        <f>MAX(QG117,PortfolioFrontier[[#This Row],[P112 Growth]])</f>
        <v>2.0292137854153847</v>
      </c>
      <c r="QH118" s="27">
        <f>PortfolioFrontier[[#This Row],[P112 Growth]]/PortfolioFrontier[[#This Row],[P112 HWM]]-1</f>
        <v>0</v>
      </c>
      <c r="QI118" s="28">
        <f>SUMPRODUCT(INDEX(PortfolioRef[[SPY]:[PE]],MATCH(QI$1,PortfolioRef[Reference '#]),0),AssetMonthlyReturns[[#This Row],[SPY]:[PE]])</f>
        <v>1.6841826937598624E-2</v>
      </c>
      <c r="QJ118" s="27">
        <f>IF(ISNUMBER(QJ117),QJ117*(1+PortfolioFrontier[[#This Row],[P113 Return]]),1+PortfolioFrontier[[#This Row],[P113 Return]])</f>
        <v>2.021476445918291</v>
      </c>
      <c r="QK118" s="27">
        <f>MAX(QK117,PortfolioFrontier[[#This Row],[P113 Growth]])</f>
        <v>2.021476445918291</v>
      </c>
      <c r="QL118" s="27">
        <f>PortfolioFrontier[[#This Row],[P113 Growth]]/PortfolioFrontier[[#This Row],[P113 HWM]]-1</f>
        <v>0</v>
      </c>
      <c r="QM118" s="28">
        <f>SUMPRODUCT(INDEX(PortfolioRef[[SPY]:[PE]],MATCH(QM$1,PortfolioRef[Reference '#]),0),AssetMonthlyReturns[[#This Row],[SPY]:[PE]])</f>
        <v>1.7073618859531049E-2</v>
      </c>
      <c r="QN118" s="27">
        <f>IF(ISNUMBER(QN117),QN117*(1+PortfolioFrontier[[#This Row],[P114 Return]]),1+PortfolioFrontier[[#This Row],[P114 Return]])</f>
        <v>2.0120243624998562</v>
      </c>
      <c r="QO118" s="27">
        <f>MAX(QO117,PortfolioFrontier[[#This Row],[P114 Growth]])</f>
        <v>2.0120243624998562</v>
      </c>
      <c r="QP118" s="27">
        <f>PortfolioFrontier[[#This Row],[P114 Growth]]/PortfolioFrontier[[#This Row],[P114 HWM]]-1</f>
        <v>0</v>
      </c>
      <c r="QQ118" s="28">
        <f>SUMPRODUCT(INDEX(PortfolioRef[[SPY]:[PE]],MATCH(QQ$1,PortfolioRef[Reference '#]),0),AssetMonthlyReturns[[#This Row],[SPY]:[PE]])</f>
        <v>2.0464503560908901E-2</v>
      </c>
      <c r="QR118" s="27">
        <f>IF(ISNUMBER(QR117),QR117*(1+PortfolioFrontier[[#This Row],[P115 Return]]),1+PortfolioFrontier[[#This Row],[P115 Return]])</f>
        <v>2.2108143104935789</v>
      </c>
      <c r="QS118" s="27">
        <f>MAX(QS117,PortfolioFrontier[[#This Row],[P115 Growth]])</f>
        <v>2.2108143104935789</v>
      </c>
      <c r="QT118" s="27">
        <f>PortfolioFrontier[[#This Row],[P115 Growth]]/PortfolioFrontier[[#This Row],[P115 HWM]]-1</f>
        <v>0</v>
      </c>
      <c r="QU118" s="28">
        <f>SUMPRODUCT(INDEX(PortfolioRef[[SPY]:[PE]],MATCH(QU$1,PortfolioRef[Reference '#]),0),AssetMonthlyReturns[[#This Row],[SPY]:[PE]])</f>
        <v>2.0696295482841322E-2</v>
      </c>
      <c r="QV118" s="27">
        <f>IF(ISNUMBER(QV117),QV117*(1+PortfolioFrontier[[#This Row],[P116 Return]]),1+PortfolioFrontier[[#This Row],[P116 Return]])</f>
        <v>2.2009529276835806</v>
      </c>
      <c r="QW118" s="27">
        <f>MAX(QW117,PortfolioFrontier[[#This Row],[P116 Growth]])</f>
        <v>2.2009529276835806</v>
      </c>
      <c r="QX118" s="27">
        <f>PortfolioFrontier[[#This Row],[P116 Growth]]/PortfolioFrontier[[#This Row],[P116 HWM]]-1</f>
        <v>0</v>
      </c>
      <c r="QY118" s="28">
        <f>SUMPRODUCT(INDEX(PortfolioRef[[SPY]:[PE]],MATCH(QY$1,PortfolioRef[Reference '#]),0),AssetMonthlyReturns[[#This Row],[SPY]:[PE]])</f>
        <v>2.0928087404773744E-2</v>
      </c>
      <c r="QZ118" s="27">
        <f>IF(ISNUMBER(QZ117),QZ117*(1+PortfolioFrontier[[#This Row],[P117 Return]]),1+PortfolioFrontier[[#This Row],[P117 Return]])</f>
        <v>2.189244778703189</v>
      </c>
      <c r="RA118" s="27">
        <f>MAX(RA117,PortfolioFrontier[[#This Row],[P117 Growth]])</f>
        <v>2.189244778703189</v>
      </c>
      <c r="RB118" s="27">
        <f>PortfolioFrontier[[#This Row],[P117 Growth]]/PortfolioFrontier[[#This Row],[P117 HWM]]-1</f>
        <v>0</v>
      </c>
      <c r="RC118" s="28">
        <f>SUMPRODUCT(INDEX(PortfolioRef[[SPY]:[PE]],MATCH(RC$1,PortfolioRef[Reference '#]),0),AssetMonthlyReturns[[#This Row],[SPY]:[PE]])</f>
        <v>1.899162567382846E-2</v>
      </c>
      <c r="RD118" s="27">
        <f>IF(ISNUMBER(RD117),RD117*(1+PortfolioFrontier[[#This Row],[P118 Return]]),1+PortfolioFrontier[[#This Row],[P118 Return]])</f>
        <v>2.1371755067081111</v>
      </c>
      <c r="RE118" s="27">
        <f>MAX(RE117,PortfolioFrontier[[#This Row],[P118 Growth]])</f>
        <v>2.1371755067081111</v>
      </c>
      <c r="RF118" s="27">
        <f>PortfolioFrontier[[#This Row],[P118 Growth]]/PortfolioFrontier[[#This Row],[P118 HWM]]-1</f>
        <v>0</v>
      </c>
      <c r="RG118" s="28">
        <f>SUMPRODUCT(INDEX(PortfolioRef[[SPY]:[PE]],MATCH(RG$1,PortfolioRef[Reference '#]),0),AssetMonthlyReturns[[#This Row],[SPY]:[PE]])</f>
        <v>1.9223417595760885E-2</v>
      </c>
      <c r="RH118" s="27">
        <f>IF(ISNUMBER(RH117),RH117*(1+PortfolioFrontier[[#This Row],[P119 Return]]),1+PortfolioFrontier[[#This Row],[P119 Return]])</f>
        <v>2.1290313761084425</v>
      </c>
      <c r="RI118" s="27">
        <f>MAX(RI117,PortfolioFrontier[[#This Row],[P119 Growth]])</f>
        <v>2.1290313761084425</v>
      </c>
      <c r="RJ118" s="27">
        <f>PortfolioFrontier[[#This Row],[P119 Growth]]/PortfolioFrontier[[#This Row],[P119 HWM]]-1</f>
        <v>0</v>
      </c>
      <c r="RK118" s="28">
        <f>SUMPRODUCT(INDEX(PortfolioRef[[SPY]:[PE]],MATCH(RK$1,PortfolioRef[Reference '#]),0),AssetMonthlyReturns[[#This Row],[SPY]:[PE]])</f>
        <v>1.9455209517693306E-2</v>
      </c>
      <c r="RL118" s="27">
        <f>IF(ISNUMBER(RL117),RL117*(1+PortfolioFrontier[[#This Row],[P120 Return]]),1+PortfolioFrontier[[#This Row],[P120 Return]])</f>
        <v>2.1190823856553589</v>
      </c>
      <c r="RM118" s="27">
        <f>MAX(RM117,PortfolioFrontier[[#This Row],[P120 Growth]])</f>
        <v>2.1190823856553589</v>
      </c>
      <c r="RN118" s="27">
        <f>PortfolioFrontier[[#This Row],[P120 Growth]]/PortfolioFrontier[[#This Row],[P120 HWM]]-1</f>
        <v>0</v>
      </c>
      <c r="RO118" s="28">
        <f>SUMPRODUCT(INDEX(PortfolioRef[[SPY]:[PE]],MATCH(RO$1,PortfolioRef[Reference '#]),0),AssetMonthlyReturns[[#This Row],[SPY]:[PE]])</f>
        <v>1.7518747786748026E-2</v>
      </c>
      <c r="RP118" s="27">
        <f>IF(ISNUMBER(RP117),RP117*(1+PortfolioFrontier[[#This Row],[P121 Return]]),1+PortfolioFrontier[[#This Row],[P121 Return]])</f>
        <v>2.0639349945535113</v>
      </c>
      <c r="RQ118" s="27">
        <f>MAX(RQ117,PortfolioFrontier[[#This Row],[P121 Growth]])</f>
        <v>2.0639349945535113</v>
      </c>
      <c r="RR118" s="27">
        <f>PortfolioFrontier[[#This Row],[P121 Growth]]/PortfolioFrontier[[#This Row],[P121 HWM]]-1</f>
        <v>0</v>
      </c>
      <c r="RS118" s="28">
        <f>SUMPRODUCT(INDEX(PortfolioRef[[SPY]:[PE]],MATCH(RS$1,PortfolioRef[Reference '#]),0),AssetMonthlyReturns[[#This Row],[SPY]:[PE]])</f>
        <v>1.7750539708680447E-2</v>
      </c>
      <c r="RT118" s="27">
        <f>IF(ISNUMBER(RT117),RT117*(1+PortfolioFrontier[[#This Row],[P122 Return]]),1+PortfolioFrontier[[#This Row],[P122 Return]])</f>
        <v>2.0574181354082812</v>
      </c>
      <c r="RU118" s="27">
        <f>MAX(RU117,PortfolioFrontier[[#This Row],[P122 Growth]])</f>
        <v>2.0574181354082812</v>
      </c>
      <c r="RV118" s="27">
        <f>PortfolioFrontier[[#This Row],[P122 Growth]]/PortfolioFrontier[[#This Row],[P122 HWM]]-1</f>
        <v>0</v>
      </c>
      <c r="RW118" s="28">
        <f>SUMPRODUCT(INDEX(PortfolioRef[[SPY]:[PE]],MATCH(RW$1,PortfolioRef[Reference '#]),0),AssetMonthlyReturns[[#This Row],[SPY]:[PE]])</f>
        <v>1.7982331630612872E-2</v>
      </c>
      <c r="RX118" s="27">
        <f>IF(ISNUMBER(RX117),RX117*(1+PortfolioFrontier[[#This Row],[P123 Return]]),1+PortfolioFrontier[[#This Row],[P123 Return]])</f>
        <v>2.0491407030717306</v>
      </c>
      <c r="RY118" s="27">
        <f>MAX(RY117,PortfolioFrontier[[#This Row],[P123 Growth]])</f>
        <v>2.0491407030717306</v>
      </c>
      <c r="RZ118" s="27">
        <f>PortfolioFrontier[[#This Row],[P123 Growth]]/PortfolioFrontier[[#This Row],[P123 HWM]]-1</f>
        <v>0</v>
      </c>
      <c r="SA118" s="28">
        <f>SUMPRODUCT(INDEX(PortfolioRef[[SPY]:[PE]],MATCH(SA$1,PortfolioRef[Reference '#]),0),AssetMonthlyReturns[[#This Row],[SPY]:[PE]])</f>
        <v>2.137321633199072E-2</v>
      </c>
      <c r="SB118" s="27">
        <f>IF(ISNUMBER(SB117),SB117*(1+PortfolioFrontier[[#This Row],[P124 Return]]),1+PortfolioFrontier[[#This Row],[P124 Return]])</f>
        <v>2.2499977599273833</v>
      </c>
      <c r="SC118" s="27">
        <f>MAX(SC117,PortfolioFrontier[[#This Row],[P124 Growth]])</f>
        <v>2.2499977599273833</v>
      </c>
      <c r="SD118" s="27">
        <f>PortfolioFrontier[[#This Row],[P124 Growth]]/PortfolioFrontier[[#This Row],[P124 HWM]]-1</f>
        <v>0</v>
      </c>
      <c r="SE118" s="28">
        <f>SUMPRODUCT(INDEX(PortfolioRef[[SPY]:[PE]],MATCH(SE$1,PortfolioRef[Reference '#]),0),AssetMonthlyReturns[[#This Row],[SPY]:[PE]])</f>
        <v>2.1605008253923141E-2</v>
      </c>
      <c r="SF118" s="27">
        <f>IF(ISNUMBER(SF117),SF117*(1+PortfolioFrontier[[#This Row],[P125 Return]]),1+PortfolioFrontier[[#This Row],[P125 Return]])</f>
        <v>2.2414287981840628</v>
      </c>
      <c r="SG118" s="27">
        <f>MAX(SG117,PortfolioFrontier[[#This Row],[P125 Growth]])</f>
        <v>2.2414287981840628</v>
      </c>
      <c r="SH118" s="27">
        <f>PortfolioFrontier[[#This Row],[P125 Growth]]/PortfolioFrontier[[#This Row],[P125 HWM]]-1</f>
        <v>0</v>
      </c>
      <c r="SI118" s="28">
        <f>SUMPRODUCT(INDEX(PortfolioRef[[SPY]:[PE]],MATCH(SI$1,PortfolioRef[Reference '#]),0),AssetMonthlyReturns[[#This Row],[SPY]:[PE]])</f>
        <v>2.1836800175855566E-2</v>
      </c>
      <c r="SJ118" s="27">
        <f>IF(ISNUMBER(SJ117),SJ117*(1+PortfolioFrontier[[#This Row],[P126 Return]]),1+PortfolioFrontier[[#This Row],[P126 Return]])</f>
        <v>2.2309608478671978</v>
      </c>
      <c r="SK118" s="27">
        <f>MAX(SK117,PortfolioFrontier[[#This Row],[P126 Growth]])</f>
        <v>2.2309608478671978</v>
      </c>
      <c r="SL118" s="27">
        <f>PortfolioFrontier[[#This Row],[P126 Growth]]/PortfolioFrontier[[#This Row],[P126 HWM]]-1</f>
        <v>0</v>
      </c>
      <c r="SM118" s="28">
        <f>SUMPRODUCT(INDEX(PortfolioRef[[SPY]:[PE]],MATCH(SM$1,PortfolioRef[Reference '#]),0),AssetMonthlyReturns[[#This Row],[SPY]:[PE]])</f>
        <v>1.9900338444910282E-2</v>
      </c>
      <c r="SN118" s="27">
        <f>IF(ISNUMBER(SN117),SN117*(1+PortfolioFrontier[[#This Row],[P127 Return]]),1+PortfolioFrontier[[#This Row],[P127 Return]])</f>
        <v>2.1737437541054896</v>
      </c>
      <c r="SO118" s="27">
        <f>MAX(SO117,PortfolioFrontier[[#This Row],[P127 Growth]])</f>
        <v>2.1737437541054896</v>
      </c>
      <c r="SP118" s="27">
        <f>PortfolioFrontier[[#This Row],[P127 Growth]]/PortfolioFrontier[[#This Row],[P127 HWM]]-1</f>
        <v>0</v>
      </c>
      <c r="SQ118" s="28">
        <f>SUMPRODUCT(INDEX(PortfolioRef[[SPY]:[PE]],MATCH(SQ$1,PortfolioRef[Reference '#]),0),AssetMonthlyReturns[[#This Row],[SPY]:[PE]])</f>
        <v>2.0132130366842704E-2</v>
      </c>
      <c r="SR118" s="27">
        <f>IF(ISNUMBER(SR117),SR117*(1+PortfolioFrontier[[#This Row],[P128 Return]]),1+PortfolioFrontier[[#This Row],[P128 Return]])</f>
        <v>2.1668842604048599</v>
      </c>
      <c r="SS118" s="27">
        <f>MAX(SS117,PortfolioFrontier[[#This Row],[P128 Growth]])</f>
        <v>2.1668842604048599</v>
      </c>
      <c r="ST118" s="27">
        <f>PortfolioFrontier[[#This Row],[P128 Growth]]/PortfolioFrontier[[#This Row],[P128 HWM]]-1</f>
        <v>0</v>
      </c>
      <c r="SU118" s="28">
        <f>SUMPRODUCT(INDEX(PortfolioRef[[SPY]:[PE]],MATCH(SU$1,PortfolioRef[Reference '#]),0),AssetMonthlyReturns[[#This Row],[SPY]:[PE]])</f>
        <v>2.0363922288775128E-2</v>
      </c>
      <c r="SV118" s="27">
        <f>IF(ISNUMBER(SV117),SV117*(1+PortfolioFrontier[[#This Row],[P129 Return]]),1+PortfolioFrontier[[#This Row],[P129 Return]])</f>
        <v>2.1581716733958665</v>
      </c>
      <c r="SW118" s="27">
        <f>MAX(SW117,PortfolioFrontier[[#This Row],[P129 Growth]])</f>
        <v>2.1581716733958665</v>
      </c>
      <c r="SX118" s="27">
        <f>PortfolioFrontier[[#This Row],[P129 Growth]]/PortfolioFrontier[[#This Row],[P129 HWM]]-1</f>
        <v>0</v>
      </c>
      <c r="SY118" s="28">
        <f>SUMPRODUCT(INDEX(PortfolioRef[[SPY]:[PE]],MATCH(SY$1,PortfolioRef[Reference '#]),0),AssetMonthlyReturns[[#This Row],[SPY]:[PE]])</f>
        <v>1.8427460557829844E-2</v>
      </c>
      <c r="SZ118" s="27">
        <f>IF(ISNUMBER(SZ117),SZ117*(1+PortfolioFrontier[[#This Row],[P130 Return]]),1+PortfolioFrontier[[#This Row],[P130 Return]])</f>
        <v>2.0979798184884344</v>
      </c>
      <c r="TA118" s="27">
        <f>MAX(TA117,PortfolioFrontier[[#This Row],[P130 Growth]])</f>
        <v>2.0979798184884344</v>
      </c>
      <c r="TB118" s="27">
        <f>PortfolioFrontier[[#This Row],[P130 Growth]]/PortfolioFrontier[[#This Row],[P130 HWM]]-1</f>
        <v>0</v>
      </c>
      <c r="TC118" s="28">
        <f>SUMPRODUCT(INDEX(PortfolioRef[[SPY]:[PE]],MATCH(TC$1,PortfolioRef[Reference '#]),0),AssetMonthlyReturns[[#This Row],[SPY]:[PE]])</f>
        <v>1.8659252479762269E-2</v>
      </c>
      <c r="TD118" s="27">
        <f>IF(ISNUMBER(TD117),TD117*(1+PortfolioFrontier[[#This Row],[P131 Return]]),1+PortfolioFrontier[[#This Row],[P131 Return]])</f>
        <v>2.0927363949522411</v>
      </c>
      <c r="TE118" s="27">
        <f>MAX(TE117,PortfolioFrontier[[#This Row],[P131 Growth]])</f>
        <v>2.0927363949522411</v>
      </c>
      <c r="TF118" s="27">
        <f>PortfolioFrontier[[#This Row],[P131 Growth]]/PortfolioFrontier[[#This Row],[P131 HWM]]-1</f>
        <v>0</v>
      </c>
      <c r="TG118" s="28">
        <f>SUMPRODUCT(INDEX(PortfolioRef[[SPY]:[PE]],MATCH(TG$1,PortfolioRef[Reference '#]),0),AssetMonthlyReturns[[#This Row],[SPY]:[PE]])</f>
        <v>1.8891044401694691E-2</v>
      </c>
      <c r="TH118" s="27">
        <f>IF(ISNUMBER(TH117),TH117*(1+PortfolioFrontier[[#This Row],[P132 Return]]),1+PortfolioFrontier[[#This Row],[P132 Return]])</f>
        <v>2.0856880527650801</v>
      </c>
      <c r="TI118" s="27">
        <f>MAX(TI117,PortfolioFrontier[[#This Row],[P132 Growth]])</f>
        <v>2.0856880527650801</v>
      </c>
      <c r="TJ118" s="27">
        <f>PortfolioFrontier[[#This Row],[P132 Growth]]/PortfolioFrontier[[#This Row],[P132 HWM]]-1</f>
        <v>0</v>
      </c>
      <c r="TK118" s="28">
        <f>SUMPRODUCT(INDEX(PortfolioRef[[SPY]:[PE]],MATCH(TK$1,PortfolioRef[Reference '#]),0),AssetMonthlyReturns[[#This Row],[SPY]:[PE]])</f>
        <v>2.2281929103072539E-2</v>
      </c>
      <c r="TL118" s="27">
        <f>IF(ISNUMBER(TL117),TL117*(1+PortfolioFrontier[[#This Row],[P133 Return]]),1+PortfolioFrontier[[#This Row],[P133 Return]])</f>
        <v>2.288496577205839</v>
      </c>
      <c r="TM118" s="27">
        <f>MAX(TM117,PortfolioFrontier[[#This Row],[P133 Growth]])</f>
        <v>2.288496577205839</v>
      </c>
      <c r="TN118" s="27">
        <f>PortfolioFrontier[[#This Row],[P133 Growth]]/PortfolioFrontier[[#This Row],[P133 HWM]]-1</f>
        <v>0</v>
      </c>
      <c r="TO118" s="28">
        <f>SUMPRODUCT(INDEX(PortfolioRef[[SPY]:[PE]],MATCH(TO$1,PortfolioRef[Reference '#]),0),AssetMonthlyReturns[[#This Row],[SPY]:[PE]])</f>
        <v>2.251372102500496E-2</v>
      </c>
      <c r="TP118" s="27">
        <f>IF(ISNUMBER(TP117),TP117*(1+PortfolioFrontier[[#This Row],[P134 Return]]),1+PortfolioFrontier[[#This Row],[P134 Return]])</f>
        <v>2.2812792657498613</v>
      </c>
      <c r="TQ118" s="27">
        <f>MAX(TQ117,PortfolioFrontier[[#This Row],[P134 Growth]])</f>
        <v>2.2812792657498613</v>
      </c>
      <c r="TR118" s="27">
        <f>PortfolioFrontier[[#This Row],[P134 Growth]]/PortfolioFrontier[[#This Row],[P134 HWM]]-1</f>
        <v>0</v>
      </c>
      <c r="TS118" s="28">
        <f>SUMPRODUCT(INDEX(PortfolioRef[[SPY]:[PE]],MATCH(TS$1,PortfolioRef[Reference '#]),0),AssetMonthlyReturns[[#This Row],[SPY]:[PE]])</f>
        <v>2.2745512946937385E-2</v>
      </c>
      <c r="TT118" s="27">
        <f>IF(ISNUMBER(TT117),TT117*(1+PortfolioFrontier[[#This Row],[P135 Return]]),1+PortfolioFrontier[[#This Row],[P135 Return]])</f>
        <v>2.272112221063654</v>
      </c>
      <c r="TU118" s="27">
        <f>MAX(TU117,PortfolioFrontier[[#This Row],[P135 Growth]])</f>
        <v>2.272112221063654</v>
      </c>
      <c r="TV118" s="27">
        <f>PortfolioFrontier[[#This Row],[P135 Growth]]/PortfolioFrontier[[#This Row],[P135 HWM]]-1</f>
        <v>0</v>
      </c>
      <c r="TW118" s="28">
        <f>SUMPRODUCT(INDEX(PortfolioRef[[SPY]:[PE]],MATCH(TW$1,PortfolioRef[Reference '#]),0),AssetMonthlyReturns[[#This Row],[SPY]:[PE]])</f>
        <v>2.0809051215992105E-2</v>
      </c>
      <c r="TX118" s="27">
        <f>IF(ISNUMBER(TX117),TX117*(1+PortfolioFrontier[[#This Row],[P136 Return]]),1+PortfolioFrontier[[#This Row],[P136 Return]])</f>
        <v>2.2096004913620875</v>
      </c>
      <c r="TY118" s="27">
        <f>MAX(TY117,PortfolioFrontier[[#This Row],[P136 Growth]])</f>
        <v>2.2096004913620875</v>
      </c>
      <c r="TZ118" s="27">
        <f>PortfolioFrontier[[#This Row],[P136 Growth]]/PortfolioFrontier[[#This Row],[P136 HWM]]-1</f>
        <v>0</v>
      </c>
      <c r="UA118" s="28">
        <f>SUMPRODUCT(INDEX(PortfolioRef[[SPY]:[PE]],MATCH(UA$1,PortfolioRef[Reference '#]),0),AssetMonthlyReturns[[#This Row],[SPY]:[PE]])</f>
        <v>2.1040843137924526E-2</v>
      </c>
      <c r="UB118" s="27">
        <f>IF(ISNUMBER(UB117),UB117*(1+PortfolioFrontier[[#This Row],[P137 Return]]),1+PortfolioFrontier[[#This Row],[P137 Return]])</f>
        <v>2.2040813729763316</v>
      </c>
      <c r="UC118" s="27">
        <f>MAX(UC117,PortfolioFrontier[[#This Row],[P137 Growth]])</f>
        <v>2.2040813729763316</v>
      </c>
      <c r="UD118" s="27">
        <f>PortfolioFrontier[[#This Row],[P137 Growth]]/PortfolioFrontier[[#This Row],[P137 HWM]]-1</f>
        <v>0</v>
      </c>
      <c r="UE118" s="28">
        <f>SUMPRODUCT(INDEX(PortfolioRef[[SPY]:[PE]],MATCH(UE$1,PortfolioRef[Reference '#]),0),AssetMonthlyReturns[[#This Row],[SPY]:[PE]])</f>
        <v>2.1272635059856947E-2</v>
      </c>
      <c r="UF118" s="27">
        <f>IF(ISNUMBER(UF117),UF117*(1+PortfolioFrontier[[#This Row],[P138 Return]]),1+PortfolioFrontier[[#This Row],[P138 Return]])</f>
        <v>2.1966624880613188</v>
      </c>
      <c r="UG118" s="27">
        <f>MAX(UG117,PortfolioFrontier[[#This Row],[P138 Growth]])</f>
        <v>2.1966624880613188</v>
      </c>
      <c r="UH118" s="27">
        <f>PortfolioFrontier[[#This Row],[P138 Growth]]/PortfolioFrontier[[#This Row],[P138 HWM]]-1</f>
        <v>0</v>
      </c>
      <c r="UI118" s="28">
        <f>SUMPRODUCT(INDEX(PortfolioRef[[SPY]:[PE]],MATCH(UI$1,PortfolioRef[Reference '#]),0),AssetMonthlyReturns[[#This Row],[SPY]:[PE]])</f>
        <v>1.9336173328911667E-2</v>
      </c>
      <c r="UJ118" s="27">
        <f>IF(ISNUMBER(UJ117),UJ117*(1+PortfolioFrontier[[#This Row],[P139 Return]]),1+PortfolioFrontier[[#This Row],[P139 Return]])</f>
        <v>2.1312906634546378</v>
      </c>
      <c r="UK118" s="27">
        <f>MAX(UK117,PortfolioFrontier[[#This Row],[P139 Growth]])</f>
        <v>2.1312906634546378</v>
      </c>
      <c r="UL118" s="27">
        <f>PortfolioFrontier[[#This Row],[P139 Growth]]/PortfolioFrontier[[#This Row],[P139 HWM]]-1</f>
        <v>0</v>
      </c>
      <c r="UM118" s="28">
        <f>SUMPRODUCT(INDEX(PortfolioRef[[SPY]:[PE]],MATCH(UM$1,PortfolioRef[Reference '#]),0),AssetMonthlyReturns[[#This Row],[SPY]:[PE]])</f>
        <v>1.9567965250844088E-2</v>
      </c>
      <c r="UN118" s="27">
        <f>IF(ISNUMBER(UN117),UN117*(1+PortfolioFrontier[[#This Row],[P140 Return]]),1+PortfolioFrontier[[#This Row],[P140 Return]])</f>
        <v>2.1273729660840974</v>
      </c>
      <c r="UO118" s="27">
        <f>MAX(UO117,PortfolioFrontier[[#This Row],[P140 Growth]])</f>
        <v>2.1273729660840974</v>
      </c>
      <c r="UP118" s="27">
        <f>PortfolioFrontier[[#This Row],[P140 Growth]]/PortfolioFrontier[[#This Row],[P140 HWM]]-1</f>
        <v>0</v>
      </c>
      <c r="UQ118" s="28">
        <f>SUMPRODUCT(INDEX(PortfolioRef[[SPY]:[PE]],MATCH(UQ$1,PortfolioRef[Reference '#]),0),AssetMonthlyReturns[[#This Row],[SPY]:[PE]])</f>
        <v>1.9799757172776513E-2</v>
      </c>
      <c r="UR118" s="27">
        <f>IF(ISNUMBER(UR117),UR117*(1+PortfolioFrontier[[#This Row],[P141 Return]]),1+PortfolioFrontier[[#This Row],[P141 Return]])</f>
        <v>2.1216076359173623</v>
      </c>
      <c r="US118" s="27">
        <f>MAX(US117,PortfolioFrontier[[#This Row],[P141 Growth]])</f>
        <v>2.1216076359173623</v>
      </c>
      <c r="UT118" s="27">
        <f>PortfolioFrontier[[#This Row],[P141 Growth]]/PortfolioFrontier[[#This Row],[P141 HWM]]-1</f>
        <v>0</v>
      </c>
    </row>
    <row r="119" spans="2:566" x14ac:dyDescent="0.2">
      <c r="B119" s="41">
        <f>AssetMonthlyReturns[[#This Row],[Date]]</f>
        <v>45992</v>
      </c>
      <c r="C119" s="28">
        <f>SUMPRODUCT(INDEX(PortfolioRef[[SPY]:[PE]],MATCH(C$1,PortfolioRef[Reference '#]),0),AssetMonthlyReturns[[#This Row],[SPY]:[PE]])</f>
        <v>-9.3969487735824902E-4</v>
      </c>
      <c r="D119" s="29">
        <f>IF(ISNUMBER(D118),D118*(1+PortfolioFrontier[[#This Row],[P1 Return]]),1+PortfolioFrontier[[#This Row],[P1 Return]])</f>
        <v>2.7463970530388844</v>
      </c>
      <c r="E119" s="29">
        <f>MAX(E118,PortfolioFrontier[[#This Row],[P1 Growth]])</f>
        <v>2.7489802557031275</v>
      </c>
      <c r="F119" s="29">
        <f>PortfolioFrontier[[#This Row],[P1 Growth]]/PortfolioFrontier[[#This Row],[P1 HWM]]-1</f>
        <v>-9.3969487735823254E-4</v>
      </c>
      <c r="G119" s="28">
        <f>SUMPRODUCT(INDEX(PortfolioRef[[SPY]:[PE]],MATCH(G$1,PortfolioRef[Reference '#]),0),AssetMonthlyReturns[[#This Row],[SPY]:[PE]])</f>
        <v>-1.1366899920785319E-3</v>
      </c>
      <c r="H119" s="27">
        <f>IF(ISNUMBER(H118),H118*(1+PortfolioFrontier[[#This Row],[P2 Return]]),1+PortfolioFrontier[[#This Row],[P2 Return]])</f>
        <v>2.5900765584946095</v>
      </c>
      <c r="I119" s="27">
        <f>MAX(I118,PortfolioFrontier[[#This Row],[P2 Growth]])</f>
        <v>2.5930240229507167</v>
      </c>
      <c r="J119" s="27">
        <f>PortfolioFrontier[[#This Row],[P2 Growth]]/PortfolioFrontier[[#This Row],[P2 HWM]]-1</f>
        <v>-1.136689992078499E-3</v>
      </c>
      <c r="K119" s="28">
        <f>SUMPRODUCT(INDEX(PortfolioRef[[SPY]:[PE]],MATCH(K$1,PortfolioRef[Reference '#]),0),AssetMonthlyReturns[[#This Row],[SPY]:[PE]])</f>
        <v>2.5453197922186126E-4</v>
      </c>
      <c r="L119" s="27">
        <f>IF(ISNUMBER(L118),L118*(1+PortfolioFrontier[[#This Row],[P3 Return]]),1+PortfolioFrontier[[#This Row],[P3 Return]])</f>
        <v>2.731696410960482</v>
      </c>
      <c r="M119" s="27">
        <f>MAX(M118,PortfolioFrontier[[#This Row],[P3 Growth]])</f>
        <v>2.731696410960482</v>
      </c>
      <c r="N119" s="27">
        <f>PortfolioFrontier[[#This Row],[P3 Growth]]/PortfolioFrontier[[#This Row],[P3 HWM]]-1</f>
        <v>0</v>
      </c>
      <c r="O119" s="28">
        <f>SUMPRODUCT(INDEX(PortfolioRef[[SPY]:[PE]],MATCH(O$1,PortfolioRef[Reference '#]),0),AssetMonthlyReturns[[#This Row],[SPY]:[PE]])</f>
        <v>-2.392245847325791E-3</v>
      </c>
      <c r="P119" s="27">
        <f>IF(ISNUMBER(P118),P118*(1+PortfolioFrontier[[#This Row],[P4 Return]]),1+PortfolioFrontier[[#This Row],[P4 Return]])</f>
        <v>2.6305498628283064</v>
      </c>
      <c r="Q119" s="27">
        <f>MAX(Q118,PortfolioFrontier[[#This Row],[P4 Growth]])</f>
        <v>2.6368578751300746</v>
      </c>
      <c r="R119" s="27">
        <f>PortfolioFrontier[[#This Row],[P4 Growth]]/PortfolioFrontier[[#This Row],[P4 HWM]]-1</f>
        <v>-2.3922458473257802E-3</v>
      </c>
      <c r="S119" s="28">
        <f>SUMPRODUCT(INDEX(PortfolioRef[[SPY]:[PE]],MATCH(S$1,PortfolioRef[Reference '#]),0),AssetMonthlyReturns[[#This Row],[SPY]:[PE]])</f>
        <v>2.1978966626977608E-4</v>
      </c>
      <c r="T119" s="27">
        <f>IF(ISNUMBER(T118),T118*(1+PortfolioFrontier[[#This Row],[P5 Return]]),1+PortfolioFrontier[[#This Row],[P5 Return]])</f>
        <v>2.6288989764558566</v>
      </c>
      <c r="U119" s="27">
        <f>MAX(U118,PortfolioFrontier[[#This Row],[P5 Growth]])</f>
        <v>2.6288989764558566</v>
      </c>
      <c r="V119" s="27">
        <f>PortfolioFrontier[[#This Row],[P5 Growth]]/PortfolioFrontier[[#This Row],[P5 HWM]]-1</f>
        <v>0</v>
      </c>
      <c r="W119" s="28">
        <f>SUMPRODUCT(INDEX(PortfolioRef[[SPY]:[PE]],MATCH(W$1,PortfolioRef[Reference '#]),0),AssetMonthlyReturns[[#This Row],[SPY]:[PE]])</f>
        <v>-1.3336851067988148E-3</v>
      </c>
      <c r="X119" s="27">
        <f>IF(ISNUMBER(X118),X118*(1+PortfolioFrontier[[#This Row],[P6 Return]]),1+PortfolioFrontier[[#This Row],[P6 Return]])</f>
        <v>2.4414068253293042</v>
      </c>
      <c r="Y119" s="27">
        <f>MAX(Y118,PortfolioFrontier[[#This Row],[P6 Growth]])</f>
        <v>2.4446672416205324</v>
      </c>
      <c r="Z119" s="27">
        <f>PortfolioFrontier[[#This Row],[P6 Growth]]/PortfolioFrontier[[#This Row],[P6 HWM]]-1</f>
        <v>-1.3336851067987654E-3</v>
      </c>
      <c r="AA119" s="28">
        <f>SUMPRODUCT(INDEX(PortfolioRef[[SPY]:[PE]],MATCH(AA$1,PortfolioRef[Reference '#]),0),AssetMonthlyReturns[[#This Row],[SPY]:[PE]])</f>
        <v>5.7536864501578355E-5</v>
      </c>
      <c r="AB119" s="27">
        <f>IF(ISNUMBER(AB118),AB118*(1+PortfolioFrontier[[#This Row],[P7 Return]]),1+PortfolioFrontier[[#This Row],[P7 Return]])</f>
        <v>2.5748942235251384</v>
      </c>
      <c r="AC119" s="27">
        <f>MAX(AC118,PortfolioFrontier[[#This Row],[P7 Growth]])</f>
        <v>2.5748942235251384</v>
      </c>
      <c r="AD119" s="27">
        <f>PortfolioFrontier[[#This Row],[P7 Growth]]/PortfolioFrontier[[#This Row],[P7 HWM]]-1</f>
        <v>0</v>
      </c>
      <c r="AE119" s="28">
        <f>SUMPRODUCT(INDEX(PortfolioRef[[SPY]:[PE]],MATCH(AE$1,PortfolioRef[Reference '#]),0),AssetMonthlyReturns[[#This Row],[SPY]:[PE]])</f>
        <v>-2.589240962046073E-3</v>
      </c>
      <c r="AF119" s="27">
        <f>IF(ISNUMBER(AF118),AF118*(1+PortfolioFrontier[[#This Row],[P8 Return]]),1+PortfolioFrontier[[#This Row],[P8 Return]])</f>
        <v>2.4805544943707356</v>
      </c>
      <c r="AG119" s="27">
        <f>MAX(AG118,PortfolioFrontier[[#This Row],[P8 Growth]])</f>
        <v>2.4869939209030973</v>
      </c>
      <c r="AH119" s="27">
        <f>PortfolioFrontier[[#This Row],[P8 Growth]]/PortfolioFrontier[[#This Row],[P8 HWM]]-1</f>
        <v>-2.5892409620460466E-3</v>
      </c>
      <c r="AI119" s="28">
        <f>SUMPRODUCT(INDEX(PortfolioRef[[SPY]:[PE]],MATCH(AI$1,PortfolioRef[Reference '#]),0),AssetMonthlyReturns[[#This Row],[SPY]:[PE]])</f>
        <v>2.2794551549493169E-5</v>
      </c>
      <c r="AJ119" s="27">
        <f>IF(ISNUMBER(AJ118),AJ118*(1+PortfolioFrontier[[#This Row],[P9 Return]]),1+PortfolioFrontier[[#This Row],[P9 Return]])</f>
        <v>2.4780606273789365</v>
      </c>
      <c r="AK119" s="27">
        <f>MAX(AK118,PortfolioFrontier[[#This Row],[P9 Growth]])</f>
        <v>2.4780606273789365</v>
      </c>
      <c r="AL119" s="27">
        <f>PortfolioFrontier[[#This Row],[P9 Growth]]/PortfolioFrontier[[#This Row],[P9 HWM]]-1</f>
        <v>0</v>
      </c>
      <c r="AM119" s="28">
        <f>SUMPRODUCT(INDEX(PortfolioRef[[SPY]:[PE]],MATCH(AM$1,PortfolioRef[Reference '#]),0),AssetMonthlyReturns[[#This Row],[SPY]:[PE]])</f>
        <v>1.4487588358019728E-3</v>
      </c>
      <c r="AN119" s="27">
        <f>IF(ISNUMBER(AN118),AN118*(1+PortfolioFrontier[[#This Row],[P10 Return]]),1+PortfolioFrontier[[#This Row],[P10 Return]])</f>
        <v>2.7146131126727675</v>
      </c>
      <c r="AO119" s="27">
        <f>MAX(AO118,PortfolioFrontier[[#This Row],[P10 Growth]])</f>
        <v>2.7146131126727675</v>
      </c>
      <c r="AP119" s="27">
        <f>PortfolioFrontier[[#This Row],[P10 Growth]]/PortfolioFrontier[[#This Row],[P10 HWM]]-1</f>
        <v>0</v>
      </c>
      <c r="AQ119" s="28">
        <f>SUMPRODUCT(INDEX(PortfolioRef[[SPY]:[PE]],MATCH(AQ$1,PortfolioRef[Reference '#]),0),AssetMonthlyReturns[[#This Row],[SPY]:[PE]])</f>
        <v>-1.1980189907456807E-3</v>
      </c>
      <c r="AR119" s="27">
        <f>IF(ISNUMBER(AR118),AR118*(1+PortfolioFrontier[[#This Row],[P11 Return]]),1+PortfolioFrontier[[#This Row],[P11 Return]])</f>
        <v>2.6161857423736099</v>
      </c>
      <c r="AS119" s="27">
        <f>MAX(AS118,PortfolioFrontier[[#This Row],[P11 Growth]])</f>
        <v>2.6193237419593882</v>
      </c>
      <c r="AT119" s="27">
        <f>PortfolioFrontier[[#This Row],[P11 Growth]]/PortfolioFrontier[[#This Row],[P11 HWM]]-1</f>
        <v>-1.1980189907456751E-3</v>
      </c>
      <c r="AU119" s="28">
        <f>SUMPRODUCT(INDEX(PortfolioRef[[SPY]:[PE]],MATCH(AU$1,PortfolioRef[Reference '#]),0),AssetMonthlyReturns[[#This Row],[SPY]:[PE]])</f>
        <v>1.4140165228498861E-3</v>
      </c>
      <c r="AV119" s="27">
        <f>IF(ISNUMBER(AV118),AV118*(1+PortfolioFrontier[[#This Row],[P12 Return]]),1+PortfolioFrontier[[#This Row],[P12 Return]])</f>
        <v>2.6135519399128619</v>
      </c>
      <c r="AW119" s="27">
        <f>MAX(AW118,PortfolioFrontier[[#This Row],[P12 Growth]])</f>
        <v>2.6135519399128619</v>
      </c>
      <c r="AX119" s="27">
        <f>PortfolioFrontier[[#This Row],[P12 Growth]]/PortfolioFrontier[[#This Row],[P12 HWM]]-1</f>
        <v>0</v>
      </c>
      <c r="AY119" s="28">
        <f>SUMPRODUCT(INDEX(PortfolioRef[[SPY]:[PE]],MATCH(AY$1,PortfolioRef[Reference '#]),0),AssetMonthlyReturns[[#This Row],[SPY]:[PE]])</f>
        <v>-3.8447968172933334E-3</v>
      </c>
      <c r="AZ119" s="27">
        <f>IF(ISNUMBER(AZ118),AZ118*(1+PortfolioFrontier[[#This Row],[P13 Return]]),1+PortfolioFrontier[[#This Row],[P13 Return]])</f>
        <v>2.5188045723104207</v>
      </c>
      <c r="BA119" s="27">
        <f>MAX(BA118,PortfolioFrontier[[#This Row],[P13 Growth]])</f>
        <v>2.5285262419579433</v>
      </c>
      <c r="BB119" s="27">
        <f>PortfolioFrontier[[#This Row],[P13 Growth]]/PortfolioFrontier[[#This Row],[P13 HWM]]-1</f>
        <v>-3.8447968172933278E-3</v>
      </c>
      <c r="BC119" s="28">
        <f>SUMPRODUCT(INDEX(PortfolioRef[[SPY]:[PE]],MATCH(BC$1,PortfolioRef[Reference '#]),0),AssetMonthlyReturns[[#This Row],[SPY]:[PE]])</f>
        <v>-1.2327613036977659E-3</v>
      </c>
      <c r="BD119" s="27">
        <f>IF(ISNUMBER(BD118),BD118*(1+PortfolioFrontier[[#This Row],[P14 Return]]),1+PortfolioFrontier[[#This Row],[P14 Return]])</f>
        <v>2.5179372073245747</v>
      </c>
      <c r="BE119" s="27">
        <f>MAX(BE118,PortfolioFrontier[[#This Row],[P14 Growth]])</f>
        <v>2.5210450541121627</v>
      </c>
      <c r="BF119" s="27">
        <f>PortfolioFrontier[[#This Row],[P14 Growth]]/PortfolioFrontier[[#This Row],[P14 HWM]]-1</f>
        <v>-1.2327613036977603E-3</v>
      </c>
      <c r="BG119" s="28">
        <f>SUMPRODUCT(INDEX(PortfolioRef[[SPY]:[PE]],MATCH(BG$1,PortfolioRef[Reference '#]),0),AssetMonthlyReturns[[#This Row],[SPY]:[PE]])</f>
        <v>1.379274209897802E-3</v>
      </c>
      <c r="BH119" s="27">
        <f>IF(ISNUMBER(BH118),BH118*(1+PortfolioFrontier[[#This Row],[P15 Return]]),1+PortfolioFrontier[[#This Row],[P15 Return]])</f>
        <v>2.5148665734101177</v>
      </c>
      <c r="BI119" s="27">
        <f>MAX(BI118,PortfolioFrontier[[#This Row],[P15 Growth]])</f>
        <v>2.5148665734101177</v>
      </c>
      <c r="BJ119" s="27">
        <f>PortfolioFrontier[[#This Row],[P15 Growth]]/PortfolioFrontier[[#This Row],[P15 HWM]]-1</f>
        <v>0</v>
      </c>
      <c r="BK119" s="28">
        <f>SUMPRODUCT(INDEX(PortfolioRef[[SPY]:[PE]],MATCH(BK$1,PortfolioRef[Reference '#]),0),AssetMonthlyReturns[[#This Row],[SPY]:[PE]])</f>
        <v>-1.5306802215190982E-3</v>
      </c>
      <c r="BL119" s="27">
        <f>IF(ISNUMBER(BL118),BL118*(1+PortfolioFrontier[[#This Row],[P16 Return]]),1+PortfolioFrontier[[#This Row],[P16 Return]])</f>
        <v>2.3000960141279934</v>
      </c>
      <c r="BM119" s="27">
        <f>MAX(BM118,PortfolioFrontier[[#This Row],[P16 Growth]])</f>
        <v>2.303622122949446</v>
      </c>
      <c r="BN119" s="27">
        <f>PortfolioFrontier[[#This Row],[P16 Growth]]/PortfolioFrontier[[#This Row],[P16 HWM]]-1</f>
        <v>-1.5306802215191428E-3</v>
      </c>
      <c r="BO119" s="28">
        <f>SUMPRODUCT(INDEX(PortfolioRef[[SPY]:[PE]],MATCH(BO$1,PortfolioRef[Reference '#]),0),AssetMonthlyReturns[[#This Row],[SPY]:[PE]])</f>
        <v>-1.3945825021870499E-4</v>
      </c>
      <c r="BP119" s="27">
        <f>IF(ISNUMBER(BP118),BP118*(1+PortfolioFrontier[[#This Row],[P17 Return]]),1+PortfolioFrontier[[#This Row],[P17 Return]])</f>
        <v>2.4258547184525492</v>
      </c>
      <c r="BQ119" s="27">
        <f>MAX(BQ118,PortfolioFrontier[[#This Row],[P17 Growth]])</f>
        <v>2.4261930710929365</v>
      </c>
      <c r="BR119" s="27">
        <f>PortfolioFrontier[[#This Row],[P17 Growth]]/PortfolioFrontier[[#This Row],[P17 HWM]]-1</f>
        <v>-1.3945825021866032E-4</v>
      </c>
      <c r="BS119" s="28">
        <f>SUMPRODUCT(INDEX(PortfolioRef[[SPY]:[PE]],MATCH(BS$1,PortfolioRef[Reference '#]),0),AssetMonthlyReturns[[#This Row],[SPY]:[PE]])</f>
        <v>-2.7862360767663568E-3</v>
      </c>
      <c r="BT119" s="27">
        <f>IF(ISNUMBER(BT118),BT118*(1+PortfolioFrontier[[#This Row],[P18 Return]]),1+PortfolioFrontier[[#This Row],[P18 Return]])</f>
        <v>2.3379164219479316</v>
      </c>
      <c r="BU119" s="27">
        <f>MAX(BU118,PortfolioFrontier[[#This Row],[P18 Growth]])</f>
        <v>2.3444486092431296</v>
      </c>
      <c r="BV119" s="27">
        <f>PortfolioFrontier[[#This Row],[P18 Growth]]/PortfolioFrontier[[#This Row],[P18 HWM]]-1</f>
        <v>-2.786236076766424E-3</v>
      </c>
      <c r="BW119" s="28">
        <f>SUMPRODUCT(INDEX(PortfolioRef[[SPY]:[PE]],MATCH(BW$1,PortfolioRef[Reference '#]),0),AssetMonthlyReturns[[#This Row],[SPY]:[PE]])</f>
        <v>-1.7420056317079017E-4</v>
      </c>
      <c r="BX119" s="27">
        <f>IF(ISNUMBER(BX118),BX118*(1+PortfolioFrontier[[#This Row],[P19 Return]]),1+PortfolioFrontier[[#This Row],[P19 Return]])</f>
        <v>2.3346846469706435</v>
      </c>
      <c r="BY119" s="27">
        <f>MAX(BY118,PortfolioFrontier[[#This Row],[P19 Growth]])</f>
        <v>2.3350914212112737</v>
      </c>
      <c r="BZ119" s="27">
        <f>PortfolioFrontier[[#This Row],[P19 Growth]]/PortfolioFrontier[[#This Row],[P19 HWM]]-1</f>
        <v>-1.742005631707455E-4</v>
      </c>
      <c r="CA119" s="28">
        <f>SUMPRODUCT(INDEX(PortfolioRef[[SPY]:[PE]],MATCH(CA$1,PortfolioRef[Reference '#]),0),AssetMonthlyReturns[[#This Row],[SPY]:[PE]])</f>
        <v>1.2517637210816895E-3</v>
      </c>
      <c r="CB119" s="27">
        <f>IF(ISNUMBER(CB118),CB118*(1+PortfolioFrontier[[#This Row],[P20 Return]]),1+PortfolioFrontier[[#This Row],[P20 Return]])</f>
        <v>2.5574827142653747</v>
      </c>
      <c r="CC119" s="27">
        <f>MAX(CC118,PortfolioFrontier[[#This Row],[P20 Growth]])</f>
        <v>2.5574827142653747</v>
      </c>
      <c r="CD119" s="27">
        <f>PortfolioFrontier[[#This Row],[P20 Growth]]/PortfolioFrontier[[#This Row],[P20 HWM]]-1</f>
        <v>0</v>
      </c>
      <c r="CE119" s="28">
        <f>SUMPRODUCT(INDEX(PortfolioRef[[SPY]:[PE]],MATCH(CE$1,PortfolioRef[Reference '#]),0),AssetMonthlyReturns[[#This Row],[SPY]:[PE]])</f>
        <v>-1.3950141054659636E-3</v>
      </c>
      <c r="CF119" s="27">
        <f>IF(ISNUMBER(CF118),CF118*(1+PortfolioFrontier[[#This Row],[P21 Return]]),1+PortfolioFrontier[[#This Row],[P21 Return]])</f>
        <v>2.4657456487331211</v>
      </c>
      <c r="CG119" s="27">
        <f>MAX(CG118,PortfolioFrontier[[#This Row],[P21 Growth]])</f>
        <v>2.4691902038966353</v>
      </c>
      <c r="CH119" s="27">
        <f>PortfolioFrontier[[#This Row],[P21 Growth]]/PortfolioFrontier[[#This Row],[P21 HWM]]-1</f>
        <v>-1.3950141054660525E-3</v>
      </c>
      <c r="CI119" s="28">
        <f>SUMPRODUCT(INDEX(PortfolioRef[[SPY]:[PE]],MATCH(CI$1,PortfolioRef[Reference '#]),0),AssetMonthlyReturns[[#This Row],[SPY]:[PE]])</f>
        <v>1.217021408129603E-3</v>
      </c>
      <c r="CJ119" s="27">
        <f>IF(ISNUMBER(CJ118),CJ118*(1+PortfolioFrontier[[#This Row],[P22 Return]]),1+PortfolioFrontier[[#This Row],[P22 Return]])</f>
        <v>2.4623343006867131</v>
      </c>
      <c r="CK119" s="27">
        <f>MAX(CK118,PortfolioFrontier[[#This Row],[P22 Growth]])</f>
        <v>2.4623343006867131</v>
      </c>
      <c r="CL119" s="27">
        <f>PortfolioFrontier[[#This Row],[P22 Growth]]/PortfolioFrontier[[#This Row],[P22 HWM]]-1</f>
        <v>0</v>
      </c>
      <c r="CM119" s="28">
        <f>SUMPRODUCT(INDEX(PortfolioRef[[SPY]:[PE]],MATCH(CM$1,PortfolioRef[Reference '#]),0),AssetMonthlyReturns[[#This Row],[SPY]:[PE]])</f>
        <v>-4.0417919320136168E-3</v>
      </c>
      <c r="CN119" s="27">
        <f>IF(ISNUMBER(CN118),CN118*(1+PortfolioFrontier[[#This Row],[P23 Return]]),1+PortfolioFrontier[[#This Row],[P23 Return]])</f>
        <v>2.3749234501565346</v>
      </c>
      <c r="CO119" s="27">
        <f>MAX(CO118,PortfolioFrontier[[#This Row],[P23 Growth]])</f>
        <v>2.3845613509863428</v>
      </c>
      <c r="CP119" s="27">
        <f>PortfolioFrontier[[#This Row],[P23 Growth]]/PortfolioFrontier[[#This Row],[P23 HWM]]-1</f>
        <v>-4.0417919320137052E-3</v>
      </c>
      <c r="CQ119" s="28">
        <f>SUMPRODUCT(INDEX(PortfolioRef[[SPY]:[PE]],MATCH(CQ$1,PortfolioRef[Reference '#]),0),AssetMonthlyReturns[[#This Row],[SPY]:[PE]])</f>
        <v>-1.4297564184180488E-3</v>
      </c>
      <c r="CR119" s="27">
        <f>IF(ISNUMBER(CR118),CR118*(1+PortfolioFrontier[[#This Row],[P24 Return]]),1+PortfolioFrontier[[#This Row],[P24 Return]])</f>
        <v>2.3732068178406358</v>
      </c>
      <c r="CS119" s="27">
        <f>MAX(CS118,PortfolioFrontier[[#This Row],[P24 Growth]])</f>
        <v>2.3766047837842943</v>
      </c>
      <c r="CT119" s="27">
        <f>PortfolioFrontier[[#This Row],[P24 Growth]]/PortfolioFrontier[[#This Row],[P24 HWM]]-1</f>
        <v>-1.4297564184180267E-3</v>
      </c>
      <c r="CU119" s="28">
        <f>SUMPRODUCT(INDEX(PortfolioRef[[SPY]:[PE]],MATCH(CU$1,PortfolioRef[Reference '#]),0),AssetMonthlyReturns[[#This Row],[SPY]:[PE]])</f>
        <v>1.1822790951775191E-3</v>
      </c>
      <c r="CV119" s="27">
        <f>IF(ISNUMBER(CV118),CV118*(1+PortfolioFrontier[[#This Row],[P25 Return]]),1+PortfolioFrontier[[#This Row],[P25 Return]])</f>
        <v>2.3694182644196577</v>
      </c>
      <c r="CW119" s="27">
        <f>MAX(CW118,PortfolioFrontier[[#This Row],[P25 Growth]])</f>
        <v>2.3694182644196577</v>
      </c>
      <c r="CX119" s="27">
        <f>PortfolioFrontier[[#This Row],[P25 Growth]]/PortfolioFrontier[[#This Row],[P25 HWM]]-1</f>
        <v>0</v>
      </c>
      <c r="CY119" s="28">
        <f>SUMPRODUCT(INDEX(PortfolioRef[[SPY]:[PE]],MATCH(CY$1,PortfolioRef[Reference '#]),0),AssetMonthlyReturns[[#This Row],[SPY]:[PE]])</f>
        <v>-3.7921341655691373E-6</v>
      </c>
      <c r="CZ119" s="27">
        <f>IF(ISNUMBER(CZ118),CZ118*(1+PortfolioFrontier[[#This Row],[P26 Return]]),1+PortfolioFrontier[[#This Row],[P26 Return]])</f>
        <v>2.5995414124417713</v>
      </c>
      <c r="DA119" s="27">
        <f>MAX(DA118,PortfolioFrontier[[#This Row],[P26 Growth]])</f>
        <v>2.5995512702889587</v>
      </c>
      <c r="DB119" s="27">
        <f>PortfolioFrontier[[#This Row],[P26 Growth]]/PortfolioFrontier[[#This Row],[P26 HWM]]-1</f>
        <v>-3.792134165681027E-6</v>
      </c>
      <c r="DC119" s="28">
        <f>SUMPRODUCT(INDEX(PortfolioRef[[SPY]:[PE]],MATCH(DC$1,PortfolioRef[Reference '#]),0),AssetMonthlyReturns[[#This Row],[SPY]:[PE]])</f>
        <v>2.6082433794299975E-3</v>
      </c>
      <c r="DD119" s="27">
        <f>IF(ISNUMBER(DD118),DD118*(1+PortfolioFrontier[[#This Row],[P27 Return]]),1+PortfolioFrontier[[#This Row],[P27 Return]])</f>
        <v>2.5959419298051301</v>
      </c>
      <c r="DE119" s="27">
        <f>MAX(DE118,PortfolioFrontier[[#This Row],[P27 Growth]])</f>
        <v>2.5959419298051301</v>
      </c>
      <c r="DF119" s="27">
        <f>PortfolioFrontier[[#This Row],[P27 Growth]]/PortfolioFrontier[[#This Row],[P27 HWM]]-1</f>
        <v>0</v>
      </c>
      <c r="DG119" s="28">
        <f>SUMPRODUCT(INDEX(PortfolioRef[[SPY]:[PE]],MATCH(DG$1,PortfolioRef[Reference '#]),0),AssetMonthlyReturns[[#This Row],[SPY]:[PE]])</f>
        <v>-2.6505699607132231E-3</v>
      </c>
      <c r="DH119" s="27">
        <f>IF(ISNUMBER(DH118),DH118*(1+PortfolioFrontier[[#This Row],[P28 Return]]),1+PortfolioFrontier[[#This Row],[P28 Return]])</f>
        <v>2.5047798152860787</v>
      </c>
      <c r="DI119" s="27">
        <f>MAX(DI118,PortfolioFrontier[[#This Row],[P28 Growth]])</f>
        <v>2.5114365535732173</v>
      </c>
      <c r="DJ119" s="27">
        <f>PortfolioFrontier[[#This Row],[P28 Growth]]/PortfolioFrontier[[#This Row],[P28 HWM]]-1</f>
        <v>-2.6505699607133337E-3</v>
      </c>
      <c r="DK119" s="28">
        <f>SUMPRODUCT(INDEX(PortfolioRef[[SPY]:[PE]],MATCH(DK$1,PortfolioRef[Reference '#]),0),AssetMonthlyReturns[[#This Row],[SPY]:[PE]])</f>
        <v>-3.8534447117655624E-5</v>
      </c>
      <c r="DL119" s="27">
        <f>IF(ISNUMBER(DL118),DL118*(1+PortfolioFrontier[[#This Row],[P29 Return]]),1+PortfolioFrontier[[#This Row],[P29 Return]])</f>
        <v>2.50296537485222</v>
      </c>
      <c r="DM119" s="27">
        <f>MAX(DM118,PortfolioFrontier[[#This Row],[P29 Growth]])</f>
        <v>2.5030618289559001</v>
      </c>
      <c r="DN119" s="27">
        <f>PortfolioFrontier[[#This Row],[P29 Growth]]/PortfolioFrontier[[#This Row],[P29 HWM]]-1</f>
        <v>-3.8534447117655191E-5</v>
      </c>
      <c r="DO119" s="28">
        <f>SUMPRODUCT(INDEX(PortfolioRef[[SPY]:[PE]],MATCH(DO$1,PortfolioRef[Reference '#]),0),AssetMonthlyReturns[[#This Row],[SPY]:[PE]])</f>
        <v>2.5735010664779123E-3</v>
      </c>
      <c r="DP119" s="27">
        <f>IF(ISNUMBER(DP118),DP118*(1+PortfolioFrontier[[#This Row],[P30 Return]]),1+PortfolioFrontier[[#This Row],[P30 Return]])</f>
        <v>2.498967159668573</v>
      </c>
      <c r="DQ119" s="27">
        <f>MAX(DQ118,PortfolioFrontier[[#This Row],[P30 Growth]])</f>
        <v>2.498967159668573</v>
      </c>
      <c r="DR119" s="27">
        <f>PortfolioFrontier[[#This Row],[P30 Growth]]/PortfolioFrontier[[#This Row],[P30 HWM]]-1</f>
        <v>0</v>
      </c>
      <c r="DS119" s="28">
        <f>SUMPRODUCT(INDEX(PortfolioRef[[SPY]:[PE]],MATCH(DS$1,PortfolioRef[Reference '#]),0),AssetMonthlyReturns[[#This Row],[SPY]:[PE]])</f>
        <v>-5.2973477872608754E-3</v>
      </c>
      <c r="DT119" s="27">
        <f>IF(ISNUMBER(DT118),DT118*(1+PortfolioFrontier[[#This Row],[P31 Return]]),1+PortfolioFrontier[[#This Row],[P31 Return]])</f>
        <v>2.4110539129595572</v>
      </c>
      <c r="DU119" s="27">
        <f>MAX(DU118,PortfolioFrontier[[#This Row],[P31 Growth]])</f>
        <v>2.4238941231292706</v>
      </c>
      <c r="DV119" s="27">
        <f>PortfolioFrontier[[#This Row],[P31 Growth]]/PortfolioFrontier[[#This Row],[P31 HWM]]-1</f>
        <v>-5.2973477872608754E-3</v>
      </c>
      <c r="DW119" s="28">
        <f>SUMPRODUCT(INDEX(PortfolioRef[[SPY]:[PE]],MATCH(DW$1,PortfolioRef[Reference '#]),0),AssetMonthlyReturns[[#This Row],[SPY]:[PE]])</f>
        <v>-2.6853122736653083E-3</v>
      </c>
      <c r="DX119" s="27">
        <f>IF(ISNUMBER(DX118),DX118*(1+PortfolioFrontier[[#This Row],[P32 Return]]),1+PortfolioFrontier[[#This Row],[P32 Return]])</f>
        <v>2.4109079222533012</v>
      </c>
      <c r="DY119" s="27">
        <f>MAX(DY118,PortfolioFrontier[[#This Row],[P32 Growth]])</f>
        <v>2.417399394517751</v>
      </c>
      <c r="DZ119" s="27">
        <f>PortfolioFrontier[[#This Row],[P32 Growth]]/PortfolioFrontier[[#This Row],[P32 HWM]]-1</f>
        <v>-2.6853122736654189E-3</v>
      </c>
      <c r="EA119" s="28">
        <f>SUMPRODUCT(INDEX(PortfolioRef[[SPY]:[PE]],MATCH(EA$1,PortfolioRef[Reference '#]),0),AssetMonthlyReturns[[#This Row],[SPY]:[PE]])</f>
        <v>-7.3276760069739509E-5</v>
      </c>
      <c r="EB119" s="27">
        <f>IF(ISNUMBER(EB118),EB118*(1+PortfolioFrontier[[#This Row],[P33 Return]]),1+PortfolioFrontier[[#This Row],[P33 Return]])</f>
        <v>2.408648551387087</v>
      </c>
      <c r="EC119" s="27">
        <f>MAX(EC118,PortfolioFrontier[[#This Row],[P33 Growth]])</f>
        <v>2.4088250622832259</v>
      </c>
      <c r="ED119" s="27">
        <f>PortfolioFrontier[[#This Row],[P33 Growth]]/PortfolioFrontier[[#This Row],[P33 HWM]]-1</f>
        <v>-7.3276760069740376E-5</v>
      </c>
      <c r="EE119" s="28">
        <f>SUMPRODUCT(INDEX(PortfolioRef[[SPY]:[PE]],MATCH(EE$1,PortfolioRef[Reference '#]),0),AssetMonthlyReturns[[#This Row],[SPY]:[PE]])</f>
        <v>-1.7276753362393811E-3</v>
      </c>
      <c r="EF119" s="27">
        <f>IF(ISNUMBER(EF118),EF118*(1+PortfolioFrontier[[#This Row],[P34 Return]]),1+PortfolioFrontier[[#This Row],[P34 Return]])</f>
        <v>2.1658580733042787</v>
      </c>
      <c r="EG119" s="27">
        <f>MAX(EG118,PortfolioFrontier[[#This Row],[P34 Growth]])</f>
        <v>2.169606448855312</v>
      </c>
      <c r="EH119" s="27">
        <f>PortfolioFrontier[[#This Row],[P34 Growth]]/PortfolioFrontier[[#This Row],[P34 HWM]]-1</f>
        <v>-1.7276753362394093E-3</v>
      </c>
      <c r="EI119" s="28">
        <f>SUMPRODUCT(INDEX(PortfolioRef[[SPY]:[PE]],MATCH(EI$1,PortfolioRef[Reference '#]),0),AssetMonthlyReturns[[#This Row],[SPY]:[PE]])</f>
        <v>-3.364533649389879E-4</v>
      </c>
      <c r="EJ119" s="27">
        <f>IF(ISNUMBER(EJ118),EJ118*(1+PortfolioFrontier[[#This Row],[P35 Return]]),1+PortfolioFrontier[[#This Row],[P35 Return]])</f>
        <v>2.2842759977458358</v>
      </c>
      <c r="EK119" s="27">
        <f>MAX(EK118,PortfolioFrontier[[#This Row],[P35 Growth]])</f>
        <v>2.2850448087607798</v>
      </c>
      <c r="EL119" s="27">
        <f>PortfolioFrontier[[#This Row],[P35 Growth]]/PortfolioFrontier[[#This Row],[P35 HWM]]-1</f>
        <v>-3.3645336493903777E-4</v>
      </c>
      <c r="EM119" s="28">
        <f>SUMPRODUCT(INDEX(PortfolioRef[[SPY]:[PE]],MATCH(EM$1,PortfolioRef[Reference '#]),0),AssetMonthlyReturns[[#This Row],[SPY]:[PE]])</f>
        <v>-2.9832311914866397E-3</v>
      </c>
      <c r="EN119" s="27">
        <f>IF(ISNUMBER(EN118),EN118*(1+PortfolioFrontier[[#This Row],[P36 Return]]),1+PortfolioFrontier[[#This Row],[P36 Return]])</f>
        <v>2.2023540979753791</v>
      </c>
      <c r="EO119" s="27">
        <f>MAX(EO118,PortfolioFrontier[[#This Row],[P36 Growth]])</f>
        <v>2.2089438882831494</v>
      </c>
      <c r="EP119" s="27">
        <f>PortfolioFrontier[[#This Row],[P36 Growth]]/PortfolioFrontier[[#This Row],[P36 HWM]]-1</f>
        <v>-2.9832311914866905E-3</v>
      </c>
      <c r="EQ119" s="28">
        <f>SUMPRODUCT(INDEX(PortfolioRef[[SPY]:[PE]],MATCH(EQ$1,PortfolioRef[Reference '#]),0),AssetMonthlyReturns[[#This Row],[SPY]:[PE]])</f>
        <v>-3.7119567789107308E-4</v>
      </c>
      <c r="ER119" s="27">
        <f>IF(ISNUMBER(ER118),ER118*(1+PortfolioFrontier[[#This Row],[P37 Return]]),1+PortfolioFrontier[[#This Row],[P37 Return]])</f>
        <v>2.1984812104742182</v>
      </c>
      <c r="ES119" s="27">
        <f>MAX(ES118,PortfolioFrontier[[#This Row],[P37 Growth]])</f>
        <v>2.1992975802303962</v>
      </c>
      <c r="ET119" s="27">
        <f>PortfolioFrontier[[#This Row],[P37 Growth]]/PortfolioFrontier[[#This Row],[P37 HWM]]-1</f>
        <v>-3.7119567789112295E-4</v>
      </c>
      <c r="EU119" s="28">
        <f>SUMPRODUCT(INDEX(PortfolioRef[[SPY]:[PE]],MATCH(EU$1,PortfolioRef[Reference '#]),0),AssetMonthlyReturns[[#This Row],[SPY]:[PE]])</f>
        <v>1.0547686063614066E-3</v>
      </c>
      <c r="EV119" s="27">
        <f>IF(ISNUMBER(EV118),EV118*(1+PortfolioFrontier[[#This Row],[P38 Return]]),1+PortfolioFrontier[[#This Row],[P38 Return]])</f>
        <v>2.4082193215640171</v>
      </c>
      <c r="EW119" s="27">
        <f>MAX(EW118,PortfolioFrontier[[#This Row],[P38 Growth]])</f>
        <v>2.4082193215640171</v>
      </c>
      <c r="EX119" s="27">
        <f>PortfolioFrontier[[#This Row],[P38 Growth]]/PortfolioFrontier[[#This Row],[P38 HWM]]-1</f>
        <v>0</v>
      </c>
      <c r="EY119" s="28">
        <f>SUMPRODUCT(INDEX(PortfolioRef[[SPY]:[PE]],MATCH(EY$1,PortfolioRef[Reference '#]),0),AssetMonthlyReturns[[#This Row],[SPY]:[PE]])</f>
        <v>-1.5920092201862465E-3</v>
      </c>
      <c r="EZ119" s="27">
        <f>IF(ISNUMBER(EZ118),EZ118*(1+PortfolioFrontier[[#This Row],[P39 Return]]),1+PortfolioFrontier[[#This Row],[P39 Return]])</f>
        <v>2.3227694673136989</v>
      </c>
      <c r="FA119" s="27">
        <f>MAX(FA118,PortfolioFrontier[[#This Row],[P39 Growth]])</f>
        <v>2.3264732341529868</v>
      </c>
      <c r="FB119" s="27">
        <f>PortfolioFrontier[[#This Row],[P39 Growth]]/PortfolioFrontier[[#This Row],[P39 HWM]]-1</f>
        <v>-1.5920092201862079E-3</v>
      </c>
      <c r="FC119" s="28">
        <f>SUMPRODUCT(INDEX(PortfolioRef[[SPY]:[PE]],MATCH(FC$1,PortfolioRef[Reference '#]),0),AssetMonthlyReturns[[#This Row],[SPY]:[PE]])</f>
        <v>1.0200262934093201E-3</v>
      </c>
      <c r="FD119" s="27">
        <f>IF(ISNUMBER(FD118),FD118*(1+PortfolioFrontier[[#This Row],[P40 Return]]),1+PortfolioFrontier[[#This Row],[P40 Return]])</f>
        <v>2.3186825918641056</v>
      </c>
      <c r="FE119" s="27">
        <f>MAX(FE118,PortfolioFrontier[[#This Row],[P40 Growth]])</f>
        <v>2.3186825918641056</v>
      </c>
      <c r="FF119" s="27">
        <f>PortfolioFrontier[[#This Row],[P40 Growth]]/PortfolioFrontier[[#This Row],[P40 HWM]]-1</f>
        <v>0</v>
      </c>
      <c r="FG119" s="28">
        <f>SUMPRODUCT(INDEX(PortfolioRef[[SPY]:[PE]],MATCH(FG$1,PortfolioRef[Reference '#]),0),AssetMonthlyReturns[[#This Row],[SPY]:[PE]])</f>
        <v>-4.2387870467338988E-3</v>
      </c>
      <c r="FH119" s="27">
        <f>IF(ISNUMBER(FH118),FH118*(1+PortfolioFrontier[[#This Row],[P41 Return]]),1+PortfolioFrontier[[#This Row],[P41 Return]])</f>
        <v>2.2381151510519688</v>
      </c>
      <c r="FI119" s="27">
        <f>MAX(FI118,PortfolioFrontier[[#This Row],[P41 Growth]])</f>
        <v>2.2476424286642804</v>
      </c>
      <c r="FJ119" s="27">
        <f>PortfolioFrontier[[#This Row],[P41 Growth]]/PortfolioFrontier[[#This Row],[P41 HWM]]-1</f>
        <v>-4.2387870467338606E-3</v>
      </c>
      <c r="FK119" s="28">
        <f>SUMPRODUCT(INDEX(PortfolioRef[[SPY]:[PE]],MATCH(FK$1,PortfolioRef[Reference '#]),0),AssetMonthlyReturns[[#This Row],[SPY]:[PE]])</f>
        <v>-1.6267515331383317E-3</v>
      </c>
      <c r="FL119" s="27">
        <f>IF(ISNUMBER(FL118),FL118*(1+PortfolioFrontier[[#This Row],[P42 Return]]),1+PortfolioFrontier[[#This Row],[P42 Return]])</f>
        <v>2.2356522363461484</v>
      </c>
      <c r="FM119" s="27">
        <f>MAX(FM118,PortfolioFrontier[[#This Row],[P42 Growth]])</f>
        <v>2.2392950129416</v>
      </c>
      <c r="FN119" s="27">
        <f>PortfolioFrontier[[#This Row],[P42 Growth]]/PortfolioFrontier[[#This Row],[P42 HWM]]-1</f>
        <v>-1.6267515331382931E-3</v>
      </c>
      <c r="FO119" s="28">
        <f>SUMPRODUCT(INDEX(PortfolioRef[[SPY]:[PE]],MATCH(FO$1,PortfolioRef[Reference '#]),0),AssetMonthlyReturns[[#This Row],[SPY]:[PE]])</f>
        <v>9.8528398045723622E-4</v>
      </c>
      <c r="FP119" s="27">
        <f>IF(ISNUMBER(FP118),FP118*(1+PortfolioFrontier[[#This Row],[P43 Return]]),1+PortfolioFrontier[[#This Row],[P43 Return]])</f>
        <v>2.2312424151612329</v>
      </c>
      <c r="FQ119" s="27">
        <f>MAX(FQ118,PortfolioFrontier[[#This Row],[P43 Growth]])</f>
        <v>2.2312424151612329</v>
      </c>
      <c r="FR119" s="27">
        <f>PortfolioFrontier[[#This Row],[P43 Growth]]/PortfolioFrontier[[#This Row],[P43 HWM]]-1</f>
        <v>0</v>
      </c>
      <c r="FS119" s="28">
        <f>SUMPRODUCT(INDEX(PortfolioRef[[SPY]:[PE]],MATCH(FS$1,PortfolioRef[Reference '#]),0),AssetMonthlyReturns[[#This Row],[SPY]:[PE]])</f>
        <v>-2.0078724888585205E-4</v>
      </c>
      <c r="FT119" s="27">
        <f>IF(ISNUMBER(FT118),FT118*(1+PortfolioFrontier[[#This Row],[P44 Return]]),1+PortfolioFrontier[[#This Row],[P44 Return]])</f>
        <v>2.4488039974251814</v>
      </c>
      <c r="FU119" s="27">
        <f>MAX(FU118,PortfolioFrontier[[#This Row],[P44 Growth]])</f>
        <v>2.4492957847875165</v>
      </c>
      <c r="FV119" s="27">
        <f>PortfolioFrontier[[#This Row],[P44 Growth]]/PortfolioFrontier[[#This Row],[P44 HWM]]-1</f>
        <v>-2.0078724888583643E-4</v>
      </c>
      <c r="FW119" s="28">
        <f>SUMPRODUCT(INDEX(PortfolioRef[[SPY]:[PE]],MATCH(FW$1,PortfolioRef[Reference '#]),0),AssetMonthlyReturns[[#This Row],[SPY]:[PE]])</f>
        <v>2.4112482647097146E-3</v>
      </c>
      <c r="FX119" s="27">
        <f>IF(ISNUMBER(FX118),FX118*(1+PortfolioFrontier[[#This Row],[P45 Return]]),1+PortfolioFrontier[[#This Row],[P45 Return]])</f>
        <v>2.4444929972313716</v>
      </c>
      <c r="FY119" s="27">
        <f>MAX(FY118,PortfolioFrontier[[#This Row],[P45 Growth]])</f>
        <v>2.4444929972313716</v>
      </c>
      <c r="FZ119" s="27">
        <f>PortfolioFrontier[[#This Row],[P45 Growth]]/PortfolioFrontier[[#This Row],[P45 HWM]]-1</f>
        <v>0</v>
      </c>
      <c r="GA119" s="28">
        <f>SUMPRODUCT(INDEX(PortfolioRef[[SPY]:[PE]],MATCH(GA$1,PortfolioRef[Reference '#]),0),AssetMonthlyReturns[[#This Row],[SPY]:[PE]])</f>
        <v>-2.847565075433506E-3</v>
      </c>
      <c r="GB119" s="27">
        <f>IF(ISNUMBER(GB118),GB118*(1+PortfolioFrontier[[#This Row],[P46 Return]]),1+PortfolioFrontier[[#This Row],[P46 Return]])</f>
        <v>2.3604887887981389</v>
      </c>
      <c r="GC119" s="27">
        <f>MAX(GC118,PortfolioFrontier[[#This Row],[P46 Growth]])</f>
        <v>2.3672296292158252</v>
      </c>
      <c r="GD119" s="27">
        <f>PortfolioFrontier[[#This Row],[P46 Growth]]/PortfolioFrontier[[#This Row],[P46 HWM]]-1</f>
        <v>-2.8475650754334891E-3</v>
      </c>
      <c r="GE119" s="28">
        <f>SUMPRODUCT(INDEX(PortfolioRef[[SPY]:[PE]],MATCH(GE$1,PortfolioRef[Reference '#]),0),AssetMonthlyReturns[[#This Row],[SPY]:[PE]])</f>
        <v>-2.3552956183793853E-4</v>
      </c>
      <c r="GF119" s="27">
        <f>IF(ISNUMBER(GF118),GF118*(1+PortfolioFrontier[[#This Row],[P47 Return]]),1+PortfolioFrontier[[#This Row],[P47 Return]])</f>
        <v>2.3578879702320741</v>
      </c>
      <c r="GG119" s="27">
        <f>MAX(GG118,PortfolioFrontier[[#This Row],[P47 Growth]])</f>
        <v>2.3584434533852696</v>
      </c>
      <c r="GH119" s="27">
        <f>PortfolioFrontier[[#This Row],[P47 Growth]]/PortfolioFrontier[[#This Row],[P47 HWM]]-1</f>
        <v>-2.3552956183803264E-4</v>
      </c>
      <c r="GI119" s="28">
        <f>SUMPRODUCT(INDEX(PortfolioRef[[SPY]:[PE]],MATCH(GI$1,PortfolioRef[Reference '#]),0),AssetMonthlyReturns[[#This Row],[SPY]:[PE]])</f>
        <v>2.3765059517576294E-3</v>
      </c>
      <c r="GJ119" s="27">
        <f>IF(ISNUMBER(GJ118),GJ118*(1+PortfolioFrontier[[#This Row],[P48 Return]]),1+PortfolioFrontier[[#This Row],[P48 Return]])</f>
        <v>2.3532351442492447</v>
      </c>
      <c r="GK119" s="27">
        <f>MAX(GK118,PortfolioFrontier[[#This Row],[P48 Growth]])</f>
        <v>2.3532351442492447</v>
      </c>
      <c r="GL119" s="27">
        <f>PortfolioFrontier[[#This Row],[P48 Growth]]/PortfolioFrontier[[#This Row],[P48 HWM]]-1</f>
        <v>0</v>
      </c>
      <c r="GM119" s="28">
        <f>SUMPRODUCT(INDEX(PortfolioRef[[SPY]:[PE]],MATCH(GM$1,PortfolioRef[Reference '#]),0),AssetMonthlyReturns[[#This Row],[SPY]:[PE]])</f>
        <v>-5.4943429019811574E-3</v>
      </c>
      <c r="GN119" s="27">
        <f>IF(ISNUMBER(GN118),GN118*(1+PortfolioFrontier[[#This Row],[P49 Return]]),1+PortfolioFrontier[[#This Row],[P49 Return]])</f>
        <v>2.2730810600542233</v>
      </c>
      <c r="GO119" s="27">
        <f>MAX(GO118,PortfolioFrontier[[#This Row],[P49 Growth]])</f>
        <v>2.2856391452685196</v>
      </c>
      <c r="GP119" s="27">
        <f>PortfolioFrontier[[#This Row],[P49 Growth]]/PortfolioFrontier[[#This Row],[P49 HWM]]-1</f>
        <v>-5.4943429019811418E-3</v>
      </c>
      <c r="GQ119" s="28">
        <f>SUMPRODUCT(INDEX(PortfolioRef[[SPY]:[PE]],MATCH(GQ$1,PortfolioRef[Reference '#]),0),AssetMonthlyReturns[[#This Row],[SPY]:[PE]])</f>
        <v>-2.8823073883855912E-3</v>
      </c>
      <c r="GR119" s="27">
        <f>IF(ISNUMBER(GR118),GR118*(1+PortfolioFrontier[[#This Row],[P50 Return]]),1+PortfolioFrontier[[#This Row],[P50 Return]])</f>
        <v>2.2720815959226743</v>
      </c>
      <c r="GS119" s="27">
        <f>MAX(GS118,PortfolioFrontier[[#This Row],[P50 Growth]])</f>
        <v>2.2786493638195515</v>
      </c>
      <c r="GT119" s="27">
        <f>PortfolioFrontier[[#This Row],[P50 Growth]]/PortfolioFrontier[[#This Row],[P50 HWM]]-1</f>
        <v>-2.8823073883855743E-3</v>
      </c>
      <c r="GU119" s="28">
        <f>SUMPRODUCT(INDEX(PortfolioRef[[SPY]:[PE]],MATCH(GU$1,PortfolioRef[Reference '#]),0),AssetMonthlyReturns[[#This Row],[SPY]:[PE]])</f>
        <v>-2.7027187479002242E-4</v>
      </c>
      <c r="GV119" s="27">
        <f>IF(ISNUMBER(GV118),GV118*(1+PortfolioFrontier[[#This Row],[P51 Return]]),1+PortfolioFrontier[[#This Row],[P51 Return]])</f>
        <v>2.2690945225390684</v>
      </c>
      <c r="GW119" s="27">
        <f>MAX(GW118,PortfolioFrontier[[#This Row],[P51 Growth]])</f>
        <v>2.2697079607648503</v>
      </c>
      <c r="GX119" s="27">
        <f>PortfolioFrontier[[#This Row],[P51 Growth]]/PortfolioFrontier[[#This Row],[P51 HWM]]-1</f>
        <v>-2.7027187479011783E-4</v>
      </c>
      <c r="GY119" s="28">
        <f>SUMPRODUCT(INDEX(PortfolioRef[[SPY]:[PE]],MATCH(GY$1,PortfolioRef[Reference '#]),0),AssetMonthlyReturns[[#This Row],[SPY]:[PE]])</f>
        <v>-1.4563431041331116E-3</v>
      </c>
      <c r="GZ119" s="27">
        <f>IF(ISNUMBER(GZ118),GZ118*(1+PortfolioFrontier[[#This Row],[P52 Return]]),1+PortfolioFrontier[[#This Row],[P52 Return]])</f>
        <v>2.4885735784248566</v>
      </c>
      <c r="HA119" s="27">
        <f>MAX(HA118,PortfolioFrontier[[#This Row],[P52 Growth]])</f>
        <v>2.4922030811962559</v>
      </c>
      <c r="HB119" s="27">
        <f>PortfolioFrontier[[#This Row],[P52 Growth]]/PortfolioFrontier[[#This Row],[P52 HWM]]-1</f>
        <v>-1.4563431041330066E-3</v>
      </c>
      <c r="HC119" s="28">
        <f>SUMPRODUCT(INDEX(PortfolioRef[[SPY]:[PE]],MATCH(HC$1,PortfolioRef[Reference '#]),0),AssetMonthlyReturns[[#This Row],[SPY]:[PE]])</f>
        <v>1.155692409462456E-3</v>
      </c>
      <c r="HD119" s="27">
        <f>IF(ISNUMBER(HD118),HD118*(1+PortfolioFrontier[[#This Row],[P53 Return]]),1+PortfolioFrontier[[#This Row],[P53 Return]])</f>
        <v>2.4858282254187993</v>
      </c>
      <c r="HE119" s="27">
        <f>MAX(HE118,PortfolioFrontier[[#This Row],[P53 Growth]])</f>
        <v>2.4858282254187993</v>
      </c>
      <c r="HF119" s="27">
        <f>PortfolioFrontier[[#This Row],[P53 Growth]]/PortfolioFrontier[[#This Row],[P53 HWM]]-1</f>
        <v>0</v>
      </c>
      <c r="HG119" s="28">
        <f>SUMPRODUCT(INDEX(PortfolioRef[[SPY]:[PE]],MATCH(HG$1,PortfolioRef[Reference '#]),0),AssetMonthlyReturns[[#This Row],[SPY]:[PE]])</f>
        <v>3.7677279230580239E-3</v>
      </c>
      <c r="HH119" s="27">
        <f>IF(ISNUMBER(HH118),HH118*(1+PortfolioFrontier[[#This Row],[P54 Return]]),1+PortfolioFrontier[[#This Row],[P54 Return]])</f>
        <v>2.4809209163975012</v>
      </c>
      <c r="HI119" s="27">
        <f>MAX(HI118,PortfolioFrontier[[#This Row],[P54 Growth]])</f>
        <v>2.4809209163975012</v>
      </c>
      <c r="HJ119" s="27">
        <f>PortfolioFrontier[[#This Row],[P54 Growth]]/PortfolioFrontier[[#This Row],[P54 HWM]]-1</f>
        <v>0</v>
      </c>
      <c r="HK119" s="28">
        <f>SUMPRODUCT(INDEX(PortfolioRef[[SPY]:[PE]],MATCH(HK$1,PortfolioRef[Reference '#]),0),AssetMonthlyReturns[[#This Row],[SPY]:[PE]])</f>
        <v>-4.1031209306807651E-3</v>
      </c>
      <c r="HL119" s="27">
        <f>IF(ISNUMBER(HL118),HL118*(1+PortfolioFrontier[[#This Row],[P55 Return]]),1+PortfolioFrontier[[#This Row],[P55 Return]])</f>
        <v>2.397370543124449</v>
      </c>
      <c r="HM119" s="27">
        <f>MAX(HM118,PortfolioFrontier[[#This Row],[P55 Growth]])</f>
        <v>2.4072477718424303</v>
      </c>
      <c r="HN119" s="27">
        <f>PortfolioFrontier[[#This Row],[P55 Growth]]/PortfolioFrontier[[#This Row],[P55 HWM]]-1</f>
        <v>-4.1031209306807703E-3</v>
      </c>
      <c r="HO119" s="28">
        <f>SUMPRODUCT(INDEX(PortfolioRef[[SPY]:[PE]],MATCH(HO$1,PortfolioRef[Reference '#]),0),AssetMonthlyReturns[[#This Row],[SPY]:[PE]])</f>
        <v>-1.491085417085198E-3</v>
      </c>
      <c r="HP119" s="27">
        <f>IF(ISNUMBER(HP118),HP118*(1+PortfolioFrontier[[#This Row],[P56 Return]]),1+PortfolioFrontier[[#This Row],[P56 Return]])</f>
        <v>2.396312155481692</v>
      </c>
      <c r="HQ119" s="27">
        <f>MAX(HQ118,PortfolioFrontier[[#This Row],[P56 Growth]])</f>
        <v>2.3998905973540063</v>
      </c>
      <c r="HR119" s="27">
        <f>PortfolioFrontier[[#This Row],[P56 Growth]]/PortfolioFrontier[[#This Row],[P56 HWM]]-1</f>
        <v>-1.4910854170852028E-3</v>
      </c>
      <c r="HS119" s="28">
        <f>SUMPRODUCT(INDEX(PortfolioRef[[SPY]:[PE]],MATCH(HS$1,PortfolioRef[Reference '#]),0),AssetMonthlyReturns[[#This Row],[SPY]:[PE]])</f>
        <v>1.1209500965103708E-3</v>
      </c>
      <c r="HT119" s="27">
        <f>IF(ISNUMBER(HT118),HT118*(1+PortfolioFrontier[[#This Row],[P57 Return]]),1+PortfolioFrontier[[#This Row],[P57 Return]])</f>
        <v>2.393158849905046</v>
      </c>
      <c r="HU119" s="27">
        <f>MAX(HU118,PortfolioFrontier[[#This Row],[P57 Growth]])</f>
        <v>2.393158849905046</v>
      </c>
      <c r="HV119" s="27">
        <f>PortfolioFrontier[[#This Row],[P57 Growth]]/PortfolioFrontier[[#This Row],[P57 HWM]]-1</f>
        <v>0</v>
      </c>
      <c r="HW119" s="28">
        <f>SUMPRODUCT(INDEX(PortfolioRef[[SPY]:[PE]],MATCH(HW$1,PortfolioRef[Reference '#]),0),AssetMonthlyReturns[[#This Row],[SPY]:[PE]])</f>
        <v>-6.7498987572284161E-3</v>
      </c>
      <c r="HX119" s="27">
        <f>IF(ISNUMBER(HX118),HX118*(1+PortfolioFrontier[[#This Row],[P58 Return]]),1+PortfolioFrontier[[#This Row],[P58 Return]])</f>
        <v>2.307191652249744</v>
      </c>
      <c r="HY119" s="27">
        <f>MAX(HY118,PortfolioFrontier[[#This Row],[P58 Growth]])</f>
        <v>2.3228707949417231</v>
      </c>
      <c r="HZ119" s="27">
        <f>PortfolioFrontier[[#This Row],[P58 Growth]]/PortfolioFrontier[[#This Row],[P58 HWM]]-1</f>
        <v>-6.749898757228312E-3</v>
      </c>
      <c r="IA119" s="28">
        <f>SUMPRODUCT(INDEX(PortfolioRef[[SPY]:[PE]],MATCH(IA$1,PortfolioRef[Reference '#]),0),AssetMonthlyReturns[[#This Row],[SPY]:[PE]])</f>
        <v>-4.1378632436328503E-3</v>
      </c>
      <c r="IB119" s="27">
        <f>IF(ISNUMBER(IB118),IB118*(1+PortfolioFrontier[[#This Row],[P59 Return]]),1+PortfolioFrontier[[#This Row],[P59 Return]])</f>
        <v>2.3077081096759327</v>
      </c>
      <c r="IC119" s="27">
        <f>MAX(IC118,PortfolioFrontier[[#This Row],[P59 Growth]])</f>
        <v>2.3172967667918298</v>
      </c>
      <c r="ID119" s="27">
        <f>PortfolioFrontier[[#This Row],[P59 Growth]]/PortfolioFrontier[[#This Row],[P59 HWM]]-1</f>
        <v>-4.1378632436328555E-3</v>
      </c>
      <c r="IE119" s="28">
        <f>SUMPRODUCT(INDEX(PortfolioRef[[SPY]:[PE]],MATCH(IE$1,PortfolioRef[Reference '#]),0),AssetMonthlyReturns[[#This Row],[SPY]:[PE]])</f>
        <v>-1.5258277300372819E-3</v>
      </c>
      <c r="IF119" s="27">
        <f>IF(ISNUMBER(IF118),IF118*(1+PortfolioFrontier[[#This Row],[P60 Return]]),1+PortfolioFrontier[[#This Row],[P60 Return]])</f>
        <v>2.3061983531146484</v>
      </c>
      <c r="IG119" s="27">
        <f>MAX(IG118,PortfolioFrontier[[#This Row],[P60 Growth]])</f>
        <v>2.309722591894054</v>
      </c>
      <c r="IH119" s="27">
        <f>PortfolioFrontier[[#This Row],[P60 Growth]]/PortfolioFrontier[[#This Row],[P60 HWM]]-1</f>
        <v>-1.525827730037288E-3</v>
      </c>
      <c r="II119" s="28">
        <f>SUMPRODUCT(INDEX(PortfolioRef[[SPY]:[PE]],MATCH(II$1,PortfolioRef[Reference '#]),0),AssetMonthlyReturns[[#This Row],[SPY]:[PE]])</f>
        <v>-1.924670450959664E-3</v>
      </c>
      <c r="IJ119" s="27">
        <f>IF(ISNUMBER(IJ118),IJ118*(1+PortfolioFrontier[[#This Row],[P61 Return]]),1+PortfolioFrontier[[#This Row],[P61 Return]])</f>
        <v>2.0384129954586512</v>
      </c>
      <c r="IK119" s="27">
        <f>MAX(IK118,PortfolioFrontier[[#This Row],[P61 Growth]])</f>
        <v>2.0423438342872036</v>
      </c>
      <c r="IL119" s="27">
        <f>PortfolioFrontier[[#This Row],[P61 Growth]]/PortfolioFrontier[[#This Row],[P61 HWM]]-1</f>
        <v>-1.9246704509597867E-3</v>
      </c>
      <c r="IM119" s="28">
        <f>SUMPRODUCT(INDEX(PortfolioRef[[SPY]:[PE]],MATCH(IM$1,PortfolioRef[Reference '#]),0),AssetMonthlyReturns[[#This Row],[SPY]:[PE]])</f>
        <v>-5.3344847965927124E-4</v>
      </c>
      <c r="IN119" s="27">
        <f>IF(ISNUMBER(IN118),IN118*(1+PortfolioFrontier[[#This Row],[P62 Return]]),1+PortfolioFrontier[[#This Row],[P62 Return]])</f>
        <v>2.1498625579950015</v>
      </c>
      <c r="IO119" s="27">
        <f>MAX(IO118,PortfolioFrontier[[#This Row],[P62 Growth]])</f>
        <v>2.1510100110151096</v>
      </c>
      <c r="IP119" s="27">
        <f>PortfolioFrontier[[#This Row],[P62 Growth]]/PortfolioFrontier[[#This Row],[P62 HWM]]-1</f>
        <v>-5.3344847965941522E-4</v>
      </c>
      <c r="IQ119" s="28">
        <f>SUMPRODUCT(INDEX(PortfolioRef[[SPY]:[PE]],MATCH(IQ$1,PortfolioRef[Reference '#]),0),AssetMonthlyReturns[[#This Row],[SPY]:[PE]])</f>
        <v>-3.1802263062069226E-3</v>
      </c>
      <c r="IR119" s="27">
        <f>IF(ISNUMBER(IR118),IR118*(1+PortfolioFrontier[[#This Row],[P63 Return]]),1+PortfolioFrontier[[#This Row],[P63 Return]])</f>
        <v>2.0735916101122118</v>
      </c>
      <c r="IS119" s="27">
        <f>MAX(IS118,PortfolioFrontier[[#This Row],[P63 Growth]])</f>
        <v>2.0802071395798634</v>
      </c>
      <c r="IT119" s="27">
        <f>PortfolioFrontier[[#This Row],[P63 Growth]]/PortfolioFrontier[[#This Row],[P63 HWM]]-1</f>
        <v>-3.1802263062070679E-3</v>
      </c>
      <c r="IU119" s="28">
        <f>SUMPRODUCT(INDEX(PortfolioRef[[SPY]:[PE]],MATCH(IU$1,PortfolioRef[Reference '#]),0),AssetMonthlyReturns[[#This Row],[SPY]:[PE]])</f>
        <v>-5.6819079261135642E-4</v>
      </c>
      <c r="IV119" s="27">
        <f>IF(ISNUMBER(IV118),IV118*(1+PortfolioFrontier[[#This Row],[P64 Return]]),1+PortfolioFrontier[[#This Row],[P64 Return]])</f>
        <v>2.0691666001304649</v>
      </c>
      <c r="IW119" s="27">
        <f>MAX(IW118,PortfolioFrontier[[#This Row],[P64 Growth]])</f>
        <v>2.0703429499321642</v>
      </c>
      <c r="IX119" s="27">
        <f>PortfolioFrontier[[#This Row],[P64 Growth]]/PortfolioFrontier[[#This Row],[P64 HWM]]-1</f>
        <v>-5.6819079261127836E-4</v>
      </c>
      <c r="IY119" s="28">
        <f>SUMPRODUCT(INDEX(PortfolioRef[[SPY]:[PE]],MATCH(IY$1,PortfolioRef[Reference '#]),0),AssetMonthlyReturns[[#This Row],[SPY]:[PE]])</f>
        <v>8.5777349164112325E-4</v>
      </c>
      <c r="IZ119" s="27">
        <f>IF(ISNUMBER(IZ118),IZ118*(1+PortfolioFrontier[[#This Row],[P65 Return]]),1+PortfolioFrontier[[#This Row],[P65 Return]])</f>
        <v>2.266511192920281</v>
      </c>
      <c r="JA119" s="27">
        <f>MAX(JA118,PortfolioFrontier[[#This Row],[P65 Growth]])</f>
        <v>2.266511192920281</v>
      </c>
      <c r="JB119" s="27">
        <f>PortfolioFrontier[[#This Row],[P65 Growth]]/PortfolioFrontier[[#This Row],[P65 HWM]]-1</f>
        <v>0</v>
      </c>
      <c r="JC119" s="28">
        <f>SUMPRODUCT(INDEX(PortfolioRef[[SPY]:[PE]],MATCH(JC$1,PortfolioRef[Reference '#]),0),AssetMonthlyReturns[[#This Row],[SPY]:[PE]])</f>
        <v>-1.7890043349065299E-3</v>
      </c>
      <c r="JD119" s="27">
        <f>IF(ISNUMBER(JD118),JD118*(1+PortfolioFrontier[[#This Row],[P66 Return]]),1+PortfolioFrontier[[#This Row],[P66 Return]])</f>
        <v>2.1869660061714051</v>
      </c>
      <c r="JE119" s="27">
        <f>MAX(JE118,PortfolioFrontier[[#This Row],[P66 Growth]])</f>
        <v>2.1908855098458031</v>
      </c>
      <c r="JF119" s="27">
        <f>PortfolioFrontier[[#This Row],[P66 Growth]]/PortfolioFrontier[[#This Row],[P66 HWM]]-1</f>
        <v>-1.7890043349064744E-3</v>
      </c>
      <c r="JG119" s="28">
        <f>SUMPRODUCT(INDEX(PortfolioRef[[SPY]:[PE]],MATCH(JG$1,PortfolioRef[Reference '#]),0),AssetMonthlyReturns[[#This Row],[SPY]:[PE]])</f>
        <v>8.2303117868903677E-4</v>
      </c>
      <c r="JH119" s="27">
        <f>IF(ISNUMBER(JH118),JH118*(1+PortfolioFrontier[[#This Row],[P67 Return]]),1+PortfolioFrontier[[#This Row],[P67 Return]])</f>
        <v>2.1822973934440317</v>
      </c>
      <c r="JI119" s="27">
        <f>MAX(JI118,PortfolioFrontier[[#This Row],[P67 Growth]])</f>
        <v>2.1822973934440317</v>
      </c>
      <c r="JJ119" s="27">
        <f>PortfolioFrontier[[#This Row],[P67 Growth]]/PortfolioFrontier[[#This Row],[P67 HWM]]-1</f>
        <v>0</v>
      </c>
      <c r="JK119" s="28">
        <f>SUMPRODUCT(INDEX(PortfolioRef[[SPY]:[PE]],MATCH(JK$1,PortfolioRef[Reference '#]),0),AssetMonthlyReturns[[#This Row],[SPY]:[PE]])</f>
        <v>-4.4357821614541826E-3</v>
      </c>
      <c r="JL119" s="27">
        <f>IF(ISNUMBER(JL118),JL118*(1+PortfolioFrontier[[#This Row],[P68 Return]]),1+PortfolioFrontier[[#This Row],[P68 Return]])</f>
        <v>2.1081081497748095</v>
      </c>
      <c r="JM119" s="27">
        <f>MAX(JM118,PortfolioFrontier[[#This Row],[P68 Growth]])</f>
        <v>2.1175009225941155</v>
      </c>
      <c r="JN119" s="27">
        <f>PortfolioFrontier[[#This Row],[P68 Growth]]/PortfolioFrontier[[#This Row],[P68 HWM]]-1</f>
        <v>-4.4357821614542381E-3</v>
      </c>
      <c r="JO119" s="28">
        <f>SUMPRODUCT(INDEX(PortfolioRef[[SPY]:[PE]],MATCH(JO$1,PortfolioRef[Reference '#]),0),AssetMonthlyReturns[[#This Row],[SPY]:[PE]])</f>
        <v>-1.8237466478586146E-3</v>
      </c>
      <c r="JP119" s="27">
        <f>IF(ISNUMBER(JP118),JP118*(1+PortfolioFrontier[[#This Row],[P69 Return]]),1+PortfolioFrontier[[#This Row],[P69 Return]])</f>
        <v>2.1049938860875197</v>
      </c>
      <c r="JQ119" s="27">
        <f>MAX(JQ118,PortfolioFrontier[[#This Row],[P69 Growth]])</f>
        <v>2.1088398757417743</v>
      </c>
      <c r="JR119" s="27">
        <f>PortfolioFrontier[[#This Row],[P69 Growth]]/PortfolioFrontier[[#This Row],[P69 HWM]]-1</f>
        <v>-1.8237466478586706E-3</v>
      </c>
      <c r="JS119" s="28">
        <f>SUMPRODUCT(INDEX(PortfolioRef[[SPY]:[PE]],MATCH(JS$1,PortfolioRef[Reference '#]),0),AssetMonthlyReturns[[#This Row],[SPY]:[PE]])</f>
        <v>7.8828886573695288E-4</v>
      </c>
      <c r="JT119" s="27">
        <f>IF(ISNUMBER(JT118),JT118*(1+PortfolioFrontier[[#This Row],[P70 Return]]),1+PortfolioFrontier[[#This Row],[P70 Return]])</f>
        <v>2.1000515960008967</v>
      </c>
      <c r="JU119" s="27">
        <f>MAX(JU118,PortfolioFrontier[[#This Row],[P70 Growth]])</f>
        <v>2.1000515960008967</v>
      </c>
      <c r="JV119" s="27">
        <f>PortfolioFrontier[[#This Row],[P70 Growth]]/PortfolioFrontier[[#This Row],[P70 HWM]]-1</f>
        <v>0</v>
      </c>
      <c r="JW119" s="28">
        <f>SUMPRODUCT(INDEX(PortfolioRef[[SPY]:[PE]],MATCH(JW$1,PortfolioRef[Reference '#]),0),AssetMonthlyReturns[[#This Row],[SPY]:[PE]])</f>
        <v>-3.9778236360613539E-4</v>
      </c>
      <c r="JX119" s="27">
        <f>IF(ISNUMBER(JX118),JX118*(1+PortfolioFrontier[[#This Row],[P71 Return]]),1+PortfolioFrontier[[#This Row],[P71 Return]])</f>
        <v>2.3056297798269449</v>
      </c>
      <c r="JY119" s="27">
        <f>MAX(JY118,PortfolioFrontier[[#This Row],[P71 Growth]])</f>
        <v>2.3065472836572072</v>
      </c>
      <c r="JZ119" s="27">
        <f>PortfolioFrontier[[#This Row],[P71 Growth]]/PortfolioFrontier[[#This Row],[P71 HWM]]-1</f>
        <v>-3.9778236360599184E-4</v>
      </c>
      <c r="KA119" s="28">
        <f>SUMPRODUCT(INDEX(PortfolioRef[[SPY]:[PE]],MATCH(KA$1,PortfolioRef[Reference '#]),0),AssetMonthlyReturns[[#This Row],[SPY]:[PE]])</f>
        <v>2.2142531499894313E-3</v>
      </c>
      <c r="KB119" s="27">
        <f>IF(ISNUMBER(KB118),KB118*(1+PortfolioFrontier[[#This Row],[P72 Return]]),1+PortfolioFrontier[[#This Row],[P72 Return]])</f>
        <v>2.3007060740771039</v>
      </c>
      <c r="KC119" s="27">
        <f>MAX(KC118,PortfolioFrontier[[#This Row],[P72 Growth]])</f>
        <v>2.3007060740771039</v>
      </c>
      <c r="KD119" s="27">
        <f>PortfolioFrontier[[#This Row],[P72 Growth]]/PortfolioFrontier[[#This Row],[P72 HWM]]-1</f>
        <v>0</v>
      </c>
      <c r="KE119" s="28">
        <f>SUMPRODUCT(INDEX(PortfolioRef[[SPY]:[PE]],MATCH(KE$1,PortfolioRef[Reference '#]),0),AssetMonthlyReturns[[#This Row],[SPY]:[PE]])</f>
        <v>-3.044560190153789E-3</v>
      </c>
      <c r="KF119" s="27">
        <f>IF(ISNUMBER(KF118),KF118*(1+PortfolioFrontier[[#This Row],[P73 Return]]),1+PortfolioFrontier[[#This Row],[P73 Return]])</f>
        <v>2.2233721134293738</v>
      </c>
      <c r="KG119" s="27">
        <f>MAX(KG118,PortfolioFrontier[[#This Row],[P73 Growth]])</f>
        <v>2.2301619757984845</v>
      </c>
      <c r="KH119" s="27">
        <f>PortfolioFrontier[[#This Row],[P73 Growth]]/PortfolioFrontier[[#This Row],[P73 HWM]]-1</f>
        <v>-3.0445601901537556E-3</v>
      </c>
      <c r="KI119" s="28">
        <f>SUMPRODUCT(INDEX(PortfolioRef[[SPY]:[PE]],MATCH(KI$1,PortfolioRef[Reference '#]),0),AssetMonthlyReturns[[#This Row],[SPY]:[PE]])</f>
        <v>-4.3252467655822188E-4</v>
      </c>
      <c r="KJ119" s="27">
        <f>IF(ISNUMBER(KJ118),KJ118*(1+PortfolioFrontier[[#This Row],[P74 Return]]),1+PortfolioFrontier[[#This Row],[P74 Return]])</f>
        <v>2.220084972349655</v>
      </c>
      <c r="KK119" s="27">
        <f>MAX(KK118,PortfolioFrontier[[#This Row],[P74 Growth]])</f>
        <v>2.2210456293921288</v>
      </c>
      <c r="KL119" s="27">
        <f>PortfolioFrontier[[#This Row],[P74 Growth]]/PortfolioFrontier[[#This Row],[P74 HWM]]-1</f>
        <v>-4.3252467655818805E-4</v>
      </c>
      <c r="KM119" s="28">
        <f>SUMPRODUCT(INDEX(PortfolioRef[[SPY]:[PE]],MATCH(KM$1,PortfolioRef[Reference '#]),0),AssetMonthlyReturns[[#This Row],[SPY]:[PE]])</f>
        <v>2.1795108370373461E-3</v>
      </c>
      <c r="KN119" s="27">
        <f>IF(ISNUMBER(KN118),KN118*(1+PortfolioFrontier[[#This Row],[P75 Return]]),1+PortfolioFrontier[[#This Row],[P75 Return]])</f>
        <v>2.2148711240589671</v>
      </c>
      <c r="KO119" s="27">
        <f>MAX(KO118,PortfolioFrontier[[#This Row],[P75 Growth]])</f>
        <v>2.2148711240589671</v>
      </c>
      <c r="KP119" s="27">
        <f>PortfolioFrontier[[#This Row],[P75 Growth]]/PortfolioFrontier[[#This Row],[P75 HWM]]-1</f>
        <v>0</v>
      </c>
      <c r="KQ119" s="28">
        <f>SUMPRODUCT(INDEX(PortfolioRef[[SPY]:[PE]],MATCH(KQ$1,PortfolioRef[Reference '#]),0),AssetMonthlyReturns[[#This Row],[SPY]:[PE]])</f>
        <v>-5.6913380167014412E-3</v>
      </c>
      <c r="KR119" s="27">
        <f>IF(ISNUMBER(KR118),KR118*(1+PortfolioFrontier[[#This Row],[P76 Return]]),1+PortfolioFrontier[[#This Row],[P76 Return]])</f>
        <v>2.1419053784614044</v>
      </c>
      <c r="KS119" s="27">
        <f>MAX(KS118,PortfolioFrontier[[#This Row],[P76 Growth]])</f>
        <v>2.1541654622509787</v>
      </c>
      <c r="KT119" s="27">
        <f>PortfolioFrontier[[#This Row],[P76 Growth]]/PortfolioFrontier[[#This Row],[P76 HWM]]-1</f>
        <v>-5.6913380167015193E-3</v>
      </c>
      <c r="KU119" s="28">
        <f>SUMPRODUCT(INDEX(PortfolioRef[[SPY]:[PE]],MATCH(KU$1,PortfolioRef[Reference '#]),0),AssetMonthlyReturns[[#This Row],[SPY]:[PE]])</f>
        <v>-3.079302503105875E-3</v>
      </c>
      <c r="KV119" s="27">
        <f>IF(ISNUMBER(KV118),KV118*(1+PortfolioFrontier[[#This Row],[P77 Return]]),1+PortfolioFrontier[[#This Row],[P77 Return]])</f>
        <v>2.1401533172774987</v>
      </c>
      <c r="KW119" s="27">
        <f>MAX(KW118,PortfolioFrontier[[#This Row],[P77 Growth]])</f>
        <v>2.1467638525823327</v>
      </c>
      <c r="KX119" s="27">
        <f>PortfolioFrontier[[#This Row],[P77 Growth]]/PortfolioFrontier[[#This Row],[P77 HWM]]-1</f>
        <v>-3.0793025031058407E-3</v>
      </c>
      <c r="KY119" s="28">
        <f>SUMPRODUCT(INDEX(PortfolioRef[[SPY]:[PE]],MATCH(KY$1,PortfolioRef[Reference '#]),0),AssetMonthlyReturns[[#This Row],[SPY]:[PE]])</f>
        <v>-4.6726698951030533E-4</v>
      </c>
      <c r="KZ119" s="27">
        <f>IF(ISNUMBER(KZ118),KZ118*(1+PortfolioFrontier[[#This Row],[P78 Return]]),1+PortfolioFrontier[[#This Row],[P78 Return]])</f>
        <v>2.1365333690385961</v>
      </c>
      <c r="LA119" s="27">
        <f>MAX(LA118,PortfolioFrontier[[#This Row],[P78 Growth]])</f>
        <v>2.1375321672593728</v>
      </c>
      <c r="LB119" s="27">
        <f>PortfolioFrontier[[#This Row],[P78 Growth]]/PortfolioFrontier[[#This Row],[P78 HWM]]-1</f>
        <v>-4.6726698951027323E-4</v>
      </c>
      <c r="LC119" s="28">
        <f>SUMPRODUCT(INDEX(PortfolioRef[[SPY]:[PE]],MATCH(LC$1,PortfolioRef[Reference '#]),0),AssetMonthlyReturns[[#This Row],[SPY]:[PE]])</f>
        <v>-1.6533382188533949E-3</v>
      </c>
      <c r="LD119" s="27">
        <f>IF(ISNUMBER(LD118),LD118*(1+PortfolioFrontier[[#This Row],[P79 Return]]),1+PortfolioFrontier[[#This Row],[P79 Return]])</f>
        <v>2.3440141687651375</v>
      </c>
      <c r="LE119" s="27">
        <f>MAX(LE118,PortfolioFrontier[[#This Row],[P79 Growth]])</f>
        <v>2.3478960350137199</v>
      </c>
      <c r="LF119" s="27">
        <f>PortfolioFrontier[[#This Row],[P79 Growth]]/PortfolioFrontier[[#This Row],[P79 HWM]]-1</f>
        <v>-1.6533382188533841E-3</v>
      </c>
      <c r="LG119" s="28">
        <f>SUMPRODUCT(INDEX(PortfolioRef[[SPY]:[PE]],MATCH(LG$1,PortfolioRef[Reference '#]),0),AssetMonthlyReturns[[#This Row],[SPY]:[PE]])</f>
        <v>9.5869729474217262E-4</v>
      </c>
      <c r="LH119" s="27">
        <f>IF(ISNUMBER(LH118),LH118*(1+PortfolioFrontier[[#This Row],[P80 Return]]),1+PortfolioFrontier[[#This Row],[P80 Return]])</f>
        <v>2.3405459182364701</v>
      </c>
      <c r="LI119" s="27">
        <f>MAX(LI118,PortfolioFrontier[[#This Row],[P80 Growth]])</f>
        <v>2.3405459182364701</v>
      </c>
      <c r="LJ119" s="27">
        <f>PortfolioFrontier[[#This Row],[P80 Growth]]/PortfolioFrontier[[#This Row],[P80 HWM]]-1</f>
        <v>0</v>
      </c>
      <c r="LK119" s="28">
        <f>SUMPRODUCT(INDEX(PortfolioRef[[SPY]:[PE]],MATCH(LK$1,PortfolioRef[Reference '#]),0),AssetMonthlyReturns[[#This Row],[SPY]:[PE]])</f>
        <v>3.5707328083377406E-3</v>
      </c>
      <c r="LL119" s="27">
        <f>IF(ISNUMBER(LL118),LL118*(1+PortfolioFrontier[[#This Row],[P81 Return]]),1+PortfolioFrontier[[#This Row],[P81 Return]])</f>
        <v>2.3350477291946325</v>
      </c>
      <c r="LM119" s="27">
        <f>MAX(LM118,PortfolioFrontier[[#This Row],[P81 Growth]])</f>
        <v>2.3350477291946325</v>
      </c>
      <c r="LN119" s="27">
        <f>PortfolioFrontier[[#This Row],[P81 Growth]]/PortfolioFrontier[[#This Row],[P81 HWM]]-1</f>
        <v>0</v>
      </c>
      <c r="LO119" s="28">
        <f>SUMPRODUCT(INDEX(PortfolioRef[[SPY]:[PE]],MATCH(LO$1,PortfolioRef[Reference '#]),0),AssetMonthlyReturns[[#This Row],[SPY]:[PE]])</f>
        <v>-4.3001160454010472E-3</v>
      </c>
      <c r="LP119" s="27">
        <f>IF(ISNUMBER(LP118),LP118*(1+PortfolioFrontier[[#This Row],[P82 Return]]),1+PortfolioFrontier[[#This Row],[P82 Return]])</f>
        <v>2.2590205565328931</v>
      </c>
      <c r="LQ119" s="27">
        <f>MAX(LQ118,PortfolioFrontier[[#This Row],[P82 Growth]])</f>
        <v>2.2687765590177551</v>
      </c>
      <c r="LR119" s="27">
        <f>PortfolioFrontier[[#This Row],[P82 Growth]]/PortfolioFrontier[[#This Row],[P82 HWM]]-1</f>
        <v>-4.3001160454010368E-3</v>
      </c>
      <c r="LS119" s="28">
        <f>SUMPRODUCT(INDEX(PortfolioRef[[SPY]:[PE]],MATCH(LS$1,PortfolioRef[Reference '#]),0),AssetMonthlyReturns[[#This Row],[SPY]:[PE]])</f>
        <v>-1.688080531805481E-3</v>
      </c>
      <c r="LT119" s="27">
        <f>IF(ISNUMBER(LT118),LT118*(1+PortfolioFrontier[[#This Row],[P83 Return]]),1+PortfolioFrontier[[#This Row],[P83 Return]])</f>
        <v>2.2571691290006024</v>
      </c>
      <c r="LU119" s="27">
        <f>MAX(LU118,PortfolioFrontier[[#This Row],[P83 Growth]])</f>
        <v>2.2609858552054622</v>
      </c>
      <c r="LV119" s="27">
        <f>PortfolioFrontier[[#This Row],[P83 Growth]]/PortfolioFrontier[[#This Row],[P83 HWM]]-1</f>
        <v>-1.6880805318054692E-3</v>
      </c>
      <c r="LW119" s="28">
        <f>SUMPRODUCT(INDEX(PortfolioRef[[SPY]:[PE]],MATCH(LW$1,PortfolioRef[Reference '#]),0),AssetMonthlyReturns[[#This Row],[SPY]:[PE]])</f>
        <v>9.2395498179008786E-4</v>
      </c>
      <c r="LX119" s="27">
        <f>IF(ISNUMBER(LX118),LX118*(1+PortfolioFrontier[[#This Row],[P84 Return]]),1+PortfolioFrontier[[#This Row],[P84 Return]])</f>
        <v>2.2533489728708682</v>
      </c>
      <c r="LY119" s="27">
        <f>MAX(LY118,PortfolioFrontier[[#This Row],[P84 Growth]])</f>
        <v>2.2533489728708682</v>
      </c>
      <c r="LZ119" s="27">
        <f>PortfolioFrontier[[#This Row],[P84 Growth]]/PortfolioFrontier[[#This Row],[P84 HWM]]-1</f>
        <v>0</v>
      </c>
      <c r="MA119" s="28">
        <f>SUMPRODUCT(INDEX(PortfolioRef[[SPY]:[PE]],MATCH(MA$1,PortfolioRef[Reference '#]),0),AssetMonthlyReturns[[#This Row],[SPY]:[PE]])</f>
        <v>-6.9468938719486999E-3</v>
      </c>
      <c r="MB119" s="27">
        <f>IF(ISNUMBER(MB118),MB118*(1+PortfolioFrontier[[#This Row],[P85 Return]]),1+PortfolioFrontier[[#This Row],[P85 Return]])</f>
        <v>2.1749259780745724</v>
      </c>
      <c r="MC119" s="27">
        <f>MAX(MC118,PortfolioFrontier[[#This Row],[P85 Growth]])</f>
        <v>2.190140652753894</v>
      </c>
      <c r="MD119" s="27">
        <f>PortfolioFrontier[[#This Row],[P85 Growth]]/PortfolioFrontier[[#This Row],[P85 HWM]]-1</f>
        <v>-6.9468938719485784E-3</v>
      </c>
      <c r="ME119" s="28">
        <f>SUMPRODUCT(INDEX(PortfolioRef[[SPY]:[PE]],MATCH(ME$1,PortfolioRef[Reference '#]),0),AssetMonthlyReturns[[#This Row],[SPY]:[PE]])</f>
        <v>-4.3348583583531324E-3</v>
      </c>
      <c r="MF119" s="27">
        <f>IF(ISNUMBER(MF118),MF118*(1+PortfolioFrontier[[#This Row],[P86 Return]]),1+PortfolioFrontier[[#This Row],[P86 Return]])</f>
        <v>2.1745867042071496</v>
      </c>
      <c r="MG119" s="27">
        <f>MAX(MG118,PortfolioFrontier[[#This Row],[P86 Growth]])</f>
        <v>2.1840542701150545</v>
      </c>
      <c r="MH119" s="27">
        <f>PortfolioFrontier[[#This Row],[P86 Growth]]/PortfolioFrontier[[#This Row],[P86 HWM]]-1</f>
        <v>-4.3348583583530109E-3</v>
      </c>
      <c r="MI119" s="28">
        <f>SUMPRODUCT(INDEX(PortfolioRef[[SPY]:[PE]],MATCH(MI$1,PortfolioRef[Reference '#]),0),AssetMonthlyReturns[[#This Row],[SPY]:[PE]])</f>
        <v>-1.7228228447575648E-3</v>
      </c>
      <c r="MJ119" s="27">
        <f>IF(ISNUMBER(MJ118),MJ118*(1+PortfolioFrontier[[#This Row],[P87 Return]]),1+PortfolioFrontier[[#This Row],[P87 Return]])</f>
        <v>2.1723415914955284</v>
      </c>
      <c r="MK119" s="27">
        <f>MAX(MK118,PortfolioFrontier[[#This Row],[P87 Growth]])</f>
        <v>2.1760906101108897</v>
      </c>
      <c r="ML119" s="27">
        <f>PortfolioFrontier[[#This Row],[P87 Growth]]/PortfolioFrontier[[#This Row],[P87 HWM]]-1</f>
        <v>-1.7228228447574434E-3</v>
      </c>
      <c r="MM119" s="28">
        <f>SUMPRODUCT(INDEX(PortfolioRef[[SPY]:[PE]],MATCH(MM$1,PortfolioRef[Reference '#]),0),AssetMonthlyReturns[[#This Row],[SPY]:[PE]])</f>
        <v>-2.9088940741006535E-3</v>
      </c>
      <c r="MN119" s="27">
        <f>IF(ISNUMBER(MN118),MN118*(1+PortfolioFrontier[[#This Row],[P88 Return]]),1+PortfolioFrontier[[#This Row],[P88 Return]])</f>
        <v>2.3816008066161949</v>
      </c>
      <c r="MO119" s="27">
        <f>MAX(MO118,PortfolioFrontier[[#This Row],[P88 Growth]])</f>
        <v>2.3885488421889383</v>
      </c>
      <c r="MP119" s="27">
        <f>PortfolioFrontier[[#This Row],[P88 Growth]]/PortfolioFrontier[[#This Row],[P88 HWM]]-1</f>
        <v>-2.9088940741006653E-3</v>
      </c>
      <c r="MQ119" s="28">
        <f>SUMPRODUCT(INDEX(PortfolioRef[[SPY]:[PE]],MATCH(MQ$1,PortfolioRef[Reference '#]),0),AssetMonthlyReturns[[#This Row],[SPY]:[PE]])</f>
        <v>-2.9685856050508689E-4</v>
      </c>
      <c r="MR119" s="27">
        <f>IF(ISNUMBER(MR118),MR118*(1+PortfolioFrontier[[#This Row],[P89 Return]]),1+PortfolioFrontier[[#This Row],[P89 Return]])</f>
        <v>2.3796451682047821</v>
      </c>
      <c r="MS119" s="27">
        <f>MAX(MS118,PortfolioFrontier[[#This Row],[P89 Growth]])</f>
        <v>2.3803517960124423</v>
      </c>
      <c r="MT119" s="27">
        <f>PortfolioFrontier[[#This Row],[P89 Growth]]/PortfolioFrontier[[#This Row],[P89 HWM]]-1</f>
        <v>-2.9685856050520876E-4</v>
      </c>
      <c r="MU119" s="28">
        <f>SUMPRODUCT(INDEX(PortfolioRef[[SPY]:[PE]],MATCH(MU$1,PortfolioRef[Reference '#]),0),AssetMonthlyReturns[[#This Row],[SPY]:[PE]])</f>
        <v>2.3151769530904819E-3</v>
      </c>
      <c r="MV119" s="27">
        <f>IF(ISNUMBER(MV118),MV118*(1+PortfolioFrontier[[#This Row],[P90 Return]]),1+PortfolioFrontier[[#This Row],[P90 Return]])</f>
        <v>2.3756153087630842</v>
      </c>
      <c r="MW119" s="27">
        <f>MAX(MW118,PortfolioFrontier[[#This Row],[P90 Growth]])</f>
        <v>2.3756153087630842</v>
      </c>
      <c r="MX119" s="27">
        <f>PortfolioFrontier[[#This Row],[P90 Growth]]/PortfolioFrontier[[#This Row],[P90 HWM]]-1</f>
        <v>0</v>
      </c>
      <c r="MY119" s="28">
        <f>SUMPRODUCT(INDEX(PortfolioRef[[SPY]:[PE]],MATCH(MY$1,PortfolioRef[Reference '#]),0),AssetMonthlyReturns[[#This Row],[SPY]:[PE]])</f>
        <v>-5.5556719006483058E-3</v>
      </c>
      <c r="MZ119" s="27">
        <f>IF(ISNUMBER(MZ118),MZ118*(1+PortfolioFrontier[[#This Row],[P91 Return]]),1+PortfolioFrontier[[#This Row],[P91 Return]])</f>
        <v>2.2938509239223088</v>
      </c>
      <c r="NA119" s="27">
        <f>MAX(NA118,PortfolioFrontier[[#This Row],[P91 Growth]])</f>
        <v>2.3066660034216997</v>
      </c>
      <c r="NB119" s="27">
        <f>PortfolioFrontier[[#This Row],[P91 Growth]]/PortfolioFrontier[[#This Row],[P91 HWM]]-1</f>
        <v>-5.555671900648429E-3</v>
      </c>
      <c r="NC119" s="28">
        <f>SUMPRODUCT(INDEX(PortfolioRef[[SPY]:[PE]],MATCH(NC$1,PortfolioRef[Reference '#]),0),AssetMonthlyReturns[[#This Row],[SPY]:[PE]])</f>
        <v>-2.9436363870527396E-3</v>
      </c>
      <c r="ND119" s="27">
        <f>IF(ISNUMBER(ND118),ND118*(1+PortfolioFrontier[[#This Row],[P92 Return]]),1+PortfolioFrontier[[#This Row],[P92 Return]])</f>
        <v>2.2934885353908174</v>
      </c>
      <c r="NE119" s="27">
        <f>MAX(NE118,PortfolioFrontier[[#This Row],[P92 Growth]])</f>
        <v>2.3002596634357766</v>
      </c>
      <c r="NF119" s="27">
        <f>PortfolioFrontier[[#This Row],[P92 Growth]]/PortfolioFrontier[[#This Row],[P92 HWM]]-1</f>
        <v>-2.9436363870527504E-3</v>
      </c>
      <c r="NG119" s="28">
        <f>SUMPRODUCT(INDEX(PortfolioRef[[SPY]:[PE]],MATCH(NG$1,PortfolioRef[Reference '#]),0),AssetMonthlyReturns[[#This Row],[SPY]:[PE]])</f>
        <v>-3.3160087345717165E-4</v>
      </c>
      <c r="NH119" s="27">
        <f>IF(ISNUMBER(NH118),NH118*(1+PortfolioFrontier[[#This Row],[P93 Return]]),1+PortfolioFrontier[[#This Row],[P93 Return]])</f>
        <v>2.2911174066500455</v>
      </c>
      <c r="NI119" s="27">
        <f>MAX(NI118,PortfolioFrontier[[#This Row],[P93 Growth]])</f>
        <v>2.2918773951961491</v>
      </c>
      <c r="NJ119" s="27">
        <f>PortfolioFrontier[[#This Row],[P93 Growth]]/PortfolioFrontier[[#This Row],[P93 HWM]]-1</f>
        <v>-3.316008734570719E-4</v>
      </c>
      <c r="NK119" s="28">
        <f>SUMPRODUCT(INDEX(PortfolioRef[[SPY]:[PE]],MATCH(NK$1,PortfolioRef[Reference '#]),0),AssetMonthlyReturns[[#This Row],[SPY]:[PE]])</f>
        <v>-8.2024497271959585E-3</v>
      </c>
      <c r="NL119" s="27">
        <f>IF(ISNUMBER(NL118),NL118*(1+PortfolioFrontier[[#This Row],[P94 Return]]),1+PortfolioFrontier[[#This Row],[P94 Return]])</f>
        <v>2.2071126735025719</v>
      </c>
      <c r="NM119" s="27">
        <f>MAX(NM118,PortfolioFrontier[[#This Row],[P94 Growth]])</f>
        <v>2.2253661272862422</v>
      </c>
      <c r="NN119" s="27">
        <f>PortfolioFrontier[[#This Row],[P94 Growth]]/PortfolioFrontier[[#This Row],[P94 HWM]]-1</f>
        <v>-8.2024497271959707E-3</v>
      </c>
      <c r="NO119" s="28">
        <f>SUMPRODUCT(INDEX(PortfolioRef[[SPY]:[PE]],MATCH(NO$1,PortfolioRef[Reference '#]),0),AssetMonthlyReturns[[#This Row],[SPY]:[PE]])</f>
        <v>-5.5904142136003927E-3</v>
      </c>
      <c r="NP119" s="27">
        <f>IF(ISNUMBER(NP118),NP118*(1+PortfolioFrontier[[#This Row],[P95 Return]]),1+PortfolioFrontier[[#This Row],[P95 Return]])</f>
        <v>2.2082357621063626</v>
      </c>
      <c r="NQ119" s="27">
        <f>MAX(NQ118,PortfolioFrontier[[#This Row],[P95 Growth]])</f>
        <v>2.2206501160787226</v>
      </c>
      <c r="NR119" s="27">
        <f>PortfolioFrontier[[#This Row],[P95 Growth]]/PortfolioFrontier[[#This Row],[P95 HWM]]-1</f>
        <v>-5.5904142136005142E-3</v>
      </c>
      <c r="NS119" s="28">
        <f>SUMPRODUCT(INDEX(PortfolioRef[[SPY]:[PE]],MATCH(NS$1,PortfolioRef[Reference '#]),0),AssetMonthlyReturns[[#This Row],[SPY]:[PE]])</f>
        <v>-2.9783787000048235E-3</v>
      </c>
      <c r="NT119" s="27">
        <f>IF(ISNUMBER(NT118),NT118*(1+PortfolioFrontier[[#This Row],[P96 Return]]),1+PortfolioFrontier[[#This Row],[P96 Return]])</f>
        <v>2.2074171139647252</v>
      </c>
      <c r="NU119" s="27">
        <f>MAX(NU118,PortfolioFrontier[[#This Row],[P96 Growth]])</f>
        <v>2.214011277996681</v>
      </c>
      <c r="NV119" s="27">
        <f>PortfolioFrontier[[#This Row],[P96 Growth]]/PortfolioFrontier[[#This Row],[P96 HWM]]-1</f>
        <v>-2.9783787000048356E-3</v>
      </c>
      <c r="NW119" s="28">
        <f>SUMPRODUCT(INDEX(PortfolioRef[[SPY]:[PE]],MATCH(NW$1,PortfolioRef[Reference '#]),0),AssetMonthlyReturns[[#This Row],[SPY]:[PE]])</f>
        <v>-2.1216655656799478E-3</v>
      </c>
      <c r="NX119" s="27">
        <f>IF(ISNUMBER(NX118),NX118*(1+PortfolioFrontier[[#This Row],[P97 Return]]),1+PortfolioFrontier[[#This Row],[P97 Return]])</f>
        <v>1.9174870405060584</v>
      </c>
      <c r="NY119" s="27">
        <f>MAX(NY118,PortfolioFrontier[[#This Row],[P97 Growth]])</f>
        <v>1.9215639565849965</v>
      </c>
      <c r="NZ119" s="27">
        <f>PortfolioFrontier[[#This Row],[P97 Growth]]/PortfolioFrontier[[#This Row],[P97 HWM]]-1</f>
        <v>-2.1216655656799421E-3</v>
      </c>
      <c r="OA119" s="28">
        <f>SUMPRODUCT(INDEX(PortfolioRef[[SPY]:[PE]],MATCH(OA$1,PortfolioRef[Reference '#]),0),AssetMonthlyReturns[[#This Row],[SPY]:[PE]])</f>
        <v>-7.3044359437955415E-4</v>
      </c>
      <c r="OB119" s="27">
        <f>IF(ISNUMBER(OB118),OB118*(1+PortfolioFrontier[[#This Row],[P98 Return]]),1+PortfolioFrontier[[#This Row],[P98 Return]])</f>
        <v>2.0223255243456872</v>
      </c>
      <c r="OC119" s="27">
        <f>MAX(OC118,PortfolioFrontier[[#This Row],[P98 Growth]])</f>
        <v>2.0238037988668505</v>
      </c>
      <c r="OD119" s="27">
        <f>PortfolioFrontier[[#This Row],[P98 Growth]]/PortfolioFrontier[[#This Row],[P98 HWM]]-1</f>
        <v>-7.3044359437957063E-4</v>
      </c>
      <c r="OE119" s="28">
        <f>SUMPRODUCT(INDEX(PortfolioRef[[SPY]:[PE]],MATCH(OE$1,PortfolioRef[Reference '#]),0),AssetMonthlyReturns[[#This Row],[SPY]:[PE]])</f>
        <v>-3.3772214209272064E-3</v>
      </c>
      <c r="OF119" s="27">
        <f>IF(ISNUMBER(OF118),OF118*(1+PortfolioFrontier[[#This Row],[P99 Return]]),1+PortfolioFrontier[[#This Row],[P99 Return]])</f>
        <v>1.9513589255256021</v>
      </c>
      <c r="OG119" s="27">
        <f>MAX(OG118,PortfolioFrontier[[#This Row],[P99 Growth]])</f>
        <v>1.9579714285757517</v>
      </c>
      <c r="OH119" s="27">
        <f>PortfolioFrontier[[#This Row],[P99 Growth]]/PortfolioFrontier[[#This Row],[P99 HWM]]-1</f>
        <v>-3.3772214209272233E-3</v>
      </c>
      <c r="OI119" s="28">
        <f>SUMPRODUCT(INDEX(PortfolioRef[[SPY]:[PE]],MATCH(OI$1,PortfolioRef[Reference '#]),0),AssetMonthlyReturns[[#This Row],[SPY]:[PE]])</f>
        <v>-7.6518590733163977E-4</v>
      </c>
      <c r="OJ119" s="27">
        <f>IF(ISNUMBER(OJ118),OJ118*(1+PortfolioFrontier[[#This Row],[P100 Return]]),1+PortfolioFrontier[[#This Row],[P100 Return]])</f>
        <v>1.946463432542141</v>
      </c>
      <c r="OK119" s="27">
        <f>MAX(OK118,PortfolioFrontier[[#This Row],[P100 Growth]])</f>
        <v>1.9479539794753662</v>
      </c>
      <c r="OL119" s="27">
        <f>PortfolioFrontier[[#This Row],[P100 Growth]]/PortfolioFrontier[[#This Row],[P100 HWM]]-1</f>
        <v>-7.6518590733165581E-4</v>
      </c>
      <c r="OM119" s="28">
        <f>SUMPRODUCT(INDEX(PortfolioRef[[SPY]:[PE]],MATCH(OM$1,PortfolioRef[Reference '#]),0),AssetMonthlyReturns[[#This Row],[SPY]:[PE]])</f>
        <v>6.6077837692084035E-4</v>
      </c>
      <c r="ON119" s="27">
        <f>IF(ISNUMBER(ON118),ON118*(1+PortfolioFrontier[[#This Row],[P101 Return]]),1+PortfolioFrontier[[#This Row],[P101 Return]])</f>
        <v>2.1320535947145087</v>
      </c>
      <c r="OO119" s="27">
        <f>MAX(OO118,PortfolioFrontier[[#This Row],[P101 Growth]])</f>
        <v>2.1320535947145087</v>
      </c>
      <c r="OP119" s="27">
        <f>PortfolioFrontier[[#This Row],[P101 Growth]]/PortfolioFrontier[[#This Row],[P101 HWM]]-1</f>
        <v>0</v>
      </c>
      <c r="OQ119" s="28">
        <f>SUMPRODUCT(INDEX(PortfolioRef[[SPY]:[PE]],MATCH(OQ$1,PortfolioRef[Reference '#]),0),AssetMonthlyReturns[[#This Row],[SPY]:[PE]])</f>
        <v>-1.9859994496268124E-3</v>
      </c>
      <c r="OR119" s="27">
        <f>IF(ISNUMBER(OR118),OR118*(1+PortfolioFrontier[[#This Row],[P102 Return]]),1+PortfolioFrontier[[#This Row],[P102 Return]])</f>
        <v>2.0580502932815259</v>
      </c>
      <c r="OS119" s="27">
        <f>MAX(OS118,PortfolioFrontier[[#This Row],[P102 Growth]])</f>
        <v>2.0621457135336541</v>
      </c>
      <c r="OT119" s="27">
        <f>PortfolioFrontier[[#This Row],[P102 Growth]]/PortfolioFrontier[[#This Row],[P102 HWM]]-1</f>
        <v>-1.9859994496268518E-3</v>
      </c>
      <c r="OU119" s="28">
        <f>SUMPRODUCT(INDEX(PortfolioRef[[SPY]:[PE]],MATCH(OU$1,PortfolioRef[Reference '#]),0),AssetMonthlyReturns[[#This Row],[SPY]:[PE]])</f>
        <v>6.2603606396875386E-4</v>
      </c>
      <c r="OV119" s="27">
        <f>IF(ISNUMBER(OV118),OV118*(1+PortfolioFrontier[[#This Row],[P103 Return]]),1+PortfolioFrontier[[#This Row],[P103 Return]])</f>
        <v>2.0528859850153616</v>
      </c>
      <c r="OW119" s="27">
        <f>MAX(OW118,PortfolioFrontier[[#This Row],[P103 Growth]])</f>
        <v>2.0528859850153616</v>
      </c>
      <c r="OX119" s="27">
        <f>PortfolioFrontier[[#This Row],[P103 Growth]]/PortfolioFrontier[[#This Row],[P103 HWM]]-1</f>
        <v>0</v>
      </c>
      <c r="OY119" s="28">
        <f>SUMPRODUCT(INDEX(PortfolioRef[[SPY]:[PE]],MATCH(OY$1,PortfolioRef[Reference '#]),0),AssetMonthlyReturns[[#This Row],[SPY]:[PE]])</f>
        <v>-4.6327772761744646E-3</v>
      </c>
      <c r="OZ119" s="27">
        <f>IF(ISNUMBER(OZ118),OZ118*(1+PortfolioFrontier[[#This Row],[P104 Return]]),1+PortfolioFrontier[[#This Row],[P104 Return]])</f>
        <v>1.9846364048896274</v>
      </c>
      <c r="PA119" s="27">
        <f>MAX(PA118,PortfolioFrontier[[#This Row],[P104 Growth]])</f>
        <v>1.9938735770891307</v>
      </c>
      <c r="PB119" s="27">
        <f>PortfolioFrontier[[#This Row],[P104 Growth]]/PortfolioFrontier[[#This Row],[P104 HWM]]-1</f>
        <v>-4.6327772761745045E-3</v>
      </c>
      <c r="PC119" s="28">
        <f>SUMPRODUCT(INDEX(PortfolioRef[[SPY]:[PE]],MATCH(PC$1,PortfolioRef[Reference '#]),0),AssetMonthlyReturns[[#This Row],[SPY]:[PE]])</f>
        <v>-2.0207417625788984E-3</v>
      </c>
      <c r="PD119" s="27">
        <f>IF(ISNUMBER(PD118),PD118*(1+PortfolioFrontier[[#This Row],[P105 Return]]),1+PortfolioFrontier[[#This Row],[P105 Return]])</f>
        <v>1.9809581317483744</v>
      </c>
      <c r="PE119" s="27">
        <f>MAX(PE118,PortfolioFrontier[[#This Row],[P105 Growth]])</f>
        <v>1.9849692419931046</v>
      </c>
      <c r="PF119" s="27">
        <f>PortfolioFrontier[[#This Row],[P105 Growth]]/PortfolioFrontier[[#This Row],[P105 HWM]]-1</f>
        <v>-2.020741762578937E-3</v>
      </c>
      <c r="PG119" s="28">
        <f>SUMPRODUCT(INDEX(PortfolioRef[[SPY]:[PE]],MATCH(PG$1,PortfolioRef[Reference '#]),0),AssetMonthlyReturns[[#This Row],[SPY]:[PE]])</f>
        <v>5.9129375101666997E-4</v>
      </c>
      <c r="PH119" s="27">
        <f>IF(ISNUMBER(PH118),PH118*(1+PortfolioFrontier[[#This Row],[P106 Return]]),1+PortfolioFrontier[[#This Row],[P106 Return]])</f>
        <v>1.9755647781475991</v>
      </c>
      <c r="PI119" s="27">
        <f>MAX(PI118,PortfolioFrontier[[#This Row],[P106 Growth]])</f>
        <v>1.9755647781475991</v>
      </c>
      <c r="PJ119" s="27">
        <f>PortfolioFrontier[[#This Row],[P106 Growth]]/PortfolioFrontier[[#This Row],[P106 HWM]]-1</f>
        <v>0</v>
      </c>
      <c r="PK119" s="28">
        <f>SUMPRODUCT(INDEX(PortfolioRef[[SPY]:[PE]],MATCH(PK$1,PortfolioRef[Reference '#]),0),AssetMonthlyReturns[[#This Row],[SPY]:[PE]])</f>
        <v>-5.947774783264183E-4</v>
      </c>
      <c r="PL119" s="27">
        <f>IF(ISNUMBER(PL118),PL118*(1+PortfolioFrontier[[#This Row],[P107 Return]]),1+PortfolioFrontier[[#This Row],[P107 Return]])</f>
        <v>2.1697181332049178</v>
      </c>
      <c r="PM119" s="27">
        <f>MAX(PM118,PortfolioFrontier[[#This Row],[P107 Growth]])</f>
        <v>2.1710094007016898</v>
      </c>
      <c r="PN119" s="27">
        <f>PortfolioFrontier[[#This Row],[P107 Growth]]/PortfolioFrontier[[#This Row],[P107 HWM]]-1</f>
        <v>-5.9477747832625827E-4</v>
      </c>
      <c r="PO119" s="28">
        <f>SUMPRODUCT(INDEX(PortfolioRef[[SPY]:[PE]],MATCH(PO$1,PortfolioRef[Reference '#]),0),AssetMonthlyReturns[[#This Row],[SPY]:[PE]])</f>
        <v>2.0172580352691484E-3</v>
      </c>
      <c r="PP119" s="27">
        <f>IF(ISNUMBER(PP118),PP118*(1+PortfolioFrontier[[#This Row],[P108 Return]]),1+PortfolioFrontier[[#This Row],[P108 Return]])</f>
        <v>2.1642723691757215</v>
      </c>
      <c r="PQ119" s="27">
        <f>MAX(PQ118,PortfolioFrontier[[#This Row],[P108 Growth]])</f>
        <v>2.1642723691757215</v>
      </c>
      <c r="PR119" s="27">
        <f>PortfolioFrontier[[#This Row],[P108 Growth]]/PortfolioFrontier[[#This Row],[P108 HWM]]-1</f>
        <v>0</v>
      </c>
      <c r="PS119" s="28">
        <f>SUMPRODUCT(INDEX(PortfolioRef[[SPY]:[PE]],MATCH(PS$1,PortfolioRef[Reference '#]),0),AssetMonthlyReturns[[#This Row],[SPY]:[PE]])</f>
        <v>-3.2415553048740727E-3</v>
      </c>
      <c r="PT119" s="27">
        <f>IF(ISNUMBER(PT118),PT118*(1+PortfolioFrontier[[#This Row],[P109 Return]]),1+PortfolioFrontier[[#This Row],[P109 Return]])</f>
        <v>2.0931490195741458</v>
      </c>
      <c r="PU119" s="27">
        <f>MAX(PU118,PortfolioFrontier[[#This Row],[P109 Growth]])</f>
        <v>2.0999561435512772</v>
      </c>
      <c r="PV119" s="27">
        <f>PortfolioFrontier[[#This Row],[P109 Growth]]/PortfolioFrontier[[#This Row],[P109 HWM]]-1</f>
        <v>-3.241555304874022E-3</v>
      </c>
      <c r="PW119" s="28">
        <f>SUMPRODUCT(INDEX(PortfolioRef[[SPY]:[PE]],MATCH(PW$1,PortfolioRef[Reference '#]),0),AssetMonthlyReturns[[#This Row],[SPY]:[PE]])</f>
        <v>-6.2951979127850478E-4</v>
      </c>
      <c r="PX119" s="27">
        <f>IF(ISNUMBER(PX118),PX118*(1+PortfolioFrontier[[#This Row],[P110 Return]]),1+PortfolioFrontier[[#This Row],[P110 Return]])</f>
        <v>2.0892676065586735</v>
      </c>
      <c r="PY119" s="27">
        <f>MAX(PY118,PortfolioFrontier[[#This Row],[P110 Growth]])</f>
        <v>2.0905836703544853</v>
      </c>
      <c r="PZ119" s="27">
        <f>PortfolioFrontier[[#This Row],[P110 Growth]]/PortfolioFrontier[[#This Row],[P110 HWM]]-1</f>
        <v>-6.295197912785655E-4</v>
      </c>
      <c r="QA119" s="28">
        <f>SUMPRODUCT(INDEX(PortfolioRef[[SPY]:[PE]],MATCH(QA$1,PortfolioRef[Reference '#]),0),AssetMonthlyReturns[[#This Row],[SPY]:[PE]])</f>
        <v>1.9825157223170632E-3</v>
      </c>
      <c r="QB119" s="27">
        <f>IF(ISNUMBER(QB118),QB118*(1+PortfolioFrontier[[#This Row],[P111 Return]]),1+PortfolioFrontier[[#This Row],[P111 Return]])</f>
        <v>2.0835785308498385</v>
      </c>
      <c r="QC119" s="27">
        <f>MAX(QC118,PortfolioFrontier[[#This Row],[P111 Growth]])</f>
        <v>2.0835785308498385</v>
      </c>
      <c r="QD119" s="27">
        <f>PortfolioFrontier[[#This Row],[P111 Growth]]/PortfolioFrontier[[#This Row],[P111 HWM]]-1</f>
        <v>0</v>
      </c>
      <c r="QE119" s="28">
        <f>SUMPRODUCT(INDEX(PortfolioRef[[SPY]:[PE]],MATCH(QE$1,PortfolioRef[Reference '#]),0),AssetMonthlyReturns[[#This Row],[SPY]:[PE]])</f>
        <v>-5.8883331314217233E-3</v>
      </c>
      <c r="QF119" s="27">
        <f>IF(ISNUMBER(QF118),QF118*(1+PortfolioFrontier[[#This Row],[P112 Return]]),1+PortfolioFrontier[[#This Row],[P112 Return]])</f>
        <v>2.0172650986519858</v>
      </c>
      <c r="QG119" s="27">
        <f>MAX(QG118,PortfolioFrontier[[#This Row],[P112 Growth]])</f>
        <v>2.0292137854153847</v>
      </c>
      <c r="QH119" s="27">
        <f>PortfolioFrontier[[#This Row],[P112 Growth]]/PortfolioFrontier[[#This Row],[P112 HWM]]-1</f>
        <v>-5.8883331314215637E-3</v>
      </c>
      <c r="QI119" s="28">
        <f>SUMPRODUCT(INDEX(PortfolioRef[[SPY]:[PE]],MATCH(QI$1,PortfolioRef[Reference '#]),0),AssetMonthlyReturns[[#This Row],[SPY]:[PE]])</f>
        <v>-3.2762976178261571E-3</v>
      </c>
      <c r="QJ119" s="27">
        <f>IF(ISNUMBER(QJ118),QJ118*(1+PortfolioFrontier[[#This Row],[P113 Return]]),1+PortfolioFrontier[[#This Row],[P113 Return]])</f>
        <v>2.0148534874540371</v>
      </c>
      <c r="QK119" s="27">
        <f>MAX(QK118,PortfolioFrontier[[#This Row],[P113 Growth]])</f>
        <v>2.021476445918291</v>
      </c>
      <c r="QL119" s="27">
        <f>PortfolioFrontier[[#This Row],[P113 Growth]]/PortfolioFrontier[[#This Row],[P113 HWM]]-1</f>
        <v>-3.2762976178262182E-3</v>
      </c>
      <c r="QM119" s="28">
        <f>SUMPRODUCT(INDEX(PortfolioRef[[SPY]:[PE]],MATCH(QM$1,PortfolioRef[Reference '#]),0),AssetMonthlyReturns[[#This Row],[SPY]:[PE]])</f>
        <v>-6.642621042305891E-4</v>
      </c>
      <c r="QN119" s="27">
        <f>IF(ISNUMBER(QN118),QN118*(1+PortfolioFrontier[[#This Row],[P114 Return]]),1+PortfolioFrontier[[#This Row],[P114 Return]])</f>
        <v>2.010687850963059</v>
      </c>
      <c r="QO119" s="27">
        <f>MAX(QO118,PortfolioFrontier[[#This Row],[P114 Growth]])</f>
        <v>2.0120243624998562</v>
      </c>
      <c r="QP119" s="27">
        <f>PortfolioFrontier[[#This Row],[P114 Growth]]/PortfolioFrontier[[#This Row],[P114 HWM]]-1</f>
        <v>-6.6426210423042864E-4</v>
      </c>
      <c r="QQ119" s="28">
        <f>SUMPRODUCT(INDEX(PortfolioRef[[SPY]:[PE]],MATCH(QQ$1,PortfolioRef[Reference '#]),0),AssetMonthlyReturns[[#This Row],[SPY]:[PE]])</f>
        <v>-1.8503333335736778E-3</v>
      </c>
      <c r="QR119" s="27">
        <f>IF(ISNUMBER(QR118),QR118*(1+PortfolioFrontier[[#This Row],[P115 Return]]),1+PortfolioFrontier[[#This Row],[P115 Return]])</f>
        <v>2.2067235670805312</v>
      </c>
      <c r="QS119" s="27">
        <f>MAX(QS118,PortfolioFrontier[[#This Row],[P115 Growth]])</f>
        <v>2.2108143104935789</v>
      </c>
      <c r="QT119" s="27">
        <f>PortfolioFrontier[[#This Row],[P115 Growth]]/PortfolioFrontier[[#This Row],[P115 HWM]]-1</f>
        <v>-1.8503333335735395E-3</v>
      </c>
      <c r="QU119" s="28">
        <f>SUMPRODUCT(INDEX(PortfolioRef[[SPY]:[PE]],MATCH(QU$1,PortfolioRef[Reference '#]),0),AssetMonthlyReturns[[#This Row],[SPY]:[PE]])</f>
        <v>7.6170218002188971E-4</v>
      </c>
      <c r="QV119" s="27">
        <f>IF(ISNUMBER(QV118),QV118*(1+PortfolioFrontier[[#This Row],[P116 Return]]),1+PortfolioFrontier[[#This Row],[P116 Return]])</f>
        <v>2.2026293983267227</v>
      </c>
      <c r="QW119" s="27">
        <f>MAX(QW118,PortfolioFrontier[[#This Row],[P116 Growth]])</f>
        <v>2.2026293983267227</v>
      </c>
      <c r="QX119" s="27">
        <f>PortfolioFrontier[[#This Row],[P116 Growth]]/PortfolioFrontier[[#This Row],[P116 HWM]]-1</f>
        <v>0</v>
      </c>
      <c r="QY119" s="28">
        <f>SUMPRODUCT(INDEX(PortfolioRef[[SPY]:[PE]],MATCH(QY$1,PortfolioRef[Reference '#]),0),AssetMonthlyReturns[[#This Row],[SPY]:[PE]])</f>
        <v>3.3737376936174577E-3</v>
      </c>
      <c r="QZ119" s="27">
        <f>IF(ISNUMBER(QZ118),QZ118*(1+PortfolioFrontier[[#This Row],[P117 Return]]),1+PortfolioFrontier[[#This Row],[P117 Return]])</f>
        <v>2.1966307163336549</v>
      </c>
      <c r="RA119" s="27">
        <f>MAX(RA118,PortfolioFrontier[[#This Row],[P117 Growth]])</f>
        <v>2.1966307163336549</v>
      </c>
      <c r="RB119" s="27">
        <f>PortfolioFrontier[[#This Row],[P117 Growth]]/PortfolioFrontier[[#This Row],[P117 HWM]]-1</f>
        <v>0</v>
      </c>
      <c r="RC119" s="28">
        <f>SUMPRODUCT(INDEX(PortfolioRef[[SPY]:[PE]],MATCH(RC$1,PortfolioRef[Reference '#]),0),AssetMonthlyReturns[[#This Row],[SPY]:[PE]])</f>
        <v>-4.4971111601213309E-3</v>
      </c>
      <c r="RD119" s="27">
        <f>IF(ISNUMBER(RD118),RD118*(1+PortfolioFrontier[[#This Row],[P118 Return]]),1+PortfolioFrontier[[#This Row],[P118 Return]])</f>
        <v>2.1275643908857562</v>
      </c>
      <c r="RE119" s="27">
        <f>MAX(RE118,PortfolioFrontier[[#This Row],[P118 Growth]])</f>
        <v>2.1371755067081111</v>
      </c>
      <c r="RF119" s="27">
        <f>PortfolioFrontier[[#This Row],[P118 Growth]]/PortfolioFrontier[[#This Row],[P118 HWM]]-1</f>
        <v>-4.4971111601213032E-3</v>
      </c>
      <c r="RG119" s="28">
        <f>SUMPRODUCT(INDEX(PortfolioRef[[SPY]:[PE]],MATCH(RG$1,PortfolioRef[Reference '#]),0),AssetMonthlyReturns[[#This Row],[SPY]:[PE]])</f>
        <v>-1.8850756465257647E-3</v>
      </c>
      <c r="RH119" s="27">
        <f>IF(ISNUMBER(RH118),RH118*(1+PortfolioFrontier[[#This Row],[P119 Return]]),1+PortfolioFrontier[[#This Row],[P119 Return]])</f>
        <v>2.1250179909106515</v>
      </c>
      <c r="RI119" s="27">
        <f>MAX(RI118,PortfolioFrontier[[#This Row],[P119 Growth]])</f>
        <v>2.1290313761084425</v>
      </c>
      <c r="RJ119" s="27">
        <f>PortfolioFrontier[[#This Row],[P119 Growth]]/PortfolioFrontier[[#This Row],[P119 HWM]]-1</f>
        <v>-1.8850756465256246E-3</v>
      </c>
      <c r="RK119" s="28">
        <f>SUMPRODUCT(INDEX(PortfolioRef[[SPY]:[PE]],MATCH(RK$1,PortfolioRef[Reference '#]),0),AssetMonthlyReturns[[#This Row],[SPY]:[PE]])</f>
        <v>7.2695986706980452E-4</v>
      </c>
      <c r="RL119" s="27">
        <f>IF(ISNUMBER(RL118),RL118*(1+PortfolioFrontier[[#This Row],[P120 Return]]),1+PortfolioFrontier[[#This Row],[P120 Return]])</f>
        <v>2.120622873504745</v>
      </c>
      <c r="RM119" s="27">
        <f>MAX(RM118,PortfolioFrontier[[#This Row],[P120 Growth]])</f>
        <v>2.120622873504745</v>
      </c>
      <c r="RN119" s="27">
        <f>PortfolioFrontier[[#This Row],[P120 Growth]]/PortfolioFrontier[[#This Row],[P120 HWM]]-1</f>
        <v>0</v>
      </c>
      <c r="RO119" s="28">
        <f>SUMPRODUCT(INDEX(PortfolioRef[[SPY]:[PE]],MATCH(RO$1,PortfolioRef[Reference '#]),0),AssetMonthlyReturns[[#This Row],[SPY]:[PE]])</f>
        <v>-7.1438889866689819E-3</v>
      </c>
      <c r="RP119" s="27">
        <f>IF(ISNUMBER(RP118),RP118*(1+PortfolioFrontier[[#This Row],[P121 Return]]),1+PortfolioFrontier[[#This Row],[P121 Return]])</f>
        <v>2.0491904720767198</v>
      </c>
      <c r="RQ119" s="27">
        <f>MAX(RQ118,PortfolioFrontier[[#This Row],[P121 Growth]])</f>
        <v>2.0639349945535113</v>
      </c>
      <c r="RR119" s="27">
        <f>PortfolioFrontier[[#This Row],[P121 Growth]]/PortfolioFrontier[[#This Row],[P121 HWM]]-1</f>
        <v>-7.1438889866689559E-3</v>
      </c>
      <c r="RS119" s="28">
        <f>SUMPRODUCT(INDEX(PortfolioRef[[SPY]:[PE]],MATCH(RS$1,PortfolioRef[Reference '#]),0),AssetMonthlyReturns[[#This Row],[SPY]:[PE]])</f>
        <v>-4.5318534730734161E-3</v>
      </c>
      <c r="RT119" s="27">
        <f>IF(ISNUMBER(RT118),RT118*(1+PortfolioFrontier[[#This Row],[P122 Return]]),1+PortfolioFrontier[[#This Row],[P122 Return]])</f>
        <v>2.0480942178857671</v>
      </c>
      <c r="RU119" s="27">
        <f>MAX(RU118,PortfolioFrontier[[#This Row],[P122 Growth]])</f>
        <v>2.0574181354082812</v>
      </c>
      <c r="RV119" s="27">
        <f>PortfolioFrontier[[#This Row],[P122 Growth]]/PortfolioFrontier[[#This Row],[P122 HWM]]-1</f>
        <v>-4.5318534730733884E-3</v>
      </c>
      <c r="RW119" s="28">
        <f>SUMPRODUCT(INDEX(PortfolioRef[[SPY]:[PE]],MATCH(RW$1,PortfolioRef[Reference '#]),0),AssetMonthlyReturns[[#This Row],[SPY]:[PE]])</f>
        <v>-1.9198179594778477E-3</v>
      </c>
      <c r="RX119" s="27">
        <f>IF(ISNUMBER(RX118),RX118*(1+PortfolioFrontier[[#This Row],[P123 Return]]),1+PortfolioFrontier[[#This Row],[P123 Return]])</f>
        <v>2.0452067259484763</v>
      </c>
      <c r="RY119" s="27">
        <f>MAX(RY118,PortfolioFrontier[[#This Row],[P123 Growth]])</f>
        <v>2.0491407030717306</v>
      </c>
      <c r="RZ119" s="27">
        <f>PortfolioFrontier[[#This Row],[P123 Growth]]/PortfolioFrontier[[#This Row],[P123 HWM]]-1</f>
        <v>-1.9198179594779319E-3</v>
      </c>
      <c r="SA119" s="28">
        <f>SUMPRODUCT(INDEX(PortfolioRef[[SPY]:[PE]],MATCH(SA$1,PortfolioRef[Reference '#]),0),AssetMonthlyReturns[[#This Row],[SPY]:[PE]])</f>
        <v>-3.1058891888209364E-3</v>
      </c>
      <c r="SB119" s="27">
        <f>IF(ISNUMBER(SB118),SB118*(1+PortfolioFrontier[[#This Row],[P124 Return]]),1+PortfolioFrontier[[#This Row],[P124 Return]])</f>
        <v>2.2430095162099537</v>
      </c>
      <c r="SC119" s="27">
        <f>MAX(SC118,PortfolioFrontier[[#This Row],[P124 Growth]])</f>
        <v>2.2499977599273833</v>
      </c>
      <c r="SD119" s="27">
        <f>PortfolioFrontier[[#This Row],[P124 Growth]]/PortfolioFrontier[[#This Row],[P124 HWM]]-1</f>
        <v>-3.1058891888208207E-3</v>
      </c>
      <c r="SE119" s="28">
        <f>SUMPRODUCT(INDEX(PortfolioRef[[SPY]:[PE]],MATCH(SE$1,PortfolioRef[Reference '#]),0),AssetMonthlyReturns[[#This Row],[SPY]:[PE]])</f>
        <v>-4.938536752253698E-4</v>
      </c>
      <c r="SF119" s="27">
        <f>IF(ISNUMBER(SF118),SF118*(1+PortfolioFrontier[[#This Row],[P125 Return]]),1+PortfolioFrontier[[#This Row],[P125 Return]])</f>
        <v>2.2403218603343236</v>
      </c>
      <c r="SG119" s="27">
        <f>MAX(SG118,PortfolioFrontier[[#This Row],[P125 Growth]])</f>
        <v>2.2414287981840628</v>
      </c>
      <c r="SH119" s="27">
        <f>PortfolioFrontier[[#This Row],[P125 Growth]]/PortfolioFrontier[[#This Row],[P125 HWM]]-1</f>
        <v>-4.9385367522536416E-4</v>
      </c>
      <c r="SI119" s="28">
        <f>SUMPRODUCT(INDEX(PortfolioRef[[SPY]:[PE]],MATCH(SI$1,PortfolioRef[Reference '#]),0),AssetMonthlyReturns[[#This Row],[SPY]:[PE]])</f>
        <v>2.118181838370199E-3</v>
      </c>
      <c r="SJ119" s="27">
        <f>IF(ISNUMBER(SJ118),SJ118*(1+PortfolioFrontier[[#This Row],[P126 Return]]),1+PortfolioFrontier[[#This Row],[P126 Return]])</f>
        <v>2.2356864286172651</v>
      </c>
      <c r="SK119" s="27">
        <f>MAX(SK118,PortfolioFrontier[[#This Row],[P126 Growth]])</f>
        <v>2.2356864286172651</v>
      </c>
      <c r="SL119" s="27">
        <f>PortfolioFrontier[[#This Row],[P126 Growth]]/PortfolioFrontier[[#This Row],[P126 HWM]]-1</f>
        <v>0</v>
      </c>
      <c r="SM119" s="28">
        <f>SUMPRODUCT(INDEX(PortfolioRef[[SPY]:[PE]],MATCH(SM$1,PortfolioRef[Reference '#]),0),AssetMonthlyReturns[[#This Row],[SPY]:[PE]])</f>
        <v>-5.7526670153685896E-3</v>
      </c>
      <c r="SN119" s="27">
        <f>IF(ISNUMBER(SN118),SN118*(1+PortfolioFrontier[[#This Row],[P127 Return]]),1+PortfolioFrontier[[#This Row],[P127 Return]])</f>
        <v>2.1612389301113835</v>
      </c>
      <c r="SO119" s="27">
        <f>MAX(SO118,PortfolioFrontier[[#This Row],[P127 Growth]])</f>
        <v>2.1737437541054896</v>
      </c>
      <c r="SP119" s="27">
        <f>PortfolioFrontier[[#This Row],[P127 Growth]]/PortfolioFrontier[[#This Row],[P127 HWM]]-1</f>
        <v>-5.7526670153685844E-3</v>
      </c>
      <c r="SQ119" s="28">
        <f>SUMPRODUCT(INDEX(PortfolioRef[[SPY]:[PE]],MATCH(SQ$1,PortfolioRef[Reference '#]),0),AssetMonthlyReturns[[#This Row],[SPY]:[PE]])</f>
        <v>-3.1406315017730234E-3</v>
      </c>
      <c r="SR119" s="27">
        <f>IF(ISNUMBER(SR118),SR118*(1+PortfolioFrontier[[#This Row],[P128 Return]]),1+PortfolioFrontier[[#This Row],[P128 Return]])</f>
        <v>2.1600788754359361</v>
      </c>
      <c r="SS119" s="27">
        <f>MAX(SS118,PortfolioFrontier[[#This Row],[P128 Growth]])</f>
        <v>2.1668842604048599</v>
      </c>
      <c r="ST119" s="27">
        <f>PortfolioFrontier[[#This Row],[P128 Growth]]/PortfolioFrontier[[#This Row],[P128 HWM]]-1</f>
        <v>-3.1406315017731279E-3</v>
      </c>
      <c r="SU119" s="28">
        <f>SUMPRODUCT(INDEX(PortfolioRef[[SPY]:[PE]],MATCH(SU$1,PortfolioRef[Reference '#]),0),AssetMonthlyReturns[[#This Row],[SPY]:[PE]])</f>
        <v>-5.2859598817745542E-4</v>
      </c>
      <c r="SV119" s="27">
        <f>IF(ISNUMBER(SV118),SV118*(1+PortfolioFrontier[[#This Row],[P129 Return]]),1+PortfolioFrontier[[#This Row],[P129 Return]])</f>
        <v>2.1570308725075114</v>
      </c>
      <c r="SW119" s="27">
        <f>MAX(SW118,PortfolioFrontier[[#This Row],[P129 Growth]])</f>
        <v>2.1581716733958665</v>
      </c>
      <c r="SX119" s="27">
        <f>PortfolioFrontier[[#This Row],[P129 Growth]]/PortfolioFrontier[[#This Row],[P129 HWM]]-1</f>
        <v>-5.2859598817733833E-4</v>
      </c>
      <c r="SY119" s="28">
        <f>SUMPRODUCT(INDEX(PortfolioRef[[SPY]:[PE]],MATCH(SY$1,PortfolioRef[Reference '#]),0),AssetMonthlyReturns[[#This Row],[SPY]:[PE]])</f>
        <v>-8.3994448419162406E-3</v>
      </c>
      <c r="SZ119" s="27">
        <f>IF(ISNUMBER(SZ118),SZ118*(1+PortfolioFrontier[[#This Row],[P130 Return]]),1+PortfolioFrontier[[#This Row],[P130 Return]])</f>
        <v>2.0803579527235874</v>
      </c>
      <c r="TA119" s="27">
        <f>MAX(TA118,PortfolioFrontier[[#This Row],[P130 Growth]])</f>
        <v>2.0979798184884344</v>
      </c>
      <c r="TB119" s="27">
        <f>PortfolioFrontier[[#This Row],[P130 Growth]]/PortfolioFrontier[[#This Row],[P130 HWM]]-1</f>
        <v>-8.3994448419162371E-3</v>
      </c>
      <c r="TC119" s="28">
        <f>SUMPRODUCT(INDEX(PortfolioRef[[SPY]:[PE]],MATCH(TC$1,PortfolioRef[Reference '#]),0),AssetMonthlyReturns[[#This Row],[SPY]:[PE]])</f>
        <v>-5.7874093283206748E-3</v>
      </c>
      <c r="TD119" s="27">
        <f>IF(ISNUMBER(TD118),TD118*(1+PortfolioFrontier[[#This Row],[P131 Return]]),1+PortfolioFrontier[[#This Row],[P131 Return]])</f>
        <v>2.0806248728183783</v>
      </c>
      <c r="TE119" s="27">
        <f>MAX(TE118,PortfolioFrontier[[#This Row],[P131 Growth]])</f>
        <v>2.0927363949522411</v>
      </c>
      <c r="TF119" s="27">
        <f>PortfolioFrontier[[#This Row],[P131 Growth]]/PortfolioFrontier[[#This Row],[P131 HWM]]-1</f>
        <v>-5.7874093283206696E-3</v>
      </c>
      <c r="TG119" s="28">
        <f>SUMPRODUCT(INDEX(PortfolioRef[[SPY]:[PE]],MATCH(TG$1,PortfolioRef[Reference '#]),0),AssetMonthlyReturns[[#This Row],[SPY]:[PE]])</f>
        <v>-3.1753738147251064E-3</v>
      </c>
      <c r="TH119" s="27">
        <f>IF(ISNUMBER(TH118),TH118*(1+PortfolioFrontier[[#This Row],[P132 Return]]),1+PortfolioFrontier[[#This Row],[P132 Return]])</f>
        <v>2.0790652135366448</v>
      </c>
      <c r="TI119" s="27">
        <f>MAX(TI118,PortfolioFrontier[[#This Row],[P132 Growth]])</f>
        <v>2.0856880527650801</v>
      </c>
      <c r="TJ119" s="27">
        <f>PortfolioFrontier[[#This Row],[P132 Growth]]/PortfolioFrontier[[#This Row],[P132 HWM]]-1</f>
        <v>-3.1753738147251021E-3</v>
      </c>
      <c r="TK119" s="28">
        <f>SUMPRODUCT(INDEX(PortfolioRef[[SPY]:[PE]],MATCH(TK$1,PortfolioRef[Reference '#]),0),AssetMonthlyReturns[[#This Row],[SPY]:[PE]])</f>
        <v>-4.3614450440681955E-3</v>
      </c>
      <c r="TL119" s="27">
        <f>IF(ISNUMBER(TL118),TL118*(1+PortfolioFrontier[[#This Row],[P133 Return]]),1+PortfolioFrontier[[#This Row],[P133 Return]])</f>
        <v>2.2785154251508177</v>
      </c>
      <c r="TM119" s="27">
        <f>MAX(TM118,PortfolioFrontier[[#This Row],[P133 Growth]])</f>
        <v>2.288496577205839</v>
      </c>
      <c r="TN119" s="27">
        <f>PortfolioFrontier[[#This Row],[P133 Growth]]/PortfolioFrontier[[#This Row],[P133 HWM]]-1</f>
        <v>-4.3614450440681019E-3</v>
      </c>
      <c r="TO119" s="28">
        <f>SUMPRODUCT(INDEX(PortfolioRef[[SPY]:[PE]],MATCH(TO$1,PortfolioRef[Reference '#]),0),AssetMonthlyReturns[[#This Row],[SPY]:[PE]])</f>
        <v>-1.7494095304726284E-3</v>
      </c>
      <c r="TP119" s="27">
        <f>IF(ISNUMBER(TP118),TP118*(1+PortfolioFrontier[[#This Row],[P134 Return]]),1+PortfolioFrontier[[#This Row],[P134 Return]])</f>
        <v>2.2772883740606886</v>
      </c>
      <c r="TQ119" s="27">
        <f>MAX(TQ118,PortfolioFrontier[[#This Row],[P134 Growth]])</f>
        <v>2.2812792657498613</v>
      </c>
      <c r="TR119" s="27">
        <f>PortfolioFrontier[[#This Row],[P134 Growth]]/PortfolioFrontier[[#This Row],[P134 HWM]]-1</f>
        <v>-1.7494095304727564E-3</v>
      </c>
      <c r="TS119" s="28">
        <f>SUMPRODUCT(INDEX(PortfolioRef[[SPY]:[PE]],MATCH(TS$1,PortfolioRef[Reference '#]),0),AssetMonthlyReturns[[#This Row],[SPY]:[PE]])</f>
        <v>8.626259831229395E-4</v>
      </c>
      <c r="TT119" s="27">
        <f>IF(ISNUMBER(TT118),TT118*(1+PortfolioFrontier[[#This Row],[P135 Return]]),1+PortfolioFrontier[[#This Row],[P135 Return]])</f>
        <v>2.2740722041021146</v>
      </c>
      <c r="TU119" s="27">
        <f>MAX(TU118,PortfolioFrontier[[#This Row],[P135 Growth]])</f>
        <v>2.2740722041021146</v>
      </c>
      <c r="TV119" s="27">
        <f>PortfolioFrontier[[#This Row],[P135 Growth]]/PortfolioFrontier[[#This Row],[P135 HWM]]-1</f>
        <v>0</v>
      </c>
      <c r="TW119" s="28">
        <f>SUMPRODUCT(INDEX(PortfolioRef[[SPY]:[PE]],MATCH(TW$1,PortfolioRef[Reference '#]),0),AssetMonthlyReturns[[#This Row],[SPY]:[PE]])</f>
        <v>-7.0082228706158482E-3</v>
      </c>
      <c r="TX119" s="27">
        <f>IF(ISNUMBER(TX118),TX118*(1+PortfolioFrontier[[#This Row],[P136 Return]]),1+PortfolioFrontier[[#This Row],[P136 Return]])</f>
        <v>2.1941151186635994</v>
      </c>
      <c r="TY119" s="27">
        <f>MAX(TY118,PortfolioFrontier[[#This Row],[P136 Growth]])</f>
        <v>2.2096004913620875</v>
      </c>
      <c r="TZ119" s="27">
        <f>PortfolioFrontier[[#This Row],[P136 Growth]]/PortfolioFrontier[[#This Row],[P136 HWM]]-1</f>
        <v>-7.0082228706159766E-3</v>
      </c>
      <c r="UA119" s="28">
        <f>SUMPRODUCT(INDEX(PortfolioRef[[SPY]:[PE]],MATCH(UA$1,PortfolioRef[Reference '#]),0),AssetMonthlyReturns[[#This Row],[SPY]:[PE]])</f>
        <v>-4.3961873570202824E-3</v>
      </c>
      <c r="UB119" s="27">
        <f>IF(ISNUMBER(UB118),UB118*(1+PortfolioFrontier[[#This Row],[P137 Return]]),1+PortfolioFrontier[[#This Row],[P137 Return]])</f>
        <v>2.194391818310609</v>
      </c>
      <c r="UC119" s="27">
        <f>MAX(UC118,PortfolioFrontier[[#This Row],[P137 Growth]])</f>
        <v>2.2040813729763316</v>
      </c>
      <c r="UD119" s="27">
        <f>PortfolioFrontier[[#This Row],[P137 Growth]]/PortfolioFrontier[[#This Row],[P137 HWM]]-1</f>
        <v>-4.3961873570202981E-3</v>
      </c>
      <c r="UE119" s="28">
        <f>SUMPRODUCT(INDEX(PortfolioRef[[SPY]:[PE]],MATCH(UE$1,PortfolioRef[Reference '#]),0),AssetMonthlyReturns[[#This Row],[SPY]:[PE]])</f>
        <v>-1.7841518434247141E-3</v>
      </c>
      <c r="UF119" s="27">
        <f>IF(ISNUMBER(UF118),UF118*(1+PortfolioFrontier[[#This Row],[P138 Return]]),1+PortfolioFrontier[[#This Row],[P138 Return]])</f>
        <v>2.1927433086338621</v>
      </c>
      <c r="UG119" s="27">
        <f>MAX(UG118,PortfolioFrontier[[#This Row],[P138 Growth]])</f>
        <v>2.1966624880613188</v>
      </c>
      <c r="UH119" s="27">
        <f>PortfolioFrontier[[#This Row],[P138 Growth]]/PortfolioFrontier[[#This Row],[P138 HWM]]-1</f>
        <v>-1.7841518434247305E-3</v>
      </c>
      <c r="UI119" s="28">
        <f>SUMPRODUCT(INDEX(PortfolioRef[[SPY]:[PE]],MATCH(UI$1,PortfolioRef[Reference '#]),0),AssetMonthlyReturns[[#This Row],[SPY]:[PE]])</f>
        <v>-9.6550006971635009E-3</v>
      </c>
      <c r="UJ119" s="27">
        <f>IF(ISNUMBER(UJ118),UJ118*(1+PortfolioFrontier[[#This Row],[P139 Return]]),1+PortfolioFrontier[[#This Row],[P139 Return]])</f>
        <v>2.1107130506131253</v>
      </c>
      <c r="UK119" s="27">
        <f>MAX(UK118,PortfolioFrontier[[#This Row],[P139 Growth]])</f>
        <v>2.1312906634546378</v>
      </c>
      <c r="UL119" s="27">
        <f>PortfolioFrontier[[#This Row],[P139 Growth]]/PortfolioFrontier[[#This Row],[P139 HWM]]-1</f>
        <v>-9.6550006971634073E-3</v>
      </c>
      <c r="UM119" s="28">
        <f>SUMPRODUCT(INDEX(PortfolioRef[[SPY]:[PE]],MATCH(UM$1,PortfolioRef[Reference '#]),0),AssetMonthlyReturns[[#This Row],[SPY]:[PE]])</f>
        <v>-7.0429651835679334E-3</v>
      </c>
      <c r="UN119" s="27">
        <f>IF(ISNUMBER(UN118),UN118*(1+PortfolioFrontier[[#This Row],[P140 Return]]),1+PortfolioFrontier[[#This Row],[P140 Return]])</f>
        <v>2.1123899523515033</v>
      </c>
      <c r="UO119" s="27">
        <f>MAX(UO118,PortfolioFrontier[[#This Row],[P140 Growth]])</f>
        <v>2.1273729660840974</v>
      </c>
      <c r="UP119" s="27">
        <f>PortfolioFrontier[[#This Row],[P140 Growth]]/PortfolioFrontier[[#This Row],[P140 HWM]]-1</f>
        <v>-7.0429651835680618E-3</v>
      </c>
      <c r="UQ119" s="28">
        <f>SUMPRODUCT(INDEX(PortfolioRef[[SPY]:[PE]],MATCH(UQ$1,PortfolioRef[Reference '#]),0),AssetMonthlyReturns[[#This Row],[SPY]:[PE]])</f>
        <v>-4.430929669972365E-3</v>
      </c>
      <c r="UR119" s="27">
        <f>IF(ISNUMBER(UR118),UR118*(1+PortfolioFrontier[[#This Row],[P141 Return]]),1+PortfolioFrontier[[#This Row],[P141 Return]])</f>
        <v>2.112206941695336</v>
      </c>
      <c r="US119" s="27">
        <f>MAX(US118,PortfolioFrontier[[#This Row],[P141 Growth]])</f>
        <v>2.1216076359173623</v>
      </c>
      <c r="UT119" s="27">
        <f>PortfolioFrontier[[#This Row],[P141 Growth]]/PortfolioFrontier[[#This Row],[P141 HWM]]-1</f>
        <v>-4.4309296699724943E-3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45F8-9A2B-484B-A218-AB3D576318B9}">
  <dimension ref="A1:M142"/>
  <sheetViews>
    <sheetView topLeftCell="A116" workbookViewId="0">
      <selection activeCell="O31" sqref="O31"/>
    </sheetView>
  </sheetViews>
  <sheetFormatPr baseColWidth="10" defaultColWidth="8.83203125" defaultRowHeight="15" outlineLevelCol="1" x14ac:dyDescent="0.2"/>
  <cols>
    <col min="1" max="1" width="12.5" customWidth="1"/>
    <col min="2" max="6" width="8.6640625" customWidth="1" outlineLevel="1"/>
    <col min="7" max="7" width="14.1640625" bestFit="1" customWidth="1"/>
    <col min="8" max="8" width="10" bestFit="1" customWidth="1"/>
  </cols>
  <sheetData>
    <row r="1" spans="1:13" ht="16" x14ac:dyDescent="0.2">
      <c r="A1" s="156" t="s">
        <v>46</v>
      </c>
      <c r="B1" s="156" t="s">
        <v>8</v>
      </c>
      <c r="C1" s="155" t="s">
        <v>9</v>
      </c>
      <c r="D1" s="155" t="s">
        <v>10</v>
      </c>
      <c r="E1" s="155" t="s">
        <v>11</v>
      </c>
      <c r="F1" s="153" t="s">
        <v>12</v>
      </c>
      <c r="G1" s="18" t="s">
        <v>662</v>
      </c>
      <c r="H1" s="18" t="s">
        <v>7</v>
      </c>
    </row>
    <row r="2" spans="1:13" x14ac:dyDescent="0.2">
      <c r="A2" s="126">
        <v>1</v>
      </c>
      <c r="B2" s="124">
        <v>0.55000000000000004</v>
      </c>
      <c r="C2" s="124">
        <v>0.15</v>
      </c>
      <c r="D2" s="124">
        <v>0.1</v>
      </c>
      <c r="E2" s="124">
        <v>0.1</v>
      </c>
      <c r="F2" s="124">
        <v>0.1</v>
      </c>
      <c r="G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55/15/10/10/10</v>
      </c>
      <c r="H2" s="159" cm="1">
        <f t="array" ref="H2">MIN(_xlfn._xlws.FILTER(PortfolioFrontier[#Data],(PortfolioFrontier[#Headers]="P"&amp;PortfolioRef[[#This Row],[Reference '#]]&amp;" DD")))</f>
        <v>-0.19275958966564344</v>
      </c>
      <c r="L2" s="138"/>
      <c r="M2" s="138"/>
    </row>
    <row r="3" spans="1:13" x14ac:dyDescent="0.2">
      <c r="A3" s="126">
        <v>2</v>
      </c>
      <c r="B3" s="124">
        <v>0.5</v>
      </c>
      <c r="C3" s="124">
        <v>0.2</v>
      </c>
      <c r="D3" s="124">
        <v>0.1</v>
      </c>
      <c r="E3" s="124">
        <v>0.1</v>
      </c>
      <c r="F3" s="124">
        <v>0.1</v>
      </c>
      <c r="G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50/20/10/10/10</v>
      </c>
      <c r="H3" s="159" cm="1">
        <f t="array" ref="H3">MIN(_xlfn._xlws.FILTER(PortfolioFrontier[#Data],(PortfolioFrontier[#Headers]="P"&amp;PortfolioRef[[#This Row],[Reference '#]]&amp;" DD")))</f>
        <v>-0.18787639492969854</v>
      </c>
    </row>
    <row r="4" spans="1:13" x14ac:dyDescent="0.2">
      <c r="A4" s="126">
        <v>3</v>
      </c>
      <c r="B4" s="124">
        <v>0.5</v>
      </c>
      <c r="C4" s="124">
        <v>0.15</v>
      </c>
      <c r="D4" s="124">
        <v>0.15</v>
      </c>
      <c r="E4" s="124">
        <v>0.1</v>
      </c>
      <c r="F4" s="124">
        <v>0.1</v>
      </c>
      <c r="G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50/15/15/10/10</v>
      </c>
      <c r="H4" s="159" cm="1">
        <f t="array" ref="H4">MIN(_xlfn._xlws.FILTER(PortfolioFrontier[#Data],(PortfolioFrontier[#Headers]="P"&amp;PortfolioRef[[#This Row],[Reference '#]]&amp;" DD")))</f>
        <v>-0.18541960554388814</v>
      </c>
    </row>
    <row r="5" spans="1:13" x14ac:dyDescent="0.2">
      <c r="A5" s="71">
        <v>4</v>
      </c>
      <c r="B5" s="69">
        <v>0.5</v>
      </c>
      <c r="C5" s="69">
        <v>0.15</v>
      </c>
      <c r="D5" s="69">
        <v>0.1</v>
      </c>
      <c r="E5" s="69">
        <v>0.15</v>
      </c>
      <c r="F5" s="69">
        <v>0.1</v>
      </c>
      <c r="G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50/15/10/15/10</v>
      </c>
      <c r="H5" s="159" cm="1">
        <f t="array" ref="H5">MIN(_xlfn._xlws.FILTER(PortfolioFrontier[#Data],(PortfolioFrontier[#Headers]="P"&amp;PortfolioRef[[#This Row],[Reference '#]]&amp;" DD")))</f>
        <v>-0.19559472139226264</v>
      </c>
    </row>
    <row r="6" spans="1:13" x14ac:dyDescent="0.2">
      <c r="A6" s="71">
        <v>5</v>
      </c>
      <c r="B6" s="69">
        <v>0.5</v>
      </c>
      <c r="C6" s="69">
        <v>0.15</v>
      </c>
      <c r="D6" s="69">
        <v>0.1</v>
      </c>
      <c r="E6" s="69">
        <v>0.1</v>
      </c>
      <c r="F6" s="69">
        <v>0.15</v>
      </c>
      <c r="G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50/15/10/10/15</v>
      </c>
      <c r="H6" s="159" cm="1">
        <f t="array" ref="H6">MIN(_xlfn._xlws.FILTER(PortfolioFrontier[#Data],(PortfolioFrontier[#Headers]="P"&amp;PortfolioRef[[#This Row],[Reference '#]]&amp;" DD")))</f>
        <v>-0.1811991970700908</v>
      </c>
    </row>
    <row r="7" spans="1:13" x14ac:dyDescent="0.2">
      <c r="A7" s="71">
        <v>6</v>
      </c>
      <c r="B7" s="69">
        <v>0.45</v>
      </c>
      <c r="C7" s="69">
        <v>0.25</v>
      </c>
      <c r="D7" s="69">
        <v>0.1</v>
      </c>
      <c r="E7" s="69">
        <v>0.1</v>
      </c>
      <c r="F7" s="69">
        <v>0.1</v>
      </c>
      <c r="G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45/25/10/10/10</v>
      </c>
      <c r="H7" s="159" cm="1">
        <f t="array" ref="H7">MIN(_xlfn._xlws.FILTER(PortfolioFrontier[#Data],(PortfolioFrontier[#Headers]="P"&amp;PortfolioRef[[#This Row],[Reference '#]]&amp;" DD")))</f>
        <v>-0.18300737779652643</v>
      </c>
    </row>
    <row r="8" spans="1:13" x14ac:dyDescent="0.2">
      <c r="A8" s="126">
        <v>7</v>
      </c>
      <c r="B8" s="124">
        <v>0.45</v>
      </c>
      <c r="C8" s="124">
        <v>0.2</v>
      </c>
      <c r="D8" s="124">
        <v>0.15</v>
      </c>
      <c r="E8" s="124">
        <v>0.1</v>
      </c>
      <c r="F8" s="124">
        <v>0.1</v>
      </c>
      <c r="G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45/20/15/10/10</v>
      </c>
      <c r="H8" s="159" cm="1">
        <f t="array" ref="H8">MIN(_xlfn._xlws.FILTER(PortfolioFrontier[#Data],(PortfolioFrontier[#Headers]="P"&amp;PortfolioRef[[#This Row],[Reference '#]]&amp;" DD")))</f>
        <v>-0.18054317991848512</v>
      </c>
    </row>
    <row r="9" spans="1:13" x14ac:dyDescent="0.2">
      <c r="A9" s="126">
        <v>8</v>
      </c>
      <c r="B9" s="124">
        <v>0.45</v>
      </c>
      <c r="C9" s="124">
        <v>0.2</v>
      </c>
      <c r="D9" s="124">
        <v>0.1</v>
      </c>
      <c r="E9" s="124">
        <v>0.15</v>
      </c>
      <c r="F9" s="124">
        <v>0.1</v>
      </c>
      <c r="G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45/20/10/15/10</v>
      </c>
      <c r="H9" s="159" cm="1">
        <f t="array" ref="H9">MIN(_xlfn._xlws.FILTER(PortfolioFrontier[#Data],(PortfolioFrontier[#Headers]="P"&amp;PortfolioRef[[#This Row],[Reference '#]]&amp;" DD")))</f>
        <v>-0.19072422907983366</v>
      </c>
    </row>
    <row r="10" spans="1:13" x14ac:dyDescent="0.2">
      <c r="A10" s="71">
        <v>9</v>
      </c>
      <c r="B10" s="69">
        <v>0.45</v>
      </c>
      <c r="C10" s="69">
        <v>0.2</v>
      </c>
      <c r="D10" s="69">
        <v>0.1</v>
      </c>
      <c r="E10" s="69">
        <v>0.1</v>
      </c>
      <c r="F10" s="69">
        <v>0.15</v>
      </c>
      <c r="G1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45/20/10/10/15</v>
      </c>
      <c r="H10" s="159" cm="1">
        <f t="array" ref="H10">MIN(_xlfn._xlws.FILTER(PortfolioFrontier[#Data],(PortfolioFrontier[#Headers]="P"&amp;PortfolioRef[[#This Row],[Reference '#]]&amp;" DD")))</f>
        <v>-0.17631267316325527</v>
      </c>
    </row>
    <row r="11" spans="1:13" x14ac:dyDescent="0.2">
      <c r="A11" s="71">
        <v>10</v>
      </c>
      <c r="B11" s="69">
        <v>0.45</v>
      </c>
      <c r="C11" s="69">
        <v>0.15</v>
      </c>
      <c r="D11" s="69">
        <v>0.2</v>
      </c>
      <c r="E11" s="69">
        <v>0.1</v>
      </c>
      <c r="F11" s="69">
        <v>0.1</v>
      </c>
      <c r="G1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45/15/20/10/10</v>
      </c>
      <c r="H11" s="159" cm="1">
        <f t="array" ref="H11">MIN(_xlfn._xlws.FILTER(PortfolioFrontier[#Data],(PortfolioFrontier[#Headers]="P"&amp;PortfolioRef[[#This Row],[Reference '#]]&amp;" DD")))</f>
        <v>-0.17809556533929027</v>
      </c>
    </row>
    <row r="12" spans="1:13" x14ac:dyDescent="0.2">
      <c r="A12" s="71">
        <v>11</v>
      </c>
      <c r="B12" s="69">
        <v>0.45</v>
      </c>
      <c r="C12" s="69">
        <v>0.15</v>
      </c>
      <c r="D12" s="69">
        <v>0.15</v>
      </c>
      <c r="E12" s="69">
        <v>0.15</v>
      </c>
      <c r="F12" s="69">
        <v>0.1</v>
      </c>
      <c r="G1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45/15/15/15/10</v>
      </c>
      <c r="H12" s="159" cm="1">
        <f t="array" ref="H12">MIN(_xlfn._xlws.FILTER(PortfolioFrontier[#Data],(PortfolioFrontier[#Headers]="P"&amp;PortfolioRef[[#This Row],[Reference '#]]&amp;" DD")))</f>
        <v>-0.18828201909404418</v>
      </c>
    </row>
    <row r="13" spans="1:13" x14ac:dyDescent="0.2">
      <c r="A13" s="71">
        <v>12</v>
      </c>
      <c r="B13" s="69">
        <v>0.45</v>
      </c>
      <c r="C13" s="69">
        <v>0.15</v>
      </c>
      <c r="D13" s="69">
        <v>0.15</v>
      </c>
      <c r="E13" s="69">
        <v>0.1</v>
      </c>
      <c r="F13" s="69">
        <v>0.15</v>
      </c>
      <c r="G1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45/15/15/10/15</v>
      </c>
      <c r="H13" s="159" cm="1">
        <f t="array" ref="H13">MIN(_xlfn._xlws.FILTER(PortfolioFrontier[#Data],(PortfolioFrontier[#Headers]="P"&amp;PortfolioRef[[#This Row],[Reference '#]]&amp;" DD")))</f>
        <v>-0.17383993004821174</v>
      </c>
    </row>
    <row r="14" spans="1:13" x14ac:dyDescent="0.2">
      <c r="A14" s="71">
        <v>13</v>
      </c>
      <c r="B14" s="69">
        <v>0.45</v>
      </c>
      <c r="C14" s="69">
        <v>0.15</v>
      </c>
      <c r="D14" s="69">
        <v>0.1</v>
      </c>
      <c r="E14" s="69">
        <v>0.2</v>
      </c>
      <c r="F14" s="69">
        <v>0.1</v>
      </c>
      <c r="G1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45/15/10/20/10</v>
      </c>
      <c r="H14" s="159" cm="1">
        <f t="array" ref="H14">MIN(_xlfn._xlws.FILTER(PortfolioFrontier[#Data],(PortfolioFrontier[#Headers]="P"&amp;PortfolioRef[[#This Row],[Reference '#]]&amp;" DD")))</f>
        <v>-0.1984378230080508</v>
      </c>
    </row>
    <row r="15" spans="1:13" x14ac:dyDescent="0.2">
      <c r="A15" s="71">
        <v>14</v>
      </c>
      <c r="B15" s="69">
        <v>0.45</v>
      </c>
      <c r="C15" s="69">
        <v>0.15</v>
      </c>
      <c r="D15" s="69">
        <v>0.1</v>
      </c>
      <c r="E15" s="69">
        <v>0.15</v>
      </c>
      <c r="F15" s="69">
        <v>0.15</v>
      </c>
      <c r="G1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45/15/10/15/15</v>
      </c>
      <c r="H15" s="159" cm="1">
        <f t="array" ref="H15">MIN(_xlfn._xlws.FILTER(PortfolioFrontier[#Data],(PortfolioFrontier[#Headers]="P"&amp;PortfolioRef[[#This Row],[Reference '#]]&amp;" DD")))</f>
        <v>-0.18407065770152886</v>
      </c>
    </row>
    <row r="16" spans="1:13" x14ac:dyDescent="0.2">
      <c r="A16" s="71">
        <v>15</v>
      </c>
      <c r="B16" s="69">
        <v>0.45</v>
      </c>
      <c r="C16" s="69">
        <v>0.15</v>
      </c>
      <c r="D16" s="69">
        <v>0.1</v>
      </c>
      <c r="E16" s="69">
        <v>0.1</v>
      </c>
      <c r="F16" s="69">
        <v>0.2</v>
      </c>
      <c r="G1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45/15/10/10/20</v>
      </c>
      <c r="H16" s="159" cm="1">
        <f t="array" ref="H16">MIN(_xlfn._xlws.FILTER(PortfolioFrontier[#Data],(PortfolioFrontier[#Headers]="P"&amp;PortfolioRef[[#This Row],[Reference '#]]&amp;" DD")))</f>
        <v>-0.16958426219189504</v>
      </c>
    </row>
    <row r="17" spans="1:8" x14ac:dyDescent="0.2">
      <c r="A17" s="71">
        <v>16</v>
      </c>
      <c r="B17" s="69">
        <v>0.4</v>
      </c>
      <c r="C17" s="69">
        <v>0.3</v>
      </c>
      <c r="D17" s="69">
        <v>0.1</v>
      </c>
      <c r="E17" s="69">
        <v>0.1</v>
      </c>
      <c r="F17" s="69">
        <v>0.1</v>
      </c>
      <c r="G1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40/30/10/10/10</v>
      </c>
      <c r="H17" s="159" cm="1">
        <f t="array" ref="H17">MIN(_xlfn._xlws.FILTER(PortfolioFrontier[#Data],(PortfolioFrontier[#Headers]="P"&amp;PortfolioRef[[#This Row],[Reference '#]]&amp;" DD")))</f>
        <v>-0.17815309576344351</v>
      </c>
    </row>
    <row r="18" spans="1:8" x14ac:dyDescent="0.2">
      <c r="A18" s="71">
        <v>17</v>
      </c>
      <c r="B18" s="69">
        <v>0.4</v>
      </c>
      <c r="C18" s="69">
        <v>0.25</v>
      </c>
      <c r="D18" s="69">
        <v>0.15</v>
      </c>
      <c r="E18" s="69">
        <v>0.1</v>
      </c>
      <c r="F18" s="69">
        <v>0.1</v>
      </c>
      <c r="G1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40/25/15/10/10</v>
      </c>
      <c r="H18" s="159" cm="1">
        <f t="array" ref="H18">MIN(_xlfn._xlws.FILTER(PortfolioFrontier[#Data],(PortfolioFrontier[#Headers]="P"&amp;PortfolioRef[[#This Row],[Reference '#]]&amp;" DD")))</f>
        <v>-0.17568161179238972</v>
      </c>
    </row>
    <row r="19" spans="1:8" x14ac:dyDescent="0.2">
      <c r="A19" s="71">
        <v>18</v>
      </c>
      <c r="B19" s="69">
        <v>0.4</v>
      </c>
      <c r="C19" s="69">
        <v>0.25</v>
      </c>
      <c r="D19" s="69">
        <v>0.1</v>
      </c>
      <c r="E19" s="69">
        <v>0.15</v>
      </c>
      <c r="F19" s="69">
        <v>0.1</v>
      </c>
      <c r="G1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40/25/10/15/10</v>
      </c>
      <c r="H19" s="159" cm="1">
        <f t="array" ref="H19">MIN(_xlfn._xlws.FILTER(PortfolioFrontier[#Data],(PortfolioFrontier[#Headers]="P"&amp;PortfolioRef[[#This Row],[Reference '#]]&amp;" DD")))</f>
        <v>-0.18586780321194241</v>
      </c>
    </row>
    <row r="20" spans="1:8" x14ac:dyDescent="0.2">
      <c r="A20" s="71">
        <v>19</v>
      </c>
      <c r="B20" s="69">
        <v>0.4</v>
      </c>
      <c r="C20" s="69">
        <v>0.25</v>
      </c>
      <c r="D20" s="69">
        <v>0.1</v>
      </c>
      <c r="E20" s="69">
        <v>0.1</v>
      </c>
      <c r="F20" s="69">
        <v>0.15</v>
      </c>
      <c r="G2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40/25/10/10/15</v>
      </c>
      <c r="H20" s="159" cm="1">
        <f t="array" ref="H20">MIN(_xlfn._xlws.FILTER(PortfolioFrontier[#Data],(PortfolioFrontier[#Headers]="P"&amp;PortfolioRef[[#This Row],[Reference '#]]&amp;" DD")))</f>
        <v>-0.17144121024298842</v>
      </c>
    </row>
    <row r="21" spans="1:8" x14ac:dyDescent="0.2">
      <c r="A21" s="126">
        <v>20</v>
      </c>
      <c r="B21" s="124">
        <v>0.4</v>
      </c>
      <c r="C21" s="124">
        <v>0.2</v>
      </c>
      <c r="D21" s="124">
        <v>0.2</v>
      </c>
      <c r="E21" s="124">
        <v>0.1</v>
      </c>
      <c r="F21" s="124">
        <v>0.1</v>
      </c>
      <c r="G2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40/20/20/10/10</v>
      </c>
      <c r="H21" s="159" cm="1">
        <f t="array" ref="H21">MIN(_xlfn._xlws.FILTER(PortfolioFrontier[#Data],(PortfolioFrontier[#Headers]="P"&amp;PortfolioRef[[#This Row],[Reference '#]]&amp;" DD")))</f>
        <v>-0.17322688100654049</v>
      </c>
    </row>
    <row r="22" spans="1:8" x14ac:dyDescent="0.2">
      <c r="A22" s="71">
        <v>21</v>
      </c>
      <c r="B22" s="69">
        <v>0.4</v>
      </c>
      <c r="C22" s="69">
        <v>0.2</v>
      </c>
      <c r="D22" s="69">
        <v>0.15</v>
      </c>
      <c r="E22" s="69">
        <v>0.15</v>
      </c>
      <c r="F22" s="69">
        <v>0.1</v>
      </c>
      <c r="G2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40/20/15/15/10</v>
      </c>
      <c r="H22" s="159" cm="1">
        <f t="array" ref="H22">MIN(_xlfn._xlws.FILTER(PortfolioFrontier[#Data],(PortfolioFrontier[#Headers]="P"&amp;PortfolioRef[[#This Row],[Reference '#]]&amp;" DD")))</f>
        <v>-0.18341824386731309</v>
      </c>
    </row>
    <row r="23" spans="1:8" x14ac:dyDescent="0.2">
      <c r="A23" s="143">
        <v>22</v>
      </c>
      <c r="B23" s="142">
        <v>0.4</v>
      </c>
      <c r="C23" s="142">
        <v>0.2</v>
      </c>
      <c r="D23" s="142">
        <v>0.15</v>
      </c>
      <c r="E23" s="142">
        <v>0.1</v>
      </c>
      <c r="F23" s="142">
        <v>0.15</v>
      </c>
      <c r="G2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40/20/15/10/15</v>
      </c>
      <c r="H23" s="159" cm="1">
        <f t="array" ref="H23">MIN(_xlfn._xlws.FILTER(PortfolioFrontier[#Data],(PortfolioFrontier[#Headers]="P"&amp;PortfolioRef[[#This Row],[Reference '#]]&amp;" DD")))</f>
        <v>-0.16896122731263008</v>
      </c>
    </row>
    <row r="24" spans="1:8" x14ac:dyDescent="0.2">
      <c r="A24" s="71">
        <v>23</v>
      </c>
      <c r="B24" s="69">
        <v>0.4</v>
      </c>
      <c r="C24" s="69">
        <v>0.2</v>
      </c>
      <c r="D24" s="69">
        <v>0.1</v>
      </c>
      <c r="E24" s="69">
        <v>0.2</v>
      </c>
      <c r="F24" s="69">
        <v>0.1</v>
      </c>
      <c r="G2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40/20/10/20/10</v>
      </c>
      <c r="H24" s="159" cm="1">
        <f t="array" ref="H24">MIN(_xlfn._xlws.FILTER(PortfolioFrontier[#Data],(PortfolioFrontier[#Headers]="P"&amp;PortfolioRef[[#This Row],[Reference '#]]&amp;" DD")))</f>
        <v>-0.19358005839495529</v>
      </c>
    </row>
    <row r="25" spans="1:8" x14ac:dyDescent="0.2">
      <c r="A25" s="71">
        <v>24</v>
      </c>
      <c r="B25" s="69">
        <v>0.4</v>
      </c>
      <c r="C25" s="69">
        <v>0.2</v>
      </c>
      <c r="D25" s="69">
        <v>0.1</v>
      </c>
      <c r="E25" s="69">
        <v>0.15</v>
      </c>
      <c r="F25" s="69">
        <v>0.15</v>
      </c>
      <c r="G2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40/20/10/15/15</v>
      </c>
      <c r="H25" s="159" cm="1">
        <f t="array" ref="H25">MIN(_xlfn._xlws.FILTER(PortfolioFrontier[#Data],(PortfolioFrontier[#Headers]="P"&amp;PortfolioRef[[#This Row],[Reference '#]]&amp;" DD")))</f>
        <v>-0.17919674215818437</v>
      </c>
    </row>
    <row r="26" spans="1:8" x14ac:dyDescent="0.2">
      <c r="A26" s="71">
        <v>25</v>
      </c>
      <c r="B26" s="69">
        <v>0.4</v>
      </c>
      <c r="C26" s="69">
        <v>0.2</v>
      </c>
      <c r="D26" s="69">
        <v>0.1</v>
      </c>
      <c r="E26" s="69">
        <v>0.1</v>
      </c>
      <c r="F26" s="69">
        <v>0.2</v>
      </c>
      <c r="G2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40/20/10/10/20</v>
      </c>
      <c r="H26" s="159" cm="1">
        <f t="array" ref="H26">MIN(_xlfn._xlws.FILTER(PortfolioFrontier[#Data],(PortfolioFrontier[#Headers]="P"&amp;PortfolioRef[[#This Row],[Reference '#]]&amp;" DD")))</f>
        <v>-0.16469571026556495</v>
      </c>
    </row>
    <row r="27" spans="1:8" x14ac:dyDescent="0.2">
      <c r="A27" s="71">
        <v>26</v>
      </c>
      <c r="B27" s="69">
        <v>0.4</v>
      </c>
      <c r="C27" s="69">
        <v>0.15</v>
      </c>
      <c r="D27" s="69">
        <v>0.2</v>
      </c>
      <c r="E27" s="69">
        <v>0.15</v>
      </c>
      <c r="F27" s="69">
        <v>0.1</v>
      </c>
      <c r="G2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40/15/20/15/10</v>
      </c>
      <c r="H27" s="159" cm="1">
        <f t="array" ref="H27">MIN(_xlfn._xlws.FILTER(PortfolioFrontier[#Data],(PortfolioFrontier[#Headers]="P"&amp;PortfolioRef[[#This Row],[Reference '#]]&amp;" DD")))</f>
        <v>-0.18098526063032661</v>
      </c>
    </row>
    <row r="28" spans="1:8" x14ac:dyDescent="0.2">
      <c r="A28" s="126">
        <v>27</v>
      </c>
      <c r="B28" s="124">
        <v>0.4</v>
      </c>
      <c r="C28" s="124">
        <v>0.15</v>
      </c>
      <c r="D28" s="124">
        <v>0.2</v>
      </c>
      <c r="E28" s="124">
        <v>0.1</v>
      </c>
      <c r="F28" s="124">
        <v>0.15</v>
      </c>
      <c r="G2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40/15/20/10/15</v>
      </c>
      <c r="H28" s="159" cm="1">
        <f t="array" ref="H28">MIN(_xlfn._xlws.FILTER(PortfolioFrontier[#Data],(PortfolioFrontier[#Headers]="P"&amp;PortfolioRef[[#This Row],[Reference '#]]&amp;" DD")))</f>
        <v>-0.1664981537878889</v>
      </c>
    </row>
    <row r="29" spans="1:8" x14ac:dyDescent="0.2">
      <c r="A29" s="71">
        <v>28</v>
      </c>
      <c r="B29" s="69">
        <v>0.4</v>
      </c>
      <c r="C29" s="69">
        <v>0.15</v>
      </c>
      <c r="D29" s="69">
        <v>0.15</v>
      </c>
      <c r="E29" s="69">
        <v>0.2</v>
      </c>
      <c r="F29" s="69">
        <v>0.1</v>
      </c>
      <c r="G2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40/15/15/20/10</v>
      </c>
      <c r="H29" s="159" cm="1">
        <f t="array" ref="H29">MIN(_xlfn._xlws.FILTER(PortfolioFrontier[#Data],(PortfolioFrontier[#Headers]="P"&amp;PortfolioRef[[#This Row],[Reference '#]]&amp;" DD")))</f>
        <v>-0.1911524096507079</v>
      </c>
    </row>
    <row r="30" spans="1:8" x14ac:dyDescent="0.2">
      <c r="A30" s="71">
        <v>29</v>
      </c>
      <c r="B30" s="69">
        <v>0.4</v>
      </c>
      <c r="C30" s="69">
        <v>0.15</v>
      </c>
      <c r="D30" s="69">
        <v>0.15</v>
      </c>
      <c r="E30" s="69">
        <v>0.15</v>
      </c>
      <c r="F30" s="69">
        <v>0.15</v>
      </c>
      <c r="G3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40/15/15/15/15</v>
      </c>
      <c r="H30" s="159" cm="1">
        <f t="array" ref="H30">MIN(_xlfn._xlws.FILTER(PortfolioFrontier[#Data],(PortfolioFrontier[#Headers]="P"&amp;PortfolioRef[[#This Row],[Reference '#]]&amp;" DD")))</f>
        <v>-0.17673871875174951</v>
      </c>
    </row>
    <row r="31" spans="1:8" x14ac:dyDescent="0.2">
      <c r="A31" s="126">
        <v>30</v>
      </c>
      <c r="B31" s="124">
        <v>0.4</v>
      </c>
      <c r="C31" s="124">
        <v>0.15</v>
      </c>
      <c r="D31" s="124">
        <v>0.15</v>
      </c>
      <c r="E31" s="124">
        <v>0.1</v>
      </c>
      <c r="F31" s="124">
        <v>0.2</v>
      </c>
      <c r="G3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40/15/15/10/20</v>
      </c>
      <c r="H31" s="159" cm="1">
        <f t="array" ref="H31">MIN(_xlfn._xlws.FILTER(PortfolioFrontier[#Data],(PortfolioFrontier[#Headers]="P"&amp;PortfolioRef[[#This Row],[Reference '#]]&amp;" DD")))</f>
        <v>-0.16220725630038224</v>
      </c>
    </row>
    <row r="32" spans="1:8" x14ac:dyDescent="0.2">
      <c r="A32" s="71">
        <v>31</v>
      </c>
      <c r="B32" s="69">
        <v>0.4</v>
      </c>
      <c r="C32" s="69">
        <v>0.15</v>
      </c>
      <c r="D32" s="69">
        <v>0.1</v>
      </c>
      <c r="E32" s="69">
        <v>0.25</v>
      </c>
      <c r="F32" s="69">
        <v>0.1</v>
      </c>
      <c r="G3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40/15/10/25/10</v>
      </c>
      <c r="H32" s="159" cm="1">
        <f t="array" ref="H32">MIN(_xlfn._xlws.FILTER(PortfolioFrontier[#Data],(PortfolioFrontier[#Headers]="P"&amp;PortfolioRef[[#This Row],[Reference '#]]&amp;" DD")))</f>
        <v>-0.20128875787594014</v>
      </c>
    </row>
    <row r="33" spans="1:8" x14ac:dyDescent="0.2">
      <c r="A33" s="71">
        <v>32</v>
      </c>
      <c r="B33" s="69">
        <v>0.4</v>
      </c>
      <c r="C33" s="69">
        <v>0.15</v>
      </c>
      <c r="D33" s="69">
        <v>0.1</v>
      </c>
      <c r="E33" s="69">
        <v>0.2</v>
      </c>
      <c r="F33" s="69">
        <v>0.15</v>
      </c>
      <c r="G3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40/15/10/20/15</v>
      </c>
      <c r="H33" s="159" cm="1">
        <f t="array" ref="H33">MIN(_xlfn._xlws.FILTER(PortfolioFrontier[#Data],(PortfolioFrontier[#Headers]="P"&amp;PortfolioRef[[#This Row],[Reference '#]]&amp;" DD")))</f>
        <v>-0.18695012140380352</v>
      </c>
    </row>
    <row r="34" spans="1:8" x14ac:dyDescent="0.2">
      <c r="A34" s="71">
        <v>33</v>
      </c>
      <c r="B34" s="69">
        <v>0.4</v>
      </c>
      <c r="C34" s="69">
        <v>0.15</v>
      </c>
      <c r="D34" s="69">
        <v>0.1</v>
      </c>
      <c r="E34" s="69">
        <v>0.15</v>
      </c>
      <c r="F34" s="69">
        <v>0.2</v>
      </c>
      <c r="G3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40/15/10/15/20</v>
      </c>
      <c r="H34" s="159" cm="1">
        <f t="array" ref="H34">MIN(_xlfn._xlws.FILTER(PortfolioFrontier[#Data],(PortfolioFrontier[#Headers]="P"&amp;PortfolioRef[[#This Row],[Reference '#]]&amp;" DD")))</f>
        <v>-0.17249207732612581</v>
      </c>
    </row>
    <row r="35" spans="1:8" x14ac:dyDescent="0.2">
      <c r="A35" s="71">
        <v>34</v>
      </c>
      <c r="B35" s="69">
        <v>0.35</v>
      </c>
      <c r="C35" s="69">
        <v>0.35</v>
      </c>
      <c r="D35" s="69">
        <v>0.1</v>
      </c>
      <c r="E35" s="69">
        <v>0.1</v>
      </c>
      <c r="F35" s="69">
        <v>0.1</v>
      </c>
      <c r="G3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35/35/10/10/10</v>
      </c>
      <c r="H35" s="159" cm="1">
        <f t="array" ref="H35">MIN(_xlfn._xlws.FILTER(PortfolioFrontier[#Data],(PortfolioFrontier[#Headers]="P"&amp;PortfolioRef[[#This Row],[Reference '#]]&amp;" DD")))</f>
        <v>-0.17331410905464495</v>
      </c>
    </row>
    <row r="36" spans="1:8" x14ac:dyDescent="0.2">
      <c r="A36" s="71">
        <v>35</v>
      </c>
      <c r="B36" s="69">
        <v>0.35</v>
      </c>
      <c r="C36" s="69">
        <v>0.3</v>
      </c>
      <c r="D36" s="69">
        <v>0.15</v>
      </c>
      <c r="E36" s="69">
        <v>0.1</v>
      </c>
      <c r="F36" s="69">
        <v>0.1</v>
      </c>
      <c r="G3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35/30/15/10/10</v>
      </c>
      <c r="H36" s="159" cm="1">
        <f t="array" ref="H36">MIN(_xlfn._xlws.FILTER(PortfolioFrontier[#Data],(PortfolioFrontier[#Headers]="P"&amp;PortfolioRef[[#This Row],[Reference '#]]&amp;" DD")))</f>
        <v>-0.17083546284768747</v>
      </c>
    </row>
    <row r="37" spans="1:8" x14ac:dyDescent="0.2">
      <c r="A37" s="71">
        <v>36</v>
      </c>
      <c r="B37" s="69">
        <v>0.35</v>
      </c>
      <c r="C37" s="69">
        <v>0.3</v>
      </c>
      <c r="D37" s="69">
        <v>0.1</v>
      </c>
      <c r="E37" s="69">
        <v>0.15</v>
      </c>
      <c r="F37" s="69">
        <v>0.1</v>
      </c>
      <c r="G3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35/30/10/15/10</v>
      </c>
      <c r="H37" s="159" cm="1">
        <f t="array" ref="H37">MIN(_xlfn._xlws.FILTER(PortfolioFrontier[#Data],(PortfolioFrontier[#Headers]="P"&amp;PortfolioRef[[#This Row],[Reference '#]]&amp;" DD")))</f>
        <v>-0.18102599925931473</v>
      </c>
    </row>
    <row r="38" spans="1:8" x14ac:dyDescent="0.2">
      <c r="A38" s="71">
        <v>37</v>
      </c>
      <c r="B38" s="69">
        <v>0.35</v>
      </c>
      <c r="C38" s="69">
        <v>0.3</v>
      </c>
      <c r="D38" s="69">
        <v>0.1</v>
      </c>
      <c r="E38" s="69">
        <v>0.1</v>
      </c>
      <c r="F38" s="69">
        <v>0.15</v>
      </c>
      <c r="G3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35/30/10/10/15</v>
      </c>
      <c r="H38" s="159" cm="1">
        <f t="array" ref="H38">MIN(_xlfn._xlws.FILTER(PortfolioFrontier[#Data],(PortfolioFrontier[#Headers]="P"&amp;PortfolioRef[[#This Row],[Reference '#]]&amp;" DD")))</f>
        <v>-0.16658537183824618</v>
      </c>
    </row>
    <row r="39" spans="1:8" x14ac:dyDescent="0.2">
      <c r="A39" s="71">
        <v>38</v>
      </c>
      <c r="B39" s="69">
        <v>0.35</v>
      </c>
      <c r="C39" s="69">
        <v>0.25</v>
      </c>
      <c r="D39" s="69">
        <v>0.2</v>
      </c>
      <c r="E39" s="69">
        <v>0.1</v>
      </c>
      <c r="F39" s="69">
        <v>0.1</v>
      </c>
      <c r="G3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35/25/20/10/10</v>
      </c>
      <c r="H39" s="159" cm="1">
        <f t="array" ref="H39">MIN(_xlfn._xlws.FILTER(PortfolioFrontier[#Data],(PortfolioFrontier[#Headers]="P"&amp;PortfolioRef[[#This Row],[Reference '#]]&amp;" DD")))</f>
        <v>-0.16837374068860644</v>
      </c>
    </row>
    <row r="40" spans="1:8" x14ac:dyDescent="0.2">
      <c r="A40" s="71">
        <v>39</v>
      </c>
      <c r="B40" s="69">
        <v>0.35</v>
      </c>
      <c r="C40" s="69">
        <v>0.25</v>
      </c>
      <c r="D40" s="69">
        <v>0.15</v>
      </c>
      <c r="E40" s="69">
        <v>0.15</v>
      </c>
      <c r="F40" s="69">
        <v>0.1</v>
      </c>
      <c r="G4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35/25/15/15/10</v>
      </c>
      <c r="H40" s="159" cm="1">
        <f t="array" ref="H40">MIN(_xlfn._xlws.FILTER(PortfolioFrontier[#Data],(PortfolioFrontier[#Headers]="P"&amp;PortfolioRef[[#This Row],[Reference '#]]&amp;" DD")))</f>
        <v>-0.17856921257489966</v>
      </c>
    </row>
    <row r="41" spans="1:8" x14ac:dyDescent="0.2">
      <c r="A41" s="71">
        <v>40</v>
      </c>
      <c r="B41" s="69">
        <v>0.35</v>
      </c>
      <c r="C41" s="69">
        <v>0.25</v>
      </c>
      <c r="D41" s="69">
        <v>0.15</v>
      </c>
      <c r="E41" s="69">
        <v>0.1</v>
      </c>
      <c r="F41" s="69">
        <v>0.15</v>
      </c>
      <c r="G4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35/25/15/10/15</v>
      </c>
      <c r="H41" s="159" cm="1">
        <f t="array" ref="H41">MIN(_xlfn._xlws.FILTER(PortfolioFrontier[#Data],(PortfolioFrontier[#Headers]="P"&amp;PortfolioRef[[#This Row],[Reference '#]]&amp;" DD")))</f>
        <v>-0.16409827380704267</v>
      </c>
    </row>
    <row r="42" spans="1:8" x14ac:dyDescent="0.2">
      <c r="A42" s="71">
        <v>41</v>
      </c>
      <c r="B42" s="69">
        <v>0.35</v>
      </c>
      <c r="C42" s="69">
        <v>0.25</v>
      </c>
      <c r="D42" s="69">
        <v>0.1</v>
      </c>
      <c r="E42" s="69">
        <v>0.2</v>
      </c>
      <c r="F42" s="69">
        <v>0.1</v>
      </c>
      <c r="G4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35/25/10/20/10</v>
      </c>
      <c r="H42" s="159" cm="1">
        <f t="array" ref="H42">MIN(_xlfn._xlws.FILTER(PortfolioFrontier[#Data],(PortfolioFrontier[#Headers]="P"&amp;PortfolioRef[[#This Row],[Reference '#]]&amp;" DD")))</f>
        <v>-0.1887362491709641</v>
      </c>
    </row>
    <row r="43" spans="1:8" x14ac:dyDescent="0.2">
      <c r="A43" s="71">
        <v>42</v>
      </c>
      <c r="B43" s="69">
        <v>0.35</v>
      </c>
      <c r="C43" s="69">
        <v>0.25</v>
      </c>
      <c r="D43" s="69">
        <v>0.1</v>
      </c>
      <c r="E43" s="69">
        <v>0.15</v>
      </c>
      <c r="F43" s="69">
        <v>0.15</v>
      </c>
      <c r="G4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35/25/10/15/15</v>
      </c>
      <c r="H43" s="159" cm="1">
        <f t="array" ref="H43">MIN(_xlfn._xlws.FILTER(PortfolioFrontier[#Data],(PortfolioFrontier[#Headers]="P"&amp;PortfolioRef[[#This Row],[Reference '#]]&amp;" DD")))</f>
        <v>-0.17433777288872498</v>
      </c>
    </row>
    <row r="44" spans="1:8" x14ac:dyDescent="0.2">
      <c r="A44" s="71">
        <v>43</v>
      </c>
      <c r="B44" s="69">
        <v>0.35</v>
      </c>
      <c r="C44" s="69">
        <v>0.25</v>
      </c>
      <c r="D44" s="69">
        <v>0.1</v>
      </c>
      <c r="E44" s="69">
        <v>0.1</v>
      </c>
      <c r="F44" s="69">
        <v>0.2</v>
      </c>
      <c r="G4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35/25/10/10/20</v>
      </c>
      <c r="H44" s="159" cm="1">
        <f t="array" ref="H44">MIN(_xlfn._xlws.FILTER(PortfolioFrontier[#Data],(PortfolioFrontier[#Headers]="P"&amp;PortfolioRef[[#This Row],[Reference '#]]&amp;" DD")))</f>
        <v>-0.15982311456934162</v>
      </c>
    </row>
    <row r="45" spans="1:8" x14ac:dyDescent="0.2">
      <c r="A45" s="71">
        <v>44</v>
      </c>
      <c r="B45" s="69">
        <v>0.35</v>
      </c>
      <c r="C45" s="69">
        <v>0.2</v>
      </c>
      <c r="D45" s="69">
        <v>0.2</v>
      </c>
      <c r="E45" s="69">
        <v>0.15</v>
      </c>
      <c r="F45" s="69">
        <v>0.1</v>
      </c>
      <c r="G4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35/20/20/15/10</v>
      </c>
      <c r="H45" s="159" cm="1">
        <f t="array" ref="H45">MIN(_xlfn._xlws.FILTER(PortfolioFrontier[#Data],(PortfolioFrontier[#Headers]="P"&amp;PortfolioRef[[#This Row],[Reference '#]]&amp;" DD")))</f>
        <v>-0.17612917157273245</v>
      </c>
    </row>
    <row r="46" spans="1:8" x14ac:dyDescent="0.2">
      <c r="A46" s="143">
        <v>45</v>
      </c>
      <c r="B46" s="142">
        <v>0.35</v>
      </c>
      <c r="C46" s="142">
        <v>0.2</v>
      </c>
      <c r="D46" s="142">
        <v>0.2</v>
      </c>
      <c r="E46" s="142">
        <v>0.1</v>
      </c>
      <c r="F46" s="142">
        <v>0.15</v>
      </c>
      <c r="G4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35/20/20/10/15</v>
      </c>
      <c r="H46" s="159" cm="1">
        <f t="array" ref="H46">MIN(_xlfn._xlws.FILTER(PortfolioFrontier[#Data],(PortfolioFrontier[#Headers]="P"&amp;PortfolioRef[[#This Row],[Reference '#]]&amp;" DD")))</f>
        <v>-0.16162825703486428</v>
      </c>
    </row>
    <row r="47" spans="1:8" x14ac:dyDescent="0.2">
      <c r="A47" s="71">
        <v>46</v>
      </c>
      <c r="B47" s="69">
        <v>0.35</v>
      </c>
      <c r="C47" s="69">
        <v>0.2</v>
      </c>
      <c r="D47" s="69">
        <v>0.15</v>
      </c>
      <c r="E47" s="69">
        <v>0.2</v>
      </c>
      <c r="F47" s="69">
        <v>0.1</v>
      </c>
      <c r="G4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35/20/15/20/10</v>
      </c>
      <c r="H47" s="159" cm="1">
        <f t="array" ref="H47">MIN(_xlfn._xlws.FILTER(PortfolioFrontier[#Data],(PortfolioFrontier[#Headers]="P"&amp;PortfolioRef[[#This Row],[Reference '#]]&amp;" DD")))</f>
        <v>-0.18630131001666095</v>
      </c>
    </row>
    <row r="48" spans="1:8" x14ac:dyDescent="0.2">
      <c r="A48" s="71">
        <v>47</v>
      </c>
      <c r="B48" s="69">
        <v>0.35</v>
      </c>
      <c r="C48" s="69">
        <v>0.2</v>
      </c>
      <c r="D48" s="69">
        <v>0.15</v>
      </c>
      <c r="E48" s="69">
        <v>0.15</v>
      </c>
      <c r="F48" s="69">
        <v>0.15</v>
      </c>
      <c r="G4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35/20/15/15/15</v>
      </c>
      <c r="H48" s="159" cm="1">
        <f t="array" ref="H48">MIN(_xlfn._xlws.FILTER(PortfolioFrontier[#Data],(PortfolioFrontier[#Headers]="P"&amp;PortfolioRef[[#This Row],[Reference '#]]&amp;" DD")))</f>
        <v>-0.17187256847840193</v>
      </c>
    </row>
    <row r="49" spans="1:8" x14ac:dyDescent="0.2">
      <c r="A49" s="143">
        <v>48</v>
      </c>
      <c r="B49" s="142">
        <v>0.35</v>
      </c>
      <c r="C49" s="142">
        <v>0.2</v>
      </c>
      <c r="D49" s="142">
        <v>0.15</v>
      </c>
      <c r="E49" s="142">
        <v>0.1</v>
      </c>
      <c r="F49" s="142">
        <v>0.2</v>
      </c>
      <c r="G4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35/20/15/10/20</v>
      </c>
      <c r="H49" s="159" cm="1">
        <f t="array" ref="H49">MIN(_xlfn._xlws.FILTER(PortfolioFrontier[#Data],(PortfolioFrontier[#Headers]="P"&amp;PortfolioRef[[#This Row],[Reference '#]]&amp;" DD")))</f>
        <v>-0.15732759310777245</v>
      </c>
    </row>
    <row r="50" spans="1:8" x14ac:dyDescent="0.2">
      <c r="A50" s="71">
        <v>49</v>
      </c>
      <c r="B50" s="69">
        <v>0.35</v>
      </c>
      <c r="C50" s="69">
        <v>0.2</v>
      </c>
      <c r="D50" s="69">
        <v>0.1</v>
      </c>
      <c r="E50" s="69">
        <v>0.25</v>
      </c>
      <c r="F50" s="69">
        <v>0.1</v>
      </c>
      <c r="G5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35/20/10/25/10</v>
      </c>
      <c r="H50" s="159" cm="1">
        <f t="array" ref="H50">MIN(_xlfn._xlws.FILTER(PortfolioFrontier[#Data],(PortfolioFrontier[#Headers]="P"&amp;PortfolioRef[[#This Row],[Reference '#]]&amp;" DD")))</f>
        <v>-0.19644374610144166</v>
      </c>
    </row>
    <row r="51" spans="1:8" x14ac:dyDescent="0.2">
      <c r="A51" s="71">
        <v>50</v>
      </c>
      <c r="B51" s="69">
        <v>0.35</v>
      </c>
      <c r="C51" s="69">
        <v>0.2</v>
      </c>
      <c r="D51" s="69">
        <v>0.1</v>
      </c>
      <c r="E51" s="69">
        <v>0.2</v>
      </c>
      <c r="F51" s="69">
        <v>0.15</v>
      </c>
      <c r="G5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35/20/10/20/15</v>
      </c>
      <c r="H51" s="159" cm="1">
        <f t="array" ref="H51">MIN(_xlfn._xlws.FILTER(PortfolioFrontier[#Data],(PortfolioFrontier[#Headers]="P"&amp;PortfolioRef[[#This Row],[Reference '#]]&amp;" DD")))</f>
        <v>-0.18208883977532875</v>
      </c>
    </row>
    <row r="52" spans="1:8" x14ac:dyDescent="0.2">
      <c r="A52" s="71">
        <v>51</v>
      </c>
      <c r="B52" s="69">
        <v>0.35</v>
      </c>
      <c r="C52" s="69">
        <v>0.2</v>
      </c>
      <c r="D52" s="69">
        <v>0.1</v>
      </c>
      <c r="E52" s="69">
        <v>0.15</v>
      </c>
      <c r="F52" s="69">
        <v>0.2</v>
      </c>
      <c r="G5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35/20/10/15/20</v>
      </c>
      <c r="H52" s="159" cm="1">
        <f t="array" ref="H52">MIN(_xlfn._xlws.FILTER(PortfolioFrontier[#Data],(PortfolioFrontier[#Headers]="P"&amp;PortfolioRef[[#This Row],[Reference '#]]&amp;" DD")))</f>
        <v>-0.16761603397906266</v>
      </c>
    </row>
    <row r="53" spans="1:8" x14ac:dyDescent="0.2">
      <c r="A53" s="71">
        <v>52</v>
      </c>
      <c r="B53" s="69">
        <v>0.35</v>
      </c>
      <c r="C53" s="69">
        <v>0.15</v>
      </c>
      <c r="D53" s="69">
        <v>0.2</v>
      </c>
      <c r="E53" s="69">
        <v>0.2</v>
      </c>
      <c r="F53" s="69">
        <v>0.1</v>
      </c>
      <c r="G5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35/15/20/20/10</v>
      </c>
      <c r="H53" s="159" cm="1">
        <f t="array" ref="H53">MIN(_xlfn._xlws.FILTER(PortfolioFrontier[#Data],(PortfolioFrontier[#Headers]="P"&amp;PortfolioRef[[#This Row],[Reference '#]]&amp;" DD")))</f>
        <v>-0.18388293935893474</v>
      </c>
    </row>
    <row r="54" spans="1:8" x14ac:dyDescent="0.2">
      <c r="A54" s="143">
        <v>53</v>
      </c>
      <c r="B54" s="142">
        <v>0.35</v>
      </c>
      <c r="C54" s="142">
        <v>0.15</v>
      </c>
      <c r="D54" s="142">
        <v>0.2</v>
      </c>
      <c r="E54" s="142">
        <v>0.15</v>
      </c>
      <c r="F54" s="142">
        <v>0.15</v>
      </c>
      <c r="G5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35/15/20/15/15</v>
      </c>
      <c r="H54" s="159" cm="1">
        <f t="array" ref="H54">MIN(_xlfn._xlws.FILTER(PortfolioFrontier[#Data],(PortfolioFrontier[#Headers]="P"&amp;PortfolioRef[[#This Row],[Reference '#]]&amp;" DD")))</f>
        <v>-0.16942426563268254</v>
      </c>
    </row>
    <row r="55" spans="1:8" x14ac:dyDescent="0.2">
      <c r="A55" s="126">
        <v>54</v>
      </c>
      <c r="B55" s="124">
        <v>0.35</v>
      </c>
      <c r="C55" s="124">
        <v>0.15</v>
      </c>
      <c r="D55" s="124">
        <v>0.2</v>
      </c>
      <c r="E55" s="124">
        <v>0.1</v>
      </c>
      <c r="F55" s="124">
        <v>0.2</v>
      </c>
      <c r="G5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35/15/20/10/20</v>
      </c>
      <c r="H55" s="159" cm="1">
        <f t="array" ref="H55">MIN(_xlfn._xlws.FILTER(PortfolioFrontier[#Data],(PortfolioFrontier[#Headers]="P"&amp;PortfolioRef[[#This Row],[Reference '#]]&amp;" DD")))</f>
        <v>-0.15484931096251686</v>
      </c>
    </row>
    <row r="56" spans="1:8" x14ac:dyDescent="0.2">
      <c r="A56" s="71">
        <v>55</v>
      </c>
      <c r="B56" s="69">
        <v>0.35</v>
      </c>
      <c r="C56" s="69">
        <v>0.15</v>
      </c>
      <c r="D56" s="69">
        <v>0.15</v>
      </c>
      <c r="E56" s="69">
        <v>0.25</v>
      </c>
      <c r="F56" s="69">
        <v>0.1</v>
      </c>
      <c r="G5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35/15/15/25/10</v>
      </c>
      <c r="H56" s="159" cm="1">
        <f t="array" ref="H56">MIN(_xlfn._xlws.FILTER(PortfolioFrontier[#Data],(PortfolioFrontier[#Headers]="P"&amp;PortfolioRef[[#This Row],[Reference '#]]&amp;" DD")))</f>
        <v>-0.1940306400546703</v>
      </c>
    </row>
    <row r="57" spans="1:8" x14ac:dyDescent="0.2">
      <c r="A57" s="71">
        <v>56</v>
      </c>
      <c r="B57" s="69">
        <v>0.35</v>
      </c>
      <c r="C57" s="69">
        <v>0.15</v>
      </c>
      <c r="D57" s="69">
        <v>0.15</v>
      </c>
      <c r="E57" s="69">
        <v>0.2</v>
      </c>
      <c r="F57" s="69">
        <v>0.15</v>
      </c>
      <c r="G5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35/15/15/20/15</v>
      </c>
      <c r="H57" s="159" cm="1">
        <f t="array" ref="H57">MIN(_xlfn._xlws.FILTER(PortfolioFrontier[#Data],(PortfolioFrontier[#Headers]="P"&amp;PortfolioRef[[#This Row],[Reference '#]]&amp;" DD")))</f>
        <v>-0.17964551741147883</v>
      </c>
    </row>
    <row r="58" spans="1:8" x14ac:dyDescent="0.2">
      <c r="A58" s="71">
        <v>57</v>
      </c>
      <c r="B58" s="69">
        <v>0.35</v>
      </c>
      <c r="C58" s="69">
        <v>0.15</v>
      </c>
      <c r="D58" s="69">
        <v>0.15</v>
      </c>
      <c r="E58" s="69">
        <v>0.15</v>
      </c>
      <c r="F58" s="69">
        <v>0.2</v>
      </c>
      <c r="G5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35/15/15/15/20</v>
      </c>
      <c r="H58" s="159" cm="1">
        <f t="array" ref="H58">MIN(_xlfn._xlws.FILTER(PortfolioFrontier[#Data],(PortfolioFrontier[#Headers]="P"&amp;PortfolioRef[[#This Row],[Reference '#]]&amp;" DD")))</f>
        <v>-0.1651424399457585</v>
      </c>
    </row>
    <row r="59" spans="1:8" x14ac:dyDescent="0.2">
      <c r="A59" s="71">
        <v>58</v>
      </c>
      <c r="B59" s="69">
        <v>0.35</v>
      </c>
      <c r="C59" s="69">
        <v>0.15</v>
      </c>
      <c r="D59" s="69">
        <v>0.1</v>
      </c>
      <c r="E59" s="69">
        <v>0.3</v>
      </c>
      <c r="F59" s="69">
        <v>0.1</v>
      </c>
      <c r="G5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35/15/10/30/10</v>
      </c>
      <c r="H59" s="159" cm="1">
        <f t="array" ref="H59">MIN(_xlfn._xlws.FILTER(PortfolioFrontier[#Data],(PortfolioFrontier[#Headers]="P"&amp;PortfolioRef[[#This Row],[Reference '#]]&amp;" DD")))</f>
        <v>-0.20414738967609258</v>
      </c>
    </row>
    <row r="60" spans="1:8" x14ac:dyDescent="0.2">
      <c r="A60" s="71">
        <v>59</v>
      </c>
      <c r="B60" s="69">
        <v>0.35</v>
      </c>
      <c r="C60" s="69">
        <v>0.15</v>
      </c>
      <c r="D60" s="69">
        <v>0.1</v>
      </c>
      <c r="E60" s="69">
        <v>0.25</v>
      </c>
      <c r="F60" s="69">
        <v>0.15</v>
      </c>
      <c r="G6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35/15/10/25/15</v>
      </c>
      <c r="H60" s="159" cm="1">
        <f t="array" ref="H60">MIN(_xlfn._xlws.FILTER(PortfolioFrontier[#Data],(PortfolioFrontier[#Headers]="P"&amp;PortfolioRef[[#This Row],[Reference '#]]&amp;" DD")))</f>
        <v>-0.18983745098866178</v>
      </c>
    </row>
    <row r="61" spans="1:8" x14ac:dyDescent="0.2">
      <c r="A61" s="71">
        <v>60</v>
      </c>
      <c r="B61" s="69">
        <v>0.35</v>
      </c>
      <c r="C61" s="69">
        <v>0.15</v>
      </c>
      <c r="D61" s="69">
        <v>0.1</v>
      </c>
      <c r="E61" s="69">
        <v>0.2</v>
      </c>
      <c r="F61" s="69">
        <v>0.2</v>
      </c>
      <c r="G6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35/15/10/20/20</v>
      </c>
      <c r="H61" s="159" cm="1">
        <f t="array" ref="H61">MIN(_xlfn._xlws.FILTER(PortfolioFrontier[#Data],(PortfolioFrontier[#Headers]="P"&amp;PortfolioRef[[#This Row],[Reference '#]]&amp;" DD")))</f>
        <v>-0.17540792917075321</v>
      </c>
    </row>
    <row r="62" spans="1:8" x14ac:dyDescent="0.2">
      <c r="A62" s="71">
        <v>61</v>
      </c>
      <c r="B62" s="69">
        <v>0.3</v>
      </c>
      <c r="C62" s="69">
        <v>0.4</v>
      </c>
      <c r="D62" s="69">
        <v>0.1</v>
      </c>
      <c r="E62" s="69">
        <v>0.1</v>
      </c>
      <c r="F62" s="69">
        <v>0.1</v>
      </c>
      <c r="G6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30/40/10/10/10</v>
      </c>
      <c r="H62" s="159" cm="1">
        <f t="array" ref="H62">MIN(_xlfn._xlws.FILTER(PortfolioFrontier[#Data],(PortfolioFrontier[#Headers]="P"&amp;PortfolioRef[[#This Row],[Reference '#]]&amp;" DD")))</f>
        <v>-0.16849098057898348</v>
      </c>
    </row>
    <row r="63" spans="1:8" x14ac:dyDescent="0.2">
      <c r="A63" s="71">
        <v>62</v>
      </c>
      <c r="B63" s="69">
        <v>0.3</v>
      </c>
      <c r="C63" s="69">
        <v>0.35</v>
      </c>
      <c r="D63" s="69">
        <v>0.15</v>
      </c>
      <c r="E63" s="69">
        <v>0.1</v>
      </c>
      <c r="F63" s="69">
        <v>0.1</v>
      </c>
      <c r="G6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30/35/15/10/10</v>
      </c>
      <c r="H63" s="159" cm="1">
        <f t="array" ref="H63">MIN(_xlfn._xlws.FILTER(PortfolioFrontier[#Data],(PortfolioFrontier[#Headers]="P"&amp;PortfolioRef[[#This Row],[Reference '#]]&amp;" DD")))</f>
        <v>-0.16600529744900194</v>
      </c>
    </row>
    <row r="64" spans="1:8" x14ac:dyDescent="0.2">
      <c r="A64" s="71">
        <v>63</v>
      </c>
      <c r="B64" s="69">
        <v>0.3</v>
      </c>
      <c r="C64" s="69">
        <v>0.35</v>
      </c>
      <c r="D64" s="69">
        <v>0.1</v>
      </c>
      <c r="E64" s="69">
        <v>0.15</v>
      </c>
      <c r="F64" s="69">
        <v>0.1</v>
      </c>
      <c r="G6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30/35/10/15/10</v>
      </c>
      <c r="H64" s="159" cm="1">
        <f t="array" ref="H64">MIN(_xlfn._xlws.FILTER(PortfolioFrontier[#Data],(PortfolioFrontier[#Headers]="P"&amp;PortfolioRef[[#This Row],[Reference '#]]&amp;" DD")))</f>
        <v>-0.17619937541805675</v>
      </c>
    </row>
    <row r="65" spans="1:8" x14ac:dyDescent="0.2">
      <c r="A65" s="71">
        <v>64</v>
      </c>
      <c r="B65" s="69">
        <v>0.3</v>
      </c>
      <c r="C65" s="69">
        <v>0.35</v>
      </c>
      <c r="D65" s="69">
        <v>0.1</v>
      </c>
      <c r="E65" s="69">
        <v>0.1</v>
      </c>
      <c r="F65" s="69">
        <v>0.15</v>
      </c>
      <c r="G6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30/35/10/10/15</v>
      </c>
      <c r="H65" s="159" cm="1">
        <f t="array" ref="H65">MIN(_xlfn._xlws.FILTER(PortfolioFrontier[#Data],(PortfolioFrontier[#Headers]="P"&amp;PortfolioRef[[#This Row],[Reference '#]]&amp;" DD")))</f>
        <v>-0.16174572414969512</v>
      </c>
    </row>
    <row r="66" spans="1:8" x14ac:dyDescent="0.2">
      <c r="A66" s="71">
        <v>65</v>
      </c>
      <c r="B66" s="69">
        <v>0.3</v>
      </c>
      <c r="C66" s="69">
        <v>0.3</v>
      </c>
      <c r="D66" s="69">
        <v>0.2</v>
      </c>
      <c r="E66" s="69">
        <v>0.1</v>
      </c>
      <c r="F66" s="69">
        <v>0.1</v>
      </c>
      <c r="G6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30/30/20/10/10</v>
      </c>
      <c r="H66" s="159" cm="1">
        <f t="array" ref="H66">MIN(_xlfn._xlws.FILTER(PortfolioFrontier[#Data],(PortfolioFrontier[#Headers]="P"&amp;PortfolioRef[[#This Row],[Reference '#]]&amp;" DD")))</f>
        <v>-0.16353671020713034</v>
      </c>
    </row>
    <row r="67" spans="1:8" x14ac:dyDescent="0.2">
      <c r="A67" s="71">
        <v>66</v>
      </c>
      <c r="B67" s="69">
        <v>0.3</v>
      </c>
      <c r="C67" s="69">
        <v>0.3</v>
      </c>
      <c r="D67" s="69">
        <v>0.15</v>
      </c>
      <c r="E67" s="69">
        <v>0.15</v>
      </c>
      <c r="F67" s="69">
        <v>0.1</v>
      </c>
      <c r="G6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30/30/15/15/10</v>
      </c>
      <c r="H67" s="159" cm="1">
        <f t="array" ref="H67">MIN(_xlfn._xlws.FILTER(PortfolioFrontier[#Data],(PortfolioFrontier[#Headers]="P"&amp;PortfolioRef[[#This Row],[Reference '#]]&amp;" DD")))</f>
        <v>-0.17373548486634538</v>
      </c>
    </row>
    <row r="68" spans="1:8" x14ac:dyDescent="0.2">
      <c r="A68" s="71">
        <v>67</v>
      </c>
      <c r="B68" s="69">
        <v>0.3</v>
      </c>
      <c r="C68" s="69">
        <v>0.3</v>
      </c>
      <c r="D68" s="69">
        <v>0.15</v>
      </c>
      <c r="E68" s="69">
        <v>0.1</v>
      </c>
      <c r="F68" s="69">
        <v>0.15</v>
      </c>
      <c r="G6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30/30/15/10/15</v>
      </c>
      <c r="H68" s="159" cm="1">
        <f t="array" ref="H68">MIN(_xlfn._xlws.FILTER(PortfolioFrontier[#Data],(PortfolioFrontier[#Headers]="P"&amp;PortfolioRef[[#This Row],[Reference '#]]&amp;" DD")))</f>
        <v>-0.15925163718743796</v>
      </c>
    </row>
    <row r="69" spans="1:8" x14ac:dyDescent="0.2">
      <c r="A69" s="71">
        <v>68</v>
      </c>
      <c r="B69" s="69">
        <v>0.3</v>
      </c>
      <c r="C69" s="69">
        <v>0.3</v>
      </c>
      <c r="D69" s="69">
        <v>0.1</v>
      </c>
      <c r="E69" s="69">
        <v>0.2</v>
      </c>
      <c r="F69" s="69">
        <v>0.1</v>
      </c>
      <c r="G6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30/30/10/20/10</v>
      </c>
      <c r="H69" s="159" cm="1">
        <f t="array" ref="H69">MIN(_xlfn._xlws.FILTER(PortfolioFrontier[#Data],(PortfolioFrontier[#Headers]="P"&amp;PortfolioRef[[#This Row],[Reference '#]]&amp;" DD")))</f>
        <v>-0.18390694878202885</v>
      </c>
    </row>
    <row r="70" spans="1:8" x14ac:dyDescent="0.2">
      <c r="A70" s="71">
        <v>69</v>
      </c>
      <c r="B70" s="69">
        <v>0.3</v>
      </c>
      <c r="C70" s="69">
        <v>0.3</v>
      </c>
      <c r="D70" s="69">
        <v>0.1</v>
      </c>
      <c r="E70" s="69">
        <v>0.15</v>
      </c>
      <c r="F70" s="69">
        <v>0.15</v>
      </c>
      <c r="G7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30/30/10/15/15</v>
      </c>
      <c r="H70" s="159" cm="1">
        <f t="array" ref="H70">MIN(_xlfn._xlws.FILTER(PortfolioFrontier[#Data],(PortfolioFrontier[#Headers]="P"&amp;PortfolioRef[[#This Row],[Reference '#]]&amp;" DD")))</f>
        <v>-0.16949431138552595</v>
      </c>
    </row>
    <row r="71" spans="1:8" x14ac:dyDescent="0.2">
      <c r="A71" s="71">
        <v>70</v>
      </c>
      <c r="B71" s="69">
        <v>0.3</v>
      </c>
      <c r="C71" s="69">
        <v>0.3</v>
      </c>
      <c r="D71" s="69">
        <v>0.1</v>
      </c>
      <c r="E71" s="69">
        <v>0.1</v>
      </c>
      <c r="F71" s="69">
        <v>0.2</v>
      </c>
      <c r="G7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30/30/10/10/20</v>
      </c>
      <c r="H71" s="159" cm="1">
        <f t="array" ref="H71">MIN(_xlfn._xlws.FILTER(PortfolioFrontier[#Data],(PortfolioFrontier[#Headers]="P"&amp;PortfolioRef[[#This Row],[Reference '#]]&amp;" DD")))</f>
        <v>-0.15496704459696842</v>
      </c>
    </row>
    <row r="72" spans="1:8" x14ac:dyDescent="0.2">
      <c r="A72" s="71">
        <v>71</v>
      </c>
      <c r="B72" s="69">
        <v>0.3</v>
      </c>
      <c r="C72" s="69">
        <v>0.25</v>
      </c>
      <c r="D72" s="69">
        <v>0.2</v>
      </c>
      <c r="E72" s="69">
        <v>0.15</v>
      </c>
      <c r="F72" s="69">
        <v>0.1</v>
      </c>
      <c r="G7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30/25/20/15/10</v>
      </c>
      <c r="H72" s="159" cm="1">
        <f t="array" ref="H72">MIN(_xlfn._xlws.FILTER(PortfolioFrontier[#Data],(PortfolioFrontier[#Headers]="P"&amp;PortfolioRef[[#This Row],[Reference '#]]&amp;" DD")))</f>
        <v>-0.17128851054404948</v>
      </c>
    </row>
    <row r="73" spans="1:8" x14ac:dyDescent="0.2">
      <c r="A73" s="71">
        <v>72</v>
      </c>
      <c r="B73" s="69">
        <v>0.3</v>
      </c>
      <c r="C73" s="69">
        <v>0.25</v>
      </c>
      <c r="D73" s="69">
        <v>0.2</v>
      </c>
      <c r="E73" s="69">
        <v>0.1</v>
      </c>
      <c r="F73" s="69">
        <v>0.15</v>
      </c>
      <c r="G7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30/25/20/10/15</v>
      </c>
      <c r="H73" s="159" cm="1">
        <f t="array" ref="H73">MIN(_xlfn._xlws.FILTER(PortfolioFrontier[#Data],(PortfolioFrontier[#Headers]="P"&amp;PortfolioRef[[#This Row],[Reference '#]]&amp;" DD")))</f>
        <v>-0.15677480431751634</v>
      </c>
    </row>
    <row r="74" spans="1:8" x14ac:dyDescent="0.2">
      <c r="A74" s="71">
        <v>73</v>
      </c>
      <c r="B74" s="69">
        <v>0.3</v>
      </c>
      <c r="C74" s="69">
        <v>0.25</v>
      </c>
      <c r="D74" s="69">
        <v>0.15</v>
      </c>
      <c r="E74" s="69">
        <v>0.2</v>
      </c>
      <c r="F74" s="69">
        <v>0.1</v>
      </c>
      <c r="G7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30/25/15/20/10</v>
      </c>
      <c r="H74" s="159" cm="1">
        <f t="array" ref="H74">MIN(_xlfn._xlws.FILTER(PortfolioFrontier[#Data],(PortfolioFrontier[#Headers]="P"&amp;PortfolioRef[[#This Row],[Reference '#]]&amp;" DD")))</f>
        <v>-0.18146484085570624</v>
      </c>
    </row>
    <row r="75" spans="1:8" x14ac:dyDescent="0.2">
      <c r="A75" s="71">
        <v>74</v>
      </c>
      <c r="B75" s="69">
        <v>0.3</v>
      </c>
      <c r="C75" s="69">
        <v>0.25</v>
      </c>
      <c r="D75" s="69">
        <v>0.15</v>
      </c>
      <c r="E75" s="69">
        <v>0.15</v>
      </c>
      <c r="F75" s="69">
        <v>0.15</v>
      </c>
      <c r="G7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30/25/15/15/15</v>
      </c>
      <c r="H75" s="159" cm="1">
        <f t="array" ref="H75">MIN(_xlfn._xlws.FILTER(PortfolioFrontier[#Data],(PortfolioFrontier[#Headers]="P"&amp;PortfolioRef[[#This Row],[Reference '#]]&amp;" DD")))</f>
        <v>-0.16702205029844652</v>
      </c>
    </row>
    <row r="76" spans="1:8" x14ac:dyDescent="0.2">
      <c r="A76" s="71">
        <v>75</v>
      </c>
      <c r="B76" s="69">
        <v>0.3</v>
      </c>
      <c r="C76" s="69">
        <v>0.25</v>
      </c>
      <c r="D76" s="69">
        <v>0.15</v>
      </c>
      <c r="E76" s="69">
        <v>0.1</v>
      </c>
      <c r="F76" s="69">
        <v>0.2</v>
      </c>
      <c r="G7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30/25/15/10/20</v>
      </c>
      <c r="H76" s="159" cm="1">
        <f t="array" ref="H76">MIN(_xlfn._xlws.FILTER(PortfolioFrontier[#Data],(PortfolioFrontier[#Headers]="P"&amp;PortfolioRef[[#This Row],[Reference '#]]&amp;" DD")))</f>
        <v>-0.15246458266521146</v>
      </c>
    </row>
    <row r="77" spans="1:8" x14ac:dyDescent="0.2">
      <c r="A77" s="71">
        <v>76</v>
      </c>
      <c r="B77" s="69">
        <v>0.3</v>
      </c>
      <c r="C77" s="69">
        <v>0.25</v>
      </c>
      <c r="D77" s="69">
        <v>0.1</v>
      </c>
      <c r="E77" s="69">
        <v>0.25</v>
      </c>
      <c r="F77" s="69">
        <v>0.1</v>
      </c>
      <c r="G7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30/25/10/25/10</v>
      </c>
      <c r="H77" s="159" cm="1">
        <f t="array" ref="H77">MIN(_xlfn._xlws.FILTER(PortfolioFrontier[#Data],(PortfolioFrontier[#Headers]="P"&amp;PortfolioRef[[#This Row],[Reference '#]]&amp;" DD")))</f>
        <v>-0.19161257876741677</v>
      </c>
    </row>
    <row r="78" spans="1:8" x14ac:dyDescent="0.2">
      <c r="A78" s="71">
        <v>77</v>
      </c>
      <c r="B78" s="69">
        <v>0.3</v>
      </c>
      <c r="C78" s="69">
        <v>0.25</v>
      </c>
      <c r="D78" s="69">
        <v>0.1</v>
      </c>
      <c r="E78" s="69">
        <v>0.2</v>
      </c>
      <c r="F78" s="69">
        <v>0.15</v>
      </c>
      <c r="G7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30/25/10/20/15</v>
      </c>
      <c r="H78" s="159" cm="1">
        <f t="array" ref="H78">MIN(_xlfn._xlws.FILTER(PortfolioFrontier[#Data],(PortfolioFrontier[#Headers]="P"&amp;PortfolioRef[[#This Row],[Reference '#]]&amp;" DD")))</f>
        <v>-0.1772423898155604</v>
      </c>
    </row>
    <row r="79" spans="1:8" x14ac:dyDescent="0.2">
      <c r="A79" s="71">
        <v>78</v>
      </c>
      <c r="B79" s="69">
        <v>0.3</v>
      </c>
      <c r="C79" s="69">
        <v>0.25</v>
      </c>
      <c r="D79" s="69">
        <v>0.1</v>
      </c>
      <c r="E79" s="69">
        <v>0.15</v>
      </c>
      <c r="F79" s="69">
        <v>0.2</v>
      </c>
      <c r="G7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30/25/10/15/20</v>
      </c>
      <c r="H79" s="159" cm="1">
        <f t="array" ref="H79">MIN(_xlfn._xlws.FILTER(PortfolioFrontier[#Data],(PortfolioFrontier[#Headers]="P"&amp;PortfolioRef[[#This Row],[Reference '#]]&amp;" DD")))</f>
        <v>-0.1627558285676346</v>
      </c>
    </row>
    <row r="80" spans="1:8" x14ac:dyDescent="0.2">
      <c r="A80" s="71">
        <v>79</v>
      </c>
      <c r="B80" s="69">
        <v>0.3</v>
      </c>
      <c r="C80" s="69">
        <v>0.2</v>
      </c>
      <c r="D80" s="69">
        <v>0.2</v>
      </c>
      <c r="E80" s="69">
        <v>0.2</v>
      </c>
      <c r="F80" s="69">
        <v>0.1</v>
      </c>
      <c r="G8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30/20/20/20/10</v>
      </c>
      <c r="H80" s="159" cm="1">
        <f t="array" ref="H80">MIN(_xlfn._xlws.FILTER(PortfolioFrontier[#Data],(PortfolioFrontier[#Headers]="P"&amp;PortfolioRef[[#This Row],[Reference '#]]&amp;" DD")))</f>
        <v>-0.17903947068730142</v>
      </c>
    </row>
    <row r="81" spans="1:8" x14ac:dyDescent="0.2">
      <c r="A81" s="71">
        <v>80</v>
      </c>
      <c r="B81" s="69">
        <v>0.3</v>
      </c>
      <c r="C81" s="69">
        <v>0.2</v>
      </c>
      <c r="D81" s="69">
        <v>0.2</v>
      </c>
      <c r="E81" s="69">
        <v>0.15</v>
      </c>
      <c r="F81" s="69">
        <v>0.15</v>
      </c>
      <c r="G8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30/20/20/15/15</v>
      </c>
      <c r="H81" s="159" cm="1">
        <f t="array" ref="H81">MIN(_xlfn._xlws.FILTER(PortfolioFrontier[#Data],(PortfolioFrontier[#Headers]="P"&amp;PortfolioRef[[#This Row],[Reference '#]]&amp;" DD")))</f>
        <v>-0.16456686231062201</v>
      </c>
    </row>
    <row r="82" spans="1:8" x14ac:dyDescent="0.2">
      <c r="A82" s="143">
        <v>81</v>
      </c>
      <c r="B82" s="142">
        <v>0.3</v>
      </c>
      <c r="C82" s="142">
        <v>0.2</v>
      </c>
      <c r="D82" s="142">
        <v>0.2</v>
      </c>
      <c r="E82" s="142">
        <v>0.1</v>
      </c>
      <c r="F82" s="142">
        <v>0.2</v>
      </c>
      <c r="G8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30/20/20/10/20</v>
      </c>
      <c r="H82" s="159" cm="1">
        <f t="array" ref="H82">MIN(_xlfn._xlws.FILTER(PortfolioFrontier[#Data],(PortfolioFrontier[#Headers]="P"&amp;PortfolioRef[[#This Row],[Reference '#]]&amp;" DD")))</f>
        <v>-0.14997953387901686</v>
      </c>
    </row>
    <row r="83" spans="1:8" x14ac:dyDescent="0.2">
      <c r="A83" s="71">
        <v>82</v>
      </c>
      <c r="B83" s="69">
        <v>0.3</v>
      </c>
      <c r="C83" s="69">
        <v>0.2</v>
      </c>
      <c r="D83" s="69">
        <v>0.15</v>
      </c>
      <c r="E83" s="69">
        <v>0.25</v>
      </c>
      <c r="F83" s="69">
        <v>0.1</v>
      </c>
      <c r="G8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30/20/15/25/10</v>
      </c>
      <c r="H83" s="159" cm="1">
        <f t="array" ref="H83">MIN(_xlfn._xlws.FILTER(PortfolioFrontier[#Data],(PortfolioFrontier[#Headers]="P"&amp;PortfolioRef[[#This Row],[Reference '#]]&amp;" DD")))</f>
        <v>-0.18919224107483956</v>
      </c>
    </row>
    <row r="84" spans="1:8" x14ac:dyDescent="0.2">
      <c r="A84" s="71">
        <v>83</v>
      </c>
      <c r="B84" s="69">
        <v>0.3</v>
      </c>
      <c r="C84" s="69">
        <v>0.2</v>
      </c>
      <c r="D84" s="69">
        <v>0.15</v>
      </c>
      <c r="E84" s="69">
        <v>0.2</v>
      </c>
      <c r="F84" s="69">
        <v>0.15</v>
      </c>
      <c r="G8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30/20/15/20/15</v>
      </c>
      <c r="H84" s="159" cm="1">
        <f t="array" ref="H84">MIN(_xlfn._xlws.FILTER(PortfolioFrontier[#Data],(PortfolioFrontier[#Headers]="P"&amp;PortfolioRef[[#This Row],[Reference '#]]&amp;" DD")))</f>
        <v>-0.17479194507259455</v>
      </c>
    </row>
    <row r="85" spans="1:8" x14ac:dyDescent="0.2">
      <c r="A85" s="71">
        <v>84</v>
      </c>
      <c r="B85" s="69">
        <v>0.3</v>
      </c>
      <c r="C85" s="69">
        <v>0.2</v>
      </c>
      <c r="D85" s="69">
        <v>0.15</v>
      </c>
      <c r="E85" s="69">
        <v>0.15</v>
      </c>
      <c r="F85" s="69">
        <v>0.2</v>
      </c>
      <c r="G8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30/20/15/15/20</v>
      </c>
      <c r="H85" s="159" cm="1">
        <f t="array" ref="H85">MIN(_xlfn._xlws.FILTER(PortfolioFrontier[#Data],(PortfolioFrontier[#Headers]="P"&amp;PortfolioRef[[#This Row],[Reference '#]]&amp;" DD")))</f>
        <v>-0.16027522551679685</v>
      </c>
    </row>
    <row r="86" spans="1:8" x14ac:dyDescent="0.2">
      <c r="A86" s="71">
        <v>85</v>
      </c>
      <c r="B86" s="69">
        <v>0.3</v>
      </c>
      <c r="C86" s="69">
        <v>0.2</v>
      </c>
      <c r="D86" s="69">
        <v>0.1</v>
      </c>
      <c r="E86" s="69">
        <v>0.3</v>
      </c>
      <c r="F86" s="69">
        <v>0.1</v>
      </c>
      <c r="G8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30/20/10/30/10</v>
      </c>
      <c r="H86" s="159" cm="1">
        <f t="array" ref="H86">MIN(_xlfn._xlws.FILTER(PortfolioFrontier[#Data],(PortfolioFrontier[#Headers]="P"&amp;PortfolioRef[[#This Row],[Reference '#]]&amp;" DD")))</f>
        <v>-0.19931515574132885</v>
      </c>
    </row>
    <row r="87" spans="1:8" x14ac:dyDescent="0.2">
      <c r="A87" s="71">
        <v>86</v>
      </c>
      <c r="B87" s="69">
        <v>0.3</v>
      </c>
      <c r="C87" s="69">
        <v>0.2</v>
      </c>
      <c r="D87" s="69">
        <v>0.1</v>
      </c>
      <c r="E87" s="69">
        <v>0.25</v>
      </c>
      <c r="F87" s="69">
        <v>0.15</v>
      </c>
      <c r="G8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30/20/10/25/15</v>
      </c>
      <c r="H87" s="159" cm="1">
        <f t="array" ref="H87">MIN(_xlfn._xlws.FILTER(PortfolioFrontier[#Data],(PortfolioFrontier[#Headers]="P"&amp;PortfolioRef[[#This Row],[Reference '#]]&amp;" DD")))</f>
        <v>-0.1849888286940925</v>
      </c>
    </row>
    <row r="88" spans="1:8" x14ac:dyDescent="0.2">
      <c r="A88" s="71">
        <v>87</v>
      </c>
      <c r="B88" s="69">
        <v>0.3</v>
      </c>
      <c r="C88" s="69">
        <v>0.2</v>
      </c>
      <c r="D88" s="69">
        <v>0.1</v>
      </c>
      <c r="E88" s="69">
        <v>0.2</v>
      </c>
      <c r="F88" s="69">
        <v>0.2</v>
      </c>
      <c r="G8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30/20/10/20/20</v>
      </c>
      <c r="H88" s="159" cm="1">
        <f t="array" ref="H88">MIN(_xlfn._xlws.FILTER(PortfolioFrontier[#Data],(PortfolioFrontier[#Headers]="P"&amp;PortfolioRef[[#This Row],[Reference '#]]&amp;" DD")))</f>
        <v>-0.17054442023968874</v>
      </c>
    </row>
    <row r="89" spans="1:8" x14ac:dyDescent="0.2">
      <c r="A89" s="71">
        <v>88</v>
      </c>
      <c r="B89" s="69">
        <v>0.3</v>
      </c>
      <c r="C89" s="69">
        <v>0.15</v>
      </c>
      <c r="D89" s="69">
        <v>0.2</v>
      </c>
      <c r="E89" s="69">
        <v>0.25</v>
      </c>
      <c r="F89" s="69">
        <v>0.1</v>
      </c>
      <c r="G8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30/15/20/25/10</v>
      </c>
      <c r="H89" s="159" cm="1">
        <f t="array" ref="H89">MIN(_xlfn._xlws.FILTER(PortfolioFrontier[#Data],(PortfolioFrontier[#Headers]="P"&amp;PortfolioRef[[#This Row],[Reference '#]]&amp;" DD")))</f>
        <v>-0.18678846385025705</v>
      </c>
    </row>
    <row r="90" spans="1:8" x14ac:dyDescent="0.2">
      <c r="A90" s="71">
        <v>89</v>
      </c>
      <c r="B90" s="69">
        <v>0.3</v>
      </c>
      <c r="C90" s="69">
        <v>0.15</v>
      </c>
      <c r="D90" s="69">
        <v>0.2</v>
      </c>
      <c r="E90" s="69">
        <v>0.2</v>
      </c>
      <c r="F90" s="69">
        <v>0.15</v>
      </c>
      <c r="G9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30/15/20/20/15</v>
      </c>
      <c r="H90" s="159" cm="1">
        <f t="array" ref="H90">MIN(_xlfn._xlws.FILTER(PortfolioFrontier[#Data],(PortfolioFrontier[#Headers]="P"&amp;PortfolioRef[[#This Row],[Reference '#]]&amp;" DD")))</f>
        <v>-0.17235839363109051</v>
      </c>
    </row>
    <row r="91" spans="1:8" x14ac:dyDescent="0.2">
      <c r="A91" s="71">
        <v>90</v>
      </c>
      <c r="B91" s="69">
        <v>0.3</v>
      </c>
      <c r="C91" s="69">
        <v>0.15</v>
      </c>
      <c r="D91" s="69">
        <v>0.2</v>
      </c>
      <c r="E91" s="69">
        <v>0.15</v>
      </c>
      <c r="F91" s="69">
        <v>0.2</v>
      </c>
      <c r="G9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30/15/20/15/20</v>
      </c>
      <c r="H91" s="159" cm="1">
        <f t="array" ref="H91">MIN(_xlfn._xlws.FILTER(PortfolioFrontier[#Data],(PortfolioFrontier[#Headers]="P"&amp;PortfolioRef[[#This Row],[Reference '#]]&amp;" DD")))</f>
        <v>-0.15781185327852942</v>
      </c>
    </row>
    <row r="92" spans="1:8" x14ac:dyDescent="0.2">
      <c r="A92" s="71">
        <v>91</v>
      </c>
      <c r="B92" s="69">
        <v>0.3</v>
      </c>
      <c r="C92" s="69">
        <v>0.15</v>
      </c>
      <c r="D92" s="69">
        <v>0.15</v>
      </c>
      <c r="E92" s="69">
        <v>0.3</v>
      </c>
      <c r="F92" s="69">
        <v>0.1</v>
      </c>
      <c r="G9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30/15/15/30/10</v>
      </c>
      <c r="H92" s="159" cm="1">
        <f t="array" ref="H92">MIN(_xlfn._xlws.FILTER(PortfolioFrontier[#Data],(PortfolioFrontier[#Headers]="P"&amp;PortfolioRef[[#This Row],[Reference '#]]&amp;" DD")))</f>
        <v>-0.19691657346478753</v>
      </c>
    </row>
    <row r="93" spans="1:8" x14ac:dyDescent="0.2">
      <c r="A93" s="71">
        <v>92</v>
      </c>
      <c r="B93" s="69">
        <v>0.3</v>
      </c>
      <c r="C93" s="69">
        <v>0.15</v>
      </c>
      <c r="D93" s="69">
        <v>0.15</v>
      </c>
      <c r="E93" s="69">
        <v>0.25</v>
      </c>
      <c r="F93" s="69">
        <v>0.15</v>
      </c>
      <c r="G9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30/15/15/25/15</v>
      </c>
      <c r="H93" s="159" cm="1">
        <f t="array" ref="H93">MIN(_xlfn._xlws.FILTER(PortfolioFrontier[#Data],(PortfolioFrontier[#Headers]="P"&amp;PortfolioRef[[#This Row],[Reference '#]]&amp;" DD")))</f>
        <v>-0.18256018832149878</v>
      </c>
    </row>
    <row r="94" spans="1:8" x14ac:dyDescent="0.2">
      <c r="A94" s="71">
        <v>93</v>
      </c>
      <c r="B94" s="69">
        <v>0.3</v>
      </c>
      <c r="C94" s="69">
        <v>0.15</v>
      </c>
      <c r="D94" s="69">
        <v>0.15</v>
      </c>
      <c r="E94" s="69">
        <v>0.2</v>
      </c>
      <c r="F94" s="69">
        <v>0.2</v>
      </c>
      <c r="G9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30/15/15/20/20</v>
      </c>
      <c r="H94" s="159" cm="1">
        <f t="array" ref="H94">MIN(_xlfn._xlws.FILTER(PortfolioFrontier[#Data],(PortfolioFrontier[#Headers]="P"&amp;PortfolioRef[[#This Row],[Reference '#]]&amp;" DD")))</f>
        <v>-0.1680856669601688</v>
      </c>
    </row>
    <row r="95" spans="1:8" x14ac:dyDescent="0.2">
      <c r="A95" s="71">
        <v>94</v>
      </c>
      <c r="B95" s="69">
        <v>0.3</v>
      </c>
      <c r="C95" s="69">
        <v>0.15</v>
      </c>
      <c r="D95" s="69">
        <v>0.1</v>
      </c>
      <c r="E95" s="69">
        <v>0.35</v>
      </c>
      <c r="F95" s="69">
        <v>0.1</v>
      </c>
      <c r="G9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30/15/10/35/10</v>
      </c>
      <c r="H95" s="159" cm="1">
        <f t="array" ref="H95">MIN(_xlfn._xlws.FILTER(PortfolioFrontier[#Data],(PortfolioFrontier[#Headers]="P"&amp;PortfolioRef[[#This Row],[Reference '#]]&amp;" DD")))</f>
        <v>-0.20701358240872292</v>
      </c>
    </row>
    <row r="96" spans="1:8" x14ac:dyDescent="0.2">
      <c r="A96" s="71">
        <v>95</v>
      </c>
      <c r="B96" s="69">
        <v>0.3</v>
      </c>
      <c r="C96" s="69">
        <v>0.15</v>
      </c>
      <c r="D96" s="69">
        <v>0.1</v>
      </c>
      <c r="E96" s="69">
        <v>0.3</v>
      </c>
      <c r="F96" s="69">
        <v>0.15</v>
      </c>
      <c r="G9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30/15/10/30/15</v>
      </c>
      <c r="H96" s="159" cm="1">
        <f t="array" ref="H96">MIN(_xlfn._xlws.FILTER(PortfolioFrontier[#Data],(PortfolioFrontier[#Headers]="P"&amp;PortfolioRef[[#This Row],[Reference '#]]&amp;" DD")))</f>
        <v>-0.19273250958379395</v>
      </c>
    </row>
    <row r="97" spans="1:8" x14ac:dyDescent="0.2">
      <c r="A97" s="71">
        <v>96</v>
      </c>
      <c r="B97" s="69">
        <v>0.3</v>
      </c>
      <c r="C97" s="69">
        <v>0.15</v>
      </c>
      <c r="D97" s="69">
        <v>0.1</v>
      </c>
      <c r="E97" s="69">
        <v>0.25</v>
      </c>
      <c r="F97" s="69">
        <v>0.2</v>
      </c>
      <c r="G9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30/15/10/25/20</v>
      </c>
      <c r="H97" s="159" cm="1">
        <f t="array" ref="H97">MIN(_xlfn._xlws.FILTER(PortfolioFrontier[#Data],(PortfolioFrontier[#Headers]="P"&amp;PortfolioRef[[#This Row],[Reference '#]]&amp;" DD")))</f>
        <v>-0.17833167998995136</v>
      </c>
    </row>
    <row r="98" spans="1:8" x14ac:dyDescent="0.2">
      <c r="A98" s="71">
        <v>97</v>
      </c>
      <c r="B98" s="69">
        <v>0.25</v>
      </c>
      <c r="C98" s="69">
        <v>0.45</v>
      </c>
      <c r="D98" s="69">
        <v>0.1</v>
      </c>
      <c r="E98" s="69">
        <v>0.1</v>
      </c>
      <c r="F98" s="69">
        <v>0.1</v>
      </c>
      <c r="G9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25/45/10/10/10</v>
      </c>
      <c r="H98" s="159" cm="1">
        <f t="array" ref="H98">MIN(_xlfn._xlws.FILTER(PortfolioFrontier[#Data],(PortfolioFrontier[#Headers]="P"&amp;PortfolioRef[[#This Row],[Reference '#]]&amp;" DD")))</f>
        <v>-0.16368427588701906</v>
      </c>
    </row>
    <row r="99" spans="1:8" x14ac:dyDescent="0.2">
      <c r="A99" s="71">
        <v>98</v>
      </c>
      <c r="B99" s="69">
        <v>0.25</v>
      </c>
      <c r="C99" s="69">
        <v>0.4</v>
      </c>
      <c r="D99" s="69">
        <v>0.15</v>
      </c>
      <c r="E99" s="69">
        <v>0.1</v>
      </c>
      <c r="F99" s="69">
        <v>0.1</v>
      </c>
      <c r="G9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25/40/15/10/10</v>
      </c>
      <c r="H99" s="159" cm="1">
        <f t="array" ref="H99">MIN(_xlfn._xlws.FILTER(PortfolioFrontier[#Data],(PortfolioFrontier[#Headers]="P"&amp;PortfolioRef[[#This Row],[Reference '#]]&amp;" DD")))</f>
        <v>-0.16119168260039207</v>
      </c>
    </row>
    <row r="100" spans="1:8" x14ac:dyDescent="0.2">
      <c r="A100" s="71">
        <v>99</v>
      </c>
      <c r="B100" s="69">
        <v>0.25</v>
      </c>
      <c r="C100" s="69">
        <v>0.4</v>
      </c>
      <c r="D100" s="69">
        <v>0.1</v>
      </c>
      <c r="E100" s="69">
        <v>0.15</v>
      </c>
      <c r="F100" s="69">
        <v>0.1</v>
      </c>
      <c r="G10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25/40/10/15/10</v>
      </c>
      <c r="H100" s="159" cm="1">
        <f t="array" ref="H100">MIN(_xlfn._xlws.FILTER(PortfolioFrontier[#Data],(PortfolioFrontier[#Headers]="P"&amp;PortfolioRef[[#This Row],[Reference '#]]&amp;" DD")))</f>
        <v>-0.17138849256768163</v>
      </c>
    </row>
    <row r="101" spans="1:8" x14ac:dyDescent="0.2">
      <c r="A101" s="71">
        <v>100</v>
      </c>
      <c r="B101" s="69">
        <v>0.25</v>
      </c>
      <c r="C101" s="69">
        <v>0.4</v>
      </c>
      <c r="D101" s="69">
        <v>0.1</v>
      </c>
      <c r="E101" s="69">
        <v>0.1</v>
      </c>
      <c r="F101" s="69">
        <v>0.15</v>
      </c>
      <c r="G10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25/40/10/10/15</v>
      </c>
      <c r="H101" s="159" cm="1">
        <f t="array" ref="H101">MIN(_xlfn._xlws.FILTER(PortfolioFrontier[#Data],(PortfolioFrontier[#Headers]="P"&amp;PortfolioRef[[#This Row],[Reference '#]]&amp;" DD")))</f>
        <v>-0.15692283600631585</v>
      </c>
    </row>
    <row r="102" spans="1:8" x14ac:dyDescent="0.2">
      <c r="A102" s="71">
        <v>101</v>
      </c>
      <c r="B102" s="69">
        <v>0.25</v>
      </c>
      <c r="C102" s="69">
        <v>0.35</v>
      </c>
      <c r="D102" s="69">
        <v>0.2</v>
      </c>
      <c r="E102" s="69">
        <v>0.1</v>
      </c>
      <c r="F102" s="69">
        <v>0.1</v>
      </c>
      <c r="G10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25/35/20/10/10</v>
      </c>
      <c r="H102" s="159" cm="1">
        <f t="array" ref="H102">MIN(_xlfn._xlws.FILTER(PortfolioFrontier[#Data],(PortfolioFrontier[#Headers]="P"&amp;PortfolioRef[[#This Row],[Reference '#]]&amp;" DD")))</f>
        <v>-0.1587163580209372</v>
      </c>
    </row>
    <row r="103" spans="1:8" x14ac:dyDescent="0.2">
      <c r="A103" s="71">
        <v>102</v>
      </c>
      <c r="B103" s="69">
        <v>0.25</v>
      </c>
      <c r="C103" s="69">
        <v>0.35</v>
      </c>
      <c r="D103" s="69">
        <v>0.15</v>
      </c>
      <c r="E103" s="69">
        <v>0.15</v>
      </c>
      <c r="F103" s="69">
        <v>0.1</v>
      </c>
      <c r="G10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25/35/15/15/10</v>
      </c>
      <c r="H103" s="159" cm="1">
        <f t="array" ref="H103">MIN(_xlfn._xlws.FILTER(PortfolioFrontier[#Data],(PortfolioFrontier[#Headers]="P"&amp;PortfolioRef[[#This Row],[Reference '#]]&amp;" DD")))</f>
        <v>-0.16891762307251379</v>
      </c>
    </row>
    <row r="104" spans="1:8" x14ac:dyDescent="0.2">
      <c r="A104" s="71">
        <v>103</v>
      </c>
      <c r="B104" s="69">
        <v>0.25</v>
      </c>
      <c r="C104" s="69">
        <v>0.35</v>
      </c>
      <c r="D104" s="69">
        <v>0.15</v>
      </c>
      <c r="E104" s="69">
        <v>0.1</v>
      </c>
      <c r="F104" s="69">
        <v>0.15</v>
      </c>
      <c r="G10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25/35/15/10/15</v>
      </c>
      <c r="H104" s="159" cm="1">
        <f t="array" ref="H104">MIN(_xlfn._xlws.FILTER(PortfolioFrontier[#Data],(PortfolioFrontier[#Headers]="P"&amp;PortfolioRef[[#This Row],[Reference '#]]&amp;" DD")))</f>
        <v>-0.15442188773577281</v>
      </c>
    </row>
    <row r="105" spans="1:8" x14ac:dyDescent="0.2">
      <c r="A105" s="71">
        <v>104</v>
      </c>
      <c r="B105" s="69">
        <v>0.25</v>
      </c>
      <c r="C105" s="69">
        <v>0.35</v>
      </c>
      <c r="D105" s="69">
        <v>0.1</v>
      </c>
      <c r="E105" s="69">
        <v>0.2</v>
      </c>
      <c r="F105" s="69">
        <v>0.1</v>
      </c>
      <c r="G10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25/35/10/20/10</v>
      </c>
      <c r="H105" s="159" cm="1">
        <f t="array" ref="H105">MIN(_xlfn._xlws.FILTER(PortfolioFrontier[#Data],(PortfolioFrontier[#Headers]="P"&amp;PortfolioRef[[#This Row],[Reference '#]]&amp;" DD")))</f>
        <v>-0.17909271339796062</v>
      </c>
    </row>
    <row r="106" spans="1:8" x14ac:dyDescent="0.2">
      <c r="A106" s="71">
        <v>105</v>
      </c>
      <c r="B106" s="69">
        <v>0.25</v>
      </c>
      <c r="C106" s="69">
        <v>0.35</v>
      </c>
      <c r="D106" s="69">
        <v>0.1</v>
      </c>
      <c r="E106" s="69">
        <v>0.15</v>
      </c>
      <c r="F106" s="69">
        <v>0.15</v>
      </c>
      <c r="G10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25/35/10/15/15</v>
      </c>
      <c r="H106" s="159" cm="1">
        <f t="array" ref="H106">MIN(_xlfn._xlws.FILTER(PortfolioFrontier[#Data],(PortfolioFrontier[#Headers]="P"&amp;PortfolioRef[[#This Row],[Reference '#]]&amp;" DD")))</f>
        <v>-0.16466692181154297</v>
      </c>
    </row>
    <row r="107" spans="1:8" x14ac:dyDescent="0.2">
      <c r="A107" s="71">
        <v>106</v>
      </c>
      <c r="B107" s="69">
        <v>0.25</v>
      </c>
      <c r="C107" s="69">
        <v>0.35</v>
      </c>
      <c r="D107" s="69">
        <v>0.1</v>
      </c>
      <c r="E107" s="69">
        <v>0.1</v>
      </c>
      <c r="F107" s="69">
        <v>0.2</v>
      </c>
      <c r="G10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25/35/10/10/20</v>
      </c>
      <c r="H107" s="159" cm="1">
        <f t="array" ref="H107">MIN(_xlfn._xlws.FILTER(PortfolioFrontier[#Data],(PortfolioFrontier[#Headers]="P"&amp;PortfolioRef[[#This Row],[Reference '#]]&amp;" DD")))</f>
        <v>-0.15012807245687076</v>
      </c>
    </row>
    <row r="108" spans="1:8" x14ac:dyDescent="0.2">
      <c r="A108" s="71">
        <v>107</v>
      </c>
      <c r="B108" s="69">
        <v>0.25</v>
      </c>
      <c r="C108" s="69">
        <v>0.3</v>
      </c>
      <c r="D108" s="69">
        <v>0.2</v>
      </c>
      <c r="E108" s="69">
        <v>0.15</v>
      </c>
      <c r="F108" s="69">
        <v>0.1</v>
      </c>
      <c r="G10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25/30/20/15/10</v>
      </c>
      <c r="H108" s="159" cm="1">
        <f t="array" ref="H108">MIN(_xlfn._xlws.FILTER(PortfolioFrontier[#Data],(PortfolioFrontier[#Headers]="P"&amp;PortfolioRef[[#This Row],[Reference '#]]&amp;" DD")))</f>
        <v>-0.16646384132772141</v>
      </c>
    </row>
    <row r="109" spans="1:8" x14ac:dyDescent="0.2">
      <c r="A109" s="71">
        <v>108</v>
      </c>
      <c r="B109" s="69">
        <v>0.25</v>
      </c>
      <c r="C109" s="69">
        <v>0.3</v>
      </c>
      <c r="D109" s="69">
        <v>0.2</v>
      </c>
      <c r="E109" s="69">
        <v>0.1</v>
      </c>
      <c r="F109" s="69">
        <v>0.15</v>
      </c>
      <c r="G10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25/30/20/10/15</v>
      </c>
      <c r="H109" s="159" cm="1">
        <f t="array" ref="H109">MIN(_xlfn._xlws.FILTER(PortfolioFrontier[#Data],(PortfolioFrontier[#Headers]="P"&amp;PortfolioRef[[#This Row],[Reference '#]]&amp;" DD")))</f>
        <v>-0.15193836737204758</v>
      </c>
    </row>
    <row r="110" spans="1:8" x14ac:dyDescent="0.2">
      <c r="A110" s="71">
        <v>109</v>
      </c>
      <c r="B110" s="69">
        <v>0.25</v>
      </c>
      <c r="C110" s="69">
        <v>0.3</v>
      </c>
      <c r="D110" s="69">
        <v>0.15</v>
      </c>
      <c r="E110" s="69">
        <v>0.2</v>
      </c>
      <c r="F110" s="69">
        <v>0.1</v>
      </c>
      <c r="G11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25/30/15/20/10</v>
      </c>
      <c r="H110" s="159" cm="1">
        <f t="array" ref="H110">MIN(_xlfn._xlws.FILTER(PortfolioFrontier[#Data],(PortfolioFrontier[#Headers]="P"&amp;PortfolioRef[[#This Row],[Reference '#]]&amp;" DD")))</f>
        <v>-0.17664355978662594</v>
      </c>
    </row>
    <row r="111" spans="1:8" x14ac:dyDescent="0.2">
      <c r="A111" s="71">
        <v>110</v>
      </c>
      <c r="B111" s="69">
        <v>0.25</v>
      </c>
      <c r="C111" s="69">
        <v>0.3</v>
      </c>
      <c r="D111" s="69">
        <v>0.15</v>
      </c>
      <c r="E111" s="69">
        <v>0.15</v>
      </c>
      <c r="F111" s="69">
        <v>0.15</v>
      </c>
      <c r="G11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25/30/15/15/15</v>
      </c>
      <c r="H111" s="159" cm="1">
        <f t="array" ref="H111">MIN(_xlfn._xlws.FILTER(PortfolioFrontier[#Data],(PortfolioFrontier[#Headers]="P"&amp;PortfolioRef[[#This Row],[Reference '#]]&amp;" DD")))</f>
        <v>-0.16218772982575114</v>
      </c>
    </row>
    <row r="112" spans="1:8" x14ac:dyDescent="0.2">
      <c r="A112" s="71">
        <v>111</v>
      </c>
      <c r="B112" s="69">
        <v>0.25</v>
      </c>
      <c r="C112" s="69">
        <v>0.3</v>
      </c>
      <c r="D112" s="69">
        <v>0.15</v>
      </c>
      <c r="E112" s="69">
        <v>0.1</v>
      </c>
      <c r="F112" s="69">
        <v>0.2</v>
      </c>
      <c r="G11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25/30/15/10/20</v>
      </c>
      <c r="H112" s="159" cm="1">
        <f t="array" ref="H112">MIN(_xlfn._xlws.FILTER(PortfolioFrontier[#Data],(PortfolioFrontier[#Headers]="P"&amp;PortfolioRef[[#This Row],[Reference '#]]&amp;" DD")))</f>
        <v>-0.14761879853353232</v>
      </c>
    </row>
    <row r="113" spans="1:8" x14ac:dyDescent="0.2">
      <c r="A113" s="126">
        <v>112</v>
      </c>
      <c r="B113" s="124">
        <v>0.25</v>
      </c>
      <c r="C113" s="124">
        <v>0.3</v>
      </c>
      <c r="D113" s="124">
        <v>0.1</v>
      </c>
      <c r="E113" s="124">
        <v>0.25</v>
      </c>
      <c r="F113" s="124">
        <v>0.1</v>
      </c>
      <c r="G11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25/30/10/25/10</v>
      </c>
      <c r="H113" s="159" cm="1">
        <f t="array" ref="H113">MIN(_xlfn._xlws.FILTER(PortfolioFrontier[#Data],(PortfolioFrontier[#Headers]="P"&amp;PortfolioRef[[#This Row],[Reference '#]]&amp;" DD")))</f>
        <v>-0.1867958072968543</v>
      </c>
    </row>
    <row r="114" spans="1:8" x14ac:dyDescent="0.2">
      <c r="A114" s="71">
        <v>113</v>
      </c>
      <c r="B114" s="69">
        <v>0.25</v>
      </c>
      <c r="C114" s="69">
        <v>0.3</v>
      </c>
      <c r="D114" s="69">
        <v>0.1</v>
      </c>
      <c r="E114" s="69">
        <v>0.2</v>
      </c>
      <c r="F114" s="69">
        <v>0.15</v>
      </c>
      <c r="G11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25/30/10/20/15</v>
      </c>
      <c r="H114" s="159" cm="1">
        <f t="array" ref="H114">MIN(_xlfn._xlws.FILTER(PortfolioFrontier[#Data],(PortfolioFrontier[#Headers]="P"&amp;PortfolioRef[[#This Row],[Reference '#]]&amp;" DD")))</f>
        <v>-0.17241133098208905</v>
      </c>
    </row>
    <row r="115" spans="1:8" x14ac:dyDescent="0.2">
      <c r="A115" s="71">
        <v>114</v>
      </c>
      <c r="B115" s="69">
        <v>0.25</v>
      </c>
      <c r="C115" s="69">
        <v>0.3</v>
      </c>
      <c r="D115" s="69">
        <v>0.1</v>
      </c>
      <c r="E115" s="69">
        <v>0.15</v>
      </c>
      <c r="F115" s="69">
        <v>0.2</v>
      </c>
      <c r="G11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25/30/10/15/20</v>
      </c>
      <c r="H115" s="159" cm="1">
        <f t="array" ref="H115">MIN(_xlfn._xlws.FILTER(PortfolioFrontier[#Data],(PortfolioFrontier[#Headers]="P"&amp;PortfolioRef[[#This Row],[Reference '#]]&amp;" DD")))</f>
        <v>-0.15791202853953867</v>
      </c>
    </row>
    <row r="116" spans="1:8" x14ac:dyDescent="0.2">
      <c r="A116" s="71">
        <v>115</v>
      </c>
      <c r="B116" s="69">
        <v>0.25</v>
      </c>
      <c r="C116" s="69">
        <v>0.25</v>
      </c>
      <c r="D116" s="69">
        <v>0.2</v>
      </c>
      <c r="E116" s="69">
        <v>0.2</v>
      </c>
      <c r="F116" s="69">
        <v>0.1</v>
      </c>
      <c r="G11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25/25/20/20/10</v>
      </c>
      <c r="H116" s="159" cm="1">
        <f t="array" ref="H116">MIN(_xlfn._xlws.FILTER(PortfolioFrontier[#Data],(PortfolioFrontier[#Headers]="P"&amp;PortfolioRef[[#This Row],[Reference '#]]&amp;" DD")))</f>
        <v>-0.17421131416336322</v>
      </c>
    </row>
    <row r="117" spans="1:8" x14ac:dyDescent="0.2">
      <c r="A117" s="71">
        <v>116</v>
      </c>
      <c r="B117" s="69">
        <v>0.25</v>
      </c>
      <c r="C117" s="69">
        <v>0.25</v>
      </c>
      <c r="D117" s="69">
        <v>0.2</v>
      </c>
      <c r="E117" s="69">
        <v>0.15</v>
      </c>
      <c r="F117" s="69">
        <v>0.15</v>
      </c>
      <c r="G11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25/25/20/15/15</v>
      </c>
      <c r="H117" s="159" cm="1">
        <f t="array" ref="H117">MIN(_xlfn._xlws.FILTER(PortfolioFrontier[#Data],(PortfolioFrontier[#Headers]="P"&amp;PortfolioRef[[#This Row],[Reference '#]]&amp;" DD")))</f>
        <v>-0.15972578344997812</v>
      </c>
    </row>
    <row r="118" spans="1:8" x14ac:dyDescent="0.2">
      <c r="A118" s="126">
        <v>117</v>
      </c>
      <c r="B118" s="124">
        <v>0.25</v>
      </c>
      <c r="C118" s="124">
        <v>0.25</v>
      </c>
      <c r="D118" s="124">
        <v>0.2</v>
      </c>
      <c r="E118" s="124">
        <v>0.1</v>
      </c>
      <c r="F118" s="124">
        <v>0.2</v>
      </c>
      <c r="G11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25/25/20/10/20</v>
      </c>
      <c r="H118" s="159" cm="1">
        <f t="array" ref="H118">MIN(_xlfn._xlws.FILTER(PortfolioFrontier[#Data],(PortfolioFrontier[#Headers]="P"&amp;PortfolioRef[[#This Row],[Reference '#]]&amp;" DD")))</f>
        <v>-0.14512711256852973</v>
      </c>
    </row>
    <row r="119" spans="1:8" x14ac:dyDescent="0.2">
      <c r="A119" s="71">
        <v>118</v>
      </c>
      <c r="B119" s="69">
        <v>0.25</v>
      </c>
      <c r="C119" s="69">
        <v>0.25</v>
      </c>
      <c r="D119" s="69">
        <v>0.15</v>
      </c>
      <c r="E119" s="69">
        <v>0.25</v>
      </c>
      <c r="F119" s="69">
        <v>0.1</v>
      </c>
      <c r="G11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25/25/15/25/10</v>
      </c>
      <c r="H119" s="159" cm="1">
        <f t="array" ref="H119">MIN(_xlfn._xlws.FILTER(PortfolioFrontier[#Data],(PortfolioFrontier[#Headers]="P"&amp;PortfolioRef[[#This Row],[Reference '#]]&amp;" DD")))</f>
        <v>-0.184368359214654</v>
      </c>
    </row>
    <row r="120" spans="1:8" x14ac:dyDescent="0.2">
      <c r="A120" s="71">
        <v>119</v>
      </c>
      <c r="B120" s="69">
        <v>0.25</v>
      </c>
      <c r="C120" s="69">
        <v>0.25</v>
      </c>
      <c r="D120" s="69">
        <v>0.15</v>
      </c>
      <c r="E120" s="69">
        <v>0.2</v>
      </c>
      <c r="F120" s="69">
        <v>0.15</v>
      </c>
      <c r="G12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25/25/15/20/15</v>
      </c>
      <c r="H120" s="159" cm="1">
        <f t="array" ref="H120">MIN(_xlfn._xlws.FILTER(PortfolioFrontier[#Data],(PortfolioFrontier[#Headers]="P"&amp;PortfolioRef[[#This Row],[Reference '#]]&amp;" DD")))</f>
        <v>-0.16995388779893417</v>
      </c>
    </row>
    <row r="121" spans="1:8" x14ac:dyDescent="0.2">
      <c r="A121" s="71">
        <v>120</v>
      </c>
      <c r="B121" s="69">
        <v>0.25</v>
      </c>
      <c r="C121" s="69">
        <v>0.25</v>
      </c>
      <c r="D121" s="69">
        <v>0.15</v>
      </c>
      <c r="E121" s="69">
        <v>0.15</v>
      </c>
      <c r="F121" s="69">
        <v>0.2</v>
      </c>
      <c r="G12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25/25/15/15/20</v>
      </c>
      <c r="H121" s="159" cm="1">
        <f t="array" ref="H121">MIN(_xlfn._xlws.FILTER(PortfolioFrontier[#Data],(PortfolioFrontier[#Headers]="P"&amp;PortfolioRef[[#This Row],[Reference '#]]&amp;" DD")))</f>
        <v>-0.15542454310291398</v>
      </c>
    </row>
    <row r="122" spans="1:8" x14ac:dyDescent="0.2">
      <c r="A122" s="71">
        <v>121</v>
      </c>
      <c r="B122" s="69">
        <v>0.25</v>
      </c>
      <c r="C122" s="69">
        <v>0.25</v>
      </c>
      <c r="D122" s="69">
        <v>0.1</v>
      </c>
      <c r="E122" s="69">
        <v>0.3</v>
      </c>
      <c r="F122" s="69">
        <v>0.1</v>
      </c>
      <c r="G12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25/25/10/30/10</v>
      </c>
      <c r="H122" s="159" cm="1">
        <f t="array" ref="H122">MIN(_xlfn._xlws.FILTER(PortfolioFrontier[#Data],(PortfolioFrontier[#Headers]="P"&amp;PortfolioRef[[#This Row],[Reference '#]]&amp;" DD")))</f>
        <v>-0.19449665540918404</v>
      </c>
    </row>
    <row r="123" spans="1:8" x14ac:dyDescent="0.2">
      <c r="A123" s="71">
        <v>122</v>
      </c>
      <c r="B123" s="69">
        <v>0.25</v>
      </c>
      <c r="C123" s="69">
        <v>0.25</v>
      </c>
      <c r="D123" s="69">
        <v>0.1</v>
      </c>
      <c r="E123" s="69">
        <v>0.25</v>
      </c>
      <c r="F123" s="69">
        <v>0.15</v>
      </c>
      <c r="G12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25/25/10/25/15</v>
      </c>
      <c r="H123" s="159" cm="1">
        <f t="array" ref="H123">MIN(_xlfn._xlws.FILTER(PortfolioFrontier[#Data],(PortfolioFrontier[#Headers]="P"&amp;PortfolioRef[[#This Row],[Reference '#]]&amp;" DD")))</f>
        <v>-0.18015492357456253</v>
      </c>
    </row>
    <row r="124" spans="1:8" x14ac:dyDescent="0.2">
      <c r="A124" s="71">
        <v>123</v>
      </c>
      <c r="B124" s="69">
        <v>0.25</v>
      </c>
      <c r="C124" s="69">
        <v>0.25</v>
      </c>
      <c r="D124" s="69">
        <v>0.1</v>
      </c>
      <c r="E124" s="69">
        <v>0.2</v>
      </c>
      <c r="F124" s="69">
        <v>0.2</v>
      </c>
      <c r="G12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25/25/10/20/20</v>
      </c>
      <c r="H124" s="159" cm="1">
        <f t="array" ref="H124">MIN(_xlfn._xlws.FILTER(PortfolioFrontier[#Data],(PortfolioFrontier[#Headers]="P"&amp;PortfolioRef[[#This Row],[Reference '#]]&amp;" DD")))</f>
        <v>-0.16569663106198762</v>
      </c>
    </row>
    <row r="125" spans="1:8" x14ac:dyDescent="0.2">
      <c r="A125" s="71">
        <v>124</v>
      </c>
      <c r="B125" s="69">
        <v>0.25</v>
      </c>
      <c r="C125" s="69">
        <v>0.2</v>
      </c>
      <c r="D125" s="69">
        <v>0.2</v>
      </c>
      <c r="E125" s="69">
        <v>0.25</v>
      </c>
      <c r="F125" s="69">
        <v>0.1</v>
      </c>
      <c r="G12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25/20/20/25/10</v>
      </c>
      <c r="H125" s="159" cm="1">
        <f t="array" ref="H125">MIN(_xlfn._xlws.FILTER(PortfolioFrontier[#Data],(PortfolioFrontier[#Headers]="P"&amp;PortfolioRef[[#This Row],[Reference '#]]&amp;" DD")))</f>
        <v>-0.18195764054702612</v>
      </c>
    </row>
    <row r="126" spans="1:8" x14ac:dyDescent="0.2">
      <c r="A126" s="71">
        <v>125</v>
      </c>
      <c r="B126" s="69">
        <v>0.25</v>
      </c>
      <c r="C126" s="69">
        <v>0.2</v>
      </c>
      <c r="D126" s="69">
        <v>0.2</v>
      </c>
      <c r="E126" s="69">
        <v>0.2</v>
      </c>
      <c r="F126" s="69">
        <v>0.15</v>
      </c>
      <c r="G12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25/20/20/20/15</v>
      </c>
      <c r="H126" s="159" cm="1">
        <f t="array" ref="H126">MIN(_xlfn._xlws.FILTER(PortfolioFrontier[#Data],(PortfolioFrontier[#Headers]="P"&amp;PortfolioRef[[#This Row],[Reference '#]]&amp;" DD")))</f>
        <v>-0.16751350913162655</v>
      </c>
    </row>
    <row r="127" spans="1:8" x14ac:dyDescent="0.2">
      <c r="A127" s="71">
        <v>126</v>
      </c>
      <c r="B127" s="69">
        <v>0.25</v>
      </c>
      <c r="C127" s="69">
        <v>0.2</v>
      </c>
      <c r="D127" s="69">
        <v>0.2</v>
      </c>
      <c r="E127" s="69">
        <v>0.15</v>
      </c>
      <c r="F127" s="69">
        <v>0.2</v>
      </c>
      <c r="G12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25/20/20/15/20</v>
      </c>
      <c r="H127" s="159" cm="1">
        <f t="array" ref="H127">MIN(_xlfn._xlws.FILTER(PortfolioFrontier[#Data],(PortfolioFrontier[#Headers]="P"&amp;PortfolioRef[[#This Row],[Reference '#]]&amp;" DD")))</f>
        <v>-0.15295446198227591</v>
      </c>
    </row>
    <row r="128" spans="1:8" x14ac:dyDescent="0.2">
      <c r="A128" s="71">
        <v>127</v>
      </c>
      <c r="B128" s="69">
        <v>0.25</v>
      </c>
      <c r="C128" s="69">
        <v>0.2</v>
      </c>
      <c r="D128" s="69">
        <v>0.15</v>
      </c>
      <c r="E128" s="69">
        <v>0.3</v>
      </c>
      <c r="F128" s="69">
        <v>0.1</v>
      </c>
      <c r="G12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25/20/15/30/10</v>
      </c>
      <c r="H128" s="159" cm="1">
        <f t="array" ref="H128">MIN(_xlfn._xlws.FILTER(PortfolioFrontier[#Data],(PortfolioFrontier[#Headers]="P"&amp;PortfolioRef[[#This Row],[Reference '#]]&amp;" DD")))</f>
        <v>-0.19209090006663587</v>
      </c>
    </row>
    <row r="129" spans="1:8" x14ac:dyDescent="0.2">
      <c r="A129" s="71">
        <v>128</v>
      </c>
      <c r="B129" s="69">
        <v>0.25</v>
      </c>
      <c r="C129" s="69">
        <v>0.2</v>
      </c>
      <c r="D129" s="69">
        <v>0.15</v>
      </c>
      <c r="E129" s="69">
        <v>0.25</v>
      </c>
      <c r="F129" s="69">
        <v>0.15</v>
      </c>
      <c r="G12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25/20/15/25/15</v>
      </c>
      <c r="H129" s="159" cm="1">
        <f t="array" ref="H129">MIN(_xlfn._xlws.FILTER(PortfolioFrontier[#Data],(PortfolioFrontier[#Headers]="P"&amp;PortfolioRef[[#This Row],[Reference '#]]&amp;" DD")))</f>
        <v>-0.17771921926106304</v>
      </c>
    </row>
    <row r="130" spans="1:8" x14ac:dyDescent="0.2">
      <c r="A130" s="71">
        <v>129</v>
      </c>
      <c r="B130" s="69">
        <v>0.25</v>
      </c>
      <c r="C130" s="69">
        <v>0.2</v>
      </c>
      <c r="D130" s="69">
        <v>0.15</v>
      </c>
      <c r="E130" s="69">
        <v>0.2</v>
      </c>
      <c r="F130" s="69">
        <v>0.2</v>
      </c>
      <c r="G13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25/20/15/20/20</v>
      </c>
      <c r="H130" s="159" cm="1">
        <f t="array" ref="H130">MIN(_xlfn._xlws.FILTER(PortfolioFrontier[#Data],(PortfolioFrontier[#Headers]="P"&amp;PortfolioRef[[#This Row],[Reference '#]]&amp;" DD")))</f>
        <v>-0.16323092705506337</v>
      </c>
    </row>
    <row r="131" spans="1:8" x14ac:dyDescent="0.2">
      <c r="A131" s="71">
        <v>130</v>
      </c>
      <c r="B131" s="69">
        <v>0.25</v>
      </c>
      <c r="C131" s="69">
        <v>0.2</v>
      </c>
      <c r="D131" s="69">
        <v>0.1</v>
      </c>
      <c r="E131" s="69">
        <v>0.35</v>
      </c>
      <c r="F131" s="69">
        <v>0.1</v>
      </c>
      <c r="G13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25/20/10/35/10</v>
      </c>
      <c r="H131" s="159" cm="1">
        <f t="array" ref="H131">MIN(_xlfn._xlws.FILTER(PortfolioFrontier[#Data],(PortfolioFrontier[#Headers]="P"&amp;PortfolioRef[[#This Row],[Reference '#]]&amp;" DD")))</f>
        <v>-0.20219415117514361</v>
      </c>
    </row>
    <row r="132" spans="1:8" x14ac:dyDescent="0.2">
      <c r="A132" s="71">
        <v>131</v>
      </c>
      <c r="B132" s="69">
        <v>0.25</v>
      </c>
      <c r="C132" s="69">
        <v>0.2</v>
      </c>
      <c r="D132" s="69">
        <v>0.1</v>
      </c>
      <c r="E132" s="69">
        <v>0.3</v>
      </c>
      <c r="F132" s="69">
        <v>0.15</v>
      </c>
      <c r="G13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25/20/10/30/15</v>
      </c>
      <c r="H132" s="159" cm="1">
        <f t="array" ref="H132">MIN(_xlfn._xlws.FILTER(PortfolioFrontier[#Data],(PortfolioFrontier[#Headers]="P"&amp;PortfolioRef[[#This Row],[Reference '#]]&amp;" DD")))</f>
        <v>-0.18789657190822107</v>
      </c>
    </row>
    <row r="133" spans="1:8" x14ac:dyDescent="0.2">
      <c r="A133" s="71">
        <v>132</v>
      </c>
      <c r="B133" s="69">
        <v>0.25</v>
      </c>
      <c r="C133" s="69">
        <v>0.2</v>
      </c>
      <c r="D133" s="69">
        <v>0.1</v>
      </c>
      <c r="E133" s="69">
        <v>0.25</v>
      </c>
      <c r="F133" s="69">
        <v>0.2</v>
      </c>
      <c r="G133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25/20/10/25/20</v>
      </c>
      <c r="H133" s="159" cm="1">
        <f t="array" ref="H133">MIN(_xlfn._xlws.FILTER(PortfolioFrontier[#Data],(PortfolioFrontier[#Headers]="P"&amp;PortfolioRef[[#This Row],[Reference '#]]&amp;" DD")))</f>
        <v>-0.17348073118349583</v>
      </c>
    </row>
    <row r="134" spans="1:8" x14ac:dyDescent="0.2">
      <c r="A134" s="71">
        <v>133</v>
      </c>
      <c r="B134" s="69">
        <v>0.25</v>
      </c>
      <c r="C134" s="69">
        <v>0.15</v>
      </c>
      <c r="D134" s="69">
        <v>0.2</v>
      </c>
      <c r="E134" s="69">
        <v>0.3</v>
      </c>
      <c r="F134" s="69">
        <v>0.1</v>
      </c>
      <c r="G134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25/15/20/30/10</v>
      </c>
      <c r="H134" s="159" cm="1">
        <f t="array" ref="H134">MIN(_xlfn._xlws.FILTER(PortfolioFrontier[#Data],(PortfolioFrontier[#Headers]="P"&amp;PortfolioRef[[#This Row],[Reference '#]]&amp;" DD")))</f>
        <v>-0.18970169674832826</v>
      </c>
    </row>
    <row r="135" spans="1:8" x14ac:dyDescent="0.2">
      <c r="A135" s="71">
        <v>134</v>
      </c>
      <c r="B135" s="69">
        <v>0.25</v>
      </c>
      <c r="C135" s="69">
        <v>0.15</v>
      </c>
      <c r="D135" s="69">
        <v>0.2</v>
      </c>
      <c r="E135" s="69">
        <v>0.25</v>
      </c>
      <c r="F135" s="69">
        <v>0.15</v>
      </c>
      <c r="G135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25/15/20/25/15</v>
      </c>
      <c r="H135" s="159" cm="1">
        <f t="array" ref="H135">MIN(_xlfn._xlws.FILTER(PortfolioFrontier[#Data],(PortfolioFrontier[#Headers]="P"&amp;PortfolioRef[[#This Row],[Reference '#]]&amp;" DD")))</f>
        <v>-0.17530039956612353</v>
      </c>
    </row>
    <row r="136" spans="1:8" x14ac:dyDescent="0.2">
      <c r="A136" s="71">
        <v>135</v>
      </c>
      <c r="B136" s="69">
        <v>0.25</v>
      </c>
      <c r="C136" s="69">
        <v>0.15</v>
      </c>
      <c r="D136" s="69">
        <v>0.2</v>
      </c>
      <c r="E136" s="69">
        <v>0.2</v>
      </c>
      <c r="F136" s="69">
        <v>0.2</v>
      </c>
      <c r="G136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25/15/20/20/20</v>
      </c>
      <c r="H136" s="159" cm="1">
        <f t="array" ref="H136">MIN(_xlfn._xlws.FILTER(PortfolioFrontier[#Data],(PortfolioFrontier[#Headers]="P"&amp;PortfolioRef[[#This Row],[Reference '#]]&amp;" DD")))</f>
        <v>-0.16078244493257399</v>
      </c>
    </row>
    <row r="137" spans="1:8" x14ac:dyDescent="0.2">
      <c r="A137" s="71">
        <v>136</v>
      </c>
      <c r="B137" s="69">
        <v>0.25</v>
      </c>
      <c r="C137" s="69">
        <v>0.15</v>
      </c>
      <c r="D137" s="69">
        <v>0.15</v>
      </c>
      <c r="E137" s="69">
        <v>0.35</v>
      </c>
      <c r="F137" s="69">
        <v>0.1</v>
      </c>
      <c r="G137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25/15/15/35/10</v>
      </c>
      <c r="H137" s="159" cm="1">
        <f t="array" ref="H137">MIN(_xlfn._xlws.FILTER(PortfolioFrontier[#Data],(PortfolioFrontier[#Headers]="P"&amp;PortfolioRef[[#This Row],[Reference '#]]&amp;" DD")))</f>
        <v>-0.19981007336081691</v>
      </c>
    </row>
    <row r="138" spans="1:8" x14ac:dyDescent="0.2">
      <c r="A138" s="71">
        <v>137</v>
      </c>
      <c r="B138" s="69">
        <v>0.25</v>
      </c>
      <c r="C138" s="69">
        <v>0.15</v>
      </c>
      <c r="D138" s="69">
        <v>0.15</v>
      </c>
      <c r="E138" s="69">
        <v>0.3</v>
      </c>
      <c r="F138" s="69">
        <v>0.15</v>
      </c>
      <c r="G138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25/15/15/30/15</v>
      </c>
      <c r="H138" s="159" cm="1">
        <f t="array" ref="H138">MIN(_xlfn._xlws.FILTER(PortfolioFrontier[#Data],(PortfolioFrontier[#Headers]="P"&amp;PortfolioRef[[#This Row],[Reference '#]]&amp;" DD")))</f>
        <v>-0.18548259409266865</v>
      </c>
    </row>
    <row r="139" spans="1:8" x14ac:dyDescent="0.2">
      <c r="A139" s="71">
        <v>138</v>
      </c>
      <c r="B139" s="69">
        <v>0.25</v>
      </c>
      <c r="C139" s="69">
        <v>0.15</v>
      </c>
      <c r="D139" s="69">
        <v>0.15</v>
      </c>
      <c r="E139" s="69">
        <v>0.25</v>
      </c>
      <c r="F139" s="69">
        <v>0.2</v>
      </c>
      <c r="G139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25/15/15/25/20</v>
      </c>
      <c r="H139" s="159" cm="1">
        <f t="array" ref="H139">MIN(_xlfn._xlws.FILTER(PortfolioFrontier[#Data],(PortfolioFrontier[#Headers]="P"&amp;PortfolioRef[[#This Row],[Reference '#]]&amp;" DD")))</f>
        <v>-0.17103679909467062</v>
      </c>
    </row>
    <row r="140" spans="1:8" x14ac:dyDescent="0.2">
      <c r="A140" s="71">
        <v>139</v>
      </c>
      <c r="B140" s="69">
        <v>0.25</v>
      </c>
      <c r="C140" s="69">
        <v>0.15</v>
      </c>
      <c r="D140" s="69">
        <v>0.1</v>
      </c>
      <c r="E140" s="69">
        <v>0.4</v>
      </c>
      <c r="F140" s="69">
        <v>0.1</v>
      </c>
      <c r="G140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25/15/10/40/10</v>
      </c>
      <c r="H140" s="159" cm="1">
        <f t="array" ref="H140">MIN(_xlfn._xlws.FILTER(PortfolioFrontier[#Data],(PortfolioFrontier[#Headers]="P"&amp;PortfolioRef[[#This Row],[Reference '#]]&amp;" DD")))</f>
        <v>-0.20988720039690845</v>
      </c>
    </row>
    <row r="141" spans="1:8" x14ac:dyDescent="0.2">
      <c r="A141" s="71">
        <v>140</v>
      </c>
      <c r="B141" s="69">
        <v>0.25</v>
      </c>
      <c r="C141" s="69">
        <v>0.15</v>
      </c>
      <c r="D141" s="69">
        <v>0.1</v>
      </c>
      <c r="E141" s="69">
        <v>0.35</v>
      </c>
      <c r="F141" s="69">
        <v>0.15</v>
      </c>
      <c r="G141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25/15/10/35/15</v>
      </c>
      <c r="H141" s="159" cm="1">
        <f t="array" ref="H141">MIN(_xlfn._xlws.FILTER(PortfolioFrontier[#Data],(PortfolioFrontier[#Headers]="P"&amp;PortfolioRef[[#This Row],[Reference '#]]&amp;" DD")))</f>
        <v>-0.19563516063567976</v>
      </c>
    </row>
    <row r="142" spans="1:8" x14ac:dyDescent="0.2">
      <c r="A142" s="71">
        <v>141</v>
      </c>
      <c r="B142" s="69">
        <v>0.25</v>
      </c>
      <c r="C142" s="69">
        <v>0.15</v>
      </c>
      <c r="D142" s="69">
        <v>0.1</v>
      </c>
      <c r="E142" s="69">
        <v>0.3</v>
      </c>
      <c r="F142" s="69">
        <v>0.2</v>
      </c>
      <c r="G142" s="159" t="str">
        <f>TEXT(PortfolioRef[[#This Row],[SPY]]*100,"##")&amp;"/"&amp;TEXT(PortfolioRef[[#This Row],[AGG]]*100,"##")&amp;"/"&amp;TEXT(PortfolioRef[[#This Row],[GLD]]*100,"##")&amp;"/"&amp;TEXT(PortfolioRef[[#This Row],[VNQ]]*100,"##")&amp;"/"&amp;TEXT(PortfolioRef[[#This Row],[PE]]*100,"##")</f>
        <v>25/15/10/30/20</v>
      </c>
      <c r="H142" s="159" cm="1">
        <f t="array" ref="H142">MIN(_xlfn._xlws.FILTER(PortfolioFrontier[#Data],(PortfolioFrontier[#Headers]="P"&amp;PortfolioRef[[#This Row],[Reference '#]]&amp;" DD")))</f>
        <v>-0.18126319236251531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K151"/>
  <sheetViews>
    <sheetView zoomScale="85" zoomScaleNormal="85" workbookViewId="0"/>
  </sheetViews>
  <sheetFormatPr baseColWidth="10" defaultColWidth="8.83203125" defaultRowHeight="15" x14ac:dyDescent="0.2"/>
  <cols>
    <col min="1" max="1" width="3.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bestFit="1" customWidth="1"/>
    <col min="14" max="14" width="12.6640625" customWidth="1"/>
    <col min="15" max="15" width="13.83203125" customWidth="1"/>
    <col min="16" max="18" width="12.6640625" customWidth="1"/>
    <col min="19" max="19" width="16.5" customWidth="1"/>
    <col min="20" max="21" width="12.6640625" customWidth="1"/>
    <col min="25" max="25" width="16.5" bestFit="1" customWidth="1"/>
    <col min="26" max="26" width="8.6640625" bestFit="1" customWidth="1"/>
    <col min="27" max="28" width="8.5" bestFit="1" customWidth="1"/>
    <col min="31" max="32" width="9.83203125" bestFit="1" customWidth="1"/>
    <col min="33" max="33" width="18.5" style="15" bestFit="1" customWidth="1"/>
    <col min="34" max="34" width="18.1640625" style="15" customWidth="1"/>
    <col min="35" max="35" width="16.1640625" style="15" customWidth="1"/>
    <col min="36" max="36" width="14.5" style="15" customWidth="1"/>
    <col min="37" max="37" width="18.5" bestFit="1" customWidth="1"/>
    <col min="38" max="38" width="18.1640625" customWidth="1"/>
    <col min="39" max="39" width="16.1640625" customWidth="1"/>
    <col min="40" max="40" width="14.5" customWidth="1"/>
    <col min="41" max="41" width="14.83203125" customWidth="1"/>
    <col min="42" max="42" width="18.1640625" customWidth="1"/>
    <col min="43" max="43" width="16.1640625" customWidth="1"/>
    <col min="44" max="44" width="14.5" customWidth="1"/>
    <col min="45" max="45" width="14.83203125" customWidth="1"/>
    <col min="46" max="46" width="18.1640625" customWidth="1"/>
    <col min="47" max="47" width="16.1640625" customWidth="1"/>
    <col min="48" max="48" width="14.5" customWidth="1"/>
    <col min="49" max="49" width="14.83203125" customWidth="1"/>
    <col min="50" max="50" width="18.1640625" customWidth="1"/>
    <col min="51" max="51" width="16.1640625" customWidth="1"/>
    <col min="52" max="52" width="14.5" customWidth="1"/>
    <col min="53" max="53" width="14.83203125" customWidth="1"/>
    <col min="54" max="54" width="18.1640625" customWidth="1"/>
    <col min="55" max="55" width="16.1640625" customWidth="1"/>
    <col min="56" max="56" width="14.5" customWidth="1"/>
    <col min="57" max="57" width="14.83203125" customWidth="1"/>
    <col min="58" max="58" width="18.1640625" customWidth="1"/>
    <col min="59" max="59" width="16.1640625" customWidth="1"/>
    <col min="60" max="60" width="14.5" customWidth="1"/>
    <col min="61" max="61" width="14.83203125" customWidth="1"/>
    <col min="62" max="62" width="18.1640625" customWidth="1"/>
    <col min="63" max="63" width="16.1640625" customWidth="1"/>
    <col min="64" max="64" width="14.5" customWidth="1"/>
    <col min="65" max="65" width="14.83203125" customWidth="1"/>
    <col min="66" max="66" width="18.1640625" customWidth="1"/>
    <col min="67" max="67" width="16.1640625" customWidth="1"/>
    <col min="68" max="68" width="14.5" customWidth="1"/>
    <col min="69" max="69" width="15.83203125" customWidth="1"/>
    <col min="70" max="70" width="19.1640625" customWidth="1"/>
    <col min="71" max="71" width="17.1640625" customWidth="1"/>
    <col min="72" max="72" width="15.5" customWidth="1"/>
    <col min="73" max="73" width="15.83203125" customWidth="1"/>
    <col min="74" max="74" width="19.1640625" customWidth="1"/>
    <col min="75" max="75" width="17.1640625" customWidth="1"/>
    <col min="76" max="76" width="15.5" customWidth="1"/>
    <col min="77" max="77" width="15.83203125" customWidth="1"/>
    <col min="78" max="78" width="19.1640625" customWidth="1"/>
    <col min="79" max="79" width="17.1640625" customWidth="1"/>
    <col min="80" max="80" width="15.5" customWidth="1"/>
    <col min="81" max="81" width="15.83203125" customWidth="1"/>
    <col min="82" max="82" width="19.1640625" customWidth="1"/>
    <col min="83" max="83" width="17.1640625" customWidth="1"/>
    <col min="84" max="84" width="15.5" customWidth="1"/>
    <col min="85" max="85" width="15.83203125" customWidth="1"/>
    <col min="86" max="86" width="19.1640625" customWidth="1"/>
    <col min="87" max="87" width="17.1640625" customWidth="1"/>
    <col min="88" max="88" width="15.5" customWidth="1"/>
    <col min="89" max="89" width="15.83203125" customWidth="1"/>
    <col min="90" max="90" width="19.1640625" customWidth="1"/>
    <col min="91" max="91" width="17.1640625" customWidth="1"/>
    <col min="92" max="92" width="15.5" customWidth="1"/>
    <col min="93" max="93" width="15.83203125" customWidth="1"/>
    <col min="94" max="94" width="19.1640625" customWidth="1"/>
    <col min="95" max="95" width="17.1640625" customWidth="1"/>
    <col min="96" max="96" width="15.5" customWidth="1"/>
    <col min="97" max="97" width="15.83203125" customWidth="1"/>
    <col min="98" max="98" width="19.1640625" customWidth="1"/>
    <col min="99" max="99" width="17.1640625" customWidth="1"/>
    <col min="100" max="100" width="15.5" customWidth="1"/>
    <col min="101" max="101" width="15.83203125" customWidth="1"/>
    <col min="102" max="102" width="19.1640625" customWidth="1"/>
    <col min="103" max="103" width="17.1640625" customWidth="1"/>
    <col min="104" max="104" width="15.5" customWidth="1"/>
    <col min="105" max="105" width="15.83203125" customWidth="1"/>
    <col min="106" max="106" width="19.1640625" customWidth="1"/>
    <col min="107" max="107" width="17.1640625" customWidth="1"/>
    <col min="108" max="108" width="15.5" customWidth="1"/>
    <col min="109" max="109" width="15.83203125" customWidth="1"/>
    <col min="110" max="110" width="19.1640625" customWidth="1"/>
    <col min="111" max="111" width="17.1640625" customWidth="1"/>
    <col min="112" max="112" width="15.5" customWidth="1"/>
    <col min="113" max="113" width="15.83203125" customWidth="1"/>
    <col min="114" max="114" width="19.1640625" customWidth="1"/>
    <col min="115" max="115" width="17.1640625" customWidth="1"/>
    <col min="116" max="116" width="15.5" customWidth="1"/>
    <col min="117" max="117" width="15.83203125" customWidth="1"/>
    <col min="118" max="118" width="19.1640625" customWidth="1"/>
    <col min="119" max="119" width="17.1640625" customWidth="1"/>
    <col min="120" max="120" width="15.5" customWidth="1"/>
    <col min="121" max="121" width="15.83203125" customWidth="1"/>
    <col min="122" max="122" width="19.1640625" customWidth="1"/>
    <col min="123" max="123" width="17.1640625" customWidth="1"/>
    <col min="124" max="124" width="15.5" customWidth="1"/>
    <col min="125" max="125" width="15.83203125" customWidth="1"/>
    <col min="126" max="126" width="19.1640625" customWidth="1"/>
    <col min="127" max="127" width="17.1640625" customWidth="1"/>
    <col min="128" max="128" width="15.5" customWidth="1"/>
    <col min="129" max="129" width="15.83203125" customWidth="1"/>
    <col min="130" max="130" width="19.1640625" customWidth="1"/>
    <col min="131" max="131" width="17.1640625" customWidth="1"/>
    <col min="132" max="132" width="15.5" customWidth="1"/>
    <col min="133" max="133" width="15.83203125" customWidth="1"/>
    <col min="134" max="134" width="19.1640625" customWidth="1"/>
    <col min="135" max="135" width="17.1640625" customWidth="1"/>
    <col min="136" max="136" width="15.5" customWidth="1"/>
    <col min="137" max="137" width="15.83203125" customWidth="1"/>
    <col min="138" max="138" width="19.1640625" customWidth="1"/>
    <col min="139" max="139" width="17.1640625" customWidth="1"/>
    <col min="140" max="140" width="15.5" customWidth="1"/>
    <col min="141" max="141" width="15.83203125" customWidth="1"/>
    <col min="142" max="142" width="19.1640625" customWidth="1"/>
    <col min="143" max="143" width="17.1640625" customWidth="1"/>
    <col min="144" max="144" width="15.5" customWidth="1"/>
    <col min="145" max="145" width="15.83203125" customWidth="1"/>
    <col min="146" max="146" width="19.1640625" customWidth="1"/>
    <col min="147" max="147" width="17.1640625" customWidth="1"/>
    <col min="148" max="148" width="15.5" customWidth="1"/>
    <col min="149" max="149" width="15.83203125" customWidth="1"/>
    <col min="150" max="150" width="19.1640625" customWidth="1"/>
    <col min="151" max="151" width="17.1640625" customWidth="1"/>
    <col min="152" max="152" width="15.5" customWidth="1"/>
    <col min="153" max="153" width="15.83203125" customWidth="1"/>
    <col min="154" max="154" width="19.1640625" customWidth="1"/>
    <col min="155" max="155" width="17.1640625" customWidth="1"/>
    <col min="156" max="156" width="15.5" customWidth="1"/>
    <col min="157" max="157" width="15.83203125" customWidth="1"/>
    <col min="158" max="158" width="19.1640625" customWidth="1"/>
    <col min="159" max="159" width="17.1640625" customWidth="1"/>
    <col min="160" max="160" width="15.5" customWidth="1"/>
    <col min="161" max="161" width="15.83203125" customWidth="1"/>
    <col min="162" max="162" width="19.1640625" customWidth="1"/>
    <col min="163" max="163" width="17.1640625" customWidth="1"/>
    <col min="164" max="164" width="15.5" customWidth="1"/>
    <col min="165" max="165" width="15.83203125" customWidth="1"/>
    <col min="166" max="166" width="19.1640625" customWidth="1"/>
    <col min="167" max="167" width="17.1640625" customWidth="1"/>
    <col min="168" max="168" width="15.5" customWidth="1"/>
    <col min="169" max="169" width="15.83203125" customWidth="1"/>
    <col min="170" max="170" width="19.1640625" customWidth="1"/>
    <col min="171" max="171" width="17.1640625" customWidth="1"/>
    <col min="172" max="172" width="15.5" customWidth="1"/>
    <col min="173" max="173" width="15.83203125" customWidth="1"/>
    <col min="174" max="174" width="19.1640625" customWidth="1"/>
    <col min="175" max="175" width="17.1640625" customWidth="1"/>
    <col min="176" max="176" width="15.5" customWidth="1"/>
    <col min="177" max="177" width="15.83203125" customWidth="1"/>
    <col min="178" max="178" width="19.1640625" customWidth="1"/>
    <col min="179" max="179" width="17.1640625" customWidth="1"/>
    <col min="180" max="180" width="15.5" customWidth="1"/>
    <col min="181" max="181" width="15.83203125" customWidth="1"/>
    <col min="182" max="182" width="19.1640625" customWidth="1"/>
    <col min="183" max="183" width="17.1640625" customWidth="1"/>
    <col min="184" max="184" width="15.5" customWidth="1"/>
    <col min="185" max="185" width="15.83203125" customWidth="1"/>
    <col min="186" max="186" width="19.1640625" customWidth="1"/>
    <col min="187" max="187" width="17.1640625" customWidth="1"/>
    <col min="188" max="188" width="15.5" customWidth="1"/>
    <col min="189" max="189" width="15.83203125" customWidth="1"/>
    <col min="190" max="190" width="19.1640625" customWidth="1"/>
    <col min="191" max="191" width="17.1640625" customWidth="1"/>
    <col min="192" max="192" width="15.5" customWidth="1"/>
    <col min="193" max="193" width="15.83203125" customWidth="1"/>
    <col min="194" max="194" width="19.1640625" customWidth="1"/>
    <col min="195" max="195" width="17.1640625" customWidth="1"/>
    <col min="196" max="196" width="15.5" customWidth="1"/>
    <col min="197" max="197" width="15.83203125" customWidth="1"/>
    <col min="198" max="198" width="19.1640625" customWidth="1"/>
    <col min="199" max="199" width="17.1640625" customWidth="1"/>
    <col min="200" max="200" width="15.5" customWidth="1"/>
    <col min="201" max="201" width="15.83203125" customWidth="1"/>
    <col min="202" max="202" width="19.1640625" customWidth="1"/>
    <col min="203" max="203" width="17.1640625" customWidth="1"/>
    <col min="204" max="204" width="15.5" customWidth="1"/>
    <col min="205" max="205" width="15.83203125" customWidth="1"/>
    <col min="206" max="206" width="19.1640625" customWidth="1"/>
    <col min="207" max="207" width="17.1640625" customWidth="1"/>
    <col min="208" max="208" width="15.5" customWidth="1"/>
    <col min="209" max="209" width="15.83203125" customWidth="1"/>
    <col min="210" max="210" width="19.1640625" customWidth="1"/>
    <col min="211" max="211" width="17.1640625" customWidth="1"/>
    <col min="212" max="212" width="15.5" customWidth="1"/>
    <col min="213" max="213" width="15.83203125" customWidth="1"/>
    <col min="214" max="214" width="19.1640625" customWidth="1"/>
    <col min="215" max="215" width="17.1640625" customWidth="1"/>
    <col min="216" max="216" width="15.5" customWidth="1"/>
    <col min="217" max="217" width="15.83203125" customWidth="1"/>
    <col min="218" max="218" width="19.1640625" customWidth="1"/>
    <col min="219" max="219" width="17.1640625" customWidth="1"/>
    <col min="220" max="220" width="15.5" customWidth="1"/>
    <col min="221" max="221" width="15.83203125" customWidth="1"/>
    <col min="222" max="222" width="19.1640625" customWidth="1"/>
    <col min="223" max="223" width="17.1640625" customWidth="1"/>
    <col min="224" max="224" width="15.5" customWidth="1"/>
    <col min="225" max="225" width="15.83203125" customWidth="1"/>
    <col min="226" max="226" width="19.1640625" customWidth="1"/>
    <col min="227" max="227" width="17.1640625" customWidth="1"/>
    <col min="228" max="228" width="15.5" customWidth="1"/>
    <col min="229" max="229" width="15.83203125" customWidth="1"/>
    <col min="230" max="230" width="19.1640625" customWidth="1"/>
    <col min="231" max="231" width="17.1640625" customWidth="1"/>
    <col min="232" max="232" width="15.5" customWidth="1"/>
    <col min="233" max="233" width="15.83203125" customWidth="1"/>
    <col min="234" max="234" width="19.1640625" customWidth="1"/>
    <col min="235" max="235" width="17.1640625" customWidth="1"/>
    <col min="236" max="236" width="15.5" customWidth="1"/>
    <col min="237" max="237" width="15.83203125" customWidth="1"/>
    <col min="238" max="238" width="19.1640625" customWidth="1"/>
    <col min="239" max="239" width="17.1640625" customWidth="1"/>
    <col min="240" max="240" width="15.5" customWidth="1"/>
    <col min="241" max="241" width="15.83203125" customWidth="1"/>
    <col min="242" max="242" width="19.1640625" customWidth="1"/>
    <col min="243" max="243" width="17.1640625" customWidth="1"/>
    <col min="244" max="244" width="15.5" customWidth="1"/>
    <col min="245" max="245" width="15.83203125" customWidth="1"/>
    <col min="246" max="246" width="19.1640625" customWidth="1"/>
    <col min="247" max="247" width="17.1640625" customWidth="1"/>
    <col min="248" max="248" width="15.5" customWidth="1"/>
    <col min="249" max="249" width="15.83203125" customWidth="1"/>
    <col min="250" max="250" width="19.1640625" customWidth="1"/>
    <col min="251" max="251" width="17.1640625" customWidth="1"/>
    <col min="252" max="252" width="15.5" customWidth="1"/>
    <col min="253" max="253" width="15.83203125" customWidth="1"/>
    <col min="254" max="254" width="19.1640625" customWidth="1"/>
    <col min="255" max="255" width="17.1640625" customWidth="1"/>
    <col min="256" max="256" width="15.5" customWidth="1"/>
    <col min="257" max="257" width="15.83203125" customWidth="1"/>
    <col min="258" max="258" width="19.1640625" customWidth="1"/>
    <col min="259" max="259" width="17.1640625" customWidth="1"/>
    <col min="260" max="260" width="15.5" customWidth="1"/>
    <col min="261" max="261" width="15.83203125" customWidth="1"/>
    <col min="262" max="262" width="19.1640625" customWidth="1"/>
    <col min="263" max="263" width="17.1640625" customWidth="1"/>
    <col min="264" max="264" width="15.5" customWidth="1"/>
    <col min="265" max="265" width="15.83203125" customWidth="1"/>
    <col min="266" max="266" width="19.1640625" customWidth="1"/>
    <col min="267" max="267" width="17.1640625" customWidth="1"/>
    <col min="268" max="268" width="15.5" customWidth="1"/>
    <col min="269" max="269" width="15.83203125" customWidth="1"/>
    <col min="270" max="270" width="19.1640625" customWidth="1"/>
    <col min="271" max="271" width="17.1640625" customWidth="1"/>
    <col min="272" max="272" width="15.5" customWidth="1"/>
    <col min="273" max="273" width="15.83203125" customWidth="1"/>
    <col min="274" max="274" width="19.1640625" customWidth="1"/>
    <col min="275" max="275" width="17.1640625" customWidth="1"/>
    <col min="276" max="276" width="15.5" customWidth="1"/>
    <col min="277" max="277" width="15.83203125" customWidth="1"/>
    <col min="278" max="278" width="19.1640625" customWidth="1"/>
    <col min="279" max="279" width="17.1640625" customWidth="1"/>
    <col min="280" max="280" width="15.5" customWidth="1"/>
    <col min="281" max="281" width="15.83203125" customWidth="1"/>
    <col min="282" max="282" width="19.1640625" customWidth="1"/>
    <col min="283" max="283" width="17.1640625" customWidth="1"/>
    <col min="284" max="284" width="15.5" customWidth="1"/>
    <col min="285" max="285" width="15.83203125" customWidth="1"/>
    <col min="286" max="286" width="19.1640625" customWidth="1"/>
    <col min="287" max="287" width="17.1640625" customWidth="1"/>
    <col min="288" max="288" width="15.5" customWidth="1"/>
    <col min="289" max="289" width="15.83203125" customWidth="1"/>
    <col min="290" max="290" width="19.1640625" customWidth="1"/>
    <col min="291" max="291" width="17.1640625" customWidth="1"/>
    <col min="292" max="292" width="15.5" customWidth="1"/>
    <col min="293" max="293" width="15.83203125" customWidth="1"/>
    <col min="294" max="294" width="19.1640625" customWidth="1"/>
    <col min="295" max="295" width="17.1640625" customWidth="1"/>
    <col min="296" max="296" width="15.5" customWidth="1"/>
    <col min="297" max="297" width="15.83203125" customWidth="1"/>
    <col min="298" max="298" width="19.1640625" customWidth="1"/>
    <col min="299" max="299" width="17.1640625" customWidth="1"/>
    <col min="300" max="300" width="15.5" customWidth="1"/>
    <col min="301" max="301" width="15.83203125" customWidth="1"/>
    <col min="302" max="302" width="19.1640625" customWidth="1"/>
    <col min="303" max="303" width="17.1640625" customWidth="1"/>
    <col min="304" max="304" width="15.5" customWidth="1"/>
    <col min="305" max="305" width="15.83203125" customWidth="1"/>
    <col min="306" max="306" width="19.1640625" customWidth="1"/>
    <col min="307" max="307" width="17.1640625" customWidth="1"/>
    <col min="308" max="308" width="15.5" customWidth="1"/>
    <col min="309" max="309" width="15.83203125" customWidth="1"/>
    <col min="310" max="310" width="19.1640625" customWidth="1"/>
    <col min="311" max="311" width="17.1640625" customWidth="1"/>
    <col min="312" max="312" width="15.5" customWidth="1"/>
    <col min="313" max="313" width="15.83203125" customWidth="1"/>
    <col min="314" max="314" width="19.1640625" customWidth="1"/>
    <col min="315" max="315" width="17.1640625" customWidth="1"/>
    <col min="316" max="316" width="15.5" customWidth="1"/>
    <col min="317" max="317" width="15.83203125" customWidth="1"/>
    <col min="318" max="318" width="19.1640625" customWidth="1"/>
    <col min="319" max="319" width="17.1640625" customWidth="1"/>
    <col min="320" max="320" width="15.5" customWidth="1"/>
    <col min="321" max="321" width="15.83203125" customWidth="1"/>
    <col min="322" max="322" width="19.1640625" customWidth="1"/>
    <col min="323" max="323" width="17.1640625" customWidth="1"/>
    <col min="324" max="324" width="15.5" customWidth="1"/>
    <col min="325" max="325" width="15.83203125" customWidth="1"/>
    <col min="326" max="326" width="19.1640625" customWidth="1"/>
    <col min="327" max="327" width="17.1640625" customWidth="1"/>
    <col min="328" max="328" width="15.5" customWidth="1"/>
    <col min="329" max="329" width="15.83203125" customWidth="1"/>
    <col min="330" max="330" width="19.1640625" customWidth="1"/>
    <col min="331" max="331" width="17.1640625" customWidth="1"/>
    <col min="332" max="332" width="15.5" customWidth="1"/>
    <col min="333" max="333" width="15.83203125" customWidth="1"/>
    <col min="334" max="334" width="19.1640625" customWidth="1"/>
    <col min="335" max="335" width="17.1640625" customWidth="1"/>
    <col min="336" max="336" width="15.5" customWidth="1"/>
    <col min="337" max="337" width="15.83203125" customWidth="1"/>
    <col min="338" max="338" width="19.1640625" customWidth="1"/>
    <col min="339" max="339" width="17.1640625" customWidth="1"/>
    <col min="340" max="340" width="15.5" customWidth="1"/>
    <col min="341" max="341" width="15.83203125" customWidth="1"/>
    <col min="342" max="342" width="19.1640625" customWidth="1"/>
    <col min="343" max="343" width="17.1640625" customWidth="1"/>
    <col min="344" max="344" width="15.5" customWidth="1"/>
    <col min="345" max="345" width="15.83203125" customWidth="1"/>
    <col min="346" max="346" width="19.1640625" customWidth="1"/>
    <col min="347" max="347" width="17.1640625" customWidth="1"/>
    <col min="348" max="348" width="15.5" customWidth="1"/>
    <col min="349" max="349" width="15.83203125" customWidth="1"/>
    <col min="350" max="350" width="19.1640625" customWidth="1"/>
    <col min="351" max="351" width="17.1640625" customWidth="1"/>
    <col min="352" max="352" width="15.5" customWidth="1"/>
    <col min="353" max="353" width="15.83203125" customWidth="1"/>
    <col min="354" max="354" width="19.1640625" customWidth="1"/>
    <col min="355" max="355" width="17.1640625" customWidth="1"/>
    <col min="356" max="356" width="15.5" customWidth="1"/>
    <col min="357" max="357" width="15.83203125" customWidth="1"/>
    <col min="358" max="358" width="19.1640625" customWidth="1"/>
    <col min="359" max="359" width="17.1640625" customWidth="1"/>
    <col min="360" max="360" width="15.5" customWidth="1"/>
    <col min="361" max="361" width="15.83203125" customWidth="1"/>
    <col min="362" max="362" width="19.1640625" customWidth="1"/>
    <col min="363" max="363" width="17.1640625" customWidth="1"/>
    <col min="364" max="364" width="15.5" customWidth="1"/>
    <col min="365" max="365" width="15.83203125" customWidth="1"/>
    <col min="366" max="366" width="19.1640625" customWidth="1"/>
    <col min="367" max="367" width="17.1640625" customWidth="1"/>
    <col min="368" max="368" width="15.5" customWidth="1"/>
    <col min="369" max="369" width="15.83203125" customWidth="1"/>
    <col min="370" max="370" width="19.1640625" customWidth="1"/>
    <col min="371" max="371" width="17.1640625" customWidth="1"/>
    <col min="372" max="372" width="15.5" customWidth="1"/>
    <col min="373" max="373" width="15.83203125" customWidth="1"/>
    <col min="374" max="374" width="19.1640625" customWidth="1"/>
    <col min="375" max="375" width="17.1640625" customWidth="1"/>
    <col min="376" max="376" width="15.5" customWidth="1"/>
    <col min="377" max="377" width="15.83203125" customWidth="1"/>
    <col min="378" max="378" width="19.1640625" customWidth="1"/>
    <col min="379" max="379" width="17.1640625" customWidth="1"/>
    <col min="380" max="380" width="15.5" customWidth="1"/>
    <col min="381" max="381" width="15.83203125" customWidth="1"/>
    <col min="382" max="382" width="19.1640625" customWidth="1"/>
    <col min="383" max="383" width="17.1640625" customWidth="1"/>
    <col min="384" max="384" width="15.5" customWidth="1"/>
    <col min="385" max="385" width="15.83203125" customWidth="1"/>
    <col min="386" max="386" width="19.1640625" customWidth="1"/>
    <col min="387" max="387" width="17.1640625" customWidth="1"/>
    <col min="388" max="388" width="15.5" customWidth="1"/>
    <col min="389" max="389" width="15.83203125" customWidth="1"/>
    <col min="390" max="390" width="19.1640625" customWidth="1"/>
    <col min="391" max="391" width="17.1640625" customWidth="1"/>
    <col min="392" max="392" width="15.5" customWidth="1"/>
    <col min="393" max="393" width="15.83203125" customWidth="1"/>
    <col min="394" max="394" width="19.1640625" customWidth="1"/>
    <col min="395" max="395" width="17.1640625" customWidth="1"/>
    <col min="396" max="396" width="15.5" customWidth="1"/>
    <col min="397" max="397" width="15.83203125" customWidth="1"/>
    <col min="398" max="398" width="19.1640625" customWidth="1"/>
    <col min="399" max="399" width="17.1640625" customWidth="1"/>
    <col min="400" max="400" width="15.5" customWidth="1"/>
    <col min="401" max="401" width="15.83203125" customWidth="1"/>
    <col min="402" max="402" width="19.1640625" customWidth="1"/>
    <col min="403" max="403" width="17.1640625" customWidth="1"/>
    <col min="404" max="404" width="15.5" customWidth="1"/>
    <col min="405" max="405" width="15.83203125" customWidth="1"/>
    <col min="406" max="406" width="19.1640625" customWidth="1"/>
    <col min="407" max="407" width="17.1640625" customWidth="1"/>
    <col min="408" max="408" width="15.5" customWidth="1"/>
    <col min="409" max="409" width="15.83203125" customWidth="1"/>
    <col min="410" max="410" width="19.1640625" customWidth="1"/>
    <col min="411" max="411" width="17.1640625" customWidth="1"/>
    <col min="412" max="412" width="15.5" customWidth="1"/>
    <col min="413" max="413" width="15.83203125" customWidth="1"/>
    <col min="414" max="414" width="19.1640625" customWidth="1"/>
    <col min="415" max="415" width="17.1640625" customWidth="1"/>
    <col min="416" max="416" width="15.5" customWidth="1"/>
    <col min="417" max="417" width="15.83203125" customWidth="1"/>
    <col min="418" max="418" width="19.1640625" customWidth="1"/>
    <col min="419" max="419" width="17.1640625" customWidth="1"/>
    <col min="420" max="420" width="15.5" customWidth="1"/>
    <col min="421" max="421" width="15.83203125" customWidth="1"/>
    <col min="422" max="422" width="19.1640625" customWidth="1"/>
    <col min="423" max="423" width="17.1640625" customWidth="1"/>
    <col min="424" max="424" width="15.5" customWidth="1"/>
    <col min="425" max="425" width="15.83203125" customWidth="1"/>
    <col min="426" max="426" width="19.1640625" customWidth="1"/>
    <col min="427" max="427" width="17.1640625" customWidth="1"/>
    <col min="428" max="428" width="15.5" customWidth="1"/>
    <col min="429" max="429" width="16.83203125" customWidth="1"/>
    <col min="430" max="430" width="20.1640625" customWidth="1"/>
    <col min="431" max="431" width="18.1640625" customWidth="1"/>
    <col min="432" max="432" width="16.5" customWidth="1"/>
    <col min="433" max="433" width="16.83203125" customWidth="1"/>
    <col min="434" max="434" width="20.1640625" customWidth="1"/>
    <col min="435" max="435" width="18.1640625" customWidth="1"/>
    <col min="436" max="436" width="16.5" customWidth="1"/>
    <col min="437" max="437" width="16.83203125" customWidth="1"/>
    <col min="438" max="438" width="20.1640625" customWidth="1"/>
    <col min="439" max="439" width="18.1640625" customWidth="1"/>
    <col min="440" max="440" width="16.5" customWidth="1"/>
    <col min="441" max="441" width="16.83203125" customWidth="1"/>
    <col min="442" max="442" width="20.1640625" customWidth="1"/>
    <col min="443" max="443" width="18.1640625" customWidth="1"/>
    <col min="444" max="444" width="16.5" customWidth="1"/>
    <col min="445" max="445" width="16.83203125" customWidth="1"/>
    <col min="446" max="446" width="20.1640625" customWidth="1"/>
    <col min="447" max="447" width="18.1640625" customWidth="1"/>
    <col min="448" max="448" width="16.5" customWidth="1"/>
    <col min="449" max="449" width="16.83203125" customWidth="1"/>
    <col min="450" max="450" width="20.1640625" customWidth="1"/>
    <col min="451" max="451" width="18.1640625" customWidth="1"/>
    <col min="452" max="452" width="16.5" customWidth="1"/>
    <col min="453" max="453" width="16.83203125" customWidth="1"/>
    <col min="454" max="454" width="20.1640625" customWidth="1"/>
    <col min="455" max="455" width="18.1640625" customWidth="1"/>
    <col min="456" max="456" width="16.5" customWidth="1"/>
    <col min="457" max="457" width="16.83203125" customWidth="1"/>
    <col min="458" max="458" width="20.1640625" customWidth="1"/>
    <col min="459" max="459" width="18.1640625" customWidth="1"/>
    <col min="460" max="460" width="16.5" customWidth="1"/>
    <col min="461" max="461" width="16.83203125" customWidth="1"/>
    <col min="462" max="462" width="20.1640625" customWidth="1"/>
    <col min="463" max="463" width="18.1640625" customWidth="1"/>
    <col min="464" max="464" width="16.5" customWidth="1"/>
    <col min="465" max="465" width="16.83203125" customWidth="1"/>
    <col min="466" max="466" width="20.1640625" customWidth="1"/>
    <col min="467" max="467" width="18.1640625" customWidth="1"/>
    <col min="468" max="468" width="16.5" customWidth="1"/>
    <col min="469" max="469" width="16.83203125" customWidth="1"/>
    <col min="470" max="470" width="20.1640625" customWidth="1"/>
    <col min="471" max="471" width="18.1640625" customWidth="1"/>
    <col min="472" max="472" width="16.5" customWidth="1"/>
    <col min="473" max="473" width="16.83203125" customWidth="1"/>
    <col min="474" max="474" width="20.1640625" customWidth="1"/>
    <col min="475" max="475" width="18.1640625" customWidth="1"/>
    <col min="476" max="476" width="16.5" customWidth="1"/>
    <col min="477" max="477" width="16.83203125" customWidth="1"/>
    <col min="478" max="478" width="20.1640625" customWidth="1"/>
    <col min="479" max="479" width="18.1640625" customWidth="1"/>
    <col min="480" max="480" width="16.5" customWidth="1"/>
    <col min="481" max="481" width="16.83203125" customWidth="1"/>
    <col min="482" max="482" width="20.1640625" customWidth="1"/>
    <col min="483" max="483" width="18.1640625" customWidth="1"/>
    <col min="484" max="484" width="16.5" customWidth="1"/>
    <col min="485" max="485" width="16.83203125" customWidth="1"/>
    <col min="486" max="486" width="20.1640625" customWidth="1"/>
    <col min="487" max="487" width="18.1640625" customWidth="1"/>
    <col min="488" max="488" width="16.5" customWidth="1"/>
    <col min="489" max="489" width="16.83203125" customWidth="1"/>
    <col min="490" max="490" width="20.1640625" customWidth="1"/>
    <col min="491" max="491" width="18.1640625" customWidth="1"/>
    <col min="492" max="492" width="16.5" customWidth="1"/>
    <col min="493" max="493" width="16.83203125" customWidth="1"/>
    <col min="494" max="494" width="20.1640625" customWidth="1"/>
    <col min="495" max="495" width="18.1640625" customWidth="1"/>
    <col min="496" max="496" width="16.5" customWidth="1"/>
    <col min="497" max="497" width="16.83203125" customWidth="1"/>
    <col min="498" max="498" width="20.1640625" customWidth="1"/>
    <col min="499" max="499" width="18.1640625" customWidth="1"/>
    <col min="500" max="500" width="16.5" customWidth="1"/>
    <col min="501" max="501" width="16.83203125" customWidth="1"/>
    <col min="502" max="502" width="20.1640625" customWidth="1"/>
    <col min="503" max="503" width="18.1640625" customWidth="1"/>
    <col min="504" max="504" width="16.5" customWidth="1"/>
    <col min="505" max="505" width="16.83203125" customWidth="1"/>
    <col min="506" max="506" width="20.1640625" customWidth="1"/>
    <col min="507" max="507" width="18.1640625" customWidth="1"/>
    <col min="508" max="508" width="16.5" customWidth="1"/>
    <col min="509" max="509" width="16.83203125" customWidth="1"/>
    <col min="510" max="510" width="20.1640625" customWidth="1"/>
    <col min="511" max="511" width="18.1640625" customWidth="1"/>
    <col min="512" max="512" width="16.5" customWidth="1"/>
    <col min="513" max="513" width="16.83203125" customWidth="1"/>
    <col min="514" max="514" width="20.1640625" customWidth="1"/>
    <col min="515" max="515" width="18.1640625" customWidth="1"/>
    <col min="516" max="516" width="16.5" customWidth="1"/>
    <col min="517" max="517" width="16.83203125" customWidth="1"/>
    <col min="518" max="518" width="20.1640625" customWidth="1"/>
    <col min="519" max="519" width="18.1640625" customWidth="1"/>
    <col min="520" max="520" width="16.5" customWidth="1"/>
    <col min="521" max="521" width="16.83203125" customWidth="1"/>
    <col min="522" max="522" width="20.1640625" customWidth="1"/>
    <col min="523" max="523" width="18.1640625" customWidth="1"/>
    <col min="524" max="524" width="16.5" customWidth="1"/>
    <col min="525" max="525" width="16.83203125" customWidth="1"/>
    <col min="526" max="526" width="20.1640625" customWidth="1"/>
    <col min="527" max="527" width="18.1640625" customWidth="1"/>
    <col min="528" max="528" width="16.5" customWidth="1"/>
    <col min="529" max="529" width="16.83203125" customWidth="1"/>
    <col min="530" max="530" width="20.1640625" customWidth="1"/>
    <col min="531" max="531" width="18.1640625" customWidth="1"/>
    <col min="532" max="532" width="16.5" customWidth="1"/>
    <col min="533" max="533" width="16.83203125" customWidth="1"/>
    <col min="534" max="534" width="20.1640625" customWidth="1"/>
    <col min="535" max="535" width="18.1640625" customWidth="1"/>
    <col min="536" max="536" width="16.5" customWidth="1"/>
    <col min="537" max="537" width="16.83203125" customWidth="1"/>
    <col min="538" max="538" width="20.1640625" customWidth="1"/>
    <col min="539" max="539" width="18.1640625" customWidth="1"/>
    <col min="540" max="540" width="16.5" customWidth="1"/>
    <col min="541" max="541" width="16.83203125" customWidth="1"/>
    <col min="542" max="542" width="20.1640625" customWidth="1"/>
    <col min="543" max="543" width="18.1640625" customWidth="1"/>
    <col min="544" max="544" width="16.5" customWidth="1"/>
    <col min="545" max="545" width="16.83203125" customWidth="1"/>
    <col min="546" max="546" width="20.1640625" customWidth="1"/>
    <col min="547" max="547" width="18.1640625" customWidth="1"/>
    <col min="548" max="548" width="16.5" customWidth="1"/>
    <col min="549" max="549" width="16.83203125" customWidth="1"/>
    <col min="550" max="550" width="20.1640625" customWidth="1"/>
    <col min="551" max="551" width="18.1640625" customWidth="1"/>
    <col min="552" max="552" width="16.5" customWidth="1"/>
    <col min="553" max="553" width="16.83203125" customWidth="1"/>
    <col min="554" max="554" width="20.1640625" customWidth="1"/>
    <col min="555" max="555" width="18.1640625" customWidth="1"/>
    <col min="556" max="556" width="16.5" customWidth="1"/>
    <col min="557" max="557" width="16.83203125" customWidth="1"/>
    <col min="558" max="558" width="20.1640625" customWidth="1"/>
    <col min="559" max="559" width="18.1640625" customWidth="1"/>
    <col min="560" max="560" width="16.5" customWidth="1"/>
    <col min="561" max="561" width="16.83203125" customWidth="1"/>
    <col min="562" max="562" width="20.1640625" customWidth="1"/>
    <col min="563" max="563" width="18.1640625" customWidth="1"/>
    <col min="564" max="564" width="16.5" customWidth="1"/>
    <col min="565" max="565" width="16.83203125" customWidth="1"/>
    <col min="566" max="566" width="20.1640625" customWidth="1"/>
    <col min="567" max="567" width="18.1640625" customWidth="1"/>
    <col min="568" max="568" width="16.5" customWidth="1"/>
    <col min="569" max="569" width="16.83203125" customWidth="1"/>
    <col min="570" max="570" width="20.1640625" customWidth="1"/>
    <col min="571" max="571" width="18.1640625" customWidth="1"/>
    <col min="572" max="572" width="16.5" customWidth="1"/>
    <col min="573" max="573" width="16.83203125" customWidth="1"/>
    <col min="574" max="574" width="20.1640625" customWidth="1"/>
    <col min="575" max="575" width="18.1640625" customWidth="1"/>
    <col min="576" max="576" width="16.5" customWidth="1"/>
    <col min="577" max="577" width="16.83203125" customWidth="1"/>
    <col min="578" max="578" width="20.1640625" customWidth="1"/>
    <col min="579" max="579" width="18.1640625" customWidth="1"/>
    <col min="580" max="580" width="16.5" customWidth="1"/>
    <col min="581" max="581" width="16.83203125" customWidth="1"/>
    <col min="582" max="582" width="20.1640625" customWidth="1"/>
    <col min="583" max="583" width="18.1640625" customWidth="1"/>
    <col min="584" max="584" width="16.5" customWidth="1"/>
    <col min="585" max="585" width="16.83203125" customWidth="1"/>
    <col min="586" max="586" width="20.1640625" customWidth="1"/>
    <col min="587" max="587" width="18.1640625" customWidth="1"/>
    <col min="588" max="588" width="16.5" customWidth="1"/>
    <col min="589" max="589" width="16.83203125" customWidth="1"/>
    <col min="590" max="590" width="20.1640625" customWidth="1"/>
    <col min="591" max="591" width="18.1640625" customWidth="1"/>
    <col min="592" max="592" width="16.5" customWidth="1"/>
    <col min="593" max="593" width="16.83203125" customWidth="1"/>
    <col min="594" max="594" width="20.1640625" customWidth="1"/>
    <col min="595" max="595" width="18.1640625" customWidth="1"/>
    <col min="596" max="596" width="16.5" customWidth="1"/>
  </cols>
  <sheetData>
    <row r="1" spans="2:37" ht="19" x14ac:dyDescent="0.25">
      <c r="B1" s="39" t="s">
        <v>639</v>
      </c>
    </row>
    <row r="2" spans="2:37" x14ac:dyDescent="0.2">
      <c r="B2" s="103"/>
    </row>
    <row r="3" spans="2:37" ht="16" x14ac:dyDescent="0.2">
      <c r="B3" s="17" t="s">
        <v>16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17</v>
      </c>
      <c r="I3" s="18" t="s">
        <v>14</v>
      </c>
      <c r="J3" s="18" t="s">
        <v>18</v>
      </c>
      <c r="K3" s="18" t="s">
        <v>19</v>
      </c>
      <c r="L3" s="19" t="s">
        <v>20</v>
      </c>
      <c r="M3" s="18" t="s">
        <v>662</v>
      </c>
      <c r="O3" s="9"/>
    </row>
    <row r="4" spans="2:37" x14ac:dyDescent="0.2">
      <c r="B4" s="61">
        <v>1</v>
      </c>
      <c r="C4" s="53">
        <f>_xlfn.XLOOKUP($B4,$Z$10:$Z$149,C$10:C$149)</f>
        <v>0.4</v>
      </c>
      <c r="D4" s="53">
        <f t="shared" ref="C4:L8" si="0">_xlfn.XLOOKUP($B4,$Z$10:$Z$149,D$10:D$149)</f>
        <v>0.15</v>
      </c>
      <c r="E4" s="53">
        <f t="shared" si="0"/>
        <v>0.2</v>
      </c>
      <c r="F4" s="53">
        <f t="shared" si="0"/>
        <v>0.1</v>
      </c>
      <c r="G4" s="53">
        <f t="shared" si="0"/>
        <v>0.15</v>
      </c>
      <c r="H4" s="53">
        <f t="shared" si="0"/>
        <v>9.9898857071326314E-2</v>
      </c>
      <c r="I4" s="53">
        <f t="shared" si="0"/>
        <v>7.7747942072710019E-2</v>
      </c>
      <c r="J4" s="85">
        <f t="shared" si="0"/>
        <v>0.68031770495359023</v>
      </c>
      <c r="K4" s="53">
        <f t="shared" si="0"/>
        <v>-0.1664981537878889</v>
      </c>
      <c r="L4" s="56">
        <f t="shared" si="0"/>
        <v>0.85</v>
      </c>
      <c r="M4" s="137" t="str">
        <f>_xlfn.XLOOKUP(Scenario1Rank[[#This Row],[Rank]],$X$10:$X$149,Y$10:Y$149)</f>
        <v>40/15/20/10/15</v>
      </c>
    </row>
    <row r="5" spans="2:37" x14ac:dyDescent="0.2">
      <c r="B5" s="61">
        <v>2</v>
      </c>
      <c r="C5" s="53">
        <f t="shared" si="0"/>
        <v>0.35</v>
      </c>
      <c r="D5" s="53">
        <f t="shared" si="0"/>
        <v>0.15</v>
      </c>
      <c r="E5" s="53">
        <f t="shared" si="0"/>
        <v>0.2</v>
      </c>
      <c r="F5" s="53">
        <f t="shared" si="0"/>
        <v>0.1</v>
      </c>
      <c r="G5" s="53">
        <f t="shared" si="0"/>
        <v>0.2</v>
      </c>
      <c r="H5" s="53">
        <f t="shared" si="0"/>
        <v>9.4689889357678719E-2</v>
      </c>
      <c r="I5" s="53">
        <f t="shared" si="0"/>
        <v>7.3031963043220252E-2</v>
      </c>
      <c r="J5" s="85">
        <f t="shared" si="0"/>
        <v>0.65292416929699149</v>
      </c>
      <c r="K5" s="53">
        <f t="shared" si="0"/>
        <v>-0.15484931096251686</v>
      </c>
      <c r="L5" s="56">
        <f t="shared" si="0"/>
        <v>0.79999999999999993</v>
      </c>
      <c r="M5" s="137" t="str">
        <f>_xlfn.XLOOKUP(Scenario1Rank[[#This Row],[Rank]],$X$10:$X$149,Y$10:Y$149)</f>
        <v>35/15/20/10/20</v>
      </c>
    </row>
    <row r="6" spans="2:37" x14ac:dyDescent="0.2">
      <c r="B6" s="61">
        <v>3</v>
      </c>
      <c r="C6" s="53">
        <f t="shared" si="0"/>
        <v>0.4</v>
      </c>
      <c r="D6" s="53">
        <f t="shared" si="0"/>
        <v>0.15</v>
      </c>
      <c r="E6" s="53">
        <f t="shared" si="0"/>
        <v>0.15</v>
      </c>
      <c r="F6" s="53">
        <f t="shared" si="0"/>
        <v>0.1</v>
      </c>
      <c r="G6" s="53">
        <f t="shared" si="0"/>
        <v>0.2</v>
      </c>
      <c r="H6" s="53">
        <f t="shared" si="0"/>
        <v>9.5797664131447885E-2</v>
      </c>
      <c r="I6" s="53">
        <f t="shared" si="0"/>
        <v>7.5583071565287943E-2</v>
      </c>
      <c r="J6" s="85">
        <f t="shared" si="0"/>
        <v>0.64554281223866605</v>
      </c>
      <c r="K6" s="53">
        <f t="shared" si="0"/>
        <v>-0.16220725630038224</v>
      </c>
      <c r="L6" s="56">
        <f t="shared" si="0"/>
        <v>0.8</v>
      </c>
      <c r="M6" s="137" t="str">
        <f>_xlfn.XLOOKUP(Scenario1Rank[[#This Row],[Rank]],$X$10:$X$149,Y$10:Y$149)</f>
        <v>40/15/15/10/20</v>
      </c>
      <c r="N6" s="20"/>
    </row>
    <row r="7" spans="2:37" x14ac:dyDescent="0.2">
      <c r="B7" s="61">
        <v>4</v>
      </c>
      <c r="C7" s="53">
        <f t="shared" si="0"/>
        <v>0.4</v>
      </c>
      <c r="D7" s="53">
        <f t="shared" si="0"/>
        <v>0.2</v>
      </c>
      <c r="E7" s="53">
        <f t="shared" si="0"/>
        <v>0.2</v>
      </c>
      <c r="F7" s="53">
        <f t="shared" si="0"/>
        <v>0.1</v>
      </c>
      <c r="G7" s="53">
        <f t="shared" si="0"/>
        <v>0.1</v>
      </c>
      <c r="H7" s="53">
        <f t="shared" si="0"/>
        <v>9.842459176396523E-2</v>
      </c>
      <c r="I7" s="53">
        <f t="shared" si="0"/>
        <v>7.9943764058617736E-2</v>
      </c>
      <c r="J7" s="85">
        <f t="shared" si="0"/>
        <v>0.64319008260240706</v>
      </c>
      <c r="K7" s="53">
        <f t="shared" si="0"/>
        <v>-0.17322688100654049</v>
      </c>
      <c r="L7" s="56">
        <f t="shared" si="0"/>
        <v>0.9</v>
      </c>
      <c r="M7" s="137" t="str">
        <f>_xlfn.XLOOKUP(Scenario1Rank[[#This Row],[Rank]],$X$10:$X$149,Y$10:Y$149)</f>
        <v>40/20/20/10/10</v>
      </c>
    </row>
    <row r="8" spans="2:37" x14ac:dyDescent="0.2">
      <c r="B8" s="63">
        <v>5</v>
      </c>
      <c r="C8" s="58">
        <f t="shared" si="0"/>
        <v>0.45</v>
      </c>
      <c r="D8" s="58">
        <f t="shared" si="0"/>
        <v>0.2</v>
      </c>
      <c r="E8" s="58">
        <f t="shared" si="0"/>
        <v>0.15</v>
      </c>
      <c r="F8" s="58">
        <f t="shared" si="0"/>
        <v>0.1</v>
      </c>
      <c r="G8" s="58">
        <f t="shared" si="0"/>
        <v>0.1</v>
      </c>
      <c r="H8" s="58">
        <f t="shared" si="0"/>
        <v>9.9532366537734396E-2</v>
      </c>
      <c r="I8" s="58">
        <f t="shared" si="0"/>
        <v>8.2591069958370428E-2</v>
      </c>
      <c r="J8" s="108">
        <f t="shared" si="0"/>
        <v>0.63598656620691185</v>
      </c>
      <c r="K8" s="58">
        <f t="shared" si="0"/>
        <v>-0.18054317991848512</v>
      </c>
      <c r="L8" s="109">
        <f t="shared" si="0"/>
        <v>0.9</v>
      </c>
      <c r="M8" s="137" t="str">
        <f>_xlfn.XLOOKUP(Scenario1Rank[[#This Row],[Rank]],$X$10:$X$149,Y$10:Y$149)</f>
        <v>45/20/15/10/10</v>
      </c>
    </row>
    <row r="10" spans="2:37" s="15" customFormat="1" ht="32" x14ac:dyDescent="0.2">
      <c r="B10" s="11" t="s">
        <v>46</v>
      </c>
      <c r="C10" s="10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17</v>
      </c>
      <c r="I10" s="11" t="s">
        <v>21</v>
      </c>
      <c r="J10" s="11" t="s">
        <v>22</v>
      </c>
      <c r="K10" s="11" t="s">
        <v>19</v>
      </c>
      <c r="L10" s="11" t="s">
        <v>20</v>
      </c>
      <c r="M10" s="11" t="s">
        <v>23</v>
      </c>
      <c r="N10" s="11" t="s">
        <v>24</v>
      </c>
      <c r="O10" s="11" t="s">
        <v>25</v>
      </c>
      <c r="P10" s="11" t="s">
        <v>26</v>
      </c>
      <c r="Q10" s="11" t="s">
        <v>27</v>
      </c>
      <c r="R10" s="11" t="s">
        <v>28</v>
      </c>
      <c r="S10" s="11" t="s">
        <v>29</v>
      </c>
      <c r="T10" s="11" t="s">
        <v>30</v>
      </c>
      <c r="U10" s="11" t="s">
        <v>31</v>
      </c>
      <c r="V10" s="12" t="s">
        <v>32</v>
      </c>
      <c r="W10" s="11" t="s">
        <v>635</v>
      </c>
      <c r="X10" s="11" t="s">
        <v>636</v>
      </c>
      <c r="Y10" s="11" t="s">
        <v>662</v>
      </c>
      <c r="Z10" s="11" t="s">
        <v>642</v>
      </c>
      <c r="AA10" s="11" t="s">
        <v>643</v>
      </c>
      <c r="AB10" s="11" t="s">
        <v>644</v>
      </c>
    </row>
    <row r="11" spans="2:37" x14ac:dyDescent="0.2">
      <c r="B11" s="126">
        <v>1</v>
      </c>
      <c r="C11" s="124">
        <v>0.55000000000000004</v>
      </c>
      <c r="D11" s="124">
        <v>0.15</v>
      </c>
      <c r="E11" s="124">
        <v>0.1</v>
      </c>
      <c r="F11" s="124">
        <v>0.1</v>
      </c>
      <c r="G11" s="124">
        <v>0.1</v>
      </c>
      <c r="H11" s="124">
        <f>SUMPRODUCT(Scenarios1[[#This Row],[SPY]:[PE]],_xlfn.TOROW(AssetSpecsScenario1[Annualized Return]))</f>
        <v>0.10732337433251218</v>
      </c>
      <c r="I11" s="124" cm="1">
        <f t="array" ref="I11">SQRT(MMULT(MMULT(Scenarios1[[#This Row],[SPY]:[PE]], 'Corr_Cov 36- Month'!$J$13:$N$17), TRANSPOSE(Scenarios1[[#This Row],[SPY]:[PE]])))</f>
        <v>8.9362678371669044E-2</v>
      </c>
      <c r="J11" s="125">
        <f>(Scenarios1[[#This Row],[Expected Return]]-RiskFree)/Scenarios1[[#This Row],[36M Vol]]</f>
        <v>0.67497774099930508</v>
      </c>
      <c r="K11" s="124" cm="1">
        <f t="array" ref="K11">MIN(_xlfn._xlws.FILTER(PortfolioFrontier[#Data],(PortfolioFrontier[#Headers]="P"&amp;Scenarios1[[#This Row],[Reference '#]]&amp;" DD")))</f>
        <v>-0.19275958966564344</v>
      </c>
      <c r="L11" s="124">
        <f>SUM(Scenarios1[[#This Row],[SPY]:[VNQ]])</f>
        <v>0.9</v>
      </c>
      <c r="M11" s="124">
        <f>SUM(Scenarios1[[#This Row],[SPY]:[PE]])</f>
        <v>1</v>
      </c>
      <c r="N11" s="126" t="b">
        <f>Scenarios1[[#This Row],[SPY]]&gt;=SpyMin</f>
        <v>1</v>
      </c>
      <c r="O11" s="126" t="b">
        <f>Scenarios1[[#This Row],[AGG]]&gt;=AGGMin</f>
        <v>1</v>
      </c>
      <c r="P11" s="126" t="b">
        <f>AND(Scenarios1[[#This Row],[GLD]]&gt;=GLDMin,Scenarios1[[#This Row],[GLD]]&lt;=GLDMax)</f>
        <v>1</v>
      </c>
      <c r="Q11" s="126" t="b">
        <f>Scenarios1[[#This Row],[VNQ]]&gt;=VNQMin</f>
        <v>1</v>
      </c>
      <c r="R11" s="126" t="b">
        <f>AND(Scenarios1[[#This Row],[PE]]&gt;=PEMin,Scenarios1[[#This Row],[PE]]&lt;=PEMax)</f>
        <v>1</v>
      </c>
      <c r="S11" s="126" t="b">
        <f>Scenarios1[[#This Row],[Liquid Assets]]&gt;=LiquidMin</f>
        <v>1</v>
      </c>
      <c r="T11" s="126" t="b">
        <f>AND(Scenarios1[[#This Row],[Expected Return]]&gt;=ExpectedReturnMin,Scenarios1[[#This Row],[Expected Return]]&lt;=ExpectedReturnMax)</f>
        <v>0</v>
      </c>
      <c r="U11" s="126" t="b">
        <f>Scenarios1[[#This Row],[Max Drawdown]]&gt;=DrawdownMax</f>
        <v>1</v>
      </c>
      <c r="V11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1" s="46" t="str">
        <f>_xlfn.XLOOKUP(Scenarios1[[#This Row],[Reference '#]],ScenariosCombined[Reference '#],ScenariosCombined[Sharpe Rank])</f>
        <v/>
      </c>
      <c r="X11" s="126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1" s="150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55/15/10/10/10</v>
      </c>
      <c r="Z11" s="120" t="str">
        <f>Scenarios1[[#This Row],[Sharpe Rank]]</f>
        <v/>
      </c>
      <c r="AA11" s="120" t="str">
        <f>_xlfn.XLOOKUP(Scenarios1[[#This Row],[Reference '#]],Scenarios2[Reference '#],Scenarios2[Sharpe Rank])</f>
        <v/>
      </c>
      <c r="AB11" s="120" t="str">
        <f>_xlfn.XLOOKUP(Scenarios1[[#This Row],[Reference '#]],Scenarios3[Reference '#],Scenarios3[Sharpe Rank])</f>
        <v/>
      </c>
      <c r="AG11"/>
      <c r="AK11" s="15"/>
    </row>
    <row r="12" spans="2:37" x14ac:dyDescent="0.2">
      <c r="B12" s="126">
        <v>2</v>
      </c>
      <c r="C12" s="124">
        <v>0.5</v>
      </c>
      <c r="D12" s="124">
        <v>0.2</v>
      </c>
      <c r="E12" s="124">
        <v>0.1</v>
      </c>
      <c r="F12" s="124">
        <v>0.1</v>
      </c>
      <c r="G12" s="124">
        <v>0.1</v>
      </c>
      <c r="H12" s="124">
        <f>SUMPRODUCT(Scenarios1[[#This Row],[SPY]:[PE]],_xlfn.TOROW(AssetSpecsScenario1[Annualized Return]))</f>
        <v>0.10064014131150353</v>
      </c>
      <c r="I12" s="124" cm="1">
        <f t="array" ref="I12">SQRT(MMULT(MMULT(Scenarios1[[#This Row],[SPY]:[PE]], 'Corr_Cov 36- Month'!$J$13:$N$17), TRANSPOSE(Scenarios1[[#This Row],[SPY]:[PE]])))</f>
        <v>8.6129978160750478E-2</v>
      </c>
      <c r="J12" s="125">
        <f>(Scenarios1[[#This Row],[Expected Return]]-RiskFree)/Scenarios1[[#This Row],[36M Vol]]</f>
        <v>0.62271681592494954</v>
      </c>
      <c r="K12" s="124" cm="1">
        <f t="array" ref="K12">MIN(_xlfn._xlws.FILTER(PortfolioFrontier[#Data],(PortfolioFrontier[#Headers]="P"&amp;Scenarios1[[#This Row],[Reference '#]]&amp;" DD")))</f>
        <v>-0.18787639492969854</v>
      </c>
      <c r="L12" s="124">
        <f>SUM(Scenarios1[[#This Row],[SPY]:[VNQ]])</f>
        <v>0.89999999999999991</v>
      </c>
      <c r="M12" s="124">
        <f>SUM(Scenarios1[[#This Row],[SPY]:[PE]])</f>
        <v>0.99999999999999989</v>
      </c>
      <c r="N12" s="126" t="b">
        <f>Scenarios1[[#This Row],[SPY]]&gt;=SpyMin</f>
        <v>1</v>
      </c>
      <c r="O12" s="126" t="b">
        <f>Scenarios1[[#This Row],[AGG]]&gt;=AGGMin</f>
        <v>1</v>
      </c>
      <c r="P12" s="126" t="b">
        <f>AND(Scenarios1[[#This Row],[GLD]]&gt;=GLDMin,Scenarios1[[#This Row],[GLD]]&lt;=GLDMax)</f>
        <v>1</v>
      </c>
      <c r="Q12" s="126" t="b">
        <f>Scenarios1[[#This Row],[VNQ]]&gt;=VNQMin</f>
        <v>1</v>
      </c>
      <c r="R12" s="126" t="b">
        <f>AND(Scenarios1[[#This Row],[PE]]&gt;=PEMin,Scenarios1[[#This Row],[PE]]&lt;=PEMax)</f>
        <v>1</v>
      </c>
      <c r="S12" s="126" t="b">
        <f>Scenarios1[[#This Row],[Liquid Assets]]&gt;=LiquidMin</f>
        <v>1</v>
      </c>
      <c r="T12" s="126" t="b">
        <f>AND(Scenarios1[[#This Row],[Expected Return]]&gt;=ExpectedReturnMin,Scenarios1[[#This Row],[Expected Return]]&lt;=ExpectedReturnMax)</f>
        <v>0</v>
      </c>
      <c r="U12" s="126" t="b">
        <f>Scenarios1[[#This Row],[Max Drawdown]]&gt;=DrawdownMax</f>
        <v>1</v>
      </c>
      <c r="V12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2" s="46" t="str">
        <f>_xlfn.XLOOKUP(Scenarios1[[#This Row],[Reference '#]],ScenariosCombined[Reference '#],ScenariosCombined[Sharpe Rank])</f>
        <v/>
      </c>
      <c r="X12" s="126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2" s="150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50/20/10/10/10</v>
      </c>
      <c r="Z12" s="120" t="str">
        <f>Scenarios1[[#This Row],[Sharpe Rank]]</f>
        <v/>
      </c>
      <c r="AA12" s="120" t="str">
        <f>_xlfn.XLOOKUP(Scenarios1[[#This Row],[Reference '#]],Scenarios2[Reference '#],Scenarios2[Sharpe Rank])</f>
        <v/>
      </c>
      <c r="AB12" s="120" t="str">
        <f>_xlfn.XLOOKUP(Scenarios1[[#This Row],[Reference '#]],Scenarios3[Reference '#],Scenarios3[Sharpe Rank])</f>
        <v/>
      </c>
      <c r="AG12"/>
      <c r="AK12" s="15"/>
    </row>
    <row r="13" spans="2:37" x14ac:dyDescent="0.2">
      <c r="B13" s="126">
        <v>3</v>
      </c>
      <c r="C13" s="124">
        <v>0.5</v>
      </c>
      <c r="D13" s="124">
        <v>0.15</v>
      </c>
      <c r="E13" s="124">
        <v>0.15</v>
      </c>
      <c r="F13" s="124">
        <v>0.1</v>
      </c>
      <c r="G13" s="124">
        <v>0.1</v>
      </c>
      <c r="H13" s="124">
        <f>SUMPRODUCT(Scenarios1[[#This Row],[SPY]:[PE]],_xlfn.TOROW(AssetSpecsScenario1[Annualized Return]))</f>
        <v>0.10621559955874302</v>
      </c>
      <c r="I13" s="124" cm="1">
        <f t="array" ref="I13">SQRT(MMULT(MMULT(Scenarios1[[#This Row],[SPY]:[PE]], 'Corr_Cov 36- Month'!$J$13:$N$17), TRANSPOSE(Scenarios1[[#This Row],[SPY]:[PE]])))</f>
        <v>8.5586284450093794E-2</v>
      </c>
      <c r="J13" s="125">
        <f>(Scenarios1[[#This Row],[Expected Return]]-RiskFree)/Scenarios1[[#This Row],[36M Vol]]</f>
        <v>0.69181697024963651</v>
      </c>
      <c r="K13" s="124" cm="1">
        <f t="array" ref="K13">MIN(_xlfn._xlws.FILTER(PortfolioFrontier[#Data],(PortfolioFrontier[#Headers]="P"&amp;Scenarios1[[#This Row],[Reference '#]]&amp;" DD")))</f>
        <v>-0.18541960554388814</v>
      </c>
      <c r="L13" s="124">
        <f>SUM(Scenarios1[[#This Row],[SPY]:[VNQ]])</f>
        <v>0.9</v>
      </c>
      <c r="M13" s="124">
        <f>SUM(Scenarios1[[#This Row],[SPY]:[PE]])</f>
        <v>1</v>
      </c>
      <c r="N13" s="126" t="b">
        <f>Scenarios1[[#This Row],[SPY]]&gt;=SpyMin</f>
        <v>1</v>
      </c>
      <c r="O13" s="126" t="b">
        <f>Scenarios1[[#This Row],[AGG]]&gt;=AGGMin</f>
        <v>1</v>
      </c>
      <c r="P13" s="126" t="b">
        <f>AND(Scenarios1[[#This Row],[GLD]]&gt;=GLDMin,Scenarios1[[#This Row],[GLD]]&lt;=GLDMax)</f>
        <v>1</v>
      </c>
      <c r="Q13" s="126" t="b">
        <f>Scenarios1[[#This Row],[VNQ]]&gt;=VNQMin</f>
        <v>1</v>
      </c>
      <c r="R13" s="126" t="b">
        <f>AND(Scenarios1[[#This Row],[PE]]&gt;=PEMin,Scenarios1[[#This Row],[PE]]&lt;=PEMax)</f>
        <v>1</v>
      </c>
      <c r="S13" s="126" t="b">
        <f>Scenarios1[[#This Row],[Liquid Assets]]&gt;=LiquidMin</f>
        <v>1</v>
      </c>
      <c r="T13" s="126" t="b">
        <f>AND(Scenarios1[[#This Row],[Expected Return]]&gt;=ExpectedReturnMin,Scenarios1[[#This Row],[Expected Return]]&lt;=ExpectedReturnMax)</f>
        <v>0</v>
      </c>
      <c r="U13" s="126" t="b">
        <f>Scenarios1[[#This Row],[Max Drawdown]]&gt;=DrawdownMax</f>
        <v>1</v>
      </c>
      <c r="V13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3" s="46" t="str">
        <f>_xlfn.XLOOKUP(Scenarios1[[#This Row],[Reference '#]],ScenariosCombined[Reference '#],ScenariosCombined[Sharpe Rank])</f>
        <v/>
      </c>
      <c r="X13" s="126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3" s="150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50/15/15/10/10</v>
      </c>
      <c r="Z13" s="120" t="str">
        <f>Scenarios1[[#This Row],[Sharpe Rank]]</f>
        <v/>
      </c>
      <c r="AA13" s="120" t="str">
        <f>_xlfn.XLOOKUP(Scenarios1[[#This Row],[Reference '#]],Scenarios2[Reference '#],Scenarios2[Sharpe Rank])</f>
        <v/>
      </c>
      <c r="AB13" s="120" t="str">
        <f>_xlfn.XLOOKUP(Scenarios1[[#This Row],[Reference '#]],Scenarios3[Reference '#],Scenarios3[Sharpe Rank])</f>
        <v/>
      </c>
      <c r="AF13" s="34"/>
      <c r="AG13" s="34"/>
      <c r="AK13" s="15"/>
    </row>
    <row r="14" spans="2:37" x14ac:dyDescent="0.2">
      <c r="B14" s="71">
        <v>4</v>
      </c>
      <c r="C14" s="69">
        <v>0.5</v>
      </c>
      <c r="D14" s="69">
        <v>0.15</v>
      </c>
      <c r="E14" s="69">
        <v>0.1</v>
      </c>
      <c r="F14" s="69">
        <v>0.15</v>
      </c>
      <c r="G14" s="69">
        <v>0.1</v>
      </c>
      <c r="H14" s="69">
        <f>SUMPRODUCT(Scenarios1[[#This Row],[SPY]:[PE]],_xlfn.TOROW(AssetSpecsScenario1[Annualized Return]))</f>
        <v>0.10222388065766702</v>
      </c>
      <c r="I14" s="69" cm="1">
        <f t="array" ref="I14">SQRT(MMULT(MMULT(Scenarios1[[#This Row],[SPY]:[PE]], 'Corr_Cov 36- Month'!$J$13:$N$17), TRANSPOSE(Scenarios1[[#This Row],[SPY]:[PE]])))</f>
        <v>9.1270846552146068E-2</v>
      </c>
      <c r="J14" s="70">
        <f>(Scenarios1[[#This Row],[Expected Return]]-RiskFree)/Scenarios1[[#This Row],[36M Vol]]</f>
        <v>0.60499411573402473</v>
      </c>
      <c r="K14" s="121" cm="1">
        <f t="array" ref="K14">MIN(_xlfn._xlws.FILTER(PortfolioFrontier[#Data],(PortfolioFrontier[#Headers]="P"&amp;Scenarios1[[#This Row],[Reference '#]]&amp;" DD")))</f>
        <v>-0.19559472139226264</v>
      </c>
      <c r="L14" s="69">
        <f>SUM(Scenarios1[[#This Row],[SPY]:[VNQ]])</f>
        <v>0.9</v>
      </c>
      <c r="M14" s="69">
        <f>SUM(Scenarios1[[#This Row],[SPY]:[PE]])</f>
        <v>1</v>
      </c>
      <c r="N14" s="71" t="b">
        <f>Scenarios1[[#This Row],[SPY]]&gt;=SpyMin</f>
        <v>1</v>
      </c>
      <c r="O14" s="71" t="b">
        <f>Scenarios1[[#This Row],[AGG]]&gt;=AGGMin</f>
        <v>1</v>
      </c>
      <c r="P14" s="71" t="b">
        <f>AND(Scenarios1[[#This Row],[GLD]]&gt;=GLDMin,Scenarios1[[#This Row],[GLD]]&lt;=GLDMax)</f>
        <v>1</v>
      </c>
      <c r="Q14" s="71" t="b">
        <f>Scenarios1[[#This Row],[VNQ]]&gt;=VNQMin</f>
        <v>1</v>
      </c>
      <c r="R14" s="71" t="b">
        <f>AND(Scenarios1[[#This Row],[PE]]&gt;=PEMin,Scenarios1[[#This Row],[PE]]&lt;=PEMax)</f>
        <v>1</v>
      </c>
      <c r="S14" s="71" t="b">
        <f>Scenarios1[[#This Row],[Liquid Assets]]&gt;=LiquidMin</f>
        <v>1</v>
      </c>
      <c r="T14" s="71" t="b">
        <f>AND(Scenarios1[[#This Row],[Expected Return]]&gt;=ExpectedReturnMin,Scenarios1[[#This Row],[Expected Return]]&lt;=ExpectedReturnMax)</f>
        <v>0</v>
      </c>
      <c r="U14" s="71" t="b">
        <f>Scenarios1[[#This Row],[Max Drawdown]]&gt;=DrawdownMax</f>
        <v>1</v>
      </c>
      <c r="V1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4" s="46" t="str">
        <f>_xlfn.XLOOKUP(Scenarios1[[#This Row],[Reference '#]],ScenariosCombined[Reference '#],ScenariosCombined[Sharpe Rank])</f>
        <v/>
      </c>
      <c r="X14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50/15/10/15/10</v>
      </c>
      <c r="Z14" s="139" t="str">
        <f>Scenarios1[[#This Row],[Sharpe Rank]]</f>
        <v/>
      </c>
      <c r="AA14" s="139" t="str">
        <f>_xlfn.XLOOKUP(Scenarios1[[#This Row],[Reference '#]],Scenarios2[Reference '#],Scenarios2[Sharpe Rank])</f>
        <v/>
      </c>
      <c r="AB14" s="139" t="str">
        <f>_xlfn.XLOOKUP(Scenarios1[[#This Row],[Reference '#]],Scenarios3[Reference '#],Scenarios3[Sharpe Rank])</f>
        <v/>
      </c>
      <c r="AF14" s="34"/>
      <c r="AG14" s="34"/>
      <c r="AK14" s="15"/>
    </row>
    <row r="15" spans="2:37" x14ac:dyDescent="0.2">
      <c r="B15" s="71">
        <v>5</v>
      </c>
      <c r="C15" s="69">
        <v>0.5</v>
      </c>
      <c r="D15" s="69">
        <v>0.15</v>
      </c>
      <c r="E15" s="69">
        <v>0.1</v>
      </c>
      <c r="F15" s="69">
        <v>0.1</v>
      </c>
      <c r="G15" s="69">
        <v>0.15</v>
      </c>
      <c r="H15" s="69">
        <f>SUMPRODUCT(Scenarios1[[#This Row],[SPY]:[PE]],_xlfn.TOROW(AssetSpecsScenario1[Annualized Return]))</f>
        <v>0.10211440661886462</v>
      </c>
      <c r="I15" s="69" cm="1">
        <f t="array" ref="I15">SQRT(MMULT(MMULT(Scenarios1[[#This Row],[SPY]:[PE]], 'Corr_Cov 36- Month'!$J$13:$N$17), TRANSPOSE(Scenarios1[[#This Row],[SPY]:[PE]])))</f>
        <v>8.416977947948194E-2</v>
      </c>
      <c r="J15" s="70">
        <f>(Scenarios1[[#This Row],[Expected Return]]-RiskFree)/Scenarios1[[#This Row],[36M Vol]]</f>
        <v>0.65473441185316339</v>
      </c>
      <c r="K15" s="121" cm="1">
        <f t="array" ref="K15">MIN(_xlfn._xlws.FILTER(PortfolioFrontier[#Data],(PortfolioFrontier[#Headers]="P"&amp;Scenarios1[[#This Row],[Reference '#]]&amp;" DD")))</f>
        <v>-0.1811991970700908</v>
      </c>
      <c r="L15" s="69">
        <f>SUM(Scenarios1[[#This Row],[SPY]:[VNQ]])</f>
        <v>0.85</v>
      </c>
      <c r="M15" s="69">
        <f>SUM(Scenarios1[[#This Row],[SPY]:[PE]])</f>
        <v>1</v>
      </c>
      <c r="N15" s="71" t="b">
        <f>Scenarios1[[#This Row],[SPY]]&gt;=SpyMin</f>
        <v>1</v>
      </c>
      <c r="O15" s="71" t="b">
        <f>Scenarios1[[#This Row],[AGG]]&gt;=AGGMin</f>
        <v>1</v>
      </c>
      <c r="P15" s="71" t="b">
        <f>AND(Scenarios1[[#This Row],[GLD]]&gt;=GLDMin,Scenarios1[[#This Row],[GLD]]&lt;=GLDMax)</f>
        <v>1</v>
      </c>
      <c r="Q15" s="71" t="b">
        <f>Scenarios1[[#This Row],[VNQ]]&gt;=VNQMin</f>
        <v>1</v>
      </c>
      <c r="R15" s="71" t="b">
        <f>AND(Scenarios1[[#This Row],[PE]]&gt;=PEMin,Scenarios1[[#This Row],[PE]]&lt;=PEMax)</f>
        <v>1</v>
      </c>
      <c r="S15" s="71" t="b">
        <f>Scenarios1[[#This Row],[Liquid Assets]]&gt;=LiquidMin</f>
        <v>1</v>
      </c>
      <c r="T15" s="71" t="b">
        <f>AND(Scenarios1[[#This Row],[Expected Return]]&gt;=ExpectedReturnMin,Scenarios1[[#This Row],[Expected Return]]&lt;=ExpectedReturnMax)</f>
        <v>0</v>
      </c>
      <c r="U15" s="71" t="b">
        <f>Scenarios1[[#This Row],[Max Drawdown]]&gt;=DrawdownMax</f>
        <v>1</v>
      </c>
      <c r="V15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5" s="46" t="str">
        <f>_xlfn.XLOOKUP(Scenarios1[[#This Row],[Reference '#]],ScenariosCombined[Reference '#],ScenariosCombined[Sharpe Rank])</f>
        <v/>
      </c>
      <c r="X15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50/15/10/10/15</v>
      </c>
      <c r="Z15" t="str">
        <f>Scenarios1[[#This Row],[Sharpe Rank]]</f>
        <v/>
      </c>
      <c r="AA15" t="str">
        <f>_xlfn.XLOOKUP(Scenarios1[[#This Row],[Reference '#]],Scenarios2[Reference '#],Scenarios2[Sharpe Rank])</f>
        <v/>
      </c>
      <c r="AB15" t="str">
        <f>_xlfn.XLOOKUP(Scenarios1[[#This Row],[Reference '#]],Scenarios3[Reference '#],Scenarios3[Sharpe Rank])</f>
        <v/>
      </c>
      <c r="AF15" s="34"/>
      <c r="AG15" s="34"/>
      <c r="AK15" s="15"/>
    </row>
    <row r="16" spans="2:37" x14ac:dyDescent="0.2">
      <c r="B16" s="71">
        <v>6</v>
      </c>
      <c r="C16" s="69">
        <v>0.45</v>
      </c>
      <c r="D16" s="69">
        <v>0.25</v>
      </c>
      <c r="E16" s="69">
        <v>0.1</v>
      </c>
      <c r="F16" s="69">
        <v>0.1</v>
      </c>
      <c r="G16" s="69">
        <v>0.1</v>
      </c>
      <c r="H16" s="69">
        <f>SUMPRODUCT(Scenarios1[[#This Row],[SPY]:[PE]],_xlfn.TOROW(AssetSpecsScenario1[Annualized Return]))</f>
        <v>9.3956908290494884E-2</v>
      </c>
      <c r="I16" s="69" cm="1">
        <f t="array" ref="I16">SQRT(MMULT(MMULT(Scenarios1[[#This Row],[SPY]:[PE]], 'Corr_Cov 36- Month'!$J$13:$N$17), TRANSPOSE(Scenarios1[[#This Row],[SPY]:[PE]])))</f>
        <v>8.3036500283408879E-2</v>
      </c>
      <c r="J16" s="70">
        <f>(Scenarios1[[#This Row],[Expected Return]]-RiskFree)/Scenarios1[[#This Row],[36M Vol]]</f>
        <v>0.56543029360210717</v>
      </c>
      <c r="K16" s="121" cm="1">
        <f t="array" ref="K16">MIN(_xlfn._xlws.FILTER(PortfolioFrontier[#Data],(PortfolioFrontier[#Headers]="P"&amp;Scenarios1[[#This Row],[Reference '#]]&amp;" DD")))</f>
        <v>-0.18300737779652643</v>
      </c>
      <c r="L16" s="69">
        <f>SUM(Scenarios1[[#This Row],[SPY]:[VNQ]])</f>
        <v>0.89999999999999991</v>
      </c>
      <c r="M16" s="69">
        <f>SUM(Scenarios1[[#This Row],[SPY]:[PE]])</f>
        <v>0.99999999999999989</v>
      </c>
      <c r="N16" s="71" t="b">
        <f>Scenarios1[[#This Row],[SPY]]&gt;=SpyMin</f>
        <v>1</v>
      </c>
      <c r="O16" s="71" t="b">
        <f>Scenarios1[[#This Row],[AGG]]&gt;=AGGMin</f>
        <v>1</v>
      </c>
      <c r="P16" s="71" t="b">
        <f>AND(Scenarios1[[#This Row],[GLD]]&gt;=GLDMin,Scenarios1[[#This Row],[GLD]]&lt;=GLDMax)</f>
        <v>1</v>
      </c>
      <c r="Q16" s="71" t="b">
        <f>Scenarios1[[#This Row],[VNQ]]&gt;=VNQMin</f>
        <v>1</v>
      </c>
      <c r="R16" s="71" t="b">
        <f>AND(Scenarios1[[#This Row],[PE]]&gt;=PEMin,Scenarios1[[#This Row],[PE]]&lt;=PEMax)</f>
        <v>1</v>
      </c>
      <c r="S16" s="71" t="b">
        <f>Scenarios1[[#This Row],[Liquid Assets]]&gt;=LiquidMin</f>
        <v>1</v>
      </c>
      <c r="T16" s="71" t="b">
        <f>AND(Scenarios1[[#This Row],[Expected Return]]&gt;=ExpectedReturnMin,Scenarios1[[#This Row],[Expected Return]]&lt;=ExpectedReturnMax)</f>
        <v>1</v>
      </c>
      <c r="U16" s="71" t="b">
        <f>Scenarios1[[#This Row],[Max Drawdown]]&gt;=DrawdownMax</f>
        <v>1</v>
      </c>
      <c r="V16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6" s="46">
        <f>_xlfn.XLOOKUP(Scenarios1[[#This Row],[Reference '#]],ScenariosCombined[Reference '#],ScenariosCombined[Sharpe Rank])</f>
        <v>19</v>
      </c>
      <c r="X16" s="71">
        <f>IF(Scenarios1[[#This Row],[Eligible]],COUNTIFS(Scenarios1[Sharpe],"&gt;"&amp;Scenarios1[[#This Row],[Sharpe]],Scenarios1[Eligible],TRUE())+COUNTIFS(Scenarios1[Sharpe],Scenarios1[[#This Row],[Sharpe]],Scenarios1[Eligible],TRUE()),"")</f>
        <v>18</v>
      </c>
      <c r="Y1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45/25/10/10/10</v>
      </c>
      <c r="Z16" s="139">
        <f>Scenarios1[[#This Row],[Sharpe Rank]]</f>
        <v>18</v>
      </c>
      <c r="AA16" s="139">
        <f>_xlfn.XLOOKUP(Scenarios1[[#This Row],[Reference '#]],Scenarios2[Reference '#],Scenarios2[Sharpe Rank])</f>
        <v>18</v>
      </c>
      <c r="AB16" s="139">
        <f>_xlfn.XLOOKUP(Scenarios1[[#This Row],[Reference '#]],Scenarios3[Reference '#],Scenarios3[Sharpe Rank])</f>
        <v>14</v>
      </c>
      <c r="AF16" s="34"/>
      <c r="AG16" s="34"/>
      <c r="AK16" s="15"/>
    </row>
    <row r="17" spans="2:37" x14ac:dyDescent="0.2">
      <c r="B17" s="170">
        <v>7</v>
      </c>
      <c r="C17" s="171">
        <v>0.45</v>
      </c>
      <c r="D17" s="171">
        <v>0.2</v>
      </c>
      <c r="E17" s="171">
        <v>0.15</v>
      </c>
      <c r="F17" s="171">
        <v>0.1</v>
      </c>
      <c r="G17" s="171">
        <v>0.1</v>
      </c>
      <c r="H17" s="171">
        <f>SUMPRODUCT(Scenarios1[[#This Row],[SPY]:[PE]],_xlfn.TOROW(AssetSpecsScenario1[Annualized Return]))</f>
        <v>9.9532366537734396E-2</v>
      </c>
      <c r="I17" s="171" cm="1">
        <f t="array" ref="I17">SQRT(MMULT(MMULT(Scenarios1[[#This Row],[SPY]:[PE]], 'Corr_Cov 36- Month'!$J$13:$N$17), TRANSPOSE(Scenarios1[[#This Row],[SPY]:[PE]])))</f>
        <v>8.2591069958370428E-2</v>
      </c>
      <c r="J17" s="172">
        <f>(Scenarios1[[#This Row],[Expected Return]]-RiskFree)/Scenarios1[[#This Row],[36M Vol]]</f>
        <v>0.63598656620691185</v>
      </c>
      <c r="K17" s="171" cm="1">
        <f t="array" ref="K17">MIN(_xlfn._xlws.FILTER(PortfolioFrontier[#Data],(PortfolioFrontier[#Headers]="P"&amp;Scenarios1[[#This Row],[Reference '#]]&amp;" DD")))</f>
        <v>-0.18054317991848512</v>
      </c>
      <c r="L17" s="171">
        <f>SUM(Scenarios1[[#This Row],[SPY]:[VNQ]])</f>
        <v>0.9</v>
      </c>
      <c r="M17" s="171">
        <f>SUM(Scenarios1[[#This Row],[SPY]:[PE]])</f>
        <v>1</v>
      </c>
      <c r="N17" s="170" t="b">
        <f>Scenarios1[[#This Row],[SPY]]&gt;=SpyMin</f>
        <v>1</v>
      </c>
      <c r="O17" s="170" t="b">
        <f>Scenarios1[[#This Row],[AGG]]&gt;=AGGMin</f>
        <v>1</v>
      </c>
      <c r="P17" s="170" t="b">
        <f>AND(Scenarios1[[#This Row],[GLD]]&gt;=GLDMin,Scenarios1[[#This Row],[GLD]]&lt;=GLDMax)</f>
        <v>1</v>
      </c>
      <c r="Q17" s="170" t="b">
        <f>Scenarios1[[#This Row],[VNQ]]&gt;=VNQMin</f>
        <v>1</v>
      </c>
      <c r="R17" s="170" t="b">
        <f>AND(Scenarios1[[#This Row],[PE]]&gt;=PEMin,Scenarios1[[#This Row],[PE]]&lt;=PEMax)</f>
        <v>1</v>
      </c>
      <c r="S17" s="170" t="b">
        <f>Scenarios1[[#This Row],[Liquid Assets]]&gt;=LiquidMin</f>
        <v>1</v>
      </c>
      <c r="T17" s="170" t="b">
        <f>AND(Scenarios1[[#This Row],[Expected Return]]&gt;=ExpectedReturnMin,Scenarios1[[#This Row],[Expected Return]]&lt;=ExpectedReturnMax)</f>
        <v>1</v>
      </c>
      <c r="U17" s="170" t="b">
        <f>Scenarios1[[#This Row],[Max Drawdown]]&gt;=DrawdownMax</f>
        <v>1</v>
      </c>
      <c r="V17" s="170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7" s="173" t="str">
        <f>_xlfn.XLOOKUP(Scenarios1[[#This Row],[Reference '#]],ScenariosCombined[Reference '#],ScenariosCombined[Sharpe Rank])</f>
        <v/>
      </c>
      <c r="X17" s="170">
        <f>IF(Scenarios1[[#This Row],[Eligible]],COUNTIFS(Scenarios1[Sharpe],"&gt;"&amp;Scenarios1[[#This Row],[Sharpe]],Scenarios1[Eligible],TRUE())+COUNTIFS(Scenarios1[Sharpe],Scenarios1[[#This Row],[Sharpe]],Scenarios1[Eligible],TRUE()),"")</f>
        <v>5</v>
      </c>
      <c r="Y17" s="174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45/20/15/10/10</v>
      </c>
      <c r="Z17" s="169">
        <f>Scenarios1[[#This Row],[Sharpe Rank]]</f>
        <v>5</v>
      </c>
      <c r="AA17" s="168" t="str">
        <f>_xlfn.XLOOKUP(Scenarios1[[#This Row],[Reference '#]],Scenarios2[Reference '#],Scenarios2[Sharpe Rank])</f>
        <v/>
      </c>
      <c r="AB17" s="168" t="str">
        <f>_xlfn.XLOOKUP(Scenarios1[[#This Row],[Reference '#]],Scenarios3[Reference '#],Scenarios3[Sharpe Rank])</f>
        <v/>
      </c>
      <c r="AF17" s="34"/>
      <c r="AG17" s="34"/>
      <c r="AK17" s="15"/>
    </row>
    <row r="18" spans="2:37" x14ac:dyDescent="0.2">
      <c r="B18" s="126">
        <v>8</v>
      </c>
      <c r="C18" s="124">
        <v>0.45</v>
      </c>
      <c r="D18" s="124">
        <v>0.2</v>
      </c>
      <c r="E18" s="124">
        <v>0.1</v>
      </c>
      <c r="F18" s="124">
        <v>0.15</v>
      </c>
      <c r="G18" s="124">
        <v>0.1</v>
      </c>
      <c r="H18" s="124">
        <f>SUMPRODUCT(Scenarios1[[#This Row],[SPY]:[PE]],_xlfn.TOROW(AssetSpecsScenario1[Annualized Return]))</f>
        <v>9.5540647636658371E-2</v>
      </c>
      <c r="I18" s="124" cm="1">
        <f t="array" ref="I18">SQRT(MMULT(MMULT(Scenarios1[[#This Row],[SPY]:[PE]], 'Corr_Cov 36- Month'!$J$13:$N$17), TRANSPOSE(Scenarios1[[#This Row],[SPY]:[PE]])))</f>
        <v>8.8188878555594666E-2</v>
      </c>
      <c r="J18" s="125">
        <f>(Scenarios1[[#This Row],[Expected Return]]-RiskFree)/Scenarios1[[#This Row],[36M Vol]]</f>
        <v>0.55035388674895191</v>
      </c>
      <c r="K18" s="124" cm="1">
        <f t="array" ref="K18">MIN(_xlfn._xlws.FILTER(PortfolioFrontier[#Data],(PortfolioFrontier[#Headers]="P"&amp;Scenarios1[[#This Row],[Reference '#]]&amp;" DD")))</f>
        <v>-0.19072422907983366</v>
      </c>
      <c r="L18" s="124">
        <f>SUM(Scenarios1[[#This Row],[SPY]:[VNQ]])</f>
        <v>0.9</v>
      </c>
      <c r="M18" s="124">
        <f>SUM(Scenarios1[[#This Row],[SPY]:[PE]])</f>
        <v>1</v>
      </c>
      <c r="N18" s="126" t="b">
        <f>Scenarios1[[#This Row],[SPY]]&gt;=SpyMin</f>
        <v>1</v>
      </c>
      <c r="O18" s="126" t="b">
        <f>Scenarios1[[#This Row],[AGG]]&gt;=AGGMin</f>
        <v>1</v>
      </c>
      <c r="P18" s="126" t="b">
        <f>AND(Scenarios1[[#This Row],[GLD]]&gt;=GLDMin,Scenarios1[[#This Row],[GLD]]&lt;=GLDMax)</f>
        <v>1</v>
      </c>
      <c r="Q18" s="126" t="b">
        <f>Scenarios1[[#This Row],[VNQ]]&gt;=VNQMin</f>
        <v>1</v>
      </c>
      <c r="R18" s="126" t="b">
        <f>AND(Scenarios1[[#This Row],[PE]]&gt;=PEMin,Scenarios1[[#This Row],[PE]]&lt;=PEMax)</f>
        <v>1</v>
      </c>
      <c r="S18" s="126" t="b">
        <f>Scenarios1[[#This Row],[Liquid Assets]]&gt;=LiquidMin</f>
        <v>1</v>
      </c>
      <c r="T18" s="126" t="b">
        <f>AND(Scenarios1[[#This Row],[Expected Return]]&gt;=ExpectedReturnMin,Scenarios1[[#This Row],[Expected Return]]&lt;=ExpectedReturnMax)</f>
        <v>1</v>
      </c>
      <c r="U18" s="126" t="b">
        <f>Scenarios1[[#This Row],[Max Drawdown]]&gt;=DrawdownMax</f>
        <v>1</v>
      </c>
      <c r="V18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8" s="46">
        <f>_xlfn.XLOOKUP(Scenarios1[[#This Row],[Reference '#]],ScenariosCombined[Reference '#],ScenariosCombined[Sharpe Rank])</f>
        <v>24</v>
      </c>
      <c r="X18" s="126">
        <f>IF(Scenarios1[[#This Row],[Eligible]],COUNTIFS(Scenarios1[Sharpe],"&gt;"&amp;Scenarios1[[#This Row],[Sharpe]],Scenarios1[Eligible],TRUE())+COUNTIFS(Scenarios1[Sharpe],Scenarios1[[#This Row],[Sharpe]],Scenarios1[Eligible],TRUE()),"")</f>
        <v>24</v>
      </c>
      <c r="Y18" s="150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45/20/10/15/10</v>
      </c>
      <c r="Z18" s="151">
        <f>Scenarios1[[#This Row],[Sharpe Rank]]</f>
        <v>24</v>
      </c>
      <c r="AA18" s="151">
        <f>_xlfn.XLOOKUP(Scenarios1[[#This Row],[Reference '#]],Scenarios2[Reference '#],Scenarios2[Sharpe Rank])</f>
        <v>22</v>
      </c>
      <c r="AB18" s="151">
        <f>_xlfn.XLOOKUP(Scenarios1[[#This Row],[Reference '#]],Scenarios3[Reference '#],Scenarios3[Sharpe Rank])</f>
        <v>23</v>
      </c>
      <c r="AF18" s="34"/>
      <c r="AG18" s="34"/>
      <c r="AK18" s="15"/>
    </row>
    <row r="19" spans="2:37" x14ac:dyDescent="0.2">
      <c r="B19" s="71">
        <v>9</v>
      </c>
      <c r="C19" s="69">
        <v>0.45</v>
      </c>
      <c r="D19" s="69">
        <v>0.2</v>
      </c>
      <c r="E19" s="69">
        <v>0.1</v>
      </c>
      <c r="F19" s="69">
        <v>0.1</v>
      </c>
      <c r="G19" s="69">
        <v>0.15</v>
      </c>
      <c r="H19" s="69">
        <f>SUMPRODUCT(Scenarios1[[#This Row],[SPY]:[PE]],_xlfn.TOROW(AssetSpecsScenario1[Annualized Return]))</f>
        <v>9.5431173597855967E-2</v>
      </c>
      <c r="I19" s="69" cm="1">
        <f t="array" ref="I19">SQRT(MMULT(MMULT(Scenarios1[[#This Row],[SPY]:[PE]], 'Corr_Cov 36- Month'!$J$13:$N$17), TRANSPOSE(Scenarios1[[#This Row],[SPY]:[PE]])))</f>
        <v>8.0973569375642915E-2</v>
      </c>
      <c r="J19" s="70">
        <f>(Scenarios1[[#This Row],[Expected Return]]-RiskFree)/Scenarios1[[#This Row],[36M Vol]]</f>
        <v>0.59804227991543846</v>
      </c>
      <c r="K19" s="121" cm="1">
        <f t="array" ref="K19">MIN(_xlfn._xlws.FILTER(PortfolioFrontier[#Data],(PortfolioFrontier[#Headers]="P"&amp;Scenarios1[[#This Row],[Reference '#]]&amp;" DD")))</f>
        <v>-0.17631267316325527</v>
      </c>
      <c r="L19" s="69">
        <f>SUM(Scenarios1[[#This Row],[SPY]:[VNQ]])</f>
        <v>0.85</v>
      </c>
      <c r="M19" s="69">
        <f>SUM(Scenarios1[[#This Row],[SPY]:[PE]])</f>
        <v>1</v>
      </c>
      <c r="N19" s="71" t="b">
        <f>Scenarios1[[#This Row],[SPY]]&gt;=SpyMin</f>
        <v>1</v>
      </c>
      <c r="O19" s="71" t="b">
        <f>Scenarios1[[#This Row],[AGG]]&gt;=AGGMin</f>
        <v>1</v>
      </c>
      <c r="P19" s="71" t="b">
        <f>AND(Scenarios1[[#This Row],[GLD]]&gt;=GLDMin,Scenarios1[[#This Row],[GLD]]&lt;=GLDMax)</f>
        <v>1</v>
      </c>
      <c r="Q19" s="71" t="b">
        <f>Scenarios1[[#This Row],[VNQ]]&gt;=VNQMin</f>
        <v>1</v>
      </c>
      <c r="R19" s="71" t="b">
        <f>AND(Scenarios1[[#This Row],[PE]]&gt;=PEMin,Scenarios1[[#This Row],[PE]]&lt;=PEMax)</f>
        <v>1</v>
      </c>
      <c r="S19" s="71" t="b">
        <f>Scenarios1[[#This Row],[Liquid Assets]]&gt;=LiquidMin</f>
        <v>1</v>
      </c>
      <c r="T19" s="71" t="b">
        <f>AND(Scenarios1[[#This Row],[Expected Return]]&gt;=ExpectedReturnMin,Scenarios1[[#This Row],[Expected Return]]&lt;=ExpectedReturnMax)</f>
        <v>1</v>
      </c>
      <c r="U19" s="71" t="b">
        <f>Scenarios1[[#This Row],[Max Drawdown]]&gt;=DrawdownMax</f>
        <v>1</v>
      </c>
      <c r="V19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9" s="46">
        <f>_xlfn.XLOOKUP(Scenarios1[[#This Row],[Reference '#]],ScenariosCombined[Reference '#],ScenariosCombined[Sharpe Rank])</f>
        <v>7</v>
      </c>
      <c r="X19" s="71">
        <f>IF(Scenarios1[[#This Row],[Eligible]],COUNTIFS(Scenarios1[Sharpe],"&gt;"&amp;Scenarios1[[#This Row],[Sharpe]],Scenarios1[Eligible],TRUE())+COUNTIFS(Scenarios1[Sharpe],Scenarios1[[#This Row],[Sharpe]],Scenarios1[Eligible],TRUE()),"")</f>
        <v>9</v>
      </c>
      <c r="Y1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45/20/10/10/15</v>
      </c>
      <c r="Z19" s="139">
        <f>Scenarios1[[#This Row],[Sharpe Rank]]</f>
        <v>9</v>
      </c>
      <c r="AA19" s="139">
        <f>_xlfn.XLOOKUP(Scenarios1[[#This Row],[Reference '#]],Scenarios2[Reference '#],Scenarios2[Sharpe Rank])</f>
        <v>7</v>
      </c>
      <c r="AB19" s="139" t="str">
        <f>_xlfn.XLOOKUP(Scenarios1[[#This Row],[Reference '#]],Scenarios3[Reference '#],Scenarios3[Sharpe Rank])</f>
        <v/>
      </c>
      <c r="AF19" s="34"/>
      <c r="AG19" s="34"/>
      <c r="AK19" s="15"/>
    </row>
    <row r="20" spans="2:37" x14ac:dyDescent="0.2">
      <c r="B20" s="71">
        <v>10</v>
      </c>
      <c r="C20" s="69">
        <v>0.45</v>
      </c>
      <c r="D20" s="69">
        <v>0.15</v>
      </c>
      <c r="E20" s="69">
        <v>0.2</v>
      </c>
      <c r="F20" s="69">
        <v>0.1</v>
      </c>
      <c r="G20" s="69">
        <v>0.1</v>
      </c>
      <c r="H20" s="69">
        <f>SUMPRODUCT(Scenarios1[[#This Row],[SPY]:[PE]],_xlfn.TOROW(AssetSpecsScenario1[Annualized Return]))</f>
        <v>0.10510782478497388</v>
      </c>
      <c r="I20" s="69" cm="1">
        <f t="array" ref="I20">SQRT(MMULT(MMULT(Scenarios1[[#This Row],[SPY]:[PE]], 'Corr_Cov 36- Month'!$J$13:$N$17), TRANSPOSE(Scenarios1[[#This Row],[SPY]:[PE]])))</f>
        <v>8.2650739635412737E-2</v>
      </c>
      <c r="J20" s="70">
        <f>(Scenarios1[[#This Row],[Expected Return]]-RiskFree)/Scenarios1[[#This Row],[36M Vol]]</f>
        <v>0.70298547218957608</v>
      </c>
      <c r="K20" s="121" cm="1">
        <f t="array" ref="K20">MIN(_xlfn._xlws.FILTER(PortfolioFrontier[#Data],(PortfolioFrontier[#Headers]="P"&amp;Scenarios1[[#This Row],[Reference '#]]&amp;" DD")))</f>
        <v>-0.17809556533929027</v>
      </c>
      <c r="L20" s="69">
        <f>SUM(Scenarios1[[#This Row],[SPY]:[VNQ]])</f>
        <v>0.9</v>
      </c>
      <c r="M20" s="69">
        <f>SUM(Scenarios1[[#This Row],[SPY]:[PE]])</f>
        <v>1</v>
      </c>
      <c r="N20" s="71" t="b">
        <f>Scenarios1[[#This Row],[SPY]]&gt;=SpyMin</f>
        <v>1</v>
      </c>
      <c r="O20" s="71" t="b">
        <f>Scenarios1[[#This Row],[AGG]]&gt;=AGGMin</f>
        <v>1</v>
      </c>
      <c r="P20" s="71" t="b">
        <f>AND(Scenarios1[[#This Row],[GLD]]&gt;=GLDMin,Scenarios1[[#This Row],[GLD]]&lt;=GLDMax)</f>
        <v>1</v>
      </c>
      <c r="Q20" s="71" t="b">
        <f>Scenarios1[[#This Row],[VNQ]]&gt;=VNQMin</f>
        <v>1</v>
      </c>
      <c r="R20" s="71" t="b">
        <f>AND(Scenarios1[[#This Row],[PE]]&gt;=PEMin,Scenarios1[[#This Row],[PE]]&lt;=PEMax)</f>
        <v>1</v>
      </c>
      <c r="S20" s="71" t="b">
        <f>Scenarios1[[#This Row],[Liquid Assets]]&gt;=LiquidMin</f>
        <v>1</v>
      </c>
      <c r="T20" s="71" t="b">
        <f>AND(Scenarios1[[#This Row],[Expected Return]]&gt;=ExpectedReturnMin,Scenarios1[[#This Row],[Expected Return]]&lt;=ExpectedReturnMax)</f>
        <v>0</v>
      </c>
      <c r="U20" s="71" t="b">
        <f>Scenarios1[[#This Row],[Max Drawdown]]&gt;=DrawdownMax</f>
        <v>1</v>
      </c>
      <c r="V2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20" s="46" t="str">
        <f>_xlfn.XLOOKUP(Scenarios1[[#This Row],[Reference '#]],ScenariosCombined[Reference '#],ScenariosCombined[Sharpe Rank])</f>
        <v/>
      </c>
      <c r="X20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2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45/15/20/10/10</v>
      </c>
      <c r="Z20" t="str">
        <f>Scenarios1[[#This Row],[Sharpe Rank]]</f>
        <v/>
      </c>
      <c r="AA20" t="str">
        <f>_xlfn.XLOOKUP(Scenarios1[[#This Row],[Reference '#]],Scenarios2[Reference '#],Scenarios2[Sharpe Rank])</f>
        <v/>
      </c>
      <c r="AB20" t="str">
        <f>_xlfn.XLOOKUP(Scenarios1[[#This Row],[Reference '#]],Scenarios3[Reference '#],Scenarios3[Sharpe Rank])</f>
        <v/>
      </c>
      <c r="AF20" s="34"/>
      <c r="AG20" s="34"/>
      <c r="AK20" s="15"/>
    </row>
    <row r="21" spans="2:37" x14ac:dyDescent="0.2">
      <c r="B21" s="71">
        <v>11</v>
      </c>
      <c r="C21" s="69">
        <v>0.45</v>
      </c>
      <c r="D21" s="69">
        <v>0.15</v>
      </c>
      <c r="E21" s="69">
        <v>0.15</v>
      </c>
      <c r="F21" s="69">
        <v>0.15</v>
      </c>
      <c r="G21" s="69">
        <v>0.1</v>
      </c>
      <c r="H21" s="69">
        <f>SUMPRODUCT(Scenarios1[[#This Row],[SPY]:[PE]],_xlfn.TOROW(AssetSpecsScenario1[Annualized Return]))</f>
        <v>0.10111610588389786</v>
      </c>
      <c r="I21" s="69" cm="1">
        <f t="array" ref="I21">SQRT(MMULT(MMULT(Scenarios1[[#This Row],[SPY]:[PE]], 'Corr_Cov 36- Month'!$J$13:$N$17), TRANSPOSE(Scenarios1[[#This Row],[SPY]:[PE]])))</f>
        <v>8.7672986989800306E-2</v>
      </c>
      <c r="J21" s="70">
        <f>(Scenarios1[[#This Row],[Expected Return]]-RiskFree)/Scenarios1[[#This Row],[36M Vol]]</f>
        <v>0.61718611611393392</v>
      </c>
      <c r="K21" s="121" cm="1">
        <f t="array" ref="K21">MIN(_xlfn._xlws.FILTER(PortfolioFrontier[#Data],(PortfolioFrontier[#Headers]="P"&amp;Scenarios1[[#This Row],[Reference '#]]&amp;" DD")))</f>
        <v>-0.18828201909404418</v>
      </c>
      <c r="L21" s="69">
        <f>SUM(Scenarios1[[#This Row],[SPY]:[VNQ]])</f>
        <v>0.9</v>
      </c>
      <c r="M21" s="69">
        <f>SUM(Scenarios1[[#This Row],[SPY]:[PE]])</f>
        <v>1</v>
      </c>
      <c r="N21" s="71" t="b">
        <f>Scenarios1[[#This Row],[SPY]]&gt;=SpyMin</f>
        <v>1</v>
      </c>
      <c r="O21" s="71" t="b">
        <f>Scenarios1[[#This Row],[AGG]]&gt;=AGGMin</f>
        <v>1</v>
      </c>
      <c r="P21" s="71" t="b">
        <f>AND(Scenarios1[[#This Row],[GLD]]&gt;=GLDMin,Scenarios1[[#This Row],[GLD]]&lt;=GLDMax)</f>
        <v>1</v>
      </c>
      <c r="Q21" s="71" t="b">
        <f>Scenarios1[[#This Row],[VNQ]]&gt;=VNQMin</f>
        <v>1</v>
      </c>
      <c r="R21" s="71" t="b">
        <f>AND(Scenarios1[[#This Row],[PE]]&gt;=PEMin,Scenarios1[[#This Row],[PE]]&lt;=PEMax)</f>
        <v>1</v>
      </c>
      <c r="S21" s="71" t="b">
        <f>Scenarios1[[#This Row],[Liquid Assets]]&gt;=LiquidMin</f>
        <v>1</v>
      </c>
      <c r="T21" s="71" t="b">
        <f>AND(Scenarios1[[#This Row],[Expected Return]]&gt;=ExpectedReturnMin,Scenarios1[[#This Row],[Expected Return]]&lt;=ExpectedReturnMax)</f>
        <v>0</v>
      </c>
      <c r="U21" s="71" t="b">
        <f>Scenarios1[[#This Row],[Max Drawdown]]&gt;=DrawdownMax</f>
        <v>1</v>
      </c>
      <c r="V2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21" s="46" t="str">
        <f>_xlfn.XLOOKUP(Scenarios1[[#This Row],[Reference '#]],ScenariosCombined[Reference '#],ScenariosCombined[Sharpe Rank])</f>
        <v/>
      </c>
      <c r="X21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2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45/15/15/15/10</v>
      </c>
      <c r="Z21" s="139" t="str">
        <f>Scenarios1[[#This Row],[Sharpe Rank]]</f>
        <v/>
      </c>
      <c r="AA21" s="139" t="str">
        <f>_xlfn.XLOOKUP(Scenarios1[[#This Row],[Reference '#]],Scenarios2[Reference '#],Scenarios2[Sharpe Rank])</f>
        <v/>
      </c>
      <c r="AB21" s="139" t="str">
        <f>_xlfn.XLOOKUP(Scenarios1[[#This Row],[Reference '#]],Scenarios3[Reference '#],Scenarios3[Sharpe Rank])</f>
        <v/>
      </c>
      <c r="AF21" s="34"/>
      <c r="AG21" s="34"/>
      <c r="AK21" s="15"/>
    </row>
    <row r="22" spans="2:37" x14ac:dyDescent="0.2">
      <c r="B22" s="71">
        <v>12</v>
      </c>
      <c r="C22" s="69">
        <v>0.45</v>
      </c>
      <c r="D22" s="69">
        <v>0.15</v>
      </c>
      <c r="E22" s="69">
        <v>0.15</v>
      </c>
      <c r="F22" s="69">
        <v>0.1</v>
      </c>
      <c r="G22" s="69">
        <v>0.15</v>
      </c>
      <c r="H22" s="69">
        <f>SUMPRODUCT(Scenarios1[[#This Row],[SPY]:[PE]],_xlfn.TOROW(AssetSpecsScenario1[Annualized Return]))</f>
        <v>0.10100663184509545</v>
      </c>
      <c r="I22" s="69" cm="1">
        <f t="array" ref="I22">SQRT(MMULT(MMULT(Scenarios1[[#This Row],[SPY]:[PE]], 'Corr_Cov 36- Month'!$J$13:$N$17), TRANSPOSE(Scenarios1[[#This Row],[SPY]:[PE]])))</f>
        <v>8.0506165596405346E-2</v>
      </c>
      <c r="J22" s="70">
        <f>(Scenarios1[[#This Row],[Expected Return]]-RiskFree)/Scenarios1[[#This Row],[36M Vol]]</f>
        <v>0.67076944839552866</v>
      </c>
      <c r="K22" s="121" cm="1">
        <f t="array" ref="K22">MIN(_xlfn._xlws.FILTER(PortfolioFrontier[#Data],(PortfolioFrontier[#Headers]="P"&amp;Scenarios1[[#This Row],[Reference '#]]&amp;" DD")))</f>
        <v>-0.17383993004821174</v>
      </c>
      <c r="L22" s="69">
        <f>SUM(Scenarios1[[#This Row],[SPY]:[VNQ]])</f>
        <v>0.85</v>
      </c>
      <c r="M22" s="69">
        <f>SUM(Scenarios1[[#This Row],[SPY]:[PE]])</f>
        <v>1</v>
      </c>
      <c r="N22" s="71" t="b">
        <f>Scenarios1[[#This Row],[SPY]]&gt;=SpyMin</f>
        <v>1</v>
      </c>
      <c r="O22" s="71" t="b">
        <f>Scenarios1[[#This Row],[AGG]]&gt;=AGGMin</f>
        <v>1</v>
      </c>
      <c r="P22" s="71" t="b">
        <f>AND(Scenarios1[[#This Row],[GLD]]&gt;=GLDMin,Scenarios1[[#This Row],[GLD]]&lt;=GLDMax)</f>
        <v>1</v>
      </c>
      <c r="Q22" s="71" t="b">
        <f>Scenarios1[[#This Row],[VNQ]]&gt;=VNQMin</f>
        <v>1</v>
      </c>
      <c r="R22" s="71" t="b">
        <f>AND(Scenarios1[[#This Row],[PE]]&gt;=PEMin,Scenarios1[[#This Row],[PE]]&lt;=PEMax)</f>
        <v>1</v>
      </c>
      <c r="S22" s="71" t="b">
        <f>Scenarios1[[#This Row],[Liquid Assets]]&gt;=LiquidMin</f>
        <v>1</v>
      </c>
      <c r="T22" s="71" t="b">
        <f>AND(Scenarios1[[#This Row],[Expected Return]]&gt;=ExpectedReturnMin,Scenarios1[[#This Row],[Expected Return]]&lt;=ExpectedReturnMax)</f>
        <v>0</v>
      </c>
      <c r="U22" s="71" t="b">
        <f>Scenarios1[[#This Row],[Max Drawdown]]&gt;=DrawdownMax</f>
        <v>1</v>
      </c>
      <c r="V2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22" s="46" t="str">
        <f>_xlfn.XLOOKUP(Scenarios1[[#This Row],[Reference '#]],ScenariosCombined[Reference '#],ScenariosCombined[Sharpe Rank])</f>
        <v/>
      </c>
      <c r="X22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2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45/15/15/10/15</v>
      </c>
      <c r="Z22" t="str">
        <f>Scenarios1[[#This Row],[Sharpe Rank]]</f>
        <v/>
      </c>
      <c r="AA22" t="str">
        <f>_xlfn.XLOOKUP(Scenarios1[[#This Row],[Reference '#]],Scenarios2[Reference '#],Scenarios2[Sharpe Rank])</f>
        <v/>
      </c>
      <c r="AB22" t="str">
        <f>_xlfn.XLOOKUP(Scenarios1[[#This Row],[Reference '#]],Scenarios3[Reference '#],Scenarios3[Sharpe Rank])</f>
        <v/>
      </c>
      <c r="AF22" s="34"/>
      <c r="AG22" s="34"/>
      <c r="AK22" s="15"/>
    </row>
    <row r="23" spans="2:37" x14ac:dyDescent="0.2">
      <c r="B23" s="71">
        <v>13</v>
      </c>
      <c r="C23" s="69">
        <v>0.45</v>
      </c>
      <c r="D23" s="69">
        <v>0.15</v>
      </c>
      <c r="E23" s="69">
        <v>0.1</v>
      </c>
      <c r="F23" s="69">
        <v>0.2</v>
      </c>
      <c r="G23" s="69">
        <v>0.1</v>
      </c>
      <c r="H23" s="69">
        <f>SUMPRODUCT(Scenarios1[[#This Row],[SPY]:[PE]],_xlfn.TOROW(AssetSpecsScenario1[Annualized Return]))</f>
        <v>9.7124386982821845E-2</v>
      </c>
      <c r="I23" s="69" cm="1">
        <f t="array" ref="I23">SQRT(MMULT(MMULT(Scenarios1[[#This Row],[SPY]:[PE]], 'Corr_Cov 36- Month'!$J$13:$N$17), TRANSPOSE(Scenarios1[[#This Row],[SPY]:[PE]])))</f>
        <v>9.3522222759865978E-2</v>
      </c>
      <c r="J23" s="70">
        <f>(Scenarios1[[#This Row],[Expected Return]]-RiskFree)/Scenarios1[[#This Row],[36M Vol]]</f>
        <v>0.53590291107552923</v>
      </c>
      <c r="K23" s="121" cm="1">
        <f t="array" ref="K23">MIN(_xlfn._xlws.FILTER(PortfolioFrontier[#Data],(PortfolioFrontier[#Headers]="P"&amp;Scenarios1[[#This Row],[Reference '#]]&amp;" DD")))</f>
        <v>-0.1984378230080508</v>
      </c>
      <c r="L23" s="69">
        <f>SUM(Scenarios1[[#This Row],[SPY]:[VNQ]])</f>
        <v>0.89999999999999991</v>
      </c>
      <c r="M23" s="69">
        <f>SUM(Scenarios1[[#This Row],[SPY]:[PE]])</f>
        <v>0.99999999999999989</v>
      </c>
      <c r="N23" s="71" t="b">
        <f>Scenarios1[[#This Row],[SPY]]&gt;=SpyMin</f>
        <v>1</v>
      </c>
      <c r="O23" s="71" t="b">
        <f>Scenarios1[[#This Row],[AGG]]&gt;=AGGMin</f>
        <v>1</v>
      </c>
      <c r="P23" s="71" t="b">
        <f>AND(Scenarios1[[#This Row],[GLD]]&gt;=GLDMin,Scenarios1[[#This Row],[GLD]]&lt;=GLDMax)</f>
        <v>1</v>
      </c>
      <c r="Q23" s="71" t="b">
        <f>Scenarios1[[#This Row],[VNQ]]&gt;=VNQMin</f>
        <v>1</v>
      </c>
      <c r="R23" s="71" t="b">
        <f>AND(Scenarios1[[#This Row],[PE]]&gt;=PEMin,Scenarios1[[#This Row],[PE]]&lt;=PEMax)</f>
        <v>1</v>
      </c>
      <c r="S23" s="71" t="b">
        <f>Scenarios1[[#This Row],[Liquid Assets]]&gt;=LiquidMin</f>
        <v>1</v>
      </c>
      <c r="T23" s="71" t="b">
        <f>AND(Scenarios1[[#This Row],[Expected Return]]&gt;=ExpectedReturnMin,Scenarios1[[#This Row],[Expected Return]]&lt;=ExpectedReturnMax)</f>
        <v>1</v>
      </c>
      <c r="U23" s="71" t="b">
        <f>Scenarios1[[#This Row],[Max Drawdown]]&gt;=DrawdownMax</f>
        <v>1</v>
      </c>
      <c r="V2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23" s="46">
        <f>_xlfn.XLOOKUP(Scenarios1[[#This Row],[Reference '#]],ScenariosCombined[Reference '#],ScenariosCombined[Sharpe Rank])</f>
        <v>30</v>
      </c>
      <c r="X23" s="71">
        <f>IF(Scenarios1[[#This Row],[Eligible]],COUNTIFS(Scenarios1[Sharpe],"&gt;"&amp;Scenarios1[[#This Row],[Sharpe]],Scenarios1[Eligible],TRUE())+COUNTIFS(Scenarios1[Sharpe],Scenarios1[[#This Row],[Sharpe]],Scenarios1[Eligible],TRUE()),"")</f>
        <v>29</v>
      </c>
      <c r="Y2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45/15/10/20/10</v>
      </c>
      <c r="Z23" s="139">
        <f>Scenarios1[[#This Row],[Sharpe Rank]]</f>
        <v>29</v>
      </c>
      <c r="AA23" s="139">
        <f>_xlfn.XLOOKUP(Scenarios1[[#This Row],[Reference '#]],Scenarios2[Reference '#],Scenarios2[Sharpe Rank])</f>
        <v>28</v>
      </c>
      <c r="AB23" s="139" t="str">
        <f>_xlfn.XLOOKUP(Scenarios1[[#This Row],[Reference '#]],Scenarios3[Reference '#],Scenarios3[Sharpe Rank])</f>
        <v/>
      </c>
      <c r="AF23" s="34"/>
      <c r="AG23" s="34"/>
      <c r="AK23" s="15"/>
    </row>
    <row r="24" spans="2:37" x14ac:dyDescent="0.2">
      <c r="B24" s="71">
        <v>14</v>
      </c>
      <c r="C24" s="69">
        <v>0.45</v>
      </c>
      <c r="D24" s="69">
        <v>0.15</v>
      </c>
      <c r="E24" s="69">
        <v>0.1</v>
      </c>
      <c r="F24" s="69">
        <v>0.15</v>
      </c>
      <c r="G24" s="69">
        <v>0.15</v>
      </c>
      <c r="H24" s="69">
        <f>SUMPRODUCT(Scenarios1[[#This Row],[SPY]:[PE]],_xlfn.TOROW(AssetSpecsScenario1[Annualized Return]))</f>
        <v>9.7014912944019455E-2</v>
      </c>
      <c r="I24" s="69" cm="1">
        <f t="array" ref="I24">SQRT(MMULT(MMULT(Scenarios1[[#This Row],[SPY]:[PE]], 'Corr_Cov 36- Month'!$J$13:$N$17), TRANSPOSE(Scenarios1[[#This Row],[SPY]:[PE]])))</f>
        <v>8.6084391364720458E-2</v>
      </c>
      <c r="J24" s="70">
        <f>(Scenarios1[[#This Row],[Expected Return]]-RiskFree)/Scenarios1[[#This Row],[36M Vol]]</f>
        <v>0.58093408799959279</v>
      </c>
      <c r="K24" s="121" cm="1">
        <f t="array" ref="K24">MIN(_xlfn._xlws.FILTER(PortfolioFrontier[#Data],(PortfolioFrontier[#Headers]="P"&amp;Scenarios1[[#This Row],[Reference '#]]&amp;" DD")))</f>
        <v>-0.18407065770152886</v>
      </c>
      <c r="L24" s="69">
        <f>SUM(Scenarios1[[#This Row],[SPY]:[VNQ]])</f>
        <v>0.85</v>
      </c>
      <c r="M24" s="69">
        <f>SUM(Scenarios1[[#This Row],[SPY]:[PE]])</f>
        <v>1</v>
      </c>
      <c r="N24" s="71" t="b">
        <f>Scenarios1[[#This Row],[SPY]]&gt;=SpyMin</f>
        <v>1</v>
      </c>
      <c r="O24" s="71" t="b">
        <f>Scenarios1[[#This Row],[AGG]]&gt;=AGGMin</f>
        <v>1</v>
      </c>
      <c r="P24" s="71" t="b">
        <f>AND(Scenarios1[[#This Row],[GLD]]&gt;=GLDMin,Scenarios1[[#This Row],[GLD]]&lt;=GLDMax)</f>
        <v>1</v>
      </c>
      <c r="Q24" s="71" t="b">
        <f>Scenarios1[[#This Row],[VNQ]]&gt;=VNQMin</f>
        <v>1</v>
      </c>
      <c r="R24" s="71" t="b">
        <f>AND(Scenarios1[[#This Row],[PE]]&gt;=PEMin,Scenarios1[[#This Row],[PE]]&lt;=PEMax)</f>
        <v>1</v>
      </c>
      <c r="S24" s="71" t="b">
        <f>Scenarios1[[#This Row],[Liquid Assets]]&gt;=LiquidMin</f>
        <v>1</v>
      </c>
      <c r="T24" s="71" t="b">
        <f>AND(Scenarios1[[#This Row],[Expected Return]]&gt;=ExpectedReturnMin,Scenarios1[[#This Row],[Expected Return]]&lt;=ExpectedReturnMax)</f>
        <v>1</v>
      </c>
      <c r="U24" s="71" t="b">
        <f>Scenarios1[[#This Row],[Max Drawdown]]&gt;=DrawdownMax</f>
        <v>1</v>
      </c>
      <c r="V2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24" s="46">
        <f>_xlfn.XLOOKUP(Scenarios1[[#This Row],[Reference '#]],ScenariosCombined[Reference '#],ScenariosCombined[Sharpe Rank])</f>
        <v>12</v>
      </c>
      <c r="X24" s="71">
        <f>IF(Scenarios1[[#This Row],[Eligible]],COUNTIFS(Scenarios1[Sharpe],"&gt;"&amp;Scenarios1[[#This Row],[Sharpe]],Scenarios1[Eligible],TRUE())+COUNTIFS(Scenarios1[Sharpe],Scenarios1[[#This Row],[Sharpe]],Scenarios1[Eligible],TRUE()),"")</f>
        <v>13</v>
      </c>
      <c r="Y2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45/15/10/15/15</v>
      </c>
      <c r="Z24" s="139">
        <f>Scenarios1[[#This Row],[Sharpe Rank]]</f>
        <v>13</v>
      </c>
      <c r="AA24" s="139">
        <f>_xlfn.XLOOKUP(Scenarios1[[#This Row],[Reference '#]],Scenarios2[Reference '#],Scenarios2[Sharpe Rank])</f>
        <v>12</v>
      </c>
      <c r="AB24" s="139" t="str">
        <f>_xlfn.XLOOKUP(Scenarios1[[#This Row],[Reference '#]],Scenarios3[Reference '#],Scenarios3[Sharpe Rank])</f>
        <v/>
      </c>
      <c r="AF24" s="34"/>
      <c r="AG24" s="34"/>
      <c r="AK24" s="15"/>
    </row>
    <row r="25" spans="2:37" x14ac:dyDescent="0.2">
      <c r="B25" s="71">
        <v>15</v>
      </c>
      <c r="C25" s="69">
        <v>0.45</v>
      </c>
      <c r="D25" s="69">
        <v>0.15</v>
      </c>
      <c r="E25" s="69">
        <v>0.1</v>
      </c>
      <c r="F25" s="69">
        <v>0.1</v>
      </c>
      <c r="G25" s="69">
        <v>0.2</v>
      </c>
      <c r="H25" s="69">
        <f>SUMPRODUCT(Scenarios1[[#This Row],[SPY]:[PE]],_xlfn.TOROW(AssetSpecsScenario1[Annualized Return]))</f>
        <v>9.6905438905217051E-2</v>
      </c>
      <c r="I25" s="69" cm="1">
        <f t="array" ref="I25">SQRT(MMULT(MMULT(Scenarios1[[#This Row],[SPY]:[PE]], 'Corr_Cov 36- Month'!$J$13:$N$17), TRANSPOSE(Scenarios1[[#This Row],[SPY]:[PE]])))</f>
        <v>7.911221564736387E-2</v>
      </c>
      <c r="J25" s="70">
        <f>(Scenarios1[[#This Row],[Expected Return]]-RiskFree)/Scenarios1[[#This Row],[36M Vol]]</f>
        <v>0.63074814605226182</v>
      </c>
      <c r="K25" s="121" cm="1">
        <f t="array" ref="K25">MIN(_xlfn._xlws.FILTER(PortfolioFrontier[#Data],(PortfolioFrontier[#Headers]="P"&amp;Scenarios1[[#This Row],[Reference '#]]&amp;" DD")))</f>
        <v>-0.16958426219189504</v>
      </c>
      <c r="L25" s="69">
        <f>SUM(Scenarios1[[#This Row],[SPY]:[VNQ]])</f>
        <v>0.79999999999999993</v>
      </c>
      <c r="M25" s="69">
        <f>SUM(Scenarios1[[#This Row],[SPY]:[PE]])</f>
        <v>1</v>
      </c>
      <c r="N25" s="71" t="b">
        <f>Scenarios1[[#This Row],[SPY]]&gt;=SpyMin</f>
        <v>1</v>
      </c>
      <c r="O25" s="71" t="b">
        <f>Scenarios1[[#This Row],[AGG]]&gt;=AGGMin</f>
        <v>1</v>
      </c>
      <c r="P25" s="71" t="b">
        <f>AND(Scenarios1[[#This Row],[GLD]]&gt;=GLDMin,Scenarios1[[#This Row],[GLD]]&lt;=GLDMax)</f>
        <v>1</v>
      </c>
      <c r="Q25" s="71" t="b">
        <f>Scenarios1[[#This Row],[VNQ]]&gt;=VNQMin</f>
        <v>1</v>
      </c>
      <c r="R25" s="71" t="b">
        <f>AND(Scenarios1[[#This Row],[PE]]&gt;=PEMin,Scenarios1[[#This Row],[PE]]&lt;=PEMax)</f>
        <v>1</v>
      </c>
      <c r="S25" s="71" t="b">
        <f>Scenarios1[[#This Row],[Liquid Assets]]&gt;=LiquidMin</f>
        <v>1</v>
      </c>
      <c r="T25" s="71" t="b">
        <f>AND(Scenarios1[[#This Row],[Expected Return]]&gt;=ExpectedReturnMin,Scenarios1[[#This Row],[Expected Return]]&lt;=ExpectedReturnMax)</f>
        <v>1</v>
      </c>
      <c r="U25" s="71" t="b">
        <f>Scenarios1[[#This Row],[Max Drawdown]]&gt;=DrawdownMax</f>
        <v>1</v>
      </c>
      <c r="V2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25" s="46">
        <f>_xlfn.XLOOKUP(Scenarios1[[#This Row],[Reference '#]],ScenariosCombined[Reference '#],ScenariosCombined[Sharpe Rank])</f>
        <v>3</v>
      </c>
      <c r="X25" s="71">
        <f>IF(Scenarios1[[#This Row],[Eligible]],COUNTIFS(Scenarios1[Sharpe],"&gt;"&amp;Scenarios1[[#This Row],[Sharpe]],Scenarios1[Eligible],TRUE())+COUNTIFS(Scenarios1[Sharpe],Scenarios1[[#This Row],[Sharpe]],Scenarios1[Eligible],TRUE()),"")</f>
        <v>6</v>
      </c>
      <c r="Y2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45/15/10/10/20</v>
      </c>
      <c r="Z25">
        <f>Scenarios1[[#This Row],[Sharpe Rank]]</f>
        <v>6</v>
      </c>
      <c r="AA25">
        <f>_xlfn.XLOOKUP(Scenarios1[[#This Row],[Reference '#]],Scenarios2[Reference '#],Scenarios2[Sharpe Rank])</f>
        <v>4</v>
      </c>
      <c r="AB25" t="str">
        <f>_xlfn.XLOOKUP(Scenarios1[[#This Row],[Reference '#]],Scenarios3[Reference '#],Scenarios3[Sharpe Rank])</f>
        <v/>
      </c>
      <c r="AF25" s="34"/>
      <c r="AG25" s="34"/>
      <c r="AK25" s="15"/>
    </row>
    <row r="26" spans="2:37" x14ac:dyDescent="0.2">
      <c r="B26" s="71">
        <v>16</v>
      </c>
      <c r="C26" s="69">
        <v>0.4</v>
      </c>
      <c r="D26" s="69">
        <v>0.3</v>
      </c>
      <c r="E26" s="69">
        <v>0.1</v>
      </c>
      <c r="F26" s="69">
        <v>0.1</v>
      </c>
      <c r="G26" s="69">
        <v>0.1</v>
      </c>
      <c r="H26" s="69">
        <f>SUMPRODUCT(Scenarios1[[#This Row],[SPY]:[PE]],_xlfn.TOROW(AssetSpecsScenario1[Annualized Return]))</f>
        <v>8.7273675269486234E-2</v>
      </c>
      <c r="I26" s="69" cm="1">
        <f t="array" ref="I26">SQRT(MMULT(MMULT(Scenarios1[[#This Row],[SPY]:[PE]], 'Corr_Cov 36- Month'!$J$13:$N$17), TRANSPOSE(Scenarios1[[#This Row],[SPY]:[PE]])))</f>
        <v>8.0098377073408847E-2</v>
      </c>
      <c r="J26" s="70">
        <f>(Scenarios1[[#This Row],[Expected Return]]-RiskFree)/Scenarios1[[#This Row],[36M Vol]]</f>
        <v>0.50273327856600158</v>
      </c>
      <c r="K26" s="121" cm="1">
        <f t="array" ref="K26">MIN(_xlfn._xlws.FILTER(PortfolioFrontier[#Data],(PortfolioFrontier[#Headers]="P"&amp;Scenarios1[[#This Row],[Reference '#]]&amp;" DD")))</f>
        <v>-0.17815309576344351</v>
      </c>
      <c r="L26" s="69">
        <f>SUM(Scenarios1[[#This Row],[SPY]:[VNQ]])</f>
        <v>0.89999999999999991</v>
      </c>
      <c r="M26" s="69">
        <f>SUM(Scenarios1[[#This Row],[SPY]:[PE]])</f>
        <v>0.99999999999999989</v>
      </c>
      <c r="N26" s="71" t="b">
        <f>Scenarios1[[#This Row],[SPY]]&gt;=SpyMin</f>
        <v>1</v>
      </c>
      <c r="O26" s="71" t="b">
        <f>Scenarios1[[#This Row],[AGG]]&gt;=AGGMin</f>
        <v>1</v>
      </c>
      <c r="P26" s="71" t="b">
        <f>AND(Scenarios1[[#This Row],[GLD]]&gt;=GLDMin,Scenarios1[[#This Row],[GLD]]&lt;=GLDMax)</f>
        <v>1</v>
      </c>
      <c r="Q26" s="71" t="b">
        <f>Scenarios1[[#This Row],[VNQ]]&gt;=VNQMin</f>
        <v>1</v>
      </c>
      <c r="R26" s="71" t="b">
        <f>AND(Scenarios1[[#This Row],[PE]]&gt;=PEMin,Scenarios1[[#This Row],[PE]]&lt;=PEMax)</f>
        <v>1</v>
      </c>
      <c r="S26" s="71" t="b">
        <f>Scenarios1[[#This Row],[Liquid Assets]]&gt;=LiquidMin</f>
        <v>1</v>
      </c>
      <c r="T26" s="71" t="b">
        <f>AND(Scenarios1[[#This Row],[Expected Return]]&gt;=ExpectedReturnMin,Scenarios1[[#This Row],[Expected Return]]&lt;=ExpectedReturnMax)</f>
        <v>1</v>
      </c>
      <c r="U26" s="71" t="b">
        <f>Scenarios1[[#This Row],[Max Drawdown]]&gt;=DrawdownMax</f>
        <v>1</v>
      </c>
      <c r="V2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26" s="46">
        <f>_xlfn.XLOOKUP(Scenarios1[[#This Row],[Reference '#]],ScenariosCombined[Reference '#],ScenariosCombined[Sharpe Rank])</f>
        <v>43</v>
      </c>
      <c r="X26" s="71">
        <f>IF(Scenarios1[[#This Row],[Eligible]],COUNTIFS(Scenarios1[Sharpe],"&gt;"&amp;Scenarios1[[#This Row],[Sharpe]],Scenarios1[Eligible],TRUE())+COUNTIFS(Scenarios1[Sharpe],Scenarios1[[#This Row],[Sharpe]],Scenarios1[Eligible],TRUE()),"")</f>
        <v>41</v>
      </c>
      <c r="Y2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40/30/10/10/10</v>
      </c>
      <c r="Z26">
        <f>Scenarios1[[#This Row],[Sharpe Rank]]</f>
        <v>41</v>
      </c>
      <c r="AA26">
        <f>_xlfn.XLOOKUP(Scenarios1[[#This Row],[Reference '#]],Scenarios2[Reference '#],Scenarios2[Sharpe Rank])</f>
        <v>40</v>
      </c>
      <c r="AB26">
        <f>_xlfn.XLOOKUP(Scenarios1[[#This Row],[Reference '#]],Scenarios3[Reference '#],Scenarios3[Sharpe Rank])</f>
        <v>38</v>
      </c>
      <c r="AF26" s="34"/>
      <c r="AG26" s="34"/>
      <c r="AK26" s="15"/>
    </row>
    <row r="27" spans="2:37" x14ac:dyDescent="0.2">
      <c r="B27" s="71">
        <v>17</v>
      </c>
      <c r="C27" s="69">
        <v>0.4</v>
      </c>
      <c r="D27" s="69">
        <v>0.25</v>
      </c>
      <c r="E27" s="69">
        <v>0.15</v>
      </c>
      <c r="F27" s="69">
        <v>0.1</v>
      </c>
      <c r="G27" s="69">
        <v>0.1</v>
      </c>
      <c r="H27" s="69">
        <f>SUMPRODUCT(Scenarios1[[#This Row],[SPY]:[PE]],_xlfn.TOROW(AssetSpecsScenario1[Annualized Return]))</f>
        <v>9.2849133516725746E-2</v>
      </c>
      <c r="I27" s="69" cm="1">
        <f t="array" ref="I27">SQRT(MMULT(MMULT(Scenarios1[[#This Row],[SPY]:[PE]], 'Corr_Cov 36- Month'!$J$13:$N$17), TRANSPOSE(Scenarios1[[#This Row],[SPY]:[PE]])))</f>
        <v>7.9759388017315733E-2</v>
      </c>
      <c r="J27" s="70">
        <f>(Scenarios1[[#This Row],[Expected Return]]-RiskFree)/Scenarios1[[#This Row],[36M Vol]]</f>
        <v>0.57477344173224565</v>
      </c>
      <c r="K27" s="121" cm="1">
        <f t="array" ref="K27">MIN(_xlfn._xlws.FILTER(PortfolioFrontier[#Data],(PortfolioFrontier[#Headers]="P"&amp;Scenarios1[[#This Row],[Reference '#]]&amp;" DD")))</f>
        <v>-0.17568161179238972</v>
      </c>
      <c r="L27" s="69">
        <f>SUM(Scenarios1[[#This Row],[SPY]:[VNQ]])</f>
        <v>0.9</v>
      </c>
      <c r="M27" s="69">
        <f>SUM(Scenarios1[[#This Row],[SPY]:[PE]])</f>
        <v>1</v>
      </c>
      <c r="N27" s="71" t="b">
        <f>Scenarios1[[#This Row],[SPY]]&gt;=SpyMin</f>
        <v>1</v>
      </c>
      <c r="O27" s="71" t="b">
        <f>Scenarios1[[#This Row],[AGG]]&gt;=AGGMin</f>
        <v>1</v>
      </c>
      <c r="P27" s="71" t="b">
        <f>AND(Scenarios1[[#This Row],[GLD]]&gt;=GLDMin,Scenarios1[[#This Row],[GLD]]&lt;=GLDMax)</f>
        <v>1</v>
      </c>
      <c r="Q27" s="71" t="b">
        <f>Scenarios1[[#This Row],[VNQ]]&gt;=VNQMin</f>
        <v>1</v>
      </c>
      <c r="R27" s="71" t="b">
        <f>AND(Scenarios1[[#This Row],[PE]]&gt;=PEMin,Scenarios1[[#This Row],[PE]]&lt;=PEMax)</f>
        <v>1</v>
      </c>
      <c r="S27" s="71" t="b">
        <f>Scenarios1[[#This Row],[Liquid Assets]]&gt;=LiquidMin</f>
        <v>1</v>
      </c>
      <c r="T27" s="71" t="b">
        <f>AND(Scenarios1[[#This Row],[Expected Return]]&gt;=ExpectedReturnMin,Scenarios1[[#This Row],[Expected Return]]&lt;=ExpectedReturnMax)</f>
        <v>1</v>
      </c>
      <c r="U27" s="71" t="b">
        <f>Scenarios1[[#This Row],[Max Drawdown]]&gt;=DrawdownMax</f>
        <v>1</v>
      </c>
      <c r="V2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27" s="46">
        <f>_xlfn.XLOOKUP(Scenarios1[[#This Row],[Reference '#]],ScenariosCombined[Reference '#],ScenariosCombined[Sharpe Rank])</f>
        <v>17</v>
      </c>
      <c r="X27" s="71">
        <f>IF(Scenarios1[[#This Row],[Eligible]],COUNTIFS(Scenarios1[Sharpe],"&gt;"&amp;Scenarios1[[#This Row],[Sharpe]],Scenarios1[Eligible],TRUE())+COUNTIFS(Scenarios1[Sharpe],Scenarios1[[#This Row],[Sharpe]],Scenarios1[Eligible],TRUE()),"")</f>
        <v>16</v>
      </c>
      <c r="Y2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40/25/15/10/10</v>
      </c>
      <c r="Z27" s="139">
        <f>Scenarios1[[#This Row],[Sharpe Rank]]</f>
        <v>16</v>
      </c>
      <c r="AA27" s="139">
        <f>_xlfn.XLOOKUP(Scenarios1[[#This Row],[Reference '#]],Scenarios2[Reference '#],Scenarios2[Sharpe Rank])</f>
        <v>15</v>
      </c>
      <c r="AB27" s="139">
        <f>_xlfn.XLOOKUP(Scenarios1[[#This Row],[Reference '#]],Scenarios3[Reference '#],Scenarios3[Sharpe Rank])</f>
        <v>11</v>
      </c>
      <c r="AF27" s="34"/>
      <c r="AG27" s="34"/>
      <c r="AK27" s="15"/>
    </row>
    <row r="28" spans="2:37" x14ac:dyDescent="0.2">
      <c r="B28" s="71">
        <v>18</v>
      </c>
      <c r="C28" s="69">
        <v>0.4</v>
      </c>
      <c r="D28" s="69">
        <v>0.25</v>
      </c>
      <c r="E28" s="69">
        <v>0.1</v>
      </c>
      <c r="F28" s="69">
        <v>0.15</v>
      </c>
      <c r="G28" s="69">
        <v>0.1</v>
      </c>
      <c r="H28" s="69">
        <f>SUMPRODUCT(Scenarios1[[#This Row],[SPY]:[PE]],_xlfn.TOROW(AssetSpecsScenario1[Annualized Return]))</f>
        <v>8.8857414615649721E-2</v>
      </c>
      <c r="I28" s="69" cm="1">
        <f t="array" ref="I28">SQRT(MMULT(MMULT(Scenarios1[[#This Row],[SPY]:[PE]], 'Corr_Cov 36- Month'!$J$13:$N$17), TRANSPOSE(Scenarios1[[#This Row],[SPY]:[PE]])))</f>
        <v>8.525368942499599E-2</v>
      </c>
      <c r="J28" s="70">
        <f>(Scenarios1[[#This Row],[Expected Return]]-RiskFree)/Scenarios1[[#This Row],[36M Vol]]</f>
        <v>0.49090965261878039</v>
      </c>
      <c r="K28" s="121" cm="1">
        <f t="array" ref="K28">MIN(_xlfn._xlws.FILTER(PortfolioFrontier[#Data],(PortfolioFrontier[#Headers]="P"&amp;Scenarios1[[#This Row],[Reference '#]]&amp;" DD")))</f>
        <v>-0.18586780321194241</v>
      </c>
      <c r="L28" s="69">
        <f>SUM(Scenarios1[[#This Row],[SPY]:[VNQ]])</f>
        <v>0.9</v>
      </c>
      <c r="M28" s="69">
        <f>SUM(Scenarios1[[#This Row],[SPY]:[PE]])</f>
        <v>1</v>
      </c>
      <c r="N28" s="71" t="b">
        <f>Scenarios1[[#This Row],[SPY]]&gt;=SpyMin</f>
        <v>1</v>
      </c>
      <c r="O28" s="71" t="b">
        <f>Scenarios1[[#This Row],[AGG]]&gt;=AGGMin</f>
        <v>1</v>
      </c>
      <c r="P28" s="71" t="b">
        <f>AND(Scenarios1[[#This Row],[GLD]]&gt;=GLDMin,Scenarios1[[#This Row],[GLD]]&lt;=GLDMax)</f>
        <v>1</v>
      </c>
      <c r="Q28" s="71" t="b">
        <f>Scenarios1[[#This Row],[VNQ]]&gt;=VNQMin</f>
        <v>1</v>
      </c>
      <c r="R28" s="71" t="b">
        <f>AND(Scenarios1[[#This Row],[PE]]&gt;=PEMin,Scenarios1[[#This Row],[PE]]&lt;=PEMax)</f>
        <v>1</v>
      </c>
      <c r="S28" s="71" t="b">
        <f>Scenarios1[[#This Row],[Liquid Assets]]&gt;=LiquidMin</f>
        <v>1</v>
      </c>
      <c r="T28" s="71" t="b">
        <f>AND(Scenarios1[[#This Row],[Expected Return]]&gt;=ExpectedReturnMin,Scenarios1[[#This Row],[Expected Return]]&lt;=ExpectedReturnMax)</f>
        <v>1</v>
      </c>
      <c r="U28" s="71" t="b">
        <f>Scenarios1[[#This Row],[Max Drawdown]]&gt;=DrawdownMax</f>
        <v>1</v>
      </c>
      <c r="V2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28" s="46">
        <f>_xlfn.XLOOKUP(Scenarios1[[#This Row],[Reference '#]],ScenariosCombined[Reference '#],ScenariosCombined[Sharpe Rank])</f>
        <v>49</v>
      </c>
      <c r="X28" s="71">
        <f>IF(Scenarios1[[#This Row],[Eligible]],COUNTIFS(Scenarios1[Sharpe],"&gt;"&amp;Scenarios1[[#This Row],[Sharpe]],Scenarios1[Eligible],TRUE())+COUNTIFS(Scenarios1[Sharpe],Scenarios1[[#This Row],[Sharpe]],Scenarios1[Eligible],TRUE()),"")</f>
        <v>47</v>
      </c>
      <c r="Y2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40/25/10/15/10</v>
      </c>
      <c r="Z28">
        <f>Scenarios1[[#This Row],[Sharpe Rank]]</f>
        <v>47</v>
      </c>
      <c r="AA28">
        <f>_xlfn.XLOOKUP(Scenarios1[[#This Row],[Reference '#]],Scenarios2[Reference '#],Scenarios2[Sharpe Rank])</f>
        <v>46</v>
      </c>
      <c r="AB28">
        <f>_xlfn.XLOOKUP(Scenarios1[[#This Row],[Reference '#]],Scenarios3[Reference '#],Scenarios3[Sharpe Rank])</f>
        <v>44</v>
      </c>
      <c r="AF28" s="34"/>
      <c r="AG28" s="34"/>
      <c r="AK28" s="15"/>
    </row>
    <row r="29" spans="2:37" x14ac:dyDescent="0.2">
      <c r="B29" s="71">
        <v>19</v>
      </c>
      <c r="C29" s="69">
        <v>0.4</v>
      </c>
      <c r="D29" s="69">
        <v>0.25</v>
      </c>
      <c r="E29" s="69">
        <v>0.1</v>
      </c>
      <c r="F29" s="69">
        <v>0.1</v>
      </c>
      <c r="G29" s="69">
        <v>0.15</v>
      </c>
      <c r="H29" s="69">
        <f>SUMPRODUCT(Scenarios1[[#This Row],[SPY]:[PE]],_xlfn.TOROW(AssetSpecsScenario1[Annualized Return]))</f>
        <v>8.8747940576847317E-2</v>
      </c>
      <c r="I29" s="69" cm="1">
        <f t="array" ref="I29">SQRT(MMULT(MMULT(Scenarios1[[#This Row],[SPY]:[PE]], 'Corr_Cov 36- Month'!$J$13:$N$17), TRANSPOSE(Scenarios1[[#This Row],[SPY]:[PE]])))</f>
        <v>7.7928739797148691E-2</v>
      </c>
      <c r="J29" s="70">
        <f>(Scenarios1[[#This Row],[Expected Return]]-RiskFree)/Scenarios1[[#This Row],[36M Vol]]</f>
        <v>0.53564814636998748</v>
      </c>
      <c r="K29" s="121" cm="1">
        <f t="array" ref="K29">MIN(_xlfn._xlws.FILTER(PortfolioFrontier[#Data],(PortfolioFrontier[#Headers]="P"&amp;Scenarios1[[#This Row],[Reference '#]]&amp;" DD")))</f>
        <v>-0.17144121024298842</v>
      </c>
      <c r="L29" s="69">
        <f>SUM(Scenarios1[[#This Row],[SPY]:[VNQ]])</f>
        <v>0.85</v>
      </c>
      <c r="M29" s="69">
        <f>SUM(Scenarios1[[#This Row],[SPY]:[PE]])</f>
        <v>1</v>
      </c>
      <c r="N29" s="71" t="b">
        <f>Scenarios1[[#This Row],[SPY]]&gt;=SpyMin</f>
        <v>1</v>
      </c>
      <c r="O29" s="71" t="b">
        <f>Scenarios1[[#This Row],[AGG]]&gt;=AGGMin</f>
        <v>1</v>
      </c>
      <c r="P29" s="71" t="b">
        <f>AND(Scenarios1[[#This Row],[GLD]]&gt;=GLDMin,Scenarios1[[#This Row],[GLD]]&lt;=GLDMax)</f>
        <v>1</v>
      </c>
      <c r="Q29" s="71" t="b">
        <f>Scenarios1[[#This Row],[VNQ]]&gt;=VNQMin</f>
        <v>1</v>
      </c>
      <c r="R29" s="71" t="b">
        <f>AND(Scenarios1[[#This Row],[PE]]&gt;=PEMin,Scenarios1[[#This Row],[PE]]&lt;=PEMax)</f>
        <v>1</v>
      </c>
      <c r="S29" s="71" t="b">
        <f>Scenarios1[[#This Row],[Liquid Assets]]&gt;=LiquidMin</f>
        <v>1</v>
      </c>
      <c r="T29" s="71" t="b">
        <f>AND(Scenarios1[[#This Row],[Expected Return]]&gt;=ExpectedReturnMin,Scenarios1[[#This Row],[Expected Return]]&lt;=ExpectedReturnMax)</f>
        <v>1</v>
      </c>
      <c r="U29" s="71" t="b">
        <f>Scenarios1[[#This Row],[Max Drawdown]]&gt;=DrawdownMax</f>
        <v>1</v>
      </c>
      <c r="V2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29" s="46">
        <f>_xlfn.XLOOKUP(Scenarios1[[#This Row],[Reference '#]],ScenariosCombined[Reference '#],ScenariosCombined[Sharpe Rank])</f>
        <v>26</v>
      </c>
      <c r="X29" s="71">
        <f>IF(Scenarios1[[#This Row],[Eligible]],COUNTIFS(Scenarios1[Sharpe],"&gt;"&amp;Scenarios1[[#This Row],[Sharpe]],Scenarios1[Eligible],TRUE())+COUNTIFS(Scenarios1[Sharpe],Scenarios1[[#This Row],[Sharpe]],Scenarios1[Eligible],TRUE()),"")</f>
        <v>30</v>
      </c>
      <c r="Y2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40/25/10/10/15</v>
      </c>
      <c r="Z29" s="139">
        <f>Scenarios1[[#This Row],[Sharpe Rank]]</f>
        <v>30</v>
      </c>
      <c r="AA29" s="139">
        <f>_xlfn.XLOOKUP(Scenarios1[[#This Row],[Reference '#]],Scenarios2[Reference '#],Scenarios2[Sharpe Rank])</f>
        <v>27</v>
      </c>
      <c r="AB29" s="139">
        <f>_xlfn.XLOOKUP(Scenarios1[[#This Row],[Reference '#]],Scenarios3[Reference '#],Scenarios3[Sharpe Rank])</f>
        <v>18</v>
      </c>
      <c r="AF29" s="34"/>
      <c r="AG29" s="34"/>
      <c r="AK29" s="15"/>
    </row>
    <row r="30" spans="2:37" x14ac:dyDescent="0.2">
      <c r="B30" s="170">
        <v>20</v>
      </c>
      <c r="C30" s="171">
        <v>0.4</v>
      </c>
      <c r="D30" s="171">
        <v>0.2</v>
      </c>
      <c r="E30" s="171">
        <v>0.2</v>
      </c>
      <c r="F30" s="171">
        <v>0.1</v>
      </c>
      <c r="G30" s="171">
        <v>0.1</v>
      </c>
      <c r="H30" s="171">
        <f>SUMPRODUCT(Scenarios1[[#This Row],[SPY]:[PE]],_xlfn.TOROW(AssetSpecsScenario1[Annualized Return]))</f>
        <v>9.842459176396523E-2</v>
      </c>
      <c r="I30" s="171" cm="1">
        <f t="array" ref="I30">SQRT(MMULT(MMULT(Scenarios1[[#This Row],[SPY]:[PE]], 'Corr_Cov 36- Month'!$J$13:$N$17), TRANSPOSE(Scenarios1[[#This Row],[SPY]:[PE]])))</f>
        <v>7.9943764058617736E-2</v>
      </c>
      <c r="J30" s="172">
        <f>(Scenarios1[[#This Row],[Expected Return]]-RiskFree)/Scenarios1[[#This Row],[36M Vol]]</f>
        <v>0.64319008260240706</v>
      </c>
      <c r="K30" s="171" cm="1">
        <f t="array" ref="K30">MIN(_xlfn._xlws.FILTER(PortfolioFrontier[#Data],(PortfolioFrontier[#Headers]="P"&amp;Scenarios1[[#This Row],[Reference '#]]&amp;" DD")))</f>
        <v>-0.17322688100654049</v>
      </c>
      <c r="L30" s="171">
        <f>SUM(Scenarios1[[#This Row],[SPY]:[VNQ]])</f>
        <v>0.9</v>
      </c>
      <c r="M30" s="171">
        <f>SUM(Scenarios1[[#This Row],[SPY]:[PE]])</f>
        <v>1</v>
      </c>
      <c r="N30" s="170" t="b">
        <f>Scenarios1[[#This Row],[SPY]]&gt;=SpyMin</f>
        <v>1</v>
      </c>
      <c r="O30" s="170" t="b">
        <f>Scenarios1[[#This Row],[AGG]]&gt;=AGGMin</f>
        <v>1</v>
      </c>
      <c r="P30" s="170" t="b">
        <f>AND(Scenarios1[[#This Row],[GLD]]&gt;=GLDMin,Scenarios1[[#This Row],[GLD]]&lt;=GLDMax)</f>
        <v>1</v>
      </c>
      <c r="Q30" s="170" t="b">
        <f>Scenarios1[[#This Row],[VNQ]]&gt;=VNQMin</f>
        <v>1</v>
      </c>
      <c r="R30" s="170" t="b">
        <f>AND(Scenarios1[[#This Row],[PE]]&gt;=PEMin,Scenarios1[[#This Row],[PE]]&lt;=PEMax)</f>
        <v>1</v>
      </c>
      <c r="S30" s="170" t="b">
        <f>Scenarios1[[#This Row],[Liquid Assets]]&gt;=LiquidMin</f>
        <v>1</v>
      </c>
      <c r="T30" s="170" t="b">
        <f>AND(Scenarios1[[#This Row],[Expected Return]]&gt;=ExpectedReturnMin,Scenarios1[[#This Row],[Expected Return]]&lt;=ExpectedReturnMax)</f>
        <v>1</v>
      </c>
      <c r="U30" s="170" t="b">
        <f>Scenarios1[[#This Row],[Max Drawdown]]&gt;=DrawdownMax</f>
        <v>1</v>
      </c>
      <c r="V30" s="170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0" s="173">
        <f>_xlfn.XLOOKUP(Scenarios1[[#This Row],[Reference '#]],ScenariosCombined[Reference '#],ScenariosCombined[Sharpe Rank])</f>
        <v>4</v>
      </c>
      <c r="X30" s="170">
        <f>IF(Scenarios1[[#This Row],[Eligible]],COUNTIFS(Scenarios1[Sharpe],"&gt;"&amp;Scenarios1[[#This Row],[Sharpe]],Scenarios1[Eligible],TRUE())+COUNTIFS(Scenarios1[Sharpe],Scenarios1[[#This Row],[Sharpe]],Scenarios1[Eligible],TRUE()),"")</f>
        <v>4</v>
      </c>
      <c r="Y30" s="174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40/20/20/10/10</v>
      </c>
      <c r="Z30" s="169">
        <f>Scenarios1[[#This Row],[Sharpe Rank]]</f>
        <v>4</v>
      </c>
      <c r="AA30" s="168">
        <f>_xlfn.XLOOKUP(Scenarios1[[#This Row],[Reference '#]],Scenarios2[Reference '#],Scenarios2[Sharpe Rank])</f>
        <v>3</v>
      </c>
      <c r="AB30" s="168" t="str">
        <f>_xlfn.XLOOKUP(Scenarios1[[#This Row],[Reference '#]],Scenarios3[Reference '#],Scenarios3[Sharpe Rank])</f>
        <v/>
      </c>
      <c r="AF30" s="34"/>
      <c r="AG30" s="34"/>
      <c r="AK30" s="15"/>
    </row>
    <row r="31" spans="2:37" x14ac:dyDescent="0.2">
      <c r="B31" s="71">
        <v>21</v>
      </c>
      <c r="C31" s="69">
        <v>0.4</v>
      </c>
      <c r="D31" s="69">
        <v>0.2</v>
      </c>
      <c r="E31" s="69">
        <v>0.15</v>
      </c>
      <c r="F31" s="69">
        <v>0.15</v>
      </c>
      <c r="G31" s="69">
        <v>0.1</v>
      </c>
      <c r="H31" s="69">
        <f>SUMPRODUCT(Scenarios1[[#This Row],[SPY]:[PE]],_xlfn.TOROW(AssetSpecsScenario1[Annualized Return]))</f>
        <v>9.4432872862889206E-2</v>
      </c>
      <c r="I31" s="69" cm="1">
        <f t="array" ref="I31">SQRT(MMULT(MMULT(Scenarios1[[#This Row],[SPY]:[PE]], 'Corr_Cov 36- Month'!$J$13:$N$17), TRANSPOSE(Scenarios1[[#This Row],[SPY]:[PE]])))</f>
        <v>8.4835437270899997E-2</v>
      </c>
      <c r="J31" s="70">
        <f>(Scenarios1[[#This Row],[Expected Return]]-RiskFree)/Scenarios1[[#This Row],[36M Vol]]</f>
        <v>0.5590507791677527</v>
      </c>
      <c r="K31" s="121" cm="1">
        <f t="array" ref="K31">MIN(_xlfn._xlws.FILTER(PortfolioFrontier[#Data],(PortfolioFrontier[#Headers]="P"&amp;Scenarios1[[#This Row],[Reference '#]]&amp;" DD")))</f>
        <v>-0.18341824386731309</v>
      </c>
      <c r="L31" s="69">
        <f>SUM(Scenarios1[[#This Row],[SPY]:[VNQ]])</f>
        <v>0.90000000000000013</v>
      </c>
      <c r="M31" s="69">
        <f>SUM(Scenarios1[[#This Row],[SPY]:[PE]])</f>
        <v>1.0000000000000002</v>
      </c>
      <c r="N31" s="71" t="b">
        <f>Scenarios1[[#This Row],[SPY]]&gt;=SpyMin</f>
        <v>1</v>
      </c>
      <c r="O31" s="71" t="b">
        <f>Scenarios1[[#This Row],[AGG]]&gt;=AGGMin</f>
        <v>1</v>
      </c>
      <c r="P31" s="71" t="b">
        <f>AND(Scenarios1[[#This Row],[GLD]]&gt;=GLDMin,Scenarios1[[#This Row],[GLD]]&lt;=GLDMax)</f>
        <v>1</v>
      </c>
      <c r="Q31" s="71" t="b">
        <f>Scenarios1[[#This Row],[VNQ]]&gt;=VNQMin</f>
        <v>1</v>
      </c>
      <c r="R31" s="71" t="b">
        <f>AND(Scenarios1[[#This Row],[PE]]&gt;=PEMin,Scenarios1[[#This Row],[PE]]&lt;=PEMax)</f>
        <v>1</v>
      </c>
      <c r="S31" s="71" t="b">
        <f>Scenarios1[[#This Row],[Liquid Assets]]&gt;=LiquidMin</f>
        <v>1</v>
      </c>
      <c r="T31" s="71" t="b">
        <f>AND(Scenarios1[[#This Row],[Expected Return]]&gt;=ExpectedReturnMin,Scenarios1[[#This Row],[Expected Return]]&lt;=ExpectedReturnMax)</f>
        <v>1</v>
      </c>
      <c r="U31" s="71" t="b">
        <f>Scenarios1[[#This Row],[Max Drawdown]]&gt;=DrawdownMax</f>
        <v>1</v>
      </c>
      <c r="V3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1" s="46">
        <f>_xlfn.XLOOKUP(Scenarios1[[#This Row],[Reference '#]],ScenariosCombined[Reference '#],ScenariosCombined[Sharpe Rank])</f>
        <v>21</v>
      </c>
      <c r="X31" s="71">
        <f>IF(Scenarios1[[#This Row],[Eligible]],COUNTIFS(Scenarios1[Sharpe],"&gt;"&amp;Scenarios1[[#This Row],[Sharpe]],Scenarios1[Eligible],TRUE())+COUNTIFS(Scenarios1[Sharpe],Scenarios1[[#This Row],[Sharpe]],Scenarios1[Eligible],TRUE()),"")</f>
        <v>22</v>
      </c>
      <c r="Y3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40/20/15/15/10</v>
      </c>
      <c r="Z31" s="139">
        <f>Scenarios1[[#This Row],[Sharpe Rank]]</f>
        <v>22</v>
      </c>
      <c r="AA31" s="139">
        <f>_xlfn.XLOOKUP(Scenarios1[[#This Row],[Reference '#]],Scenarios2[Reference '#],Scenarios2[Sharpe Rank])</f>
        <v>21</v>
      </c>
      <c r="AB31" s="139">
        <f>_xlfn.XLOOKUP(Scenarios1[[#This Row],[Reference '#]],Scenarios3[Reference '#],Scenarios3[Sharpe Rank])</f>
        <v>19</v>
      </c>
      <c r="AF31" s="34"/>
      <c r="AG31" s="34"/>
      <c r="AK31" s="15"/>
    </row>
    <row r="32" spans="2:37" x14ac:dyDescent="0.2">
      <c r="B32" s="143">
        <v>22</v>
      </c>
      <c r="C32" s="142">
        <v>0.4</v>
      </c>
      <c r="D32" s="142">
        <v>0.2</v>
      </c>
      <c r="E32" s="142">
        <v>0.15</v>
      </c>
      <c r="F32" s="142">
        <v>0.1</v>
      </c>
      <c r="G32" s="142">
        <v>0.15</v>
      </c>
      <c r="H32" s="142">
        <f>SUMPRODUCT(Scenarios1[[#This Row],[SPY]:[PE]],_xlfn.TOROW(AssetSpecsScenario1[Annualized Return]))</f>
        <v>9.4323398824086802E-2</v>
      </c>
      <c r="I32" s="142" cm="1">
        <f t="array" ref="I32">SQRT(MMULT(MMULT(Scenarios1[[#This Row],[SPY]:[PE]], 'Corr_Cov 36- Month'!$J$13:$N$17), TRANSPOSE(Scenarios1[[#This Row],[SPY]:[PE]])))</f>
        <v>7.7569309378944171E-2</v>
      </c>
      <c r="J32" s="70">
        <f>(Scenarios1[[#This Row],[Expected Return]]-RiskFree)/Scenarios1[[#This Row],[36M Vol]]</f>
        <v>0.61000727797346432</v>
      </c>
      <c r="K32" s="142" cm="1">
        <f t="array" ref="K32">MIN(_xlfn._xlws.FILTER(PortfolioFrontier[#Data],(PortfolioFrontier[#Headers]="P"&amp;Scenarios1[[#This Row],[Reference '#]]&amp;" DD")))</f>
        <v>-0.16896122731263008</v>
      </c>
      <c r="L32" s="142">
        <f>SUM(Scenarios1[[#This Row],[SPY]:[VNQ]])</f>
        <v>0.85000000000000009</v>
      </c>
      <c r="M32" s="142">
        <f>SUM(Scenarios1[[#This Row],[SPY]:[PE]])</f>
        <v>1</v>
      </c>
      <c r="N32" s="143" t="b">
        <f>Scenarios1[[#This Row],[SPY]]&gt;=SpyMin</f>
        <v>1</v>
      </c>
      <c r="O32" s="143" t="b">
        <f>Scenarios1[[#This Row],[AGG]]&gt;=AGGMin</f>
        <v>1</v>
      </c>
      <c r="P32" s="143" t="b">
        <f>AND(Scenarios1[[#This Row],[GLD]]&gt;=GLDMin,Scenarios1[[#This Row],[GLD]]&lt;=GLDMax)</f>
        <v>1</v>
      </c>
      <c r="Q32" s="143" t="b">
        <f>Scenarios1[[#This Row],[VNQ]]&gt;=VNQMin</f>
        <v>1</v>
      </c>
      <c r="R32" s="143" t="b">
        <f>AND(Scenarios1[[#This Row],[PE]]&gt;=PEMin,Scenarios1[[#This Row],[PE]]&lt;=PEMax)</f>
        <v>1</v>
      </c>
      <c r="S32" s="143" t="b">
        <f>Scenarios1[[#This Row],[Liquid Assets]]&gt;=LiquidMin</f>
        <v>1</v>
      </c>
      <c r="T32" s="143" t="b">
        <f>AND(Scenarios1[[#This Row],[Expected Return]]&gt;=ExpectedReturnMin,Scenarios1[[#This Row],[Expected Return]]&lt;=ExpectedReturnMax)</f>
        <v>1</v>
      </c>
      <c r="U32" s="143" t="b">
        <f>Scenarios1[[#This Row],[Max Drawdown]]&gt;=DrawdownMax</f>
        <v>1</v>
      </c>
      <c r="V32" s="143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2" s="46">
        <f>_xlfn.XLOOKUP(Scenarios1[[#This Row],[Reference '#]],ScenariosCombined[Reference '#],ScenariosCombined[Sharpe Rank])</f>
        <v>6</v>
      </c>
      <c r="X32" s="143">
        <f>IF(Scenarios1[[#This Row],[Eligible]],COUNTIFS(Scenarios1[Sharpe],"&gt;"&amp;Scenarios1[[#This Row],[Sharpe]],Scenarios1[Eligible],TRUE())+COUNTIFS(Scenarios1[Sharpe],Scenarios1[[#This Row],[Sharpe]],Scenarios1[Eligible],TRUE()),"")</f>
        <v>8</v>
      </c>
      <c r="Y32" s="146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40/20/15/10/15</v>
      </c>
      <c r="Z32" s="147">
        <f>Scenarios1[[#This Row],[Sharpe Rank]]</f>
        <v>8</v>
      </c>
      <c r="AA32" s="147">
        <f>_xlfn.XLOOKUP(Scenarios1[[#This Row],[Reference '#]],Scenarios2[Reference '#],Scenarios2[Sharpe Rank])</f>
        <v>6</v>
      </c>
      <c r="AB32" s="147">
        <f>_xlfn.XLOOKUP(Scenarios1[[#This Row],[Reference '#]],Scenarios3[Reference '#],Scenarios3[Sharpe Rank])</f>
        <v>3</v>
      </c>
      <c r="AF32" s="34"/>
      <c r="AG32" s="34"/>
      <c r="AK32" s="15"/>
    </row>
    <row r="33" spans="2:37" x14ac:dyDescent="0.2">
      <c r="B33" s="71">
        <v>23</v>
      </c>
      <c r="C33" s="69">
        <v>0.4</v>
      </c>
      <c r="D33" s="69">
        <v>0.2</v>
      </c>
      <c r="E33" s="69">
        <v>0.1</v>
      </c>
      <c r="F33" s="69">
        <v>0.2</v>
      </c>
      <c r="G33" s="69">
        <v>0.1</v>
      </c>
      <c r="H33" s="69">
        <f>SUMPRODUCT(Scenarios1[[#This Row],[SPY]:[PE]],_xlfn.TOROW(AssetSpecsScenario1[Annualized Return]))</f>
        <v>9.0441153961813195E-2</v>
      </c>
      <c r="I33" s="69" cm="1">
        <f t="array" ref="I33">SQRT(MMULT(MMULT(Scenarios1[[#This Row],[SPY]:[PE]], 'Corr_Cov 36- Month'!$J$13:$N$17), TRANSPOSE(Scenarios1[[#This Row],[SPY]:[PE]])))</f>
        <v>9.0595491272077472E-2</v>
      </c>
      <c r="J33" s="70">
        <f>(Scenarios1[[#This Row],[Expected Return]]-RiskFree)/Scenarios1[[#This Row],[36M Vol]]</f>
        <v>0.47944547566734125</v>
      </c>
      <c r="K33" s="121" cm="1">
        <f t="array" ref="K33">MIN(_xlfn._xlws.FILTER(PortfolioFrontier[#Data],(PortfolioFrontier[#Headers]="P"&amp;Scenarios1[[#This Row],[Reference '#]]&amp;" DD")))</f>
        <v>-0.19358005839495529</v>
      </c>
      <c r="L33" s="69">
        <f>SUM(Scenarios1[[#This Row],[SPY]:[VNQ]])</f>
        <v>0.90000000000000013</v>
      </c>
      <c r="M33" s="69">
        <f>SUM(Scenarios1[[#This Row],[SPY]:[PE]])</f>
        <v>1.0000000000000002</v>
      </c>
      <c r="N33" s="71" t="b">
        <f>Scenarios1[[#This Row],[SPY]]&gt;=SpyMin</f>
        <v>1</v>
      </c>
      <c r="O33" s="71" t="b">
        <f>Scenarios1[[#This Row],[AGG]]&gt;=AGGMin</f>
        <v>1</v>
      </c>
      <c r="P33" s="71" t="b">
        <f>AND(Scenarios1[[#This Row],[GLD]]&gt;=GLDMin,Scenarios1[[#This Row],[GLD]]&lt;=GLDMax)</f>
        <v>1</v>
      </c>
      <c r="Q33" s="71" t="b">
        <f>Scenarios1[[#This Row],[VNQ]]&gt;=VNQMin</f>
        <v>1</v>
      </c>
      <c r="R33" s="71" t="b">
        <f>AND(Scenarios1[[#This Row],[PE]]&gt;=PEMin,Scenarios1[[#This Row],[PE]]&lt;=PEMax)</f>
        <v>1</v>
      </c>
      <c r="S33" s="71" t="b">
        <f>Scenarios1[[#This Row],[Liquid Assets]]&gt;=LiquidMin</f>
        <v>1</v>
      </c>
      <c r="T33" s="71" t="b">
        <f>AND(Scenarios1[[#This Row],[Expected Return]]&gt;=ExpectedReturnMin,Scenarios1[[#This Row],[Expected Return]]&lt;=ExpectedReturnMax)</f>
        <v>1</v>
      </c>
      <c r="U33" s="71" t="b">
        <f>Scenarios1[[#This Row],[Max Drawdown]]&gt;=DrawdownMax</f>
        <v>1</v>
      </c>
      <c r="V3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3" s="46">
        <f>_xlfn.XLOOKUP(Scenarios1[[#This Row],[Reference '#]],ScenariosCombined[Reference '#],ScenariosCombined[Sharpe Rank])</f>
        <v>53</v>
      </c>
      <c r="X33" s="71">
        <f>IF(Scenarios1[[#This Row],[Eligible]],COUNTIFS(Scenarios1[Sharpe],"&gt;"&amp;Scenarios1[[#This Row],[Sharpe]],Scenarios1[Eligible],TRUE())+COUNTIFS(Scenarios1[Sharpe],Scenarios1[[#This Row],[Sharpe]],Scenarios1[Eligible],TRUE()),"")</f>
        <v>53</v>
      </c>
      <c r="Y3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40/20/10/20/10</v>
      </c>
      <c r="Z33">
        <f>Scenarios1[[#This Row],[Sharpe Rank]]</f>
        <v>53</v>
      </c>
      <c r="AA33">
        <f>_xlfn.XLOOKUP(Scenarios1[[#This Row],[Reference '#]],Scenarios2[Reference '#],Scenarios2[Sharpe Rank])</f>
        <v>52</v>
      </c>
      <c r="AB33">
        <f>_xlfn.XLOOKUP(Scenarios1[[#This Row],[Reference '#]],Scenarios3[Reference '#],Scenarios3[Sharpe Rank])</f>
        <v>52</v>
      </c>
      <c r="AF33" s="34"/>
      <c r="AG33" s="34"/>
      <c r="AK33" s="15"/>
    </row>
    <row r="34" spans="2:37" x14ac:dyDescent="0.2">
      <c r="B34" s="71">
        <v>24</v>
      </c>
      <c r="C34" s="69">
        <v>0.4</v>
      </c>
      <c r="D34" s="69">
        <v>0.2</v>
      </c>
      <c r="E34" s="69">
        <v>0.1</v>
      </c>
      <c r="F34" s="69">
        <v>0.15</v>
      </c>
      <c r="G34" s="69">
        <v>0.15</v>
      </c>
      <c r="H34" s="69">
        <f>SUMPRODUCT(Scenarios1[[#This Row],[SPY]:[PE]],_xlfn.TOROW(AssetSpecsScenario1[Annualized Return]))</f>
        <v>9.0331679923010805E-2</v>
      </c>
      <c r="I34" s="69" cm="1">
        <f t="array" ref="I34">SQRT(MMULT(MMULT(Scenarios1[[#This Row],[SPY]:[PE]], 'Corr_Cov 36- Month'!$J$13:$N$17), TRANSPOSE(Scenarios1[[#This Row],[SPY]:[PE]])))</f>
        <v>8.3047670736612664E-2</v>
      </c>
      <c r="J34" s="70">
        <f>(Scenarios1[[#This Row],[Expected Return]]-RiskFree)/Scenarios1[[#This Row],[36M Vol]]</f>
        <v>0.52170186090907855</v>
      </c>
      <c r="K34" s="121" cm="1">
        <f t="array" ref="K34">MIN(_xlfn._xlws.FILTER(PortfolioFrontier[#Data],(PortfolioFrontier[#Headers]="P"&amp;Scenarios1[[#This Row],[Reference '#]]&amp;" DD")))</f>
        <v>-0.17919674215818437</v>
      </c>
      <c r="L34" s="69">
        <f>SUM(Scenarios1[[#This Row],[SPY]:[VNQ]])</f>
        <v>0.85000000000000009</v>
      </c>
      <c r="M34" s="69">
        <f>SUM(Scenarios1[[#This Row],[SPY]:[PE]])</f>
        <v>1</v>
      </c>
      <c r="N34" s="71" t="b">
        <f>Scenarios1[[#This Row],[SPY]]&gt;=SpyMin</f>
        <v>1</v>
      </c>
      <c r="O34" s="71" t="b">
        <f>Scenarios1[[#This Row],[AGG]]&gt;=AGGMin</f>
        <v>1</v>
      </c>
      <c r="P34" s="71" t="b">
        <f>AND(Scenarios1[[#This Row],[GLD]]&gt;=GLDMin,Scenarios1[[#This Row],[GLD]]&lt;=GLDMax)</f>
        <v>1</v>
      </c>
      <c r="Q34" s="71" t="b">
        <f>Scenarios1[[#This Row],[VNQ]]&gt;=VNQMin</f>
        <v>1</v>
      </c>
      <c r="R34" s="71" t="b">
        <f>AND(Scenarios1[[#This Row],[PE]]&gt;=PEMin,Scenarios1[[#This Row],[PE]]&lt;=PEMax)</f>
        <v>1</v>
      </c>
      <c r="S34" s="71" t="b">
        <f>Scenarios1[[#This Row],[Liquid Assets]]&gt;=LiquidMin</f>
        <v>1</v>
      </c>
      <c r="T34" s="71" t="b">
        <f>AND(Scenarios1[[#This Row],[Expected Return]]&gt;=ExpectedReturnMin,Scenarios1[[#This Row],[Expected Return]]&lt;=ExpectedReturnMax)</f>
        <v>1</v>
      </c>
      <c r="U34" s="71" t="b">
        <f>Scenarios1[[#This Row],[Max Drawdown]]&gt;=DrawdownMax</f>
        <v>1</v>
      </c>
      <c r="V3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4" s="46">
        <f>_xlfn.XLOOKUP(Scenarios1[[#This Row],[Reference '#]],ScenariosCombined[Reference '#],ScenariosCombined[Sharpe Rank])</f>
        <v>31</v>
      </c>
      <c r="X34" s="71">
        <f>IF(Scenarios1[[#This Row],[Eligible]],COUNTIFS(Scenarios1[Sharpe],"&gt;"&amp;Scenarios1[[#This Row],[Sharpe]],Scenarios1[Eligible],TRUE())+COUNTIFS(Scenarios1[Sharpe],Scenarios1[[#This Row],[Sharpe]],Scenarios1[Eligible],TRUE()),"")</f>
        <v>33</v>
      </c>
      <c r="Y3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40/20/10/15/15</v>
      </c>
      <c r="Z34">
        <f>Scenarios1[[#This Row],[Sharpe Rank]]</f>
        <v>33</v>
      </c>
      <c r="AA34">
        <f>_xlfn.XLOOKUP(Scenarios1[[#This Row],[Reference '#]],Scenarios2[Reference '#],Scenarios2[Sharpe Rank])</f>
        <v>31</v>
      </c>
      <c r="AB34">
        <f>_xlfn.XLOOKUP(Scenarios1[[#This Row],[Reference '#]],Scenarios3[Reference '#],Scenarios3[Sharpe Rank])</f>
        <v>26</v>
      </c>
      <c r="AF34" s="34"/>
      <c r="AG34" s="34"/>
      <c r="AK34" s="15"/>
    </row>
    <row r="35" spans="2:37" x14ac:dyDescent="0.2">
      <c r="B35" s="71">
        <v>25</v>
      </c>
      <c r="C35" s="69">
        <v>0.4</v>
      </c>
      <c r="D35" s="69">
        <v>0.2</v>
      </c>
      <c r="E35" s="69">
        <v>0.1</v>
      </c>
      <c r="F35" s="69">
        <v>0.1</v>
      </c>
      <c r="G35" s="69">
        <v>0.2</v>
      </c>
      <c r="H35" s="69">
        <f>SUMPRODUCT(Scenarios1[[#This Row],[SPY]:[PE]],_xlfn.TOROW(AssetSpecsScenario1[Annualized Return]))</f>
        <v>9.0222205884208401E-2</v>
      </c>
      <c r="I35" s="69" cm="1">
        <f t="array" ref="I35">SQRT(MMULT(MMULT(Scenarios1[[#This Row],[SPY]:[PE]], 'Corr_Cov 36- Month'!$J$13:$N$17), TRANSPOSE(Scenarios1[[#This Row],[SPY]:[PE]])))</f>
        <v>7.5963097172488184E-2</v>
      </c>
      <c r="J35" s="70">
        <f>(Scenarios1[[#This Row],[Expected Return]]-RiskFree)/Scenarios1[[#This Row],[36M Vol]]</f>
        <v>0.56891638094378238</v>
      </c>
      <c r="K35" s="121" cm="1">
        <f t="array" ref="K35">MIN(_xlfn._xlws.FILTER(PortfolioFrontier[#Data],(PortfolioFrontier[#Headers]="P"&amp;Scenarios1[[#This Row],[Reference '#]]&amp;" DD")))</f>
        <v>-0.16469571026556495</v>
      </c>
      <c r="L35" s="69">
        <f>SUM(Scenarios1[[#This Row],[SPY]:[VNQ]])</f>
        <v>0.8</v>
      </c>
      <c r="M35" s="69">
        <f>SUM(Scenarios1[[#This Row],[SPY]:[PE]])</f>
        <v>1</v>
      </c>
      <c r="N35" s="71" t="b">
        <f>Scenarios1[[#This Row],[SPY]]&gt;=SpyMin</f>
        <v>1</v>
      </c>
      <c r="O35" s="71" t="b">
        <f>Scenarios1[[#This Row],[AGG]]&gt;=AGGMin</f>
        <v>1</v>
      </c>
      <c r="P35" s="71" t="b">
        <f>AND(Scenarios1[[#This Row],[GLD]]&gt;=GLDMin,Scenarios1[[#This Row],[GLD]]&lt;=GLDMax)</f>
        <v>1</v>
      </c>
      <c r="Q35" s="71" t="b">
        <f>Scenarios1[[#This Row],[VNQ]]&gt;=VNQMin</f>
        <v>1</v>
      </c>
      <c r="R35" s="71" t="b">
        <f>AND(Scenarios1[[#This Row],[PE]]&gt;=PEMin,Scenarios1[[#This Row],[PE]]&lt;=PEMax)</f>
        <v>1</v>
      </c>
      <c r="S35" s="71" t="b">
        <f>Scenarios1[[#This Row],[Liquid Assets]]&gt;=LiquidMin</f>
        <v>1</v>
      </c>
      <c r="T35" s="71" t="b">
        <f>AND(Scenarios1[[#This Row],[Expected Return]]&gt;=ExpectedReturnMin,Scenarios1[[#This Row],[Expected Return]]&lt;=ExpectedReturnMax)</f>
        <v>1</v>
      </c>
      <c r="U35" s="71" t="b">
        <f>Scenarios1[[#This Row],[Max Drawdown]]&gt;=DrawdownMax</f>
        <v>1</v>
      </c>
      <c r="V3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5" s="46">
        <f>_xlfn.XLOOKUP(Scenarios1[[#This Row],[Reference '#]],ScenariosCombined[Reference '#],ScenariosCombined[Sharpe Rank])</f>
        <v>13</v>
      </c>
      <c r="X35" s="71">
        <f>IF(Scenarios1[[#This Row],[Eligible]],COUNTIFS(Scenarios1[Sharpe],"&gt;"&amp;Scenarios1[[#This Row],[Sharpe]],Scenarios1[Eligible],TRUE())+COUNTIFS(Scenarios1[Sharpe],Scenarios1[[#This Row],[Sharpe]],Scenarios1[Eligible],TRUE()),"")</f>
        <v>17</v>
      </c>
      <c r="Y3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40/20/10/10/20</v>
      </c>
      <c r="Z35" s="139">
        <f>Scenarios1[[#This Row],[Sharpe Rank]]</f>
        <v>17</v>
      </c>
      <c r="AA35" s="139">
        <f>_xlfn.XLOOKUP(Scenarios1[[#This Row],[Reference '#]],Scenarios2[Reference '#],Scenarios2[Sharpe Rank])</f>
        <v>14</v>
      </c>
      <c r="AB35" s="139">
        <f>_xlfn.XLOOKUP(Scenarios1[[#This Row],[Reference '#]],Scenarios3[Reference '#],Scenarios3[Sharpe Rank])</f>
        <v>6</v>
      </c>
      <c r="AF35" s="34"/>
      <c r="AG35" s="34"/>
      <c r="AK35" s="15"/>
    </row>
    <row r="36" spans="2:37" x14ac:dyDescent="0.2">
      <c r="B36" s="71">
        <v>26</v>
      </c>
      <c r="C36" s="69">
        <v>0.4</v>
      </c>
      <c r="D36" s="69">
        <v>0.15</v>
      </c>
      <c r="E36" s="69">
        <v>0.2</v>
      </c>
      <c r="F36" s="69">
        <v>0.15</v>
      </c>
      <c r="G36" s="69">
        <v>0.1</v>
      </c>
      <c r="H36" s="69">
        <f>SUMPRODUCT(Scenarios1[[#This Row],[SPY]:[PE]],_xlfn.TOROW(AssetSpecsScenario1[Annualized Return]))</f>
        <v>0.10000833111012872</v>
      </c>
      <c r="I36" s="69" cm="1">
        <f t="array" ref="I36">SQRT(MMULT(MMULT(Scenarios1[[#This Row],[SPY]:[PE]], 'Corr_Cov 36- Month'!$J$13:$N$17), TRANSPOSE(Scenarios1[[#This Row],[SPY]:[PE]])))</f>
        <v>8.4909049819064705E-2</v>
      </c>
      <c r="J36" s="70">
        <f>(Scenarios1[[#This Row],[Expected Return]]-RiskFree)/Scenarios1[[#This Row],[36M Vol]]</f>
        <v>0.62422999276894986</v>
      </c>
      <c r="K36" s="121" cm="1">
        <f t="array" ref="K36">MIN(_xlfn._xlws.FILTER(PortfolioFrontier[#Data],(PortfolioFrontier[#Headers]="P"&amp;Scenarios1[[#This Row],[Reference '#]]&amp;" DD")))</f>
        <v>-0.18098526063032661</v>
      </c>
      <c r="L36" s="69">
        <f>SUM(Scenarios1[[#This Row],[SPY]:[VNQ]])</f>
        <v>0.9</v>
      </c>
      <c r="M36" s="69">
        <f>SUM(Scenarios1[[#This Row],[SPY]:[PE]])</f>
        <v>1</v>
      </c>
      <c r="N36" s="71" t="b">
        <f>Scenarios1[[#This Row],[SPY]]&gt;=SpyMin</f>
        <v>1</v>
      </c>
      <c r="O36" s="71" t="b">
        <f>Scenarios1[[#This Row],[AGG]]&gt;=AGGMin</f>
        <v>1</v>
      </c>
      <c r="P36" s="71" t="b">
        <f>AND(Scenarios1[[#This Row],[GLD]]&gt;=GLDMin,Scenarios1[[#This Row],[GLD]]&lt;=GLDMax)</f>
        <v>1</v>
      </c>
      <c r="Q36" s="71" t="b">
        <f>Scenarios1[[#This Row],[VNQ]]&gt;=VNQMin</f>
        <v>1</v>
      </c>
      <c r="R36" s="71" t="b">
        <f>AND(Scenarios1[[#This Row],[PE]]&gt;=PEMin,Scenarios1[[#This Row],[PE]]&lt;=PEMax)</f>
        <v>1</v>
      </c>
      <c r="S36" s="71" t="b">
        <f>Scenarios1[[#This Row],[Liquid Assets]]&gt;=LiquidMin</f>
        <v>1</v>
      </c>
      <c r="T36" s="71" t="b">
        <f>AND(Scenarios1[[#This Row],[Expected Return]]&gt;=ExpectedReturnMin,Scenarios1[[#This Row],[Expected Return]]&lt;=ExpectedReturnMax)</f>
        <v>0</v>
      </c>
      <c r="U36" s="71" t="b">
        <f>Scenarios1[[#This Row],[Max Drawdown]]&gt;=DrawdownMax</f>
        <v>1</v>
      </c>
      <c r="V3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36" s="46" t="str">
        <f>_xlfn.XLOOKUP(Scenarios1[[#This Row],[Reference '#]],ScenariosCombined[Reference '#],ScenariosCombined[Sharpe Rank])</f>
        <v/>
      </c>
      <c r="X36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3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40/15/20/15/10</v>
      </c>
      <c r="Z36" t="str">
        <f>Scenarios1[[#This Row],[Sharpe Rank]]</f>
        <v/>
      </c>
      <c r="AA36" t="str">
        <f>_xlfn.XLOOKUP(Scenarios1[[#This Row],[Reference '#]],Scenarios2[Reference '#],Scenarios2[Sharpe Rank])</f>
        <v/>
      </c>
      <c r="AB36" t="str">
        <f>_xlfn.XLOOKUP(Scenarios1[[#This Row],[Reference '#]],Scenarios3[Reference '#],Scenarios3[Sharpe Rank])</f>
        <v/>
      </c>
      <c r="AF36" s="34"/>
      <c r="AG36" s="34"/>
      <c r="AK36" s="15"/>
    </row>
    <row r="37" spans="2:37" x14ac:dyDescent="0.2">
      <c r="B37" s="170">
        <v>27</v>
      </c>
      <c r="C37" s="171">
        <v>0.4</v>
      </c>
      <c r="D37" s="171">
        <v>0.15</v>
      </c>
      <c r="E37" s="171">
        <v>0.2</v>
      </c>
      <c r="F37" s="171">
        <v>0.1</v>
      </c>
      <c r="G37" s="171">
        <v>0.15</v>
      </c>
      <c r="H37" s="171">
        <f>SUMPRODUCT(Scenarios1[[#This Row],[SPY]:[PE]],_xlfn.TOROW(AssetSpecsScenario1[Annualized Return]))</f>
        <v>9.9898857071326314E-2</v>
      </c>
      <c r="I37" s="171" cm="1">
        <f t="array" ref="I37">SQRT(MMULT(MMULT(Scenarios1[[#This Row],[SPY]:[PE]], 'Corr_Cov 36- Month'!$J$13:$N$17), TRANSPOSE(Scenarios1[[#This Row],[SPY]:[PE]])))</f>
        <v>7.7747942072710019E-2</v>
      </c>
      <c r="J37" s="172">
        <f>(Scenarios1[[#This Row],[Expected Return]]-RiskFree)/Scenarios1[[#This Row],[36M Vol]]</f>
        <v>0.68031770495359023</v>
      </c>
      <c r="K37" s="171" cm="1">
        <f t="array" ref="K37">MIN(_xlfn._xlws.FILTER(PortfolioFrontier[#Data],(PortfolioFrontier[#Headers]="P"&amp;Scenarios1[[#This Row],[Reference '#]]&amp;" DD")))</f>
        <v>-0.1664981537878889</v>
      </c>
      <c r="L37" s="171">
        <f>SUM(Scenarios1[[#This Row],[SPY]:[VNQ]])</f>
        <v>0.85</v>
      </c>
      <c r="M37" s="171">
        <f>SUM(Scenarios1[[#This Row],[SPY]:[PE]])</f>
        <v>1</v>
      </c>
      <c r="N37" s="170" t="b">
        <f>Scenarios1[[#This Row],[SPY]]&gt;=SpyMin</f>
        <v>1</v>
      </c>
      <c r="O37" s="170" t="b">
        <f>Scenarios1[[#This Row],[AGG]]&gt;=AGGMin</f>
        <v>1</v>
      </c>
      <c r="P37" s="170" t="b">
        <f>AND(Scenarios1[[#This Row],[GLD]]&gt;=GLDMin,Scenarios1[[#This Row],[GLD]]&lt;=GLDMax)</f>
        <v>1</v>
      </c>
      <c r="Q37" s="170" t="b">
        <f>Scenarios1[[#This Row],[VNQ]]&gt;=VNQMin</f>
        <v>1</v>
      </c>
      <c r="R37" s="170" t="b">
        <f>AND(Scenarios1[[#This Row],[PE]]&gt;=PEMin,Scenarios1[[#This Row],[PE]]&lt;=PEMax)</f>
        <v>1</v>
      </c>
      <c r="S37" s="170" t="b">
        <f>Scenarios1[[#This Row],[Liquid Assets]]&gt;=LiquidMin</f>
        <v>1</v>
      </c>
      <c r="T37" s="170" t="b">
        <f>AND(Scenarios1[[#This Row],[Expected Return]]&gt;=ExpectedReturnMin,Scenarios1[[#This Row],[Expected Return]]&lt;=ExpectedReturnMax)</f>
        <v>1</v>
      </c>
      <c r="U37" s="170" t="b">
        <f>Scenarios1[[#This Row],[Max Drawdown]]&gt;=DrawdownMax</f>
        <v>1</v>
      </c>
      <c r="V37" s="170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7" s="173" t="str">
        <f>_xlfn.XLOOKUP(Scenarios1[[#This Row],[Reference '#]],ScenariosCombined[Reference '#],ScenariosCombined[Sharpe Rank])</f>
        <v/>
      </c>
      <c r="X37" s="170">
        <f>IF(Scenarios1[[#This Row],[Eligible]],COUNTIFS(Scenarios1[Sharpe],"&gt;"&amp;Scenarios1[[#This Row],[Sharpe]],Scenarios1[Eligible],TRUE())+COUNTIFS(Scenarios1[Sharpe],Scenarios1[[#This Row],[Sharpe]],Scenarios1[Eligible],TRUE()),"")</f>
        <v>1</v>
      </c>
      <c r="Y37" s="174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40/15/20/10/15</v>
      </c>
      <c r="Z37" s="169">
        <f>Scenarios1[[#This Row],[Sharpe Rank]]</f>
        <v>1</v>
      </c>
      <c r="AA37" s="168" t="str">
        <f>_xlfn.XLOOKUP(Scenarios1[[#This Row],[Reference '#]],Scenarios2[Reference '#],Scenarios2[Sharpe Rank])</f>
        <v/>
      </c>
      <c r="AB37" s="168" t="str">
        <f>_xlfn.XLOOKUP(Scenarios1[[#This Row],[Reference '#]],Scenarios3[Reference '#],Scenarios3[Sharpe Rank])</f>
        <v/>
      </c>
      <c r="AF37" s="34"/>
      <c r="AG37" s="34"/>
      <c r="AK37" s="15"/>
    </row>
    <row r="38" spans="2:37" x14ac:dyDescent="0.2">
      <c r="B38" s="71">
        <v>28</v>
      </c>
      <c r="C38" s="69">
        <v>0.4</v>
      </c>
      <c r="D38" s="69">
        <v>0.15</v>
      </c>
      <c r="E38" s="69">
        <v>0.15</v>
      </c>
      <c r="F38" s="69">
        <v>0.2</v>
      </c>
      <c r="G38" s="69">
        <v>0.1</v>
      </c>
      <c r="H38" s="69">
        <f>SUMPRODUCT(Scenarios1[[#This Row],[SPY]:[PE]],_xlfn.TOROW(AssetSpecsScenario1[Annualized Return]))</f>
        <v>9.6016612209052679E-2</v>
      </c>
      <c r="I38" s="69" cm="1">
        <f t="array" ref="I38">SQRT(MMULT(MMULT(Scenarios1[[#This Row],[SPY]:[PE]], 'Corr_Cov 36- Month'!$J$13:$N$17), TRANSPOSE(Scenarios1[[#This Row],[SPY]:[PE]])))</f>
        <v>9.010800621736445E-2</v>
      </c>
      <c r="J38" s="70">
        <f>(Scenarios1[[#This Row],[Expected Return]]-RiskFree)/Scenarios1[[#This Row],[36M Vol]]</f>
        <v>0.54391456110203396</v>
      </c>
      <c r="K38" s="121" cm="1">
        <f t="array" ref="K38">MIN(_xlfn._xlws.FILTER(PortfolioFrontier[#Data],(PortfolioFrontier[#Headers]="P"&amp;Scenarios1[[#This Row],[Reference '#]]&amp;" DD")))</f>
        <v>-0.1911524096507079</v>
      </c>
      <c r="L38" s="69">
        <f>SUM(Scenarios1[[#This Row],[SPY]:[VNQ]])</f>
        <v>0.90000000000000013</v>
      </c>
      <c r="M38" s="69">
        <f>SUM(Scenarios1[[#This Row],[SPY]:[PE]])</f>
        <v>1.0000000000000002</v>
      </c>
      <c r="N38" s="71" t="b">
        <f>Scenarios1[[#This Row],[SPY]]&gt;=SpyMin</f>
        <v>1</v>
      </c>
      <c r="O38" s="71" t="b">
        <f>Scenarios1[[#This Row],[AGG]]&gt;=AGGMin</f>
        <v>1</v>
      </c>
      <c r="P38" s="71" t="b">
        <f>AND(Scenarios1[[#This Row],[GLD]]&gt;=GLDMin,Scenarios1[[#This Row],[GLD]]&lt;=GLDMax)</f>
        <v>1</v>
      </c>
      <c r="Q38" s="71" t="b">
        <f>Scenarios1[[#This Row],[VNQ]]&gt;=VNQMin</f>
        <v>1</v>
      </c>
      <c r="R38" s="71" t="b">
        <f>AND(Scenarios1[[#This Row],[PE]]&gt;=PEMin,Scenarios1[[#This Row],[PE]]&lt;=PEMax)</f>
        <v>1</v>
      </c>
      <c r="S38" s="71" t="b">
        <f>Scenarios1[[#This Row],[Liquid Assets]]&gt;=LiquidMin</f>
        <v>1</v>
      </c>
      <c r="T38" s="71" t="b">
        <f>AND(Scenarios1[[#This Row],[Expected Return]]&gt;=ExpectedReturnMin,Scenarios1[[#This Row],[Expected Return]]&lt;=ExpectedReturnMax)</f>
        <v>1</v>
      </c>
      <c r="U38" s="71" t="b">
        <f>Scenarios1[[#This Row],[Max Drawdown]]&gt;=DrawdownMax</f>
        <v>1</v>
      </c>
      <c r="V3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8" s="46">
        <f>_xlfn.XLOOKUP(Scenarios1[[#This Row],[Reference '#]],ScenariosCombined[Reference '#],ScenariosCombined[Sharpe Rank])</f>
        <v>27</v>
      </c>
      <c r="X38" s="71">
        <f>IF(Scenarios1[[#This Row],[Eligible]],COUNTIFS(Scenarios1[Sharpe],"&gt;"&amp;Scenarios1[[#This Row],[Sharpe]],Scenarios1[Eligible],TRUE())+COUNTIFS(Scenarios1[Sharpe],Scenarios1[[#This Row],[Sharpe]],Scenarios1[Eligible],TRUE()),"")</f>
        <v>26</v>
      </c>
      <c r="Y3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40/15/15/20/10</v>
      </c>
      <c r="Z38" s="139">
        <f>Scenarios1[[#This Row],[Sharpe Rank]]</f>
        <v>26</v>
      </c>
      <c r="AA38" s="139">
        <f>_xlfn.XLOOKUP(Scenarios1[[#This Row],[Reference '#]],Scenarios2[Reference '#],Scenarios2[Sharpe Rank])</f>
        <v>26</v>
      </c>
      <c r="AB38" s="139">
        <f>_xlfn.XLOOKUP(Scenarios1[[#This Row],[Reference '#]],Scenarios3[Reference '#],Scenarios3[Sharpe Rank])</f>
        <v>28</v>
      </c>
      <c r="AF38" s="34"/>
      <c r="AG38" s="34"/>
      <c r="AK38" s="15"/>
    </row>
    <row r="39" spans="2:37" x14ac:dyDescent="0.2">
      <c r="B39" s="71">
        <v>29</v>
      </c>
      <c r="C39" s="69">
        <v>0.4</v>
      </c>
      <c r="D39" s="69">
        <v>0.15</v>
      </c>
      <c r="E39" s="69">
        <v>0.15</v>
      </c>
      <c r="F39" s="69">
        <v>0.15</v>
      </c>
      <c r="G39" s="69">
        <v>0.15</v>
      </c>
      <c r="H39" s="69">
        <f>SUMPRODUCT(Scenarios1[[#This Row],[SPY]:[PE]],_xlfn.TOROW(AssetSpecsScenario1[Annualized Return]))</f>
        <v>9.5907138170250289E-2</v>
      </c>
      <c r="I39" s="69" cm="1">
        <f t="array" ref="I39">SQRT(MMULT(MMULT(Scenarios1[[#This Row],[SPY]:[PE]], 'Corr_Cov 36- Month'!$J$13:$N$17), TRANSPOSE(Scenarios1[[#This Row],[SPY]:[PE]])))</f>
        <v>8.2607958304269175E-2</v>
      </c>
      <c r="J39" s="70">
        <f>(Scenarios1[[#This Row],[Expected Return]]-RiskFree)/Scenarios1[[#This Row],[36M Vol]]</f>
        <v>0.59197181020472589</v>
      </c>
      <c r="K39" s="121" cm="1">
        <f t="array" ref="K39">MIN(_xlfn._xlws.FILTER(PortfolioFrontier[#Data],(PortfolioFrontier[#Headers]="P"&amp;Scenarios1[[#This Row],[Reference '#]]&amp;" DD")))</f>
        <v>-0.17673871875174951</v>
      </c>
      <c r="L39" s="69">
        <f>SUM(Scenarios1[[#This Row],[SPY]:[VNQ]])</f>
        <v>0.85000000000000009</v>
      </c>
      <c r="M39" s="69">
        <f>SUM(Scenarios1[[#This Row],[SPY]:[PE]])</f>
        <v>1</v>
      </c>
      <c r="N39" s="71" t="b">
        <f>Scenarios1[[#This Row],[SPY]]&gt;=SpyMin</f>
        <v>1</v>
      </c>
      <c r="O39" s="71" t="b">
        <f>Scenarios1[[#This Row],[AGG]]&gt;=AGGMin</f>
        <v>1</v>
      </c>
      <c r="P39" s="71" t="b">
        <f>AND(Scenarios1[[#This Row],[GLD]]&gt;=GLDMin,Scenarios1[[#This Row],[GLD]]&lt;=GLDMax)</f>
        <v>1</v>
      </c>
      <c r="Q39" s="71" t="b">
        <f>Scenarios1[[#This Row],[VNQ]]&gt;=VNQMin</f>
        <v>1</v>
      </c>
      <c r="R39" s="71" t="b">
        <f>AND(Scenarios1[[#This Row],[PE]]&gt;=PEMin,Scenarios1[[#This Row],[PE]]&lt;=PEMax)</f>
        <v>1</v>
      </c>
      <c r="S39" s="71" t="b">
        <f>Scenarios1[[#This Row],[Liquid Assets]]&gt;=LiquidMin</f>
        <v>1</v>
      </c>
      <c r="T39" s="71" t="b">
        <f>AND(Scenarios1[[#This Row],[Expected Return]]&gt;=ExpectedReturnMin,Scenarios1[[#This Row],[Expected Return]]&lt;=ExpectedReturnMax)</f>
        <v>1</v>
      </c>
      <c r="U39" s="71" t="b">
        <f>Scenarios1[[#This Row],[Max Drawdown]]&gt;=DrawdownMax</f>
        <v>1</v>
      </c>
      <c r="V3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39" s="46">
        <f>_xlfn.XLOOKUP(Scenarios1[[#This Row],[Reference '#]],ScenariosCombined[Reference '#],ScenariosCombined[Sharpe Rank])</f>
        <v>10</v>
      </c>
      <c r="X39" s="71">
        <f>IF(Scenarios1[[#This Row],[Eligible]],COUNTIFS(Scenarios1[Sharpe],"&gt;"&amp;Scenarios1[[#This Row],[Sharpe]],Scenarios1[Eligible],TRUE())+COUNTIFS(Scenarios1[Sharpe],Scenarios1[[#This Row],[Sharpe]],Scenarios1[Eligible],TRUE()),"")</f>
        <v>11</v>
      </c>
      <c r="Y3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40/15/15/15/15</v>
      </c>
      <c r="Z39" s="139">
        <f>Scenarios1[[#This Row],[Sharpe Rank]]</f>
        <v>11</v>
      </c>
      <c r="AA39" s="139">
        <f>_xlfn.XLOOKUP(Scenarios1[[#This Row],[Reference '#]],Scenarios2[Reference '#],Scenarios2[Sharpe Rank])</f>
        <v>9</v>
      </c>
      <c r="AB39" s="139" t="str">
        <f>_xlfn.XLOOKUP(Scenarios1[[#This Row],[Reference '#]],Scenarios3[Reference '#],Scenarios3[Sharpe Rank])</f>
        <v/>
      </c>
      <c r="AF39" s="34"/>
      <c r="AG39" s="34"/>
      <c r="AK39" s="15"/>
    </row>
    <row r="40" spans="2:37" x14ac:dyDescent="0.2">
      <c r="B40" s="170">
        <v>30</v>
      </c>
      <c r="C40" s="171">
        <v>0.4</v>
      </c>
      <c r="D40" s="171">
        <v>0.15</v>
      </c>
      <c r="E40" s="171">
        <v>0.15</v>
      </c>
      <c r="F40" s="171">
        <v>0.1</v>
      </c>
      <c r="G40" s="171">
        <v>0.2</v>
      </c>
      <c r="H40" s="171">
        <f>SUMPRODUCT(Scenarios1[[#This Row],[SPY]:[PE]],_xlfn.TOROW(AssetSpecsScenario1[Annualized Return]))</f>
        <v>9.5797664131447885E-2</v>
      </c>
      <c r="I40" s="171" cm="1">
        <f t="array" ref="I40">SQRT(MMULT(MMULT(Scenarios1[[#This Row],[SPY]:[PE]], 'Corr_Cov 36- Month'!$J$13:$N$17), TRANSPOSE(Scenarios1[[#This Row],[SPY]:[PE]])))</f>
        <v>7.5583071565287943E-2</v>
      </c>
      <c r="J40" s="172">
        <f>(Scenarios1[[#This Row],[Expected Return]]-RiskFree)/Scenarios1[[#This Row],[36M Vol]]</f>
        <v>0.64554281223866605</v>
      </c>
      <c r="K40" s="171" cm="1">
        <f t="array" ref="K40">MIN(_xlfn._xlws.FILTER(PortfolioFrontier[#Data],(PortfolioFrontier[#Headers]="P"&amp;Scenarios1[[#This Row],[Reference '#]]&amp;" DD")))</f>
        <v>-0.16220725630038224</v>
      </c>
      <c r="L40" s="171">
        <f>SUM(Scenarios1[[#This Row],[SPY]:[VNQ]])</f>
        <v>0.8</v>
      </c>
      <c r="M40" s="171">
        <f>SUM(Scenarios1[[#This Row],[SPY]:[PE]])</f>
        <v>1</v>
      </c>
      <c r="N40" s="170" t="b">
        <f>Scenarios1[[#This Row],[SPY]]&gt;=SpyMin</f>
        <v>1</v>
      </c>
      <c r="O40" s="170" t="b">
        <f>Scenarios1[[#This Row],[AGG]]&gt;=AGGMin</f>
        <v>1</v>
      </c>
      <c r="P40" s="170" t="b">
        <f>AND(Scenarios1[[#This Row],[GLD]]&gt;=GLDMin,Scenarios1[[#This Row],[GLD]]&lt;=GLDMax)</f>
        <v>1</v>
      </c>
      <c r="Q40" s="170" t="b">
        <f>Scenarios1[[#This Row],[VNQ]]&gt;=VNQMin</f>
        <v>1</v>
      </c>
      <c r="R40" s="170" t="b">
        <f>AND(Scenarios1[[#This Row],[PE]]&gt;=PEMin,Scenarios1[[#This Row],[PE]]&lt;=PEMax)</f>
        <v>1</v>
      </c>
      <c r="S40" s="170" t="b">
        <f>Scenarios1[[#This Row],[Liquid Assets]]&gt;=LiquidMin</f>
        <v>1</v>
      </c>
      <c r="T40" s="170" t="b">
        <f>AND(Scenarios1[[#This Row],[Expected Return]]&gt;=ExpectedReturnMin,Scenarios1[[#This Row],[Expected Return]]&lt;=ExpectedReturnMax)</f>
        <v>1</v>
      </c>
      <c r="U40" s="170" t="b">
        <f>Scenarios1[[#This Row],[Max Drawdown]]&gt;=DrawdownMax</f>
        <v>1</v>
      </c>
      <c r="V40" s="170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0" s="173">
        <f>_xlfn.XLOOKUP(Scenarios1[[#This Row],[Reference '#]],ScenariosCombined[Reference '#],ScenariosCombined[Sharpe Rank])</f>
        <v>2</v>
      </c>
      <c r="X40" s="170">
        <f>IF(Scenarios1[[#This Row],[Eligible]],COUNTIFS(Scenarios1[Sharpe],"&gt;"&amp;Scenarios1[[#This Row],[Sharpe]],Scenarios1[Eligible],TRUE())+COUNTIFS(Scenarios1[Sharpe],Scenarios1[[#This Row],[Sharpe]],Scenarios1[Eligible],TRUE()),"")</f>
        <v>3</v>
      </c>
      <c r="Y40" s="174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40/15/15/10/20</v>
      </c>
      <c r="Z40" s="169">
        <f>Scenarios1[[#This Row],[Sharpe Rank]]</f>
        <v>3</v>
      </c>
      <c r="AA40" s="168">
        <f>_xlfn.XLOOKUP(Scenarios1[[#This Row],[Reference '#]],Scenarios2[Reference '#],Scenarios2[Sharpe Rank])</f>
        <v>2</v>
      </c>
      <c r="AB40" s="168" t="str">
        <f>_xlfn.XLOOKUP(Scenarios1[[#This Row],[Reference '#]],Scenarios3[Reference '#],Scenarios3[Sharpe Rank])</f>
        <v/>
      </c>
      <c r="AF40" s="34"/>
      <c r="AG40" s="34"/>
      <c r="AK40" s="15"/>
    </row>
    <row r="41" spans="2:37" x14ac:dyDescent="0.2">
      <c r="B41" s="71">
        <v>31</v>
      </c>
      <c r="C41" s="69">
        <v>0.4</v>
      </c>
      <c r="D41" s="69">
        <v>0.15</v>
      </c>
      <c r="E41" s="69">
        <v>0.1</v>
      </c>
      <c r="F41" s="69">
        <v>0.25</v>
      </c>
      <c r="G41" s="69">
        <v>0.1</v>
      </c>
      <c r="H41" s="69">
        <f>SUMPRODUCT(Scenarios1[[#This Row],[SPY]:[PE]],_xlfn.TOROW(AssetSpecsScenario1[Annualized Return]))</f>
        <v>9.2024893307976668E-2</v>
      </c>
      <c r="I41" s="69" cm="1">
        <f t="array" ref="I41">SQRT(MMULT(MMULT(Scenarios1[[#This Row],[SPY]:[PE]], 'Corr_Cov 36- Month'!$J$13:$N$17), TRANSPOSE(Scenarios1[[#This Row],[SPY]:[PE]])))</f>
        <v>9.6092686738170438E-2</v>
      </c>
      <c r="J41" s="70">
        <f>(Scenarios1[[#This Row],[Expected Return]]-RiskFree)/Scenarios1[[#This Row],[36M Vol]]</f>
        <v>0.46849910519296889</v>
      </c>
      <c r="K41" s="107" cm="1">
        <f t="array" ref="K41">MIN(_xlfn._xlws.FILTER(PortfolioFrontier[#Data],(PortfolioFrontier[#Headers]="P"&amp;Scenarios1[[#This Row],[Reference '#]]&amp;" DD")))</f>
        <v>-0.20128875787594014</v>
      </c>
      <c r="L41" s="69">
        <f>SUM(Scenarios1[[#This Row],[SPY]:[VNQ]])</f>
        <v>0.9</v>
      </c>
      <c r="M41" s="69">
        <f>SUM(Scenarios1[[#This Row],[SPY]:[PE]])</f>
        <v>1</v>
      </c>
      <c r="N41" s="71" t="b">
        <f>Scenarios1[[#This Row],[SPY]]&gt;=SpyMin</f>
        <v>1</v>
      </c>
      <c r="O41" s="71" t="b">
        <f>Scenarios1[[#This Row],[AGG]]&gt;=AGGMin</f>
        <v>1</v>
      </c>
      <c r="P41" s="71" t="b">
        <f>AND(Scenarios1[[#This Row],[GLD]]&gt;=GLDMin,Scenarios1[[#This Row],[GLD]]&lt;=GLDMax)</f>
        <v>1</v>
      </c>
      <c r="Q41" s="71" t="b">
        <f>Scenarios1[[#This Row],[VNQ]]&gt;=VNQMin</f>
        <v>1</v>
      </c>
      <c r="R41" s="71" t="b">
        <f>AND(Scenarios1[[#This Row],[PE]]&gt;=PEMin,Scenarios1[[#This Row],[PE]]&lt;=PEMax)</f>
        <v>1</v>
      </c>
      <c r="S41" s="71" t="b">
        <f>Scenarios1[[#This Row],[Liquid Assets]]&gt;=LiquidMin</f>
        <v>1</v>
      </c>
      <c r="T41" s="71" t="b">
        <f>AND(Scenarios1[[#This Row],[Expected Return]]&gt;=ExpectedReturnMin,Scenarios1[[#This Row],[Expected Return]]&lt;=ExpectedReturnMax)</f>
        <v>1</v>
      </c>
      <c r="U41" s="71" t="b">
        <f>Scenarios1[[#This Row],[Max Drawdown]]&gt;=DrawdownMax</f>
        <v>0</v>
      </c>
      <c r="V4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41" s="46" t="str">
        <f>_xlfn.XLOOKUP(Scenarios1[[#This Row],[Reference '#]],ScenariosCombined[Reference '#],ScenariosCombined[Sharpe Rank])</f>
        <v/>
      </c>
      <c r="X41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4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40/15/10/25/10</v>
      </c>
      <c r="Z41" t="str">
        <f>Scenarios1[[#This Row],[Sharpe Rank]]</f>
        <v/>
      </c>
      <c r="AA41" t="str">
        <f>_xlfn.XLOOKUP(Scenarios1[[#This Row],[Reference '#]],Scenarios2[Reference '#],Scenarios2[Sharpe Rank])</f>
        <v/>
      </c>
      <c r="AB41" t="str">
        <f>_xlfn.XLOOKUP(Scenarios1[[#This Row],[Reference '#]],Scenarios3[Reference '#],Scenarios3[Sharpe Rank])</f>
        <v/>
      </c>
      <c r="AF41" s="34"/>
      <c r="AG41" s="34"/>
      <c r="AK41" s="15"/>
    </row>
    <row r="42" spans="2:37" x14ac:dyDescent="0.2">
      <c r="B42" s="71">
        <v>32</v>
      </c>
      <c r="C42" s="69">
        <v>0.4</v>
      </c>
      <c r="D42" s="69">
        <v>0.15</v>
      </c>
      <c r="E42" s="69">
        <v>0.1</v>
      </c>
      <c r="F42" s="69">
        <v>0.2</v>
      </c>
      <c r="G42" s="69">
        <v>0.15</v>
      </c>
      <c r="H42" s="69">
        <f>SUMPRODUCT(Scenarios1[[#This Row],[SPY]:[PE]],_xlfn.TOROW(AssetSpecsScenario1[Annualized Return]))</f>
        <v>9.1915419269174278E-2</v>
      </c>
      <c r="I42" s="69" cm="1">
        <f t="array" ref="I42">SQRT(MMULT(MMULT(Scenarios1[[#This Row],[SPY]:[PE]], 'Corr_Cov 36- Month'!$J$13:$N$17), TRANSPOSE(Scenarios1[[#This Row],[SPY]:[PE]])))</f>
        <v>8.8362054472820292E-2</v>
      </c>
      <c r="J42" s="70">
        <f>(Scenarios1[[#This Row],[Expected Return]]-RiskFree)/Scenarios1[[#This Row],[36M Vol]]</f>
        <v>0.50824829709491159</v>
      </c>
      <c r="K42" s="121" cm="1">
        <f t="array" ref="K42">MIN(_xlfn._xlws.FILTER(PortfolioFrontier[#Data],(PortfolioFrontier[#Headers]="P"&amp;Scenarios1[[#This Row],[Reference '#]]&amp;" DD")))</f>
        <v>-0.18695012140380352</v>
      </c>
      <c r="L42" s="69">
        <f>SUM(Scenarios1[[#This Row],[SPY]:[VNQ]])</f>
        <v>0.85000000000000009</v>
      </c>
      <c r="M42" s="69">
        <f>SUM(Scenarios1[[#This Row],[SPY]:[PE]])</f>
        <v>1</v>
      </c>
      <c r="N42" s="71" t="b">
        <f>Scenarios1[[#This Row],[SPY]]&gt;=SpyMin</f>
        <v>1</v>
      </c>
      <c r="O42" s="71" t="b">
        <f>Scenarios1[[#This Row],[AGG]]&gt;=AGGMin</f>
        <v>1</v>
      </c>
      <c r="P42" s="71" t="b">
        <f>AND(Scenarios1[[#This Row],[GLD]]&gt;=GLDMin,Scenarios1[[#This Row],[GLD]]&lt;=GLDMax)</f>
        <v>1</v>
      </c>
      <c r="Q42" s="71" t="b">
        <f>Scenarios1[[#This Row],[VNQ]]&gt;=VNQMin</f>
        <v>1</v>
      </c>
      <c r="R42" s="71" t="b">
        <f>AND(Scenarios1[[#This Row],[PE]]&gt;=PEMin,Scenarios1[[#This Row],[PE]]&lt;=PEMax)</f>
        <v>1</v>
      </c>
      <c r="S42" s="71" t="b">
        <f>Scenarios1[[#This Row],[Liquid Assets]]&gt;=LiquidMin</f>
        <v>1</v>
      </c>
      <c r="T42" s="71" t="b">
        <f>AND(Scenarios1[[#This Row],[Expected Return]]&gt;=ExpectedReturnMin,Scenarios1[[#This Row],[Expected Return]]&lt;=ExpectedReturnMax)</f>
        <v>1</v>
      </c>
      <c r="U42" s="71" t="b">
        <f>Scenarios1[[#This Row],[Max Drawdown]]&gt;=DrawdownMax</f>
        <v>1</v>
      </c>
      <c r="V4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2" s="46">
        <f>_xlfn.XLOOKUP(Scenarios1[[#This Row],[Reference '#]],ScenariosCombined[Reference '#],ScenariosCombined[Sharpe Rank])</f>
        <v>37</v>
      </c>
      <c r="X42" s="71">
        <f>IF(Scenarios1[[#This Row],[Eligible]],COUNTIFS(Scenarios1[Sharpe],"&gt;"&amp;Scenarios1[[#This Row],[Sharpe]],Scenarios1[Eligible],TRUE())+COUNTIFS(Scenarios1[Sharpe],Scenarios1[[#This Row],[Sharpe]],Scenarios1[Eligible],TRUE()),"")</f>
        <v>36</v>
      </c>
      <c r="Y4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40/15/10/20/15</v>
      </c>
      <c r="Z42">
        <f>Scenarios1[[#This Row],[Sharpe Rank]]</f>
        <v>36</v>
      </c>
      <c r="AA42">
        <f>_xlfn.XLOOKUP(Scenarios1[[#This Row],[Reference '#]],Scenarios2[Reference '#],Scenarios2[Sharpe Rank])</f>
        <v>36</v>
      </c>
      <c r="AB42">
        <f>_xlfn.XLOOKUP(Scenarios1[[#This Row],[Reference '#]],Scenarios3[Reference '#],Scenarios3[Sharpe Rank])</f>
        <v>33</v>
      </c>
      <c r="AF42" s="34"/>
      <c r="AG42" s="34"/>
      <c r="AK42" s="15"/>
    </row>
    <row r="43" spans="2:37" x14ac:dyDescent="0.2">
      <c r="B43" s="71">
        <v>33</v>
      </c>
      <c r="C43" s="69">
        <v>0.4</v>
      </c>
      <c r="D43" s="69">
        <v>0.15</v>
      </c>
      <c r="E43" s="69">
        <v>0.1</v>
      </c>
      <c r="F43" s="69">
        <v>0.15</v>
      </c>
      <c r="G43" s="69">
        <v>0.2</v>
      </c>
      <c r="H43" s="69">
        <f>SUMPRODUCT(Scenarios1[[#This Row],[SPY]:[PE]],_xlfn.TOROW(AssetSpecsScenario1[Annualized Return]))</f>
        <v>9.1805945230371888E-2</v>
      </c>
      <c r="I43" s="69" cm="1">
        <f t="array" ref="I43">SQRT(MMULT(MMULT(Scenarios1[[#This Row],[SPY]:[PE]], 'Corr_Cov 36- Month'!$J$13:$N$17), TRANSPOSE(Scenarios1[[#This Row],[SPY]:[PE]])))</f>
        <v>8.1030888172766852E-2</v>
      </c>
      <c r="J43" s="70">
        <f>(Scenarios1[[#This Row],[Expected Return]]-RiskFree)/Scenarios1[[#This Row],[36M Vol]]</f>
        <v>0.55288039764906605</v>
      </c>
      <c r="K43" s="121" cm="1">
        <f t="array" ref="K43">MIN(_xlfn._xlws.FILTER(PortfolioFrontier[#Data],(PortfolioFrontier[#Headers]="P"&amp;Scenarios1[[#This Row],[Reference '#]]&amp;" DD")))</f>
        <v>-0.17249207732612581</v>
      </c>
      <c r="L43" s="69">
        <f>SUM(Scenarios1[[#This Row],[SPY]:[VNQ]])</f>
        <v>0.8</v>
      </c>
      <c r="M43" s="69">
        <f>SUM(Scenarios1[[#This Row],[SPY]:[PE]])</f>
        <v>1</v>
      </c>
      <c r="N43" s="71" t="b">
        <f>Scenarios1[[#This Row],[SPY]]&gt;=SpyMin</f>
        <v>1</v>
      </c>
      <c r="O43" s="71" t="b">
        <f>Scenarios1[[#This Row],[AGG]]&gt;=AGGMin</f>
        <v>1</v>
      </c>
      <c r="P43" s="71" t="b">
        <f>AND(Scenarios1[[#This Row],[GLD]]&gt;=GLDMin,Scenarios1[[#This Row],[GLD]]&lt;=GLDMax)</f>
        <v>1</v>
      </c>
      <c r="Q43" s="71" t="b">
        <f>Scenarios1[[#This Row],[VNQ]]&gt;=VNQMin</f>
        <v>1</v>
      </c>
      <c r="R43" s="71" t="b">
        <f>AND(Scenarios1[[#This Row],[PE]]&gt;=PEMin,Scenarios1[[#This Row],[PE]]&lt;=PEMax)</f>
        <v>1</v>
      </c>
      <c r="S43" s="71" t="b">
        <f>Scenarios1[[#This Row],[Liquid Assets]]&gt;=LiquidMin</f>
        <v>1</v>
      </c>
      <c r="T43" s="71" t="b">
        <f>AND(Scenarios1[[#This Row],[Expected Return]]&gt;=ExpectedReturnMin,Scenarios1[[#This Row],[Expected Return]]&lt;=ExpectedReturnMax)</f>
        <v>1</v>
      </c>
      <c r="U43" s="71" t="b">
        <f>Scenarios1[[#This Row],[Max Drawdown]]&gt;=DrawdownMax</f>
        <v>1</v>
      </c>
      <c r="V4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3" s="46">
        <f>_xlfn.XLOOKUP(Scenarios1[[#This Row],[Reference '#]],ScenariosCombined[Reference '#],ScenariosCombined[Sharpe Rank])</f>
        <v>18</v>
      </c>
      <c r="X43" s="71">
        <f>IF(Scenarios1[[#This Row],[Eligible]],COUNTIFS(Scenarios1[Sharpe],"&gt;"&amp;Scenarios1[[#This Row],[Sharpe]],Scenarios1[Eligible],TRUE())+COUNTIFS(Scenarios1[Sharpe],Scenarios1[[#This Row],[Sharpe]],Scenarios1[Eligible],TRUE()),"")</f>
        <v>23</v>
      </c>
      <c r="Y4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40/15/10/15/20</v>
      </c>
      <c r="Z43" s="139">
        <f>Scenarios1[[#This Row],[Sharpe Rank]]</f>
        <v>23</v>
      </c>
      <c r="AA43" s="139">
        <f>_xlfn.XLOOKUP(Scenarios1[[#This Row],[Reference '#]],Scenarios2[Reference '#],Scenarios2[Sharpe Rank])</f>
        <v>20</v>
      </c>
      <c r="AB43" s="139">
        <f>_xlfn.XLOOKUP(Scenarios1[[#This Row],[Reference '#]],Scenarios3[Reference '#],Scenarios3[Sharpe Rank])</f>
        <v>9</v>
      </c>
      <c r="AF43" s="34"/>
      <c r="AG43" s="34"/>
      <c r="AK43" s="15"/>
    </row>
    <row r="44" spans="2:37" x14ac:dyDescent="0.2">
      <c r="B44" s="71">
        <v>34</v>
      </c>
      <c r="C44" s="69">
        <v>0.35</v>
      </c>
      <c r="D44" s="69">
        <v>0.35</v>
      </c>
      <c r="E44" s="69">
        <v>0.1</v>
      </c>
      <c r="F44" s="69">
        <v>0.1</v>
      </c>
      <c r="G44" s="69">
        <v>0.1</v>
      </c>
      <c r="H44" s="69">
        <f>SUMPRODUCT(Scenarios1[[#This Row],[SPY]:[PE]],_xlfn.TOROW(AssetSpecsScenario1[Annualized Return]))</f>
        <v>8.0590442248477584E-2</v>
      </c>
      <c r="I44" s="69" cm="1">
        <f t="array" ref="I44">SQRT(MMULT(MMULT(Scenarios1[[#This Row],[SPY]:[PE]], 'Corr_Cov 36- Month'!$J$13:$N$17), TRANSPOSE(Scenarios1[[#This Row],[SPY]:[PE]])))</f>
        <v>7.7333317718843761E-2</v>
      </c>
      <c r="J44" s="70">
        <f>(Scenarios1[[#This Row],[Expected Return]]-RiskFree)/Scenarios1[[#This Row],[36M Vol]]</f>
        <v>0.43428741561334083</v>
      </c>
      <c r="K44" s="107" cm="1">
        <f t="array" ref="K44">MIN(_xlfn._xlws.FILTER(PortfolioFrontier[#Data],(PortfolioFrontier[#Headers]="P"&amp;Scenarios1[[#This Row],[Reference '#]]&amp;" DD")))</f>
        <v>-0.17331410905464495</v>
      </c>
      <c r="L44" s="69">
        <f>SUM(Scenarios1[[#This Row],[SPY]:[VNQ]])</f>
        <v>0.89999999999999991</v>
      </c>
      <c r="M44" s="69">
        <f>SUM(Scenarios1[[#This Row],[SPY]:[PE]])</f>
        <v>0.99999999999999989</v>
      </c>
      <c r="N44" s="71" t="b">
        <f>Scenarios1[[#This Row],[SPY]]&gt;=SpyMin</f>
        <v>1</v>
      </c>
      <c r="O44" s="71" t="b">
        <f>Scenarios1[[#This Row],[AGG]]&gt;=AGGMin</f>
        <v>1</v>
      </c>
      <c r="P44" s="71" t="b">
        <f>AND(Scenarios1[[#This Row],[GLD]]&gt;=GLDMin,Scenarios1[[#This Row],[GLD]]&lt;=GLDMax)</f>
        <v>1</v>
      </c>
      <c r="Q44" s="71" t="b">
        <f>Scenarios1[[#This Row],[VNQ]]&gt;=VNQMin</f>
        <v>1</v>
      </c>
      <c r="R44" s="71" t="b">
        <f>AND(Scenarios1[[#This Row],[PE]]&gt;=PEMin,Scenarios1[[#This Row],[PE]]&lt;=PEMax)</f>
        <v>1</v>
      </c>
      <c r="S44" s="71" t="b">
        <f>Scenarios1[[#This Row],[Liquid Assets]]&gt;=LiquidMin</f>
        <v>1</v>
      </c>
      <c r="T44" s="71" t="b">
        <f>AND(Scenarios1[[#This Row],[Expected Return]]&gt;=ExpectedReturnMin,Scenarios1[[#This Row],[Expected Return]]&lt;=ExpectedReturnMax)</f>
        <v>1</v>
      </c>
      <c r="U44" s="71" t="b">
        <f>Scenarios1[[#This Row],[Max Drawdown]]&gt;=DrawdownMax</f>
        <v>1</v>
      </c>
      <c r="V4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4" s="46">
        <f>_xlfn.XLOOKUP(Scenarios1[[#This Row],[Reference '#]],ScenariosCombined[Reference '#],ScenariosCombined[Sharpe Rank])</f>
        <v>72</v>
      </c>
      <c r="X44" s="71">
        <f>IF(Scenarios1[[#This Row],[Eligible]],COUNTIFS(Scenarios1[Sharpe],"&gt;"&amp;Scenarios1[[#This Row],[Sharpe]],Scenarios1[Eligible],TRUE())+COUNTIFS(Scenarios1[Sharpe],Scenarios1[[#This Row],[Sharpe]],Scenarios1[Eligible],TRUE()),"")</f>
        <v>70</v>
      </c>
      <c r="Y4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35/35/10/10/10</v>
      </c>
      <c r="Z44">
        <f>Scenarios1[[#This Row],[Sharpe Rank]]</f>
        <v>70</v>
      </c>
      <c r="AA44">
        <f>_xlfn.XLOOKUP(Scenarios1[[#This Row],[Reference '#]],Scenarios2[Reference '#],Scenarios2[Sharpe Rank])</f>
        <v>68</v>
      </c>
      <c r="AB44">
        <f>_xlfn.XLOOKUP(Scenarios1[[#This Row],[Reference '#]],Scenarios3[Reference '#],Scenarios3[Sharpe Rank])</f>
        <v>68</v>
      </c>
      <c r="AF44" s="34"/>
      <c r="AG44" s="34"/>
      <c r="AK44" s="15"/>
    </row>
    <row r="45" spans="2:37" x14ac:dyDescent="0.2">
      <c r="B45" s="71">
        <v>35</v>
      </c>
      <c r="C45" s="69">
        <v>0.35</v>
      </c>
      <c r="D45" s="69">
        <v>0.3</v>
      </c>
      <c r="E45" s="69">
        <v>0.15</v>
      </c>
      <c r="F45" s="69">
        <v>0.1</v>
      </c>
      <c r="G45" s="69">
        <v>0.1</v>
      </c>
      <c r="H45" s="69">
        <f>SUMPRODUCT(Scenarios1[[#This Row],[SPY]:[PE]],_xlfn.TOROW(AssetSpecsScenario1[Annualized Return]))</f>
        <v>8.6165900495717068E-2</v>
      </c>
      <c r="I45" s="69" cm="1">
        <f t="array" ref="I45">SQRT(MMULT(MMULT(Scenarios1[[#This Row],[SPY]:[PE]], 'Corr_Cov 36- Month'!$J$13:$N$17), TRANSPOSE(Scenarios1[[#This Row],[SPY]:[PE]])))</f>
        <v>7.710925694141553E-2</v>
      </c>
      <c r="J45" s="70">
        <f>(Scenarios1[[#This Row],[Expected Return]]-RiskFree)/Scenarios1[[#This Row],[36M Vol]]</f>
        <v>0.50785530160035064</v>
      </c>
      <c r="K45" s="121" cm="1">
        <f t="array" ref="K45">MIN(_xlfn._xlws.FILTER(PortfolioFrontier[#Data],(PortfolioFrontier[#Headers]="P"&amp;Scenarios1[[#This Row],[Reference '#]]&amp;" DD")))</f>
        <v>-0.17083546284768747</v>
      </c>
      <c r="L45" s="69">
        <f>SUM(Scenarios1[[#This Row],[SPY]:[VNQ]])</f>
        <v>0.89999999999999991</v>
      </c>
      <c r="M45" s="69">
        <f>SUM(Scenarios1[[#This Row],[SPY]:[PE]])</f>
        <v>0.99999999999999989</v>
      </c>
      <c r="N45" s="71" t="b">
        <f>Scenarios1[[#This Row],[SPY]]&gt;=SpyMin</f>
        <v>1</v>
      </c>
      <c r="O45" s="71" t="b">
        <f>Scenarios1[[#This Row],[AGG]]&gt;=AGGMin</f>
        <v>1</v>
      </c>
      <c r="P45" s="71" t="b">
        <f>AND(Scenarios1[[#This Row],[GLD]]&gt;=GLDMin,Scenarios1[[#This Row],[GLD]]&lt;=GLDMax)</f>
        <v>1</v>
      </c>
      <c r="Q45" s="71" t="b">
        <f>Scenarios1[[#This Row],[VNQ]]&gt;=VNQMin</f>
        <v>1</v>
      </c>
      <c r="R45" s="71" t="b">
        <f>AND(Scenarios1[[#This Row],[PE]]&gt;=PEMin,Scenarios1[[#This Row],[PE]]&lt;=PEMax)</f>
        <v>1</v>
      </c>
      <c r="S45" s="71" t="b">
        <f>Scenarios1[[#This Row],[Liquid Assets]]&gt;=LiquidMin</f>
        <v>1</v>
      </c>
      <c r="T45" s="71" t="b">
        <f>AND(Scenarios1[[#This Row],[Expected Return]]&gt;=ExpectedReturnMin,Scenarios1[[#This Row],[Expected Return]]&lt;=ExpectedReturnMax)</f>
        <v>1</v>
      </c>
      <c r="U45" s="71" t="b">
        <f>Scenarios1[[#This Row],[Max Drawdown]]&gt;=DrawdownMax</f>
        <v>1</v>
      </c>
      <c r="V4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5" s="46">
        <f>_xlfn.XLOOKUP(Scenarios1[[#This Row],[Reference '#]],ScenariosCombined[Reference '#],ScenariosCombined[Sharpe Rank])</f>
        <v>40</v>
      </c>
      <c r="X45" s="71">
        <f>IF(Scenarios1[[#This Row],[Eligible]],COUNTIFS(Scenarios1[Sharpe],"&gt;"&amp;Scenarios1[[#This Row],[Sharpe]],Scenarios1[Eligible],TRUE())+COUNTIFS(Scenarios1[Sharpe],Scenarios1[[#This Row],[Sharpe]],Scenarios1[Eligible],TRUE()),"")</f>
        <v>37</v>
      </c>
      <c r="Y4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35/30/15/10/10</v>
      </c>
      <c r="Z45">
        <f>Scenarios1[[#This Row],[Sharpe Rank]]</f>
        <v>37</v>
      </c>
      <c r="AA45">
        <f>_xlfn.XLOOKUP(Scenarios1[[#This Row],[Reference '#]],Scenarios2[Reference '#],Scenarios2[Sharpe Rank])</f>
        <v>37</v>
      </c>
      <c r="AB45">
        <f>_xlfn.XLOOKUP(Scenarios1[[#This Row],[Reference '#]],Scenarios3[Reference '#],Scenarios3[Sharpe Rank])</f>
        <v>36</v>
      </c>
      <c r="AF45" s="34"/>
      <c r="AG45" s="34"/>
      <c r="AK45" s="15"/>
    </row>
    <row r="46" spans="2:37" x14ac:dyDescent="0.2">
      <c r="B46" s="71">
        <v>36</v>
      </c>
      <c r="C46" s="69">
        <v>0.35</v>
      </c>
      <c r="D46" s="69">
        <v>0.3</v>
      </c>
      <c r="E46" s="69">
        <v>0.1</v>
      </c>
      <c r="F46" s="69">
        <v>0.15</v>
      </c>
      <c r="G46" s="69">
        <v>0.1</v>
      </c>
      <c r="H46" s="69">
        <f>SUMPRODUCT(Scenarios1[[#This Row],[SPY]:[PE]],_xlfn.TOROW(AssetSpecsScenario1[Annualized Return]))</f>
        <v>8.2174181594641071E-2</v>
      </c>
      <c r="I46" s="69" cm="1">
        <f t="array" ref="I46">SQRT(MMULT(MMULT(Scenarios1[[#This Row],[SPY]:[PE]], 'Corr_Cov 36- Month'!$J$13:$N$17), TRANSPOSE(Scenarios1[[#This Row],[SPY]:[PE]])))</f>
        <v>8.2480950584884388E-2</v>
      </c>
      <c r="J46" s="70">
        <f>(Scenarios1[[#This Row],[Expected Return]]-RiskFree)/Scenarios1[[#This Row],[36M Vol]]</f>
        <v>0.42638482934180183</v>
      </c>
      <c r="K46" s="107" cm="1">
        <f t="array" ref="K46">MIN(_xlfn._xlws.FILTER(PortfolioFrontier[#Data],(PortfolioFrontier[#Headers]="P"&amp;Scenarios1[[#This Row],[Reference '#]]&amp;" DD")))</f>
        <v>-0.18102599925931473</v>
      </c>
      <c r="L46" s="69">
        <f>SUM(Scenarios1[[#This Row],[SPY]:[VNQ]])</f>
        <v>0.89999999999999991</v>
      </c>
      <c r="M46" s="69">
        <f>SUM(Scenarios1[[#This Row],[SPY]:[PE]])</f>
        <v>0.99999999999999989</v>
      </c>
      <c r="N46" s="71" t="b">
        <f>Scenarios1[[#This Row],[SPY]]&gt;=SpyMin</f>
        <v>1</v>
      </c>
      <c r="O46" s="71" t="b">
        <f>Scenarios1[[#This Row],[AGG]]&gt;=AGGMin</f>
        <v>1</v>
      </c>
      <c r="P46" s="71" t="b">
        <f>AND(Scenarios1[[#This Row],[GLD]]&gt;=GLDMin,Scenarios1[[#This Row],[GLD]]&lt;=GLDMax)</f>
        <v>1</v>
      </c>
      <c r="Q46" s="71" t="b">
        <f>Scenarios1[[#This Row],[VNQ]]&gt;=VNQMin</f>
        <v>1</v>
      </c>
      <c r="R46" s="71" t="b">
        <f>AND(Scenarios1[[#This Row],[PE]]&gt;=PEMin,Scenarios1[[#This Row],[PE]]&lt;=PEMax)</f>
        <v>1</v>
      </c>
      <c r="S46" s="71" t="b">
        <f>Scenarios1[[#This Row],[Liquid Assets]]&gt;=LiquidMin</f>
        <v>1</v>
      </c>
      <c r="T46" s="71" t="b">
        <f>AND(Scenarios1[[#This Row],[Expected Return]]&gt;=ExpectedReturnMin,Scenarios1[[#This Row],[Expected Return]]&lt;=ExpectedReturnMax)</f>
        <v>1</v>
      </c>
      <c r="U46" s="71" t="b">
        <f>Scenarios1[[#This Row],[Max Drawdown]]&gt;=DrawdownMax</f>
        <v>1</v>
      </c>
      <c r="V4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6" s="46">
        <f>_xlfn.XLOOKUP(Scenarios1[[#This Row],[Reference '#]],ScenariosCombined[Reference '#],ScenariosCombined[Sharpe Rank])</f>
        <v>76</v>
      </c>
      <c r="X46" s="71">
        <f>IF(Scenarios1[[#This Row],[Eligible]],COUNTIFS(Scenarios1[Sharpe],"&gt;"&amp;Scenarios1[[#This Row],[Sharpe]],Scenarios1[Eligible],TRUE())+COUNTIFS(Scenarios1[Sharpe],Scenarios1[[#This Row],[Sharpe]],Scenarios1[Eligible],TRUE()),"")</f>
        <v>73</v>
      </c>
      <c r="Y4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35/30/10/15/10</v>
      </c>
      <c r="Z46">
        <f>Scenarios1[[#This Row],[Sharpe Rank]]</f>
        <v>73</v>
      </c>
      <c r="AA46">
        <f>_xlfn.XLOOKUP(Scenarios1[[#This Row],[Reference '#]],Scenarios2[Reference '#],Scenarios2[Sharpe Rank])</f>
        <v>73</v>
      </c>
      <c r="AB46">
        <f>_xlfn.XLOOKUP(Scenarios1[[#This Row],[Reference '#]],Scenarios3[Reference '#],Scenarios3[Sharpe Rank])</f>
        <v>71</v>
      </c>
      <c r="AF46" s="34"/>
      <c r="AG46" s="34"/>
      <c r="AK46" s="15"/>
    </row>
    <row r="47" spans="2:37" x14ac:dyDescent="0.2">
      <c r="B47" s="71">
        <v>37</v>
      </c>
      <c r="C47" s="69">
        <v>0.35</v>
      </c>
      <c r="D47" s="69">
        <v>0.3</v>
      </c>
      <c r="E47" s="69">
        <v>0.1</v>
      </c>
      <c r="F47" s="69">
        <v>0.1</v>
      </c>
      <c r="G47" s="69">
        <v>0.15</v>
      </c>
      <c r="H47" s="69">
        <f>SUMPRODUCT(Scenarios1[[#This Row],[SPY]:[PE]],_xlfn.TOROW(AssetSpecsScenario1[Annualized Return]))</f>
        <v>8.2064707555838667E-2</v>
      </c>
      <c r="I47" s="69" cm="1">
        <f t="array" ref="I47">SQRT(MMULT(MMULT(Scenarios1[[#This Row],[SPY]:[PE]], 'Corr_Cov 36- Month'!$J$13:$N$17), TRANSPOSE(Scenarios1[[#This Row],[SPY]:[PE]])))</f>
        <v>7.505371692623608E-2</v>
      </c>
      <c r="J47" s="70">
        <f>(Scenarios1[[#This Row],[Expected Return]]-RiskFree)/Scenarios1[[#This Row],[36M Vol]]</f>
        <v>0.46712079609248103</v>
      </c>
      <c r="K47" s="107" cm="1">
        <f t="array" ref="K47">MIN(_xlfn._xlws.FILTER(PortfolioFrontier[#Data],(PortfolioFrontier[#Headers]="P"&amp;Scenarios1[[#This Row],[Reference '#]]&amp;" DD")))</f>
        <v>-0.16658537183824618</v>
      </c>
      <c r="L47" s="69">
        <f>SUM(Scenarios1[[#This Row],[SPY]:[VNQ]])</f>
        <v>0.84999999999999987</v>
      </c>
      <c r="M47" s="69">
        <f>SUM(Scenarios1[[#This Row],[SPY]:[PE]])</f>
        <v>0.99999999999999989</v>
      </c>
      <c r="N47" s="71" t="b">
        <f>Scenarios1[[#This Row],[SPY]]&gt;=SpyMin</f>
        <v>1</v>
      </c>
      <c r="O47" s="71" t="b">
        <f>Scenarios1[[#This Row],[AGG]]&gt;=AGGMin</f>
        <v>1</v>
      </c>
      <c r="P47" s="71" t="b">
        <f>AND(Scenarios1[[#This Row],[GLD]]&gt;=GLDMin,Scenarios1[[#This Row],[GLD]]&lt;=GLDMax)</f>
        <v>1</v>
      </c>
      <c r="Q47" s="71" t="b">
        <f>Scenarios1[[#This Row],[VNQ]]&gt;=VNQMin</f>
        <v>1</v>
      </c>
      <c r="R47" s="71" t="b">
        <f>AND(Scenarios1[[#This Row],[PE]]&gt;=PEMin,Scenarios1[[#This Row],[PE]]&lt;=PEMax)</f>
        <v>1</v>
      </c>
      <c r="S47" s="71" t="b">
        <f>Scenarios1[[#This Row],[Liquid Assets]]&gt;=LiquidMin</f>
        <v>1</v>
      </c>
      <c r="T47" s="71" t="b">
        <f>AND(Scenarios1[[#This Row],[Expected Return]]&gt;=ExpectedReturnMin,Scenarios1[[#This Row],[Expected Return]]&lt;=ExpectedReturnMax)</f>
        <v>1</v>
      </c>
      <c r="U47" s="71" t="b">
        <f>Scenarios1[[#This Row],[Max Drawdown]]&gt;=DrawdownMax</f>
        <v>1</v>
      </c>
      <c r="V4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7" s="46">
        <f>_xlfn.XLOOKUP(Scenarios1[[#This Row],[Reference '#]],ScenariosCombined[Reference '#],ScenariosCombined[Sharpe Rank])</f>
        <v>55</v>
      </c>
      <c r="X47" s="71">
        <f>IF(Scenarios1[[#This Row],[Eligible]],COUNTIFS(Scenarios1[Sharpe],"&gt;"&amp;Scenarios1[[#This Row],[Sharpe]],Scenarios1[Eligible],TRUE())+COUNTIFS(Scenarios1[Sharpe],Scenarios1[[#This Row],[Sharpe]],Scenarios1[Eligible],TRUE()),"")</f>
        <v>58</v>
      </c>
      <c r="Y4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35/30/10/10/15</v>
      </c>
      <c r="Z47">
        <f>Scenarios1[[#This Row],[Sharpe Rank]]</f>
        <v>58</v>
      </c>
      <c r="AA47">
        <f>_xlfn.XLOOKUP(Scenarios1[[#This Row],[Reference '#]],Scenarios2[Reference '#],Scenarios2[Sharpe Rank])</f>
        <v>56</v>
      </c>
      <c r="AB47">
        <f>_xlfn.XLOOKUP(Scenarios1[[#This Row],[Reference '#]],Scenarios3[Reference '#],Scenarios3[Sharpe Rank])</f>
        <v>43</v>
      </c>
      <c r="AF47" s="34"/>
      <c r="AG47" s="34"/>
      <c r="AK47" s="15"/>
    </row>
    <row r="48" spans="2:37" x14ac:dyDescent="0.2">
      <c r="B48" s="71">
        <v>38</v>
      </c>
      <c r="C48" s="69">
        <v>0.35</v>
      </c>
      <c r="D48" s="69">
        <v>0.25</v>
      </c>
      <c r="E48" s="69">
        <v>0.2</v>
      </c>
      <c r="F48" s="69">
        <v>0.1</v>
      </c>
      <c r="G48" s="69">
        <v>0.1</v>
      </c>
      <c r="H48" s="69">
        <f>SUMPRODUCT(Scenarios1[[#This Row],[SPY]:[PE]],_xlfn.TOROW(AssetSpecsScenario1[Annualized Return]))</f>
        <v>9.174135874295658E-2</v>
      </c>
      <c r="I48" s="69" cm="1">
        <f t="array" ref="I48">SQRT(MMULT(MMULT(Scenarios1[[#This Row],[SPY]:[PE]], 'Corr_Cov 36- Month'!$J$13:$N$17), TRANSPOSE(Scenarios1[[#This Row],[SPY]:[PE]])))</f>
        <v>7.7426535829593413E-2</v>
      </c>
      <c r="J48" s="70">
        <f>(Scenarios1[[#This Row],[Expected Return]]-RiskFree)/Scenarios1[[#This Row],[36M Vol]]</f>
        <v>0.577783865803569</v>
      </c>
      <c r="K48" s="121" cm="1">
        <f t="array" ref="K48">MIN(_xlfn._xlws.FILTER(PortfolioFrontier[#Data],(PortfolioFrontier[#Headers]="P"&amp;Scenarios1[[#This Row],[Reference '#]]&amp;" DD")))</f>
        <v>-0.16837374068860644</v>
      </c>
      <c r="L48" s="69">
        <f>SUM(Scenarios1[[#This Row],[SPY]:[VNQ]])</f>
        <v>0.9</v>
      </c>
      <c r="M48" s="69">
        <f>SUM(Scenarios1[[#This Row],[SPY]:[PE]])</f>
        <v>1</v>
      </c>
      <c r="N48" s="71" t="b">
        <f>Scenarios1[[#This Row],[SPY]]&gt;=SpyMin</f>
        <v>1</v>
      </c>
      <c r="O48" s="71" t="b">
        <f>Scenarios1[[#This Row],[AGG]]&gt;=AGGMin</f>
        <v>1</v>
      </c>
      <c r="P48" s="71" t="b">
        <f>AND(Scenarios1[[#This Row],[GLD]]&gt;=GLDMin,Scenarios1[[#This Row],[GLD]]&lt;=GLDMax)</f>
        <v>1</v>
      </c>
      <c r="Q48" s="71" t="b">
        <f>Scenarios1[[#This Row],[VNQ]]&gt;=VNQMin</f>
        <v>1</v>
      </c>
      <c r="R48" s="71" t="b">
        <f>AND(Scenarios1[[#This Row],[PE]]&gt;=PEMin,Scenarios1[[#This Row],[PE]]&lt;=PEMax)</f>
        <v>1</v>
      </c>
      <c r="S48" s="71" t="b">
        <f>Scenarios1[[#This Row],[Liquid Assets]]&gt;=LiquidMin</f>
        <v>1</v>
      </c>
      <c r="T48" s="71" t="b">
        <f>AND(Scenarios1[[#This Row],[Expected Return]]&gt;=ExpectedReturnMin,Scenarios1[[#This Row],[Expected Return]]&lt;=ExpectedReturnMax)</f>
        <v>1</v>
      </c>
      <c r="U48" s="71" t="b">
        <f>Scenarios1[[#This Row],[Max Drawdown]]&gt;=DrawdownMax</f>
        <v>1</v>
      </c>
      <c r="V4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8" s="46">
        <f>_xlfn.XLOOKUP(Scenarios1[[#This Row],[Reference '#]],ScenariosCombined[Reference '#],ScenariosCombined[Sharpe Rank])</f>
        <v>16</v>
      </c>
      <c r="X48" s="71">
        <f>IF(Scenarios1[[#This Row],[Eligible]],COUNTIFS(Scenarios1[Sharpe],"&gt;"&amp;Scenarios1[[#This Row],[Sharpe]],Scenarios1[Eligible],TRUE())+COUNTIFS(Scenarios1[Sharpe],Scenarios1[[#This Row],[Sharpe]],Scenarios1[Eligible],TRUE()),"")</f>
        <v>15</v>
      </c>
      <c r="Y4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35/25/20/10/10</v>
      </c>
      <c r="Z48" s="139">
        <f>Scenarios1[[#This Row],[Sharpe Rank]]</f>
        <v>15</v>
      </c>
      <c r="AA48" s="139">
        <f>_xlfn.XLOOKUP(Scenarios1[[#This Row],[Reference '#]],Scenarios2[Reference '#],Scenarios2[Sharpe Rank])</f>
        <v>13</v>
      </c>
      <c r="AB48" s="139">
        <f>_xlfn.XLOOKUP(Scenarios1[[#This Row],[Reference '#]],Scenarios3[Reference '#],Scenarios3[Sharpe Rank])</f>
        <v>10</v>
      </c>
      <c r="AF48" s="34"/>
      <c r="AG48" s="34"/>
      <c r="AK48" s="15"/>
    </row>
    <row r="49" spans="2:37" x14ac:dyDescent="0.2">
      <c r="B49" s="71">
        <v>39</v>
      </c>
      <c r="C49" s="69">
        <v>0.35</v>
      </c>
      <c r="D49" s="69">
        <v>0.25</v>
      </c>
      <c r="E49" s="69">
        <v>0.15</v>
      </c>
      <c r="F49" s="69">
        <v>0.15</v>
      </c>
      <c r="G49" s="69">
        <v>0.1</v>
      </c>
      <c r="H49" s="69">
        <f>SUMPRODUCT(Scenarios1[[#This Row],[SPY]:[PE]],_xlfn.TOROW(AssetSpecsScenario1[Annualized Return]))</f>
        <v>8.7749639841880556E-2</v>
      </c>
      <c r="I49" s="69" cm="1">
        <f t="array" ref="I49">SQRT(MMULT(MMULT(Scenarios1[[#This Row],[SPY]:[PE]], 'Corr_Cov 36- Month'!$J$13:$N$17), TRANSPOSE(Scenarios1[[#This Row],[SPY]:[PE]])))</f>
        <v>8.2167831754940079E-2</v>
      </c>
      <c r="J49" s="70">
        <f>(Scenarios1[[#This Row],[Expected Return]]-RiskFree)/Scenarios1[[#This Row],[36M Vol]]</f>
        <v>0.49586417721038861</v>
      </c>
      <c r="K49" s="107" cm="1">
        <f t="array" ref="K49">MIN(_xlfn._xlws.FILTER(PortfolioFrontier[#Data],(PortfolioFrontier[#Headers]="P"&amp;Scenarios1[[#This Row],[Reference '#]]&amp;" DD")))</f>
        <v>-0.17856921257489966</v>
      </c>
      <c r="L49" s="69">
        <f>SUM(Scenarios1[[#This Row],[SPY]:[VNQ]])</f>
        <v>0.9</v>
      </c>
      <c r="M49" s="69">
        <f>SUM(Scenarios1[[#This Row],[SPY]:[PE]])</f>
        <v>1</v>
      </c>
      <c r="N49" s="71" t="b">
        <f>Scenarios1[[#This Row],[SPY]]&gt;=SpyMin</f>
        <v>1</v>
      </c>
      <c r="O49" s="71" t="b">
        <f>Scenarios1[[#This Row],[AGG]]&gt;=AGGMin</f>
        <v>1</v>
      </c>
      <c r="P49" s="71" t="b">
        <f>AND(Scenarios1[[#This Row],[GLD]]&gt;=GLDMin,Scenarios1[[#This Row],[GLD]]&lt;=GLDMax)</f>
        <v>1</v>
      </c>
      <c r="Q49" s="71" t="b">
        <f>Scenarios1[[#This Row],[VNQ]]&gt;=VNQMin</f>
        <v>1</v>
      </c>
      <c r="R49" s="71" t="b">
        <f>AND(Scenarios1[[#This Row],[PE]]&gt;=PEMin,Scenarios1[[#This Row],[PE]]&lt;=PEMax)</f>
        <v>1</v>
      </c>
      <c r="S49" s="71" t="b">
        <f>Scenarios1[[#This Row],[Liquid Assets]]&gt;=LiquidMin</f>
        <v>1</v>
      </c>
      <c r="T49" s="71" t="b">
        <f>AND(Scenarios1[[#This Row],[Expected Return]]&gt;=ExpectedReturnMin,Scenarios1[[#This Row],[Expected Return]]&lt;=ExpectedReturnMax)</f>
        <v>1</v>
      </c>
      <c r="U49" s="71" t="b">
        <f>Scenarios1[[#This Row],[Max Drawdown]]&gt;=DrawdownMax</f>
        <v>1</v>
      </c>
      <c r="V4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49" s="46">
        <f>_xlfn.XLOOKUP(Scenarios1[[#This Row],[Reference '#]],ScenariosCombined[Reference '#],ScenariosCombined[Sharpe Rank])</f>
        <v>46</v>
      </c>
      <c r="X49" s="71">
        <f>IF(Scenarios1[[#This Row],[Eligible]],COUNTIFS(Scenarios1[Sharpe],"&gt;"&amp;Scenarios1[[#This Row],[Sharpe]],Scenarios1[Eligible],TRUE())+COUNTIFS(Scenarios1[Sharpe],Scenarios1[[#This Row],[Sharpe]],Scenarios1[Eligible],TRUE()),"")</f>
        <v>43</v>
      </c>
      <c r="Y4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35/25/15/15/10</v>
      </c>
      <c r="Z49">
        <f>Scenarios1[[#This Row],[Sharpe Rank]]</f>
        <v>43</v>
      </c>
      <c r="AA49">
        <f>_xlfn.XLOOKUP(Scenarios1[[#This Row],[Reference '#]],Scenarios2[Reference '#],Scenarios2[Sharpe Rank])</f>
        <v>43</v>
      </c>
      <c r="AB49">
        <f>_xlfn.XLOOKUP(Scenarios1[[#This Row],[Reference '#]],Scenarios3[Reference '#],Scenarios3[Sharpe Rank])</f>
        <v>41</v>
      </c>
      <c r="AF49" s="34"/>
      <c r="AG49" s="34"/>
      <c r="AK49" s="15"/>
    </row>
    <row r="50" spans="2:37" x14ac:dyDescent="0.2">
      <c r="B50" s="71">
        <v>40</v>
      </c>
      <c r="C50" s="69">
        <v>0.35</v>
      </c>
      <c r="D50" s="69">
        <v>0.25</v>
      </c>
      <c r="E50" s="69">
        <v>0.15</v>
      </c>
      <c r="F50" s="69">
        <v>0.1</v>
      </c>
      <c r="G50" s="69">
        <v>0.15</v>
      </c>
      <c r="H50" s="69">
        <f>SUMPRODUCT(Scenarios1[[#This Row],[SPY]:[PE]],_xlfn.TOROW(AssetSpecsScenario1[Annualized Return]))</f>
        <v>8.7640165803078152E-2</v>
      </c>
      <c r="I50" s="69" cm="1">
        <f t="array" ref="I50">SQRT(MMULT(MMULT(Scenarios1[[#This Row],[SPY]:[PE]], 'Corr_Cov 36- Month'!$J$13:$N$17), TRANSPOSE(Scenarios1[[#This Row],[SPY]:[PE]])))</f>
        <v>7.481146439650202E-2</v>
      </c>
      <c r="J50" s="70">
        <f>(Scenarios1[[#This Row],[Expected Return]]-RiskFree)/Scenarios1[[#This Row],[36M Vol]]</f>
        <v>0.54316020379120611</v>
      </c>
      <c r="K50" s="121" cm="1">
        <f t="array" ref="K50">MIN(_xlfn._xlws.FILTER(PortfolioFrontier[#Data],(PortfolioFrontier[#Headers]="P"&amp;Scenarios1[[#This Row],[Reference '#]]&amp;" DD")))</f>
        <v>-0.16409827380704267</v>
      </c>
      <c r="L50" s="69">
        <f>SUM(Scenarios1[[#This Row],[SPY]:[VNQ]])</f>
        <v>0.85</v>
      </c>
      <c r="M50" s="69">
        <f>SUM(Scenarios1[[#This Row],[SPY]:[PE]])</f>
        <v>1</v>
      </c>
      <c r="N50" s="71" t="b">
        <f>Scenarios1[[#This Row],[SPY]]&gt;=SpyMin</f>
        <v>1</v>
      </c>
      <c r="O50" s="71" t="b">
        <f>Scenarios1[[#This Row],[AGG]]&gt;=AGGMin</f>
        <v>1</v>
      </c>
      <c r="P50" s="71" t="b">
        <f>AND(Scenarios1[[#This Row],[GLD]]&gt;=GLDMin,Scenarios1[[#This Row],[GLD]]&lt;=GLDMax)</f>
        <v>1</v>
      </c>
      <c r="Q50" s="71" t="b">
        <f>Scenarios1[[#This Row],[VNQ]]&gt;=VNQMin</f>
        <v>1</v>
      </c>
      <c r="R50" s="71" t="b">
        <f>AND(Scenarios1[[#This Row],[PE]]&gt;=PEMin,Scenarios1[[#This Row],[PE]]&lt;=PEMax)</f>
        <v>1</v>
      </c>
      <c r="S50" s="71" t="b">
        <f>Scenarios1[[#This Row],[Liquid Assets]]&gt;=LiquidMin</f>
        <v>1</v>
      </c>
      <c r="T50" s="71" t="b">
        <f>AND(Scenarios1[[#This Row],[Expected Return]]&gt;=ExpectedReturnMin,Scenarios1[[#This Row],[Expected Return]]&lt;=ExpectedReturnMax)</f>
        <v>1</v>
      </c>
      <c r="U50" s="71" t="b">
        <f>Scenarios1[[#This Row],[Max Drawdown]]&gt;=DrawdownMax</f>
        <v>1</v>
      </c>
      <c r="V5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0" s="46">
        <f>_xlfn.XLOOKUP(Scenarios1[[#This Row],[Reference '#]],ScenariosCombined[Reference '#],ScenariosCombined[Sharpe Rank])</f>
        <v>23</v>
      </c>
      <c r="X50" s="71">
        <f>IF(Scenarios1[[#This Row],[Eligible]],COUNTIFS(Scenarios1[Sharpe],"&gt;"&amp;Scenarios1[[#This Row],[Sharpe]],Scenarios1[Eligible],TRUE())+COUNTIFS(Scenarios1[Sharpe],Scenarios1[[#This Row],[Sharpe]],Scenarios1[Eligible],TRUE()),"")</f>
        <v>28</v>
      </c>
      <c r="Y5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35/25/15/10/15</v>
      </c>
      <c r="Z50" s="139">
        <f>Scenarios1[[#This Row],[Sharpe Rank]]</f>
        <v>28</v>
      </c>
      <c r="AA50" s="139">
        <f>_xlfn.XLOOKUP(Scenarios1[[#This Row],[Reference '#]],Scenarios2[Reference '#],Scenarios2[Sharpe Rank])</f>
        <v>24</v>
      </c>
      <c r="AB50" s="139">
        <f>_xlfn.XLOOKUP(Scenarios1[[#This Row],[Reference '#]],Scenarios3[Reference '#],Scenarios3[Sharpe Rank])</f>
        <v>13</v>
      </c>
      <c r="AF50" s="34"/>
      <c r="AG50" s="34"/>
      <c r="AK50" s="15"/>
    </row>
    <row r="51" spans="2:37" x14ac:dyDescent="0.2">
      <c r="B51" s="71">
        <v>41</v>
      </c>
      <c r="C51" s="69">
        <v>0.35</v>
      </c>
      <c r="D51" s="69">
        <v>0.25</v>
      </c>
      <c r="E51" s="69">
        <v>0.1</v>
      </c>
      <c r="F51" s="69">
        <v>0.2</v>
      </c>
      <c r="G51" s="69">
        <v>0.1</v>
      </c>
      <c r="H51" s="69">
        <f>SUMPRODUCT(Scenarios1[[#This Row],[SPY]:[PE]],_xlfn.TOROW(AssetSpecsScenario1[Annualized Return]))</f>
        <v>8.3757920940804531E-2</v>
      </c>
      <c r="I51" s="69" cm="1">
        <f t="array" ref="I51">SQRT(MMULT(MMULT(Scenarios1[[#This Row],[SPY]:[PE]], 'Corr_Cov 36- Month'!$J$13:$N$17), TRANSPOSE(Scenarios1[[#This Row],[SPY]:[PE]])))</f>
        <v>8.7821878349556792E-2</v>
      </c>
      <c r="J51" s="70">
        <f>(Scenarios1[[#This Row],[Expected Return]]-RiskFree)/Scenarios1[[#This Row],[36M Vol]]</f>
        <v>0.41848758049746787</v>
      </c>
      <c r="K51" s="107" cm="1">
        <f t="array" ref="K51">MIN(_xlfn._xlws.FILTER(PortfolioFrontier[#Data],(PortfolioFrontier[#Headers]="P"&amp;Scenarios1[[#This Row],[Reference '#]]&amp;" DD")))</f>
        <v>-0.1887362491709641</v>
      </c>
      <c r="L51" s="69">
        <f>SUM(Scenarios1[[#This Row],[SPY]:[VNQ]])</f>
        <v>0.89999999999999991</v>
      </c>
      <c r="M51" s="69">
        <f>SUM(Scenarios1[[#This Row],[SPY]:[PE]])</f>
        <v>0.99999999999999989</v>
      </c>
      <c r="N51" s="71" t="b">
        <f>Scenarios1[[#This Row],[SPY]]&gt;=SpyMin</f>
        <v>1</v>
      </c>
      <c r="O51" s="71" t="b">
        <f>Scenarios1[[#This Row],[AGG]]&gt;=AGGMin</f>
        <v>1</v>
      </c>
      <c r="P51" s="71" t="b">
        <f>AND(Scenarios1[[#This Row],[GLD]]&gt;=GLDMin,Scenarios1[[#This Row],[GLD]]&lt;=GLDMax)</f>
        <v>1</v>
      </c>
      <c r="Q51" s="71" t="b">
        <f>Scenarios1[[#This Row],[VNQ]]&gt;=VNQMin</f>
        <v>1</v>
      </c>
      <c r="R51" s="71" t="b">
        <f>AND(Scenarios1[[#This Row],[PE]]&gt;=PEMin,Scenarios1[[#This Row],[PE]]&lt;=PEMax)</f>
        <v>1</v>
      </c>
      <c r="S51" s="71" t="b">
        <f>Scenarios1[[#This Row],[Liquid Assets]]&gt;=LiquidMin</f>
        <v>1</v>
      </c>
      <c r="T51" s="71" t="b">
        <f>AND(Scenarios1[[#This Row],[Expected Return]]&gt;=ExpectedReturnMin,Scenarios1[[#This Row],[Expected Return]]&lt;=ExpectedReturnMax)</f>
        <v>1</v>
      </c>
      <c r="U51" s="71" t="b">
        <f>Scenarios1[[#This Row],[Max Drawdown]]&gt;=DrawdownMax</f>
        <v>1</v>
      </c>
      <c r="V5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1" s="46">
        <f>_xlfn.XLOOKUP(Scenarios1[[#This Row],[Reference '#]],ScenariosCombined[Reference '#],ScenariosCombined[Sharpe Rank])</f>
        <v>81</v>
      </c>
      <c r="X51" s="71">
        <f>IF(Scenarios1[[#This Row],[Eligible]],COUNTIFS(Scenarios1[Sharpe],"&gt;"&amp;Scenarios1[[#This Row],[Sharpe]],Scenarios1[Eligible],TRUE())+COUNTIFS(Scenarios1[Sharpe],Scenarios1[[#This Row],[Sharpe]],Scenarios1[Eligible],TRUE()),"")</f>
        <v>78</v>
      </c>
      <c r="Y5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35/25/10/20/10</v>
      </c>
      <c r="Z51">
        <f>Scenarios1[[#This Row],[Sharpe Rank]]</f>
        <v>78</v>
      </c>
      <c r="AA51">
        <f>_xlfn.XLOOKUP(Scenarios1[[#This Row],[Reference '#]],Scenarios2[Reference '#],Scenarios2[Sharpe Rank])</f>
        <v>78</v>
      </c>
      <c r="AB51">
        <f>_xlfn.XLOOKUP(Scenarios1[[#This Row],[Reference '#]],Scenarios3[Reference '#],Scenarios3[Sharpe Rank])</f>
        <v>77</v>
      </c>
      <c r="AF51" s="34"/>
      <c r="AG51" s="34"/>
      <c r="AK51" s="15"/>
    </row>
    <row r="52" spans="2:37" x14ac:dyDescent="0.2">
      <c r="B52" s="71">
        <v>42</v>
      </c>
      <c r="C52" s="69">
        <v>0.35</v>
      </c>
      <c r="D52" s="69">
        <v>0.25</v>
      </c>
      <c r="E52" s="69">
        <v>0.1</v>
      </c>
      <c r="F52" s="69">
        <v>0.15</v>
      </c>
      <c r="G52" s="69">
        <v>0.15</v>
      </c>
      <c r="H52" s="69">
        <f>SUMPRODUCT(Scenarios1[[#This Row],[SPY]:[PE]],_xlfn.TOROW(AssetSpecsScenario1[Annualized Return]))</f>
        <v>8.3648446902002141E-2</v>
      </c>
      <c r="I52" s="69" cm="1">
        <f t="array" ref="I52">SQRT(MMULT(MMULT(Scenarios1[[#This Row],[SPY]:[PE]], 'Corr_Cov 36- Month'!$J$13:$N$17), TRANSPOSE(Scenarios1[[#This Row],[SPY]:[PE]])))</f>
        <v>8.0170513170688407E-2</v>
      </c>
      <c r="J52" s="70">
        <f>(Scenarios1[[#This Row],[Expected Return]]-RiskFree)/Scenarios1[[#This Row],[36M Vol]]</f>
        <v>0.4570619532948656</v>
      </c>
      <c r="K52" s="107" cm="1">
        <f t="array" ref="K52">MIN(_xlfn._xlws.FILTER(PortfolioFrontier[#Data],(PortfolioFrontier[#Headers]="P"&amp;Scenarios1[[#This Row],[Reference '#]]&amp;" DD")))</f>
        <v>-0.17433777288872498</v>
      </c>
      <c r="L52" s="69">
        <f>SUM(Scenarios1[[#This Row],[SPY]:[VNQ]])</f>
        <v>0.85</v>
      </c>
      <c r="M52" s="69">
        <f>SUM(Scenarios1[[#This Row],[SPY]:[PE]])</f>
        <v>1</v>
      </c>
      <c r="N52" s="71" t="b">
        <f>Scenarios1[[#This Row],[SPY]]&gt;=SpyMin</f>
        <v>1</v>
      </c>
      <c r="O52" s="71" t="b">
        <f>Scenarios1[[#This Row],[AGG]]&gt;=AGGMin</f>
        <v>1</v>
      </c>
      <c r="P52" s="71" t="b">
        <f>AND(Scenarios1[[#This Row],[GLD]]&gt;=GLDMin,Scenarios1[[#This Row],[GLD]]&lt;=GLDMax)</f>
        <v>1</v>
      </c>
      <c r="Q52" s="71" t="b">
        <f>Scenarios1[[#This Row],[VNQ]]&gt;=VNQMin</f>
        <v>1</v>
      </c>
      <c r="R52" s="71" t="b">
        <f>AND(Scenarios1[[#This Row],[PE]]&gt;=PEMin,Scenarios1[[#This Row],[PE]]&lt;=PEMax)</f>
        <v>1</v>
      </c>
      <c r="S52" s="71" t="b">
        <f>Scenarios1[[#This Row],[Liquid Assets]]&gt;=LiquidMin</f>
        <v>1</v>
      </c>
      <c r="T52" s="71" t="b">
        <f>AND(Scenarios1[[#This Row],[Expected Return]]&gt;=ExpectedReturnMin,Scenarios1[[#This Row],[Expected Return]]&lt;=ExpectedReturnMax)</f>
        <v>1</v>
      </c>
      <c r="U52" s="71" t="b">
        <f>Scenarios1[[#This Row],[Max Drawdown]]&gt;=DrawdownMax</f>
        <v>1</v>
      </c>
      <c r="V5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2" s="46">
        <f>_xlfn.XLOOKUP(Scenarios1[[#This Row],[Reference '#]],ScenariosCombined[Reference '#],ScenariosCombined[Sharpe Rank])</f>
        <v>60</v>
      </c>
      <c r="X52" s="71">
        <f>IF(Scenarios1[[#This Row],[Eligible]],COUNTIFS(Scenarios1[Sharpe],"&gt;"&amp;Scenarios1[[#This Row],[Sharpe]],Scenarios1[Eligible],TRUE())+COUNTIFS(Scenarios1[Sharpe],Scenarios1[[#This Row],[Sharpe]],Scenarios1[Eligible],TRUE()),"")</f>
        <v>61</v>
      </c>
      <c r="Y5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35/25/10/15/15</v>
      </c>
      <c r="Z52">
        <f>Scenarios1[[#This Row],[Sharpe Rank]]</f>
        <v>61</v>
      </c>
      <c r="AA52">
        <f>_xlfn.XLOOKUP(Scenarios1[[#This Row],[Reference '#]],Scenarios2[Reference '#],Scenarios2[Sharpe Rank])</f>
        <v>60</v>
      </c>
      <c r="AB52">
        <f>_xlfn.XLOOKUP(Scenarios1[[#This Row],[Reference '#]],Scenarios3[Reference '#],Scenarios3[Sharpe Rank])</f>
        <v>51</v>
      </c>
      <c r="AF52" s="34"/>
      <c r="AG52" s="34"/>
      <c r="AK52" s="15"/>
    </row>
    <row r="53" spans="2:37" x14ac:dyDescent="0.2">
      <c r="B53" s="71">
        <v>43</v>
      </c>
      <c r="C53" s="69">
        <v>0.35</v>
      </c>
      <c r="D53" s="69">
        <v>0.25</v>
      </c>
      <c r="E53" s="69">
        <v>0.1</v>
      </c>
      <c r="F53" s="69">
        <v>0.1</v>
      </c>
      <c r="G53" s="69">
        <v>0.2</v>
      </c>
      <c r="H53" s="69">
        <f>SUMPRODUCT(Scenarios1[[#This Row],[SPY]:[PE]],_xlfn.TOROW(AssetSpecsScenario1[Annualized Return]))</f>
        <v>8.3538972863199737E-2</v>
      </c>
      <c r="I53" s="69" cm="1">
        <f t="array" ref="I53">SQRT(MMULT(MMULT(Scenarios1[[#This Row],[SPY]:[PE]], 'Corr_Cov 36- Month'!$J$13:$N$17), TRANSPOSE(Scenarios1[[#This Row],[SPY]:[PE]])))</f>
        <v>7.2979750537878502E-2</v>
      </c>
      <c r="J53" s="70">
        <f>(Scenarios1[[#This Row],[Expected Return]]-RiskFree)/Scenarios1[[#This Row],[36M Vol]]</f>
        <v>0.5005966317832552</v>
      </c>
      <c r="K53" s="107" cm="1">
        <f t="array" ref="K53">MIN(_xlfn._xlws.FILTER(PortfolioFrontier[#Data],(PortfolioFrontier[#Headers]="P"&amp;Scenarios1[[#This Row],[Reference '#]]&amp;" DD")))</f>
        <v>-0.15982311456934162</v>
      </c>
      <c r="L53" s="69">
        <f>SUM(Scenarios1[[#This Row],[SPY]:[VNQ]])</f>
        <v>0.79999999999999993</v>
      </c>
      <c r="M53" s="69">
        <f>SUM(Scenarios1[[#This Row],[SPY]:[PE]])</f>
        <v>1</v>
      </c>
      <c r="N53" s="71" t="b">
        <f>Scenarios1[[#This Row],[SPY]]&gt;=SpyMin</f>
        <v>1</v>
      </c>
      <c r="O53" s="71" t="b">
        <f>Scenarios1[[#This Row],[AGG]]&gt;=AGGMin</f>
        <v>1</v>
      </c>
      <c r="P53" s="71" t="b">
        <f>AND(Scenarios1[[#This Row],[GLD]]&gt;=GLDMin,Scenarios1[[#This Row],[GLD]]&lt;=GLDMax)</f>
        <v>1</v>
      </c>
      <c r="Q53" s="71" t="b">
        <f>Scenarios1[[#This Row],[VNQ]]&gt;=VNQMin</f>
        <v>1</v>
      </c>
      <c r="R53" s="71" t="b">
        <f>AND(Scenarios1[[#This Row],[PE]]&gt;=PEMin,Scenarios1[[#This Row],[PE]]&lt;=PEMax)</f>
        <v>1</v>
      </c>
      <c r="S53" s="71" t="b">
        <f>Scenarios1[[#This Row],[Liquid Assets]]&gt;=LiquidMin</f>
        <v>1</v>
      </c>
      <c r="T53" s="71" t="b">
        <f>AND(Scenarios1[[#This Row],[Expected Return]]&gt;=ExpectedReturnMin,Scenarios1[[#This Row],[Expected Return]]&lt;=ExpectedReturnMax)</f>
        <v>1</v>
      </c>
      <c r="U53" s="71" t="b">
        <f>Scenarios1[[#This Row],[Max Drawdown]]&gt;=DrawdownMax</f>
        <v>1</v>
      </c>
      <c r="V5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3" s="46">
        <f>_xlfn.XLOOKUP(Scenarios1[[#This Row],[Reference '#]],ScenariosCombined[Reference '#],ScenariosCombined[Sharpe Rank])</f>
        <v>36</v>
      </c>
      <c r="X53" s="71">
        <f>IF(Scenarios1[[#This Row],[Eligible]],COUNTIFS(Scenarios1[Sharpe],"&gt;"&amp;Scenarios1[[#This Row],[Sharpe]],Scenarios1[Eligible],TRUE())+COUNTIFS(Scenarios1[Sharpe],Scenarios1[[#This Row],[Sharpe]],Scenarios1[Eligible],TRUE()),"")</f>
        <v>42</v>
      </c>
      <c r="Y5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35/25/10/10/20</v>
      </c>
      <c r="Z53">
        <f>Scenarios1[[#This Row],[Sharpe Rank]]</f>
        <v>42</v>
      </c>
      <c r="AA53">
        <f>_xlfn.XLOOKUP(Scenarios1[[#This Row],[Reference '#]],Scenarios2[Reference '#],Scenarios2[Sharpe Rank])</f>
        <v>38</v>
      </c>
      <c r="AB53">
        <f>_xlfn.XLOOKUP(Scenarios1[[#This Row],[Reference '#]],Scenarios3[Reference '#],Scenarios3[Sharpe Rank])</f>
        <v>21</v>
      </c>
      <c r="AF53" s="34"/>
      <c r="AG53" s="34"/>
      <c r="AK53" s="15"/>
    </row>
    <row r="54" spans="2:37" x14ac:dyDescent="0.2">
      <c r="B54" s="71">
        <v>44</v>
      </c>
      <c r="C54" s="69">
        <v>0.35</v>
      </c>
      <c r="D54" s="69">
        <v>0.2</v>
      </c>
      <c r="E54" s="69">
        <v>0.2</v>
      </c>
      <c r="F54" s="69">
        <v>0.15</v>
      </c>
      <c r="G54" s="69">
        <v>0.1</v>
      </c>
      <c r="H54" s="69">
        <f>SUMPRODUCT(Scenarios1[[#This Row],[SPY]:[PE]],_xlfn.TOROW(AssetSpecsScenario1[Annualized Return]))</f>
        <v>9.3325098089120054E-2</v>
      </c>
      <c r="I54" s="69" cm="1">
        <f t="array" ref="I54">SQRT(MMULT(MMULT(Scenarios1[[#This Row],[SPY]:[PE]], 'Corr_Cov 36- Month'!$J$13:$N$17), TRANSPOSE(Scenarios1[[#This Row],[SPY]:[PE]])))</f>
        <v>8.2362815694284067E-2</v>
      </c>
      <c r="J54" s="70">
        <f>(Scenarios1[[#This Row],[Expected Return]]-RiskFree)/Scenarios1[[#This Row],[36M Vol]]</f>
        <v>0.56238415531463004</v>
      </c>
      <c r="K54" s="121" cm="1">
        <f t="array" ref="K54">MIN(_xlfn._xlws.FILTER(PortfolioFrontier[#Data],(PortfolioFrontier[#Headers]="P"&amp;Scenarios1[[#This Row],[Reference '#]]&amp;" DD")))</f>
        <v>-0.17612917157273245</v>
      </c>
      <c r="L54" s="69">
        <f>SUM(Scenarios1[[#This Row],[SPY]:[VNQ]])</f>
        <v>0.9</v>
      </c>
      <c r="M54" s="69">
        <f>SUM(Scenarios1[[#This Row],[SPY]:[PE]])</f>
        <v>1</v>
      </c>
      <c r="N54" s="71" t="b">
        <f>Scenarios1[[#This Row],[SPY]]&gt;=SpyMin</f>
        <v>1</v>
      </c>
      <c r="O54" s="71" t="b">
        <f>Scenarios1[[#This Row],[AGG]]&gt;=AGGMin</f>
        <v>1</v>
      </c>
      <c r="P54" s="71" t="b">
        <f>AND(Scenarios1[[#This Row],[GLD]]&gt;=GLDMin,Scenarios1[[#This Row],[GLD]]&lt;=GLDMax)</f>
        <v>1</v>
      </c>
      <c r="Q54" s="71" t="b">
        <f>Scenarios1[[#This Row],[VNQ]]&gt;=VNQMin</f>
        <v>1</v>
      </c>
      <c r="R54" s="71" t="b">
        <f>AND(Scenarios1[[#This Row],[PE]]&gt;=PEMin,Scenarios1[[#This Row],[PE]]&lt;=PEMax)</f>
        <v>1</v>
      </c>
      <c r="S54" s="71" t="b">
        <f>Scenarios1[[#This Row],[Liquid Assets]]&gt;=LiquidMin</f>
        <v>1</v>
      </c>
      <c r="T54" s="71" t="b">
        <f>AND(Scenarios1[[#This Row],[Expected Return]]&gt;=ExpectedReturnMin,Scenarios1[[#This Row],[Expected Return]]&lt;=ExpectedReturnMax)</f>
        <v>1</v>
      </c>
      <c r="U54" s="71" t="b">
        <f>Scenarios1[[#This Row],[Max Drawdown]]&gt;=DrawdownMax</f>
        <v>1</v>
      </c>
      <c r="V5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4" s="46">
        <f>_xlfn.XLOOKUP(Scenarios1[[#This Row],[Reference '#]],ScenariosCombined[Reference '#],ScenariosCombined[Sharpe Rank])</f>
        <v>20</v>
      </c>
      <c r="X54" s="71">
        <f>IF(Scenarios1[[#This Row],[Eligible]],COUNTIFS(Scenarios1[Sharpe],"&gt;"&amp;Scenarios1[[#This Row],[Sharpe]],Scenarios1[Eligible],TRUE())+COUNTIFS(Scenarios1[Sharpe],Scenarios1[[#This Row],[Sharpe]],Scenarios1[Eligible],TRUE()),"")</f>
        <v>20</v>
      </c>
      <c r="Y5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35/20/20/15/10</v>
      </c>
      <c r="Z54" s="139">
        <f>Scenarios1[[#This Row],[Sharpe Rank]]</f>
        <v>20</v>
      </c>
      <c r="AA54" s="139">
        <f>_xlfn.XLOOKUP(Scenarios1[[#This Row],[Reference '#]],Scenarios2[Reference '#],Scenarios2[Sharpe Rank])</f>
        <v>19</v>
      </c>
      <c r="AB54" s="139">
        <f>_xlfn.XLOOKUP(Scenarios1[[#This Row],[Reference '#]],Scenarios3[Reference '#],Scenarios3[Sharpe Rank])</f>
        <v>15</v>
      </c>
      <c r="AF54" s="34"/>
      <c r="AG54" s="34"/>
      <c r="AK54" s="15"/>
    </row>
    <row r="55" spans="2:37" x14ac:dyDescent="0.2">
      <c r="B55" s="143">
        <v>45</v>
      </c>
      <c r="C55" s="142">
        <v>0.35</v>
      </c>
      <c r="D55" s="142">
        <v>0.2</v>
      </c>
      <c r="E55" s="142">
        <v>0.2</v>
      </c>
      <c r="F55" s="142">
        <v>0.1</v>
      </c>
      <c r="G55" s="142">
        <v>0.15</v>
      </c>
      <c r="H55" s="142">
        <f>SUMPRODUCT(Scenarios1[[#This Row],[SPY]:[PE]],_xlfn.TOROW(AssetSpecsScenario1[Annualized Return]))</f>
        <v>9.321562405031765E-2</v>
      </c>
      <c r="I55" s="142" cm="1">
        <f t="array" ref="I55">SQRT(MMULT(MMULT(Scenarios1[[#This Row],[SPY]:[PE]], 'Corr_Cov 36- Month'!$J$13:$N$17), TRANSPOSE(Scenarios1[[#This Row],[SPY]:[PE]])))</f>
        <v>7.5127128613537944E-2</v>
      </c>
      <c r="J55" s="70">
        <f>(Scenarios1[[#This Row],[Expected Return]]-RiskFree)/Scenarios1[[#This Row],[36M Vol]]</f>
        <v>0.61509163663730149</v>
      </c>
      <c r="K55" s="142" cm="1">
        <f t="array" ref="K55">MIN(_xlfn._xlws.FILTER(PortfolioFrontier[#Data],(PortfolioFrontier[#Headers]="P"&amp;Scenarios1[[#This Row],[Reference '#]]&amp;" DD")))</f>
        <v>-0.16162825703486428</v>
      </c>
      <c r="L55" s="142">
        <f>SUM(Scenarios1[[#This Row],[SPY]:[VNQ]])</f>
        <v>0.85</v>
      </c>
      <c r="M55" s="142">
        <f>SUM(Scenarios1[[#This Row],[SPY]:[PE]])</f>
        <v>1</v>
      </c>
      <c r="N55" s="143" t="b">
        <f>Scenarios1[[#This Row],[SPY]]&gt;=SpyMin</f>
        <v>1</v>
      </c>
      <c r="O55" s="143" t="b">
        <f>Scenarios1[[#This Row],[AGG]]&gt;=AGGMin</f>
        <v>1</v>
      </c>
      <c r="P55" s="143" t="b">
        <f>AND(Scenarios1[[#This Row],[GLD]]&gt;=GLDMin,Scenarios1[[#This Row],[GLD]]&lt;=GLDMax)</f>
        <v>1</v>
      </c>
      <c r="Q55" s="143" t="b">
        <f>Scenarios1[[#This Row],[VNQ]]&gt;=VNQMin</f>
        <v>1</v>
      </c>
      <c r="R55" s="143" t="b">
        <f>AND(Scenarios1[[#This Row],[PE]]&gt;=PEMin,Scenarios1[[#This Row],[PE]]&lt;=PEMax)</f>
        <v>1</v>
      </c>
      <c r="S55" s="143" t="b">
        <f>Scenarios1[[#This Row],[Liquid Assets]]&gt;=LiquidMin</f>
        <v>1</v>
      </c>
      <c r="T55" s="143" t="b">
        <f>AND(Scenarios1[[#This Row],[Expected Return]]&gt;=ExpectedReturnMin,Scenarios1[[#This Row],[Expected Return]]&lt;=ExpectedReturnMax)</f>
        <v>1</v>
      </c>
      <c r="U55" s="143" t="b">
        <f>Scenarios1[[#This Row],[Max Drawdown]]&gt;=DrawdownMax</f>
        <v>1</v>
      </c>
      <c r="V55" s="143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5" s="46">
        <f>_xlfn.XLOOKUP(Scenarios1[[#This Row],[Reference '#]],ScenariosCombined[Reference '#],ScenariosCombined[Sharpe Rank])</f>
        <v>5</v>
      </c>
      <c r="X55" s="143">
        <f>IF(Scenarios1[[#This Row],[Eligible]],COUNTIFS(Scenarios1[Sharpe],"&gt;"&amp;Scenarios1[[#This Row],[Sharpe]],Scenarios1[Eligible],TRUE())+COUNTIFS(Scenarios1[Sharpe],Scenarios1[[#This Row],[Sharpe]],Scenarios1[Eligible],TRUE()),"")</f>
        <v>7</v>
      </c>
      <c r="Y55" s="146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35/20/20/10/15</v>
      </c>
      <c r="Z55" s="147">
        <f>Scenarios1[[#This Row],[Sharpe Rank]]</f>
        <v>7</v>
      </c>
      <c r="AA55" s="147">
        <f>_xlfn.XLOOKUP(Scenarios1[[#This Row],[Reference '#]],Scenarios2[Reference '#],Scenarios2[Sharpe Rank])</f>
        <v>5</v>
      </c>
      <c r="AB55" s="147">
        <f>_xlfn.XLOOKUP(Scenarios1[[#This Row],[Reference '#]],Scenarios3[Reference '#],Scenarios3[Sharpe Rank])</f>
        <v>1</v>
      </c>
      <c r="AF55" s="34"/>
      <c r="AG55" s="34"/>
      <c r="AK55" s="15"/>
    </row>
    <row r="56" spans="2:37" x14ac:dyDescent="0.2">
      <c r="B56" s="71">
        <v>46</v>
      </c>
      <c r="C56" s="69">
        <v>0.35</v>
      </c>
      <c r="D56" s="69">
        <v>0.2</v>
      </c>
      <c r="E56" s="69">
        <v>0.15</v>
      </c>
      <c r="F56" s="69">
        <v>0.2</v>
      </c>
      <c r="G56" s="69">
        <v>0.1</v>
      </c>
      <c r="H56" s="69">
        <f>SUMPRODUCT(Scenarios1[[#This Row],[SPY]:[PE]],_xlfn.TOROW(AssetSpecsScenario1[Annualized Return]))</f>
        <v>8.9333379188044029E-2</v>
      </c>
      <c r="I56" s="69" cm="1">
        <f t="array" ref="I56">SQRT(MMULT(MMULT(Scenarios1[[#This Row],[SPY]:[PE]], 'Corr_Cov 36- Month'!$J$13:$N$17), TRANSPOSE(Scenarios1[[#This Row],[SPY]:[PE]])))</f>
        <v>8.7430987481754693E-2</v>
      </c>
      <c r="J56" s="70">
        <f>(Scenarios1[[#This Row],[Expected Return]]-RiskFree)/Scenarios1[[#This Row],[36M Vol]]</f>
        <v>0.48412839488198106</v>
      </c>
      <c r="K56" s="107" cm="1">
        <f t="array" ref="K56">MIN(_xlfn._xlws.FILTER(PortfolioFrontier[#Data],(PortfolioFrontier[#Headers]="P"&amp;Scenarios1[[#This Row],[Reference '#]]&amp;" DD")))</f>
        <v>-0.18630131001666095</v>
      </c>
      <c r="L56" s="69">
        <f>SUM(Scenarios1[[#This Row],[SPY]:[VNQ]])</f>
        <v>0.90000000000000013</v>
      </c>
      <c r="M56" s="69">
        <f>SUM(Scenarios1[[#This Row],[SPY]:[PE]])</f>
        <v>1.0000000000000002</v>
      </c>
      <c r="N56" s="71" t="b">
        <f>Scenarios1[[#This Row],[SPY]]&gt;=SpyMin</f>
        <v>1</v>
      </c>
      <c r="O56" s="71" t="b">
        <f>Scenarios1[[#This Row],[AGG]]&gt;=AGGMin</f>
        <v>1</v>
      </c>
      <c r="P56" s="71" t="b">
        <f>AND(Scenarios1[[#This Row],[GLD]]&gt;=GLDMin,Scenarios1[[#This Row],[GLD]]&lt;=GLDMax)</f>
        <v>1</v>
      </c>
      <c r="Q56" s="71" t="b">
        <f>Scenarios1[[#This Row],[VNQ]]&gt;=VNQMin</f>
        <v>1</v>
      </c>
      <c r="R56" s="71" t="b">
        <f>AND(Scenarios1[[#This Row],[PE]]&gt;=PEMin,Scenarios1[[#This Row],[PE]]&lt;=PEMax)</f>
        <v>1</v>
      </c>
      <c r="S56" s="71" t="b">
        <f>Scenarios1[[#This Row],[Liquid Assets]]&gt;=LiquidMin</f>
        <v>1</v>
      </c>
      <c r="T56" s="71" t="b">
        <f>AND(Scenarios1[[#This Row],[Expected Return]]&gt;=ExpectedReturnMin,Scenarios1[[#This Row],[Expected Return]]&lt;=ExpectedReturnMax)</f>
        <v>1</v>
      </c>
      <c r="U56" s="71" t="b">
        <f>Scenarios1[[#This Row],[Max Drawdown]]&gt;=DrawdownMax</f>
        <v>1</v>
      </c>
      <c r="V5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6" s="46">
        <f>_xlfn.XLOOKUP(Scenarios1[[#This Row],[Reference '#]],ScenariosCombined[Reference '#],ScenariosCombined[Sharpe Rank])</f>
        <v>51</v>
      </c>
      <c r="X56" s="71">
        <f>IF(Scenarios1[[#This Row],[Eligible]],COUNTIFS(Scenarios1[Sharpe],"&gt;"&amp;Scenarios1[[#This Row],[Sharpe]],Scenarios1[Eligible],TRUE())+COUNTIFS(Scenarios1[Sharpe],Scenarios1[[#This Row],[Sharpe]],Scenarios1[Eligible],TRUE()),"")</f>
        <v>50</v>
      </c>
      <c r="Y5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35/20/15/20/10</v>
      </c>
      <c r="Z56">
        <f>Scenarios1[[#This Row],[Sharpe Rank]]</f>
        <v>50</v>
      </c>
      <c r="AA56">
        <f>_xlfn.XLOOKUP(Scenarios1[[#This Row],[Reference '#]],Scenarios2[Reference '#],Scenarios2[Sharpe Rank])</f>
        <v>50</v>
      </c>
      <c r="AB56">
        <f>_xlfn.XLOOKUP(Scenarios1[[#This Row],[Reference '#]],Scenarios3[Reference '#],Scenarios3[Sharpe Rank])</f>
        <v>49</v>
      </c>
      <c r="AF56" s="34"/>
      <c r="AG56" s="34"/>
      <c r="AK56" s="15"/>
    </row>
    <row r="57" spans="2:37" x14ac:dyDescent="0.2">
      <c r="B57" s="71">
        <v>47</v>
      </c>
      <c r="C57" s="69">
        <v>0.35</v>
      </c>
      <c r="D57" s="69">
        <v>0.2</v>
      </c>
      <c r="E57" s="69">
        <v>0.15</v>
      </c>
      <c r="F57" s="69">
        <v>0.15</v>
      </c>
      <c r="G57" s="69">
        <v>0.15</v>
      </c>
      <c r="H57" s="69">
        <f>SUMPRODUCT(Scenarios1[[#This Row],[SPY]:[PE]],_xlfn.TOROW(AssetSpecsScenario1[Annualized Return]))</f>
        <v>8.9223905149241639E-2</v>
      </c>
      <c r="I57" s="69" cm="1">
        <f t="array" ref="I57">SQRT(MMULT(MMULT(Scenarios1[[#This Row],[SPY]:[PE]], 'Corr_Cov 36- Month'!$J$13:$N$17), TRANSPOSE(Scenarios1[[#This Row],[SPY]:[PE]])))</f>
        <v>7.9837684410467652E-2</v>
      </c>
      <c r="J57" s="70">
        <f>(Scenarios1[[#This Row],[Expected Return]]-RiskFree)/Scenarios1[[#This Row],[36M Vol]]</f>
        <v>0.5288022805950866</v>
      </c>
      <c r="K57" s="121" cm="1">
        <f t="array" ref="K57">MIN(_xlfn._xlws.FILTER(PortfolioFrontier[#Data],(PortfolioFrontier[#Headers]="P"&amp;Scenarios1[[#This Row],[Reference '#]]&amp;" DD")))</f>
        <v>-0.17187256847840193</v>
      </c>
      <c r="L57" s="69">
        <f>SUM(Scenarios1[[#This Row],[SPY]:[VNQ]])</f>
        <v>0.85000000000000009</v>
      </c>
      <c r="M57" s="69">
        <f>SUM(Scenarios1[[#This Row],[SPY]:[PE]])</f>
        <v>1</v>
      </c>
      <c r="N57" s="71" t="b">
        <f>Scenarios1[[#This Row],[SPY]]&gt;=SpyMin</f>
        <v>1</v>
      </c>
      <c r="O57" s="71" t="b">
        <f>Scenarios1[[#This Row],[AGG]]&gt;=AGGMin</f>
        <v>1</v>
      </c>
      <c r="P57" s="71" t="b">
        <f>AND(Scenarios1[[#This Row],[GLD]]&gt;=GLDMin,Scenarios1[[#This Row],[GLD]]&lt;=GLDMax)</f>
        <v>1</v>
      </c>
      <c r="Q57" s="71" t="b">
        <f>Scenarios1[[#This Row],[VNQ]]&gt;=VNQMin</f>
        <v>1</v>
      </c>
      <c r="R57" s="71" t="b">
        <f>AND(Scenarios1[[#This Row],[PE]]&gt;=PEMin,Scenarios1[[#This Row],[PE]]&lt;=PEMax)</f>
        <v>1</v>
      </c>
      <c r="S57" s="71" t="b">
        <f>Scenarios1[[#This Row],[Liquid Assets]]&gt;=LiquidMin</f>
        <v>1</v>
      </c>
      <c r="T57" s="71" t="b">
        <f>AND(Scenarios1[[#This Row],[Expected Return]]&gt;=ExpectedReturnMin,Scenarios1[[#This Row],[Expected Return]]&lt;=ExpectedReturnMax)</f>
        <v>1</v>
      </c>
      <c r="U57" s="71" t="b">
        <f>Scenarios1[[#This Row],[Max Drawdown]]&gt;=DrawdownMax</f>
        <v>1</v>
      </c>
      <c r="V5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7" s="46">
        <f>_xlfn.XLOOKUP(Scenarios1[[#This Row],[Reference '#]],ScenariosCombined[Reference '#],ScenariosCombined[Sharpe Rank])</f>
        <v>29</v>
      </c>
      <c r="X57" s="71">
        <f>IF(Scenarios1[[#This Row],[Eligible]],COUNTIFS(Scenarios1[Sharpe],"&gt;"&amp;Scenarios1[[#This Row],[Sharpe]],Scenarios1[Eligible],TRUE())+COUNTIFS(Scenarios1[Sharpe],Scenarios1[[#This Row],[Sharpe]],Scenarios1[Eligible],TRUE()),"")</f>
        <v>32</v>
      </c>
      <c r="Y5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35/20/15/15/15</v>
      </c>
      <c r="Z57">
        <f>Scenarios1[[#This Row],[Sharpe Rank]]</f>
        <v>32</v>
      </c>
      <c r="AA57">
        <f>_xlfn.XLOOKUP(Scenarios1[[#This Row],[Reference '#]],Scenarios2[Reference '#],Scenarios2[Sharpe Rank])</f>
        <v>30</v>
      </c>
      <c r="AB57">
        <f>_xlfn.XLOOKUP(Scenarios1[[#This Row],[Reference '#]],Scenarios3[Reference '#],Scenarios3[Sharpe Rank])</f>
        <v>22</v>
      </c>
      <c r="AF57" s="34"/>
      <c r="AG57" s="34"/>
      <c r="AK57" s="15"/>
    </row>
    <row r="58" spans="2:37" x14ac:dyDescent="0.2">
      <c r="B58" s="143">
        <v>48</v>
      </c>
      <c r="C58" s="142">
        <v>0.35</v>
      </c>
      <c r="D58" s="142">
        <v>0.2</v>
      </c>
      <c r="E58" s="142">
        <v>0.15</v>
      </c>
      <c r="F58" s="142">
        <v>0.1</v>
      </c>
      <c r="G58" s="142">
        <v>0.2</v>
      </c>
      <c r="H58" s="142">
        <f>SUMPRODUCT(Scenarios1[[#This Row],[SPY]:[PE]],_xlfn.TOROW(AssetSpecsScenario1[Annualized Return]))</f>
        <v>8.9114431110439235E-2</v>
      </c>
      <c r="I58" s="142" cm="1">
        <f t="array" ref="I58">SQRT(MMULT(MMULT(Scenarios1[[#This Row],[SPY]:[PE]], 'Corr_Cov 36- Month'!$J$13:$N$17), TRANSPOSE(Scenarios1[[#This Row],[SPY]:[PE]])))</f>
        <v>7.2718897635541749E-2</v>
      </c>
      <c r="J58" s="70">
        <f>(Scenarios1[[#This Row],[Expected Return]]-RiskFree)/Scenarios1[[#This Row],[36M Vol]]</f>
        <v>0.57906372241680881</v>
      </c>
      <c r="K58" s="142" cm="1">
        <f t="array" ref="K58">MIN(_xlfn._xlws.FILTER(PortfolioFrontier[#Data],(PortfolioFrontier[#Headers]="P"&amp;Scenarios1[[#This Row],[Reference '#]]&amp;" DD")))</f>
        <v>-0.15732759310777245</v>
      </c>
      <c r="L58" s="142">
        <f>SUM(Scenarios1[[#This Row],[SPY]:[VNQ]])</f>
        <v>0.8</v>
      </c>
      <c r="M58" s="142">
        <f>SUM(Scenarios1[[#This Row],[SPY]:[PE]])</f>
        <v>1</v>
      </c>
      <c r="N58" s="143" t="b">
        <f>Scenarios1[[#This Row],[SPY]]&gt;=SpyMin</f>
        <v>1</v>
      </c>
      <c r="O58" s="143" t="b">
        <f>Scenarios1[[#This Row],[AGG]]&gt;=AGGMin</f>
        <v>1</v>
      </c>
      <c r="P58" s="143" t="b">
        <f>AND(Scenarios1[[#This Row],[GLD]]&gt;=GLDMin,Scenarios1[[#This Row],[GLD]]&lt;=GLDMax)</f>
        <v>1</v>
      </c>
      <c r="Q58" s="143" t="b">
        <f>Scenarios1[[#This Row],[VNQ]]&gt;=VNQMin</f>
        <v>1</v>
      </c>
      <c r="R58" s="143" t="b">
        <f>AND(Scenarios1[[#This Row],[PE]]&gt;=PEMin,Scenarios1[[#This Row],[PE]]&lt;=PEMax)</f>
        <v>1</v>
      </c>
      <c r="S58" s="143" t="b">
        <f>Scenarios1[[#This Row],[Liquid Assets]]&gt;=LiquidMin</f>
        <v>1</v>
      </c>
      <c r="T58" s="143" t="b">
        <f>AND(Scenarios1[[#This Row],[Expected Return]]&gt;=ExpectedReturnMin,Scenarios1[[#This Row],[Expected Return]]&lt;=ExpectedReturnMax)</f>
        <v>1</v>
      </c>
      <c r="U58" s="143" t="b">
        <f>Scenarios1[[#This Row],[Max Drawdown]]&gt;=DrawdownMax</f>
        <v>1</v>
      </c>
      <c r="V58" s="143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8" s="46">
        <f>_xlfn.XLOOKUP(Scenarios1[[#This Row],[Reference '#]],ScenariosCombined[Reference '#],ScenariosCombined[Sharpe Rank])</f>
        <v>11</v>
      </c>
      <c r="X58" s="143">
        <f>IF(Scenarios1[[#This Row],[Eligible]],COUNTIFS(Scenarios1[Sharpe],"&gt;"&amp;Scenarios1[[#This Row],[Sharpe]],Scenarios1[Eligible],TRUE())+COUNTIFS(Scenarios1[Sharpe],Scenarios1[[#This Row],[Sharpe]],Scenarios1[Eligible],TRUE()),"")</f>
        <v>14</v>
      </c>
      <c r="Y58" s="146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35/20/15/10/20</v>
      </c>
      <c r="Z58" s="147">
        <f>Scenarios1[[#This Row],[Sharpe Rank]]</f>
        <v>14</v>
      </c>
      <c r="AA58" s="147">
        <f>_xlfn.XLOOKUP(Scenarios1[[#This Row],[Reference '#]],Scenarios2[Reference '#],Scenarios2[Sharpe Rank])</f>
        <v>11</v>
      </c>
      <c r="AB58" s="147">
        <f>_xlfn.XLOOKUP(Scenarios1[[#This Row],[Reference '#]],Scenarios3[Reference '#],Scenarios3[Sharpe Rank])</f>
        <v>4</v>
      </c>
      <c r="AF58" s="34"/>
      <c r="AG58" s="34"/>
      <c r="AK58" s="15"/>
    </row>
    <row r="59" spans="2:37" x14ac:dyDescent="0.2">
      <c r="B59" s="71">
        <v>49</v>
      </c>
      <c r="C59" s="69">
        <v>0.35</v>
      </c>
      <c r="D59" s="69">
        <v>0.2</v>
      </c>
      <c r="E59" s="69">
        <v>0.1</v>
      </c>
      <c r="F59" s="69">
        <v>0.25</v>
      </c>
      <c r="G59" s="69">
        <v>0.1</v>
      </c>
      <c r="H59" s="69">
        <f>SUMPRODUCT(Scenarios1[[#This Row],[SPY]:[PE]],_xlfn.TOROW(AssetSpecsScenario1[Annualized Return]))</f>
        <v>8.5341660286967991E-2</v>
      </c>
      <c r="I59" s="69" cm="1">
        <f t="array" ref="I59">SQRT(MMULT(MMULT(Scenarios1[[#This Row],[SPY]:[PE]], 'Corr_Cov 36- Month'!$J$13:$N$17), TRANSPOSE(Scenarios1[[#This Row],[SPY]:[PE]])))</f>
        <v>9.332291975596492E-2</v>
      </c>
      <c r="J59" s="70">
        <f>(Scenarios1[[#This Row],[Expected Return]]-RiskFree)/Scenarios1[[#This Row],[36M Vol]]</f>
        <v>0.41078981274546023</v>
      </c>
      <c r="K59" s="107" cm="1">
        <f t="array" ref="K59">MIN(_xlfn._xlws.FILTER(PortfolioFrontier[#Data],(PortfolioFrontier[#Headers]="P"&amp;Scenarios1[[#This Row],[Reference '#]]&amp;" DD")))</f>
        <v>-0.19644374610144166</v>
      </c>
      <c r="L59" s="69">
        <f>SUM(Scenarios1[[#This Row],[SPY]:[VNQ]])</f>
        <v>0.9</v>
      </c>
      <c r="M59" s="69">
        <f>SUM(Scenarios1[[#This Row],[SPY]:[PE]])</f>
        <v>1</v>
      </c>
      <c r="N59" s="71" t="b">
        <f>Scenarios1[[#This Row],[SPY]]&gt;=SpyMin</f>
        <v>1</v>
      </c>
      <c r="O59" s="71" t="b">
        <f>Scenarios1[[#This Row],[AGG]]&gt;=AGGMin</f>
        <v>1</v>
      </c>
      <c r="P59" s="71" t="b">
        <f>AND(Scenarios1[[#This Row],[GLD]]&gt;=GLDMin,Scenarios1[[#This Row],[GLD]]&lt;=GLDMax)</f>
        <v>1</v>
      </c>
      <c r="Q59" s="71" t="b">
        <f>Scenarios1[[#This Row],[VNQ]]&gt;=VNQMin</f>
        <v>1</v>
      </c>
      <c r="R59" s="71" t="b">
        <f>AND(Scenarios1[[#This Row],[PE]]&gt;=PEMin,Scenarios1[[#This Row],[PE]]&lt;=PEMax)</f>
        <v>1</v>
      </c>
      <c r="S59" s="71" t="b">
        <f>Scenarios1[[#This Row],[Liquid Assets]]&gt;=LiquidMin</f>
        <v>1</v>
      </c>
      <c r="T59" s="71" t="b">
        <f>AND(Scenarios1[[#This Row],[Expected Return]]&gt;=ExpectedReturnMin,Scenarios1[[#This Row],[Expected Return]]&lt;=ExpectedReturnMax)</f>
        <v>1</v>
      </c>
      <c r="U59" s="71" t="b">
        <f>Scenarios1[[#This Row],[Max Drawdown]]&gt;=DrawdownMax</f>
        <v>1</v>
      </c>
      <c r="V5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59" s="46">
        <f>_xlfn.XLOOKUP(Scenarios1[[#This Row],[Reference '#]],ScenariosCombined[Reference '#],ScenariosCombined[Sharpe Rank])</f>
        <v>85</v>
      </c>
      <c r="X59" s="71">
        <f>IF(Scenarios1[[#This Row],[Eligible]],COUNTIFS(Scenarios1[Sharpe],"&gt;"&amp;Scenarios1[[#This Row],[Sharpe]],Scenarios1[Eligible],TRUE())+COUNTIFS(Scenarios1[Sharpe],Scenarios1[[#This Row],[Sharpe]],Scenarios1[Eligible],TRUE()),"")</f>
        <v>83</v>
      </c>
      <c r="Y5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35/20/10/25/10</v>
      </c>
      <c r="Z59">
        <f>Scenarios1[[#This Row],[Sharpe Rank]]</f>
        <v>83</v>
      </c>
      <c r="AA59">
        <f>_xlfn.XLOOKUP(Scenarios1[[#This Row],[Reference '#]],Scenarios2[Reference '#],Scenarios2[Sharpe Rank])</f>
        <v>83</v>
      </c>
      <c r="AB59">
        <f>_xlfn.XLOOKUP(Scenarios1[[#This Row],[Reference '#]],Scenarios3[Reference '#],Scenarios3[Sharpe Rank])</f>
        <v>82</v>
      </c>
      <c r="AF59" s="34"/>
      <c r="AG59" s="34"/>
      <c r="AK59" s="15"/>
    </row>
    <row r="60" spans="2:37" x14ac:dyDescent="0.2">
      <c r="B60" s="71">
        <v>50</v>
      </c>
      <c r="C60" s="69">
        <v>0.35</v>
      </c>
      <c r="D60" s="69">
        <v>0.2</v>
      </c>
      <c r="E60" s="69">
        <v>0.1</v>
      </c>
      <c r="F60" s="69">
        <v>0.2</v>
      </c>
      <c r="G60" s="69">
        <v>0.15</v>
      </c>
      <c r="H60" s="69">
        <f>SUMPRODUCT(Scenarios1[[#This Row],[SPY]:[PE]],_xlfn.TOROW(AssetSpecsScenario1[Annualized Return]))</f>
        <v>8.5232186248165601E-2</v>
      </c>
      <c r="I60" s="69" cm="1">
        <f t="array" ref="I60">SQRT(MMULT(MMULT(Scenarios1[[#This Row],[SPY]:[PE]], 'Corr_Cov 36- Month'!$J$13:$N$17), TRANSPOSE(Scenarios1[[#This Row],[SPY]:[PE]])))</f>
        <v>8.5489600929792478E-2</v>
      </c>
      <c r="J60" s="70">
        <f>(Scenarios1[[#This Row],[Expected Return]]-RiskFree)/Scenarios1[[#This Row],[36M Vol]]</f>
        <v>0.44714948106967195</v>
      </c>
      <c r="K60" s="121" cm="1">
        <f t="array" ref="K60">MIN(_xlfn._xlws.FILTER(PortfolioFrontier[#Data],(PortfolioFrontier[#Headers]="P"&amp;Scenarios1[[#This Row],[Reference '#]]&amp;" DD")))</f>
        <v>-0.18208883977532875</v>
      </c>
      <c r="L60" s="69">
        <f>SUM(Scenarios1[[#This Row],[SPY]:[VNQ]])</f>
        <v>0.85000000000000009</v>
      </c>
      <c r="M60" s="69">
        <f>SUM(Scenarios1[[#This Row],[SPY]:[PE]])</f>
        <v>1</v>
      </c>
      <c r="N60" s="71" t="b">
        <f>Scenarios1[[#This Row],[SPY]]&gt;=SpyMin</f>
        <v>1</v>
      </c>
      <c r="O60" s="71" t="b">
        <f>Scenarios1[[#This Row],[AGG]]&gt;=AGGMin</f>
        <v>1</v>
      </c>
      <c r="P60" s="71" t="b">
        <f>AND(Scenarios1[[#This Row],[GLD]]&gt;=GLDMin,Scenarios1[[#This Row],[GLD]]&lt;=GLDMax)</f>
        <v>1</v>
      </c>
      <c r="Q60" s="71" t="b">
        <f>Scenarios1[[#This Row],[VNQ]]&gt;=VNQMin</f>
        <v>1</v>
      </c>
      <c r="R60" s="71" t="b">
        <f>AND(Scenarios1[[#This Row],[PE]]&gt;=PEMin,Scenarios1[[#This Row],[PE]]&lt;=PEMax)</f>
        <v>1</v>
      </c>
      <c r="S60" s="71" t="b">
        <f>Scenarios1[[#This Row],[Liquid Assets]]&gt;=LiquidMin</f>
        <v>1</v>
      </c>
      <c r="T60" s="71" t="b">
        <f>AND(Scenarios1[[#This Row],[Expected Return]]&gt;=ExpectedReturnMin,Scenarios1[[#This Row],[Expected Return]]&lt;=ExpectedReturnMax)</f>
        <v>1</v>
      </c>
      <c r="U60" s="71" t="b">
        <f>Scenarios1[[#This Row],[Max Drawdown]]&gt;=DrawdownMax</f>
        <v>1</v>
      </c>
      <c r="V6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0" s="46">
        <f>_xlfn.XLOOKUP(Scenarios1[[#This Row],[Reference '#]],ScenariosCombined[Reference '#],ScenariosCombined[Sharpe Rank])</f>
        <v>63</v>
      </c>
      <c r="X60" s="71">
        <f>IF(Scenarios1[[#This Row],[Eligible]],COUNTIFS(Scenarios1[Sharpe],"&gt;"&amp;Scenarios1[[#This Row],[Sharpe]],Scenarios1[Eligible],TRUE())+COUNTIFS(Scenarios1[Sharpe],Scenarios1[[#This Row],[Sharpe]],Scenarios1[Eligible],TRUE()),"")</f>
        <v>65</v>
      </c>
      <c r="Y6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35/20/10/20/15</v>
      </c>
      <c r="Z60">
        <f>Scenarios1[[#This Row],[Sharpe Rank]]</f>
        <v>65</v>
      </c>
      <c r="AA60">
        <f>_xlfn.XLOOKUP(Scenarios1[[#This Row],[Reference '#]],Scenarios2[Reference '#],Scenarios2[Sharpe Rank])</f>
        <v>63</v>
      </c>
      <c r="AB60">
        <f>_xlfn.XLOOKUP(Scenarios1[[#This Row],[Reference '#]],Scenarios3[Reference '#],Scenarios3[Sharpe Rank])</f>
        <v>59</v>
      </c>
      <c r="AF60" s="34"/>
      <c r="AG60" s="34"/>
      <c r="AK60" s="15"/>
    </row>
    <row r="61" spans="2:37" x14ac:dyDescent="0.2">
      <c r="B61" s="71">
        <v>51</v>
      </c>
      <c r="C61" s="69">
        <v>0.35</v>
      </c>
      <c r="D61" s="69">
        <v>0.2</v>
      </c>
      <c r="E61" s="69">
        <v>0.1</v>
      </c>
      <c r="F61" s="69">
        <v>0.15</v>
      </c>
      <c r="G61" s="69">
        <v>0.2</v>
      </c>
      <c r="H61" s="69">
        <f>SUMPRODUCT(Scenarios1[[#This Row],[SPY]:[PE]],_xlfn.TOROW(AssetSpecsScenario1[Annualized Return]))</f>
        <v>8.512271220936321E-2</v>
      </c>
      <c r="I61" s="69" cm="1">
        <f t="array" ref="I61">SQRT(MMULT(MMULT(Scenarios1[[#This Row],[SPY]:[PE]], 'Corr_Cov 36- Month'!$J$13:$N$17), TRANSPOSE(Scenarios1[[#This Row],[SPY]:[PE]])))</f>
        <v>7.8050498549364591E-2</v>
      </c>
      <c r="J61" s="70">
        <f>(Scenarios1[[#This Row],[Expected Return]]-RiskFree)/Scenarios1[[#This Row],[36M Vol]]</f>
        <v>0.48836531940535532</v>
      </c>
      <c r="K61" s="121" cm="1">
        <f t="array" ref="K61">MIN(_xlfn._xlws.FILTER(PortfolioFrontier[#Data],(PortfolioFrontier[#Headers]="P"&amp;Scenarios1[[#This Row],[Reference '#]]&amp;" DD")))</f>
        <v>-0.16761603397906266</v>
      </c>
      <c r="L61" s="69">
        <f>SUM(Scenarios1[[#This Row],[SPY]:[VNQ]])</f>
        <v>0.8</v>
      </c>
      <c r="M61" s="69">
        <f>SUM(Scenarios1[[#This Row],[SPY]:[PE]])</f>
        <v>1</v>
      </c>
      <c r="N61" s="71" t="b">
        <f>Scenarios1[[#This Row],[SPY]]&gt;=SpyMin</f>
        <v>1</v>
      </c>
      <c r="O61" s="71" t="b">
        <f>Scenarios1[[#This Row],[AGG]]&gt;=AGGMin</f>
        <v>1</v>
      </c>
      <c r="P61" s="71" t="b">
        <f>AND(Scenarios1[[#This Row],[GLD]]&gt;=GLDMin,Scenarios1[[#This Row],[GLD]]&lt;=GLDMax)</f>
        <v>1</v>
      </c>
      <c r="Q61" s="71" t="b">
        <f>Scenarios1[[#This Row],[VNQ]]&gt;=VNQMin</f>
        <v>1</v>
      </c>
      <c r="R61" s="71" t="b">
        <f>AND(Scenarios1[[#This Row],[PE]]&gt;=PEMin,Scenarios1[[#This Row],[PE]]&lt;=PEMax)</f>
        <v>1</v>
      </c>
      <c r="S61" s="71" t="b">
        <f>Scenarios1[[#This Row],[Liquid Assets]]&gt;=LiquidMin</f>
        <v>1</v>
      </c>
      <c r="T61" s="71" t="b">
        <f>AND(Scenarios1[[#This Row],[Expected Return]]&gt;=ExpectedReturnMin,Scenarios1[[#This Row],[Expected Return]]&lt;=ExpectedReturnMax)</f>
        <v>1</v>
      </c>
      <c r="U61" s="71" t="b">
        <f>Scenarios1[[#This Row],[Max Drawdown]]&gt;=DrawdownMax</f>
        <v>1</v>
      </c>
      <c r="V6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1" s="46">
        <f>_xlfn.XLOOKUP(Scenarios1[[#This Row],[Reference '#]],ScenariosCombined[Reference '#],ScenariosCombined[Sharpe Rank])</f>
        <v>42</v>
      </c>
      <c r="X61" s="71">
        <f>IF(Scenarios1[[#This Row],[Eligible]],COUNTIFS(Scenarios1[Sharpe],"&gt;"&amp;Scenarios1[[#This Row],[Sharpe]],Scenarios1[Eligible],TRUE())+COUNTIFS(Scenarios1[Sharpe],Scenarios1[[#This Row],[Sharpe]],Scenarios1[Eligible],TRUE()),"")</f>
        <v>48</v>
      </c>
      <c r="Y6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35/20/10/15/20</v>
      </c>
      <c r="Z61">
        <f>Scenarios1[[#This Row],[Sharpe Rank]]</f>
        <v>48</v>
      </c>
      <c r="AA61">
        <f>_xlfn.XLOOKUP(Scenarios1[[#This Row],[Reference '#]],Scenarios2[Reference '#],Scenarios2[Sharpe Rank])</f>
        <v>45</v>
      </c>
      <c r="AB61">
        <f>_xlfn.XLOOKUP(Scenarios1[[#This Row],[Reference '#]],Scenarios3[Reference '#],Scenarios3[Sharpe Rank])</f>
        <v>31</v>
      </c>
      <c r="AF61" s="34"/>
      <c r="AG61" s="34"/>
      <c r="AK61" s="15"/>
    </row>
    <row r="62" spans="2:37" x14ac:dyDescent="0.2">
      <c r="B62" s="71">
        <v>52</v>
      </c>
      <c r="C62" s="69">
        <v>0.35</v>
      </c>
      <c r="D62" s="69">
        <v>0.15</v>
      </c>
      <c r="E62" s="69">
        <v>0.2</v>
      </c>
      <c r="F62" s="69">
        <v>0.2</v>
      </c>
      <c r="G62" s="69">
        <v>0.1</v>
      </c>
      <c r="H62" s="69">
        <f>SUMPRODUCT(Scenarios1[[#This Row],[SPY]:[PE]],_xlfn.TOROW(AssetSpecsScenario1[Annualized Return]))</f>
        <v>9.4908837435283513E-2</v>
      </c>
      <c r="I62" s="69" cm="1">
        <f t="array" ref="I62">SQRT(MMULT(MMULT(Scenarios1[[#This Row],[SPY]:[PE]], 'Corr_Cov 36- Month'!$J$13:$N$17), TRANSPOSE(Scenarios1[[#This Row],[SPY]:[PE]])))</f>
        <v>8.7517474227068542E-2</v>
      </c>
      <c r="J62" s="70">
        <f>(Scenarios1[[#This Row],[Expected Return]]-RiskFree)/Scenarios1[[#This Row],[36M Vol]]</f>
        <v>0.547356768494489</v>
      </c>
      <c r="K62" s="121" cm="1">
        <f t="array" ref="K62">MIN(_xlfn._xlws.FILTER(PortfolioFrontier[#Data],(PortfolioFrontier[#Headers]="P"&amp;Scenarios1[[#This Row],[Reference '#]]&amp;" DD")))</f>
        <v>-0.18388293935893474</v>
      </c>
      <c r="L62" s="69">
        <f>SUM(Scenarios1[[#This Row],[SPY]:[VNQ]])</f>
        <v>0.89999999999999991</v>
      </c>
      <c r="M62" s="69">
        <f>SUM(Scenarios1[[#This Row],[SPY]:[PE]])</f>
        <v>0.99999999999999989</v>
      </c>
      <c r="N62" s="71" t="b">
        <f>Scenarios1[[#This Row],[SPY]]&gt;=SpyMin</f>
        <v>1</v>
      </c>
      <c r="O62" s="71" t="b">
        <f>Scenarios1[[#This Row],[AGG]]&gt;=AGGMin</f>
        <v>1</v>
      </c>
      <c r="P62" s="71" t="b">
        <f>AND(Scenarios1[[#This Row],[GLD]]&gt;=GLDMin,Scenarios1[[#This Row],[GLD]]&lt;=GLDMax)</f>
        <v>1</v>
      </c>
      <c r="Q62" s="71" t="b">
        <f>Scenarios1[[#This Row],[VNQ]]&gt;=VNQMin</f>
        <v>1</v>
      </c>
      <c r="R62" s="71" t="b">
        <f>AND(Scenarios1[[#This Row],[PE]]&gt;=PEMin,Scenarios1[[#This Row],[PE]]&lt;=PEMax)</f>
        <v>1</v>
      </c>
      <c r="S62" s="71" t="b">
        <f>Scenarios1[[#This Row],[Liquid Assets]]&gt;=LiquidMin</f>
        <v>1</v>
      </c>
      <c r="T62" s="71" t="b">
        <f>AND(Scenarios1[[#This Row],[Expected Return]]&gt;=ExpectedReturnMin,Scenarios1[[#This Row],[Expected Return]]&lt;=ExpectedReturnMax)</f>
        <v>1</v>
      </c>
      <c r="U62" s="71" t="b">
        <f>Scenarios1[[#This Row],[Max Drawdown]]&gt;=DrawdownMax</f>
        <v>1</v>
      </c>
      <c r="V6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2" s="46">
        <f>_xlfn.XLOOKUP(Scenarios1[[#This Row],[Reference '#]],ScenariosCombined[Reference '#],ScenariosCombined[Sharpe Rank])</f>
        <v>25</v>
      </c>
      <c r="X62" s="71">
        <f>IF(Scenarios1[[#This Row],[Eligible]],COUNTIFS(Scenarios1[Sharpe],"&gt;"&amp;Scenarios1[[#This Row],[Sharpe]],Scenarios1[Eligible],TRUE())+COUNTIFS(Scenarios1[Sharpe],Scenarios1[[#This Row],[Sharpe]],Scenarios1[Eligible],TRUE()),"")</f>
        <v>25</v>
      </c>
      <c r="Y6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35/15/20/20/10</v>
      </c>
      <c r="Z62" s="139">
        <f>Scenarios1[[#This Row],[Sharpe Rank]]</f>
        <v>25</v>
      </c>
      <c r="AA62" s="139">
        <f>_xlfn.XLOOKUP(Scenarios1[[#This Row],[Reference '#]],Scenarios2[Reference '#],Scenarios2[Sharpe Rank])</f>
        <v>25</v>
      </c>
      <c r="AB62" s="139">
        <f>_xlfn.XLOOKUP(Scenarios1[[#This Row],[Reference '#]],Scenarios3[Reference '#],Scenarios3[Sharpe Rank])</f>
        <v>24</v>
      </c>
      <c r="AF62" s="34"/>
      <c r="AG62" s="34"/>
      <c r="AK62" s="15"/>
    </row>
    <row r="63" spans="2:37" x14ac:dyDescent="0.2">
      <c r="B63" s="143">
        <v>53</v>
      </c>
      <c r="C63" s="142">
        <v>0.35</v>
      </c>
      <c r="D63" s="142">
        <v>0.15</v>
      </c>
      <c r="E63" s="142">
        <v>0.2</v>
      </c>
      <c r="F63" s="142">
        <v>0.15</v>
      </c>
      <c r="G63" s="142">
        <v>0.15</v>
      </c>
      <c r="H63" s="142">
        <f>SUMPRODUCT(Scenarios1[[#This Row],[SPY]:[PE]],_xlfn.TOROW(AssetSpecsScenario1[Annualized Return]))</f>
        <v>9.4799363396481123E-2</v>
      </c>
      <c r="I63" s="142" cm="1">
        <f t="array" ref="I63">SQRT(MMULT(MMULT(Scenarios1[[#This Row],[SPY]:[PE]], 'Corr_Cov 36- Month'!$J$13:$N$17), TRANSPOSE(Scenarios1[[#This Row],[SPY]:[PE]])))</f>
        <v>8.0027720134087321E-2</v>
      </c>
      <c r="J63" s="70">
        <f>(Scenarios1[[#This Row],[Expected Return]]-RiskFree)/Scenarios1[[#This Row],[36M Vol]]</f>
        <v>0.5972156617837735</v>
      </c>
      <c r="K63" s="142" cm="1">
        <f t="array" ref="K63">MIN(_xlfn._xlws.FILTER(PortfolioFrontier[#Data],(PortfolioFrontier[#Headers]="P"&amp;Scenarios1[[#This Row],[Reference '#]]&amp;" DD")))</f>
        <v>-0.16942426563268254</v>
      </c>
      <c r="L63" s="142">
        <f>SUM(Scenarios1[[#This Row],[SPY]:[VNQ]])</f>
        <v>0.85</v>
      </c>
      <c r="M63" s="142">
        <f>SUM(Scenarios1[[#This Row],[SPY]:[PE]])</f>
        <v>1</v>
      </c>
      <c r="N63" s="143" t="b">
        <f>Scenarios1[[#This Row],[SPY]]&gt;=SpyMin</f>
        <v>1</v>
      </c>
      <c r="O63" s="143" t="b">
        <f>Scenarios1[[#This Row],[AGG]]&gt;=AGGMin</f>
        <v>1</v>
      </c>
      <c r="P63" s="143" t="b">
        <f>AND(Scenarios1[[#This Row],[GLD]]&gt;=GLDMin,Scenarios1[[#This Row],[GLD]]&lt;=GLDMax)</f>
        <v>1</v>
      </c>
      <c r="Q63" s="143" t="b">
        <f>Scenarios1[[#This Row],[VNQ]]&gt;=VNQMin</f>
        <v>1</v>
      </c>
      <c r="R63" s="143" t="b">
        <f>AND(Scenarios1[[#This Row],[PE]]&gt;=PEMin,Scenarios1[[#This Row],[PE]]&lt;=PEMax)</f>
        <v>1</v>
      </c>
      <c r="S63" s="143" t="b">
        <f>Scenarios1[[#This Row],[Liquid Assets]]&gt;=LiquidMin</f>
        <v>1</v>
      </c>
      <c r="T63" s="143" t="b">
        <f>AND(Scenarios1[[#This Row],[Expected Return]]&gt;=ExpectedReturnMin,Scenarios1[[#This Row],[Expected Return]]&lt;=ExpectedReturnMax)</f>
        <v>1</v>
      </c>
      <c r="U63" s="143" t="b">
        <f>Scenarios1[[#This Row],[Max Drawdown]]&gt;=DrawdownMax</f>
        <v>1</v>
      </c>
      <c r="V63" s="143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3" s="46">
        <f>_xlfn.XLOOKUP(Scenarios1[[#This Row],[Reference '#]],ScenariosCombined[Reference '#],ScenariosCombined[Sharpe Rank])</f>
        <v>8</v>
      </c>
      <c r="X63" s="143">
        <f>IF(Scenarios1[[#This Row],[Eligible]],COUNTIFS(Scenarios1[Sharpe],"&gt;"&amp;Scenarios1[[#This Row],[Sharpe]],Scenarios1[Eligible],TRUE())+COUNTIFS(Scenarios1[Sharpe],Scenarios1[[#This Row],[Sharpe]],Scenarios1[Eligible],TRUE()),"")</f>
        <v>10</v>
      </c>
      <c r="Y63" s="146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35/15/20/15/15</v>
      </c>
      <c r="Z63" s="147">
        <f>Scenarios1[[#This Row],[Sharpe Rank]]</f>
        <v>10</v>
      </c>
      <c r="AA63" s="147">
        <f>_xlfn.XLOOKUP(Scenarios1[[#This Row],[Reference '#]],Scenarios2[Reference '#],Scenarios2[Sharpe Rank])</f>
        <v>8</v>
      </c>
      <c r="AB63" s="147">
        <f>_xlfn.XLOOKUP(Scenarios1[[#This Row],[Reference '#]],Scenarios3[Reference '#],Scenarios3[Sharpe Rank])</f>
        <v>5</v>
      </c>
      <c r="AF63" s="34"/>
      <c r="AG63" s="34"/>
      <c r="AK63" s="15"/>
    </row>
    <row r="64" spans="2:37" x14ac:dyDescent="0.2">
      <c r="B64" s="170">
        <v>54</v>
      </c>
      <c r="C64" s="171">
        <v>0.35</v>
      </c>
      <c r="D64" s="171">
        <v>0.15</v>
      </c>
      <c r="E64" s="171">
        <v>0.2</v>
      </c>
      <c r="F64" s="171">
        <v>0.1</v>
      </c>
      <c r="G64" s="171">
        <v>0.2</v>
      </c>
      <c r="H64" s="171">
        <f>SUMPRODUCT(Scenarios1[[#This Row],[SPY]:[PE]],_xlfn.TOROW(AssetSpecsScenario1[Annualized Return]))</f>
        <v>9.4689889357678719E-2</v>
      </c>
      <c r="I64" s="171" cm="1">
        <f t="array" ref="I64">SQRT(MMULT(MMULT(Scenarios1[[#This Row],[SPY]:[PE]], 'Corr_Cov 36- Month'!$J$13:$N$17), TRANSPOSE(Scenarios1[[#This Row],[SPY]:[PE]])))</f>
        <v>7.3031963043220252E-2</v>
      </c>
      <c r="J64" s="172">
        <f>(Scenarios1[[#This Row],[Expected Return]]-RiskFree)/Scenarios1[[#This Row],[36M Vol]]</f>
        <v>0.65292416929699149</v>
      </c>
      <c r="K64" s="171" cm="1">
        <f t="array" ref="K64">MIN(_xlfn._xlws.FILTER(PortfolioFrontier[#Data],(PortfolioFrontier[#Headers]="P"&amp;Scenarios1[[#This Row],[Reference '#]]&amp;" DD")))</f>
        <v>-0.15484931096251686</v>
      </c>
      <c r="L64" s="171">
        <f>SUM(Scenarios1[[#This Row],[SPY]:[VNQ]])</f>
        <v>0.79999999999999993</v>
      </c>
      <c r="M64" s="171">
        <f>SUM(Scenarios1[[#This Row],[SPY]:[PE]])</f>
        <v>1</v>
      </c>
      <c r="N64" s="170" t="b">
        <f>Scenarios1[[#This Row],[SPY]]&gt;=SpyMin</f>
        <v>1</v>
      </c>
      <c r="O64" s="170" t="b">
        <f>Scenarios1[[#This Row],[AGG]]&gt;=AGGMin</f>
        <v>1</v>
      </c>
      <c r="P64" s="170" t="b">
        <f>AND(Scenarios1[[#This Row],[GLD]]&gt;=GLDMin,Scenarios1[[#This Row],[GLD]]&lt;=GLDMax)</f>
        <v>1</v>
      </c>
      <c r="Q64" s="170" t="b">
        <f>Scenarios1[[#This Row],[VNQ]]&gt;=VNQMin</f>
        <v>1</v>
      </c>
      <c r="R64" s="170" t="b">
        <f>AND(Scenarios1[[#This Row],[PE]]&gt;=PEMin,Scenarios1[[#This Row],[PE]]&lt;=PEMax)</f>
        <v>1</v>
      </c>
      <c r="S64" s="170" t="b">
        <f>Scenarios1[[#This Row],[Liquid Assets]]&gt;=LiquidMin</f>
        <v>1</v>
      </c>
      <c r="T64" s="170" t="b">
        <f>AND(Scenarios1[[#This Row],[Expected Return]]&gt;=ExpectedReturnMin,Scenarios1[[#This Row],[Expected Return]]&lt;=ExpectedReturnMax)</f>
        <v>1</v>
      </c>
      <c r="U64" s="170" t="b">
        <f>Scenarios1[[#This Row],[Max Drawdown]]&gt;=DrawdownMax</f>
        <v>1</v>
      </c>
      <c r="V64" s="170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4" s="173">
        <f>_xlfn.XLOOKUP(Scenarios1[[#This Row],[Reference '#]],ScenariosCombined[Reference '#],ScenariosCombined[Sharpe Rank])</f>
        <v>1</v>
      </c>
      <c r="X64" s="170">
        <f>IF(Scenarios1[[#This Row],[Eligible]],COUNTIFS(Scenarios1[Sharpe],"&gt;"&amp;Scenarios1[[#This Row],[Sharpe]],Scenarios1[Eligible],TRUE())+COUNTIFS(Scenarios1[Sharpe],Scenarios1[[#This Row],[Sharpe]],Scenarios1[Eligible],TRUE()),"")</f>
        <v>2</v>
      </c>
      <c r="Y64" s="174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35/15/20/10/20</v>
      </c>
      <c r="Z64" s="169">
        <f>Scenarios1[[#This Row],[Sharpe Rank]]</f>
        <v>2</v>
      </c>
      <c r="AA64" s="168">
        <f>_xlfn.XLOOKUP(Scenarios1[[#This Row],[Reference '#]],Scenarios2[Reference '#],Scenarios2[Sharpe Rank])</f>
        <v>1</v>
      </c>
      <c r="AB64" s="168" t="str">
        <f>_xlfn.XLOOKUP(Scenarios1[[#This Row],[Reference '#]],Scenarios3[Reference '#],Scenarios3[Sharpe Rank])</f>
        <v/>
      </c>
      <c r="AF64" s="34"/>
      <c r="AG64" s="34"/>
      <c r="AK64" s="15"/>
    </row>
    <row r="65" spans="2:37" x14ac:dyDescent="0.2">
      <c r="B65" s="71">
        <v>55</v>
      </c>
      <c r="C65" s="69">
        <v>0.35</v>
      </c>
      <c r="D65" s="69">
        <v>0.15</v>
      </c>
      <c r="E65" s="69">
        <v>0.15</v>
      </c>
      <c r="F65" s="69">
        <v>0.25</v>
      </c>
      <c r="G65" s="69">
        <v>0.1</v>
      </c>
      <c r="H65" s="69">
        <f>SUMPRODUCT(Scenarios1[[#This Row],[SPY]:[PE]],_xlfn.TOROW(AssetSpecsScenario1[Annualized Return]))</f>
        <v>9.0917118534207489E-2</v>
      </c>
      <c r="I65" s="69" cm="1">
        <f t="array" ref="I65">SQRT(MMULT(MMULT(Scenarios1[[#This Row],[SPY]:[PE]], 'Corr_Cov 36- Month'!$J$13:$N$17), TRANSPOSE(Scenarios1[[#This Row],[SPY]:[PE]])))</f>
        <v>9.2863946159082916E-2</v>
      </c>
      <c r="J65" s="70">
        <f>(Scenarios1[[#This Row],[Expected Return]]-RiskFree)/Scenarios1[[#This Row],[36M Vol]]</f>
        <v>0.47285911050374846</v>
      </c>
      <c r="K65" s="121" cm="1">
        <f t="array" ref="K65">MIN(_xlfn._xlws.FILTER(PortfolioFrontier[#Data],(PortfolioFrontier[#Headers]="P"&amp;Scenarios1[[#This Row],[Reference '#]]&amp;" DD")))</f>
        <v>-0.1940306400546703</v>
      </c>
      <c r="L65" s="69">
        <f>SUM(Scenarios1[[#This Row],[SPY]:[VNQ]])</f>
        <v>0.9</v>
      </c>
      <c r="M65" s="69">
        <f>SUM(Scenarios1[[#This Row],[SPY]:[PE]])</f>
        <v>1</v>
      </c>
      <c r="N65" s="71" t="b">
        <f>Scenarios1[[#This Row],[SPY]]&gt;=SpyMin</f>
        <v>1</v>
      </c>
      <c r="O65" s="71" t="b">
        <f>Scenarios1[[#This Row],[AGG]]&gt;=AGGMin</f>
        <v>1</v>
      </c>
      <c r="P65" s="71" t="b">
        <f>AND(Scenarios1[[#This Row],[GLD]]&gt;=GLDMin,Scenarios1[[#This Row],[GLD]]&lt;=GLDMax)</f>
        <v>1</v>
      </c>
      <c r="Q65" s="71" t="b">
        <f>Scenarios1[[#This Row],[VNQ]]&gt;=VNQMin</f>
        <v>1</v>
      </c>
      <c r="R65" s="71" t="b">
        <f>AND(Scenarios1[[#This Row],[PE]]&gt;=PEMin,Scenarios1[[#This Row],[PE]]&lt;=PEMax)</f>
        <v>1</v>
      </c>
      <c r="S65" s="71" t="b">
        <f>Scenarios1[[#This Row],[Liquid Assets]]&gt;=LiquidMin</f>
        <v>1</v>
      </c>
      <c r="T65" s="71" t="b">
        <f>AND(Scenarios1[[#This Row],[Expected Return]]&gt;=ExpectedReturnMin,Scenarios1[[#This Row],[Expected Return]]&lt;=ExpectedReturnMax)</f>
        <v>1</v>
      </c>
      <c r="U65" s="71" t="b">
        <f>Scenarios1[[#This Row],[Max Drawdown]]&gt;=DrawdownMax</f>
        <v>1</v>
      </c>
      <c r="V6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5" s="46">
        <f>_xlfn.XLOOKUP(Scenarios1[[#This Row],[Reference '#]],ScenariosCombined[Reference '#],ScenariosCombined[Sharpe Rank])</f>
        <v>57</v>
      </c>
      <c r="X65" s="71">
        <f>IF(Scenarios1[[#This Row],[Eligible]],COUNTIFS(Scenarios1[Sharpe],"&gt;"&amp;Scenarios1[[#This Row],[Sharpe]],Scenarios1[Eligible],TRUE())+COUNTIFS(Scenarios1[Sharpe],Scenarios1[[#This Row],[Sharpe]],Scenarios1[Eligible],TRUE()),"")</f>
        <v>56</v>
      </c>
      <c r="Y6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35/15/15/25/10</v>
      </c>
      <c r="Z65">
        <f>Scenarios1[[#This Row],[Sharpe Rank]]</f>
        <v>56</v>
      </c>
      <c r="AA65">
        <f>_xlfn.XLOOKUP(Scenarios1[[#This Row],[Reference '#]],Scenarios2[Reference '#],Scenarios2[Sharpe Rank])</f>
        <v>55</v>
      </c>
      <c r="AB65">
        <f>_xlfn.XLOOKUP(Scenarios1[[#This Row],[Reference '#]],Scenarios3[Reference '#],Scenarios3[Sharpe Rank])</f>
        <v>57</v>
      </c>
      <c r="AF65" s="34"/>
      <c r="AG65" s="34"/>
      <c r="AK65" s="15"/>
    </row>
    <row r="66" spans="2:37" x14ac:dyDescent="0.2">
      <c r="B66" s="71">
        <v>56</v>
      </c>
      <c r="C66" s="69">
        <v>0.35</v>
      </c>
      <c r="D66" s="69">
        <v>0.15</v>
      </c>
      <c r="E66" s="69">
        <v>0.15</v>
      </c>
      <c r="F66" s="69">
        <v>0.2</v>
      </c>
      <c r="G66" s="69">
        <v>0.15</v>
      </c>
      <c r="H66" s="69">
        <f>SUMPRODUCT(Scenarios1[[#This Row],[SPY]:[PE]],_xlfn.TOROW(AssetSpecsScenario1[Annualized Return]))</f>
        <v>9.0807644495405099E-2</v>
      </c>
      <c r="I66" s="69" cm="1">
        <f t="array" ref="I66">SQRT(MMULT(MMULT(Scenarios1[[#This Row],[SPY]:[PE]], 'Corr_Cov 36- Month'!$J$13:$N$17), TRANSPOSE(Scenarios1[[#This Row],[SPY]:[PE]])))</f>
        <v>8.5078002012138693E-2</v>
      </c>
      <c r="J66" s="70">
        <f>(Scenarios1[[#This Row],[Expected Return]]-RiskFree)/Scenarios1[[#This Row],[36M Vol]]</f>
        <v>0.51484623408998242</v>
      </c>
      <c r="K66" s="121" cm="1">
        <f t="array" ref="K66">MIN(_xlfn._xlws.FILTER(PortfolioFrontier[#Data],(PortfolioFrontier[#Headers]="P"&amp;Scenarios1[[#This Row],[Reference '#]]&amp;" DD")))</f>
        <v>-0.17964551741147883</v>
      </c>
      <c r="L66" s="69">
        <f>SUM(Scenarios1[[#This Row],[SPY]:[VNQ]])</f>
        <v>0.85000000000000009</v>
      </c>
      <c r="M66" s="69">
        <f>SUM(Scenarios1[[#This Row],[SPY]:[PE]])</f>
        <v>1</v>
      </c>
      <c r="N66" s="71" t="b">
        <f>Scenarios1[[#This Row],[SPY]]&gt;=SpyMin</f>
        <v>1</v>
      </c>
      <c r="O66" s="71" t="b">
        <f>Scenarios1[[#This Row],[AGG]]&gt;=AGGMin</f>
        <v>1</v>
      </c>
      <c r="P66" s="71" t="b">
        <f>AND(Scenarios1[[#This Row],[GLD]]&gt;=GLDMin,Scenarios1[[#This Row],[GLD]]&lt;=GLDMax)</f>
        <v>1</v>
      </c>
      <c r="Q66" s="71" t="b">
        <f>Scenarios1[[#This Row],[VNQ]]&gt;=VNQMin</f>
        <v>1</v>
      </c>
      <c r="R66" s="71" t="b">
        <f>AND(Scenarios1[[#This Row],[PE]]&gt;=PEMin,Scenarios1[[#This Row],[PE]]&lt;=PEMax)</f>
        <v>1</v>
      </c>
      <c r="S66" s="71" t="b">
        <f>Scenarios1[[#This Row],[Liquid Assets]]&gt;=LiquidMin</f>
        <v>1</v>
      </c>
      <c r="T66" s="71" t="b">
        <f>AND(Scenarios1[[#This Row],[Expected Return]]&gt;=ExpectedReturnMin,Scenarios1[[#This Row],[Expected Return]]&lt;=ExpectedReturnMax)</f>
        <v>1</v>
      </c>
      <c r="U66" s="71" t="b">
        <f>Scenarios1[[#This Row],[Max Drawdown]]&gt;=DrawdownMax</f>
        <v>1</v>
      </c>
      <c r="V6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6" s="46">
        <f>_xlfn.XLOOKUP(Scenarios1[[#This Row],[Reference '#]],ScenariosCombined[Reference '#],ScenariosCombined[Sharpe Rank])</f>
        <v>35</v>
      </c>
      <c r="X66" s="71">
        <f>IF(Scenarios1[[#This Row],[Eligible]],COUNTIFS(Scenarios1[Sharpe],"&gt;"&amp;Scenarios1[[#This Row],[Sharpe]],Scenarios1[Eligible],TRUE())+COUNTIFS(Scenarios1[Sharpe],Scenarios1[[#This Row],[Sharpe]],Scenarios1[Eligible],TRUE()),"")</f>
        <v>35</v>
      </c>
      <c r="Y6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35/15/15/20/15</v>
      </c>
      <c r="Z66">
        <f>Scenarios1[[#This Row],[Sharpe Rank]]</f>
        <v>35</v>
      </c>
      <c r="AA66">
        <f>_xlfn.XLOOKUP(Scenarios1[[#This Row],[Reference '#]],Scenarios2[Reference '#],Scenarios2[Sharpe Rank])</f>
        <v>33</v>
      </c>
      <c r="AB66">
        <f>_xlfn.XLOOKUP(Scenarios1[[#This Row],[Reference '#]],Scenarios3[Reference '#],Scenarios3[Sharpe Rank])</f>
        <v>30</v>
      </c>
      <c r="AF66" s="34"/>
      <c r="AG66" s="34"/>
      <c r="AK66" s="15"/>
    </row>
    <row r="67" spans="2:37" x14ac:dyDescent="0.2">
      <c r="B67" s="71">
        <v>57</v>
      </c>
      <c r="C67" s="69">
        <v>0.35</v>
      </c>
      <c r="D67" s="69">
        <v>0.15</v>
      </c>
      <c r="E67" s="69">
        <v>0.15</v>
      </c>
      <c r="F67" s="69">
        <v>0.15</v>
      </c>
      <c r="G67" s="69">
        <v>0.2</v>
      </c>
      <c r="H67" s="69">
        <f>SUMPRODUCT(Scenarios1[[#This Row],[SPY]:[PE]],_xlfn.TOROW(AssetSpecsScenario1[Annualized Return]))</f>
        <v>9.0698170456602709E-2</v>
      </c>
      <c r="I67" s="69" cm="1">
        <f t="array" ref="I67">SQRT(MMULT(MMULT(Scenarios1[[#This Row],[SPY]:[PE]], 'Corr_Cov 36- Month'!$J$13:$N$17), TRANSPOSE(Scenarios1[[#This Row],[SPY]:[PE]])))</f>
        <v>7.7697646668545756E-2</v>
      </c>
      <c r="J67" s="70">
        <f>(Scenarios1[[#This Row],[Expected Return]]-RiskFree)/Scenarios1[[#This Row],[36M Vol]]</f>
        <v>0.56234154796782521</v>
      </c>
      <c r="K67" s="121" cm="1">
        <f t="array" ref="K67">MIN(_xlfn._xlws.FILTER(PortfolioFrontier[#Data],(PortfolioFrontier[#Headers]="P"&amp;Scenarios1[[#This Row],[Reference '#]]&amp;" DD")))</f>
        <v>-0.1651424399457585</v>
      </c>
      <c r="L67" s="69">
        <f>SUM(Scenarios1[[#This Row],[SPY]:[VNQ]])</f>
        <v>0.8</v>
      </c>
      <c r="M67" s="69">
        <f>SUM(Scenarios1[[#This Row],[SPY]:[PE]])</f>
        <v>1</v>
      </c>
      <c r="N67" s="71" t="b">
        <f>Scenarios1[[#This Row],[SPY]]&gt;=SpyMin</f>
        <v>1</v>
      </c>
      <c r="O67" s="71" t="b">
        <f>Scenarios1[[#This Row],[AGG]]&gt;=AGGMin</f>
        <v>1</v>
      </c>
      <c r="P67" s="71" t="b">
        <f>AND(Scenarios1[[#This Row],[GLD]]&gt;=GLDMin,Scenarios1[[#This Row],[GLD]]&lt;=GLDMax)</f>
        <v>1</v>
      </c>
      <c r="Q67" s="71" t="b">
        <f>Scenarios1[[#This Row],[VNQ]]&gt;=VNQMin</f>
        <v>1</v>
      </c>
      <c r="R67" s="71" t="b">
        <f>AND(Scenarios1[[#This Row],[PE]]&gt;=PEMin,Scenarios1[[#This Row],[PE]]&lt;=PEMax)</f>
        <v>1</v>
      </c>
      <c r="S67" s="71" t="b">
        <f>Scenarios1[[#This Row],[Liquid Assets]]&gt;=LiquidMin</f>
        <v>1</v>
      </c>
      <c r="T67" s="71" t="b">
        <f>AND(Scenarios1[[#This Row],[Expected Return]]&gt;=ExpectedReturnMin,Scenarios1[[#This Row],[Expected Return]]&lt;=ExpectedReturnMax)</f>
        <v>1</v>
      </c>
      <c r="U67" s="71" t="b">
        <f>Scenarios1[[#This Row],[Max Drawdown]]&gt;=DrawdownMax</f>
        <v>1</v>
      </c>
      <c r="V6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7" s="46">
        <f>_xlfn.XLOOKUP(Scenarios1[[#This Row],[Reference '#]],ScenariosCombined[Reference '#],ScenariosCombined[Sharpe Rank])</f>
        <v>15</v>
      </c>
      <c r="X67" s="71">
        <f>IF(Scenarios1[[#This Row],[Eligible]],COUNTIFS(Scenarios1[Sharpe],"&gt;"&amp;Scenarios1[[#This Row],[Sharpe]],Scenarios1[Eligible],TRUE())+COUNTIFS(Scenarios1[Sharpe],Scenarios1[[#This Row],[Sharpe]],Scenarios1[Eligible],TRUE()),"")</f>
        <v>21</v>
      </c>
      <c r="Y6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35/15/15/15/20</v>
      </c>
      <c r="Z67" s="139">
        <f>Scenarios1[[#This Row],[Sharpe Rank]]</f>
        <v>21</v>
      </c>
      <c r="AA67" s="139">
        <f>_xlfn.XLOOKUP(Scenarios1[[#This Row],[Reference '#]],Scenarios2[Reference '#],Scenarios2[Sharpe Rank])</f>
        <v>17</v>
      </c>
      <c r="AB67" s="139">
        <f>_xlfn.XLOOKUP(Scenarios1[[#This Row],[Reference '#]],Scenarios3[Reference '#],Scenarios3[Sharpe Rank])</f>
        <v>8</v>
      </c>
      <c r="AF67" s="34"/>
      <c r="AG67" s="34"/>
      <c r="AK67" s="15"/>
    </row>
    <row r="68" spans="2:37" x14ac:dyDescent="0.2">
      <c r="B68" s="71">
        <v>58</v>
      </c>
      <c r="C68" s="69">
        <v>0.35</v>
      </c>
      <c r="D68" s="69">
        <v>0.15</v>
      </c>
      <c r="E68" s="69">
        <v>0.1</v>
      </c>
      <c r="F68" s="69">
        <v>0.3</v>
      </c>
      <c r="G68" s="69">
        <v>0.1</v>
      </c>
      <c r="H68" s="69">
        <f>SUMPRODUCT(Scenarios1[[#This Row],[SPY]:[PE]],_xlfn.TOROW(AssetSpecsScenario1[Annualized Return]))</f>
        <v>8.6925399633131464E-2</v>
      </c>
      <c r="I68" s="69" cm="1">
        <f t="array" ref="I68">SQRT(MMULT(MMULT(Scenarios1[[#This Row],[SPY]:[PE]], 'Corr_Cov 36- Month'!$J$13:$N$17), TRANSPOSE(Scenarios1[[#This Row],[SPY]:[PE]])))</f>
        <v>9.8957376249514034E-2</v>
      </c>
      <c r="J68" s="70">
        <f>(Scenarios1[[#This Row],[Expected Return]]-RiskFree)/Scenarios1[[#This Row],[36M Vol]]</f>
        <v>0.40340443118581526</v>
      </c>
      <c r="K68" s="121" cm="1">
        <f t="array" ref="K68">MIN(_xlfn._xlws.FILTER(PortfolioFrontier[#Data],(PortfolioFrontier[#Headers]="P"&amp;Scenarios1[[#This Row],[Reference '#]]&amp;" DD")))</f>
        <v>-0.20414738967609258</v>
      </c>
      <c r="L68" s="69">
        <f>SUM(Scenarios1[[#This Row],[SPY]:[VNQ]])</f>
        <v>0.89999999999999991</v>
      </c>
      <c r="M68" s="69">
        <f>SUM(Scenarios1[[#This Row],[SPY]:[PE]])</f>
        <v>0.99999999999999989</v>
      </c>
      <c r="N68" s="71" t="b">
        <f>Scenarios1[[#This Row],[SPY]]&gt;=SpyMin</f>
        <v>1</v>
      </c>
      <c r="O68" s="71" t="b">
        <f>Scenarios1[[#This Row],[AGG]]&gt;=AGGMin</f>
        <v>1</v>
      </c>
      <c r="P68" s="71" t="b">
        <f>AND(Scenarios1[[#This Row],[GLD]]&gt;=GLDMin,Scenarios1[[#This Row],[GLD]]&lt;=GLDMax)</f>
        <v>1</v>
      </c>
      <c r="Q68" s="71" t="b">
        <f>Scenarios1[[#This Row],[VNQ]]&gt;=VNQMin</f>
        <v>1</v>
      </c>
      <c r="R68" s="71" t="b">
        <f>AND(Scenarios1[[#This Row],[PE]]&gt;=PEMin,Scenarios1[[#This Row],[PE]]&lt;=PEMax)</f>
        <v>1</v>
      </c>
      <c r="S68" s="71" t="b">
        <f>Scenarios1[[#This Row],[Liquid Assets]]&gt;=LiquidMin</f>
        <v>1</v>
      </c>
      <c r="T68" s="71" t="b">
        <f>AND(Scenarios1[[#This Row],[Expected Return]]&gt;=ExpectedReturnMin,Scenarios1[[#This Row],[Expected Return]]&lt;=ExpectedReturnMax)</f>
        <v>1</v>
      </c>
      <c r="U68" s="71" t="b">
        <f>Scenarios1[[#This Row],[Max Drawdown]]&gt;=DrawdownMax</f>
        <v>0</v>
      </c>
      <c r="V6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68" s="46" t="str">
        <f>_xlfn.XLOOKUP(Scenarios1[[#This Row],[Reference '#]],ScenariosCombined[Reference '#],ScenariosCombined[Sharpe Rank])</f>
        <v/>
      </c>
      <c r="X68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6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35/15/10/30/10</v>
      </c>
      <c r="Z68" t="str">
        <f>Scenarios1[[#This Row],[Sharpe Rank]]</f>
        <v/>
      </c>
      <c r="AA68" t="str">
        <f>_xlfn.XLOOKUP(Scenarios1[[#This Row],[Reference '#]],Scenarios2[Reference '#],Scenarios2[Sharpe Rank])</f>
        <v/>
      </c>
      <c r="AB68" t="str">
        <f>_xlfn.XLOOKUP(Scenarios1[[#This Row],[Reference '#]],Scenarios3[Reference '#],Scenarios3[Sharpe Rank])</f>
        <v/>
      </c>
      <c r="AF68" s="34"/>
      <c r="AG68" s="34"/>
      <c r="AK68" s="15"/>
    </row>
    <row r="69" spans="2:37" x14ac:dyDescent="0.2">
      <c r="B69" s="71">
        <v>59</v>
      </c>
      <c r="C69" s="69">
        <v>0.35</v>
      </c>
      <c r="D69" s="69">
        <v>0.15</v>
      </c>
      <c r="E69" s="69">
        <v>0.1</v>
      </c>
      <c r="F69" s="69">
        <v>0.25</v>
      </c>
      <c r="G69" s="69">
        <v>0.15</v>
      </c>
      <c r="H69" s="69">
        <f>SUMPRODUCT(Scenarios1[[#This Row],[SPY]:[PE]],_xlfn.TOROW(AssetSpecsScenario1[Annualized Return]))</f>
        <v>8.6815925594329074E-2</v>
      </c>
      <c r="I69" s="69" cm="1">
        <f t="array" ref="I69">SQRT(MMULT(MMULT(Scenarios1[[#This Row],[SPY]:[PE]], 'Corr_Cov 36- Month'!$J$13:$N$17), TRANSPOSE(Scenarios1[[#This Row],[SPY]:[PE]])))</f>
        <v>9.0975504833413975E-2</v>
      </c>
      <c r="J69" s="70">
        <f>(Scenarios1[[#This Row],[Expected Return]]-RiskFree)/Scenarios1[[#This Row],[36M Vol]]</f>
        <v>0.43759438446283572</v>
      </c>
      <c r="K69" s="121" cm="1">
        <f t="array" ref="K69">MIN(_xlfn._xlws.FILTER(PortfolioFrontier[#Data],(PortfolioFrontier[#Headers]="P"&amp;Scenarios1[[#This Row],[Reference '#]]&amp;" DD")))</f>
        <v>-0.18983745098866178</v>
      </c>
      <c r="L69" s="69">
        <f>SUM(Scenarios1[[#This Row],[SPY]:[VNQ]])</f>
        <v>0.85</v>
      </c>
      <c r="M69" s="69">
        <f>SUM(Scenarios1[[#This Row],[SPY]:[PE]])</f>
        <v>1</v>
      </c>
      <c r="N69" s="71" t="b">
        <f>Scenarios1[[#This Row],[SPY]]&gt;=SpyMin</f>
        <v>1</v>
      </c>
      <c r="O69" s="71" t="b">
        <f>Scenarios1[[#This Row],[AGG]]&gt;=AGGMin</f>
        <v>1</v>
      </c>
      <c r="P69" s="71" t="b">
        <f>AND(Scenarios1[[#This Row],[GLD]]&gt;=GLDMin,Scenarios1[[#This Row],[GLD]]&lt;=GLDMax)</f>
        <v>1</v>
      </c>
      <c r="Q69" s="71" t="b">
        <f>Scenarios1[[#This Row],[VNQ]]&gt;=VNQMin</f>
        <v>1</v>
      </c>
      <c r="R69" s="71" t="b">
        <f>AND(Scenarios1[[#This Row],[PE]]&gt;=PEMin,Scenarios1[[#This Row],[PE]]&lt;=PEMax)</f>
        <v>1</v>
      </c>
      <c r="S69" s="71" t="b">
        <f>Scenarios1[[#This Row],[Liquid Assets]]&gt;=LiquidMin</f>
        <v>1</v>
      </c>
      <c r="T69" s="71" t="b">
        <f>AND(Scenarios1[[#This Row],[Expected Return]]&gt;=ExpectedReturnMin,Scenarios1[[#This Row],[Expected Return]]&lt;=ExpectedReturnMax)</f>
        <v>1</v>
      </c>
      <c r="U69" s="71" t="b">
        <f>Scenarios1[[#This Row],[Max Drawdown]]&gt;=DrawdownMax</f>
        <v>1</v>
      </c>
      <c r="V6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69" s="46">
        <f>_xlfn.XLOOKUP(Scenarios1[[#This Row],[Reference '#]],ScenariosCombined[Reference '#],ScenariosCombined[Sharpe Rank])</f>
        <v>68</v>
      </c>
      <c r="X69" s="71">
        <f>IF(Scenarios1[[#This Row],[Eligible]],COUNTIFS(Scenarios1[Sharpe],"&gt;"&amp;Scenarios1[[#This Row],[Sharpe]],Scenarios1[Eligible],TRUE())+COUNTIFS(Scenarios1[Sharpe],Scenarios1[[#This Row],[Sharpe]],Scenarios1[Eligible],TRUE()),"")</f>
        <v>68</v>
      </c>
      <c r="Y6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35/15/10/25/15</v>
      </c>
      <c r="Z69">
        <f>Scenarios1[[#This Row],[Sharpe Rank]]</f>
        <v>68</v>
      </c>
      <c r="AA69">
        <f>_xlfn.XLOOKUP(Scenarios1[[#This Row],[Reference '#]],Scenarios2[Reference '#],Scenarios2[Sharpe Rank])</f>
        <v>66</v>
      </c>
      <c r="AB69">
        <f>_xlfn.XLOOKUP(Scenarios1[[#This Row],[Reference '#]],Scenarios3[Reference '#],Scenarios3[Sharpe Rank])</f>
        <v>63</v>
      </c>
      <c r="AF69" s="34"/>
      <c r="AG69" s="34"/>
      <c r="AK69" s="15"/>
    </row>
    <row r="70" spans="2:37" x14ac:dyDescent="0.2">
      <c r="B70" s="71">
        <v>60</v>
      </c>
      <c r="C70" s="69">
        <v>0.35</v>
      </c>
      <c r="D70" s="69">
        <v>0.15</v>
      </c>
      <c r="E70" s="69">
        <v>0.1</v>
      </c>
      <c r="F70" s="69">
        <v>0.2</v>
      </c>
      <c r="G70" s="69">
        <v>0.2</v>
      </c>
      <c r="H70" s="69">
        <f>SUMPRODUCT(Scenarios1[[#This Row],[SPY]:[PE]],_xlfn.TOROW(AssetSpecsScenario1[Annualized Return]))</f>
        <v>8.6706451555526684E-2</v>
      </c>
      <c r="I70" s="69" cm="1">
        <f t="array" ref="I70">SQRT(MMULT(MMULT(Scenarios1[[#This Row],[SPY]:[PE]], 'Corr_Cov 36- Month'!$J$13:$N$17), TRANSPOSE(Scenarios1[[#This Row],[SPY]:[PE]])))</f>
        <v>8.3334426178581542E-2</v>
      </c>
      <c r="J70" s="70">
        <f>(Scenarios1[[#This Row],[Expected Return]]-RiskFree)/Scenarios1[[#This Row],[36M Vol]]</f>
        <v>0.4764045043628678</v>
      </c>
      <c r="K70" s="121" cm="1">
        <f t="array" ref="K70">MIN(_xlfn._xlws.FILTER(PortfolioFrontier[#Data],(PortfolioFrontier[#Headers]="P"&amp;Scenarios1[[#This Row],[Reference '#]]&amp;" DD")))</f>
        <v>-0.17540792917075321</v>
      </c>
      <c r="L70" s="69">
        <f>SUM(Scenarios1[[#This Row],[SPY]:[VNQ]])</f>
        <v>0.8</v>
      </c>
      <c r="M70" s="69">
        <f>SUM(Scenarios1[[#This Row],[SPY]:[PE]])</f>
        <v>1</v>
      </c>
      <c r="N70" s="71" t="b">
        <f>Scenarios1[[#This Row],[SPY]]&gt;=SpyMin</f>
        <v>1</v>
      </c>
      <c r="O70" s="71" t="b">
        <f>Scenarios1[[#This Row],[AGG]]&gt;=AGGMin</f>
        <v>1</v>
      </c>
      <c r="P70" s="71" t="b">
        <f>AND(Scenarios1[[#This Row],[GLD]]&gt;=GLDMin,Scenarios1[[#This Row],[GLD]]&lt;=GLDMax)</f>
        <v>1</v>
      </c>
      <c r="Q70" s="71" t="b">
        <f>Scenarios1[[#This Row],[VNQ]]&gt;=VNQMin</f>
        <v>1</v>
      </c>
      <c r="R70" s="71" t="b">
        <f>AND(Scenarios1[[#This Row],[PE]]&gt;=PEMin,Scenarios1[[#This Row],[PE]]&lt;=PEMax)</f>
        <v>1</v>
      </c>
      <c r="S70" s="71" t="b">
        <f>Scenarios1[[#This Row],[Liquid Assets]]&gt;=LiquidMin</f>
        <v>1</v>
      </c>
      <c r="T70" s="71" t="b">
        <f>AND(Scenarios1[[#This Row],[Expected Return]]&gt;=ExpectedReturnMin,Scenarios1[[#This Row],[Expected Return]]&lt;=ExpectedReturnMax)</f>
        <v>1</v>
      </c>
      <c r="U70" s="71" t="b">
        <f>Scenarios1[[#This Row],[Max Drawdown]]&gt;=DrawdownMax</f>
        <v>1</v>
      </c>
      <c r="V7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0" s="46">
        <f>_xlfn.XLOOKUP(Scenarios1[[#This Row],[Reference '#]],ScenariosCombined[Reference '#],ScenariosCombined[Sharpe Rank])</f>
        <v>48</v>
      </c>
      <c r="X70" s="71">
        <f>IF(Scenarios1[[#This Row],[Eligible]],COUNTIFS(Scenarios1[Sharpe],"&gt;"&amp;Scenarios1[[#This Row],[Sharpe]],Scenarios1[Eligible],TRUE())+COUNTIFS(Scenarios1[Sharpe],Scenarios1[[#This Row],[Sharpe]],Scenarios1[Eligible],TRUE()),"")</f>
        <v>54</v>
      </c>
      <c r="Y7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35/15/10/20/20</v>
      </c>
      <c r="Z70">
        <f>Scenarios1[[#This Row],[Sharpe Rank]]</f>
        <v>54</v>
      </c>
      <c r="AA70">
        <f>_xlfn.XLOOKUP(Scenarios1[[#This Row],[Reference '#]],Scenarios2[Reference '#],Scenarios2[Sharpe Rank])</f>
        <v>51</v>
      </c>
      <c r="AB70">
        <f>_xlfn.XLOOKUP(Scenarios1[[#This Row],[Reference '#]],Scenarios3[Reference '#],Scenarios3[Sharpe Rank])</f>
        <v>35</v>
      </c>
      <c r="AF70" s="34"/>
      <c r="AG70" s="34"/>
      <c r="AK70" s="15"/>
    </row>
    <row r="71" spans="2:37" x14ac:dyDescent="0.2">
      <c r="B71" s="71">
        <v>61</v>
      </c>
      <c r="C71" s="69">
        <v>0.3</v>
      </c>
      <c r="D71" s="69">
        <v>0.4</v>
      </c>
      <c r="E71" s="69">
        <v>0.1</v>
      </c>
      <c r="F71" s="69">
        <v>0.1</v>
      </c>
      <c r="G71" s="69">
        <v>0.1</v>
      </c>
      <c r="H71" s="69">
        <f>SUMPRODUCT(Scenarios1[[#This Row],[SPY]:[PE]],_xlfn.TOROW(AssetSpecsScenario1[Annualized Return]))</f>
        <v>7.3907209227468934E-2</v>
      </c>
      <c r="I71" s="69" cm="1">
        <f t="array" ref="I71">SQRT(MMULT(MMULT(Scenarios1[[#This Row],[SPY]:[PE]], 'Corr_Cov 36- Month'!$J$13:$N$17), TRANSPOSE(Scenarios1[[#This Row],[SPY]:[PE]])))</f>
        <v>7.4760527273057001E-2</v>
      </c>
      <c r="J71" s="70">
        <f>(Scenarios1[[#This Row],[Expected Return]]-RiskFree)/Scenarios1[[#This Row],[36M Vol]]</f>
        <v>0.3598376663885367</v>
      </c>
      <c r="K71" s="121" cm="1">
        <f t="array" ref="K71">MIN(_xlfn._xlws.FILTER(PortfolioFrontier[#Data],(PortfolioFrontier[#Headers]="P"&amp;Scenarios1[[#This Row],[Reference '#]]&amp;" DD")))</f>
        <v>-0.16849098057898348</v>
      </c>
      <c r="L71" s="69">
        <f>SUM(Scenarios1[[#This Row],[SPY]:[VNQ]])</f>
        <v>0.89999999999999991</v>
      </c>
      <c r="M71" s="69">
        <f>SUM(Scenarios1[[#This Row],[SPY]:[PE]])</f>
        <v>0.99999999999999989</v>
      </c>
      <c r="N71" s="71" t="b">
        <f>Scenarios1[[#This Row],[SPY]]&gt;=SpyMin</f>
        <v>1</v>
      </c>
      <c r="O71" s="71" t="b">
        <f>Scenarios1[[#This Row],[AGG]]&gt;=AGGMin</f>
        <v>1</v>
      </c>
      <c r="P71" s="71" t="b">
        <f>AND(Scenarios1[[#This Row],[GLD]]&gt;=GLDMin,Scenarios1[[#This Row],[GLD]]&lt;=GLDMax)</f>
        <v>1</v>
      </c>
      <c r="Q71" s="71" t="b">
        <f>Scenarios1[[#This Row],[VNQ]]&gt;=VNQMin</f>
        <v>1</v>
      </c>
      <c r="R71" s="71" t="b">
        <f>AND(Scenarios1[[#This Row],[PE]]&gt;=PEMin,Scenarios1[[#This Row],[PE]]&lt;=PEMax)</f>
        <v>1</v>
      </c>
      <c r="S71" s="71" t="b">
        <f>Scenarios1[[#This Row],[Liquid Assets]]&gt;=LiquidMin</f>
        <v>1</v>
      </c>
      <c r="T71" s="71" t="b">
        <f>AND(Scenarios1[[#This Row],[Expected Return]]&gt;=ExpectedReturnMin,Scenarios1[[#This Row],[Expected Return]]&lt;=ExpectedReturnMax)</f>
        <v>0</v>
      </c>
      <c r="U71" s="71" t="b">
        <f>Scenarios1[[#This Row],[Max Drawdown]]&gt;=DrawdownMax</f>
        <v>1</v>
      </c>
      <c r="V7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71" s="46">
        <f>_xlfn.XLOOKUP(Scenarios1[[#This Row],[Reference '#]],ScenariosCombined[Reference '#],ScenariosCombined[Sharpe Rank])</f>
        <v>99</v>
      </c>
      <c r="X71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7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30/40/10/10/10</v>
      </c>
      <c r="Z71" t="str">
        <f>Scenarios1[[#This Row],[Sharpe Rank]]</f>
        <v/>
      </c>
      <c r="AA71" t="str">
        <f>_xlfn.XLOOKUP(Scenarios1[[#This Row],[Reference '#]],Scenarios2[Reference '#],Scenarios2[Sharpe Rank])</f>
        <v/>
      </c>
      <c r="AB71">
        <f>_xlfn.XLOOKUP(Scenarios1[[#This Row],[Reference '#]],Scenarios3[Reference '#],Scenarios3[Sharpe Rank])</f>
        <v>96</v>
      </c>
      <c r="AF71" s="34"/>
      <c r="AG71" s="34"/>
      <c r="AK71" s="15"/>
    </row>
    <row r="72" spans="2:37" x14ac:dyDescent="0.2">
      <c r="B72" s="71">
        <v>62</v>
      </c>
      <c r="C72" s="69">
        <v>0.3</v>
      </c>
      <c r="D72" s="69">
        <v>0.35</v>
      </c>
      <c r="E72" s="69">
        <v>0.15</v>
      </c>
      <c r="F72" s="69">
        <v>0.1</v>
      </c>
      <c r="G72" s="69">
        <v>0.1</v>
      </c>
      <c r="H72" s="69">
        <f>SUMPRODUCT(Scenarios1[[#This Row],[SPY]:[PE]],_xlfn.TOROW(AssetSpecsScenario1[Annualized Return]))</f>
        <v>7.9482667474708418E-2</v>
      </c>
      <c r="I72" s="69" cm="1">
        <f t="array" ref="I72">SQRT(MMULT(MMULT(Scenarios1[[#This Row],[SPY]:[PE]], 'Corr_Cov 36- Month'!$J$13:$N$17), TRANSPOSE(Scenarios1[[#This Row],[SPY]:[PE]])))</f>
        <v>7.4660012217719132E-2</v>
      </c>
      <c r="J72" s="70">
        <f>(Scenarios1[[#This Row],[Expected Return]]-RiskFree)/Scenarios1[[#This Row],[36M Vol]]</f>
        <v>0.43500008846027277</v>
      </c>
      <c r="K72" s="121" cm="1">
        <f t="array" ref="K72">MIN(_xlfn._xlws.FILTER(PortfolioFrontier[#Data],(PortfolioFrontier[#Headers]="P"&amp;Scenarios1[[#This Row],[Reference '#]]&amp;" DD")))</f>
        <v>-0.16600529744900194</v>
      </c>
      <c r="L72" s="69">
        <f>SUM(Scenarios1[[#This Row],[SPY]:[VNQ]])</f>
        <v>0.89999999999999991</v>
      </c>
      <c r="M72" s="69">
        <f>SUM(Scenarios1[[#This Row],[SPY]:[PE]])</f>
        <v>0.99999999999999989</v>
      </c>
      <c r="N72" s="71" t="b">
        <f>Scenarios1[[#This Row],[SPY]]&gt;=SpyMin</f>
        <v>1</v>
      </c>
      <c r="O72" s="71" t="b">
        <f>Scenarios1[[#This Row],[AGG]]&gt;=AGGMin</f>
        <v>1</v>
      </c>
      <c r="P72" s="71" t="b">
        <f>AND(Scenarios1[[#This Row],[GLD]]&gt;=GLDMin,Scenarios1[[#This Row],[GLD]]&lt;=GLDMax)</f>
        <v>1</v>
      </c>
      <c r="Q72" s="71" t="b">
        <f>Scenarios1[[#This Row],[VNQ]]&gt;=VNQMin</f>
        <v>1</v>
      </c>
      <c r="R72" s="71" t="b">
        <f>AND(Scenarios1[[#This Row],[PE]]&gt;=PEMin,Scenarios1[[#This Row],[PE]]&lt;=PEMax)</f>
        <v>1</v>
      </c>
      <c r="S72" s="71" t="b">
        <f>Scenarios1[[#This Row],[Liquid Assets]]&gt;=LiquidMin</f>
        <v>1</v>
      </c>
      <c r="T72" s="71" t="b">
        <f>AND(Scenarios1[[#This Row],[Expected Return]]&gt;=ExpectedReturnMin,Scenarios1[[#This Row],[Expected Return]]&lt;=ExpectedReturnMax)</f>
        <v>1</v>
      </c>
      <c r="U72" s="71" t="b">
        <f>Scenarios1[[#This Row],[Max Drawdown]]&gt;=DrawdownMax</f>
        <v>1</v>
      </c>
      <c r="V7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2" s="46">
        <f>_xlfn.XLOOKUP(Scenarios1[[#This Row],[Reference '#]],ScenariosCombined[Reference '#],ScenariosCombined[Sharpe Rank])</f>
        <v>70</v>
      </c>
      <c r="X72" s="71">
        <f>IF(Scenarios1[[#This Row],[Eligible]],COUNTIFS(Scenarios1[Sharpe],"&gt;"&amp;Scenarios1[[#This Row],[Sharpe]],Scenarios1[Eligible],TRUE())+COUNTIFS(Scenarios1[Sharpe],Scenarios1[[#This Row],[Sharpe]],Scenarios1[Eligible],TRUE()),"")</f>
        <v>69</v>
      </c>
      <c r="Y7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30/35/15/10/10</v>
      </c>
      <c r="Z72">
        <f>Scenarios1[[#This Row],[Sharpe Rank]]</f>
        <v>69</v>
      </c>
      <c r="AA72">
        <f>_xlfn.XLOOKUP(Scenarios1[[#This Row],[Reference '#]],Scenarios2[Reference '#],Scenarios2[Sharpe Rank])</f>
        <v>67</v>
      </c>
      <c r="AB72">
        <f>_xlfn.XLOOKUP(Scenarios1[[#This Row],[Reference '#]],Scenarios3[Reference '#],Scenarios3[Sharpe Rank])</f>
        <v>66</v>
      </c>
      <c r="AF72" s="34"/>
      <c r="AG72" s="34"/>
      <c r="AK72" s="15"/>
    </row>
    <row r="73" spans="2:37" x14ac:dyDescent="0.2">
      <c r="B73" s="71">
        <v>63</v>
      </c>
      <c r="C73" s="69">
        <v>0.3</v>
      </c>
      <c r="D73" s="69">
        <v>0.35</v>
      </c>
      <c r="E73" s="69">
        <v>0.1</v>
      </c>
      <c r="F73" s="69">
        <v>0.15</v>
      </c>
      <c r="G73" s="69">
        <v>0.1</v>
      </c>
      <c r="H73" s="69">
        <f>SUMPRODUCT(Scenarios1[[#This Row],[SPY]:[PE]],_xlfn.TOROW(AssetSpecsScenario1[Annualized Return]))</f>
        <v>7.5490948573632422E-2</v>
      </c>
      <c r="I73" s="69" cm="1">
        <f t="array" ref="I73">SQRT(MMULT(MMULT(Scenarios1[[#This Row],[SPY]:[PE]], 'Corr_Cov 36- Month'!$J$13:$N$17), TRANSPOSE(Scenarios1[[#This Row],[SPY]:[PE]])))</f>
        <v>7.9887578805035941E-2</v>
      </c>
      <c r="J73" s="70">
        <f>(Scenarios1[[#This Row],[Expected Return]]-RiskFree)/Scenarios1[[#This Row],[36M Vol]]</f>
        <v>0.35656848591687712</v>
      </c>
      <c r="K73" s="107" cm="1">
        <f t="array" ref="K73">MIN(_xlfn._xlws.FILTER(PortfolioFrontier[#Data],(PortfolioFrontier[#Headers]="P"&amp;Scenarios1[[#This Row],[Reference '#]]&amp;" DD")))</f>
        <v>-0.17619937541805675</v>
      </c>
      <c r="L73" s="69">
        <f>SUM(Scenarios1[[#This Row],[SPY]:[VNQ]])</f>
        <v>0.89999999999999991</v>
      </c>
      <c r="M73" s="69">
        <f>SUM(Scenarios1[[#This Row],[SPY]:[PE]])</f>
        <v>0.99999999999999989</v>
      </c>
      <c r="N73" s="71" t="b">
        <f>Scenarios1[[#This Row],[SPY]]&gt;=SpyMin</f>
        <v>1</v>
      </c>
      <c r="O73" s="71" t="b">
        <f>Scenarios1[[#This Row],[AGG]]&gt;=AGGMin</f>
        <v>1</v>
      </c>
      <c r="P73" s="71" t="b">
        <f>AND(Scenarios1[[#This Row],[GLD]]&gt;=GLDMin,Scenarios1[[#This Row],[GLD]]&lt;=GLDMax)</f>
        <v>1</v>
      </c>
      <c r="Q73" s="71" t="b">
        <f>Scenarios1[[#This Row],[VNQ]]&gt;=VNQMin</f>
        <v>1</v>
      </c>
      <c r="R73" s="71" t="b">
        <f>AND(Scenarios1[[#This Row],[PE]]&gt;=PEMin,Scenarios1[[#This Row],[PE]]&lt;=PEMax)</f>
        <v>1</v>
      </c>
      <c r="S73" s="71" t="b">
        <f>Scenarios1[[#This Row],[Liquid Assets]]&gt;=LiquidMin</f>
        <v>1</v>
      </c>
      <c r="T73" s="71" t="b">
        <f>AND(Scenarios1[[#This Row],[Expected Return]]&gt;=ExpectedReturnMin,Scenarios1[[#This Row],[Expected Return]]&lt;=ExpectedReturnMax)</f>
        <v>1</v>
      </c>
      <c r="U73" s="71" t="b">
        <f>Scenarios1[[#This Row],[Max Drawdown]]&gt;=DrawdownMax</f>
        <v>1</v>
      </c>
      <c r="V7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3" s="46">
        <f>_xlfn.XLOOKUP(Scenarios1[[#This Row],[Reference '#]],ScenariosCombined[Reference '#],ScenariosCombined[Sharpe Rank])</f>
        <v>100</v>
      </c>
      <c r="X73" s="71">
        <f>IF(Scenarios1[[#This Row],[Eligible]],COUNTIFS(Scenarios1[Sharpe],"&gt;"&amp;Scenarios1[[#This Row],[Sharpe]],Scenarios1[Eligible],TRUE())+COUNTIFS(Scenarios1[Sharpe],Scenarios1[[#This Row],[Sharpe]],Scenarios1[Eligible],TRUE()),"")</f>
        <v>100</v>
      </c>
      <c r="Y7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30/35/10/15/10</v>
      </c>
      <c r="Z73">
        <f>Scenarios1[[#This Row],[Sharpe Rank]]</f>
        <v>100</v>
      </c>
      <c r="AA73">
        <f>_xlfn.XLOOKUP(Scenarios1[[#This Row],[Reference '#]],Scenarios2[Reference '#],Scenarios2[Sharpe Rank])</f>
        <v>99</v>
      </c>
      <c r="AB73">
        <f>_xlfn.XLOOKUP(Scenarios1[[#This Row],[Reference '#]],Scenarios3[Reference '#],Scenarios3[Sharpe Rank])</f>
        <v>98</v>
      </c>
      <c r="AF73" s="34"/>
      <c r="AG73" s="34"/>
      <c r="AK73" s="15"/>
    </row>
    <row r="74" spans="2:37" x14ac:dyDescent="0.2">
      <c r="B74" s="71">
        <v>64</v>
      </c>
      <c r="C74" s="69">
        <v>0.3</v>
      </c>
      <c r="D74" s="69">
        <v>0.35</v>
      </c>
      <c r="E74" s="69">
        <v>0.1</v>
      </c>
      <c r="F74" s="69">
        <v>0.1</v>
      </c>
      <c r="G74" s="69">
        <v>0.15</v>
      </c>
      <c r="H74" s="69">
        <f>SUMPRODUCT(Scenarios1[[#This Row],[SPY]:[PE]],_xlfn.TOROW(AssetSpecsScenario1[Annualized Return]))</f>
        <v>7.5381474534830017E-2</v>
      </c>
      <c r="I74" s="69" cm="1">
        <f t="array" ref="I74">SQRT(MMULT(MMULT(Scenarios1[[#This Row],[SPY]:[PE]], 'Corr_Cov 36- Month'!$J$13:$N$17), TRANSPOSE(Scenarios1[[#This Row],[SPY]:[PE]])))</f>
        <v>7.236874153699005E-2</v>
      </c>
      <c r="J74" s="70">
        <f>(Scenarios1[[#This Row],[Expected Return]]-RiskFree)/Scenarios1[[#This Row],[36M Vol]]</f>
        <v>0.39210187128610768</v>
      </c>
      <c r="K74" s="107" cm="1">
        <f t="array" ref="K74">MIN(_xlfn._xlws.FILTER(PortfolioFrontier[#Data],(PortfolioFrontier[#Headers]="P"&amp;Scenarios1[[#This Row],[Reference '#]]&amp;" DD")))</f>
        <v>-0.16174572414969512</v>
      </c>
      <c r="L74" s="69">
        <f>SUM(Scenarios1[[#This Row],[SPY]:[VNQ]])</f>
        <v>0.84999999999999987</v>
      </c>
      <c r="M74" s="69">
        <f>SUM(Scenarios1[[#This Row],[SPY]:[PE]])</f>
        <v>0.99999999999999989</v>
      </c>
      <c r="N74" s="71" t="b">
        <f>Scenarios1[[#This Row],[SPY]]&gt;=SpyMin</f>
        <v>1</v>
      </c>
      <c r="O74" s="71" t="b">
        <f>Scenarios1[[#This Row],[AGG]]&gt;=AGGMin</f>
        <v>1</v>
      </c>
      <c r="P74" s="71" t="b">
        <f>AND(Scenarios1[[#This Row],[GLD]]&gt;=GLDMin,Scenarios1[[#This Row],[GLD]]&lt;=GLDMax)</f>
        <v>1</v>
      </c>
      <c r="Q74" s="71" t="b">
        <f>Scenarios1[[#This Row],[VNQ]]&gt;=VNQMin</f>
        <v>1</v>
      </c>
      <c r="R74" s="71" t="b">
        <f>AND(Scenarios1[[#This Row],[PE]]&gt;=PEMin,Scenarios1[[#This Row],[PE]]&lt;=PEMax)</f>
        <v>1</v>
      </c>
      <c r="S74" s="71" t="b">
        <f>Scenarios1[[#This Row],[Liquid Assets]]&gt;=LiquidMin</f>
        <v>1</v>
      </c>
      <c r="T74" s="71" t="b">
        <f>AND(Scenarios1[[#This Row],[Expected Return]]&gt;=ExpectedReturnMin,Scenarios1[[#This Row],[Expected Return]]&lt;=ExpectedReturnMax)</f>
        <v>1</v>
      </c>
      <c r="U74" s="71" t="b">
        <f>Scenarios1[[#This Row],[Max Drawdown]]&gt;=DrawdownMax</f>
        <v>1</v>
      </c>
      <c r="V7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4" s="46">
        <f>_xlfn.XLOOKUP(Scenarios1[[#This Row],[Reference '#]],ScenariosCombined[Reference '#],ScenariosCombined[Sharpe Rank])</f>
        <v>87</v>
      </c>
      <c r="X74" s="71">
        <f>IF(Scenarios1[[#This Row],[Eligible]],COUNTIFS(Scenarios1[Sharpe],"&gt;"&amp;Scenarios1[[#This Row],[Sharpe]],Scenarios1[Eligible],TRUE())+COUNTIFS(Scenarios1[Sharpe],Scenarios1[[#This Row],[Sharpe]],Scenarios1[Eligible],TRUE()),"")</f>
        <v>91</v>
      </c>
      <c r="Y7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30/35/10/10/15</v>
      </c>
      <c r="Z74">
        <f>Scenarios1[[#This Row],[Sharpe Rank]]</f>
        <v>91</v>
      </c>
      <c r="AA74">
        <f>_xlfn.XLOOKUP(Scenarios1[[#This Row],[Reference '#]],Scenarios2[Reference '#],Scenarios2[Sharpe Rank])</f>
        <v>89</v>
      </c>
      <c r="AB74">
        <f>_xlfn.XLOOKUP(Scenarios1[[#This Row],[Reference '#]],Scenarios3[Reference '#],Scenarios3[Sharpe Rank])</f>
        <v>74</v>
      </c>
      <c r="AF74" s="34"/>
      <c r="AG74" s="34"/>
      <c r="AK74" s="15"/>
    </row>
    <row r="75" spans="2:37" x14ac:dyDescent="0.2">
      <c r="B75" s="71">
        <v>65</v>
      </c>
      <c r="C75" s="69">
        <v>0.3</v>
      </c>
      <c r="D75" s="69">
        <v>0.3</v>
      </c>
      <c r="E75" s="69">
        <v>0.2</v>
      </c>
      <c r="F75" s="69">
        <v>0.1</v>
      </c>
      <c r="G75" s="69">
        <v>0.1</v>
      </c>
      <c r="H75" s="69">
        <f>SUMPRODUCT(Scenarios1[[#This Row],[SPY]:[PE]],_xlfn.TOROW(AssetSpecsScenario1[Annualized Return]))</f>
        <v>8.505812572194793E-2</v>
      </c>
      <c r="I75" s="69" cm="1">
        <f t="array" ref="I75">SQRT(MMULT(MMULT(Scenarios1[[#This Row],[SPY]:[PE]], 'Corr_Cov 36- Month'!$J$13:$N$17), TRANSPOSE(Scenarios1[[#This Row],[SPY]:[PE]])))</f>
        <v>7.5118132820344422E-2</v>
      </c>
      <c r="J75" s="70">
        <f>(Scenarios1[[#This Row],[Expected Return]]-RiskFree)/Scenarios1[[#This Row],[36M Vol]]</f>
        <v>0.50656970211707009</v>
      </c>
      <c r="K75" s="121" cm="1">
        <f t="array" ref="K75">MIN(_xlfn._xlws.FILTER(PortfolioFrontier[#Data],(PortfolioFrontier[#Headers]="P"&amp;Scenarios1[[#This Row],[Reference '#]]&amp;" DD")))</f>
        <v>-0.16353671020713034</v>
      </c>
      <c r="L75" s="69">
        <f>SUM(Scenarios1[[#This Row],[SPY]:[VNQ]])</f>
        <v>0.9</v>
      </c>
      <c r="M75" s="69">
        <f>SUM(Scenarios1[[#This Row],[SPY]:[PE]])</f>
        <v>1</v>
      </c>
      <c r="N75" s="71" t="b">
        <f>Scenarios1[[#This Row],[SPY]]&gt;=SpyMin</f>
        <v>1</v>
      </c>
      <c r="O75" s="71" t="b">
        <f>Scenarios1[[#This Row],[AGG]]&gt;=AGGMin</f>
        <v>1</v>
      </c>
      <c r="P75" s="71" t="b">
        <f>AND(Scenarios1[[#This Row],[GLD]]&gt;=GLDMin,Scenarios1[[#This Row],[GLD]]&lt;=GLDMax)</f>
        <v>1</v>
      </c>
      <c r="Q75" s="71" t="b">
        <f>Scenarios1[[#This Row],[VNQ]]&gt;=VNQMin</f>
        <v>1</v>
      </c>
      <c r="R75" s="71" t="b">
        <f>AND(Scenarios1[[#This Row],[PE]]&gt;=PEMin,Scenarios1[[#This Row],[PE]]&lt;=PEMax)</f>
        <v>1</v>
      </c>
      <c r="S75" s="71" t="b">
        <f>Scenarios1[[#This Row],[Liquid Assets]]&gt;=LiquidMin</f>
        <v>1</v>
      </c>
      <c r="T75" s="71" t="b">
        <f>AND(Scenarios1[[#This Row],[Expected Return]]&gt;=ExpectedReturnMin,Scenarios1[[#This Row],[Expected Return]]&lt;=ExpectedReturnMax)</f>
        <v>1</v>
      </c>
      <c r="U75" s="71" t="b">
        <f>Scenarios1[[#This Row],[Max Drawdown]]&gt;=DrawdownMax</f>
        <v>1</v>
      </c>
      <c r="V7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5" s="46">
        <f>_xlfn.XLOOKUP(Scenarios1[[#This Row],[Reference '#]],ScenariosCombined[Reference '#],ScenariosCombined[Sharpe Rank])</f>
        <v>41</v>
      </c>
      <c r="X75" s="71">
        <f>IF(Scenarios1[[#This Row],[Eligible]],COUNTIFS(Scenarios1[Sharpe],"&gt;"&amp;Scenarios1[[#This Row],[Sharpe]],Scenarios1[Eligible],TRUE())+COUNTIFS(Scenarios1[Sharpe],Scenarios1[[#This Row],[Sharpe]],Scenarios1[Eligible],TRUE()),"")</f>
        <v>38</v>
      </c>
      <c r="Y7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30/30/20/10/10</v>
      </c>
      <c r="Z75">
        <f>Scenarios1[[#This Row],[Sharpe Rank]]</f>
        <v>38</v>
      </c>
      <c r="AA75">
        <f>_xlfn.XLOOKUP(Scenarios1[[#This Row],[Reference '#]],Scenarios2[Reference '#],Scenarios2[Sharpe Rank])</f>
        <v>39</v>
      </c>
      <c r="AB75">
        <f>_xlfn.XLOOKUP(Scenarios1[[#This Row],[Reference '#]],Scenarios3[Reference '#],Scenarios3[Sharpe Rank])</f>
        <v>37</v>
      </c>
      <c r="AF75" s="34"/>
      <c r="AG75" s="34"/>
      <c r="AK75" s="15"/>
    </row>
    <row r="76" spans="2:37" x14ac:dyDescent="0.2">
      <c r="B76" s="71">
        <v>66</v>
      </c>
      <c r="C76" s="69">
        <v>0.3</v>
      </c>
      <c r="D76" s="69">
        <v>0.3</v>
      </c>
      <c r="E76" s="69">
        <v>0.15</v>
      </c>
      <c r="F76" s="69">
        <v>0.15</v>
      </c>
      <c r="G76" s="69">
        <v>0.1</v>
      </c>
      <c r="H76" s="69">
        <f>SUMPRODUCT(Scenarios1[[#This Row],[SPY]:[PE]],_xlfn.TOROW(AssetSpecsScenario1[Annualized Return]))</f>
        <v>8.1066406820871906E-2</v>
      </c>
      <c r="I76" s="69" cm="1">
        <f t="array" ref="I76">SQRT(MMULT(MMULT(Scenarios1[[#This Row],[SPY]:[PE]], 'Corr_Cov 36- Month'!$J$13:$N$17), TRANSPOSE(Scenarios1[[#This Row],[SPY]:[PE]])))</f>
        <v>7.9687239397557827E-2</v>
      </c>
      <c r="J76" s="70">
        <f>(Scenarios1[[#This Row],[Expected Return]]-RiskFree)/Scenarios1[[#This Row],[36M Vol]]</f>
        <v>0.42743168822033778</v>
      </c>
      <c r="K76" s="107" cm="1">
        <f t="array" ref="K76">MIN(_xlfn._xlws.FILTER(PortfolioFrontier[#Data],(PortfolioFrontier[#Headers]="P"&amp;Scenarios1[[#This Row],[Reference '#]]&amp;" DD")))</f>
        <v>-0.17373548486634538</v>
      </c>
      <c r="L76" s="69">
        <f>SUM(Scenarios1[[#This Row],[SPY]:[VNQ]])</f>
        <v>0.9</v>
      </c>
      <c r="M76" s="69">
        <f>SUM(Scenarios1[[#This Row],[SPY]:[PE]])</f>
        <v>1</v>
      </c>
      <c r="N76" s="71" t="b">
        <f>Scenarios1[[#This Row],[SPY]]&gt;=SpyMin</f>
        <v>1</v>
      </c>
      <c r="O76" s="71" t="b">
        <f>Scenarios1[[#This Row],[AGG]]&gt;=AGGMin</f>
        <v>1</v>
      </c>
      <c r="P76" s="71" t="b">
        <f>AND(Scenarios1[[#This Row],[GLD]]&gt;=GLDMin,Scenarios1[[#This Row],[GLD]]&lt;=GLDMax)</f>
        <v>1</v>
      </c>
      <c r="Q76" s="71" t="b">
        <f>Scenarios1[[#This Row],[VNQ]]&gt;=VNQMin</f>
        <v>1</v>
      </c>
      <c r="R76" s="71" t="b">
        <f>AND(Scenarios1[[#This Row],[PE]]&gt;=PEMin,Scenarios1[[#This Row],[PE]]&lt;=PEMax)</f>
        <v>1</v>
      </c>
      <c r="S76" s="71" t="b">
        <f>Scenarios1[[#This Row],[Liquid Assets]]&gt;=LiquidMin</f>
        <v>1</v>
      </c>
      <c r="T76" s="71" t="b">
        <f>AND(Scenarios1[[#This Row],[Expected Return]]&gt;=ExpectedReturnMin,Scenarios1[[#This Row],[Expected Return]]&lt;=ExpectedReturnMax)</f>
        <v>1</v>
      </c>
      <c r="U76" s="71" t="b">
        <f>Scenarios1[[#This Row],[Max Drawdown]]&gt;=DrawdownMax</f>
        <v>1</v>
      </c>
      <c r="V7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6" s="46">
        <f>_xlfn.XLOOKUP(Scenarios1[[#This Row],[Reference '#]],ScenariosCombined[Reference '#],ScenariosCombined[Sharpe Rank])</f>
        <v>74</v>
      </c>
      <c r="X76" s="71">
        <f>IF(Scenarios1[[#This Row],[Eligible]],COUNTIFS(Scenarios1[Sharpe],"&gt;"&amp;Scenarios1[[#This Row],[Sharpe]],Scenarios1[Eligible],TRUE())+COUNTIFS(Scenarios1[Sharpe],Scenarios1[[#This Row],[Sharpe]],Scenarios1[Eligible],TRUE()),"")</f>
        <v>72</v>
      </c>
      <c r="Y7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30/30/15/15/10</v>
      </c>
      <c r="Z76">
        <f>Scenarios1[[#This Row],[Sharpe Rank]]</f>
        <v>72</v>
      </c>
      <c r="AA76">
        <f>_xlfn.XLOOKUP(Scenarios1[[#This Row],[Reference '#]],Scenarios2[Reference '#],Scenarios2[Sharpe Rank])</f>
        <v>72</v>
      </c>
      <c r="AB76">
        <f>_xlfn.XLOOKUP(Scenarios1[[#This Row],[Reference '#]],Scenarios3[Reference '#],Scenarios3[Sharpe Rank])</f>
        <v>70</v>
      </c>
      <c r="AF76" s="34"/>
      <c r="AG76" s="34"/>
      <c r="AK76" s="15"/>
    </row>
    <row r="77" spans="2:37" x14ac:dyDescent="0.2">
      <c r="B77" s="71">
        <v>67</v>
      </c>
      <c r="C77" s="69">
        <v>0.3</v>
      </c>
      <c r="D77" s="69">
        <v>0.3</v>
      </c>
      <c r="E77" s="69">
        <v>0.15</v>
      </c>
      <c r="F77" s="69">
        <v>0.1</v>
      </c>
      <c r="G77" s="69">
        <v>0.15</v>
      </c>
      <c r="H77" s="69">
        <f>SUMPRODUCT(Scenarios1[[#This Row],[SPY]:[PE]],_xlfn.TOROW(AssetSpecsScenario1[Annualized Return]))</f>
        <v>8.0956932782069502E-2</v>
      </c>
      <c r="I77" s="69" cm="1">
        <f t="array" ref="I77">SQRT(MMULT(MMULT(Scenarios1[[#This Row],[SPY]:[PE]], 'Corr_Cov 36- Month'!$J$13:$N$17), TRANSPOSE(Scenarios1[[#This Row],[SPY]:[PE]])))</f>
        <v>7.2253131710009952E-2</v>
      </c>
      <c r="J77" s="70">
        <f>(Scenarios1[[#This Row],[Expected Return]]-RiskFree)/Scenarios1[[#This Row],[36M Vol]]</f>
        <v>0.46989488791681433</v>
      </c>
      <c r="K77" s="107" cm="1">
        <f t="array" ref="K77">MIN(_xlfn._xlws.FILTER(PortfolioFrontier[#Data],(PortfolioFrontier[#Headers]="P"&amp;Scenarios1[[#This Row],[Reference '#]]&amp;" DD")))</f>
        <v>-0.15925163718743796</v>
      </c>
      <c r="L77" s="69">
        <f>SUM(Scenarios1[[#This Row],[SPY]:[VNQ]])</f>
        <v>0.85</v>
      </c>
      <c r="M77" s="69">
        <f>SUM(Scenarios1[[#This Row],[SPY]:[PE]])</f>
        <v>1</v>
      </c>
      <c r="N77" s="71" t="b">
        <f>Scenarios1[[#This Row],[SPY]]&gt;=SpyMin</f>
        <v>1</v>
      </c>
      <c r="O77" s="71" t="b">
        <f>Scenarios1[[#This Row],[AGG]]&gt;=AGGMin</f>
        <v>1</v>
      </c>
      <c r="P77" s="71" t="b">
        <f>AND(Scenarios1[[#This Row],[GLD]]&gt;=GLDMin,Scenarios1[[#This Row],[GLD]]&lt;=GLDMax)</f>
        <v>1</v>
      </c>
      <c r="Q77" s="71" t="b">
        <f>Scenarios1[[#This Row],[VNQ]]&gt;=VNQMin</f>
        <v>1</v>
      </c>
      <c r="R77" s="71" t="b">
        <f>AND(Scenarios1[[#This Row],[PE]]&gt;=PEMin,Scenarios1[[#This Row],[PE]]&lt;=PEMax)</f>
        <v>1</v>
      </c>
      <c r="S77" s="71" t="b">
        <f>Scenarios1[[#This Row],[Liquid Assets]]&gt;=LiquidMin</f>
        <v>1</v>
      </c>
      <c r="T77" s="71" t="b">
        <f>AND(Scenarios1[[#This Row],[Expected Return]]&gt;=ExpectedReturnMin,Scenarios1[[#This Row],[Expected Return]]&lt;=ExpectedReturnMax)</f>
        <v>1</v>
      </c>
      <c r="U77" s="71" t="b">
        <f>Scenarios1[[#This Row],[Max Drawdown]]&gt;=DrawdownMax</f>
        <v>1</v>
      </c>
      <c r="V7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7" s="46">
        <f>_xlfn.XLOOKUP(Scenarios1[[#This Row],[Reference '#]],ScenariosCombined[Reference '#],ScenariosCombined[Sharpe Rank])</f>
        <v>52</v>
      </c>
      <c r="X77" s="71">
        <f>IF(Scenarios1[[#This Row],[Eligible]],COUNTIFS(Scenarios1[Sharpe],"&gt;"&amp;Scenarios1[[#This Row],[Sharpe]],Scenarios1[Eligible],TRUE())+COUNTIFS(Scenarios1[Sharpe],Scenarios1[[#This Row],[Sharpe]],Scenarios1[Eligible],TRUE()),"")</f>
        <v>57</v>
      </c>
      <c r="Y7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30/30/15/10/15</v>
      </c>
      <c r="Z77">
        <f>Scenarios1[[#This Row],[Sharpe Rank]]</f>
        <v>57</v>
      </c>
      <c r="AA77">
        <f>_xlfn.XLOOKUP(Scenarios1[[#This Row],[Reference '#]],Scenarios2[Reference '#],Scenarios2[Sharpe Rank])</f>
        <v>53</v>
      </c>
      <c r="AB77">
        <f>_xlfn.XLOOKUP(Scenarios1[[#This Row],[Reference '#]],Scenarios3[Reference '#],Scenarios3[Sharpe Rank])</f>
        <v>39</v>
      </c>
      <c r="AF77" s="34"/>
      <c r="AG77" s="34"/>
      <c r="AK77" s="15"/>
    </row>
    <row r="78" spans="2:37" x14ac:dyDescent="0.2">
      <c r="B78" s="71">
        <v>68</v>
      </c>
      <c r="C78" s="69">
        <v>0.3</v>
      </c>
      <c r="D78" s="69">
        <v>0.3</v>
      </c>
      <c r="E78" s="69">
        <v>0.1</v>
      </c>
      <c r="F78" s="69">
        <v>0.2</v>
      </c>
      <c r="G78" s="69">
        <v>0.1</v>
      </c>
      <c r="H78" s="69">
        <f>SUMPRODUCT(Scenarios1[[#This Row],[SPY]:[PE]],_xlfn.TOROW(AssetSpecsScenario1[Annualized Return]))</f>
        <v>7.7074687919795895E-2</v>
      </c>
      <c r="I78" s="69" cm="1">
        <f t="array" ref="I78">SQRT(MMULT(MMULT(Scenarios1[[#This Row],[SPY]:[PE]], 'Corr_Cov 36- Month'!$J$13:$N$17), TRANSPOSE(Scenarios1[[#This Row],[SPY]:[PE]])))</f>
        <v>8.5216336368045431E-2</v>
      </c>
      <c r="J78" s="70">
        <f>(Scenarios1[[#This Row],[Expected Return]]-RiskFree)/Scenarios1[[#This Row],[36M Vol]]</f>
        <v>0.352856431592801</v>
      </c>
      <c r="K78" s="107" cm="1">
        <f t="array" ref="K78">MIN(_xlfn._xlws.FILTER(PortfolioFrontier[#Data],(PortfolioFrontier[#Headers]="P"&amp;Scenarios1[[#This Row],[Reference '#]]&amp;" DD")))</f>
        <v>-0.18390694878202885</v>
      </c>
      <c r="L78" s="69">
        <f>SUM(Scenarios1[[#This Row],[SPY]:[VNQ]])</f>
        <v>0.89999999999999991</v>
      </c>
      <c r="M78" s="69">
        <f>SUM(Scenarios1[[#This Row],[SPY]:[PE]])</f>
        <v>0.99999999999999989</v>
      </c>
      <c r="N78" s="71" t="b">
        <f>Scenarios1[[#This Row],[SPY]]&gt;=SpyMin</f>
        <v>1</v>
      </c>
      <c r="O78" s="71" t="b">
        <f>Scenarios1[[#This Row],[AGG]]&gt;=AGGMin</f>
        <v>1</v>
      </c>
      <c r="P78" s="71" t="b">
        <f>AND(Scenarios1[[#This Row],[GLD]]&gt;=GLDMin,Scenarios1[[#This Row],[GLD]]&lt;=GLDMax)</f>
        <v>1</v>
      </c>
      <c r="Q78" s="71" t="b">
        <f>Scenarios1[[#This Row],[VNQ]]&gt;=VNQMin</f>
        <v>1</v>
      </c>
      <c r="R78" s="71" t="b">
        <f>AND(Scenarios1[[#This Row],[PE]]&gt;=PEMin,Scenarios1[[#This Row],[PE]]&lt;=PEMax)</f>
        <v>1</v>
      </c>
      <c r="S78" s="71" t="b">
        <f>Scenarios1[[#This Row],[Liquid Assets]]&gt;=LiquidMin</f>
        <v>1</v>
      </c>
      <c r="T78" s="71" t="b">
        <f>AND(Scenarios1[[#This Row],[Expected Return]]&gt;=ExpectedReturnMin,Scenarios1[[#This Row],[Expected Return]]&lt;=ExpectedReturnMax)</f>
        <v>1</v>
      </c>
      <c r="U78" s="71" t="b">
        <f>Scenarios1[[#This Row],[Max Drawdown]]&gt;=DrawdownMax</f>
        <v>1</v>
      </c>
      <c r="V7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8" s="46">
        <f>_xlfn.XLOOKUP(Scenarios1[[#This Row],[Reference '#]],ScenariosCombined[Reference '#],ScenariosCombined[Sharpe Rank])</f>
        <v>103</v>
      </c>
      <c r="X78" s="71">
        <f>IF(Scenarios1[[#This Row],[Eligible]],COUNTIFS(Scenarios1[Sharpe],"&gt;"&amp;Scenarios1[[#This Row],[Sharpe]],Scenarios1[Eligible],TRUE())+COUNTIFS(Scenarios1[Sharpe],Scenarios1[[#This Row],[Sharpe]],Scenarios1[Eligible],TRUE()),"")</f>
        <v>101</v>
      </c>
      <c r="Y7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30/30/10/20/10</v>
      </c>
      <c r="Z78">
        <f>Scenarios1[[#This Row],[Sharpe Rank]]</f>
        <v>101</v>
      </c>
      <c r="AA78">
        <f>_xlfn.XLOOKUP(Scenarios1[[#This Row],[Reference '#]],Scenarios2[Reference '#],Scenarios2[Sharpe Rank])</f>
        <v>100</v>
      </c>
      <c r="AB78">
        <f>_xlfn.XLOOKUP(Scenarios1[[#This Row],[Reference '#]],Scenarios3[Reference '#],Scenarios3[Sharpe Rank])</f>
        <v>100</v>
      </c>
      <c r="AF78" s="34"/>
      <c r="AG78" s="34"/>
      <c r="AK78" s="15"/>
    </row>
    <row r="79" spans="2:37" x14ac:dyDescent="0.2">
      <c r="B79" s="71">
        <v>69</v>
      </c>
      <c r="C79" s="69">
        <v>0.3</v>
      </c>
      <c r="D79" s="69">
        <v>0.3</v>
      </c>
      <c r="E79" s="69">
        <v>0.1</v>
      </c>
      <c r="F79" s="69">
        <v>0.15</v>
      </c>
      <c r="G79" s="69">
        <v>0.15</v>
      </c>
      <c r="H79" s="69">
        <f>SUMPRODUCT(Scenarios1[[#This Row],[SPY]:[PE]],_xlfn.TOROW(AssetSpecsScenario1[Annualized Return]))</f>
        <v>7.6965213880993505E-2</v>
      </c>
      <c r="I79" s="69" cm="1">
        <f t="array" ref="I79">SQRT(MMULT(MMULT(Scenarios1[[#This Row],[SPY]:[PE]], 'Corr_Cov 36- Month'!$J$13:$N$17), TRANSPOSE(Scenarios1[[#This Row],[SPY]:[PE]])))</f>
        <v>7.7470698579904629E-2</v>
      </c>
      <c r="J79" s="70">
        <f>(Scenarios1[[#This Row],[Expected Return]]-RiskFree)/Scenarios1[[#This Row],[36M Vol]]</f>
        <v>0.38672244957926954</v>
      </c>
      <c r="K79" s="107" cm="1">
        <f t="array" ref="K79">MIN(_xlfn._xlws.FILTER(PortfolioFrontier[#Data],(PortfolioFrontier[#Headers]="P"&amp;Scenarios1[[#This Row],[Reference '#]]&amp;" DD")))</f>
        <v>-0.16949431138552595</v>
      </c>
      <c r="L79" s="69">
        <f>SUM(Scenarios1[[#This Row],[SPY]:[VNQ]])</f>
        <v>0.85</v>
      </c>
      <c r="M79" s="69">
        <f>SUM(Scenarios1[[#This Row],[SPY]:[PE]])</f>
        <v>1</v>
      </c>
      <c r="N79" s="71" t="b">
        <f>Scenarios1[[#This Row],[SPY]]&gt;=SpyMin</f>
        <v>1</v>
      </c>
      <c r="O79" s="71" t="b">
        <f>Scenarios1[[#This Row],[AGG]]&gt;=AGGMin</f>
        <v>1</v>
      </c>
      <c r="P79" s="71" t="b">
        <f>AND(Scenarios1[[#This Row],[GLD]]&gt;=GLDMin,Scenarios1[[#This Row],[GLD]]&lt;=GLDMax)</f>
        <v>1</v>
      </c>
      <c r="Q79" s="71" t="b">
        <f>Scenarios1[[#This Row],[VNQ]]&gt;=VNQMin</f>
        <v>1</v>
      </c>
      <c r="R79" s="71" t="b">
        <f>AND(Scenarios1[[#This Row],[PE]]&gt;=PEMin,Scenarios1[[#This Row],[PE]]&lt;=PEMax)</f>
        <v>1</v>
      </c>
      <c r="S79" s="71" t="b">
        <f>Scenarios1[[#This Row],[Liquid Assets]]&gt;=LiquidMin</f>
        <v>1</v>
      </c>
      <c r="T79" s="71" t="b">
        <f>AND(Scenarios1[[#This Row],[Expected Return]]&gt;=ExpectedReturnMin,Scenarios1[[#This Row],[Expected Return]]&lt;=ExpectedReturnMax)</f>
        <v>1</v>
      </c>
      <c r="U79" s="71" t="b">
        <f>Scenarios1[[#This Row],[Max Drawdown]]&gt;=DrawdownMax</f>
        <v>1</v>
      </c>
      <c r="V7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79" s="46">
        <f>_xlfn.XLOOKUP(Scenarios1[[#This Row],[Reference '#]],ScenariosCombined[Reference '#],ScenariosCombined[Sharpe Rank])</f>
        <v>91</v>
      </c>
      <c r="X79" s="71">
        <f>IF(Scenarios1[[#This Row],[Eligible]],COUNTIFS(Scenarios1[Sharpe],"&gt;"&amp;Scenarios1[[#This Row],[Sharpe]],Scenarios1[Eligible],TRUE())+COUNTIFS(Scenarios1[Sharpe],Scenarios1[[#This Row],[Sharpe]],Scenarios1[Eligible],TRUE()),"")</f>
        <v>92</v>
      </c>
      <c r="Y7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30/30/10/15/15</v>
      </c>
      <c r="Z79">
        <f>Scenarios1[[#This Row],[Sharpe Rank]]</f>
        <v>92</v>
      </c>
      <c r="AA79">
        <f>_xlfn.XLOOKUP(Scenarios1[[#This Row],[Reference '#]],Scenarios2[Reference '#],Scenarios2[Sharpe Rank])</f>
        <v>91</v>
      </c>
      <c r="AB79">
        <f>_xlfn.XLOOKUP(Scenarios1[[#This Row],[Reference '#]],Scenarios3[Reference '#],Scenarios3[Sharpe Rank])</f>
        <v>79</v>
      </c>
      <c r="AF79" s="34"/>
      <c r="AG79" s="34"/>
      <c r="AK79" s="15"/>
    </row>
    <row r="80" spans="2:37" x14ac:dyDescent="0.2">
      <c r="B80" s="71">
        <v>70</v>
      </c>
      <c r="C80" s="69">
        <v>0.3</v>
      </c>
      <c r="D80" s="69">
        <v>0.3</v>
      </c>
      <c r="E80" s="69">
        <v>0.1</v>
      </c>
      <c r="F80" s="69">
        <v>0.1</v>
      </c>
      <c r="G80" s="69">
        <v>0.2</v>
      </c>
      <c r="H80" s="69">
        <f>SUMPRODUCT(Scenarios1[[#This Row],[SPY]:[PE]],_xlfn.TOROW(AssetSpecsScenario1[Annualized Return]))</f>
        <v>7.6855739842191101E-2</v>
      </c>
      <c r="I80" s="69" cm="1">
        <f t="array" ref="I80">SQRT(MMULT(MMULT(Scenarios1[[#This Row],[SPY]:[PE]], 'Corr_Cov 36- Month'!$J$13:$N$17), TRANSPOSE(Scenarios1[[#This Row],[SPY]:[PE]])))</f>
        <v>7.0183318774743708E-2</v>
      </c>
      <c r="J80" s="70">
        <f>(Scenarios1[[#This Row],[Expected Return]]-RiskFree)/Scenarios1[[#This Row],[36M Vol]]</f>
        <v>0.42531736611716758</v>
      </c>
      <c r="K80" s="107" cm="1">
        <f t="array" ref="K80">MIN(_xlfn._xlws.FILTER(PortfolioFrontier[#Data],(PortfolioFrontier[#Headers]="P"&amp;Scenarios1[[#This Row],[Reference '#]]&amp;" DD")))</f>
        <v>-0.15496704459696842</v>
      </c>
      <c r="L80" s="69">
        <f>SUM(Scenarios1[[#This Row],[SPY]:[VNQ]])</f>
        <v>0.79999999999999993</v>
      </c>
      <c r="M80" s="69">
        <f>SUM(Scenarios1[[#This Row],[SPY]:[PE]])</f>
        <v>1</v>
      </c>
      <c r="N80" s="71" t="b">
        <f>Scenarios1[[#This Row],[SPY]]&gt;=SpyMin</f>
        <v>1</v>
      </c>
      <c r="O80" s="71" t="b">
        <f>Scenarios1[[#This Row],[AGG]]&gt;=AGGMin</f>
        <v>1</v>
      </c>
      <c r="P80" s="71" t="b">
        <f>AND(Scenarios1[[#This Row],[GLD]]&gt;=GLDMin,Scenarios1[[#This Row],[GLD]]&lt;=GLDMax)</f>
        <v>1</v>
      </c>
      <c r="Q80" s="71" t="b">
        <f>Scenarios1[[#This Row],[VNQ]]&gt;=VNQMin</f>
        <v>1</v>
      </c>
      <c r="R80" s="71" t="b">
        <f>AND(Scenarios1[[#This Row],[PE]]&gt;=PEMin,Scenarios1[[#This Row],[PE]]&lt;=PEMax)</f>
        <v>1</v>
      </c>
      <c r="S80" s="71" t="b">
        <f>Scenarios1[[#This Row],[Liquid Assets]]&gt;=LiquidMin</f>
        <v>1</v>
      </c>
      <c r="T80" s="71" t="b">
        <f>AND(Scenarios1[[#This Row],[Expected Return]]&gt;=ExpectedReturnMin,Scenarios1[[#This Row],[Expected Return]]&lt;=ExpectedReturnMax)</f>
        <v>1</v>
      </c>
      <c r="U80" s="71" t="b">
        <f>Scenarios1[[#This Row],[Max Drawdown]]&gt;=DrawdownMax</f>
        <v>1</v>
      </c>
      <c r="V8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0" s="46">
        <f>_xlfn.XLOOKUP(Scenarios1[[#This Row],[Reference '#]],ScenariosCombined[Reference '#],ScenariosCombined[Sharpe Rank])</f>
        <v>66</v>
      </c>
      <c r="X80" s="71">
        <f>IF(Scenarios1[[#This Row],[Eligible]],COUNTIFS(Scenarios1[Sharpe],"&gt;"&amp;Scenarios1[[#This Row],[Sharpe]],Scenarios1[Eligible],TRUE())+COUNTIFS(Scenarios1[Sharpe],Scenarios1[[#This Row],[Sharpe]],Scenarios1[Eligible],TRUE()),"")</f>
        <v>74</v>
      </c>
      <c r="Y8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30/30/10/10/20</v>
      </c>
      <c r="Z80">
        <f>Scenarios1[[#This Row],[Sharpe Rank]]</f>
        <v>74</v>
      </c>
      <c r="AA80">
        <f>_xlfn.XLOOKUP(Scenarios1[[#This Row],[Reference '#]],Scenarios2[Reference '#],Scenarios2[Sharpe Rank])</f>
        <v>70</v>
      </c>
      <c r="AB80">
        <f>_xlfn.XLOOKUP(Scenarios1[[#This Row],[Reference '#]],Scenarios3[Reference '#],Scenarios3[Sharpe Rank])</f>
        <v>50</v>
      </c>
      <c r="AF80" s="34"/>
      <c r="AG80" s="34"/>
      <c r="AK80" s="15"/>
    </row>
    <row r="81" spans="2:37" x14ac:dyDescent="0.2">
      <c r="B81" s="71">
        <v>71</v>
      </c>
      <c r="C81" s="69">
        <v>0.3</v>
      </c>
      <c r="D81" s="69">
        <v>0.25</v>
      </c>
      <c r="E81" s="69">
        <v>0.2</v>
      </c>
      <c r="F81" s="69">
        <v>0.15</v>
      </c>
      <c r="G81" s="69">
        <v>0.1</v>
      </c>
      <c r="H81" s="69">
        <f>SUMPRODUCT(Scenarios1[[#This Row],[SPY]:[PE]],_xlfn.TOROW(AssetSpecsScenario1[Annualized Return]))</f>
        <v>8.6641865068111418E-2</v>
      </c>
      <c r="I81" s="69" cm="1">
        <f t="array" ref="I81">SQRT(MMULT(MMULT(Scenarios1[[#This Row],[SPY]:[PE]], 'Corr_Cov 36- Month'!$J$13:$N$17), TRANSPOSE(Scenarios1[[#This Row],[SPY]:[PE]])))</f>
        <v>8.0010764689115568E-2</v>
      </c>
      <c r="J81" s="70">
        <f>(Scenarios1[[#This Row],[Expected Return]]-RiskFree)/Scenarios1[[#This Row],[36M Vol]]</f>
        <v>0.49538721029056576</v>
      </c>
      <c r="K81" s="107" cm="1">
        <f t="array" ref="K81">MIN(_xlfn._xlws.FILTER(PortfolioFrontier[#Data],(PortfolioFrontier[#Headers]="P"&amp;Scenarios1[[#This Row],[Reference '#]]&amp;" DD")))</f>
        <v>-0.17128851054404948</v>
      </c>
      <c r="L81" s="69">
        <f>SUM(Scenarios1[[#This Row],[SPY]:[VNQ]])</f>
        <v>0.9</v>
      </c>
      <c r="M81" s="69">
        <f>SUM(Scenarios1[[#This Row],[SPY]:[PE]])</f>
        <v>1</v>
      </c>
      <c r="N81" s="71" t="b">
        <f>Scenarios1[[#This Row],[SPY]]&gt;=SpyMin</f>
        <v>1</v>
      </c>
      <c r="O81" s="71" t="b">
        <f>Scenarios1[[#This Row],[AGG]]&gt;=AGGMin</f>
        <v>1</v>
      </c>
      <c r="P81" s="71" t="b">
        <f>AND(Scenarios1[[#This Row],[GLD]]&gt;=GLDMin,Scenarios1[[#This Row],[GLD]]&lt;=GLDMax)</f>
        <v>1</v>
      </c>
      <c r="Q81" s="71" t="b">
        <f>Scenarios1[[#This Row],[VNQ]]&gt;=VNQMin</f>
        <v>1</v>
      </c>
      <c r="R81" s="71" t="b">
        <f>AND(Scenarios1[[#This Row],[PE]]&gt;=PEMin,Scenarios1[[#This Row],[PE]]&lt;=PEMax)</f>
        <v>1</v>
      </c>
      <c r="S81" s="71" t="b">
        <f>Scenarios1[[#This Row],[Liquid Assets]]&gt;=LiquidMin</f>
        <v>1</v>
      </c>
      <c r="T81" s="71" t="b">
        <f>AND(Scenarios1[[#This Row],[Expected Return]]&gt;=ExpectedReturnMin,Scenarios1[[#This Row],[Expected Return]]&lt;=ExpectedReturnMax)</f>
        <v>1</v>
      </c>
      <c r="U81" s="71" t="b">
        <f>Scenarios1[[#This Row],[Max Drawdown]]&gt;=DrawdownMax</f>
        <v>1</v>
      </c>
      <c r="V8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1" s="46">
        <f>_xlfn.XLOOKUP(Scenarios1[[#This Row],[Reference '#]],ScenariosCombined[Reference '#],ScenariosCombined[Sharpe Rank])</f>
        <v>47</v>
      </c>
      <c r="X81" s="71">
        <f>IF(Scenarios1[[#This Row],[Eligible]],COUNTIFS(Scenarios1[Sharpe],"&gt;"&amp;Scenarios1[[#This Row],[Sharpe]],Scenarios1[Eligible],TRUE())+COUNTIFS(Scenarios1[Sharpe],Scenarios1[[#This Row],[Sharpe]],Scenarios1[Eligible],TRUE()),"")</f>
        <v>44</v>
      </c>
      <c r="Y8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30/25/20/15/10</v>
      </c>
      <c r="Z81">
        <f>Scenarios1[[#This Row],[Sharpe Rank]]</f>
        <v>44</v>
      </c>
      <c r="AA81">
        <f>_xlfn.XLOOKUP(Scenarios1[[#This Row],[Reference '#]],Scenarios2[Reference '#],Scenarios2[Sharpe Rank])</f>
        <v>44</v>
      </c>
      <c r="AB81">
        <f>_xlfn.XLOOKUP(Scenarios1[[#This Row],[Reference '#]],Scenarios3[Reference '#],Scenarios3[Sharpe Rank])</f>
        <v>40</v>
      </c>
      <c r="AF81" s="34"/>
      <c r="AG81" s="34"/>
      <c r="AK81" s="15"/>
    </row>
    <row r="82" spans="2:37" x14ac:dyDescent="0.2">
      <c r="B82" s="71">
        <v>72</v>
      </c>
      <c r="C82" s="69">
        <v>0.3</v>
      </c>
      <c r="D82" s="69">
        <v>0.25</v>
      </c>
      <c r="E82" s="69">
        <v>0.2</v>
      </c>
      <c r="F82" s="69">
        <v>0.1</v>
      </c>
      <c r="G82" s="69">
        <v>0.15</v>
      </c>
      <c r="H82" s="69">
        <f>SUMPRODUCT(Scenarios1[[#This Row],[SPY]:[PE]],_xlfn.TOROW(AssetSpecsScenario1[Annualized Return]))</f>
        <v>8.6532391029309014E-2</v>
      </c>
      <c r="I82" s="69" cm="1">
        <f t="array" ref="I82">SQRT(MMULT(MMULT(Scenarios1[[#This Row],[SPY]:[PE]], 'Corr_Cov 36- Month'!$J$13:$N$17), TRANSPOSE(Scenarios1[[#This Row],[SPY]:[PE]])))</f>
        <v>7.2714722030830112E-2</v>
      </c>
      <c r="J82" s="70">
        <f>(Scenarios1[[#This Row],[Expected Return]]-RiskFree)/Scenarios1[[#This Row],[36M Vol]]</f>
        <v>0.54358779583857297</v>
      </c>
      <c r="K82" s="121" cm="1">
        <f t="array" ref="K82">MIN(_xlfn._xlws.FILTER(PortfolioFrontier[#Data],(PortfolioFrontier[#Headers]="P"&amp;Scenarios1[[#This Row],[Reference '#]]&amp;" DD")))</f>
        <v>-0.15677480431751634</v>
      </c>
      <c r="L82" s="69">
        <f>SUM(Scenarios1[[#This Row],[SPY]:[VNQ]])</f>
        <v>0.85</v>
      </c>
      <c r="M82" s="69">
        <f>SUM(Scenarios1[[#This Row],[SPY]:[PE]])</f>
        <v>1</v>
      </c>
      <c r="N82" s="71" t="b">
        <f>Scenarios1[[#This Row],[SPY]]&gt;=SpyMin</f>
        <v>1</v>
      </c>
      <c r="O82" s="71" t="b">
        <f>Scenarios1[[#This Row],[AGG]]&gt;=AGGMin</f>
        <v>1</v>
      </c>
      <c r="P82" s="71" t="b">
        <f>AND(Scenarios1[[#This Row],[GLD]]&gt;=GLDMin,Scenarios1[[#This Row],[GLD]]&lt;=GLDMax)</f>
        <v>1</v>
      </c>
      <c r="Q82" s="71" t="b">
        <f>Scenarios1[[#This Row],[VNQ]]&gt;=VNQMin</f>
        <v>1</v>
      </c>
      <c r="R82" s="71" t="b">
        <f>AND(Scenarios1[[#This Row],[PE]]&gt;=PEMin,Scenarios1[[#This Row],[PE]]&lt;=PEMax)</f>
        <v>1</v>
      </c>
      <c r="S82" s="71" t="b">
        <f>Scenarios1[[#This Row],[Liquid Assets]]&gt;=LiquidMin</f>
        <v>1</v>
      </c>
      <c r="T82" s="71" t="b">
        <f>AND(Scenarios1[[#This Row],[Expected Return]]&gt;=ExpectedReturnMin,Scenarios1[[#This Row],[Expected Return]]&lt;=ExpectedReturnMax)</f>
        <v>1</v>
      </c>
      <c r="U82" s="71" t="b">
        <f>Scenarios1[[#This Row],[Max Drawdown]]&gt;=DrawdownMax</f>
        <v>1</v>
      </c>
      <c r="V8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2" s="46">
        <f>_xlfn.XLOOKUP(Scenarios1[[#This Row],[Reference '#]],ScenariosCombined[Reference '#],ScenariosCombined[Sharpe Rank])</f>
        <v>22</v>
      </c>
      <c r="X82" s="71">
        <f>IF(Scenarios1[[#This Row],[Eligible]],COUNTIFS(Scenarios1[Sharpe],"&gt;"&amp;Scenarios1[[#This Row],[Sharpe]],Scenarios1[Eligible],TRUE())+COUNTIFS(Scenarios1[Sharpe],Scenarios1[[#This Row],[Sharpe]],Scenarios1[Eligible],TRUE()),"")</f>
        <v>27</v>
      </c>
      <c r="Y8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30/25/20/10/15</v>
      </c>
      <c r="Z82" s="139">
        <f>Scenarios1[[#This Row],[Sharpe Rank]]</f>
        <v>27</v>
      </c>
      <c r="AA82" s="139">
        <f>_xlfn.XLOOKUP(Scenarios1[[#This Row],[Reference '#]],Scenarios2[Reference '#],Scenarios2[Sharpe Rank])</f>
        <v>23</v>
      </c>
      <c r="AB82" s="139">
        <f>_xlfn.XLOOKUP(Scenarios1[[#This Row],[Reference '#]],Scenarios3[Reference '#],Scenarios3[Sharpe Rank])</f>
        <v>12</v>
      </c>
      <c r="AF82" s="34"/>
      <c r="AG82" s="34"/>
      <c r="AK82" s="15"/>
    </row>
    <row r="83" spans="2:37" x14ac:dyDescent="0.2">
      <c r="B83" s="71">
        <v>73</v>
      </c>
      <c r="C83" s="69">
        <v>0.3</v>
      </c>
      <c r="D83" s="69">
        <v>0.25</v>
      </c>
      <c r="E83" s="69">
        <v>0.15</v>
      </c>
      <c r="F83" s="69">
        <v>0.2</v>
      </c>
      <c r="G83" s="69">
        <v>0.1</v>
      </c>
      <c r="H83" s="69">
        <f>SUMPRODUCT(Scenarios1[[#This Row],[SPY]:[PE]],_xlfn.TOROW(AssetSpecsScenario1[Annualized Return]))</f>
        <v>8.2650146167035379E-2</v>
      </c>
      <c r="I83" s="69" cm="1">
        <f t="array" ref="I83">SQRT(MMULT(MMULT(Scenarios1[[#This Row],[SPY]:[PE]], 'Corr_Cov 36- Month'!$J$13:$N$17), TRANSPOSE(Scenarios1[[#This Row],[SPY]:[PE]])))</f>
        <v>8.4928821661042236E-2</v>
      </c>
      <c r="J83" s="70">
        <f>(Scenarios1[[#This Row],[Expected Return]]-RiskFree)/Scenarios1[[#This Row],[36M Vol]]</f>
        <v>0.41969957800356938</v>
      </c>
      <c r="K83" s="107" cm="1">
        <f t="array" ref="K83">MIN(_xlfn._xlws.FILTER(PortfolioFrontier[#Data],(PortfolioFrontier[#Headers]="P"&amp;Scenarios1[[#This Row],[Reference '#]]&amp;" DD")))</f>
        <v>-0.18146484085570624</v>
      </c>
      <c r="L83" s="69">
        <f>SUM(Scenarios1[[#This Row],[SPY]:[VNQ]])</f>
        <v>0.90000000000000013</v>
      </c>
      <c r="M83" s="69">
        <f>SUM(Scenarios1[[#This Row],[SPY]:[PE]])</f>
        <v>1.0000000000000002</v>
      </c>
      <c r="N83" s="71" t="b">
        <f>Scenarios1[[#This Row],[SPY]]&gt;=SpyMin</f>
        <v>1</v>
      </c>
      <c r="O83" s="71" t="b">
        <f>Scenarios1[[#This Row],[AGG]]&gt;=AGGMin</f>
        <v>1</v>
      </c>
      <c r="P83" s="71" t="b">
        <f>AND(Scenarios1[[#This Row],[GLD]]&gt;=GLDMin,Scenarios1[[#This Row],[GLD]]&lt;=GLDMax)</f>
        <v>1</v>
      </c>
      <c r="Q83" s="71" t="b">
        <f>Scenarios1[[#This Row],[VNQ]]&gt;=VNQMin</f>
        <v>1</v>
      </c>
      <c r="R83" s="71" t="b">
        <f>AND(Scenarios1[[#This Row],[PE]]&gt;=PEMin,Scenarios1[[#This Row],[PE]]&lt;=PEMax)</f>
        <v>1</v>
      </c>
      <c r="S83" s="71" t="b">
        <f>Scenarios1[[#This Row],[Liquid Assets]]&gt;=LiquidMin</f>
        <v>1</v>
      </c>
      <c r="T83" s="71" t="b">
        <f>AND(Scenarios1[[#This Row],[Expected Return]]&gt;=ExpectedReturnMin,Scenarios1[[#This Row],[Expected Return]]&lt;=ExpectedReturnMax)</f>
        <v>1</v>
      </c>
      <c r="U83" s="71" t="b">
        <f>Scenarios1[[#This Row],[Max Drawdown]]&gt;=DrawdownMax</f>
        <v>1</v>
      </c>
      <c r="V8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3" s="46">
        <f>_xlfn.XLOOKUP(Scenarios1[[#This Row],[Reference '#]],ScenariosCombined[Reference '#],ScenariosCombined[Sharpe Rank])</f>
        <v>79</v>
      </c>
      <c r="X83" s="71">
        <f>IF(Scenarios1[[#This Row],[Eligible]],COUNTIFS(Scenarios1[Sharpe],"&gt;"&amp;Scenarios1[[#This Row],[Sharpe]],Scenarios1[Eligible],TRUE())+COUNTIFS(Scenarios1[Sharpe],Scenarios1[[#This Row],[Sharpe]],Scenarios1[Eligible],TRUE()),"")</f>
        <v>77</v>
      </c>
      <c r="Y8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30/25/15/20/10</v>
      </c>
      <c r="Z83">
        <f>Scenarios1[[#This Row],[Sharpe Rank]]</f>
        <v>77</v>
      </c>
      <c r="AA83">
        <f>_xlfn.XLOOKUP(Scenarios1[[#This Row],[Reference '#]],Scenarios2[Reference '#],Scenarios2[Sharpe Rank])</f>
        <v>77</v>
      </c>
      <c r="AB83">
        <f>_xlfn.XLOOKUP(Scenarios1[[#This Row],[Reference '#]],Scenarios3[Reference '#],Scenarios3[Sharpe Rank])</f>
        <v>75</v>
      </c>
      <c r="AF83" s="34"/>
      <c r="AG83" s="34"/>
      <c r="AK83" s="15"/>
    </row>
    <row r="84" spans="2:37" x14ac:dyDescent="0.2">
      <c r="B84" s="71">
        <v>74</v>
      </c>
      <c r="C84" s="69">
        <v>0.3</v>
      </c>
      <c r="D84" s="69">
        <v>0.25</v>
      </c>
      <c r="E84" s="69">
        <v>0.15</v>
      </c>
      <c r="F84" s="69">
        <v>0.15</v>
      </c>
      <c r="G84" s="69">
        <v>0.15</v>
      </c>
      <c r="H84" s="69">
        <f>SUMPRODUCT(Scenarios1[[#This Row],[SPY]:[PE]],_xlfn.TOROW(AssetSpecsScenario1[Annualized Return]))</f>
        <v>8.2540672128232989E-2</v>
      </c>
      <c r="I84" s="69" cm="1">
        <f t="array" ref="I84">SQRT(MMULT(MMULT(Scenarios1[[#This Row],[SPY]:[PE]], 'Corr_Cov 36- Month'!$J$13:$N$17), TRANSPOSE(Scenarios1[[#This Row],[SPY]:[PE]])))</f>
        <v>7.7253086138892896E-2</v>
      </c>
      <c r="J84" s="70">
        <f>(Scenarios1[[#This Row],[Expected Return]]-RiskFree)/Scenarios1[[#This Row],[36M Vol]]</f>
        <v>0.45998313269697794</v>
      </c>
      <c r="K84" s="107" cm="1">
        <f t="array" ref="K84">MIN(_xlfn._xlws.FILTER(PortfolioFrontier[#Data],(PortfolioFrontier[#Headers]="P"&amp;Scenarios1[[#This Row],[Reference '#]]&amp;" DD")))</f>
        <v>-0.16702205029844652</v>
      </c>
      <c r="L84" s="69">
        <f>SUM(Scenarios1[[#This Row],[SPY]:[VNQ]])</f>
        <v>0.85000000000000009</v>
      </c>
      <c r="M84" s="69">
        <f>SUM(Scenarios1[[#This Row],[SPY]:[PE]])</f>
        <v>1</v>
      </c>
      <c r="N84" s="71" t="b">
        <f>Scenarios1[[#This Row],[SPY]]&gt;=SpyMin</f>
        <v>1</v>
      </c>
      <c r="O84" s="71" t="b">
        <f>Scenarios1[[#This Row],[AGG]]&gt;=AGGMin</f>
        <v>1</v>
      </c>
      <c r="P84" s="71" t="b">
        <f>AND(Scenarios1[[#This Row],[GLD]]&gt;=GLDMin,Scenarios1[[#This Row],[GLD]]&lt;=GLDMax)</f>
        <v>1</v>
      </c>
      <c r="Q84" s="71" t="b">
        <f>Scenarios1[[#This Row],[VNQ]]&gt;=VNQMin</f>
        <v>1</v>
      </c>
      <c r="R84" s="71" t="b">
        <f>AND(Scenarios1[[#This Row],[PE]]&gt;=PEMin,Scenarios1[[#This Row],[PE]]&lt;=PEMax)</f>
        <v>1</v>
      </c>
      <c r="S84" s="71" t="b">
        <f>Scenarios1[[#This Row],[Liquid Assets]]&gt;=LiquidMin</f>
        <v>1</v>
      </c>
      <c r="T84" s="71" t="b">
        <f>AND(Scenarios1[[#This Row],[Expected Return]]&gt;=ExpectedReturnMin,Scenarios1[[#This Row],[Expected Return]]&lt;=ExpectedReturnMax)</f>
        <v>1</v>
      </c>
      <c r="U84" s="71" t="b">
        <f>Scenarios1[[#This Row],[Max Drawdown]]&gt;=DrawdownMax</f>
        <v>1</v>
      </c>
      <c r="V8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4" s="46">
        <f>_xlfn.XLOOKUP(Scenarios1[[#This Row],[Reference '#]],ScenariosCombined[Reference '#],ScenariosCombined[Sharpe Rank])</f>
        <v>58</v>
      </c>
      <c r="X84" s="71">
        <f>IF(Scenarios1[[#This Row],[Eligible]],COUNTIFS(Scenarios1[Sharpe],"&gt;"&amp;Scenarios1[[#This Row],[Sharpe]],Scenarios1[Eligible],TRUE())+COUNTIFS(Scenarios1[Sharpe],Scenarios1[[#This Row],[Sharpe]],Scenarios1[Eligible],TRUE()),"")</f>
        <v>60</v>
      </c>
      <c r="Y8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30/25/15/15/15</v>
      </c>
      <c r="Z84">
        <f>Scenarios1[[#This Row],[Sharpe Rank]]</f>
        <v>60</v>
      </c>
      <c r="AA84">
        <f>_xlfn.XLOOKUP(Scenarios1[[#This Row],[Reference '#]],Scenarios2[Reference '#],Scenarios2[Sharpe Rank])</f>
        <v>58</v>
      </c>
      <c r="AB84">
        <f>_xlfn.XLOOKUP(Scenarios1[[#This Row],[Reference '#]],Scenarios3[Reference '#],Scenarios3[Sharpe Rank])</f>
        <v>45</v>
      </c>
      <c r="AF84" s="34"/>
      <c r="AG84" s="34"/>
      <c r="AK84" s="15"/>
    </row>
    <row r="85" spans="2:37" x14ac:dyDescent="0.2">
      <c r="B85" s="71">
        <v>75</v>
      </c>
      <c r="C85" s="69">
        <v>0.3</v>
      </c>
      <c r="D85" s="69">
        <v>0.25</v>
      </c>
      <c r="E85" s="69">
        <v>0.15</v>
      </c>
      <c r="F85" s="69">
        <v>0.1</v>
      </c>
      <c r="G85" s="69">
        <v>0.2</v>
      </c>
      <c r="H85" s="69">
        <f>SUMPRODUCT(Scenarios1[[#This Row],[SPY]:[PE]],_xlfn.TOROW(AssetSpecsScenario1[Annualized Return]))</f>
        <v>8.2431198089430585E-2</v>
      </c>
      <c r="I85" s="69" cm="1">
        <f t="array" ref="I85">SQRT(MMULT(MMULT(Scenarios1[[#This Row],[SPY]:[PE]], 'Corr_Cov 36- Month'!$J$13:$N$17), TRANSPOSE(Scenarios1[[#This Row],[SPY]:[PE]])))</f>
        <v>7.0051965201167465E-2</v>
      </c>
      <c r="J85" s="70">
        <f>(Scenarios1[[#This Row],[Expected Return]]-RiskFree)/Scenarios1[[#This Row],[36M Vol]]</f>
        <v>0.50570519231178745</v>
      </c>
      <c r="K85" s="121" cm="1">
        <f t="array" ref="K85">MIN(_xlfn._xlws.FILTER(PortfolioFrontier[#Data],(PortfolioFrontier[#Headers]="P"&amp;Scenarios1[[#This Row],[Reference '#]]&amp;" DD")))</f>
        <v>-0.15246458266521146</v>
      </c>
      <c r="L85" s="69">
        <f>SUM(Scenarios1[[#This Row],[SPY]:[VNQ]])</f>
        <v>0.8</v>
      </c>
      <c r="M85" s="69">
        <f>SUM(Scenarios1[[#This Row],[SPY]:[PE]])</f>
        <v>1</v>
      </c>
      <c r="N85" s="71" t="b">
        <f>Scenarios1[[#This Row],[SPY]]&gt;=SpyMin</f>
        <v>1</v>
      </c>
      <c r="O85" s="71" t="b">
        <f>Scenarios1[[#This Row],[AGG]]&gt;=AGGMin</f>
        <v>1</v>
      </c>
      <c r="P85" s="71" t="b">
        <f>AND(Scenarios1[[#This Row],[GLD]]&gt;=GLDMin,Scenarios1[[#This Row],[GLD]]&lt;=GLDMax)</f>
        <v>1</v>
      </c>
      <c r="Q85" s="71" t="b">
        <f>Scenarios1[[#This Row],[VNQ]]&gt;=VNQMin</f>
        <v>1</v>
      </c>
      <c r="R85" s="71" t="b">
        <f>AND(Scenarios1[[#This Row],[PE]]&gt;=PEMin,Scenarios1[[#This Row],[PE]]&lt;=PEMax)</f>
        <v>1</v>
      </c>
      <c r="S85" s="71" t="b">
        <f>Scenarios1[[#This Row],[Liquid Assets]]&gt;=LiquidMin</f>
        <v>1</v>
      </c>
      <c r="T85" s="71" t="b">
        <f>AND(Scenarios1[[#This Row],[Expected Return]]&gt;=ExpectedReturnMin,Scenarios1[[#This Row],[Expected Return]]&lt;=ExpectedReturnMax)</f>
        <v>1</v>
      </c>
      <c r="U85" s="71" t="b">
        <f>Scenarios1[[#This Row],[Max Drawdown]]&gt;=DrawdownMax</f>
        <v>1</v>
      </c>
      <c r="V8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5" s="46">
        <f>_xlfn.XLOOKUP(Scenarios1[[#This Row],[Reference '#]],ScenariosCombined[Reference '#],ScenariosCombined[Sharpe Rank])</f>
        <v>32</v>
      </c>
      <c r="X85" s="71">
        <f>IF(Scenarios1[[#This Row],[Eligible]],COUNTIFS(Scenarios1[Sharpe],"&gt;"&amp;Scenarios1[[#This Row],[Sharpe]],Scenarios1[Eligible],TRUE())+COUNTIFS(Scenarios1[Sharpe],Scenarios1[[#This Row],[Sharpe]],Scenarios1[Eligible],TRUE()),"")</f>
        <v>39</v>
      </c>
      <c r="Y8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30/25/15/10/20</v>
      </c>
      <c r="Z85">
        <f>Scenarios1[[#This Row],[Sharpe Rank]]</f>
        <v>39</v>
      </c>
      <c r="AA85">
        <f>_xlfn.XLOOKUP(Scenarios1[[#This Row],[Reference '#]],Scenarios2[Reference '#],Scenarios2[Sharpe Rank])</f>
        <v>34</v>
      </c>
      <c r="AB85">
        <f>_xlfn.XLOOKUP(Scenarios1[[#This Row],[Reference '#]],Scenarios3[Reference '#],Scenarios3[Sharpe Rank])</f>
        <v>16</v>
      </c>
      <c r="AF85" s="34"/>
      <c r="AG85" s="34"/>
      <c r="AK85" s="15"/>
    </row>
    <row r="86" spans="2:37" x14ac:dyDescent="0.2">
      <c r="B86" s="71">
        <v>76</v>
      </c>
      <c r="C86" s="69">
        <v>0.3</v>
      </c>
      <c r="D86" s="69">
        <v>0.25</v>
      </c>
      <c r="E86" s="69">
        <v>0.1</v>
      </c>
      <c r="F86" s="69">
        <v>0.25</v>
      </c>
      <c r="G86" s="69">
        <v>0.1</v>
      </c>
      <c r="H86" s="69">
        <f>SUMPRODUCT(Scenarios1[[#This Row],[SPY]:[PE]],_xlfn.TOROW(AssetSpecsScenario1[Annualized Return]))</f>
        <v>7.8658427265959355E-2</v>
      </c>
      <c r="I86" s="69" cm="1">
        <f t="array" ref="I86">SQRT(MMULT(MMULT(Scenarios1[[#This Row],[SPY]:[PE]], 'Corr_Cov 36- Month'!$J$13:$N$17), TRANSPOSE(Scenarios1[[#This Row],[SPY]:[PE]])))</f>
        <v>9.07112597648638E-2</v>
      </c>
      <c r="J86" s="70">
        <f>(Scenarios1[[#This Row],[Expected Return]]-RiskFree)/Scenarios1[[#This Row],[36M Vol]]</f>
        <v>0.34894093404118132</v>
      </c>
      <c r="K86" s="107" cm="1">
        <f t="array" ref="K86">MIN(_xlfn._xlws.FILTER(PortfolioFrontier[#Data],(PortfolioFrontier[#Headers]="P"&amp;Scenarios1[[#This Row],[Reference '#]]&amp;" DD")))</f>
        <v>-0.19161257876741677</v>
      </c>
      <c r="L86" s="69">
        <f>SUM(Scenarios1[[#This Row],[SPY]:[VNQ]])</f>
        <v>0.9</v>
      </c>
      <c r="M86" s="69">
        <f>SUM(Scenarios1[[#This Row],[SPY]:[PE]])</f>
        <v>1</v>
      </c>
      <c r="N86" s="71" t="b">
        <f>Scenarios1[[#This Row],[SPY]]&gt;=SpyMin</f>
        <v>1</v>
      </c>
      <c r="O86" s="71" t="b">
        <f>Scenarios1[[#This Row],[AGG]]&gt;=AGGMin</f>
        <v>1</v>
      </c>
      <c r="P86" s="71" t="b">
        <f>AND(Scenarios1[[#This Row],[GLD]]&gt;=GLDMin,Scenarios1[[#This Row],[GLD]]&lt;=GLDMax)</f>
        <v>1</v>
      </c>
      <c r="Q86" s="71" t="b">
        <f>Scenarios1[[#This Row],[VNQ]]&gt;=VNQMin</f>
        <v>1</v>
      </c>
      <c r="R86" s="71" t="b">
        <f>AND(Scenarios1[[#This Row],[PE]]&gt;=PEMin,Scenarios1[[#This Row],[PE]]&lt;=PEMax)</f>
        <v>1</v>
      </c>
      <c r="S86" s="71" t="b">
        <f>Scenarios1[[#This Row],[Liquid Assets]]&gt;=LiquidMin</f>
        <v>1</v>
      </c>
      <c r="T86" s="71" t="b">
        <f>AND(Scenarios1[[#This Row],[Expected Return]]&gt;=ExpectedReturnMin,Scenarios1[[#This Row],[Expected Return]]&lt;=ExpectedReturnMax)</f>
        <v>1</v>
      </c>
      <c r="U86" s="71" t="b">
        <f>Scenarios1[[#This Row],[Max Drawdown]]&gt;=DrawdownMax</f>
        <v>1</v>
      </c>
      <c r="V8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6" s="46">
        <f>_xlfn.XLOOKUP(Scenarios1[[#This Row],[Reference '#]],ScenariosCombined[Reference '#],ScenariosCombined[Sharpe Rank])</f>
        <v>106</v>
      </c>
      <c r="X86" s="71">
        <f>IF(Scenarios1[[#This Row],[Eligible]],COUNTIFS(Scenarios1[Sharpe],"&gt;"&amp;Scenarios1[[#This Row],[Sharpe]],Scenarios1[Eligible],TRUE())+COUNTIFS(Scenarios1[Sharpe],Scenarios1[[#This Row],[Sharpe]],Scenarios1[Eligible],TRUE()),"")</f>
        <v>103</v>
      </c>
      <c r="Y8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30/25/10/25/10</v>
      </c>
      <c r="Z86">
        <f>Scenarios1[[#This Row],[Sharpe Rank]]</f>
        <v>103</v>
      </c>
      <c r="AA86">
        <f>_xlfn.XLOOKUP(Scenarios1[[#This Row],[Reference '#]],Scenarios2[Reference '#],Scenarios2[Sharpe Rank])</f>
        <v>102</v>
      </c>
      <c r="AB86">
        <f>_xlfn.XLOOKUP(Scenarios1[[#This Row],[Reference '#]],Scenarios3[Reference '#],Scenarios3[Sharpe Rank])</f>
        <v>102</v>
      </c>
      <c r="AF86" s="34"/>
      <c r="AG86" s="34"/>
      <c r="AK86" s="15"/>
    </row>
    <row r="87" spans="2:37" x14ac:dyDescent="0.2">
      <c r="B87" s="71">
        <v>77</v>
      </c>
      <c r="C87" s="69">
        <v>0.3</v>
      </c>
      <c r="D87" s="69">
        <v>0.25</v>
      </c>
      <c r="E87" s="69">
        <v>0.1</v>
      </c>
      <c r="F87" s="69">
        <v>0.2</v>
      </c>
      <c r="G87" s="69">
        <v>0.15</v>
      </c>
      <c r="H87" s="69">
        <f>SUMPRODUCT(Scenarios1[[#This Row],[SPY]:[PE]],_xlfn.TOROW(AssetSpecsScenario1[Annualized Return]))</f>
        <v>7.8548953227156965E-2</v>
      </c>
      <c r="I87" s="69" cm="1">
        <f t="array" ref="I87">SQRT(MMULT(MMULT(Scenarios1[[#This Row],[SPY]:[PE]], 'Corr_Cov 36- Month'!$J$13:$N$17), TRANSPOSE(Scenarios1[[#This Row],[SPY]:[PE]])))</f>
        <v>8.2783412908292858E-2</v>
      </c>
      <c r="J87" s="70">
        <f>(Scenarios1[[#This Row],[Expected Return]]-RiskFree)/Scenarios1[[#This Row],[36M Vol]]</f>
        <v>0.38103524079811818</v>
      </c>
      <c r="K87" s="107" cm="1">
        <f t="array" ref="K87">MIN(_xlfn._xlws.FILTER(PortfolioFrontier[#Data],(PortfolioFrontier[#Headers]="P"&amp;Scenarios1[[#This Row],[Reference '#]]&amp;" DD")))</f>
        <v>-0.1772423898155604</v>
      </c>
      <c r="L87" s="69">
        <f>SUM(Scenarios1[[#This Row],[SPY]:[VNQ]])</f>
        <v>0.85000000000000009</v>
      </c>
      <c r="M87" s="69">
        <f>SUM(Scenarios1[[#This Row],[SPY]:[PE]])</f>
        <v>1</v>
      </c>
      <c r="N87" s="71" t="b">
        <f>Scenarios1[[#This Row],[SPY]]&gt;=SpyMin</f>
        <v>1</v>
      </c>
      <c r="O87" s="71" t="b">
        <f>Scenarios1[[#This Row],[AGG]]&gt;=AGGMin</f>
        <v>1</v>
      </c>
      <c r="P87" s="71" t="b">
        <f>AND(Scenarios1[[#This Row],[GLD]]&gt;=GLDMin,Scenarios1[[#This Row],[GLD]]&lt;=GLDMax)</f>
        <v>1</v>
      </c>
      <c r="Q87" s="71" t="b">
        <f>Scenarios1[[#This Row],[VNQ]]&gt;=VNQMin</f>
        <v>1</v>
      </c>
      <c r="R87" s="71" t="b">
        <f>AND(Scenarios1[[#This Row],[PE]]&gt;=PEMin,Scenarios1[[#This Row],[PE]]&lt;=PEMax)</f>
        <v>1</v>
      </c>
      <c r="S87" s="71" t="b">
        <f>Scenarios1[[#This Row],[Liquid Assets]]&gt;=LiquidMin</f>
        <v>1</v>
      </c>
      <c r="T87" s="71" t="b">
        <f>AND(Scenarios1[[#This Row],[Expected Return]]&gt;=ExpectedReturnMin,Scenarios1[[#This Row],[Expected Return]]&lt;=ExpectedReturnMax)</f>
        <v>1</v>
      </c>
      <c r="U87" s="71" t="b">
        <f>Scenarios1[[#This Row],[Max Drawdown]]&gt;=DrawdownMax</f>
        <v>1</v>
      </c>
      <c r="V8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7" s="46">
        <f>_xlfn.XLOOKUP(Scenarios1[[#This Row],[Reference '#]],ScenariosCombined[Reference '#],ScenariosCombined[Sharpe Rank])</f>
        <v>93</v>
      </c>
      <c r="X87" s="71">
        <f>IF(Scenarios1[[#This Row],[Eligible]],COUNTIFS(Scenarios1[Sharpe],"&gt;"&amp;Scenarios1[[#This Row],[Sharpe]],Scenarios1[Eligible],TRUE())+COUNTIFS(Scenarios1[Sharpe],Scenarios1[[#This Row],[Sharpe]],Scenarios1[Eligible],TRUE()),"")</f>
        <v>94</v>
      </c>
      <c r="Y8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30/25/10/20/15</v>
      </c>
      <c r="Z87">
        <f>Scenarios1[[#This Row],[Sharpe Rank]]</f>
        <v>94</v>
      </c>
      <c r="AA87">
        <f>_xlfn.XLOOKUP(Scenarios1[[#This Row],[Reference '#]],Scenarios2[Reference '#],Scenarios2[Sharpe Rank])</f>
        <v>93</v>
      </c>
      <c r="AB87">
        <f>_xlfn.XLOOKUP(Scenarios1[[#This Row],[Reference '#]],Scenarios3[Reference '#],Scenarios3[Sharpe Rank])</f>
        <v>84</v>
      </c>
      <c r="AF87" s="34"/>
      <c r="AG87" s="34"/>
      <c r="AK87" s="15"/>
    </row>
    <row r="88" spans="2:37" x14ac:dyDescent="0.2">
      <c r="B88" s="71">
        <v>78</v>
      </c>
      <c r="C88" s="69">
        <v>0.3</v>
      </c>
      <c r="D88" s="69">
        <v>0.25</v>
      </c>
      <c r="E88" s="69">
        <v>0.1</v>
      </c>
      <c r="F88" s="69">
        <v>0.15</v>
      </c>
      <c r="G88" s="69">
        <v>0.2</v>
      </c>
      <c r="H88" s="69">
        <f>SUMPRODUCT(Scenarios1[[#This Row],[SPY]:[PE]],_xlfn.TOROW(AssetSpecsScenario1[Annualized Return]))</f>
        <v>7.8439479188354574E-2</v>
      </c>
      <c r="I88" s="69" cm="1">
        <f t="array" ref="I88">SQRT(MMULT(MMULT(Scenarios1[[#This Row],[SPY]:[PE]], 'Corr_Cov 36- Month'!$J$13:$N$17), TRANSPOSE(Scenarios1[[#This Row],[SPY]:[PE]])))</f>
        <v>7.5244655615355843E-2</v>
      </c>
      <c r="J88" s="70">
        <f>(Scenarios1[[#This Row],[Expected Return]]-RiskFree)/Scenarios1[[#This Row],[36M Vol]]</f>
        <v>0.41775622967146686</v>
      </c>
      <c r="K88" s="107" cm="1">
        <f t="array" ref="K88">MIN(_xlfn._xlws.FILTER(PortfolioFrontier[#Data],(PortfolioFrontier[#Headers]="P"&amp;Scenarios1[[#This Row],[Reference '#]]&amp;" DD")))</f>
        <v>-0.1627558285676346</v>
      </c>
      <c r="L88" s="69">
        <f>SUM(Scenarios1[[#This Row],[SPY]:[VNQ]])</f>
        <v>0.8</v>
      </c>
      <c r="M88" s="69">
        <f>SUM(Scenarios1[[#This Row],[SPY]:[PE]])</f>
        <v>1</v>
      </c>
      <c r="N88" s="71" t="b">
        <f>Scenarios1[[#This Row],[SPY]]&gt;=SpyMin</f>
        <v>1</v>
      </c>
      <c r="O88" s="71" t="b">
        <f>Scenarios1[[#This Row],[AGG]]&gt;=AGGMin</f>
        <v>1</v>
      </c>
      <c r="P88" s="71" t="b">
        <f>AND(Scenarios1[[#This Row],[GLD]]&gt;=GLDMin,Scenarios1[[#This Row],[GLD]]&lt;=GLDMax)</f>
        <v>1</v>
      </c>
      <c r="Q88" s="71" t="b">
        <f>Scenarios1[[#This Row],[VNQ]]&gt;=VNQMin</f>
        <v>1</v>
      </c>
      <c r="R88" s="71" t="b">
        <f>AND(Scenarios1[[#This Row],[PE]]&gt;=PEMin,Scenarios1[[#This Row],[PE]]&lt;=PEMax)</f>
        <v>1</v>
      </c>
      <c r="S88" s="71" t="b">
        <f>Scenarios1[[#This Row],[Liquid Assets]]&gt;=LiquidMin</f>
        <v>1</v>
      </c>
      <c r="T88" s="71" t="b">
        <f>AND(Scenarios1[[#This Row],[Expected Return]]&gt;=ExpectedReturnMin,Scenarios1[[#This Row],[Expected Return]]&lt;=ExpectedReturnMax)</f>
        <v>1</v>
      </c>
      <c r="U88" s="71" t="b">
        <f>Scenarios1[[#This Row],[Max Drawdown]]&gt;=DrawdownMax</f>
        <v>1</v>
      </c>
      <c r="V8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8" s="46">
        <f>_xlfn.XLOOKUP(Scenarios1[[#This Row],[Reference '#]],ScenariosCombined[Reference '#],ScenariosCombined[Sharpe Rank])</f>
        <v>71</v>
      </c>
      <c r="X88" s="71">
        <f>IF(Scenarios1[[#This Row],[Eligible]],COUNTIFS(Scenarios1[Sharpe],"&gt;"&amp;Scenarios1[[#This Row],[Sharpe]],Scenarios1[Eligible],TRUE())+COUNTIFS(Scenarios1[Sharpe],Scenarios1[[#This Row],[Sharpe]],Scenarios1[Eligible],TRUE()),"")</f>
        <v>80</v>
      </c>
      <c r="Y8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30/25/10/15/20</v>
      </c>
      <c r="Z88">
        <f>Scenarios1[[#This Row],[Sharpe Rank]]</f>
        <v>80</v>
      </c>
      <c r="AA88">
        <f>_xlfn.XLOOKUP(Scenarios1[[#This Row],[Reference '#]],Scenarios2[Reference '#],Scenarios2[Sharpe Rank])</f>
        <v>75</v>
      </c>
      <c r="AB88">
        <f>_xlfn.XLOOKUP(Scenarios1[[#This Row],[Reference '#]],Scenarios3[Reference '#],Scenarios3[Sharpe Rank])</f>
        <v>58</v>
      </c>
      <c r="AF88" s="34"/>
      <c r="AG88" s="34"/>
      <c r="AK88" s="15"/>
    </row>
    <row r="89" spans="2:37" x14ac:dyDescent="0.2">
      <c r="B89" s="71">
        <v>79</v>
      </c>
      <c r="C89" s="69">
        <v>0.3</v>
      </c>
      <c r="D89" s="69">
        <v>0.2</v>
      </c>
      <c r="E89" s="69">
        <v>0.2</v>
      </c>
      <c r="F89" s="69">
        <v>0.2</v>
      </c>
      <c r="G89" s="69">
        <v>0.1</v>
      </c>
      <c r="H89" s="69">
        <f>SUMPRODUCT(Scenarios1[[#This Row],[SPY]:[PE]],_xlfn.TOROW(AssetSpecsScenario1[Annualized Return]))</f>
        <v>8.8225604414274877E-2</v>
      </c>
      <c r="I89" s="69" cm="1">
        <f t="array" ref="I89">SQRT(MMULT(MMULT(Scenarios1[[#This Row],[SPY]:[PE]], 'Corr_Cov 36- Month'!$J$13:$N$17), TRANSPOSE(Scenarios1[[#This Row],[SPY]:[PE]])))</f>
        <v>8.5132960604778929E-2</v>
      </c>
      <c r="J89" s="70">
        <f>(Scenarios1[[#This Row],[Expected Return]]-RiskFree)/Scenarios1[[#This Row],[36M Vol]]</f>
        <v>0.48418436955433974</v>
      </c>
      <c r="K89" s="107" cm="1">
        <f t="array" ref="K89">MIN(_xlfn._xlws.FILTER(PortfolioFrontier[#Data],(PortfolioFrontier[#Headers]="P"&amp;Scenarios1[[#This Row],[Reference '#]]&amp;" DD")))</f>
        <v>-0.17903947068730142</v>
      </c>
      <c r="L89" s="69">
        <f>SUM(Scenarios1[[#This Row],[SPY]:[VNQ]])</f>
        <v>0.89999999999999991</v>
      </c>
      <c r="M89" s="69">
        <f>SUM(Scenarios1[[#This Row],[SPY]:[PE]])</f>
        <v>0.99999999999999989</v>
      </c>
      <c r="N89" s="71" t="b">
        <f>Scenarios1[[#This Row],[SPY]]&gt;=SpyMin</f>
        <v>1</v>
      </c>
      <c r="O89" s="71" t="b">
        <f>Scenarios1[[#This Row],[AGG]]&gt;=AGGMin</f>
        <v>1</v>
      </c>
      <c r="P89" s="71" t="b">
        <f>AND(Scenarios1[[#This Row],[GLD]]&gt;=GLDMin,Scenarios1[[#This Row],[GLD]]&lt;=GLDMax)</f>
        <v>1</v>
      </c>
      <c r="Q89" s="71" t="b">
        <f>Scenarios1[[#This Row],[VNQ]]&gt;=VNQMin</f>
        <v>1</v>
      </c>
      <c r="R89" s="71" t="b">
        <f>AND(Scenarios1[[#This Row],[PE]]&gt;=PEMin,Scenarios1[[#This Row],[PE]]&lt;=PEMax)</f>
        <v>1</v>
      </c>
      <c r="S89" s="71" t="b">
        <f>Scenarios1[[#This Row],[Liquid Assets]]&gt;=LiquidMin</f>
        <v>1</v>
      </c>
      <c r="T89" s="71" t="b">
        <f>AND(Scenarios1[[#This Row],[Expected Return]]&gt;=ExpectedReturnMin,Scenarios1[[#This Row],[Expected Return]]&lt;=ExpectedReturnMax)</f>
        <v>1</v>
      </c>
      <c r="U89" s="71" t="b">
        <f>Scenarios1[[#This Row],[Max Drawdown]]&gt;=DrawdownMax</f>
        <v>1</v>
      </c>
      <c r="V8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89" s="46">
        <f>_xlfn.XLOOKUP(Scenarios1[[#This Row],[Reference '#]],ScenariosCombined[Reference '#],ScenariosCombined[Sharpe Rank])</f>
        <v>50</v>
      </c>
      <c r="X89" s="71">
        <f>IF(Scenarios1[[#This Row],[Eligible]],COUNTIFS(Scenarios1[Sharpe],"&gt;"&amp;Scenarios1[[#This Row],[Sharpe]],Scenarios1[Eligible],TRUE())+COUNTIFS(Scenarios1[Sharpe],Scenarios1[[#This Row],[Sharpe]],Scenarios1[Eligible],TRUE()),"")</f>
        <v>49</v>
      </c>
      <c r="Y8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30/20/20/20/10</v>
      </c>
      <c r="Z89">
        <f>Scenarios1[[#This Row],[Sharpe Rank]]</f>
        <v>49</v>
      </c>
      <c r="AA89">
        <f>_xlfn.XLOOKUP(Scenarios1[[#This Row],[Reference '#]],Scenarios2[Reference '#],Scenarios2[Sharpe Rank])</f>
        <v>49</v>
      </c>
      <c r="AB89">
        <f>_xlfn.XLOOKUP(Scenarios1[[#This Row],[Reference '#]],Scenarios3[Reference '#],Scenarios3[Sharpe Rank])</f>
        <v>46</v>
      </c>
      <c r="AF89" s="34"/>
      <c r="AG89" s="34"/>
      <c r="AK89" s="15"/>
    </row>
    <row r="90" spans="2:37" x14ac:dyDescent="0.2">
      <c r="B90" s="71">
        <v>80</v>
      </c>
      <c r="C90" s="69">
        <v>0.3</v>
      </c>
      <c r="D90" s="69">
        <v>0.2</v>
      </c>
      <c r="E90" s="69">
        <v>0.2</v>
      </c>
      <c r="F90" s="69">
        <v>0.15</v>
      </c>
      <c r="G90" s="69">
        <v>0.15</v>
      </c>
      <c r="H90" s="69">
        <f>SUMPRODUCT(Scenarios1[[#This Row],[SPY]:[PE]],_xlfn.TOROW(AssetSpecsScenario1[Annualized Return]))</f>
        <v>8.8116130375472487E-2</v>
      </c>
      <c r="I90" s="69" cm="1">
        <f t="array" ref="I90">SQRT(MMULT(MMULT(Scenarios1[[#This Row],[SPY]:[PE]], 'Corr_Cov 36- Month'!$J$13:$N$17), TRANSPOSE(Scenarios1[[#This Row],[SPY]:[PE]])))</f>
        <v>7.7575801416217713E-2</v>
      </c>
      <c r="J90" s="70">
        <f>(Scenarios1[[#This Row],[Expected Return]]-RiskFree)/Scenarios1[[#This Row],[36M Vol]]</f>
        <v>0.52994070405210802</v>
      </c>
      <c r="K90" s="121" cm="1">
        <f t="array" ref="K90">MIN(_xlfn._xlws.FILTER(PortfolioFrontier[#Data],(PortfolioFrontier[#Headers]="P"&amp;Scenarios1[[#This Row],[Reference '#]]&amp;" DD")))</f>
        <v>-0.16456686231062201</v>
      </c>
      <c r="L90" s="69">
        <f>SUM(Scenarios1[[#This Row],[SPY]:[VNQ]])</f>
        <v>0.85</v>
      </c>
      <c r="M90" s="69">
        <f>SUM(Scenarios1[[#This Row],[SPY]:[PE]])</f>
        <v>1</v>
      </c>
      <c r="N90" s="71" t="b">
        <f>Scenarios1[[#This Row],[SPY]]&gt;=SpyMin</f>
        <v>1</v>
      </c>
      <c r="O90" s="71" t="b">
        <f>Scenarios1[[#This Row],[AGG]]&gt;=AGGMin</f>
        <v>1</v>
      </c>
      <c r="P90" s="71" t="b">
        <f>AND(Scenarios1[[#This Row],[GLD]]&gt;=GLDMin,Scenarios1[[#This Row],[GLD]]&lt;=GLDMax)</f>
        <v>1</v>
      </c>
      <c r="Q90" s="71" t="b">
        <f>Scenarios1[[#This Row],[VNQ]]&gt;=VNQMin</f>
        <v>1</v>
      </c>
      <c r="R90" s="71" t="b">
        <f>AND(Scenarios1[[#This Row],[PE]]&gt;=PEMin,Scenarios1[[#This Row],[PE]]&lt;=PEMax)</f>
        <v>1</v>
      </c>
      <c r="S90" s="71" t="b">
        <f>Scenarios1[[#This Row],[Liquid Assets]]&gt;=LiquidMin</f>
        <v>1</v>
      </c>
      <c r="T90" s="71" t="b">
        <f>AND(Scenarios1[[#This Row],[Expected Return]]&gt;=ExpectedReturnMin,Scenarios1[[#This Row],[Expected Return]]&lt;=ExpectedReturnMax)</f>
        <v>1</v>
      </c>
      <c r="U90" s="71" t="b">
        <f>Scenarios1[[#This Row],[Max Drawdown]]&gt;=DrawdownMax</f>
        <v>1</v>
      </c>
      <c r="V9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0" s="46">
        <f>_xlfn.XLOOKUP(Scenarios1[[#This Row],[Reference '#]],ScenariosCombined[Reference '#],ScenariosCombined[Sharpe Rank])</f>
        <v>28</v>
      </c>
      <c r="X90" s="71">
        <f>IF(Scenarios1[[#This Row],[Eligible]],COUNTIFS(Scenarios1[Sharpe],"&gt;"&amp;Scenarios1[[#This Row],[Sharpe]],Scenarios1[Eligible],TRUE())+COUNTIFS(Scenarios1[Sharpe],Scenarios1[[#This Row],[Sharpe]],Scenarios1[Eligible],TRUE()),"")</f>
        <v>31</v>
      </c>
      <c r="Y9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30/20/20/15/15</v>
      </c>
      <c r="Z90">
        <f>Scenarios1[[#This Row],[Sharpe Rank]]</f>
        <v>31</v>
      </c>
      <c r="AA90">
        <f>_xlfn.XLOOKUP(Scenarios1[[#This Row],[Reference '#]],Scenarios2[Reference '#],Scenarios2[Sharpe Rank])</f>
        <v>29</v>
      </c>
      <c r="AB90">
        <f>_xlfn.XLOOKUP(Scenarios1[[#This Row],[Reference '#]],Scenarios3[Reference '#],Scenarios3[Sharpe Rank])</f>
        <v>20</v>
      </c>
      <c r="AF90" s="34"/>
      <c r="AG90" s="34"/>
      <c r="AK90" s="15"/>
    </row>
    <row r="91" spans="2:37" x14ac:dyDescent="0.2">
      <c r="B91" s="143">
        <v>81</v>
      </c>
      <c r="C91" s="142">
        <v>0.3</v>
      </c>
      <c r="D91" s="142">
        <v>0.2</v>
      </c>
      <c r="E91" s="142">
        <v>0.2</v>
      </c>
      <c r="F91" s="142">
        <v>0.1</v>
      </c>
      <c r="G91" s="142">
        <v>0.2</v>
      </c>
      <c r="H91" s="142">
        <f>SUMPRODUCT(Scenarios1[[#This Row],[SPY]:[PE]],_xlfn.TOROW(AssetSpecsScenario1[Annualized Return]))</f>
        <v>8.8006656336670083E-2</v>
      </c>
      <c r="I91" s="142" cm="1">
        <f t="array" ref="I91">SQRT(MMULT(MMULT(Scenarios1[[#This Row],[SPY]:[PE]], 'Corr_Cov 36- Month'!$J$13:$N$17), TRANSPOSE(Scenarios1[[#This Row],[SPY]:[PE]])))</f>
        <v>7.0515905232183831E-2</v>
      </c>
      <c r="J91" s="70">
        <f>(Scenarios1[[#This Row],[Expected Return]]-RiskFree)/Scenarios1[[#This Row],[36M Vol]]</f>
        <v>0.58144472011119297</v>
      </c>
      <c r="K91" s="142" cm="1">
        <f t="array" ref="K91">MIN(_xlfn._xlws.FILTER(PortfolioFrontier[#Data],(PortfolioFrontier[#Headers]="P"&amp;Scenarios1[[#This Row],[Reference '#]]&amp;" DD")))</f>
        <v>-0.14997953387901686</v>
      </c>
      <c r="L91" s="142">
        <f>SUM(Scenarios1[[#This Row],[SPY]:[VNQ]])</f>
        <v>0.79999999999999993</v>
      </c>
      <c r="M91" s="142">
        <f>SUM(Scenarios1[[#This Row],[SPY]:[PE]])</f>
        <v>1</v>
      </c>
      <c r="N91" s="143" t="b">
        <f>Scenarios1[[#This Row],[SPY]]&gt;=SpyMin</f>
        <v>1</v>
      </c>
      <c r="O91" s="143" t="b">
        <f>Scenarios1[[#This Row],[AGG]]&gt;=AGGMin</f>
        <v>1</v>
      </c>
      <c r="P91" s="143" t="b">
        <f>AND(Scenarios1[[#This Row],[GLD]]&gt;=GLDMin,Scenarios1[[#This Row],[GLD]]&lt;=GLDMax)</f>
        <v>1</v>
      </c>
      <c r="Q91" s="143" t="b">
        <f>Scenarios1[[#This Row],[VNQ]]&gt;=VNQMin</f>
        <v>1</v>
      </c>
      <c r="R91" s="143" t="b">
        <f>AND(Scenarios1[[#This Row],[PE]]&gt;=PEMin,Scenarios1[[#This Row],[PE]]&lt;=PEMax)</f>
        <v>1</v>
      </c>
      <c r="S91" s="143" t="b">
        <f>Scenarios1[[#This Row],[Liquid Assets]]&gt;=LiquidMin</f>
        <v>1</v>
      </c>
      <c r="T91" s="143" t="b">
        <f>AND(Scenarios1[[#This Row],[Expected Return]]&gt;=ExpectedReturnMin,Scenarios1[[#This Row],[Expected Return]]&lt;=ExpectedReturnMax)</f>
        <v>1</v>
      </c>
      <c r="U91" s="143" t="b">
        <f>Scenarios1[[#This Row],[Max Drawdown]]&gt;=DrawdownMax</f>
        <v>1</v>
      </c>
      <c r="V91" s="143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1" s="46">
        <f>_xlfn.XLOOKUP(Scenarios1[[#This Row],[Reference '#]],ScenariosCombined[Reference '#],ScenariosCombined[Sharpe Rank])</f>
        <v>9</v>
      </c>
      <c r="X91" s="143">
        <f>IF(Scenarios1[[#This Row],[Eligible]],COUNTIFS(Scenarios1[Sharpe],"&gt;"&amp;Scenarios1[[#This Row],[Sharpe]],Scenarios1[Eligible],TRUE())+COUNTIFS(Scenarios1[Sharpe],Scenarios1[[#This Row],[Sharpe]],Scenarios1[Eligible],TRUE()),"")</f>
        <v>12</v>
      </c>
      <c r="Y91" s="146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30/20/20/10/20</v>
      </c>
      <c r="Z91" s="147">
        <f>Scenarios1[[#This Row],[Sharpe Rank]]</f>
        <v>12</v>
      </c>
      <c r="AA91" s="147">
        <f>_xlfn.XLOOKUP(Scenarios1[[#This Row],[Reference '#]],Scenarios2[Reference '#],Scenarios2[Sharpe Rank])</f>
        <v>10</v>
      </c>
      <c r="AB91" s="147">
        <f>_xlfn.XLOOKUP(Scenarios1[[#This Row],[Reference '#]],Scenarios3[Reference '#],Scenarios3[Sharpe Rank])</f>
        <v>2</v>
      </c>
      <c r="AF91" s="34"/>
      <c r="AG91" s="34"/>
      <c r="AK91" s="15"/>
    </row>
    <row r="92" spans="2:37" x14ac:dyDescent="0.2">
      <c r="B92" s="71">
        <v>82</v>
      </c>
      <c r="C92" s="69">
        <v>0.3</v>
      </c>
      <c r="D92" s="69">
        <v>0.2</v>
      </c>
      <c r="E92" s="69">
        <v>0.15</v>
      </c>
      <c r="F92" s="69">
        <v>0.25</v>
      </c>
      <c r="G92" s="69">
        <v>0.1</v>
      </c>
      <c r="H92" s="69">
        <f>SUMPRODUCT(Scenarios1[[#This Row],[SPY]:[PE]],_xlfn.TOROW(AssetSpecsScenario1[Annualized Return]))</f>
        <v>8.4233885513198853E-2</v>
      </c>
      <c r="I92" s="69" cm="1">
        <f t="array" ref="I92">SQRT(MMULT(MMULT(Scenarios1[[#This Row],[SPY]:[PE]], 'Corr_Cov 36- Month'!$J$13:$N$17), TRANSPOSE(Scenarios1[[#This Row],[SPY]:[PE]])))</f>
        <v>9.0347458747538925E-2</v>
      </c>
      <c r="J92" s="70">
        <f>(Scenarios1[[#This Row],[Expected Return]]-RiskFree)/Scenarios1[[#This Row],[36M Vol]]</f>
        <v>0.4120573004900086</v>
      </c>
      <c r="K92" s="107" cm="1">
        <f t="array" ref="K92">MIN(_xlfn._xlws.FILTER(PortfolioFrontier[#Data],(PortfolioFrontier[#Headers]="P"&amp;Scenarios1[[#This Row],[Reference '#]]&amp;" DD")))</f>
        <v>-0.18919224107483956</v>
      </c>
      <c r="L92" s="69">
        <f>SUM(Scenarios1[[#This Row],[SPY]:[VNQ]])</f>
        <v>0.9</v>
      </c>
      <c r="M92" s="69">
        <f>SUM(Scenarios1[[#This Row],[SPY]:[PE]])</f>
        <v>1</v>
      </c>
      <c r="N92" s="71" t="b">
        <f>Scenarios1[[#This Row],[SPY]]&gt;=SpyMin</f>
        <v>1</v>
      </c>
      <c r="O92" s="71" t="b">
        <f>Scenarios1[[#This Row],[AGG]]&gt;=AGGMin</f>
        <v>1</v>
      </c>
      <c r="P92" s="71" t="b">
        <f>AND(Scenarios1[[#This Row],[GLD]]&gt;=GLDMin,Scenarios1[[#This Row],[GLD]]&lt;=GLDMax)</f>
        <v>1</v>
      </c>
      <c r="Q92" s="71" t="b">
        <f>Scenarios1[[#This Row],[VNQ]]&gt;=VNQMin</f>
        <v>1</v>
      </c>
      <c r="R92" s="71" t="b">
        <f>AND(Scenarios1[[#This Row],[PE]]&gt;=PEMin,Scenarios1[[#This Row],[PE]]&lt;=PEMax)</f>
        <v>1</v>
      </c>
      <c r="S92" s="71" t="b">
        <f>Scenarios1[[#This Row],[Liquid Assets]]&gt;=LiquidMin</f>
        <v>1</v>
      </c>
      <c r="T92" s="71" t="b">
        <f>AND(Scenarios1[[#This Row],[Expected Return]]&gt;=ExpectedReturnMin,Scenarios1[[#This Row],[Expected Return]]&lt;=ExpectedReturnMax)</f>
        <v>1</v>
      </c>
      <c r="U92" s="71" t="b">
        <f>Scenarios1[[#This Row],[Max Drawdown]]&gt;=DrawdownMax</f>
        <v>1</v>
      </c>
      <c r="V9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2" s="46">
        <f>_xlfn.XLOOKUP(Scenarios1[[#This Row],[Reference '#]],ScenariosCombined[Reference '#],ScenariosCombined[Sharpe Rank])</f>
        <v>84</v>
      </c>
      <c r="X92" s="71">
        <f>IF(Scenarios1[[#This Row],[Eligible]],COUNTIFS(Scenarios1[Sharpe],"&gt;"&amp;Scenarios1[[#This Row],[Sharpe]],Scenarios1[Eligible],TRUE())+COUNTIFS(Scenarios1[Sharpe],Scenarios1[[#This Row],[Sharpe]],Scenarios1[Eligible],TRUE()),"")</f>
        <v>82</v>
      </c>
      <c r="Y9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30/20/15/25/10</v>
      </c>
      <c r="Z92">
        <f>Scenarios1[[#This Row],[Sharpe Rank]]</f>
        <v>82</v>
      </c>
      <c r="AA92">
        <f>_xlfn.XLOOKUP(Scenarios1[[#This Row],[Reference '#]],Scenarios2[Reference '#],Scenarios2[Sharpe Rank])</f>
        <v>82</v>
      </c>
      <c r="AB92">
        <f>_xlfn.XLOOKUP(Scenarios1[[#This Row],[Reference '#]],Scenarios3[Reference '#],Scenarios3[Sharpe Rank])</f>
        <v>80</v>
      </c>
      <c r="AF92" s="34"/>
      <c r="AG92" s="34"/>
      <c r="AK92" s="15"/>
    </row>
    <row r="93" spans="2:37" x14ac:dyDescent="0.2">
      <c r="B93" s="71">
        <v>83</v>
      </c>
      <c r="C93" s="69">
        <v>0.3</v>
      </c>
      <c r="D93" s="69">
        <v>0.2</v>
      </c>
      <c r="E93" s="69">
        <v>0.15</v>
      </c>
      <c r="F93" s="69">
        <v>0.2</v>
      </c>
      <c r="G93" s="69">
        <v>0.15</v>
      </c>
      <c r="H93" s="69">
        <f>SUMPRODUCT(Scenarios1[[#This Row],[SPY]:[PE]],_xlfn.TOROW(AssetSpecsScenario1[Annualized Return]))</f>
        <v>8.4124411474396463E-2</v>
      </c>
      <c r="I93" s="69" cm="1">
        <f t="array" ref="I93">SQRT(MMULT(MMULT(Scenarios1[[#This Row],[SPY]:[PE]], 'Corr_Cov 36- Month'!$J$13:$N$17), TRANSPOSE(Scenarios1[[#This Row],[SPY]:[PE]])))</f>
        <v>8.2477109076022251E-2</v>
      </c>
      <c r="J93" s="70">
        <f>(Scenarios1[[#This Row],[Expected Return]]-RiskFree)/Scenarios1[[#This Row],[36M Vol]]</f>
        <v>0.45005039985854822</v>
      </c>
      <c r="K93" s="107" cm="1">
        <f t="array" ref="K93">MIN(_xlfn._xlws.FILTER(PortfolioFrontier[#Data],(PortfolioFrontier[#Headers]="P"&amp;Scenarios1[[#This Row],[Reference '#]]&amp;" DD")))</f>
        <v>-0.17479194507259455</v>
      </c>
      <c r="L93" s="69">
        <f>SUM(Scenarios1[[#This Row],[SPY]:[VNQ]])</f>
        <v>0.85000000000000009</v>
      </c>
      <c r="M93" s="69">
        <f>SUM(Scenarios1[[#This Row],[SPY]:[PE]])</f>
        <v>1</v>
      </c>
      <c r="N93" s="71" t="b">
        <f>Scenarios1[[#This Row],[SPY]]&gt;=SpyMin</f>
        <v>1</v>
      </c>
      <c r="O93" s="71" t="b">
        <f>Scenarios1[[#This Row],[AGG]]&gt;=AGGMin</f>
        <v>1</v>
      </c>
      <c r="P93" s="71" t="b">
        <f>AND(Scenarios1[[#This Row],[GLD]]&gt;=GLDMin,Scenarios1[[#This Row],[GLD]]&lt;=GLDMax)</f>
        <v>1</v>
      </c>
      <c r="Q93" s="71" t="b">
        <f>Scenarios1[[#This Row],[VNQ]]&gt;=VNQMin</f>
        <v>1</v>
      </c>
      <c r="R93" s="71" t="b">
        <f>AND(Scenarios1[[#This Row],[PE]]&gt;=PEMin,Scenarios1[[#This Row],[PE]]&lt;=PEMax)</f>
        <v>1</v>
      </c>
      <c r="S93" s="71" t="b">
        <f>Scenarios1[[#This Row],[Liquid Assets]]&gt;=LiquidMin</f>
        <v>1</v>
      </c>
      <c r="T93" s="71" t="b">
        <f>AND(Scenarios1[[#This Row],[Expected Return]]&gt;=ExpectedReturnMin,Scenarios1[[#This Row],[Expected Return]]&lt;=ExpectedReturnMax)</f>
        <v>1</v>
      </c>
      <c r="U93" s="71" t="b">
        <f>Scenarios1[[#This Row],[Max Drawdown]]&gt;=DrawdownMax</f>
        <v>1</v>
      </c>
      <c r="V9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3" s="46">
        <f>_xlfn.XLOOKUP(Scenarios1[[#This Row],[Reference '#]],ScenariosCombined[Reference '#],ScenariosCombined[Sharpe Rank])</f>
        <v>61</v>
      </c>
      <c r="X93" s="71">
        <f>IF(Scenarios1[[#This Row],[Eligible]],COUNTIFS(Scenarios1[Sharpe],"&gt;"&amp;Scenarios1[[#This Row],[Sharpe]],Scenarios1[Eligible],TRUE())+COUNTIFS(Scenarios1[Sharpe],Scenarios1[[#This Row],[Sharpe]],Scenarios1[Eligible],TRUE()),"")</f>
        <v>63</v>
      </c>
      <c r="Y9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30/20/15/20/15</v>
      </c>
      <c r="Z93">
        <f>Scenarios1[[#This Row],[Sharpe Rank]]</f>
        <v>63</v>
      </c>
      <c r="AA93">
        <f>_xlfn.XLOOKUP(Scenarios1[[#This Row],[Reference '#]],Scenarios2[Reference '#],Scenarios2[Sharpe Rank])</f>
        <v>61</v>
      </c>
      <c r="AB93">
        <f>_xlfn.XLOOKUP(Scenarios1[[#This Row],[Reference '#]],Scenarios3[Reference '#],Scenarios3[Sharpe Rank])</f>
        <v>53</v>
      </c>
      <c r="AF93" s="34"/>
      <c r="AG93" s="34"/>
      <c r="AK93" s="15"/>
    </row>
    <row r="94" spans="2:37" x14ac:dyDescent="0.2">
      <c r="B94" s="71">
        <v>84</v>
      </c>
      <c r="C94" s="69">
        <v>0.3</v>
      </c>
      <c r="D94" s="69">
        <v>0.2</v>
      </c>
      <c r="E94" s="69">
        <v>0.15</v>
      </c>
      <c r="F94" s="69">
        <v>0.15</v>
      </c>
      <c r="G94" s="69">
        <v>0.2</v>
      </c>
      <c r="H94" s="69">
        <f>SUMPRODUCT(Scenarios1[[#This Row],[SPY]:[PE]],_xlfn.TOROW(AssetSpecsScenario1[Annualized Return]))</f>
        <v>8.4014937435594073E-2</v>
      </c>
      <c r="I94" s="69" cm="1">
        <f t="array" ref="I94">SQRT(MMULT(MMULT(Scenarios1[[#This Row],[SPY]:[PE]], 'Corr_Cov 36- Month'!$J$13:$N$17), TRANSPOSE(Scenarios1[[#This Row],[SPY]:[PE]])))</f>
        <v>7.5009250644505046E-2</v>
      </c>
      <c r="J94" s="70">
        <f>(Scenarios1[[#This Row],[Expected Return]]-RiskFree)/Scenarios1[[#This Row],[36M Vol]]</f>
        <v>0.49339756846044053</v>
      </c>
      <c r="K94" s="107" cm="1">
        <f t="array" ref="K94">MIN(_xlfn._xlws.FILTER(PortfolioFrontier[#Data],(PortfolioFrontier[#Headers]="P"&amp;Scenarios1[[#This Row],[Reference '#]]&amp;" DD")))</f>
        <v>-0.16027522551679685</v>
      </c>
      <c r="L94" s="69">
        <f>SUM(Scenarios1[[#This Row],[SPY]:[VNQ]])</f>
        <v>0.8</v>
      </c>
      <c r="M94" s="69">
        <f>SUM(Scenarios1[[#This Row],[SPY]:[PE]])</f>
        <v>1</v>
      </c>
      <c r="N94" s="71" t="b">
        <f>Scenarios1[[#This Row],[SPY]]&gt;=SpyMin</f>
        <v>1</v>
      </c>
      <c r="O94" s="71" t="b">
        <f>Scenarios1[[#This Row],[AGG]]&gt;=AGGMin</f>
        <v>1</v>
      </c>
      <c r="P94" s="71" t="b">
        <f>AND(Scenarios1[[#This Row],[GLD]]&gt;=GLDMin,Scenarios1[[#This Row],[GLD]]&lt;=GLDMax)</f>
        <v>1</v>
      </c>
      <c r="Q94" s="71" t="b">
        <f>Scenarios1[[#This Row],[VNQ]]&gt;=VNQMin</f>
        <v>1</v>
      </c>
      <c r="R94" s="71" t="b">
        <f>AND(Scenarios1[[#This Row],[PE]]&gt;=PEMin,Scenarios1[[#This Row],[PE]]&lt;=PEMax)</f>
        <v>1</v>
      </c>
      <c r="S94" s="71" t="b">
        <f>Scenarios1[[#This Row],[Liquid Assets]]&gt;=LiquidMin</f>
        <v>1</v>
      </c>
      <c r="T94" s="71" t="b">
        <f>AND(Scenarios1[[#This Row],[Expected Return]]&gt;=ExpectedReturnMin,Scenarios1[[#This Row],[Expected Return]]&lt;=ExpectedReturnMax)</f>
        <v>1</v>
      </c>
      <c r="U94" s="71" t="b">
        <f>Scenarios1[[#This Row],[Max Drawdown]]&gt;=DrawdownMax</f>
        <v>1</v>
      </c>
      <c r="V9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4" s="46">
        <f>_xlfn.XLOOKUP(Scenarios1[[#This Row],[Reference '#]],ScenariosCombined[Reference '#],ScenariosCombined[Sharpe Rank])</f>
        <v>38</v>
      </c>
      <c r="X94" s="71">
        <f>IF(Scenarios1[[#This Row],[Eligible]],COUNTIFS(Scenarios1[Sharpe],"&gt;"&amp;Scenarios1[[#This Row],[Sharpe]],Scenarios1[Eligible],TRUE())+COUNTIFS(Scenarios1[Sharpe],Scenarios1[[#This Row],[Sharpe]],Scenarios1[Eligible],TRUE()),"")</f>
        <v>45</v>
      </c>
      <c r="Y9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30/20/15/15/20</v>
      </c>
      <c r="Z94">
        <f>Scenarios1[[#This Row],[Sharpe Rank]]</f>
        <v>45</v>
      </c>
      <c r="AA94">
        <f>_xlfn.XLOOKUP(Scenarios1[[#This Row],[Reference '#]],Scenarios2[Reference '#],Scenarios2[Sharpe Rank])</f>
        <v>41</v>
      </c>
      <c r="AB94">
        <f>_xlfn.XLOOKUP(Scenarios1[[#This Row],[Reference '#]],Scenarios3[Reference '#],Scenarios3[Sharpe Rank])</f>
        <v>27</v>
      </c>
      <c r="AF94" s="34"/>
      <c r="AG94" s="34"/>
      <c r="AK94" s="15"/>
    </row>
    <row r="95" spans="2:37" x14ac:dyDescent="0.2">
      <c r="B95" s="71">
        <v>85</v>
      </c>
      <c r="C95" s="69">
        <v>0.3</v>
      </c>
      <c r="D95" s="69">
        <v>0.2</v>
      </c>
      <c r="E95" s="69">
        <v>0.1</v>
      </c>
      <c r="F95" s="69">
        <v>0.3</v>
      </c>
      <c r="G95" s="69">
        <v>0.1</v>
      </c>
      <c r="H95" s="69">
        <f>SUMPRODUCT(Scenarios1[[#This Row],[SPY]:[PE]],_xlfn.TOROW(AssetSpecsScenario1[Annualized Return]))</f>
        <v>8.0242166612122828E-2</v>
      </c>
      <c r="I95" s="69" cm="1">
        <f t="array" ref="I95">SQRT(MMULT(MMULT(Scenarios1[[#This Row],[SPY]:[PE]], 'Corr_Cov 36- Month'!$J$13:$N$17), TRANSPOSE(Scenarios1[[#This Row],[SPY]:[PE]])))</f>
        <v>9.6343921654357831E-2</v>
      </c>
      <c r="J95" s="70">
        <f>(Scenarios1[[#This Row],[Expected Return]]-RiskFree)/Scenarios1[[#This Row],[36M Vol]]</f>
        <v>0.34497880598847225</v>
      </c>
      <c r="K95" s="107" cm="1">
        <f t="array" ref="K95">MIN(_xlfn._xlws.FILTER(PortfolioFrontier[#Data],(PortfolioFrontier[#Headers]="P"&amp;Scenarios1[[#This Row],[Reference '#]]&amp;" DD")))</f>
        <v>-0.19931515574132885</v>
      </c>
      <c r="L95" s="69">
        <f>SUM(Scenarios1[[#This Row],[SPY]:[VNQ]])</f>
        <v>0.89999999999999991</v>
      </c>
      <c r="M95" s="69">
        <f>SUM(Scenarios1[[#This Row],[SPY]:[PE]])</f>
        <v>0.99999999999999989</v>
      </c>
      <c r="N95" s="71" t="b">
        <f>Scenarios1[[#This Row],[SPY]]&gt;=SpyMin</f>
        <v>1</v>
      </c>
      <c r="O95" s="71" t="b">
        <f>Scenarios1[[#This Row],[AGG]]&gt;=AGGMin</f>
        <v>1</v>
      </c>
      <c r="P95" s="71" t="b">
        <f>AND(Scenarios1[[#This Row],[GLD]]&gt;=GLDMin,Scenarios1[[#This Row],[GLD]]&lt;=GLDMax)</f>
        <v>1</v>
      </c>
      <c r="Q95" s="71" t="b">
        <f>Scenarios1[[#This Row],[VNQ]]&gt;=VNQMin</f>
        <v>1</v>
      </c>
      <c r="R95" s="71" t="b">
        <f>AND(Scenarios1[[#This Row],[PE]]&gt;=PEMin,Scenarios1[[#This Row],[PE]]&lt;=PEMax)</f>
        <v>1</v>
      </c>
      <c r="S95" s="71" t="b">
        <f>Scenarios1[[#This Row],[Liquid Assets]]&gt;=LiquidMin</f>
        <v>1</v>
      </c>
      <c r="T95" s="71" t="b">
        <f>AND(Scenarios1[[#This Row],[Expected Return]]&gt;=ExpectedReturnMin,Scenarios1[[#This Row],[Expected Return]]&lt;=ExpectedReturnMax)</f>
        <v>1</v>
      </c>
      <c r="U95" s="71" t="b">
        <f>Scenarios1[[#This Row],[Max Drawdown]]&gt;=DrawdownMax</f>
        <v>1</v>
      </c>
      <c r="V9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5" s="46">
        <f>_xlfn.XLOOKUP(Scenarios1[[#This Row],[Reference '#]],ScenariosCombined[Reference '#],ScenariosCombined[Sharpe Rank])</f>
        <v>109</v>
      </c>
      <c r="X95" s="71">
        <f>IF(Scenarios1[[#This Row],[Eligible]],COUNTIFS(Scenarios1[Sharpe],"&gt;"&amp;Scenarios1[[#This Row],[Sharpe]],Scenarios1[Eligible],TRUE())+COUNTIFS(Scenarios1[Sharpe],Scenarios1[[#This Row],[Sharpe]],Scenarios1[Eligible],TRUE()),"")</f>
        <v>105</v>
      </c>
      <c r="Y9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30/20/10/30/10</v>
      </c>
      <c r="Z95">
        <f>Scenarios1[[#This Row],[Sharpe Rank]]</f>
        <v>105</v>
      </c>
      <c r="AA95">
        <f>_xlfn.XLOOKUP(Scenarios1[[#This Row],[Reference '#]],Scenarios2[Reference '#],Scenarios2[Sharpe Rank])</f>
        <v>104</v>
      </c>
      <c r="AB95">
        <f>_xlfn.XLOOKUP(Scenarios1[[#This Row],[Reference '#]],Scenarios3[Reference '#],Scenarios3[Sharpe Rank])</f>
        <v>104</v>
      </c>
      <c r="AF95" s="34"/>
      <c r="AG95" s="34"/>
      <c r="AK95" s="15"/>
    </row>
    <row r="96" spans="2:37" x14ac:dyDescent="0.2">
      <c r="B96" s="71">
        <v>86</v>
      </c>
      <c r="C96" s="69">
        <v>0.3</v>
      </c>
      <c r="D96" s="69">
        <v>0.2</v>
      </c>
      <c r="E96" s="69">
        <v>0.1</v>
      </c>
      <c r="F96" s="69">
        <v>0.25</v>
      </c>
      <c r="G96" s="69">
        <v>0.15</v>
      </c>
      <c r="H96" s="69">
        <f>SUMPRODUCT(Scenarios1[[#This Row],[SPY]:[PE]],_xlfn.TOROW(AssetSpecsScenario1[Annualized Return]))</f>
        <v>8.0132692573320424E-2</v>
      </c>
      <c r="I96" s="69" cm="1">
        <f t="array" ref="I96">SQRT(MMULT(MMULT(Scenarios1[[#This Row],[SPY]:[PE]], 'Corr_Cov 36- Month'!$J$13:$N$17), TRANSPOSE(Scenarios1[[#This Row],[SPY]:[PE]])))</f>
        <v>8.8268837618420512E-2</v>
      </c>
      <c r="J96" s="70">
        <f>(Scenarios1[[#This Row],[Expected Return]]-RiskFree)/Scenarios1[[#This Row],[36M Vol]]</f>
        <v>0.37529821295450805</v>
      </c>
      <c r="K96" s="107" cm="1">
        <f t="array" ref="K96">MIN(_xlfn._xlws.FILTER(PortfolioFrontier[#Data],(PortfolioFrontier[#Headers]="P"&amp;Scenarios1[[#This Row],[Reference '#]]&amp;" DD")))</f>
        <v>-0.1849888286940925</v>
      </c>
      <c r="L96" s="69">
        <f>SUM(Scenarios1[[#This Row],[SPY]:[VNQ]])</f>
        <v>0.85</v>
      </c>
      <c r="M96" s="69">
        <f>SUM(Scenarios1[[#This Row],[SPY]:[PE]])</f>
        <v>1</v>
      </c>
      <c r="N96" s="71" t="b">
        <f>Scenarios1[[#This Row],[SPY]]&gt;=SpyMin</f>
        <v>1</v>
      </c>
      <c r="O96" s="71" t="b">
        <f>Scenarios1[[#This Row],[AGG]]&gt;=AGGMin</f>
        <v>1</v>
      </c>
      <c r="P96" s="71" t="b">
        <f>AND(Scenarios1[[#This Row],[GLD]]&gt;=GLDMin,Scenarios1[[#This Row],[GLD]]&lt;=GLDMax)</f>
        <v>1</v>
      </c>
      <c r="Q96" s="71" t="b">
        <f>Scenarios1[[#This Row],[VNQ]]&gt;=VNQMin</f>
        <v>1</v>
      </c>
      <c r="R96" s="71" t="b">
        <f>AND(Scenarios1[[#This Row],[PE]]&gt;=PEMin,Scenarios1[[#This Row],[PE]]&lt;=PEMax)</f>
        <v>1</v>
      </c>
      <c r="S96" s="71" t="b">
        <f>Scenarios1[[#This Row],[Liquid Assets]]&gt;=LiquidMin</f>
        <v>1</v>
      </c>
      <c r="T96" s="71" t="b">
        <f>AND(Scenarios1[[#This Row],[Expected Return]]&gt;=ExpectedReturnMin,Scenarios1[[#This Row],[Expected Return]]&lt;=ExpectedReturnMax)</f>
        <v>1</v>
      </c>
      <c r="U96" s="71" t="b">
        <f>Scenarios1[[#This Row],[Max Drawdown]]&gt;=DrawdownMax</f>
        <v>1</v>
      </c>
      <c r="V9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6" s="46">
        <f>_xlfn.XLOOKUP(Scenarios1[[#This Row],[Reference '#]],ScenariosCombined[Reference '#],ScenariosCombined[Sharpe Rank])</f>
        <v>96</v>
      </c>
      <c r="X96" s="71">
        <f>IF(Scenarios1[[#This Row],[Eligible]],COUNTIFS(Scenarios1[Sharpe],"&gt;"&amp;Scenarios1[[#This Row],[Sharpe]],Scenarios1[Eligible],TRUE())+COUNTIFS(Scenarios1[Sharpe],Scenarios1[[#This Row],[Sharpe]],Scenarios1[Eligible],TRUE()),"")</f>
        <v>96</v>
      </c>
      <c r="Y9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30/20/10/25/15</v>
      </c>
      <c r="Z96">
        <f>Scenarios1[[#This Row],[Sharpe Rank]]</f>
        <v>96</v>
      </c>
      <c r="AA96">
        <f>_xlfn.XLOOKUP(Scenarios1[[#This Row],[Reference '#]],Scenarios2[Reference '#],Scenarios2[Sharpe Rank])</f>
        <v>95</v>
      </c>
      <c r="AB96">
        <f>_xlfn.XLOOKUP(Scenarios1[[#This Row],[Reference '#]],Scenarios3[Reference '#],Scenarios3[Sharpe Rank])</f>
        <v>89</v>
      </c>
      <c r="AF96" s="34"/>
      <c r="AG96" s="34"/>
      <c r="AK96" s="15"/>
    </row>
    <row r="97" spans="2:37" x14ac:dyDescent="0.2">
      <c r="B97" s="71">
        <v>87</v>
      </c>
      <c r="C97" s="69">
        <v>0.3</v>
      </c>
      <c r="D97" s="69">
        <v>0.2</v>
      </c>
      <c r="E97" s="69">
        <v>0.1</v>
      </c>
      <c r="F97" s="69">
        <v>0.2</v>
      </c>
      <c r="G97" s="69">
        <v>0.2</v>
      </c>
      <c r="H97" s="69">
        <f>SUMPRODUCT(Scenarios1[[#This Row],[SPY]:[PE]],_xlfn.TOROW(AssetSpecsScenario1[Annualized Return]))</f>
        <v>8.0023218534518034E-2</v>
      </c>
      <c r="I97" s="69" cm="1">
        <f t="array" ref="I97">SQRT(MMULT(MMULT(Scenarios1[[#This Row],[SPY]:[PE]], 'Corr_Cov 36- Month'!$J$13:$N$17), TRANSPOSE(Scenarios1[[#This Row],[SPY]:[PE]])))</f>
        <v>8.0527809423735205E-2</v>
      </c>
      <c r="J97" s="70">
        <f>(Scenarios1[[#This Row],[Expected Return]]-RiskFree)/Scenarios1[[#This Row],[36M Vol]]</f>
        <v>0.41001566061761863</v>
      </c>
      <c r="K97" s="107" cm="1">
        <f t="array" ref="K97">MIN(_xlfn._xlws.FILTER(PortfolioFrontier[#Data],(PortfolioFrontier[#Headers]="P"&amp;Scenarios1[[#This Row],[Reference '#]]&amp;" DD")))</f>
        <v>-0.17054442023968874</v>
      </c>
      <c r="L97" s="69">
        <f>SUM(Scenarios1[[#This Row],[SPY]:[VNQ]])</f>
        <v>0.8</v>
      </c>
      <c r="M97" s="69">
        <f>SUM(Scenarios1[[#This Row],[SPY]:[PE]])</f>
        <v>1</v>
      </c>
      <c r="N97" s="71" t="b">
        <f>Scenarios1[[#This Row],[SPY]]&gt;=SpyMin</f>
        <v>1</v>
      </c>
      <c r="O97" s="71" t="b">
        <f>Scenarios1[[#This Row],[AGG]]&gt;=AGGMin</f>
        <v>1</v>
      </c>
      <c r="P97" s="71" t="b">
        <f>AND(Scenarios1[[#This Row],[GLD]]&gt;=GLDMin,Scenarios1[[#This Row],[GLD]]&lt;=GLDMax)</f>
        <v>1</v>
      </c>
      <c r="Q97" s="71" t="b">
        <f>Scenarios1[[#This Row],[VNQ]]&gt;=VNQMin</f>
        <v>1</v>
      </c>
      <c r="R97" s="71" t="b">
        <f>AND(Scenarios1[[#This Row],[PE]]&gt;=PEMin,Scenarios1[[#This Row],[PE]]&lt;=PEMax)</f>
        <v>1</v>
      </c>
      <c r="S97" s="71" t="b">
        <f>Scenarios1[[#This Row],[Liquid Assets]]&gt;=LiquidMin</f>
        <v>1</v>
      </c>
      <c r="T97" s="71" t="b">
        <f>AND(Scenarios1[[#This Row],[Expected Return]]&gt;=ExpectedReturnMin,Scenarios1[[#This Row],[Expected Return]]&lt;=ExpectedReturnMax)</f>
        <v>1</v>
      </c>
      <c r="U97" s="71" t="b">
        <f>Scenarios1[[#This Row],[Max Drawdown]]&gt;=DrawdownMax</f>
        <v>1</v>
      </c>
      <c r="V9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7" s="46">
        <f>_xlfn.XLOOKUP(Scenarios1[[#This Row],[Reference '#]],ScenariosCombined[Reference '#],ScenariosCombined[Sharpe Rank])</f>
        <v>77</v>
      </c>
      <c r="X97" s="71">
        <f>IF(Scenarios1[[#This Row],[Eligible]],COUNTIFS(Scenarios1[Sharpe],"&gt;"&amp;Scenarios1[[#This Row],[Sharpe]],Scenarios1[Eligible],TRUE())+COUNTIFS(Scenarios1[Sharpe],Scenarios1[[#This Row],[Sharpe]],Scenarios1[Eligible],TRUE()),"")</f>
        <v>85</v>
      </c>
      <c r="Y9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30/20/10/20/20</v>
      </c>
      <c r="Z97">
        <f>Scenarios1[[#This Row],[Sharpe Rank]]</f>
        <v>85</v>
      </c>
      <c r="AA97">
        <f>_xlfn.XLOOKUP(Scenarios1[[#This Row],[Reference '#]],Scenarios2[Reference '#],Scenarios2[Sharpe Rank])</f>
        <v>81</v>
      </c>
      <c r="AB97">
        <f>_xlfn.XLOOKUP(Scenarios1[[#This Row],[Reference '#]],Scenarios3[Reference '#],Scenarios3[Sharpe Rank])</f>
        <v>64</v>
      </c>
      <c r="AF97" s="34"/>
      <c r="AG97" s="34"/>
      <c r="AK97" s="15"/>
    </row>
    <row r="98" spans="2:37" x14ac:dyDescent="0.2">
      <c r="B98" s="71">
        <v>88</v>
      </c>
      <c r="C98" s="69">
        <v>0.3</v>
      </c>
      <c r="D98" s="69">
        <v>0.15</v>
      </c>
      <c r="E98" s="69">
        <v>0.2</v>
      </c>
      <c r="F98" s="69">
        <v>0.25</v>
      </c>
      <c r="G98" s="69">
        <v>0.1</v>
      </c>
      <c r="H98" s="69">
        <f>SUMPRODUCT(Scenarios1[[#This Row],[SPY]:[PE]],_xlfn.TOROW(AssetSpecsScenario1[Annualized Return]))</f>
        <v>8.9809343760438337E-2</v>
      </c>
      <c r="I98" s="69" cm="1">
        <f t="array" ref="I98">SQRT(MMULT(MMULT(Scenarios1[[#This Row],[SPY]:[PE]], 'Corr_Cov 36- Month'!$J$13:$N$17), TRANSPOSE(Scenarios1[[#This Row],[SPY]:[PE]])))</f>
        <v>9.044572639991548E-2</v>
      </c>
      <c r="J98" s="70">
        <f>(Scenarios1[[#This Row],[Expected Return]]-RiskFree)/Scenarios1[[#This Row],[36M Vol]]</f>
        <v>0.47325384966915129</v>
      </c>
      <c r="K98" s="107" cm="1">
        <f t="array" ref="K98">MIN(_xlfn._xlws.FILTER(PortfolioFrontier[#Data],(PortfolioFrontier[#Headers]="P"&amp;Scenarios1[[#This Row],[Reference '#]]&amp;" DD")))</f>
        <v>-0.18678846385025705</v>
      </c>
      <c r="L98" s="69">
        <f>SUM(Scenarios1[[#This Row],[SPY]:[VNQ]])</f>
        <v>0.89999999999999991</v>
      </c>
      <c r="M98" s="69">
        <f>SUM(Scenarios1[[#This Row],[SPY]:[PE]])</f>
        <v>0.99999999999999989</v>
      </c>
      <c r="N98" s="71" t="b">
        <f>Scenarios1[[#This Row],[SPY]]&gt;=SpyMin</f>
        <v>1</v>
      </c>
      <c r="O98" s="71" t="b">
        <f>Scenarios1[[#This Row],[AGG]]&gt;=AGGMin</f>
        <v>1</v>
      </c>
      <c r="P98" s="71" t="b">
        <f>AND(Scenarios1[[#This Row],[GLD]]&gt;=GLDMin,Scenarios1[[#This Row],[GLD]]&lt;=GLDMax)</f>
        <v>1</v>
      </c>
      <c r="Q98" s="71" t="b">
        <f>Scenarios1[[#This Row],[VNQ]]&gt;=VNQMin</f>
        <v>1</v>
      </c>
      <c r="R98" s="71" t="b">
        <f>AND(Scenarios1[[#This Row],[PE]]&gt;=PEMin,Scenarios1[[#This Row],[PE]]&lt;=PEMax)</f>
        <v>1</v>
      </c>
      <c r="S98" s="71" t="b">
        <f>Scenarios1[[#This Row],[Liquid Assets]]&gt;=LiquidMin</f>
        <v>1</v>
      </c>
      <c r="T98" s="71" t="b">
        <f>AND(Scenarios1[[#This Row],[Expected Return]]&gt;=ExpectedReturnMin,Scenarios1[[#This Row],[Expected Return]]&lt;=ExpectedReturnMax)</f>
        <v>1</v>
      </c>
      <c r="U98" s="71" t="b">
        <f>Scenarios1[[#This Row],[Max Drawdown]]&gt;=DrawdownMax</f>
        <v>1</v>
      </c>
      <c r="V9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8" s="46">
        <f>_xlfn.XLOOKUP(Scenarios1[[#This Row],[Reference '#]],ScenariosCombined[Reference '#],ScenariosCombined[Sharpe Rank])</f>
        <v>56</v>
      </c>
      <c r="X98" s="71">
        <f>IF(Scenarios1[[#This Row],[Eligible]],COUNTIFS(Scenarios1[Sharpe],"&gt;"&amp;Scenarios1[[#This Row],[Sharpe]],Scenarios1[Eligible],TRUE())+COUNTIFS(Scenarios1[Sharpe],Scenarios1[[#This Row],[Sharpe]],Scenarios1[Eligible],TRUE()),"")</f>
        <v>55</v>
      </c>
      <c r="Y9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30/15/20/25/10</v>
      </c>
      <c r="Z98">
        <f>Scenarios1[[#This Row],[Sharpe Rank]]</f>
        <v>55</v>
      </c>
      <c r="AA98">
        <f>_xlfn.XLOOKUP(Scenarios1[[#This Row],[Reference '#]],Scenarios2[Reference '#],Scenarios2[Sharpe Rank])</f>
        <v>54</v>
      </c>
      <c r="AB98">
        <f>_xlfn.XLOOKUP(Scenarios1[[#This Row],[Reference '#]],Scenarios3[Reference '#],Scenarios3[Sharpe Rank])</f>
        <v>54</v>
      </c>
      <c r="AF98" s="34"/>
      <c r="AG98" s="34"/>
      <c r="AK98" s="15"/>
    </row>
    <row r="99" spans="2:37" x14ac:dyDescent="0.2">
      <c r="B99" s="71">
        <v>89</v>
      </c>
      <c r="C99" s="69">
        <v>0.3</v>
      </c>
      <c r="D99" s="69">
        <v>0.15</v>
      </c>
      <c r="E99" s="69">
        <v>0.2</v>
      </c>
      <c r="F99" s="69">
        <v>0.2</v>
      </c>
      <c r="G99" s="69">
        <v>0.15</v>
      </c>
      <c r="H99" s="69">
        <f>SUMPRODUCT(Scenarios1[[#This Row],[SPY]:[PE]],_xlfn.TOROW(AssetSpecsScenario1[Annualized Return]))</f>
        <v>8.9699869721635947E-2</v>
      </c>
      <c r="I99" s="69" cm="1">
        <f t="array" ref="I99">SQRT(MMULT(MMULT(Scenarios1[[#This Row],[SPY]:[PE]], 'Corr_Cov 36- Month'!$J$13:$N$17), TRANSPOSE(Scenarios1[[#This Row],[SPY]:[PE]])))</f>
        <v>8.2677016505143114E-2</v>
      </c>
      <c r="J99" s="70">
        <f>(Scenarios1[[#This Row],[Expected Return]]-RiskFree)/Scenarios1[[#This Row],[36M Vol]]</f>
        <v>0.51639882485871391</v>
      </c>
      <c r="K99" s="121" cm="1">
        <f t="array" ref="K99">MIN(_xlfn._xlws.FILTER(PortfolioFrontier[#Data],(PortfolioFrontier[#Headers]="P"&amp;Scenarios1[[#This Row],[Reference '#]]&amp;" DD")))</f>
        <v>-0.17235839363109051</v>
      </c>
      <c r="L99" s="69">
        <f>SUM(Scenarios1[[#This Row],[SPY]:[VNQ]])</f>
        <v>0.84999999999999987</v>
      </c>
      <c r="M99" s="69">
        <f>SUM(Scenarios1[[#This Row],[SPY]:[PE]])</f>
        <v>0.99999999999999989</v>
      </c>
      <c r="N99" s="71" t="b">
        <f>Scenarios1[[#This Row],[SPY]]&gt;=SpyMin</f>
        <v>1</v>
      </c>
      <c r="O99" s="71" t="b">
        <f>Scenarios1[[#This Row],[AGG]]&gt;=AGGMin</f>
        <v>1</v>
      </c>
      <c r="P99" s="71" t="b">
        <f>AND(Scenarios1[[#This Row],[GLD]]&gt;=GLDMin,Scenarios1[[#This Row],[GLD]]&lt;=GLDMax)</f>
        <v>1</v>
      </c>
      <c r="Q99" s="71" t="b">
        <f>Scenarios1[[#This Row],[VNQ]]&gt;=VNQMin</f>
        <v>1</v>
      </c>
      <c r="R99" s="71" t="b">
        <f>AND(Scenarios1[[#This Row],[PE]]&gt;=PEMin,Scenarios1[[#This Row],[PE]]&lt;=PEMax)</f>
        <v>1</v>
      </c>
      <c r="S99" s="71" t="b">
        <f>Scenarios1[[#This Row],[Liquid Assets]]&gt;=LiquidMin</f>
        <v>1</v>
      </c>
      <c r="T99" s="71" t="b">
        <f>AND(Scenarios1[[#This Row],[Expected Return]]&gt;=ExpectedReturnMin,Scenarios1[[#This Row],[Expected Return]]&lt;=ExpectedReturnMax)</f>
        <v>1</v>
      </c>
      <c r="U99" s="71" t="b">
        <f>Scenarios1[[#This Row],[Max Drawdown]]&gt;=DrawdownMax</f>
        <v>1</v>
      </c>
      <c r="V9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99" s="46">
        <f>_xlfn.XLOOKUP(Scenarios1[[#This Row],[Reference '#]],ScenariosCombined[Reference '#],ScenariosCombined[Sharpe Rank])</f>
        <v>34</v>
      </c>
      <c r="X99" s="71">
        <f>IF(Scenarios1[[#This Row],[Eligible]],COUNTIFS(Scenarios1[Sharpe],"&gt;"&amp;Scenarios1[[#This Row],[Sharpe]],Scenarios1[Eligible],TRUE())+COUNTIFS(Scenarios1[Sharpe],Scenarios1[[#This Row],[Sharpe]],Scenarios1[Eligible],TRUE()),"")</f>
        <v>34</v>
      </c>
      <c r="Y9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30/15/20/20/15</v>
      </c>
      <c r="Z99">
        <f>Scenarios1[[#This Row],[Sharpe Rank]]</f>
        <v>34</v>
      </c>
      <c r="AA99">
        <f>_xlfn.XLOOKUP(Scenarios1[[#This Row],[Reference '#]],Scenarios2[Reference '#],Scenarios2[Sharpe Rank])</f>
        <v>32</v>
      </c>
      <c r="AB99">
        <f>_xlfn.XLOOKUP(Scenarios1[[#This Row],[Reference '#]],Scenarios3[Reference '#],Scenarios3[Sharpe Rank])</f>
        <v>29</v>
      </c>
      <c r="AF99" s="34"/>
      <c r="AG99" s="34"/>
      <c r="AK99" s="15"/>
    </row>
    <row r="100" spans="2:37" x14ac:dyDescent="0.2">
      <c r="B100" s="71">
        <v>90</v>
      </c>
      <c r="C100" s="69">
        <v>0.3</v>
      </c>
      <c r="D100" s="69">
        <v>0.15</v>
      </c>
      <c r="E100" s="69">
        <v>0.2</v>
      </c>
      <c r="F100" s="69">
        <v>0.15</v>
      </c>
      <c r="G100" s="69">
        <v>0.2</v>
      </c>
      <c r="H100" s="69">
        <f>SUMPRODUCT(Scenarios1[[#This Row],[SPY]:[PE]],_xlfn.TOROW(AssetSpecsScenario1[Annualized Return]))</f>
        <v>8.9590395682833557E-2</v>
      </c>
      <c r="I100" s="69" cm="1">
        <f t="array" ref="I100">SQRT(MMULT(MMULT(Scenarios1[[#This Row],[SPY]:[PE]], 'Corr_Cov 36- Month'!$J$13:$N$17), TRANSPOSE(Scenarios1[[#This Row],[SPY]:[PE]])))</f>
        <v>7.533029028012124E-2</v>
      </c>
      <c r="J100" s="70">
        <f>(Scenarios1[[#This Row],[Expected Return]]-RiskFree)/Scenarios1[[#This Row],[36M Vol]]</f>
        <v>0.56530832376887352</v>
      </c>
      <c r="K100" s="121" cm="1">
        <f t="array" ref="K100">MIN(_xlfn._xlws.FILTER(PortfolioFrontier[#Data],(PortfolioFrontier[#Headers]="P"&amp;Scenarios1[[#This Row],[Reference '#]]&amp;" DD")))</f>
        <v>-0.15781185327852942</v>
      </c>
      <c r="L100" s="69">
        <f>SUM(Scenarios1[[#This Row],[SPY]:[VNQ]])</f>
        <v>0.79999999999999993</v>
      </c>
      <c r="M100" s="69">
        <f>SUM(Scenarios1[[#This Row],[SPY]:[PE]])</f>
        <v>1</v>
      </c>
      <c r="N100" s="71" t="b">
        <f>Scenarios1[[#This Row],[SPY]]&gt;=SpyMin</f>
        <v>1</v>
      </c>
      <c r="O100" s="71" t="b">
        <f>Scenarios1[[#This Row],[AGG]]&gt;=AGGMin</f>
        <v>1</v>
      </c>
      <c r="P100" s="71" t="b">
        <f>AND(Scenarios1[[#This Row],[GLD]]&gt;=GLDMin,Scenarios1[[#This Row],[GLD]]&lt;=GLDMax)</f>
        <v>1</v>
      </c>
      <c r="Q100" s="71" t="b">
        <f>Scenarios1[[#This Row],[VNQ]]&gt;=VNQMin</f>
        <v>1</v>
      </c>
      <c r="R100" s="71" t="b">
        <f>AND(Scenarios1[[#This Row],[PE]]&gt;=PEMin,Scenarios1[[#This Row],[PE]]&lt;=PEMax)</f>
        <v>1</v>
      </c>
      <c r="S100" s="71" t="b">
        <f>Scenarios1[[#This Row],[Liquid Assets]]&gt;=LiquidMin</f>
        <v>1</v>
      </c>
      <c r="T100" s="71" t="b">
        <f>AND(Scenarios1[[#This Row],[Expected Return]]&gt;=ExpectedReturnMin,Scenarios1[[#This Row],[Expected Return]]&lt;=ExpectedReturnMax)</f>
        <v>1</v>
      </c>
      <c r="U100" s="71" t="b">
        <f>Scenarios1[[#This Row],[Max Drawdown]]&gt;=DrawdownMax</f>
        <v>1</v>
      </c>
      <c r="V10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00" s="46">
        <f>_xlfn.XLOOKUP(Scenarios1[[#This Row],[Reference '#]],ScenariosCombined[Reference '#],ScenariosCombined[Sharpe Rank])</f>
        <v>14</v>
      </c>
      <c r="X100" s="71">
        <f>IF(Scenarios1[[#This Row],[Eligible]],COUNTIFS(Scenarios1[Sharpe],"&gt;"&amp;Scenarios1[[#This Row],[Sharpe]],Scenarios1[Eligible],TRUE())+COUNTIFS(Scenarios1[Sharpe],Scenarios1[[#This Row],[Sharpe]],Scenarios1[Eligible],TRUE()),"")</f>
        <v>19</v>
      </c>
      <c r="Y10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30/15/20/15/20</v>
      </c>
      <c r="Z100" s="139">
        <f>Scenarios1[[#This Row],[Sharpe Rank]]</f>
        <v>19</v>
      </c>
      <c r="AA100" s="139">
        <f>_xlfn.XLOOKUP(Scenarios1[[#This Row],[Reference '#]],Scenarios2[Reference '#],Scenarios2[Sharpe Rank])</f>
        <v>16</v>
      </c>
      <c r="AB100" s="139">
        <f>_xlfn.XLOOKUP(Scenarios1[[#This Row],[Reference '#]],Scenarios3[Reference '#],Scenarios3[Sharpe Rank])</f>
        <v>7</v>
      </c>
      <c r="AF100" s="34"/>
      <c r="AG100" s="34"/>
      <c r="AK100" s="15"/>
    </row>
    <row r="101" spans="2:37" x14ac:dyDescent="0.2">
      <c r="B101" s="71">
        <v>91</v>
      </c>
      <c r="C101" s="69">
        <v>0.3</v>
      </c>
      <c r="D101" s="69">
        <v>0.15</v>
      </c>
      <c r="E101" s="69">
        <v>0.15</v>
      </c>
      <c r="F101" s="69">
        <v>0.3</v>
      </c>
      <c r="G101" s="69">
        <v>0.1</v>
      </c>
      <c r="H101" s="69">
        <f>SUMPRODUCT(Scenarios1[[#This Row],[SPY]:[PE]],_xlfn.TOROW(AssetSpecsScenario1[Annualized Return]))</f>
        <v>8.5817624859362313E-2</v>
      </c>
      <c r="I101" s="69" cm="1">
        <f t="array" ref="I101">SQRT(MMULT(MMULT(Scenarios1[[#This Row],[SPY]:[PE]], 'Corr_Cov 36- Month'!$J$13:$N$17), TRANSPOSE(Scenarios1[[#This Row],[SPY]:[PE]])))</f>
        <v>9.5913147081195707E-2</v>
      </c>
      <c r="J101" s="70">
        <f>(Scenarios1[[#This Row],[Expected Return]]-RiskFree)/Scenarios1[[#This Row],[36M Vol]]</f>
        <v>0.40465849036264268</v>
      </c>
      <c r="K101" s="107" cm="1">
        <f t="array" ref="K101">MIN(_xlfn._xlws.FILTER(PortfolioFrontier[#Data],(PortfolioFrontier[#Headers]="P"&amp;Scenarios1[[#This Row],[Reference '#]]&amp;" DD")))</f>
        <v>-0.19691657346478753</v>
      </c>
      <c r="L101" s="69">
        <f>SUM(Scenarios1[[#This Row],[SPY]:[VNQ]])</f>
        <v>0.89999999999999991</v>
      </c>
      <c r="M101" s="69">
        <f>SUM(Scenarios1[[#This Row],[SPY]:[PE]])</f>
        <v>0.99999999999999989</v>
      </c>
      <c r="N101" s="71" t="b">
        <f>Scenarios1[[#This Row],[SPY]]&gt;=SpyMin</f>
        <v>1</v>
      </c>
      <c r="O101" s="71" t="b">
        <f>Scenarios1[[#This Row],[AGG]]&gt;=AGGMin</f>
        <v>1</v>
      </c>
      <c r="P101" s="71" t="b">
        <f>AND(Scenarios1[[#This Row],[GLD]]&gt;=GLDMin,Scenarios1[[#This Row],[GLD]]&lt;=GLDMax)</f>
        <v>1</v>
      </c>
      <c r="Q101" s="71" t="b">
        <f>Scenarios1[[#This Row],[VNQ]]&gt;=VNQMin</f>
        <v>1</v>
      </c>
      <c r="R101" s="71" t="b">
        <f>AND(Scenarios1[[#This Row],[PE]]&gt;=PEMin,Scenarios1[[#This Row],[PE]]&lt;=PEMax)</f>
        <v>1</v>
      </c>
      <c r="S101" s="71" t="b">
        <f>Scenarios1[[#This Row],[Liquid Assets]]&gt;=LiquidMin</f>
        <v>1</v>
      </c>
      <c r="T101" s="71" t="b">
        <f>AND(Scenarios1[[#This Row],[Expected Return]]&gt;=ExpectedReturnMin,Scenarios1[[#This Row],[Expected Return]]&lt;=ExpectedReturnMax)</f>
        <v>1</v>
      </c>
      <c r="U101" s="71" t="b">
        <f>Scenarios1[[#This Row],[Max Drawdown]]&gt;=DrawdownMax</f>
        <v>1</v>
      </c>
      <c r="V10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01" s="46">
        <f>_xlfn.XLOOKUP(Scenarios1[[#This Row],[Reference '#]],ScenariosCombined[Reference '#],ScenariosCombined[Sharpe Rank])</f>
        <v>88</v>
      </c>
      <c r="X101" s="71">
        <f>IF(Scenarios1[[#This Row],[Eligible]],COUNTIFS(Scenarios1[Sharpe],"&gt;"&amp;Scenarios1[[#This Row],[Sharpe]],Scenarios1[Eligible],TRUE())+COUNTIFS(Scenarios1[Sharpe],Scenarios1[[#This Row],[Sharpe]],Scenarios1[Eligible],TRUE()),"")</f>
        <v>87</v>
      </c>
      <c r="Y10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30/15/15/30/10</v>
      </c>
      <c r="Z101">
        <f>Scenarios1[[#This Row],[Sharpe Rank]]</f>
        <v>87</v>
      </c>
      <c r="AA101">
        <f>_xlfn.XLOOKUP(Scenarios1[[#This Row],[Reference '#]],Scenarios2[Reference '#],Scenarios2[Sharpe Rank])</f>
        <v>87</v>
      </c>
      <c r="AB101">
        <f>_xlfn.XLOOKUP(Scenarios1[[#This Row],[Reference '#]],Scenarios3[Reference '#],Scenarios3[Sharpe Rank])</f>
        <v>86</v>
      </c>
      <c r="AF101" s="34"/>
      <c r="AG101" s="34"/>
      <c r="AK101" s="15"/>
    </row>
    <row r="102" spans="2:37" x14ac:dyDescent="0.2">
      <c r="B102" s="71">
        <v>92</v>
      </c>
      <c r="C102" s="69">
        <v>0.3</v>
      </c>
      <c r="D102" s="69">
        <v>0.15</v>
      </c>
      <c r="E102" s="69">
        <v>0.15</v>
      </c>
      <c r="F102" s="69">
        <v>0.25</v>
      </c>
      <c r="G102" s="69">
        <v>0.15</v>
      </c>
      <c r="H102" s="69">
        <f>SUMPRODUCT(Scenarios1[[#This Row],[SPY]:[PE]],_xlfn.TOROW(AssetSpecsScenario1[Annualized Return]))</f>
        <v>8.5708150820559922E-2</v>
      </c>
      <c r="I102" s="69" cm="1">
        <f t="array" ref="I102">SQRT(MMULT(MMULT(Scenarios1[[#This Row],[SPY]:[PE]], 'Corr_Cov 36- Month'!$J$13:$N$17), TRANSPOSE(Scenarios1[[#This Row],[SPY]:[PE]])))</f>
        <v>8.7885252759314761E-2</v>
      </c>
      <c r="J102" s="70">
        <f>(Scenarios1[[#This Row],[Expected Return]]-RiskFree)/Scenarios1[[#This Row],[36M Vol]]</f>
        <v>0.44037644598914089</v>
      </c>
      <c r="K102" s="107" cm="1">
        <f t="array" ref="K102">MIN(_xlfn._xlws.FILTER(PortfolioFrontier[#Data],(PortfolioFrontier[#Headers]="P"&amp;Scenarios1[[#This Row],[Reference '#]]&amp;" DD")))</f>
        <v>-0.18256018832149878</v>
      </c>
      <c r="L102" s="69">
        <f>SUM(Scenarios1[[#This Row],[SPY]:[VNQ]])</f>
        <v>0.85</v>
      </c>
      <c r="M102" s="69">
        <f>SUM(Scenarios1[[#This Row],[SPY]:[PE]])</f>
        <v>1</v>
      </c>
      <c r="N102" s="71" t="b">
        <f>Scenarios1[[#This Row],[SPY]]&gt;=SpyMin</f>
        <v>1</v>
      </c>
      <c r="O102" s="71" t="b">
        <f>Scenarios1[[#This Row],[AGG]]&gt;=AGGMin</f>
        <v>1</v>
      </c>
      <c r="P102" s="71" t="b">
        <f>AND(Scenarios1[[#This Row],[GLD]]&gt;=GLDMin,Scenarios1[[#This Row],[GLD]]&lt;=GLDMax)</f>
        <v>1</v>
      </c>
      <c r="Q102" s="71" t="b">
        <f>Scenarios1[[#This Row],[VNQ]]&gt;=VNQMin</f>
        <v>1</v>
      </c>
      <c r="R102" s="71" t="b">
        <f>AND(Scenarios1[[#This Row],[PE]]&gt;=PEMin,Scenarios1[[#This Row],[PE]]&lt;=PEMax)</f>
        <v>1</v>
      </c>
      <c r="S102" s="71" t="b">
        <f>Scenarios1[[#This Row],[Liquid Assets]]&gt;=LiquidMin</f>
        <v>1</v>
      </c>
      <c r="T102" s="71" t="b">
        <f>AND(Scenarios1[[#This Row],[Expected Return]]&gt;=ExpectedReturnMin,Scenarios1[[#This Row],[Expected Return]]&lt;=ExpectedReturnMax)</f>
        <v>1</v>
      </c>
      <c r="U102" s="71" t="b">
        <f>Scenarios1[[#This Row],[Max Drawdown]]&gt;=DrawdownMax</f>
        <v>1</v>
      </c>
      <c r="V10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02" s="46">
        <f>_xlfn.XLOOKUP(Scenarios1[[#This Row],[Reference '#]],ScenariosCombined[Reference '#],ScenariosCombined[Sharpe Rank])</f>
        <v>65</v>
      </c>
      <c r="X102" s="71">
        <f>IF(Scenarios1[[#This Row],[Eligible]],COUNTIFS(Scenarios1[Sharpe],"&gt;"&amp;Scenarios1[[#This Row],[Sharpe]],Scenarios1[Eligible],TRUE())+COUNTIFS(Scenarios1[Sharpe],Scenarios1[[#This Row],[Sharpe]],Scenarios1[Eligible],TRUE()),"")</f>
        <v>66</v>
      </c>
      <c r="Y10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30/15/15/25/15</v>
      </c>
      <c r="Z102">
        <f>Scenarios1[[#This Row],[Sharpe Rank]]</f>
        <v>66</v>
      </c>
      <c r="AA102">
        <f>_xlfn.XLOOKUP(Scenarios1[[#This Row],[Reference '#]],Scenarios2[Reference '#],Scenarios2[Sharpe Rank])</f>
        <v>64</v>
      </c>
      <c r="AB102">
        <f>_xlfn.XLOOKUP(Scenarios1[[#This Row],[Reference '#]],Scenarios3[Reference '#],Scenarios3[Sharpe Rank])</f>
        <v>60</v>
      </c>
      <c r="AF102" s="34"/>
      <c r="AG102" s="34"/>
      <c r="AK102" s="15"/>
    </row>
    <row r="103" spans="2:37" x14ac:dyDescent="0.2">
      <c r="B103" s="71">
        <v>93</v>
      </c>
      <c r="C103" s="69">
        <v>0.3</v>
      </c>
      <c r="D103" s="69">
        <v>0.15</v>
      </c>
      <c r="E103" s="69">
        <v>0.15</v>
      </c>
      <c r="F103" s="69">
        <v>0.2</v>
      </c>
      <c r="G103" s="69">
        <v>0.2</v>
      </c>
      <c r="H103" s="69">
        <f>SUMPRODUCT(Scenarios1[[#This Row],[SPY]:[PE]],_xlfn.TOROW(AssetSpecsScenario1[Annualized Return]))</f>
        <v>8.5598676781757532E-2</v>
      </c>
      <c r="I103" s="69" cm="1">
        <f t="array" ref="I103">SQRT(MMULT(MMULT(Scenarios1[[#This Row],[SPY]:[PE]], 'Corr_Cov 36- Month'!$J$13:$N$17), TRANSPOSE(Scenarios1[[#This Row],[SPY]:[PE]])))</f>
        <v>8.0202290886423486E-2</v>
      </c>
      <c r="J103" s="70">
        <f>(Scenarios1[[#This Row],[Expected Return]]-RiskFree)/Scenarios1[[#This Row],[36M Vol]]</f>
        <v>0.48119724261810287</v>
      </c>
      <c r="K103" s="107" cm="1">
        <f t="array" ref="K103">MIN(_xlfn._xlws.FILTER(PortfolioFrontier[#Data],(PortfolioFrontier[#Headers]="P"&amp;Scenarios1[[#This Row],[Reference '#]]&amp;" DD")))</f>
        <v>-0.1680856669601688</v>
      </c>
      <c r="L103" s="69">
        <f>SUM(Scenarios1[[#This Row],[SPY]:[VNQ]])</f>
        <v>0.8</v>
      </c>
      <c r="M103" s="69">
        <f>SUM(Scenarios1[[#This Row],[SPY]:[PE]])</f>
        <v>1</v>
      </c>
      <c r="N103" s="71" t="b">
        <f>Scenarios1[[#This Row],[SPY]]&gt;=SpyMin</f>
        <v>1</v>
      </c>
      <c r="O103" s="71" t="b">
        <f>Scenarios1[[#This Row],[AGG]]&gt;=AGGMin</f>
        <v>1</v>
      </c>
      <c r="P103" s="71" t="b">
        <f>AND(Scenarios1[[#This Row],[GLD]]&gt;=GLDMin,Scenarios1[[#This Row],[GLD]]&lt;=GLDMax)</f>
        <v>1</v>
      </c>
      <c r="Q103" s="71" t="b">
        <f>Scenarios1[[#This Row],[VNQ]]&gt;=VNQMin</f>
        <v>1</v>
      </c>
      <c r="R103" s="71" t="b">
        <f>AND(Scenarios1[[#This Row],[PE]]&gt;=PEMin,Scenarios1[[#This Row],[PE]]&lt;=PEMax)</f>
        <v>1</v>
      </c>
      <c r="S103" s="71" t="b">
        <f>Scenarios1[[#This Row],[Liquid Assets]]&gt;=LiquidMin</f>
        <v>1</v>
      </c>
      <c r="T103" s="71" t="b">
        <f>AND(Scenarios1[[#This Row],[Expected Return]]&gt;=ExpectedReturnMin,Scenarios1[[#This Row],[Expected Return]]&lt;=ExpectedReturnMax)</f>
        <v>1</v>
      </c>
      <c r="U103" s="71" t="b">
        <f>Scenarios1[[#This Row],[Max Drawdown]]&gt;=DrawdownMax</f>
        <v>1</v>
      </c>
      <c r="V10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03" s="46">
        <f>_xlfn.XLOOKUP(Scenarios1[[#This Row],[Reference '#]],ScenariosCombined[Reference '#],ScenariosCombined[Sharpe Rank])</f>
        <v>45</v>
      </c>
      <c r="X103" s="71">
        <f>IF(Scenarios1[[#This Row],[Eligible]],COUNTIFS(Scenarios1[Sharpe],"&gt;"&amp;Scenarios1[[#This Row],[Sharpe]],Scenarios1[Eligible],TRUE())+COUNTIFS(Scenarios1[Sharpe],Scenarios1[[#This Row],[Sharpe]],Scenarios1[Eligible],TRUE()),"")</f>
        <v>51</v>
      </c>
      <c r="Y10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30/15/15/20/20</v>
      </c>
      <c r="Z103">
        <f>Scenarios1[[#This Row],[Sharpe Rank]]</f>
        <v>51</v>
      </c>
      <c r="AA103">
        <f>_xlfn.XLOOKUP(Scenarios1[[#This Row],[Reference '#]],Scenarios2[Reference '#],Scenarios2[Sharpe Rank])</f>
        <v>47</v>
      </c>
      <c r="AB103">
        <f>_xlfn.XLOOKUP(Scenarios1[[#This Row],[Reference '#]],Scenarios3[Reference '#],Scenarios3[Sharpe Rank])</f>
        <v>34</v>
      </c>
      <c r="AF103" s="34"/>
      <c r="AG103" s="34"/>
      <c r="AK103" s="15"/>
    </row>
    <row r="104" spans="2:37" x14ac:dyDescent="0.2">
      <c r="B104" s="71">
        <v>94</v>
      </c>
      <c r="C104" s="69">
        <v>0.3</v>
      </c>
      <c r="D104" s="69">
        <v>0.15</v>
      </c>
      <c r="E104" s="69">
        <v>0.1</v>
      </c>
      <c r="F104" s="69">
        <v>0.35</v>
      </c>
      <c r="G104" s="69">
        <v>0.1</v>
      </c>
      <c r="H104" s="69">
        <f>SUMPRODUCT(Scenarios1[[#This Row],[SPY]:[PE]],_xlfn.TOROW(AssetSpecsScenario1[Annualized Return]))</f>
        <v>8.1825905958286288E-2</v>
      </c>
      <c r="I104" s="69" cm="1">
        <f t="array" ref="I104">SQRT(MMULT(MMULT(Scenarios1[[#This Row],[SPY]:[PE]], 'Corr_Cov 36- Month'!$J$13:$N$17), TRANSPOSE(Scenarios1[[#This Row],[SPY]:[PE]])))</f>
        <v>0.10209152638113109</v>
      </c>
      <c r="J104" s="70">
        <f>(Scenarios1[[#This Row],[Expected Return]]-RiskFree)/Scenarios1[[#This Row],[36M Vol]]</f>
        <v>0.34106993633084082</v>
      </c>
      <c r="K104" s="107" cm="1">
        <f t="array" ref="K104">MIN(_xlfn._xlws.FILTER(PortfolioFrontier[#Data],(PortfolioFrontier[#Headers]="P"&amp;Scenarios1[[#This Row],[Reference '#]]&amp;" DD")))</f>
        <v>-0.20701358240872292</v>
      </c>
      <c r="L104" s="69">
        <f>SUM(Scenarios1[[#This Row],[SPY]:[VNQ]])</f>
        <v>0.89999999999999991</v>
      </c>
      <c r="M104" s="69">
        <f>SUM(Scenarios1[[#This Row],[SPY]:[PE]])</f>
        <v>0.99999999999999989</v>
      </c>
      <c r="N104" s="71" t="b">
        <f>Scenarios1[[#This Row],[SPY]]&gt;=SpyMin</f>
        <v>1</v>
      </c>
      <c r="O104" s="71" t="b">
        <f>Scenarios1[[#This Row],[AGG]]&gt;=AGGMin</f>
        <v>1</v>
      </c>
      <c r="P104" s="71" t="b">
        <f>AND(Scenarios1[[#This Row],[GLD]]&gt;=GLDMin,Scenarios1[[#This Row],[GLD]]&lt;=GLDMax)</f>
        <v>1</v>
      </c>
      <c r="Q104" s="71" t="b">
        <f>Scenarios1[[#This Row],[VNQ]]&gt;=VNQMin</f>
        <v>1</v>
      </c>
      <c r="R104" s="71" t="b">
        <f>AND(Scenarios1[[#This Row],[PE]]&gt;=PEMin,Scenarios1[[#This Row],[PE]]&lt;=PEMax)</f>
        <v>1</v>
      </c>
      <c r="S104" s="71" t="b">
        <f>Scenarios1[[#This Row],[Liquid Assets]]&gt;=LiquidMin</f>
        <v>1</v>
      </c>
      <c r="T104" s="71" t="b">
        <f>AND(Scenarios1[[#This Row],[Expected Return]]&gt;=ExpectedReturnMin,Scenarios1[[#This Row],[Expected Return]]&lt;=ExpectedReturnMax)</f>
        <v>1</v>
      </c>
      <c r="U104" s="71" t="b">
        <f>Scenarios1[[#This Row],[Max Drawdown]]&gt;=DrawdownMax</f>
        <v>0</v>
      </c>
      <c r="V10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04" s="46" t="str">
        <f>_xlfn.XLOOKUP(Scenarios1[[#This Row],[Reference '#]],ScenariosCombined[Reference '#],ScenariosCombined[Sharpe Rank])</f>
        <v/>
      </c>
      <c r="X104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0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30/15/10/35/10</v>
      </c>
      <c r="Z104" t="str">
        <f>Scenarios1[[#This Row],[Sharpe Rank]]</f>
        <v/>
      </c>
      <c r="AA104" t="str">
        <f>_xlfn.XLOOKUP(Scenarios1[[#This Row],[Reference '#]],Scenarios2[Reference '#],Scenarios2[Sharpe Rank])</f>
        <v/>
      </c>
      <c r="AB104" t="str">
        <f>_xlfn.XLOOKUP(Scenarios1[[#This Row],[Reference '#]],Scenarios3[Reference '#],Scenarios3[Sharpe Rank])</f>
        <v/>
      </c>
      <c r="AF104" s="34"/>
      <c r="AG104" s="34"/>
      <c r="AK104" s="15"/>
    </row>
    <row r="105" spans="2:37" x14ac:dyDescent="0.2">
      <c r="B105" s="71">
        <v>95</v>
      </c>
      <c r="C105" s="69">
        <v>0.3</v>
      </c>
      <c r="D105" s="69">
        <v>0.15</v>
      </c>
      <c r="E105" s="69">
        <v>0.1</v>
      </c>
      <c r="F105" s="69">
        <v>0.3</v>
      </c>
      <c r="G105" s="69">
        <v>0.15</v>
      </c>
      <c r="H105" s="69">
        <f>SUMPRODUCT(Scenarios1[[#This Row],[SPY]:[PE]],_xlfn.TOROW(AssetSpecsScenario1[Annualized Return]))</f>
        <v>8.1716431919483898E-2</v>
      </c>
      <c r="I105" s="69" cm="1">
        <f t="array" ref="I105">SQRT(MMULT(MMULT(Scenarios1[[#This Row],[SPY]:[PE]], 'Corr_Cov 36- Month'!$J$13:$N$17), TRANSPOSE(Scenarios1[[#This Row],[SPY]:[PE]])))</f>
        <v>9.3896708481953542E-2</v>
      </c>
      <c r="J105" s="70">
        <f>(Scenarios1[[#This Row],[Expected Return]]-RiskFree)/Scenarios1[[#This Row],[36M Vol]]</f>
        <v>0.36967085348470546</v>
      </c>
      <c r="K105" s="107" cm="1">
        <f t="array" ref="K105">MIN(_xlfn._xlws.FILTER(PortfolioFrontier[#Data],(PortfolioFrontier[#Headers]="P"&amp;Scenarios1[[#This Row],[Reference '#]]&amp;" DD")))</f>
        <v>-0.19273250958379395</v>
      </c>
      <c r="L105" s="69">
        <f>SUM(Scenarios1[[#This Row],[SPY]:[VNQ]])</f>
        <v>0.84999999999999987</v>
      </c>
      <c r="M105" s="69">
        <f>SUM(Scenarios1[[#This Row],[SPY]:[PE]])</f>
        <v>0.99999999999999989</v>
      </c>
      <c r="N105" s="71" t="b">
        <f>Scenarios1[[#This Row],[SPY]]&gt;=SpyMin</f>
        <v>1</v>
      </c>
      <c r="O105" s="71" t="b">
        <f>Scenarios1[[#This Row],[AGG]]&gt;=AGGMin</f>
        <v>1</v>
      </c>
      <c r="P105" s="71" t="b">
        <f>AND(Scenarios1[[#This Row],[GLD]]&gt;=GLDMin,Scenarios1[[#This Row],[GLD]]&lt;=GLDMax)</f>
        <v>1</v>
      </c>
      <c r="Q105" s="71" t="b">
        <f>Scenarios1[[#This Row],[VNQ]]&gt;=VNQMin</f>
        <v>1</v>
      </c>
      <c r="R105" s="71" t="b">
        <f>AND(Scenarios1[[#This Row],[PE]]&gt;=PEMin,Scenarios1[[#This Row],[PE]]&lt;=PEMax)</f>
        <v>1</v>
      </c>
      <c r="S105" s="71" t="b">
        <f>Scenarios1[[#This Row],[Liquid Assets]]&gt;=LiquidMin</f>
        <v>1</v>
      </c>
      <c r="T105" s="71" t="b">
        <f>AND(Scenarios1[[#This Row],[Expected Return]]&gt;=ExpectedReturnMin,Scenarios1[[#This Row],[Expected Return]]&lt;=ExpectedReturnMax)</f>
        <v>1</v>
      </c>
      <c r="U105" s="71" t="b">
        <f>Scenarios1[[#This Row],[Max Drawdown]]&gt;=DrawdownMax</f>
        <v>1</v>
      </c>
      <c r="V10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05" s="46">
        <f>_xlfn.XLOOKUP(Scenarios1[[#This Row],[Reference '#]],ScenariosCombined[Reference '#],ScenariosCombined[Sharpe Rank])</f>
        <v>98</v>
      </c>
      <c r="X105" s="71">
        <f>IF(Scenarios1[[#This Row],[Eligible]],COUNTIFS(Scenarios1[Sharpe],"&gt;"&amp;Scenarios1[[#This Row],[Sharpe]],Scenarios1[Eligible],TRUE())+COUNTIFS(Scenarios1[Sharpe],Scenarios1[[#This Row],[Sharpe]],Scenarios1[Eligible],TRUE()),"")</f>
        <v>98</v>
      </c>
      <c r="Y10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30/15/10/30/15</v>
      </c>
      <c r="Z105">
        <f>Scenarios1[[#This Row],[Sharpe Rank]]</f>
        <v>98</v>
      </c>
      <c r="AA105">
        <f>_xlfn.XLOOKUP(Scenarios1[[#This Row],[Reference '#]],Scenarios2[Reference '#],Scenarios2[Sharpe Rank])</f>
        <v>97</v>
      </c>
      <c r="AB105">
        <f>_xlfn.XLOOKUP(Scenarios1[[#This Row],[Reference '#]],Scenarios3[Reference '#],Scenarios3[Sharpe Rank])</f>
        <v>93</v>
      </c>
      <c r="AF105" s="34"/>
      <c r="AG105" s="34"/>
      <c r="AK105" s="15"/>
    </row>
    <row r="106" spans="2:37" x14ac:dyDescent="0.2">
      <c r="B106" s="71">
        <v>96</v>
      </c>
      <c r="C106" s="69">
        <v>0.3</v>
      </c>
      <c r="D106" s="69">
        <v>0.15</v>
      </c>
      <c r="E106" s="69">
        <v>0.1</v>
      </c>
      <c r="F106" s="69">
        <v>0.25</v>
      </c>
      <c r="G106" s="69">
        <v>0.2</v>
      </c>
      <c r="H106" s="69">
        <f>SUMPRODUCT(Scenarios1[[#This Row],[SPY]:[PE]],_xlfn.TOROW(AssetSpecsScenario1[Annualized Return]))</f>
        <v>8.1606957880681508E-2</v>
      </c>
      <c r="I106" s="69" cm="1">
        <f t="array" ref="I106">SQRT(MMULT(MMULT(Scenarios1[[#This Row],[SPY]:[PE]], 'Corr_Cov 36- Month'!$J$13:$N$17), TRANSPOSE(Scenarios1[[#This Row],[SPY]:[PE]])))</f>
        <v>8.5991906072449817E-2</v>
      </c>
      <c r="J106" s="70">
        <f>(Scenarios1[[#This Row],[Expected Return]]-RiskFree)/Scenarios1[[#This Row],[36M Vol]]</f>
        <v>0.40237975764804673</v>
      </c>
      <c r="K106" s="107" cm="1">
        <f t="array" ref="K106">MIN(_xlfn._xlws.FILTER(PortfolioFrontier[#Data],(PortfolioFrontier[#Headers]="P"&amp;Scenarios1[[#This Row],[Reference '#]]&amp;" DD")))</f>
        <v>-0.17833167998995136</v>
      </c>
      <c r="L106" s="69">
        <f>SUM(Scenarios1[[#This Row],[SPY]:[VNQ]])</f>
        <v>0.79999999999999993</v>
      </c>
      <c r="M106" s="69">
        <f>SUM(Scenarios1[[#This Row],[SPY]:[PE]])</f>
        <v>1</v>
      </c>
      <c r="N106" s="71" t="b">
        <f>Scenarios1[[#This Row],[SPY]]&gt;=SpyMin</f>
        <v>1</v>
      </c>
      <c r="O106" s="71" t="b">
        <f>Scenarios1[[#This Row],[AGG]]&gt;=AGGMin</f>
        <v>1</v>
      </c>
      <c r="P106" s="71" t="b">
        <f>AND(Scenarios1[[#This Row],[GLD]]&gt;=GLDMin,Scenarios1[[#This Row],[GLD]]&lt;=GLDMax)</f>
        <v>1</v>
      </c>
      <c r="Q106" s="71" t="b">
        <f>Scenarios1[[#This Row],[VNQ]]&gt;=VNQMin</f>
        <v>1</v>
      </c>
      <c r="R106" s="71" t="b">
        <f>AND(Scenarios1[[#This Row],[PE]]&gt;=PEMin,Scenarios1[[#This Row],[PE]]&lt;=PEMax)</f>
        <v>1</v>
      </c>
      <c r="S106" s="71" t="b">
        <f>Scenarios1[[#This Row],[Liquid Assets]]&gt;=LiquidMin</f>
        <v>1</v>
      </c>
      <c r="T106" s="71" t="b">
        <f>AND(Scenarios1[[#This Row],[Expected Return]]&gt;=ExpectedReturnMin,Scenarios1[[#This Row],[Expected Return]]&lt;=ExpectedReturnMax)</f>
        <v>1</v>
      </c>
      <c r="U106" s="71" t="b">
        <f>Scenarios1[[#This Row],[Max Drawdown]]&gt;=DrawdownMax</f>
        <v>1</v>
      </c>
      <c r="V10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06" s="46">
        <f>_xlfn.XLOOKUP(Scenarios1[[#This Row],[Reference '#]],ScenariosCombined[Reference '#],ScenariosCombined[Sharpe Rank])</f>
        <v>82</v>
      </c>
      <c r="X106" s="71">
        <f>IF(Scenarios1[[#This Row],[Eligible]],COUNTIFS(Scenarios1[Sharpe],"&gt;"&amp;Scenarios1[[#This Row],[Sharpe]],Scenarios1[Eligible],TRUE())+COUNTIFS(Scenarios1[Sharpe],Scenarios1[[#This Row],[Sharpe]],Scenarios1[Eligible],TRUE()),"")</f>
        <v>90</v>
      </c>
      <c r="Y10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30/15/10/25/20</v>
      </c>
      <c r="Z106">
        <f>Scenarios1[[#This Row],[Sharpe Rank]]</f>
        <v>90</v>
      </c>
      <c r="AA106">
        <f>_xlfn.XLOOKUP(Scenarios1[[#This Row],[Reference '#]],Scenarios2[Reference '#],Scenarios2[Sharpe Rank])</f>
        <v>86</v>
      </c>
      <c r="AB106">
        <f>_xlfn.XLOOKUP(Scenarios1[[#This Row],[Reference '#]],Scenarios3[Reference '#],Scenarios3[Sharpe Rank])</f>
        <v>67</v>
      </c>
      <c r="AF106" s="34"/>
      <c r="AG106" s="34"/>
      <c r="AK106" s="15"/>
    </row>
    <row r="107" spans="2:37" x14ac:dyDescent="0.2">
      <c r="B107" s="71">
        <v>97</v>
      </c>
      <c r="C107" s="69">
        <v>0.25</v>
      </c>
      <c r="D107" s="69">
        <v>0.45</v>
      </c>
      <c r="E107" s="69">
        <v>0.1</v>
      </c>
      <c r="F107" s="69">
        <v>0.1</v>
      </c>
      <c r="G107" s="69">
        <v>0.1</v>
      </c>
      <c r="H107" s="69">
        <f>SUMPRODUCT(Scenarios1[[#This Row],[SPY]:[PE]],_xlfn.TOROW(AssetSpecsScenario1[Annualized Return]))</f>
        <v>6.7223976206460284E-2</v>
      </c>
      <c r="I107" s="69" cm="1">
        <f t="array" ref="I107">SQRT(MMULT(MMULT(Scenarios1[[#This Row],[SPY]:[PE]], 'Corr_Cov 36- Month'!$J$13:$N$17), TRANSPOSE(Scenarios1[[#This Row],[SPY]:[PE]])))</f>
        <v>7.2400505771849311E-2</v>
      </c>
      <c r="J107" s="70">
        <f>(Scenarios1[[#This Row],[Expected Return]]-RiskFree)/Scenarios1[[#This Row],[36M Vol]]</f>
        <v>0.27925800290149411</v>
      </c>
      <c r="K107" s="107" cm="1">
        <f t="array" ref="K107">MIN(_xlfn._xlws.FILTER(PortfolioFrontier[#Data],(PortfolioFrontier[#Headers]="P"&amp;Scenarios1[[#This Row],[Reference '#]]&amp;" DD")))</f>
        <v>-0.16368427588701906</v>
      </c>
      <c r="L107" s="69">
        <f>SUM(Scenarios1[[#This Row],[SPY]:[VNQ]])</f>
        <v>0.89999999999999991</v>
      </c>
      <c r="M107" s="69">
        <f>SUM(Scenarios1[[#This Row],[SPY]:[PE]])</f>
        <v>0.99999999999999989</v>
      </c>
      <c r="N107" s="71" t="b">
        <f>Scenarios1[[#This Row],[SPY]]&gt;=SpyMin</f>
        <v>1</v>
      </c>
      <c r="O107" s="71" t="b">
        <f>Scenarios1[[#This Row],[AGG]]&gt;=AGGMin</f>
        <v>1</v>
      </c>
      <c r="P107" s="71" t="b">
        <f>AND(Scenarios1[[#This Row],[GLD]]&gt;=GLDMin,Scenarios1[[#This Row],[GLD]]&lt;=GLDMax)</f>
        <v>1</v>
      </c>
      <c r="Q107" s="71" t="b">
        <f>Scenarios1[[#This Row],[VNQ]]&gt;=VNQMin</f>
        <v>1</v>
      </c>
      <c r="R107" s="71" t="b">
        <f>AND(Scenarios1[[#This Row],[PE]]&gt;=PEMin,Scenarios1[[#This Row],[PE]]&lt;=PEMax)</f>
        <v>1</v>
      </c>
      <c r="S107" s="71" t="b">
        <f>Scenarios1[[#This Row],[Liquid Assets]]&gt;=LiquidMin</f>
        <v>1</v>
      </c>
      <c r="T107" s="71" t="b">
        <f>AND(Scenarios1[[#This Row],[Expected Return]]&gt;=ExpectedReturnMin,Scenarios1[[#This Row],[Expected Return]]&lt;=ExpectedReturnMax)</f>
        <v>0</v>
      </c>
      <c r="U107" s="71" t="b">
        <f>Scenarios1[[#This Row],[Max Drawdown]]&gt;=DrawdownMax</f>
        <v>1</v>
      </c>
      <c r="V10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07" s="46" t="str">
        <f>_xlfn.XLOOKUP(Scenarios1[[#This Row],[Reference '#]],ScenariosCombined[Reference '#],ScenariosCombined[Sharpe Rank])</f>
        <v/>
      </c>
      <c r="X107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0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25/45/10/10/10</v>
      </c>
      <c r="Z107" t="str">
        <f>Scenarios1[[#This Row],[Sharpe Rank]]</f>
        <v/>
      </c>
      <c r="AA107" t="str">
        <f>_xlfn.XLOOKUP(Scenarios1[[#This Row],[Reference '#]],Scenarios2[Reference '#],Scenarios2[Sharpe Rank])</f>
        <v/>
      </c>
      <c r="AB107" t="str">
        <f>_xlfn.XLOOKUP(Scenarios1[[#This Row],[Reference '#]],Scenarios3[Reference '#],Scenarios3[Sharpe Rank])</f>
        <v/>
      </c>
      <c r="AF107" s="34"/>
      <c r="AG107" s="34"/>
      <c r="AK107" s="15"/>
    </row>
    <row r="108" spans="2:37" x14ac:dyDescent="0.2">
      <c r="B108" s="71">
        <v>98</v>
      </c>
      <c r="C108" s="69">
        <v>0.25</v>
      </c>
      <c r="D108" s="69">
        <v>0.4</v>
      </c>
      <c r="E108" s="69">
        <v>0.15</v>
      </c>
      <c r="F108" s="69">
        <v>0.1</v>
      </c>
      <c r="G108" s="69">
        <v>0.1</v>
      </c>
      <c r="H108" s="69">
        <f>SUMPRODUCT(Scenarios1[[#This Row],[SPY]:[PE]],_xlfn.TOROW(AssetSpecsScenario1[Annualized Return]))</f>
        <v>7.2799434453699768E-2</v>
      </c>
      <c r="I108" s="69" cm="1">
        <f t="array" ref="I108">SQRT(MMULT(MMULT(Scenarios1[[#This Row],[SPY]:[PE]], 'Corr_Cov 36- Month'!$J$13:$N$17), TRANSPOSE(Scenarios1[[#This Row],[SPY]:[PE]])))</f>
        <v>7.2432035259095945E-2</v>
      </c>
      <c r="J108" s="70">
        <f>(Scenarios1[[#This Row],[Expected Return]]-RiskFree)/Scenarios1[[#This Row],[36M Vol]]</f>
        <v>0.35611147478981059</v>
      </c>
      <c r="K108" s="107" cm="1">
        <f t="array" ref="K108">MIN(_xlfn._xlws.FILTER(PortfolioFrontier[#Data],(PortfolioFrontier[#Headers]="P"&amp;Scenarios1[[#This Row],[Reference '#]]&amp;" DD")))</f>
        <v>-0.16119168260039207</v>
      </c>
      <c r="L108" s="69">
        <f>SUM(Scenarios1[[#This Row],[SPY]:[VNQ]])</f>
        <v>0.9</v>
      </c>
      <c r="M108" s="69">
        <f>SUM(Scenarios1[[#This Row],[SPY]:[PE]])</f>
        <v>1</v>
      </c>
      <c r="N108" s="71" t="b">
        <f>Scenarios1[[#This Row],[SPY]]&gt;=SpyMin</f>
        <v>1</v>
      </c>
      <c r="O108" s="71" t="b">
        <f>Scenarios1[[#This Row],[AGG]]&gt;=AGGMin</f>
        <v>1</v>
      </c>
      <c r="P108" s="71" t="b">
        <f>AND(Scenarios1[[#This Row],[GLD]]&gt;=GLDMin,Scenarios1[[#This Row],[GLD]]&lt;=GLDMax)</f>
        <v>1</v>
      </c>
      <c r="Q108" s="71" t="b">
        <f>Scenarios1[[#This Row],[VNQ]]&gt;=VNQMin</f>
        <v>1</v>
      </c>
      <c r="R108" s="71" t="b">
        <f>AND(Scenarios1[[#This Row],[PE]]&gt;=PEMin,Scenarios1[[#This Row],[PE]]&lt;=PEMax)</f>
        <v>1</v>
      </c>
      <c r="S108" s="71" t="b">
        <f>Scenarios1[[#This Row],[Liquid Assets]]&gt;=LiquidMin</f>
        <v>1</v>
      </c>
      <c r="T108" s="71" t="b">
        <f>AND(Scenarios1[[#This Row],[Expected Return]]&gt;=ExpectedReturnMin,Scenarios1[[#This Row],[Expected Return]]&lt;=ExpectedReturnMax)</f>
        <v>0</v>
      </c>
      <c r="U108" s="71" t="b">
        <f>Scenarios1[[#This Row],[Max Drawdown]]&gt;=DrawdownMax</f>
        <v>1</v>
      </c>
      <c r="V10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08" s="46" t="str">
        <f>_xlfn.XLOOKUP(Scenarios1[[#This Row],[Reference '#]],ScenariosCombined[Reference '#],ScenariosCombined[Sharpe Rank])</f>
        <v/>
      </c>
      <c r="X108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0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25/40/15/10/10</v>
      </c>
      <c r="Z108" t="str">
        <f>Scenarios1[[#This Row],[Sharpe Rank]]</f>
        <v/>
      </c>
      <c r="AA108" t="str">
        <f>_xlfn.XLOOKUP(Scenarios1[[#This Row],[Reference '#]],Scenarios2[Reference '#],Scenarios2[Sharpe Rank])</f>
        <v/>
      </c>
      <c r="AB108">
        <f>_xlfn.XLOOKUP(Scenarios1[[#This Row],[Reference '#]],Scenarios3[Reference '#],Scenarios3[Sharpe Rank])</f>
        <v>97</v>
      </c>
      <c r="AF108" s="34"/>
      <c r="AG108" s="34"/>
      <c r="AK108" s="15"/>
    </row>
    <row r="109" spans="2:37" x14ac:dyDescent="0.2">
      <c r="B109" s="71">
        <v>99</v>
      </c>
      <c r="C109" s="69">
        <v>0.25</v>
      </c>
      <c r="D109" s="69">
        <v>0.4</v>
      </c>
      <c r="E109" s="69">
        <v>0.1</v>
      </c>
      <c r="F109" s="69">
        <v>0.15</v>
      </c>
      <c r="G109" s="69">
        <v>0.1</v>
      </c>
      <c r="H109" s="69">
        <f>SUMPRODUCT(Scenarios1[[#This Row],[SPY]:[PE]],_xlfn.TOROW(AssetSpecsScenario1[Annualized Return]))</f>
        <v>6.8807715552623758E-2</v>
      </c>
      <c r="I109" s="69" cm="1">
        <f t="array" ref="I109">SQRT(MMULT(MMULT(Scenarios1[[#This Row],[SPY]:[PE]], 'Corr_Cov 36- Month'!$J$13:$N$17), TRANSPOSE(Scenarios1[[#This Row],[SPY]:[PE]])))</f>
        <v>7.7491584539275848E-2</v>
      </c>
      <c r="J109" s="70">
        <f>(Scenarios1[[#This Row],[Expected Return]]-RiskFree)/Scenarios1[[#This Row],[36M Vol]]</f>
        <v>0.28134874421128914</v>
      </c>
      <c r="K109" s="107" cm="1">
        <f t="array" ref="K109">MIN(_xlfn._xlws.FILTER(PortfolioFrontier[#Data],(PortfolioFrontier[#Headers]="P"&amp;Scenarios1[[#This Row],[Reference '#]]&amp;" DD")))</f>
        <v>-0.17138849256768163</v>
      </c>
      <c r="L109" s="69">
        <f>SUM(Scenarios1[[#This Row],[SPY]:[VNQ]])</f>
        <v>0.9</v>
      </c>
      <c r="M109" s="69">
        <f>SUM(Scenarios1[[#This Row],[SPY]:[PE]])</f>
        <v>1</v>
      </c>
      <c r="N109" s="71" t="b">
        <f>Scenarios1[[#This Row],[SPY]]&gt;=SpyMin</f>
        <v>1</v>
      </c>
      <c r="O109" s="71" t="b">
        <f>Scenarios1[[#This Row],[AGG]]&gt;=AGGMin</f>
        <v>1</v>
      </c>
      <c r="P109" s="71" t="b">
        <f>AND(Scenarios1[[#This Row],[GLD]]&gt;=GLDMin,Scenarios1[[#This Row],[GLD]]&lt;=GLDMax)</f>
        <v>1</v>
      </c>
      <c r="Q109" s="71" t="b">
        <f>Scenarios1[[#This Row],[VNQ]]&gt;=VNQMin</f>
        <v>1</v>
      </c>
      <c r="R109" s="71" t="b">
        <f>AND(Scenarios1[[#This Row],[PE]]&gt;=PEMin,Scenarios1[[#This Row],[PE]]&lt;=PEMax)</f>
        <v>1</v>
      </c>
      <c r="S109" s="71" t="b">
        <f>Scenarios1[[#This Row],[Liquid Assets]]&gt;=LiquidMin</f>
        <v>1</v>
      </c>
      <c r="T109" s="71" t="b">
        <f>AND(Scenarios1[[#This Row],[Expected Return]]&gt;=ExpectedReturnMin,Scenarios1[[#This Row],[Expected Return]]&lt;=ExpectedReturnMax)</f>
        <v>0</v>
      </c>
      <c r="U109" s="71" t="b">
        <f>Scenarios1[[#This Row],[Max Drawdown]]&gt;=DrawdownMax</f>
        <v>1</v>
      </c>
      <c r="V10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09" s="46" t="str">
        <f>_xlfn.XLOOKUP(Scenarios1[[#This Row],[Reference '#]],ScenariosCombined[Reference '#],ScenariosCombined[Sharpe Rank])</f>
        <v/>
      </c>
      <c r="X109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0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25/40/10/15/10</v>
      </c>
      <c r="Z109" t="str">
        <f>Scenarios1[[#This Row],[Sharpe Rank]]</f>
        <v/>
      </c>
      <c r="AA109" t="str">
        <f>_xlfn.XLOOKUP(Scenarios1[[#This Row],[Reference '#]],Scenarios2[Reference '#],Scenarios2[Sharpe Rank])</f>
        <v/>
      </c>
      <c r="AB109" t="str">
        <f>_xlfn.XLOOKUP(Scenarios1[[#This Row],[Reference '#]],Scenarios3[Reference '#],Scenarios3[Sharpe Rank])</f>
        <v/>
      </c>
      <c r="AF109" s="34"/>
      <c r="AG109" s="34"/>
      <c r="AK109" s="15"/>
    </row>
    <row r="110" spans="2:37" x14ac:dyDescent="0.2">
      <c r="B110" s="71">
        <v>100</v>
      </c>
      <c r="C110" s="69">
        <v>0.25</v>
      </c>
      <c r="D110" s="69">
        <v>0.4</v>
      </c>
      <c r="E110" s="69">
        <v>0.1</v>
      </c>
      <c r="F110" s="69">
        <v>0.1</v>
      </c>
      <c r="G110" s="69">
        <v>0.15</v>
      </c>
      <c r="H110" s="69">
        <f>SUMPRODUCT(Scenarios1[[#This Row],[SPY]:[PE]],_xlfn.TOROW(AssetSpecsScenario1[Annualized Return]))</f>
        <v>6.8698241513821368E-2</v>
      </c>
      <c r="I110" s="69" cm="1">
        <f t="array" ref="I110">SQRT(MMULT(MMULT(Scenarios1[[#This Row],[SPY]:[PE]], 'Corr_Cov 36- Month'!$J$13:$N$17), TRANSPOSE(Scenarios1[[#This Row],[SPY]:[PE]])))</f>
        <v>6.9895718523983838E-2</v>
      </c>
      <c r="J110" s="70">
        <f>(Scenarios1[[#This Row],[Expected Return]]-RiskFree)/Scenarios1[[#This Row],[36M Vol]]</f>
        <v>0.31035786477854499</v>
      </c>
      <c r="K110" s="107" cm="1">
        <f t="array" ref="K110">MIN(_xlfn._xlws.FILTER(PortfolioFrontier[#Data],(PortfolioFrontier[#Headers]="P"&amp;Scenarios1[[#This Row],[Reference '#]]&amp;" DD")))</f>
        <v>-0.15692283600631585</v>
      </c>
      <c r="L110" s="69">
        <f>SUM(Scenarios1[[#This Row],[SPY]:[VNQ]])</f>
        <v>0.85</v>
      </c>
      <c r="M110" s="69">
        <f>SUM(Scenarios1[[#This Row],[SPY]:[PE]])</f>
        <v>1</v>
      </c>
      <c r="N110" s="71" t="b">
        <f>Scenarios1[[#This Row],[SPY]]&gt;=SpyMin</f>
        <v>1</v>
      </c>
      <c r="O110" s="71" t="b">
        <f>Scenarios1[[#This Row],[AGG]]&gt;=AGGMin</f>
        <v>1</v>
      </c>
      <c r="P110" s="71" t="b">
        <f>AND(Scenarios1[[#This Row],[GLD]]&gt;=GLDMin,Scenarios1[[#This Row],[GLD]]&lt;=GLDMax)</f>
        <v>1</v>
      </c>
      <c r="Q110" s="71" t="b">
        <f>Scenarios1[[#This Row],[VNQ]]&gt;=VNQMin</f>
        <v>1</v>
      </c>
      <c r="R110" s="71" t="b">
        <f>AND(Scenarios1[[#This Row],[PE]]&gt;=PEMin,Scenarios1[[#This Row],[PE]]&lt;=PEMax)</f>
        <v>1</v>
      </c>
      <c r="S110" s="71" t="b">
        <f>Scenarios1[[#This Row],[Liquid Assets]]&gt;=LiquidMin</f>
        <v>1</v>
      </c>
      <c r="T110" s="71" t="b">
        <f>AND(Scenarios1[[#This Row],[Expected Return]]&gt;=ExpectedReturnMin,Scenarios1[[#This Row],[Expected Return]]&lt;=ExpectedReturnMax)</f>
        <v>0</v>
      </c>
      <c r="U110" s="71" t="b">
        <f>Scenarios1[[#This Row],[Max Drawdown]]&gt;=DrawdownMax</f>
        <v>1</v>
      </c>
      <c r="V11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10" s="46" t="str">
        <f>_xlfn.XLOOKUP(Scenarios1[[#This Row],[Reference '#]],ScenariosCombined[Reference '#],ScenariosCombined[Sharpe Rank])</f>
        <v/>
      </c>
      <c r="X110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1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25/40/10/10/15</v>
      </c>
      <c r="Z110" t="str">
        <f>Scenarios1[[#This Row],[Sharpe Rank]]</f>
        <v/>
      </c>
      <c r="AA110" t="str">
        <f>_xlfn.XLOOKUP(Scenarios1[[#This Row],[Reference '#]],Scenarios2[Reference '#],Scenarios2[Sharpe Rank])</f>
        <v/>
      </c>
      <c r="AB110" t="str">
        <f>_xlfn.XLOOKUP(Scenarios1[[#This Row],[Reference '#]],Scenarios3[Reference '#],Scenarios3[Sharpe Rank])</f>
        <v/>
      </c>
      <c r="AF110" s="34"/>
      <c r="AG110" s="34"/>
      <c r="AK110" s="15"/>
    </row>
    <row r="111" spans="2:37" x14ac:dyDescent="0.2">
      <c r="B111" s="71">
        <v>101</v>
      </c>
      <c r="C111" s="69">
        <v>0.25</v>
      </c>
      <c r="D111" s="69">
        <v>0.35</v>
      </c>
      <c r="E111" s="69">
        <v>0.2</v>
      </c>
      <c r="F111" s="69">
        <v>0.1</v>
      </c>
      <c r="G111" s="69">
        <v>0.1</v>
      </c>
      <c r="H111" s="69">
        <f>SUMPRODUCT(Scenarios1[[#This Row],[SPY]:[PE]],_xlfn.TOROW(AssetSpecsScenario1[Annualized Return]))</f>
        <v>7.837489270093928E-2</v>
      </c>
      <c r="I111" s="69" cm="1">
        <f t="array" ref="I111">SQRT(MMULT(MMULT(Scenarios1[[#This Row],[SPY]:[PE]], 'Corr_Cov 36- Month'!$J$13:$N$17), TRANSPOSE(Scenarios1[[#This Row],[SPY]:[PE]])))</f>
        <v>7.3038357699161879E-2</v>
      </c>
      <c r="J111" s="70">
        <f>(Scenarios1[[#This Row],[Expected Return]]-RiskFree)/Scenarios1[[#This Row],[36M Vol]]</f>
        <v>0.42949127189566716</v>
      </c>
      <c r="K111" s="107" cm="1">
        <f t="array" ref="K111">MIN(_xlfn._xlws.FILTER(PortfolioFrontier[#Data],(PortfolioFrontier[#Headers]="P"&amp;Scenarios1[[#This Row],[Reference '#]]&amp;" DD")))</f>
        <v>-0.1587163580209372</v>
      </c>
      <c r="L111" s="69">
        <f>SUM(Scenarios1[[#This Row],[SPY]:[VNQ]])</f>
        <v>0.9</v>
      </c>
      <c r="M111" s="69">
        <f>SUM(Scenarios1[[#This Row],[SPY]:[PE]])</f>
        <v>1</v>
      </c>
      <c r="N111" s="71" t="b">
        <f>Scenarios1[[#This Row],[SPY]]&gt;=SpyMin</f>
        <v>1</v>
      </c>
      <c r="O111" s="71" t="b">
        <f>Scenarios1[[#This Row],[AGG]]&gt;=AGGMin</f>
        <v>1</v>
      </c>
      <c r="P111" s="71" t="b">
        <f>AND(Scenarios1[[#This Row],[GLD]]&gt;=GLDMin,Scenarios1[[#This Row],[GLD]]&lt;=GLDMax)</f>
        <v>1</v>
      </c>
      <c r="Q111" s="71" t="b">
        <f>Scenarios1[[#This Row],[VNQ]]&gt;=VNQMin</f>
        <v>1</v>
      </c>
      <c r="R111" s="71" t="b">
        <f>AND(Scenarios1[[#This Row],[PE]]&gt;=PEMin,Scenarios1[[#This Row],[PE]]&lt;=PEMax)</f>
        <v>1</v>
      </c>
      <c r="S111" s="71" t="b">
        <f>Scenarios1[[#This Row],[Liquid Assets]]&gt;=LiquidMin</f>
        <v>1</v>
      </c>
      <c r="T111" s="71" t="b">
        <f>AND(Scenarios1[[#This Row],[Expected Return]]&gt;=ExpectedReturnMin,Scenarios1[[#This Row],[Expected Return]]&lt;=ExpectedReturnMax)</f>
        <v>1</v>
      </c>
      <c r="U111" s="71" t="b">
        <f>Scenarios1[[#This Row],[Max Drawdown]]&gt;=DrawdownMax</f>
        <v>1</v>
      </c>
      <c r="V11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11" s="46">
        <f>_xlfn.XLOOKUP(Scenarios1[[#This Row],[Reference '#]],ScenariosCombined[Reference '#],ScenariosCombined[Sharpe Rank])</f>
        <v>73</v>
      </c>
      <c r="X111" s="71">
        <f>IF(Scenarios1[[#This Row],[Eligible]],COUNTIFS(Scenarios1[Sharpe],"&gt;"&amp;Scenarios1[[#This Row],[Sharpe]],Scenarios1[Eligible],TRUE())+COUNTIFS(Scenarios1[Sharpe],Scenarios1[[#This Row],[Sharpe]],Scenarios1[Eligible],TRUE()),"")</f>
        <v>71</v>
      </c>
      <c r="Y11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25/35/20/10/10</v>
      </c>
      <c r="Z111">
        <f>Scenarios1[[#This Row],[Sharpe Rank]]</f>
        <v>71</v>
      </c>
      <c r="AA111">
        <f>_xlfn.XLOOKUP(Scenarios1[[#This Row],[Reference '#]],Scenarios2[Reference '#],Scenarios2[Sharpe Rank])</f>
        <v>71</v>
      </c>
      <c r="AB111">
        <f>_xlfn.XLOOKUP(Scenarios1[[#This Row],[Reference '#]],Scenarios3[Reference '#],Scenarios3[Sharpe Rank])</f>
        <v>69</v>
      </c>
      <c r="AF111" s="34"/>
      <c r="AG111" s="34"/>
      <c r="AK111" s="15"/>
    </row>
    <row r="112" spans="2:37" x14ac:dyDescent="0.2">
      <c r="B112" s="71">
        <v>102</v>
      </c>
      <c r="C112" s="69">
        <v>0.25</v>
      </c>
      <c r="D112" s="69">
        <v>0.35</v>
      </c>
      <c r="E112" s="69">
        <v>0.15</v>
      </c>
      <c r="F112" s="69">
        <v>0.15</v>
      </c>
      <c r="G112" s="69">
        <v>0.1</v>
      </c>
      <c r="H112" s="69">
        <f>SUMPRODUCT(Scenarios1[[#This Row],[SPY]:[PE]],_xlfn.TOROW(AssetSpecsScenario1[Annualized Return]))</f>
        <v>7.4383173799863256E-2</v>
      </c>
      <c r="I112" s="69" cm="1">
        <f t="array" ref="I112">SQRT(MMULT(MMULT(Scenarios1[[#This Row],[SPY]:[PE]], 'Corr_Cov 36- Month'!$J$13:$N$17), TRANSPOSE(Scenarios1[[#This Row],[SPY]:[PE]])))</f>
        <v>7.7411640335491291E-2</v>
      </c>
      <c r="J112" s="70">
        <f>(Scenarios1[[#This Row],[Expected Return]]-RiskFree)/Scenarios1[[#This Row],[36M Vol]]</f>
        <v>0.35366280995541383</v>
      </c>
      <c r="K112" s="107" cm="1">
        <f t="array" ref="K112">MIN(_xlfn._xlws.FILTER(PortfolioFrontier[#Data],(PortfolioFrontier[#Headers]="P"&amp;Scenarios1[[#This Row],[Reference '#]]&amp;" DD")))</f>
        <v>-0.16891762307251379</v>
      </c>
      <c r="L112" s="69">
        <f>SUM(Scenarios1[[#This Row],[SPY]:[VNQ]])</f>
        <v>0.9</v>
      </c>
      <c r="M112" s="69">
        <f>SUM(Scenarios1[[#This Row],[SPY]:[PE]])</f>
        <v>1</v>
      </c>
      <c r="N112" s="71" t="b">
        <f>Scenarios1[[#This Row],[SPY]]&gt;=SpyMin</f>
        <v>1</v>
      </c>
      <c r="O112" s="71" t="b">
        <f>Scenarios1[[#This Row],[AGG]]&gt;=AGGMin</f>
        <v>1</v>
      </c>
      <c r="P112" s="71" t="b">
        <f>AND(Scenarios1[[#This Row],[GLD]]&gt;=GLDMin,Scenarios1[[#This Row],[GLD]]&lt;=GLDMax)</f>
        <v>1</v>
      </c>
      <c r="Q112" s="71" t="b">
        <f>Scenarios1[[#This Row],[VNQ]]&gt;=VNQMin</f>
        <v>1</v>
      </c>
      <c r="R112" s="71" t="b">
        <f>AND(Scenarios1[[#This Row],[PE]]&gt;=PEMin,Scenarios1[[#This Row],[PE]]&lt;=PEMax)</f>
        <v>1</v>
      </c>
      <c r="S112" s="71" t="b">
        <f>Scenarios1[[#This Row],[Liquid Assets]]&gt;=LiquidMin</f>
        <v>1</v>
      </c>
      <c r="T112" s="71" t="b">
        <f>AND(Scenarios1[[#This Row],[Expected Return]]&gt;=ExpectedReturnMin,Scenarios1[[#This Row],[Expected Return]]&lt;=ExpectedReturnMax)</f>
        <v>0</v>
      </c>
      <c r="U112" s="71" t="b">
        <f>Scenarios1[[#This Row],[Max Drawdown]]&gt;=DrawdownMax</f>
        <v>1</v>
      </c>
      <c r="V11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12" s="46">
        <f>_xlfn.XLOOKUP(Scenarios1[[#This Row],[Reference '#]],ScenariosCombined[Reference '#],ScenariosCombined[Sharpe Rank])</f>
        <v>102</v>
      </c>
      <c r="X112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1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25/35/15/15/10</v>
      </c>
      <c r="Z112" t="str">
        <f>Scenarios1[[#This Row],[Sharpe Rank]]</f>
        <v/>
      </c>
      <c r="AA112" t="str">
        <f>_xlfn.XLOOKUP(Scenarios1[[#This Row],[Reference '#]],Scenarios2[Reference '#],Scenarios2[Sharpe Rank])</f>
        <v/>
      </c>
      <c r="AB112">
        <f>_xlfn.XLOOKUP(Scenarios1[[#This Row],[Reference '#]],Scenarios3[Reference '#],Scenarios3[Sharpe Rank])</f>
        <v>99</v>
      </c>
      <c r="AF112" s="34"/>
      <c r="AG112" s="34"/>
      <c r="AK112" s="15"/>
    </row>
    <row r="113" spans="2:37" x14ac:dyDescent="0.2">
      <c r="B113" s="71">
        <v>103</v>
      </c>
      <c r="C113" s="69">
        <v>0.25</v>
      </c>
      <c r="D113" s="69">
        <v>0.35</v>
      </c>
      <c r="E113" s="69">
        <v>0.15</v>
      </c>
      <c r="F113" s="69">
        <v>0.1</v>
      </c>
      <c r="G113" s="69">
        <v>0.15</v>
      </c>
      <c r="H113" s="69">
        <f>SUMPRODUCT(Scenarios1[[#This Row],[SPY]:[PE]],_xlfn.TOROW(AssetSpecsScenario1[Annualized Return]))</f>
        <v>7.4273699761060852E-2</v>
      </c>
      <c r="I113" s="69" cm="1">
        <f t="array" ref="I113">SQRT(MMULT(MMULT(Scenarios1[[#This Row],[SPY]:[PE]], 'Corr_Cov 36- Month'!$J$13:$N$17), TRANSPOSE(Scenarios1[[#This Row],[SPY]:[PE]])))</f>
        <v>6.9916216057444192E-2</v>
      </c>
      <c r="J113" s="70">
        <f>(Scenarios1[[#This Row],[Expected Return]]-RiskFree)/Scenarios1[[#This Row],[36M Vol]]</f>
        <v>0.39001172750970092</v>
      </c>
      <c r="K113" s="107" cm="1">
        <f t="array" ref="K113">MIN(_xlfn._xlws.FILTER(PortfolioFrontier[#Data],(PortfolioFrontier[#Headers]="P"&amp;Scenarios1[[#This Row],[Reference '#]]&amp;" DD")))</f>
        <v>-0.15442188773577281</v>
      </c>
      <c r="L113" s="69">
        <f>SUM(Scenarios1[[#This Row],[SPY]:[VNQ]])</f>
        <v>0.85</v>
      </c>
      <c r="M113" s="69">
        <f>SUM(Scenarios1[[#This Row],[SPY]:[PE]])</f>
        <v>1</v>
      </c>
      <c r="N113" s="71" t="b">
        <f>Scenarios1[[#This Row],[SPY]]&gt;=SpyMin</f>
        <v>1</v>
      </c>
      <c r="O113" s="71" t="b">
        <f>Scenarios1[[#This Row],[AGG]]&gt;=AGGMin</f>
        <v>1</v>
      </c>
      <c r="P113" s="71" t="b">
        <f>AND(Scenarios1[[#This Row],[GLD]]&gt;=GLDMin,Scenarios1[[#This Row],[GLD]]&lt;=GLDMax)</f>
        <v>1</v>
      </c>
      <c r="Q113" s="71" t="b">
        <f>Scenarios1[[#This Row],[VNQ]]&gt;=VNQMin</f>
        <v>1</v>
      </c>
      <c r="R113" s="71" t="b">
        <f>AND(Scenarios1[[#This Row],[PE]]&gt;=PEMin,Scenarios1[[#This Row],[PE]]&lt;=PEMax)</f>
        <v>1</v>
      </c>
      <c r="S113" s="71" t="b">
        <f>Scenarios1[[#This Row],[Liquid Assets]]&gt;=LiquidMin</f>
        <v>1</v>
      </c>
      <c r="T113" s="71" t="b">
        <f>AND(Scenarios1[[#This Row],[Expected Return]]&gt;=ExpectedReturnMin,Scenarios1[[#This Row],[Expected Return]]&lt;=ExpectedReturnMax)</f>
        <v>0</v>
      </c>
      <c r="U113" s="71" t="b">
        <f>Scenarios1[[#This Row],[Max Drawdown]]&gt;=DrawdownMax</f>
        <v>1</v>
      </c>
      <c r="V11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13" s="46">
        <f>_xlfn.XLOOKUP(Scenarios1[[#This Row],[Reference '#]],ScenariosCombined[Reference '#],ScenariosCombined[Sharpe Rank])</f>
        <v>89</v>
      </c>
      <c r="X113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1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25/35/15/10/15</v>
      </c>
      <c r="Z113" t="str">
        <f>Scenarios1[[#This Row],[Sharpe Rank]]</f>
        <v/>
      </c>
      <c r="AA113">
        <f>_xlfn.XLOOKUP(Scenarios1[[#This Row],[Reference '#]],Scenarios2[Reference '#],Scenarios2[Sharpe Rank])</f>
        <v>90</v>
      </c>
      <c r="AB113">
        <f>_xlfn.XLOOKUP(Scenarios1[[#This Row],[Reference '#]],Scenarios3[Reference '#],Scenarios3[Sharpe Rank])</f>
        <v>73</v>
      </c>
      <c r="AF113" s="34"/>
      <c r="AG113" s="34"/>
      <c r="AK113" s="15"/>
    </row>
    <row r="114" spans="2:37" x14ac:dyDescent="0.2">
      <c r="B114" s="71">
        <v>104</v>
      </c>
      <c r="C114" s="69">
        <v>0.25</v>
      </c>
      <c r="D114" s="69">
        <v>0.35</v>
      </c>
      <c r="E114" s="69">
        <v>0.1</v>
      </c>
      <c r="F114" s="69">
        <v>0.2</v>
      </c>
      <c r="G114" s="69">
        <v>0.1</v>
      </c>
      <c r="H114" s="69">
        <f>SUMPRODUCT(Scenarios1[[#This Row],[SPY]:[PE]],_xlfn.TOROW(AssetSpecsScenario1[Annualized Return]))</f>
        <v>7.0391454898787231E-2</v>
      </c>
      <c r="I114" s="69" cm="1">
        <f t="array" ref="I114">SQRT(MMULT(MMULT(Scenarios1[[#This Row],[SPY]:[PE]], 'Corr_Cov 36- Month'!$J$13:$N$17), TRANSPOSE(Scenarios1[[#This Row],[SPY]:[PE]])))</f>
        <v>8.2794734375270448E-2</v>
      </c>
      <c r="J114" s="70">
        <f>(Scenarios1[[#This Row],[Expected Return]]-RiskFree)/Scenarios1[[#This Row],[36M Vol]]</f>
        <v>0.28245636053657902</v>
      </c>
      <c r="K114" s="107" cm="1">
        <f t="array" ref="K114">MIN(_xlfn._xlws.FILTER(PortfolioFrontier[#Data],(PortfolioFrontier[#Headers]="P"&amp;Scenarios1[[#This Row],[Reference '#]]&amp;" DD")))</f>
        <v>-0.17909271339796062</v>
      </c>
      <c r="L114" s="69">
        <f>SUM(Scenarios1[[#This Row],[SPY]:[VNQ]])</f>
        <v>0.89999999999999991</v>
      </c>
      <c r="M114" s="69">
        <f>SUM(Scenarios1[[#This Row],[SPY]:[PE]])</f>
        <v>0.99999999999999989</v>
      </c>
      <c r="N114" s="71" t="b">
        <f>Scenarios1[[#This Row],[SPY]]&gt;=SpyMin</f>
        <v>1</v>
      </c>
      <c r="O114" s="71" t="b">
        <f>Scenarios1[[#This Row],[AGG]]&gt;=AGGMin</f>
        <v>1</v>
      </c>
      <c r="P114" s="71" t="b">
        <f>AND(Scenarios1[[#This Row],[GLD]]&gt;=GLDMin,Scenarios1[[#This Row],[GLD]]&lt;=GLDMax)</f>
        <v>1</v>
      </c>
      <c r="Q114" s="71" t="b">
        <f>Scenarios1[[#This Row],[VNQ]]&gt;=VNQMin</f>
        <v>1</v>
      </c>
      <c r="R114" s="71" t="b">
        <f>AND(Scenarios1[[#This Row],[PE]]&gt;=PEMin,Scenarios1[[#This Row],[PE]]&lt;=PEMax)</f>
        <v>1</v>
      </c>
      <c r="S114" s="71" t="b">
        <f>Scenarios1[[#This Row],[Liquid Assets]]&gt;=LiquidMin</f>
        <v>1</v>
      </c>
      <c r="T114" s="71" t="b">
        <f>AND(Scenarios1[[#This Row],[Expected Return]]&gt;=ExpectedReturnMin,Scenarios1[[#This Row],[Expected Return]]&lt;=ExpectedReturnMax)</f>
        <v>0</v>
      </c>
      <c r="U114" s="71" t="b">
        <f>Scenarios1[[#This Row],[Max Drawdown]]&gt;=DrawdownMax</f>
        <v>1</v>
      </c>
      <c r="V11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14" s="46" t="str">
        <f>_xlfn.XLOOKUP(Scenarios1[[#This Row],[Reference '#]],ScenariosCombined[Reference '#],ScenariosCombined[Sharpe Rank])</f>
        <v/>
      </c>
      <c r="X114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1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25/35/10/20/10</v>
      </c>
      <c r="Z114" t="str">
        <f>Scenarios1[[#This Row],[Sharpe Rank]]</f>
        <v/>
      </c>
      <c r="AA114" t="str">
        <f>_xlfn.XLOOKUP(Scenarios1[[#This Row],[Reference '#]],Scenarios2[Reference '#],Scenarios2[Sharpe Rank])</f>
        <v/>
      </c>
      <c r="AB114" t="str">
        <f>_xlfn.XLOOKUP(Scenarios1[[#This Row],[Reference '#]],Scenarios3[Reference '#],Scenarios3[Sharpe Rank])</f>
        <v/>
      </c>
      <c r="AF114" s="34"/>
      <c r="AG114" s="34"/>
      <c r="AK114" s="15"/>
    </row>
    <row r="115" spans="2:37" x14ac:dyDescent="0.2">
      <c r="B115" s="71">
        <v>105</v>
      </c>
      <c r="C115" s="69">
        <v>0.25</v>
      </c>
      <c r="D115" s="69">
        <v>0.35</v>
      </c>
      <c r="E115" s="69">
        <v>0.1</v>
      </c>
      <c r="F115" s="69">
        <v>0.15</v>
      </c>
      <c r="G115" s="69">
        <v>0.15</v>
      </c>
      <c r="H115" s="69">
        <f>SUMPRODUCT(Scenarios1[[#This Row],[SPY]:[PE]],_xlfn.TOROW(AssetSpecsScenario1[Annualized Return]))</f>
        <v>7.0281980859984841E-2</v>
      </c>
      <c r="I115" s="69" cm="1">
        <f t="array" ref="I115">SQRT(MMULT(MMULT(Scenarios1[[#This Row],[SPY]:[PE]], 'Corr_Cov 36- Month'!$J$13:$N$17), TRANSPOSE(Scenarios1[[#This Row],[SPY]:[PE]])))</f>
        <v>7.4967389470339485E-2</v>
      </c>
      <c r="J115" s="70">
        <f>(Scenarios1[[#This Row],[Expected Return]]-RiskFree)/Scenarios1[[#This Row],[36M Vol]]</f>
        <v>0.31048733948030172</v>
      </c>
      <c r="K115" s="107" cm="1">
        <f t="array" ref="K115">MIN(_xlfn._xlws.FILTER(PortfolioFrontier[#Data],(PortfolioFrontier[#Headers]="P"&amp;Scenarios1[[#This Row],[Reference '#]]&amp;" DD")))</f>
        <v>-0.16466692181154297</v>
      </c>
      <c r="L115" s="69">
        <f>SUM(Scenarios1[[#This Row],[SPY]:[VNQ]])</f>
        <v>0.85</v>
      </c>
      <c r="M115" s="69">
        <f>SUM(Scenarios1[[#This Row],[SPY]:[PE]])</f>
        <v>1</v>
      </c>
      <c r="N115" s="71" t="b">
        <f>Scenarios1[[#This Row],[SPY]]&gt;=SpyMin</f>
        <v>1</v>
      </c>
      <c r="O115" s="71" t="b">
        <f>Scenarios1[[#This Row],[AGG]]&gt;=AGGMin</f>
        <v>1</v>
      </c>
      <c r="P115" s="71" t="b">
        <f>AND(Scenarios1[[#This Row],[GLD]]&gt;=GLDMin,Scenarios1[[#This Row],[GLD]]&lt;=GLDMax)</f>
        <v>1</v>
      </c>
      <c r="Q115" s="71" t="b">
        <f>Scenarios1[[#This Row],[VNQ]]&gt;=VNQMin</f>
        <v>1</v>
      </c>
      <c r="R115" s="71" t="b">
        <f>AND(Scenarios1[[#This Row],[PE]]&gt;=PEMin,Scenarios1[[#This Row],[PE]]&lt;=PEMax)</f>
        <v>1</v>
      </c>
      <c r="S115" s="71" t="b">
        <f>Scenarios1[[#This Row],[Liquid Assets]]&gt;=LiquidMin</f>
        <v>1</v>
      </c>
      <c r="T115" s="71" t="b">
        <f>AND(Scenarios1[[#This Row],[Expected Return]]&gt;=ExpectedReturnMin,Scenarios1[[#This Row],[Expected Return]]&lt;=ExpectedReturnMax)</f>
        <v>0</v>
      </c>
      <c r="U115" s="71" t="b">
        <f>Scenarios1[[#This Row],[Max Drawdown]]&gt;=DrawdownMax</f>
        <v>1</v>
      </c>
      <c r="V11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15" s="46" t="str">
        <f>_xlfn.XLOOKUP(Scenarios1[[#This Row],[Reference '#]],ScenariosCombined[Reference '#],ScenariosCombined[Sharpe Rank])</f>
        <v/>
      </c>
      <c r="X115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1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25/35/10/15/15</v>
      </c>
      <c r="Z115" t="str">
        <f>Scenarios1[[#This Row],[Sharpe Rank]]</f>
        <v/>
      </c>
      <c r="AA115" t="str">
        <f>_xlfn.XLOOKUP(Scenarios1[[#This Row],[Reference '#]],Scenarios2[Reference '#],Scenarios2[Sharpe Rank])</f>
        <v/>
      </c>
      <c r="AB115">
        <f>_xlfn.XLOOKUP(Scenarios1[[#This Row],[Reference '#]],Scenarios3[Reference '#],Scenarios3[Sharpe Rank])</f>
        <v>106</v>
      </c>
      <c r="AF115" s="34"/>
      <c r="AG115" s="34"/>
      <c r="AK115" s="15"/>
    </row>
    <row r="116" spans="2:37" x14ac:dyDescent="0.2">
      <c r="B116" s="71">
        <v>106</v>
      </c>
      <c r="C116" s="69">
        <v>0.25</v>
      </c>
      <c r="D116" s="69">
        <v>0.35</v>
      </c>
      <c r="E116" s="69">
        <v>0.1</v>
      </c>
      <c r="F116" s="69">
        <v>0.1</v>
      </c>
      <c r="G116" s="69">
        <v>0.2</v>
      </c>
      <c r="H116" s="69">
        <f>SUMPRODUCT(Scenarios1[[#This Row],[SPY]:[PE]],_xlfn.TOROW(AssetSpecsScenario1[Annualized Return]))</f>
        <v>7.0172506821182451E-2</v>
      </c>
      <c r="I116" s="69" cm="1">
        <f t="array" ref="I116">SQRT(MMULT(MMULT(Scenarios1[[#This Row],[SPY]:[PE]], 'Corr_Cov 36- Month'!$J$13:$N$17), TRANSPOSE(Scenarios1[[#This Row],[SPY]:[PE]])))</f>
        <v>6.7597003402782796E-2</v>
      </c>
      <c r="J116" s="70">
        <f>(Scenarios1[[#This Row],[Expected Return]]-RiskFree)/Scenarios1[[#This Row],[36M Vol]]</f>
        <v>0.34272157195467007</v>
      </c>
      <c r="K116" s="107" cm="1">
        <f t="array" ref="K116">MIN(_xlfn._xlws.FILTER(PortfolioFrontier[#Data],(PortfolioFrontier[#Headers]="P"&amp;Scenarios1[[#This Row],[Reference '#]]&amp;" DD")))</f>
        <v>-0.15012807245687076</v>
      </c>
      <c r="L116" s="69">
        <f>SUM(Scenarios1[[#This Row],[SPY]:[VNQ]])</f>
        <v>0.79999999999999993</v>
      </c>
      <c r="M116" s="69">
        <f>SUM(Scenarios1[[#This Row],[SPY]:[PE]])</f>
        <v>1</v>
      </c>
      <c r="N116" s="71" t="b">
        <f>Scenarios1[[#This Row],[SPY]]&gt;=SpyMin</f>
        <v>1</v>
      </c>
      <c r="O116" s="71" t="b">
        <f>Scenarios1[[#This Row],[AGG]]&gt;=AGGMin</f>
        <v>1</v>
      </c>
      <c r="P116" s="71" t="b">
        <f>AND(Scenarios1[[#This Row],[GLD]]&gt;=GLDMin,Scenarios1[[#This Row],[GLD]]&lt;=GLDMax)</f>
        <v>1</v>
      </c>
      <c r="Q116" s="71" t="b">
        <f>Scenarios1[[#This Row],[VNQ]]&gt;=VNQMin</f>
        <v>1</v>
      </c>
      <c r="R116" s="71" t="b">
        <f>AND(Scenarios1[[#This Row],[PE]]&gt;=PEMin,Scenarios1[[#This Row],[PE]]&lt;=PEMax)</f>
        <v>1</v>
      </c>
      <c r="S116" s="71" t="b">
        <f>Scenarios1[[#This Row],[Liquid Assets]]&gt;=LiquidMin</f>
        <v>1</v>
      </c>
      <c r="T116" s="71" t="b">
        <f>AND(Scenarios1[[#This Row],[Expected Return]]&gt;=ExpectedReturnMin,Scenarios1[[#This Row],[Expected Return]]&lt;=ExpectedReturnMax)</f>
        <v>0</v>
      </c>
      <c r="U116" s="71" t="b">
        <f>Scenarios1[[#This Row],[Max Drawdown]]&gt;=DrawdownMax</f>
        <v>1</v>
      </c>
      <c r="V11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16" s="46" t="str">
        <f>_xlfn.XLOOKUP(Scenarios1[[#This Row],[Reference '#]],ScenariosCombined[Reference '#],ScenariosCombined[Sharpe Rank])</f>
        <v/>
      </c>
      <c r="X116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1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25/35/10/10/20</v>
      </c>
      <c r="Z116" t="str">
        <f>Scenarios1[[#This Row],[Sharpe Rank]]</f>
        <v/>
      </c>
      <c r="AA116" t="str">
        <f>_xlfn.XLOOKUP(Scenarios1[[#This Row],[Reference '#]],Scenarios2[Reference '#],Scenarios2[Sharpe Rank])</f>
        <v/>
      </c>
      <c r="AB116">
        <f>_xlfn.XLOOKUP(Scenarios1[[#This Row],[Reference '#]],Scenarios3[Reference '#],Scenarios3[Sharpe Rank])</f>
        <v>85</v>
      </c>
      <c r="AF116" s="34"/>
      <c r="AG116" s="34"/>
      <c r="AK116" s="15"/>
    </row>
    <row r="117" spans="2:37" x14ac:dyDescent="0.2">
      <c r="B117" s="71">
        <v>107</v>
      </c>
      <c r="C117" s="69">
        <v>0.25</v>
      </c>
      <c r="D117" s="69">
        <v>0.3</v>
      </c>
      <c r="E117" s="69">
        <v>0.2</v>
      </c>
      <c r="F117" s="69">
        <v>0.15</v>
      </c>
      <c r="G117" s="69">
        <v>0.1</v>
      </c>
      <c r="H117" s="69">
        <f>SUMPRODUCT(Scenarios1[[#This Row],[SPY]:[PE]],_xlfn.TOROW(AssetSpecsScenario1[Annualized Return]))</f>
        <v>7.9958632047102768E-2</v>
      </c>
      <c r="I117" s="69" cm="1">
        <f t="array" ref="I117">SQRT(MMULT(MMULT(Scenarios1[[#This Row],[SPY]:[PE]], 'Corr_Cov 36- Month'!$J$13:$N$17), TRANSPOSE(Scenarios1[[#This Row],[SPY]:[PE]])))</f>
        <v>7.7870494491274769E-2</v>
      </c>
      <c r="J117" s="70">
        <f>(Scenarios1[[#This Row],[Expected Return]]-RiskFree)/Scenarios1[[#This Row],[36M Vol]]</f>
        <v>0.42317795343189379</v>
      </c>
      <c r="K117" s="107" cm="1">
        <f t="array" ref="K117">MIN(_xlfn._xlws.FILTER(PortfolioFrontier[#Data],(PortfolioFrontier[#Headers]="P"&amp;Scenarios1[[#This Row],[Reference '#]]&amp;" DD")))</f>
        <v>-0.16646384132772141</v>
      </c>
      <c r="L117" s="69">
        <f>SUM(Scenarios1[[#This Row],[SPY]:[VNQ]])</f>
        <v>0.9</v>
      </c>
      <c r="M117" s="69">
        <f>SUM(Scenarios1[[#This Row],[SPY]:[PE]])</f>
        <v>1</v>
      </c>
      <c r="N117" s="71" t="b">
        <f>Scenarios1[[#This Row],[SPY]]&gt;=SpyMin</f>
        <v>1</v>
      </c>
      <c r="O117" s="71" t="b">
        <f>Scenarios1[[#This Row],[AGG]]&gt;=AGGMin</f>
        <v>1</v>
      </c>
      <c r="P117" s="71" t="b">
        <f>AND(Scenarios1[[#This Row],[GLD]]&gt;=GLDMin,Scenarios1[[#This Row],[GLD]]&lt;=GLDMax)</f>
        <v>1</v>
      </c>
      <c r="Q117" s="71" t="b">
        <f>Scenarios1[[#This Row],[VNQ]]&gt;=VNQMin</f>
        <v>1</v>
      </c>
      <c r="R117" s="71" t="b">
        <f>AND(Scenarios1[[#This Row],[PE]]&gt;=PEMin,Scenarios1[[#This Row],[PE]]&lt;=PEMax)</f>
        <v>1</v>
      </c>
      <c r="S117" s="71" t="b">
        <f>Scenarios1[[#This Row],[Liquid Assets]]&gt;=LiquidMin</f>
        <v>1</v>
      </c>
      <c r="T117" s="71" t="b">
        <f>AND(Scenarios1[[#This Row],[Expected Return]]&gt;=ExpectedReturnMin,Scenarios1[[#This Row],[Expected Return]]&lt;=ExpectedReturnMax)</f>
        <v>1</v>
      </c>
      <c r="U117" s="71" t="b">
        <f>Scenarios1[[#This Row],[Max Drawdown]]&gt;=DrawdownMax</f>
        <v>1</v>
      </c>
      <c r="V11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17" s="46">
        <f>_xlfn.XLOOKUP(Scenarios1[[#This Row],[Reference '#]],ScenariosCombined[Reference '#],ScenariosCombined[Sharpe Rank])</f>
        <v>78</v>
      </c>
      <c r="X117" s="71">
        <f>IF(Scenarios1[[#This Row],[Eligible]],COUNTIFS(Scenarios1[Sharpe],"&gt;"&amp;Scenarios1[[#This Row],[Sharpe]],Scenarios1[Eligible],TRUE())+COUNTIFS(Scenarios1[Sharpe],Scenarios1[[#This Row],[Sharpe]],Scenarios1[Eligible],TRUE()),"")</f>
        <v>76</v>
      </c>
      <c r="Y11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25/30/20/15/10</v>
      </c>
      <c r="Z117">
        <f>Scenarios1[[#This Row],[Sharpe Rank]]</f>
        <v>76</v>
      </c>
      <c r="AA117">
        <f>_xlfn.XLOOKUP(Scenarios1[[#This Row],[Reference '#]],Scenarios2[Reference '#],Scenarios2[Sharpe Rank])</f>
        <v>76</v>
      </c>
      <c r="AB117">
        <f>_xlfn.XLOOKUP(Scenarios1[[#This Row],[Reference '#]],Scenarios3[Reference '#],Scenarios3[Sharpe Rank])</f>
        <v>72</v>
      </c>
      <c r="AF117" s="34"/>
      <c r="AG117" s="34"/>
      <c r="AK117" s="15"/>
    </row>
    <row r="118" spans="2:37" x14ac:dyDescent="0.2">
      <c r="B118" s="71">
        <v>108</v>
      </c>
      <c r="C118" s="69">
        <v>0.25</v>
      </c>
      <c r="D118" s="69">
        <v>0.3</v>
      </c>
      <c r="E118" s="69">
        <v>0.2</v>
      </c>
      <c r="F118" s="69">
        <v>0.1</v>
      </c>
      <c r="G118" s="69">
        <v>0.15</v>
      </c>
      <c r="H118" s="69">
        <f>SUMPRODUCT(Scenarios1[[#This Row],[SPY]:[PE]],_xlfn.TOROW(AssetSpecsScenario1[Annualized Return]))</f>
        <v>7.9849158008300364E-2</v>
      </c>
      <c r="I118" s="69" cm="1">
        <f t="array" ref="I118">SQRT(MMULT(MMULT(Scenarios1[[#This Row],[SPY]:[PE]], 'Corr_Cov 36- Month'!$J$13:$N$17), TRANSPOSE(Scenarios1[[#This Row],[SPY]:[PE]])))</f>
        <v>7.053210996035017E-2</v>
      </c>
      <c r="J118" s="70">
        <f>(Scenarios1[[#This Row],[Expected Return]]-RiskFree)/Scenarios1[[#This Row],[36M Vol]]</f>
        <v>0.46565461420632304</v>
      </c>
      <c r="K118" s="107" cm="1">
        <f t="array" ref="K118">MIN(_xlfn._xlws.FILTER(PortfolioFrontier[#Data],(PortfolioFrontier[#Headers]="P"&amp;Scenarios1[[#This Row],[Reference '#]]&amp;" DD")))</f>
        <v>-0.15193836737204758</v>
      </c>
      <c r="L118" s="69">
        <f>SUM(Scenarios1[[#This Row],[SPY]:[VNQ]])</f>
        <v>0.85</v>
      </c>
      <c r="M118" s="69">
        <f>SUM(Scenarios1[[#This Row],[SPY]:[PE]])</f>
        <v>1</v>
      </c>
      <c r="N118" s="71" t="b">
        <f>Scenarios1[[#This Row],[SPY]]&gt;=SpyMin</f>
        <v>1</v>
      </c>
      <c r="O118" s="71" t="b">
        <f>Scenarios1[[#This Row],[AGG]]&gt;=AGGMin</f>
        <v>1</v>
      </c>
      <c r="P118" s="71" t="b">
        <f>AND(Scenarios1[[#This Row],[GLD]]&gt;=GLDMin,Scenarios1[[#This Row],[GLD]]&lt;=GLDMax)</f>
        <v>1</v>
      </c>
      <c r="Q118" s="71" t="b">
        <f>Scenarios1[[#This Row],[VNQ]]&gt;=VNQMin</f>
        <v>1</v>
      </c>
      <c r="R118" s="71" t="b">
        <f>AND(Scenarios1[[#This Row],[PE]]&gt;=PEMin,Scenarios1[[#This Row],[PE]]&lt;=PEMax)</f>
        <v>1</v>
      </c>
      <c r="S118" s="71" t="b">
        <f>Scenarios1[[#This Row],[Liquid Assets]]&gt;=LiquidMin</f>
        <v>1</v>
      </c>
      <c r="T118" s="71" t="b">
        <f>AND(Scenarios1[[#This Row],[Expected Return]]&gt;=ExpectedReturnMin,Scenarios1[[#This Row],[Expected Return]]&lt;=ExpectedReturnMax)</f>
        <v>1</v>
      </c>
      <c r="U118" s="71" t="b">
        <f>Scenarios1[[#This Row],[Max Drawdown]]&gt;=DrawdownMax</f>
        <v>1</v>
      </c>
      <c r="V11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18" s="46">
        <f>_xlfn.XLOOKUP(Scenarios1[[#This Row],[Reference '#]],ScenariosCombined[Reference '#],ScenariosCombined[Sharpe Rank])</f>
        <v>54</v>
      </c>
      <c r="X118" s="71">
        <f>IF(Scenarios1[[#This Row],[Eligible]],COUNTIFS(Scenarios1[Sharpe],"&gt;"&amp;Scenarios1[[#This Row],[Sharpe]],Scenarios1[Eligible],TRUE())+COUNTIFS(Scenarios1[Sharpe],Scenarios1[[#This Row],[Sharpe]],Scenarios1[Eligible],TRUE()),"")</f>
        <v>59</v>
      </c>
      <c r="Y11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25/30/20/10/15</v>
      </c>
      <c r="Z118">
        <f>Scenarios1[[#This Row],[Sharpe Rank]]</f>
        <v>59</v>
      </c>
      <c r="AA118">
        <f>_xlfn.XLOOKUP(Scenarios1[[#This Row],[Reference '#]],Scenarios2[Reference '#],Scenarios2[Sharpe Rank])</f>
        <v>57</v>
      </c>
      <c r="AB118">
        <f>_xlfn.XLOOKUP(Scenarios1[[#This Row],[Reference '#]],Scenarios3[Reference '#],Scenarios3[Sharpe Rank])</f>
        <v>42</v>
      </c>
      <c r="AF118" s="34"/>
      <c r="AG118" s="34"/>
      <c r="AK118" s="15"/>
    </row>
    <row r="119" spans="2:37" x14ac:dyDescent="0.2">
      <c r="B119" s="71">
        <v>109</v>
      </c>
      <c r="C119" s="69">
        <v>0.25</v>
      </c>
      <c r="D119" s="69">
        <v>0.3</v>
      </c>
      <c r="E119" s="69">
        <v>0.15</v>
      </c>
      <c r="F119" s="69">
        <v>0.2</v>
      </c>
      <c r="G119" s="69">
        <v>0.1</v>
      </c>
      <c r="H119" s="69">
        <f>SUMPRODUCT(Scenarios1[[#This Row],[SPY]:[PE]],_xlfn.TOROW(AssetSpecsScenario1[Annualized Return]))</f>
        <v>7.5966913146026729E-2</v>
      </c>
      <c r="I119" s="69" cm="1">
        <f t="array" ref="I119">SQRT(MMULT(MMULT(Scenarios1[[#This Row],[SPY]:[PE]], 'Corr_Cov 36- Month'!$J$13:$N$17), TRANSPOSE(Scenarios1[[#This Row],[SPY]:[PE]])))</f>
        <v>8.2617397166478854E-2</v>
      </c>
      <c r="J119" s="70">
        <f>(Scenarios1[[#This Row],[Expected Return]]-RiskFree)/Scenarios1[[#This Row],[36M Vol]]</f>
        <v>0.35054793038459398</v>
      </c>
      <c r="K119" s="121" cm="1">
        <f t="array" ref="K119">MIN(_xlfn._xlws.FILTER(PortfolioFrontier[#Data],(PortfolioFrontier[#Headers]="P"&amp;Scenarios1[[#This Row],[Reference '#]]&amp;" DD")))</f>
        <v>-0.17664355978662594</v>
      </c>
      <c r="L119" s="69">
        <f>SUM(Scenarios1[[#This Row],[SPY]:[VNQ]])</f>
        <v>0.90000000000000013</v>
      </c>
      <c r="M119" s="69">
        <f>SUM(Scenarios1[[#This Row],[SPY]:[PE]])</f>
        <v>1.0000000000000002</v>
      </c>
      <c r="N119" s="71" t="b">
        <f>Scenarios1[[#This Row],[SPY]]&gt;=SpyMin</f>
        <v>1</v>
      </c>
      <c r="O119" s="71" t="b">
        <f>Scenarios1[[#This Row],[AGG]]&gt;=AGGMin</f>
        <v>1</v>
      </c>
      <c r="P119" s="71" t="b">
        <f>AND(Scenarios1[[#This Row],[GLD]]&gt;=GLDMin,Scenarios1[[#This Row],[GLD]]&lt;=GLDMax)</f>
        <v>1</v>
      </c>
      <c r="Q119" s="71" t="b">
        <f>Scenarios1[[#This Row],[VNQ]]&gt;=VNQMin</f>
        <v>1</v>
      </c>
      <c r="R119" s="71" t="b">
        <f>AND(Scenarios1[[#This Row],[PE]]&gt;=PEMin,Scenarios1[[#This Row],[PE]]&lt;=PEMax)</f>
        <v>1</v>
      </c>
      <c r="S119" s="71" t="b">
        <f>Scenarios1[[#This Row],[Liquid Assets]]&gt;=LiquidMin</f>
        <v>1</v>
      </c>
      <c r="T119" s="71" t="b">
        <f>AND(Scenarios1[[#This Row],[Expected Return]]&gt;=ExpectedReturnMin,Scenarios1[[#This Row],[Expected Return]]&lt;=ExpectedReturnMax)</f>
        <v>1</v>
      </c>
      <c r="U119" s="71" t="b">
        <f>Scenarios1[[#This Row],[Max Drawdown]]&gt;=DrawdownMax</f>
        <v>1</v>
      </c>
      <c r="V11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19" s="46">
        <f>_xlfn.XLOOKUP(Scenarios1[[#This Row],[Reference '#]],ScenariosCombined[Reference '#],ScenariosCombined[Sharpe Rank])</f>
        <v>104</v>
      </c>
      <c r="X119" s="71">
        <f>IF(Scenarios1[[#This Row],[Eligible]],COUNTIFS(Scenarios1[Sharpe],"&gt;"&amp;Scenarios1[[#This Row],[Sharpe]],Scenarios1[Eligible],TRUE())+COUNTIFS(Scenarios1[Sharpe],Scenarios1[[#This Row],[Sharpe]],Scenarios1[Eligible],TRUE()),"")</f>
        <v>102</v>
      </c>
      <c r="Y11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25/30/15/20/10</v>
      </c>
      <c r="Z119">
        <f>Scenarios1[[#This Row],[Sharpe Rank]]</f>
        <v>102</v>
      </c>
      <c r="AA119">
        <f>_xlfn.XLOOKUP(Scenarios1[[#This Row],[Reference '#]],Scenarios2[Reference '#],Scenarios2[Sharpe Rank])</f>
        <v>101</v>
      </c>
      <c r="AB119">
        <f>_xlfn.XLOOKUP(Scenarios1[[#This Row],[Reference '#]],Scenarios3[Reference '#],Scenarios3[Sharpe Rank])</f>
        <v>101</v>
      </c>
      <c r="AF119" s="34"/>
      <c r="AG119" s="34"/>
      <c r="AK119" s="15"/>
    </row>
    <row r="120" spans="2:37" x14ac:dyDescent="0.2">
      <c r="B120" s="71">
        <v>110</v>
      </c>
      <c r="C120" s="69">
        <v>0.25</v>
      </c>
      <c r="D120" s="69">
        <v>0.3</v>
      </c>
      <c r="E120" s="69">
        <v>0.15</v>
      </c>
      <c r="F120" s="69">
        <v>0.15</v>
      </c>
      <c r="G120" s="69">
        <v>0.15</v>
      </c>
      <c r="H120" s="69">
        <f>SUMPRODUCT(Scenarios1[[#This Row],[SPY]:[PE]],_xlfn.TOROW(AssetSpecsScenario1[Annualized Return]))</f>
        <v>7.5857439107224339E-2</v>
      </c>
      <c r="I120" s="69" cm="1">
        <f t="array" ref="I120">SQRT(MMULT(MMULT(Scenarios1[[#This Row],[SPY]:[PE]], 'Corr_Cov 36- Month'!$J$13:$N$17), TRANSPOSE(Scenarios1[[#This Row],[SPY]:[PE]])))</f>
        <v>7.4873394293789045E-2</v>
      </c>
      <c r="J120" s="70">
        <f>(Scenarios1[[#This Row],[Expected Return]]-RiskFree)/Scenarios1[[#This Row],[36M Vol]]</f>
        <v>0.3853422677548109</v>
      </c>
      <c r="K120" s="121" cm="1">
        <f t="array" ref="K120">MIN(_xlfn._xlws.FILTER(PortfolioFrontier[#Data],(PortfolioFrontier[#Headers]="P"&amp;Scenarios1[[#This Row],[Reference '#]]&amp;" DD")))</f>
        <v>-0.16218772982575114</v>
      </c>
      <c r="L120" s="69">
        <f>SUM(Scenarios1[[#This Row],[SPY]:[VNQ]])</f>
        <v>0.85000000000000009</v>
      </c>
      <c r="M120" s="69">
        <f>SUM(Scenarios1[[#This Row],[SPY]:[PE]])</f>
        <v>1</v>
      </c>
      <c r="N120" s="71" t="b">
        <f>Scenarios1[[#This Row],[SPY]]&gt;=SpyMin</f>
        <v>1</v>
      </c>
      <c r="O120" s="71" t="b">
        <f>Scenarios1[[#This Row],[AGG]]&gt;=AGGMin</f>
        <v>1</v>
      </c>
      <c r="P120" s="71" t="b">
        <f>AND(Scenarios1[[#This Row],[GLD]]&gt;=GLDMin,Scenarios1[[#This Row],[GLD]]&lt;=GLDMax)</f>
        <v>1</v>
      </c>
      <c r="Q120" s="71" t="b">
        <f>Scenarios1[[#This Row],[VNQ]]&gt;=VNQMin</f>
        <v>1</v>
      </c>
      <c r="R120" s="71" t="b">
        <f>AND(Scenarios1[[#This Row],[PE]]&gt;=PEMin,Scenarios1[[#This Row],[PE]]&lt;=PEMax)</f>
        <v>1</v>
      </c>
      <c r="S120" s="71" t="b">
        <f>Scenarios1[[#This Row],[Liquid Assets]]&gt;=LiquidMin</f>
        <v>1</v>
      </c>
      <c r="T120" s="71" t="b">
        <f>AND(Scenarios1[[#This Row],[Expected Return]]&gt;=ExpectedReturnMin,Scenarios1[[#This Row],[Expected Return]]&lt;=ExpectedReturnMax)</f>
        <v>1</v>
      </c>
      <c r="U120" s="71" t="b">
        <f>Scenarios1[[#This Row],[Max Drawdown]]&gt;=DrawdownMax</f>
        <v>1</v>
      </c>
      <c r="V12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20" s="46">
        <f>_xlfn.XLOOKUP(Scenarios1[[#This Row],[Reference '#]],ScenariosCombined[Reference '#],ScenariosCombined[Sharpe Rank])</f>
        <v>92</v>
      </c>
      <c r="X120" s="71">
        <f>IF(Scenarios1[[#This Row],[Eligible]],COUNTIFS(Scenarios1[Sharpe],"&gt;"&amp;Scenarios1[[#This Row],[Sharpe]],Scenarios1[Eligible],TRUE())+COUNTIFS(Scenarios1[Sharpe],Scenarios1[[#This Row],[Sharpe]],Scenarios1[Eligible],TRUE()),"")</f>
        <v>93</v>
      </c>
      <c r="Y12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25/30/15/15/15</v>
      </c>
      <c r="Z120">
        <f>Scenarios1[[#This Row],[Sharpe Rank]]</f>
        <v>93</v>
      </c>
      <c r="AA120">
        <f>_xlfn.XLOOKUP(Scenarios1[[#This Row],[Reference '#]],Scenarios2[Reference '#],Scenarios2[Sharpe Rank])</f>
        <v>92</v>
      </c>
      <c r="AB120">
        <f>_xlfn.XLOOKUP(Scenarios1[[#This Row],[Reference '#]],Scenarios3[Reference '#],Scenarios3[Sharpe Rank])</f>
        <v>78</v>
      </c>
      <c r="AF120" s="34"/>
      <c r="AG120" s="34"/>
      <c r="AK120" s="15"/>
    </row>
    <row r="121" spans="2:37" x14ac:dyDescent="0.2">
      <c r="B121" s="71">
        <v>111</v>
      </c>
      <c r="C121" s="69">
        <v>0.25</v>
      </c>
      <c r="D121" s="69">
        <v>0.3</v>
      </c>
      <c r="E121" s="69">
        <v>0.15</v>
      </c>
      <c r="F121" s="69">
        <v>0.1</v>
      </c>
      <c r="G121" s="69">
        <v>0.2</v>
      </c>
      <c r="H121" s="69">
        <f>SUMPRODUCT(Scenarios1[[#This Row],[SPY]:[PE]],_xlfn.TOROW(AssetSpecsScenario1[Annualized Return]))</f>
        <v>7.5747965068421935E-2</v>
      </c>
      <c r="I121" s="69" cm="1">
        <f t="array" ref="I121">SQRT(MMULT(MMULT(Scenarios1[[#This Row],[SPY]:[PE]], 'Corr_Cov 36- Month'!$J$13:$N$17), TRANSPOSE(Scenarios1[[#This Row],[SPY]:[PE]])))</f>
        <v>6.7605620867609642E-2</v>
      </c>
      <c r="J121" s="70">
        <f>(Scenarios1[[#This Row],[Expected Return]]-RiskFree)/Scenarios1[[#This Row],[36M Vol]]</f>
        <v>0.42514822205614988</v>
      </c>
      <c r="K121" s="121" cm="1">
        <f t="array" ref="K121">MIN(_xlfn._xlws.FILTER(PortfolioFrontier[#Data],(PortfolioFrontier[#Headers]="P"&amp;Scenarios1[[#This Row],[Reference '#]]&amp;" DD")))</f>
        <v>-0.14761879853353232</v>
      </c>
      <c r="L121" s="69">
        <f>SUM(Scenarios1[[#This Row],[SPY]:[VNQ]])</f>
        <v>0.8</v>
      </c>
      <c r="M121" s="69">
        <f>SUM(Scenarios1[[#This Row],[SPY]:[PE]])</f>
        <v>1</v>
      </c>
      <c r="N121" s="71" t="b">
        <f>Scenarios1[[#This Row],[SPY]]&gt;=SpyMin</f>
        <v>1</v>
      </c>
      <c r="O121" s="71" t="b">
        <f>Scenarios1[[#This Row],[AGG]]&gt;=AGGMin</f>
        <v>1</v>
      </c>
      <c r="P121" s="71" t="b">
        <f>AND(Scenarios1[[#This Row],[GLD]]&gt;=GLDMin,Scenarios1[[#This Row],[GLD]]&lt;=GLDMax)</f>
        <v>1</v>
      </c>
      <c r="Q121" s="71" t="b">
        <f>Scenarios1[[#This Row],[VNQ]]&gt;=VNQMin</f>
        <v>1</v>
      </c>
      <c r="R121" s="71" t="b">
        <f>AND(Scenarios1[[#This Row],[PE]]&gt;=PEMin,Scenarios1[[#This Row],[PE]]&lt;=PEMax)</f>
        <v>1</v>
      </c>
      <c r="S121" s="71" t="b">
        <f>Scenarios1[[#This Row],[Liquid Assets]]&gt;=LiquidMin</f>
        <v>1</v>
      </c>
      <c r="T121" s="71" t="b">
        <f>AND(Scenarios1[[#This Row],[Expected Return]]&gt;=ExpectedReturnMin,Scenarios1[[#This Row],[Expected Return]]&lt;=ExpectedReturnMax)</f>
        <v>1</v>
      </c>
      <c r="U121" s="71" t="b">
        <f>Scenarios1[[#This Row],[Max Drawdown]]&gt;=DrawdownMax</f>
        <v>1</v>
      </c>
      <c r="V12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21" s="46">
        <f>_xlfn.XLOOKUP(Scenarios1[[#This Row],[Reference '#]],ScenariosCombined[Reference '#],ScenariosCombined[Sharpe Rank])</f>
        <v>64</v>
      </c>
      <c r="X121" s="71">
        <f>IF(Scenarios1[[#This Row],[Eligible]],COUNTIFS(Scenarios1[Sharpe],"&gt;"&amp;Scenarios1[[#This Row],[Sharpe]],Scenarios1[Eligible],TRUE())+COUNTIFS(Scenarios1[Sharpe],Scenarios1[[#This Row],[Sharpe]],Scenarios1[Eligible],TRUE()),"")</f>
        <v>75</v>
      </c>
      <c r="Y12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25/30/15/10/20</v>
      </c>
      <c r="Z121">
        <f>Scenarios1[[#This Row],[Sharpe Rank]]</f>
        <v>75</v>
      </c>
      <c r="AA121">
        <f>_xlfn.XLOOKUP(Scenarios1[[#This Row],[Reference '#]],Scenarios2[Reference '#],Scenarios2[Sharpe Rank])</f>
        <v>69</v>
      </c>
      <c r="AB121">
        <f>_xlfn.XLOOKUP(Scenarios1[[#This Row],[Reference '#]],Scenarios3[Reference '#],Scenarios3[Sharpe Rank])</f>
        <v>48</v>
      </c>
      <c r="AF121" s="34"/>
      <c r="AG121" s="34"/>
      <c r="AK121" s="15"/>
    </row>
    <row r="122" spans="2:37" x14ac:dyDescent="0.2">
      <c r="B122" s="126">
        <v>112</v>
      </c>
      <c r="C122" s="124">
        <v>0.25</v>
      </c>
      <c r="D122" s="124">
        <v>0.3</v>
      </c>
      <c r="E122" s="124">
        <v>0.1</v>
      </c>
      <c r="F122" s="124">
        <v>0.25</v>
      </c>
      <c r="G122" s="124">
        <v>0.1</v>
      </c>
      <c r="H122" s="124">
        <f>SUMPRODUCT(Scenarios1[[#This Row],[SPY]:[PE]],_xlfn.TOROW(AssetSpecsScenario1[Annualized Return]))</f>
        <v>7.1975194244950705E-2</v>
      </c>
      <c r="I122" s="124" cm="1">
        <f t="array" ref="I122">SQRT(MMULT(MMULT(Scenarios1[[#This Row],[SPY]:[PE]], 'Corr_Cov 36- Month'!$J$13:$N$17), TRANSPOSE(Scenarios1[[#This Row],[SPY]:[PE]])))</f>
        <v>8.827174142165288E-2</v>
      </c>
      <c r="J122" s="125">
        <f>(Scenarios1[[#This Row],[Expected Return]]-RiskFree)/Scenarios1[[#This Row],[36M Vol]]</f>
        <v>0.28287239253750751</v>
      </c>
      <c r="K122" s="124" cm="1">
        <f t="array" ref="K122">MIN(_xlfn._xlws.FILTER(PortfolioFrontier[#Data],(PortfolioFrontier[#Headers]="P"&amp;Scenarios1[[#This Row],[Reference '#]]&amp;" DD")))</f>
        <v>-0.1867958072968543</v>
      </c>
      <c r="L122" s="124">
        <f>SUM(Scenarios1[[#This Row],[SPY]:[VNQ]])</f>
        <v>0.9</v>
      </c>
      <c r="M122" s="124">
        <f>SUM(Scenarios1[[#This Row],[SPY]:[PE]])</f>
        <v>1</v>
      </c>
      <c r="N122" s="126" t="b">
        <f>Scenarios1[[#This Row],[SPY]]&gt;=SpyMin</f>
        <v>1</v>
      </c>
      <c r="O122" s="126" t="b">
        <f>Scenarios1[[#This Row],[AGG]]&gt;=AGGMin</f>
        <v>1</v>
      </c>
      <c r="P122" s="126" t="b">
        <f>AND(Scenarios1[[#This Row],[GLD]]&gt;=GLDMin,Scenarios1[[#This Row],[GLD]]&lt;=GLDMax)</f>
        <v>1</v>
      </c>
      <c r="Q122" s="126" t="b">
        <f>Scenarios1[[#This Row],[VNQ]]&gt;=VNQMin</f>
        <v>1</v>
      </c>
      <c r="R122" s="126" t="b">
        <f>AND(Scenarios1[[#This Row],[PE]]&gt;=PEMin,Scenarios1[[#This Row],[PE]]&lt;=PEMax)</f>
        <v>1</v>
      </c>
      <c r="S122" s="126" t="b">
        <f>Scenarios1[[#This Row],[Liquid Assets]]&gt;=LiquidMin</f>
        <v>1</v>
      </c>
      <c r="T122" s="126" t="b">
        <f>AND(Scenarios1[[#This Row],[Expected Return]]&gt;=ExpectedReturnMin,Scenarios1[[#This Row],[Expected Return]]&lt;=ExpectedReturnMax)</f>
        <v>0</v>
      </c>
      <c r="U122" s="126" t="b">
        <f>Scenarios1[[#This Row],[Max Drawdown]]&gt;=DrawdownMax</f>
        <v>1</v>
      </c>
      <c r="V122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22" s="46" t="str">
        <f>_xlfn.XLOOKUP(Scenarios1[[#This Row],[Reference '#]],ScenariosCombined[Reference '#],ScenariosCombined[Sharpe Rank])</f>
        <v/>
      </c>
      <c r="X122" s="126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22" s="150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25/30/10/25/10</v>
      </c>
      <c r="Z122" s="120" t="str">
        <f>Scenarios1[[#This Row],[Sharpe Rank]]</f>
        <v/>
      </c>
      <c r="AA122" s="120" t="str">
        <f>_xlfn.XLOOKUP(Scenarios1[[#This Row],[Reference '#]],Scenarios2[Reference '#],Scenarios2[Sharpe Rank])</f>
        <v/>
      </c>
      <c r="AB122" s="120">
        <f>_xlfn.XLOOKUP(Scenarios1[[#This Row],[Reference '#]],Scenarios3[Reference '#],Scenarios3[Sharpe Rank])</f>
        <v>112</v>
      </c>
      <c r="AF122" s="34"/>
      <c r="AG122" s="34"/>
      <c r="AK122" s="15"/>
    </row>
    <row r="123" spans="2:37" x14ac:dyDescent="0.2">
      <c r="B123" s="71">
        <v>113</v>
      </c>
      <c r="C123" s="69">
        <v>0.25</v>
      </c>
      <c r="D123" s="69">
        <v>0.3</v>
      </c>
      <c r="E123" s="69">
        <v>0.1</v>
      </c>
      <c r="F123" s="69">
        <v>0.2</v>
      </c>
      <c r="G123" s="69">
        <v>0.15</v>
      </c>
      <c r="H123" s="69">
        <f>SUMPRODUCT(Scenarios1[[#This Row],[SPY]:[PE]],_xlfn.TOROW(AssetSpecsScenario1[Annualized Return]))</f>
        <v>7.1865720206148315E-2</v>
      </c>
      <c r="I123" s="69" cm="1">
        <f t="array" ref="I123">SQRT(MMULT(MMULT(Scenarios1[[#This Row],[SPY]:[PE]], 'Corr_Cov 36- Month'!$J$13:$N$17), TRANSPOSE(Scenarios1[[#This Row],[SPY]:[PE]])))</f>
        <v>8.0260310412350544E-2</v>
      </c>
      <c r="J123" s="70">
        <f>(Scenarios1[[#This Row],[Expected Return]]-RiskFree)/Scenarios1[[#This Row],[36M Vol]]</f>
        <v>0.30974418766722406</v>
      </c>
      <c r="K123" s="121" cm="1">
        <f t="array" ref="K123">MIN(_xlfn._xlws.FILTER(PortfolioFrontier[#Data],(PortfolioFrontier[#Headers]="P"&amp;Scenarios1[[#This Row],[Reference '#]]&amp;" DD")))</f>
        <v>-0.17241133098208905</v>
      </c>
      <c r="L123" s="69">
        <f>SUM(Scenarios1[[#This Row],[SPY]:[VNQ]])</f>
        <v>0.85000000000000009</v>
      </c>
      <c r="M123" s="69">
        <f>SUM(Scenarios1[[#This Row],[SPY]:[PE]])</f>
        <v>1</v>
      </c>
      <c r="N123" s="71" t="b">
        <f>Scenarios1[[#This Row],[SPY]]&gt;=SpyMin</f>
        <v>1</v>
      </c>
      <c r="O123" s="71" t="b">
        <f>Scenarios1[[#This Row],[AGG]]&gt;=AGGMin</f>
        <v>1</v>
      </c>
      <c r="P123" s="71" t="b">
        <f>AND(Scenarios1[[#This Row],[GLD]]&gt;=GLDMin,Scenarios1[[#This Row],[GLD]]&lt;=GLDMax)</f>
        <v>1</v>
      </c>
      <c r="Q123" s="71" t="b">
        <f>Scenarios1[[#This Row],[VNQ]]&gt;=VNQMin</f>
        <v>1</v>
      </c>
      <c r="R123" s="71" t="b">
        <f>AND(Scenarios1[[#This Row],[PE]]&gt;=PEMin,Scenarios1[[#This Row],[PE]]&lt;=PEMax)</f>
        <v>1</v>
      </c>
      <c r="S123" s="71" t="b">
        <f>Scenarios1[[#This Row],[Liquid Assets]]&gt;=LiquidMin</f>
        <v>1</v>
      </c>
      <c r="T123" s="71" t="b">
        <f>AND(Scenarios1[[#This Row],[Expected Return]]&gt;=ExpectedReturnMin,Scenarios1[[#This Row],[Expected Return]]&lt;=ExpectedReturnMax)</f>
        <v>0</v>
      </c>
      <c r="U123" s="71" t="b">
        <f>Scenarios1[[#This Row],[Max Drawdown]]&gt;=DrawdownMax</f>
        <v>1</v>
      </c>
      <c r="V12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23" s="46" t="str">
        <f>_xlfn.XLOOKUP(Scenarios1[[#This Row],[Reference '#]],ScenariosCombined[Reference '#],ScenariosCombined[Sharpe Rank])</f>
        <v/>
      </c>
      <c r="X123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2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25/30/10/20/15</v>
      </c>
      <c r="Z123" t="str">
        <f>Scenarios1[[#This Row],[Sharpe Rank]]</f>
        <v/>
      </c>
      <c r="AA123" t="str">
        <f>_xlfn.XLOOKUP(Scenarios1[[#This Row],[Reference '#]],Scenarios2[Reference '#],Scenarios2[Sharpe Rank])</f>
        <v/>
      </c>
      <c r="AB123">
        <f>_xlfn.XLOOKUP(Scenarios1[[#This Row],[Reference '#]],Scenarios3[Reference '#],Scenarios3[Sharpe Rank])</f>
        <v>108</v>
      </c>
      <c r="AF123" s="34"/>
      <c r="AG123" s="34"/>
      <c r="AK123" s="15"/>
    </row>
    <row r="124" spans="2:37" x14ac:dyDescent="0.2">
      <c r="B124" s="71">
        <v>114</v>
      </c>
      <c r="C124" s="69">
        <v>0.25</v>
      </c>
      <c r="D124" s="69">
        <v>0.3</v>
      </c>
      <c r="E124" s="69">
        <v>0.1</v>
      </c>
      <c r="F124" s="69">
        <v>0.15</v>
      </c>
      <c r="G124" s="69">
        <v>0.2</v>
      </c>
      <c r="H124" s="69">
        <f>SUMPRODUCT(Scenarios1[[#This Row],[SPY]:[PE]],_xlfn.TOROW(AssetSpecsScenario1[Annualized Return]))</f>
        <v>7.1756246167345925E-2</v>
      </c>
      <c r="I124" s="69" cm="1">
        <f t="array" ref="I124">SQRT(MMULT(MMULT(Scenarios1[[#This Row],[SPY]:[PE]], 'Corr_Cov 36- Month'!$J$13:$N$17), TRANSPOSE(Scenarios1[[#This Row],[SPY]:[PE]])))</f>
        <v>7.2633590456997646E-2</v>
      </c>
      <c r="J124" s="70">
        <f>(Scenarios1[[#This Row],[Expected Return]]-RiskFree)/Scenarios1[[#This Row],[36M Vol]]</f>
        <v>0.34076094071714513</v>
      </c>
      <c r="K124" s="69" cm="1">
        <f t="array" ref="K124">MIN(_xlfn._xlws.FILTER(PortfolioFrontier[#Data],(PortfolioFrontier[#Headers]="P"&amp;Scenarios1[[#This Row],[Reference '#]]&amp;" DD")))</f>
        <v>-0.15791202853953867</v>
      </c>
      <c r="L124" s="69">
        <f>SUM(Scenarios1[[#This Row],[SPY]:[VNQ]])</f>
        <v>0.8</v>
      </c>
      <c r="M124" s="69">
        <f>SUM(Scenarios1[[#This Row],[SPY]:[PE]])</f>
        <v>1</v>
      </c>
      <c r="N124" s="71" t="b">
        <f>Scenarios1[[#This Row],[SPY]]&gt;=SpyMin</f>
        <v>1</v>
      </c>
      <c r="O124" s="71" t="b">
        <f>Scenarios1[[#This Row],[AGG]]&gt;=AGGMin</f>
        <v>1</v>
      </c>
      <c r="P124" s="71" t="b">
        <f>AND(Scenarios1[[#This Row],[GLD]]&gt;=GLDMin,Scenarios1[[#This Row],[GLD]]&lt;=GLDMax)</f>
        <v>1</v>
      </c>
      <c r="Q124" s="71" t="b">
        <f>Scenarios1[[#This Row],[VNQ]]&gt;=VNQMin</f>
        <v>1</v>
      </c>
      <c r="R124" s="71" t="b">
        <f>AND(Scenarios1[[#This Row],[PE]]&gt;=PEMin,Scenarios1[[#This Row],[PE]]&lt;=PEMax)</f>
        <v>1</v>
      </c>
      <c r="S124" s="71" t="b">
        <f>Scenarios1[[#This Row],[Liquid Assets]]&gt;=LiquidMin</f>
        <v>1</v>
      </c>
      <c r="T124" s="71" t="b">
        <f>AND(Scenarios1[[#This Row],[Expected Return]]&gt;=ExpectedReturnMin,Scenarios1[[#This Row],[Expected Return]]&lt;=ExpectedReturnMax)</f>
        <v>0</v>
      </c>
      <c r="U124" s="71" t="b">
        <f>Scenarios1[[#This Row],[Max Drawdown]]&gt;=DrawdownMax</f>
        <v>1</v>
      </c>
      <c r="V12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24" s="46" t="str">
        <f>_xlfn.XLOOKUP(Scenarios1[[#This Row],[Reference '#]],ScenariosCombined[Reference '#],ScenariosCombined[Sharpe Rank])</f>
        <v/>
      </c>
      <c r="X124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2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25/30/10/15/20</v>
      </c>
      <c r="Z124" t="str">
        <f>Scenarios1[[#This Row],[Sharpe Rank]]</f>
        <v/>
      </c>
      <c r="AA124" t="str">
        <f>_xlfn.XLOOKUP(Scenarios1[[#This Row],[Reference '#]],Scenarios2[Reference '#],Scenarios2[Sharpe Rank])</f>
        <v/>
      </c>
      <c r="AB124">
        <f>_xlfn.XLOOKUP(Scenarios1[[#This Row],[Reference '#]],Scenarios3[Reference '#],Scenarios3[Sharpe Rank])</f>
        <v>90</v>
      </c>
      <c r="AF124" s="34"/>
      <c r="AG124" s="34"/>
      <c r="AK124" s="15"/>
    </row>
    <row r="125" spans="2:37" x14ac:dyDescent="0.2">
      <c r="B125" s="71">
        <v>115</v>
      </c>
      <c r="C125" s="69">
        <v>0.25</v>
      </c>
      <c r="D125" s="69">
        <v>0.25</v>
      </c>
      <c r="E125" s="69">
        <v>0.2</v>
      </c>
      <c r="F125" s="69">
        <v>0.2</v>
      </c>
      <c r="G125" s="69">
        <v>0.1</v>
      </c>
      <c r="H125" s="69">
        <f>SUMPRODUCT(Scenarios1[[#This Row],[SPY]:[PE]],_xlfn.TOROW(AssetSpecsScenario1[Annualized Return]))</f>
        <v>8.1542371393266228E-2</v>
      </c>
      <c r="I125" s="69" cm="1">
        <f t="array" ref="I125">SQRT(MMULT(MMULT(Scenarios1[[#This Row],[SPY]:[PE]], 'Corr_Cov 36- Month'!$J$13:$N$17), TRANSPOSE(Scenarios1[[#This Row],[SPY]:[PE]])))</f>
        <v>8.2945379960045376E-2</v>
      </c>
      <c r="J125" s="70">
        <f>(Scenarios1[[#This Row],[Expected Return]]-RiskFree)/Scenarios1[[#This Row],[36M Vol]]</f>
        <v>0.41638022339938635</v>
      </c>
      <c r="K125" s="69" cm="1">
        <f t="array" ref="K125">MIN(_xlfn._xlws.FILTER(PortfolioFrontier[#Data],(PortfolioFrontier[#Headers]="P"&amp;Scenarios1[[#This Row],[Reference '#]]&amp;" DD")))</f>
        <v>-0.17421131416336322</v>
      </c>
      <c r="L125" s="69">
        <f>SUM(Scenarios1[[#This Row],[SPY]:[VNQ]])</f>
        <v>0.89999999999999991</v>
      </c>
      <c r="M125" s="69">
        <f>SUM(Scenarios1[[#This Row],[SPY]:[PE]])</f>
        <v>0.99999999999999989</v>
      </c>
      <c r="N125" s="71" t="b">
        <f>Scenarios1[[#This Row],[SPY]]&gt;=SpyMin</f>
        <v>1</v>
      </c>
      <c r="O125" s="71" t="b">
        <f>Scenarios1[[#This Row],[AGG]]&gt;=AGGMin</f>
        <v>1</v>
      </c>
      <c r="P125" s="71" t="b">
        <f>AND(Scenarios1[[#This Row],[GLD]]&gt;=GLDMin,Scenarios1[[#This Row],[GLD]]&lt;=GLDMax)</f>
        <v>1</v>
      </c>
      <c r="Q125" s="71" t="b">
        <f>Scenarios1[[#This Row],[VNQ]]&gt;=VNQMin</f>
        <v>1</v>
      </c>
      <c r="R125" s="71" t="b">
        <f>AND(Scenarios1[[#This Row],[PE]]&gt;=PEMin,Scenarios1[[#This Row],[PE]]&lt;=PEMax)</f>
        <v>1</v>
      </c>
      <c r="S125" s="71" t="b">
        <f>Scenarios1[[#This Row],[Liquid Assets]]&gt;=LiquidMin</f>
        <v>1</v>
      </c>
      <c r="T125" s="71" t="b">
        <f>AND(Scenarios1[[#This Row],[Expected Return]]&gt;=ExpectedReturnMin,Scenarios1[[#This Row],[Expected Return]]&lt;=ExpectedReturnMax)</f>
        <v>1</v>
      </c>
      <c r="U125" s="71" t="b">
        <f>Scenarios1[[#This Row],[Max Drawdown]]&gt;=DrawdownMax</f>
        <v>1</v>
      </c>
      <c r="V12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25" s="46">
        <f>_xlfn.XLOOKUP(Scenarios1[[#This Row],[Reference '#]],ScenariosCombined[Reference '#],ScenariosCombined[Sharpe Rank])</f>
        <v>83</v>
      </c>
      <c r="X125" s="71">
        <f>IF(Scenarios1[[#This Row],[Eligible]],COUNTIFS(Scenarios1[Sharpe],"&gt;"&amp;Scenarios1[[#This Row],[Sharpe]],Scenarios1[Eligible],TRUE())+COUNTIFS(Scenarios1[Sharpe],Scenarios1[[#This Row],[Sharpe]],Scenarios1[Eligible],TRUE()),"")</f>
        <v>81</v>
      </c>
      <c r="Y12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25/25/20/20/10</v>
      </c>
      <c r="Z125">
        <f>Scenarios1[[#This Row],[Sharpe Rank]]</f>
        <v>81</v>
      </c>
      <c r="AA125">
        <f>_xlfn.XLOOKUP(Scenarios1[[#This Row],[Reference '#]],Scenarios2[Reference '#],Scenarios2[Sharpe Rank])</f>
        <v>80</v>
      </c>
      <c r="AB125">
        <f>_xlfn.XLOOKUP(Scenarios1[[#This Row],[Reference '#]],Scenarios3[Reference '#],Scenarios3[Sharpe Rank])</f>
        <v>76</v>
      </c>
      <c r="AF125" s="34"/>
      <c r="AG125" s="34"/>
      <c r="AK125" s="15"/>
    </row>
    <row r="126" spans="2:37" x14ac:dyDescent="0.2">
      <c r="B126" s="71">
        <v>116</v>
      </c>
      <c r="C126" s="69">
        <v>0.25</v>
      </c>
      <c r="D126" s="69">
        <v>0.25</v>
      </c>
      <c r="E126" s="69">
        <v>0.2</v>
      </c>
      <c r="F126" s="69">
        <v>0.15</v>
      </c>
      <c r="G126" s="69">
        <v>0.15</v>
      </c>
      <c r="H126" s="69">
        <f>SUMPRODUCT(Scenarios1[[#This Row],[SPY]:[PE]],_xlfn.TOROW(AssetSpecsScenario1[Annualized Return]))</f>
        <v>8.1432897354463837E-2</v>
      </c>
      <c r="I126" s="69" cm="1">
        <f t="array" ref="I126">SQRT(MMULT(MMULT(Scenarios1[[#This Row],[SPY]:[PE]], 'Corr_Cov 36- Month'!$J$13:$N$17), TRANSPOSE(Scenarios1[[#This Row],[SPY]:[PE]])))</f>
        <v>7.5336421006106366E-2</v>
      </c>
      <c r="J126" s="70">
        <f>(Scenarios1[[#This Row],[Expected Return]]-RiskFree)/Scenarios1[[#This Row],[36M Vol]]</f>
        <v>0.4569813821673025</v>
      </c>
      <c r="K126" s="69" cm="1">
        <f t="array" ref="K126">MIN(_xlfn._xlws.FILTER(PortfolioFrontier[#Data],(PortfolioFrontier[#Headers]="P"&amp;Scenarios1[[#This Row],[Reference '#]]&amp;" DD")))</f>
        <v>-0.15972578344997812</v>
      </c>
      <c r="L126" s="69">
        <f>SUM(Scenarios1[[#This Row],[SPY]:[VNQ]])</f>
        <v>0.85</v>
      </c>
      <c r="M126" s="69">
        <f>SUM(Scenarios1[[#This Row],[SPY]:[PE]])</f>
        <v>1</v>
      </c>
      <c r="N126" s="71" t="b">
        <f>Scenarios1[[#This Row],[SPY]]&gt;=SpyMin</f>
        <v>1</v>
      </c>
      <c r="O126" s="71" t="b">
        <f>Scenarios1[[#This Row],[AGG]]&gt;=AGGMin</f>
        <v>1</v>
      </c>
      <c r="P126" s="71" t="b">
        <f>AND(Scenarios1[[#This Row],[GLD]]&gt;=GLDMin,Scenarios1[[#This Row],[GLD]]&lt;=GLDMax)</f>
        <v>1</v>
      </c>
      <c r="Q126" s="71" t="b">
        <f>Scenarios1[[#This Row],[VNQ]]&gt;=VNQMin</f>
        <v>1</v>
      </c>
      <c r="R126" s="71" t="b">
        <f>AND(Scenarios1[[#This Row],[PE]]&gt;=PEMin,Scenarios1[[#This Row],[PE]]&lt;=PEMax)</f>
        <v>1</v>
      </c>
      <c r="S126" s="71" t="b">
        <f>Scenarios1[[#This Row],[Liquid Assets]]&gt;=LiquidMin</f>
        <v>1</v>
      </c>
      <c r="T126" s="71" t="b">
        <f>AND(Scenarios1[[#This Row],[Expected Return]]&gt;=ExpectedReturnMin,Scenarios1[[#This Row],[Expected Return]]&lt;=ExpectedReturnMax)</f>
        <v>1</v>
      </c>
      <c r="U126" s="71" t="b">
        <f>Scenarios1[[#This Row],[Max Drawdown]]&gt;=DrawdownMax</f>
        <v>1</v>
      </c>
      <c r="V12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26" s="46">
        <f>_xlfn.XLOOKUP(Scenarios1[[#This Row],[Reference '#]],ScenariosCombined[Reference '#],ScenariosCombined[Sharpe Rank])</f>
        <v>59</v>
      </c>
      <c r="X126" s="71">
        <f>IF(Scenarios1[[#This Row],[Eligible]],COUNTIFS(Scenarios1[Sharpe],"&gt;"&amp;Scenarios1[[#This Row],[Sharpe]],Scenarios1[Eligible],TRUE())+COUNTIFS(Scenarios1[Sharpe],Scenarios1[[#This Row],[Sharpe]],Scenarios1[Eligible],TRUE()),"")</f>
        <v>62</v>
      </c>
      <c r="Y12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25/25/20/15/15</v>
      </c>
      <c r="Z126">
        <f>Scenarios1[[#This Row],[Sharpe Rank]]</f>
        <v>62</v>
      </c>
      <c r="AA126">
        <f>_xlfn.XLOOKUP(Scenarios1[[#This Row],[Reference '#]],Scenarios2[Reference '#],Scenarios2[Sharpe Rank])</f>
        <v>59</v>
      </c>
      <c r="AB126">
        <f>_xlfn.XLOOKUP(Scenarios1[[#This Row],[Reference '#]],Scenarios3[Reference '#],Scenarios3[Sharpe Rank])</f>
        <v>47</v>
      </c>
      <c r="AF126" s="34"/>
      <c r="AG126" s="34"/>
      <c r="AK126" s="15"/>
    </row>
    <row r="127" spans="2:37" x14ac:dyDescent="0.2">
      <c r="B127" s="126">
        <v>117</v>
      </c>
      <c r="C127" s="124">
        <v>0.25</v>
      </c>
      <c r="D127" s="124">
        <v>0.25</v>
      </c>
      <c r="E127" s="124">
        <v>0.2</v>
      </c>
      <c r="F127" s="124">
        <v>0.1</v>
      </c>
      <c r="G127" s="124">
        <v>0.2</v>
      </c>
      <c r="H127" s="124">
        <f>SUMPRODUCT(Scenarios1[[#This Row],[SPY]:[PE]],_xlfn.TOROW(AssetSpecsScenario1[Annualized Return]))</f>
        <v>8.1323423315661433E-2</v>
      </c>
      <c r="I127" s="124" cm="1">
        <f t="array" ref="I127">SQRT(MMULT(MMULT(Scenarios1[[#This Row],[SPY]:[PE]], 'Corr_Cov 36- Month'!$J$13:$N$17), TRANSPOSE(Scenarios1[[#This Row],[SPY]:[PE]])))</f>
        <v>6.8229909457763416E-2</v>
      </c>
      <c r="J127" s="125">
        <f>(Scenarios1[[#This Row],[Expected Return]]-RiskFree)/Scenarios1[[#This Row],[36M Vol]]</f>
        <v>0.50297396014206619</v>
      </c>
      <c r="K127" s="124" cm="1">
        <f t="array" ref="K127">MIN(_xlfn._xlws.FILTER(PortfolioFrontier[#Data],(PortfolioFrontier[#Headers]="P"&amp;Scenarios1[[#This Row],[Reference '#]]&amp;" DD")))</f>
        <v>-0.14512711256852973</v>
      </c>
      <c r="L127" s="124">
        <f>SUM(Scenarios1[[#This Row],[SPY]:[VNQ]])</f>
        <v>0.79999999999999993</v>
      </c>
      <c r="M127" s="124">
        <f>SUM(Scenarios1[[#This Row],[SPY]:[PE]])</f>
        <v>1</v>
      </c>
      <c r="N127" s="126" t="b">
        <f>Scenarios1[[#This Row],[SPY]]&gt;=SpyMin</f>
        <v>1</v>
      </c>
      <c r="O127" s="126" t="b">
        <f>Scenarios1[[#This Row],[AGG]]&gt;=AGGMin</f>
        <v>1</v>
      </c>
      <c r="P127" s="126" t="b">
        <f>AND(Scenarios1[[#This Row],[GLD]]&gt;=GLDMin,Scenarios1[[#This Row],[GLD]]&lt;=GLDMax)</f>
        <v>1</v>
      </c>
      <c r="Q127" s="126" t="b">
        <f>Scenarios1[[#This Row],[VNQ]]&gt;=VNQMin</f>
        <v>1</v>
      </c>
      <c r="R127" s="126" t="b">
        <f>AND(Scenarios1[[#This Row],[PE]]&gt;=PEMin,Scenarios1[[#This Row],[PE]]&lt;=PEMax)</f>
        <v>1</v>
      </c>
      <c r="S127" s="126" t="b">
        <f>Scenarios1[[#This Row],[Liquid Assets]]&gt;=LiquidMin</f>
        <v>1</v>
      </c>
      <c r="T127" s="126" t="b">
        <f>AND(Scenarios1[[#This Row],[Expected Return]]&gt;=ExpectedReturnMin,Scenarios1[[#This Row],[Expected Return]]&lt;=ExpectedReturnMax)</f>
        <v>1</v>
      </c>
      <c r="U127" s="126" t="b">
        <f>Scenarios1[[#This Row],[Max Drawdown]]&gt;=DrawdownMax</f>
        <v>1</v>
      </c>
      <c r="V127" s="126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27" s="46">
        <f>_xlfn.XLOOKUP(Scenarios1[[#This Row],[Reference '#]],ScenariosCombined[Reference '#],ScenariosCombined[Sharpe Rank])</f>
        <v>33</v>
      </c>
      <c r="X127" s="126">
        <f>IF(Scenarios1[[#This Row],[Eligible]],COUNTIFS(Scenarios1[Sharpe],"&gt;"&amp;Scenarios1[[#This Row],[Sharpe]],Scenarios1[Eligible],TRUE())+COUNTIFS(Scenarios1[Sharpe],Scenarios1[[#This Row],[Sharpe]],Scenarios1[Eligible],TRUE()),"")</f>
        <v>40</v>
      </c>
      <c r="Y127" s="150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25/25/20/10/20</v>
      </c>
      <c r="Z127" s="120">
        <f>Scenarios1[[#This Row],[Sharpe Rank]]</f>
        <v>40</v>
      </c>
      <c r="AA127" s="120">
        <f>_xlfn.XLOOKUP(Scenarios1[[#This Row],[Reference '#]],Scenarios2[Reference '#],Scenarios2[Sharpe Rank])</f>
        <v>35</v>
      </c>
      <c r="AB127" s="120">
        <f>_xlfn.XLOOKUP(Scenarios1[[#This Row],[Reference '#]],Scenarios3[Reference '#],Scenarios3[Sharpe Rank])</f>
        <v>17</v>
      </c>
      <c r="AF127" s="34"/>
      <c r="AG127" s="34"/>
      <c r="AK127" s="15"/>
    </row>
    <row r="128" spans="2:37" x14ac:dyDescent="0.2">
      <c r="B128" s="71">
        <v>118</v>
      </c>
      <c r="C128" s="69">
        <v>0.25</v>
      </c>
      <c r="D128" s="69">
        <v>0.25</v>
      </c>
      <c r="E128" s="69">
        <v>0.15</v>
      </c>
      <c r="F128" s="69">
        <v>0.25</v>
      </c>
      <c r="G128" s="69">
        <v>0.1</v>
      </c>
      <c r="H128" s="69">
        <f>SUMPRODUCT(Scenarios1[[#This Row],[SPY]:[PE]],_xlfn.TOROW(AssetSpecsScenario1[Annualized Return]))</f>
        <v>7.7550652492190203E-2</v>
      </c>
      <c r="I128" s="69" cm="1">
        <f t="array" ref="I128">SQRT(MMULT(MMULT(Scenarios1[[#This Row],[SPY]:[PE]], 'Corr_Cov 36- Month'!$J$13:$N$17), TRANSPOSE(Scenarios1[[#This Row],[SPY]:[PE]])))</f>
        <v>8.8009184163765894E-2</v>
      </c>
      <c r="J128" s="70">
        <f>(Scenarios1[[#This Row],[Expected Return]]-RiskFree)/Scenarios1[[#This Row],[36M Vol]]</f>
        <v>0.34706715244396413</v>
      </c>
      <c r="K128" s="107" cm="1">
        <f t="array" ref="K128">MIN(_xlfn._xlws.FILTER(PortfolioFrontier[#Data],(PortfolioFrontier[#Headers]="P"&amp;Scenarios1[[#This Row],[Reference '#]]&amp;" DD")))</f>
        <v>-0.184368359214654</v>
      </c>
      <c r="L128" s="69">
        <f>SUM(Scenarios1[[#This Row],[SPY]:[VNQ]])</f>
        <v>0.9</v>
      </c>
      <c r="M128" s="69">
        <f>SUM(Scenarios1[[#This Row],[SPY]:[PE]])</f>
        <v>1</v>
      </c>
      <c r="N128" s="71" t="b">
        <f>Scenarios1[[#This Row],[SPY]]&gt;=SpyMin</f>
        <v>1</v>
      </c>
      <c r="O128" s="71" t="b">
        <f>Scenarios1[[#This Row],[AGG]]&gt;=AGGMin</f>
        <v>1</v>
      </c>
      <c r="P128" s="71" t="b">
        <f>AND(Scenarios1[[#This Row],[GLD]]&gt;=GLDMin,Scenarios1[[#This Row],[GLD]]&lt;=GLDMax)</f>
        <v>1</v>
      </c>
      <c r="Q128" s="71" t="b">
        <f>Scenarios1[[#This Row],[VNQ]]&gt;=VNQMin</f>
        <v>1</v>
      </c>
      <c r="R128" s="71" t="b">
        <f>AND(Scenarios1[[#This Row],[PE]]&gt;=PEMin,Scenarios1[[#This Row],[PE]]&lt;=PEMax)</f>
        <v>1</v>
      </c>
      <c r="S128" s="71" t="b">
        <f>Scenarios1[[#This Row],[Liquid Assets]]&gt;=LiquidMin</f>
        <v>1</v>
      </c>
      <c r="T128" s="71" t="b">
        <f>AND(Scenarios1[[#This Row],[Expected Return]]&gt;=ExpectedReturnMin,Scenarios1[[#This Row],[Expected Return]]&lt;=ExpectedReturnMax)</f>
        <v>1</v>
      </c>
      <c r="U128" s="71" t="b">
        <f>Scenarios1[[#This Row],[Max Drawdown]]&gt;=DrawdownMax</f>
        <v>1</v>
      </c>
      <c r="V12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28" s="46">
        <f>_xlfn.XLOOKUP(Scenarios1[[#This Row],[Reference '#]],ScenariosCombined[Reference '#],ScenariosCombined[Sharpe Rank])</f>
        <v>107</v>
      </c>
      <c r="X128" s="71">
        <f>IF(Scenarios1[[#This Row],[Eligible]],COUNTIFS(Scenarios1[Sharpe],"&gt;"&amp;Scenarios1[[#This Row],[Sharpe]],Scenarios1[Eligible],TRUE())+COUNTIFS(Scenarios1[Sharpe],Scenarios1[[#This Row],[Sharpe]],Scenarios1[Eligible],TRUE()),"")</f>
        <v>104</v>
      </c>
      <c r="Y12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25/25/15/25/10</v>
      </c>
      <c r="Z128">
        <f>Scenarios1[[#This Row],[Sharpe Rank]]</f>
        <v>104</v>
      </c>
      <c r="AA128">
        <f>_xlfn.XLOOKUP(Scenarios1[[#This Row],[Reference '#]],Scenarios2[Reference '#],Scenarios2[Sharpe Rank])</f>
        <v>103</v>
      </c>
      <c r="AB128">
        <f>_xlfn.XLOOKUP(Scenarios1[[#This Row],[Reference '#]],Scenarios3[Reference '#],Scenarios3[Sharpe Rank])</f>
        <v>103</v>
      </c>
      <c r="AF128" s="34"/>
      <c r="AG128" s="34"/>
      <c r="AK128" s="15"/>
    </row>
    <row r="129" spans="2:37" x14ac:dyDescent="0.2">
      <c r="B129" s="71">
        <v>119</v>
      </c>
      <c r="C129" s="69">
        <v>0.25</v>
      </c>
      <c r="D129" s="69">
        <v>0.25</v>
      </c>
      <c r="E129" s="69">
        <v>0.15</v>
      </c>
      <c r="F129" s="69">
        <v>0.2</v>
      </c>
      <c r="G129" s="69">
        <v>0.15</v>
      </c>
      <c r="H129" s="69">
        <f>SUMPRODUCT(Scenarios1[[#This Row],[SPY]:[PE]],_xlfn.TOROW(AssetSpecsScenario1[Annualized Return]))</f>
        <v>7.7441178453387799E-2</v>
      </c>
      <c r="I129" s="69" cm="1">
        <f t="array" ref="I129">SQRT(MMULT(MMULT(Scenarios1[[#This Row],[SPY]:[PE]], 'Corr_Cov 36- Month'!$J$13:$N$17), TRANSPOSE(Scenarios1[[#This Row],[SPY]:[PE]])))</f>
        <v>8.0066740946730747E-2</v>
      </c>
      <c r="J129" s="70">
        <f>(Scenarios1[[#This Row],[Expected Return]]-RiskFree)/Scenarios1[[#This Row],[36M Vol]]</f>
        <v>0.38012815980709636</v>
      </c>
      <c r="K129" s="107" cm="1">
        <f t="array" ref="K129">MIN(_xlfn._xlws.FILTER(PortfolioFrontier[#Data],(PortfolioFrontier[#Headers]="P"&amp;Scenarios1[[#This Row],[Reference '#]]&amp;" DD")))</f>
        <v>-0.16995388779893417</v>
      </c>
      <c r="L129" s="69">
        <f>SUM(Scenarios1[[#This Row],[SPY]:[VNQ]])</f>
        <v>0.85000000000000009</v>
      </c>
      <c r="M129" s="69">
        <f>SUM(Scenarios1[[#This Row],[SPY]:[PE]])</f>
        <v>1</v>
      </c>
      <c r="N129" s="71" t="b">
        <f>Scenarios1[[#This Row],[SPY]]&gt;=SpyMin</f>
        <v>1</v>
      </c>
      <c r="O129" s="71" t="b">
        <f>Scenarios1[[#This Row],[AGG]]&gt;=AGGMin</f>
        <v>1</v>
      </c>
      <c r="P129" s="71" t="b">
        <f>AND(Scenarios1[[#This Row],[GLD]]&gt;=GLDMin,Scenarios1[[#This Row],[GLD]]&lt;=GLDMax)</f>
        <v>1</v>
      </c>
      <c r="Q129" s="71" t="b">
        <f>Scenarios1[[#This Row],[VNQ]]&gt;=VNQMin</f>
        <v>1</v>
      </c>
      <c r="R129" s="71" t="b">
        <f>AND(Scenarios1[[#This Row],[PE]]&gt;=PEMin,Scenarios1[[#This Row],[PE]]&lt;=PEMax)</f>
        <v>1</v>
      </c>
      <c r="S129" s="71" t="b">
        <f>Scenarios1[[#This Row],[Liquid Assets]]&gt;=LiquidMin</f>
        <v>1</v>
      </c>
      <c r="T129" s="71" t="b">
        <f>AND(Scenarios1[[#This Row],[Expected Return]]&gt;=ExpectedReturnMin,Scenarios1[[#This Row],[Expected Return]]&lt;=ExpectedReturnMax)</f>
        <v>1</v>
      </c>
      <c r="U129" s="71" t="b">
        <f>Scenarios1[[#This Row],[Max Drawdown]]&gt;=DrawdownMax</f>
        <v>1</v>
      </c>
      <c r="V12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29" s="46">
        <f>_xlfn.XLOOKUP(Scenarios1[[#This Row],[Reference '#]],ScenariosCombined[Reference '#],ScenariosCombined[Sharpe Rank])</f>
        <v>94</v>
      </c>
      <c r="X129" s="71">
        <f>IF(Scenarios1[[#This Row],[Eligible]],COUNTIFS(Scenarios1[Sharpe],"&gt;"&amp;Scenarios1[[#This Row],[Sharpe]],Scenarios1[Eligible],TRUE())+COUNTIFS(Scenarios1[Sharpe],Scenarios1[[#This Row],[Sharpe]],Scenarios1[Eligible],TRUE()),"")</f>
        <v>95</v>
      </c>
      <c r="Y12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25/25/15/20/15</v>
      </c>
      <c r="Z129">
        <f>Scenarios1[[#This Row],[Sharpe Rank]]</f>
        <v>95</v>
      </c>
      <c r="AA129">
        <f>_xlfn.XLOOKUP(Scenarios1[[#This Row],[Reference '#]],Scenarios2[Reference '#],Scenarios2[Sharpe Rank])</f>
        <v>94</v>
      </c>
      <c r="AB129">
        <f>_xlfn.XLOOKUP(Scenarios1[[#This Row],[Reference '#]],Scenarios3[Reference '#],Scenarios3[Sharpe Rank])</f>
        <v>83</v>
      </c>
      <c r="AG129"/>
      <c r="AK129" s="15"/>
    </row>
    <row r="130" spans="2:37" x14ac:dyDescent="0.2">
      <c r="B130" s="71">
        <v>120</v>
      </c>
      <c r="C130" s="69">
        <v>0.25</v>
      </c>
      <c r="D130" s="69">
        <v>0.25</v>
      </c>
      <c r="E130" s="69">
        <v>0.15</v>
      </c>
      <c r="F130" s="69">
        <v>0.15</v>
      </c>
      <c r="G130" s="69">
        <v>0.2</v>
      </c>
      <c r="H130" s="69">
        <f>SUMPRODUCT(Scenarios1[[#This Row],[SPY]:[PE]],_xlfn.TOROW(AssetSpecsScenario1[Annualized Return]))</f>
        <v>7.7331704414585409E-2</v>
      </c>
      <c r="I130" s="69" cm="1">
        <f t="array" ref="I130">SQRT(MMULT(MMULT(Scenarios1[[#This Row],[SPY]:[PE]], 'Corr_Cov 36- Month'!$J$13:$N$17), TRANSPOSE(Scenarios1[[#This Row],[SPY]:[PE]])))</f>
        <v>7.2524847161523895E-2</v>
      </c>
      <c r="J130" s="70">
        <f>(Scenarios1[[#This Row],[Expected Return]]-RiskFree)/Scenarios1[[#This Row],[36M Vol]]</f>
        <v>0.41814840080240223</v>
      </c>
      <c r="K130" s="107" cm="1">
        <f t="array" ref="K130">MIN(_xlfn._xlws.FILTER(PortfolioFrontier[#Data],(PortfolioFrontier[#Headers]="P"&amp;Scenarios1[[#This Row],[Reference '#]]&amp;" DD")))</f>
        <v>-0.15542454310291398</v>
      </c>
      <c r="L130" s="69">
        <f>SUM(Scenarios1[[#This Row],[SPY]:[VNQ]])</f>
        <v>0.8</v>
      </c>
      <c r="M130" s="69">
        <f>SUM(Scenarios1[[#This Row],[SPY]:[PE]])</f>
        <v>1</v>
      </c>
      <c r="N130" s="71" t="b">
        <f>Scenarios1[[#This Row],[SPY]]&gt;=SpyMin</f>
        <v>1</v>
      </c>
      <c r="O130" s="71" t="b">
        <f>Scenarios1[[#This Row],[AGG]]&gt;=AGGMin</f>
        <v>1</v>
      </c>
      <c r="P130" s="71" t="b">
        <f>AND(Scenarios1[[#This Row],[GLD]]&gt;=GLDMin,Scenarios1[[#This Row],[GLD]]&lt;=GLDMax)</f>
        <v>1</v>
      </c>
      <c r="Q130" s="71" t="b">
        <f>Scenarios1[[#This Row],[VNQ]]&gt;=VNQMin</f>
        <v>1</v>
      </c>
      <c r="R130" s="71" t="b">
        <f>AND(Scenarios1[[#This Row],[PE]]&gt;=PEMin,Scenarios1[[#This Row],[PE]]&lt;=PEMax)</f>
        <v>1</v>
      </c>
      <c r="S130" s="71" t="b">
        <f>Scenarios1[[#This Row],[Liquid Assets]]&gt;=LiquidMin</f>
        <v>1</v>
      </c>
      <c r="T130" s="71" t="b">
        <f>AND(Scenarios1[[#This Row],[Expected Return]]&gt;=ExpectedReturnMin,Scenarios1[[#This Row],[Expected Return]]&lt;=ExpectedReturnMax)</f>
        <v>1</v>
      </c>
      <c r="U130" s="71" t="b">
        <f>Scenarios1[[#This Row],[Max Drawdown]]&gt;=DrawdownMax</f>
        <v>1</v>
      </c>
      <c r="V13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30" s="46">
        <f>_xlfn.XLOOKUP(Scenarios1[[#This Row],[Reference '#]],ScenariosCombined[Reference '#],ScenariosCombined[Sharpe Rank])</f>
        <v>69</v>
      </c>
      <c r="X130" s="71">
        <f>IF(Scenarios1[[#This Row],[Eligible]],COUNTIFS(Scenarios1[Sharpe],"&gt;"&amp;Scenarios1[[#This Row],[Sharpe]],Scenarios1[Eligible],TRUE())+COUNTIFS(Scenarios1[Sharpe],Scenarios1[[#This Row],[Sharpe]],Scenarios1[Eligible],TRUE()),"")</f>
        <v>79</v>
      </c>
      <c r="Y13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25/25/15/15/20</v>
      </c>
      <c r="Z130">
        <f>Scenarios1[[#This Row],[Sharpe Rank]]</f>
        <v>79</v>
      </c>
      <c r="AA130">
        <f>_xlfn.XLOOKUP(Scenarios1[[#This Row],[Reference '#]],Scenarios2[Reference '#],Scenarios2[Sharpe Rank])</f>
        <v>74</v>
      </c>
      <c r="AB130">
        <f>_xlfn.XLOOKUP(Scenarios1[[#This Row],[Reference '#]],Scenarios3[Reference '#],Scenarios3[Sharpe Rank])</f>
        <v>56</v>
      </c>
      <c r="AG130"/>
      <c r="AK130" s="15"/>
    </row>
    <row r="131" spans="2:37" x14ac:dyDescent="0.2">
      <c r="B131" s="71">
        <v>121</v>
      </c>
      <c r="C131" s="69">
        <v>0.25</v>
      </c>
      <c r="D131" s="69">
        <v>0.25</v>
      </c>
      <c r="E131" s="69">
        <v>0.1</v>
      </c>
      <c r="F131" s="69">
        <v>0.3</v>
      </c>
      <c r="G131" s="69">
        <v>0.1</v>
      </c>
      <c r="H131" s="69">
        <f>SUMPRODUCT(Scenarios1[[#This Row],[SPY]:[PE]],_xlfn.TOROW(AssetSpecsScenario1[Annualized Return]))</f>
        <v>7.3558933591114178E-2</v>
      </c>
      <c r="I131" s="69" cm="1">
        <f t="array" ref="I131">SQRT(MMULT(MMULT(Scenarios1[[#This Row],[SPY]:[PE]], 'Corr_Cov 36- Month'!$J$13:$N$17), TRANSPOSE(Scenarios1[[#This Row],[SPY]:[PE]])))</f>
        <v>9.389218580066401E-2</v>
      </c>
      <c r="J131" s="70">
        <f>(Scenarios1[[#This Row],[Expected Return]]-RiskFree)/Scenarios1[[#This Row],[36M Vol]]</f>
        <v>0.28280711338355957</v>
      </c>
      <c r="K131" s="107" cm="1">
        <f t="array" ref="K131">MIN(_xlfn._xlws.FILTER(PortfolioFrontier[#Data],(PortfolioFrontier[#Headers]="P"&amp;Scenarios1[[#This Row],[Reference '#]]&amp;" DD")))</f>
        <v>-0.19449665540918404</v>
      </c>
      <c r="L131" s="69">
        <f>SUM(Scenarios1[[#This Row],[SPY]:[VNQ]])</f>
        <v>0.89999999999999991</v>
      </c>
      <c r="M131" s="69">
        <f>SUM(Scenarios1[[#This Row],[SPY]:[PE]])</f>
        <v>0.99999999999999989</v>
      </c>
      <c r="N131" s="71" t="b">
        <f>Scenarios1[[#This Row],[SPY]]&gt;=SpyMin</f>
        <v>1</v>
      </c>
      <c r="O131" s="71" t="b">
        <f>Scenarios1[[#This Row],[AGG]]&gt;=AGGMin</f>
        <v>1</v>
      </c>
      <c r="P131" s="71" t="b">
        <f>AND(Scenarios1[[#This Row],[GLD]]&gt;=GLDMin,Scenarios1[[#This Row],[GLD]]&lt;=GLDMax)</f>
        <v>1</v>
      </c>
      <c r="Q131" s="71" t="b">
        <f>Scenarios1[[#This Row],[VNQ]]&gt;=VNQMin</f>
        <v>1</v>
      </c>
      <c r="R131" s="71" t="b">
        <f>AND(Scenarios1[[#This Row],[PE]]&gt;=PEMin,Scenarios1[[#This Row],[PE]]&lt;=PEMax)</f>
        <v>1</v>
      </c>
      <c r="S131" s="71" t="b">
        <f>Scenarios1[[#This Row],[Liquid Assets]]&gt;=LiquidMin</f>
        <v>1</v>
      </c>
      <c r="T131" s="71" t="b">
        <f>AND(Scenarios1[[#This Row],[Expected Return]]&gt;=ExpectedReturnMin,Scenarios1[[#This Row],[Expected Return]]&lt;=ExpectedReturnMax)</f>
        <v>0</v>
      </c>
      <c r="U131" s="71" t="b">
        <f>Scenarios1[[#This Row],[Max Drawdown]]&gt;=DrawdownMax</f>
        <v>1</v>
      </c>
      <c r="V13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31" s="46" t="str">
        <f>_xlfn.XLOOKUP(Scenarios1[[#This Row],[Reference '#]],ScenariosCombined[Reference '#],ScenariosCombined[Sharpe Rank])</f>
        <v/>
      </c>
      <c r="X131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3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25/25/10/30/10</v>
      </c>
      <c r="Z131" t="str">
        <f>Scenarios1[[#This Row],[Sharpe Rank]]</f>
        <v/>
      </c>
      <c r="AA131" t="str">
        <f>_xlfn.XLOOKUP(Scenarios1[[#This Row],[Reference '#]],Scenarios2[Reference '#],Scenarios2[Sharpe Rank])</f>
        <v/>
      </c>
      <c r="AB131">
        <f>_xlfn.XLOOKUP(Scenarios1[[#This Row],[Reference '#]],Scenarios3[Reference '#],Scenarios3[Sharpe Rank])</f>
        <v>113</v>
      </c>
      <c r="AG131"/>
      <c r="AK131" s="15"/>
    </row>
    <row r="132" spans="2:37" x14ac:dyDescent="0.2">
      <c r="B132" s="71">
        <v>122</v>
      </c>
      <c r="C132" s="69">
        <v>0.25</v>
      </c>
      <c r="D132" s="69">
        <v>0.25</v>
      </c>
      <c r="E132" s="69">
        <v>0.1</v>
      </c>
      <c r="F132" s="69">
        <v>0.25</v>
      </c>
      <c r="G132" s="69">
        <v>0.15</v>
      </c>
      <c r="H132" s="69">
        <f>SUMPRODUCT(Scenarios1[[#This Row],[SPY]:[PE]],_xlfn.TOROW(AssetSpecsScenario1[Annualized Return]))</f>
        <v>7.3449459552311774E-2</v>
      </c>
      <c r="I132" s="69" cm="1">
        <f t="array" ref="I132">SQRT(MMULT(MMULT(Scenarios1[[#This Row],[SPY]:[PE]], 'Corr_Cov 36- Month'!$J$13:$N$17), TRANSPOSE(Scenarios1[[#This Row],[SPY]:[PE]])))</f>
        <v>8.573351327486739E-2</v>
      </c>
      <c r="J132" s="70">
        <f>(Scenarios1[[#This Row],[Expected Return]]-RiskFree)/Scenarios1[[#This Row],[36M Vol]]</f>
        <v>0.30844302288155734</v>
      </c>
      <c r="K132" s="107" cm="1">
        <f t="array" ref="K132">MIN(_xlfn._xlws.FILTER(PortfolioFrontier[#Data],(PortfolioFrontier[#Headers]="P"&amp;Scenarios1[[#This Row],[Reference '#]]&amp;" DD")))</f>
        <v>-0.18015492357456253</v>
      </c>
      <c r="L132" s="69">
        <f>SUM(Scenarios1[[#This Row],[SPY]:[VNQ]])</f>
        <v>0.85</v>
      </c>
      <c r="M132" s="69">
        <f>SUM(Scenarios1[[#This Row],[SPY]:[PE]])</f>
        <v>1</v>
      </c>
      <c r="N132" s="71" t="b">
        <f>Scenarios1[[#This Row],[SPY]]&gt;=SpyMin</f>
        <v>1</v>
      </c>
      <c r="O132" s="71" t="b">
        <f>Scenarios1[[#This Row],[AGG]]&gt;=AGGMin</f>
        <v>1</v>
      </c>
      <c r="P132" s="71" t="b">
        <f>AND(Scenarios1[[#This Row],[GLD]]&gt;=GLDMin,Scenarios1[[#This Row],[GLD]]&lt;=GLDMax)</f>
        <v>1</v>
      </c>
      <c r="Q132" s="71" t="b">
        <f>Scenarios1[[#This Row],[VNQ]]&gt;=VNQMin</f>
        <v>1</v>
      </c>
      <c r="R132" s="71" t="b">
        <f>AND(Scenarios1[[#This Row],[PE]]&gt;=PEMin,Scenarios1[[#This Row],[PE]]&lt;=PEMax)</f>
        <v>1</v>
      </c>
      <c r="S132" s="71" t="b">
        <f>Scenarios1[[#This Row],[Liquid Assets]]&gt;=LiquidMin</f>
        <v>1</v>
      </c>
      <c r="T132" s="71" t="b">
        <f>AND(Scenarios1[[#This Row],[Expected Return]]&gt;=ExpectedReturnMin,Scenarios1[[#This Row],[Expected Return]]&lt;=ExpectedReturnMax)</f>
        <v>0</v>
      </c>
      <c r="U132" s="71" t="b">
        <f>Scenarios1[[#This Row],[Max Drawdown]]&gt;=DrawdownMax</f>
        <v>1</v>
      </c>
      <c r="V13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32" s="46">
        <f>_xlfn.XLOOKUP(Scenarios1[[#This Row],[Reference '#]],ScenariosCombined[Reference '#],ScenariosCombined[Sharpe Rank])</f>
        <v>112</v>
      </c>
      <c r="X132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3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25/25/10/25/15</v>
      </c>
      <c r="Z132" t="str">
        <f>Scenarios1[[#This Row],[Sharpe Rank]]</f>
        <v/>
      </c>
      <c r="AA132" t="str">
        <f>_xlfn.XLOOKUP(Scenarios1[[#This Row],[Reference '#]],Scenarios2[Reference '#],Scenarios2[Sharpe Rank])</f>
        <v/>
      </c>
      <c r="AB132">
        <f>_xlfn.XLOOKUP(Scenarios1[[#This Row],[Reference '#]],Scenarios3[Reference '#],Scenarios3[Sharpe Rank])</f>
        <v>109</v>
      </c>
      <c r="AG132"/>
      <c r="AK132" s="15"/>
    </row>
    <row r="133" spans="2:37" x14ac:dyDescent="0.2">
      <c r="B133" s="71">
        <v>123</v>
      </c>
      <c r="C133" s="69">
        <v>0.25</v>
      </c>
      <c r="D133" s="69">
        <v>0.25</v>
      </c>
      <c r="E133" s="69">
        <v>0.1</v>
      </c>
      <c r="F133" s="69">
        <v>0.2</v>
      </c>
      <c r="G133" s="69">
        <v>0.2</v>
      </c>
      <c r="H133" s="69">
        <f>SUMPRODUCT(Scenarios1[[#This Row],[SPY]:[PE]],_xlfn.TOROW(AssetSpecsScenario1[Annualized Return]))</f>
        <v>7.3339985513509384E-2</v>
      </c>
      <c r="I133" s="69" cm="1">
        <f t="array" ref="I133">SQRT(MMULT(MMULT(Scenarios1[[#This Row],[SPY]:[PE]], 'Corr_Cov 36- Month'!$J$13:$N$17), TRANSPOSE(Scenarios1[[#This Row],[SPY]:[PE]])))</f>
        <v>7.7902708449639882E-2</v>
      </c>
      <c r="J133" s="70">
        <f>(Scenarios1[[#This Row],[Expected Return]]-RiskFree)/Scenarios1[[#This Row],[36M Vol]]</f>
        <v>0.338042546684724</v>
      </c>
      <c r="K133" s="107" cm="1">
        <f t="array" ref="K133">MIN(_xlfn._xlws.FILTER(PortfolioFrontier[#Data],(PortfolioFrontier[#Headers]="P"&amp;Scenarios1[[#This Row],[Reference '#]]&amp;" DD")))</f>
        <v>-0.16569663106198762</v>
      </c>
      <c r="L133" s="69">
        <f>SUM(Scenarios1[[#This Row],[SPY]:[VNQ]])</f>
        <v>0.8</v>
      </c>
      <c r="M133" s="69">
        <f>SUM(Scenarios1[[#This Row],[SPY]:[PE]])</f>
        <v>1</v>
      </c>
      <c r="N133" s="71" t="b">
        <f>Scenarios1[[#This Row],[SPY]]&gt;=SpyMin</f>
        <v>1</v>
      </c>
      <c r="O133" s="71" t="b">
        <f>Scenarios1[[#This Row],[AGG]]&gt;=AGGMin</f>
        <v>1</v>
      </c>
      <c r="P133" s="71" t="b">
        <f>AND(Scenarios1[[#This Row],[GLD]]&gt;=GLDMin,Scenarios1[[#This Row],[GLD]]&lt;=GLDMax)</f>
        <v>1</v>
      </c>
      <c r="Q133" s="71" t="b">
        <f>Scenarios1[[#This Row],[VNQ]]&gt;=VNQMin</f>
        <v>1</v>
      </c>
      <c r="R133" s="71" t="b">
        <f>AND(Scenarios1[[#This Row],[PE]]&gt;=PEMin,Scenarios1[[#This Row],[PE]]&lt;=PEMax)</f>
        <v>1</v>
      </c>
      <c r="S133" s="71" t="b">
        <f>Scenarios1[[#This Row],[Liquid Assets]]&gt;=LiquidMin</f>
        <v>1</v>
      </c>
      <c r="T133" s="71" t="b">
        <f>AND(Scenarios1[[#This Row],[Expected Return]]&gt;=ExpectedReturnMin,Scenarios1[[#This Row],[Expected Return]]&lt;=ExpectedReturnMax)</f>
        <v>0</v>
      </c>
      <c r="U133" s="71" t="b">
        <f>Scenarios1[[#This Row],[Max Drawdown]]&gt;=DrawdownMax</f>
        <v>1</v>
      </c>
      <c r="V13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33" s="46">
        <f>_xlfn.XLOOKUP(Scenarios1[[#This Row],[Reference '#]],ScenariosCombined[Reference '#],ScenariosCombined[Sharpe Rank])</f>
        <v>101</v>
      </c>
      <c r="X133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3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25/25/10/20/20</v>
      </c>
      <c r="Z133" t="str">
        <f>Scenarios1[[#This Row],[Sharpe Rank]]</f>
        <v/>
      </c>
      <c r="AA133" t="str">
        <f>_xlfn.XLOOKUP(Scenarios1[[#This Row],[Reference '#]],Scenarios2[Reference '#],Scenarios2[Sharpe Rank])</f>
        <v/>
      </c>
      <c r="AB133">
        <f>_xlfn.XLOOKUP(Scenarios1[[#This Row],[Reference '#]],Scenarios3[Reference '#],Scenarios3[Sharpe Rank])</f>
        <v>92</v>
      </c>
      <c r="AG133"/>
      <c r="AK133" s="15"/>
    </row>
    <row r="134" spans="2:37" x14ac:dyDescent="0.2">
      <c r="B134" s="71">
        <v>124</v>
      </c>
      <c r="C134" s="69">
        <v>0.25</v>
      </c>
      <c r="D134" s="69">
        <v>0.2</v>
      </c>
      <c r="E134" s="69">
        <v>0.2</v>
      </c>
      <c r="F134" s="69">
        <v>0.25</v>
      </c>
      <c r="G134" s="69">
        <v>0.1</v>
      </c>
      <c r="H134" s="69">
        <f>SUMPRODUCT(Scenarios1[[#This Row],[SPY]:[PE]],_xlfn.TOROW(AssetSpecsScenario1[Annualized Return]))</f>
        <v>8.3126110739429687E-2</v>
      </c>
      <c r="I134" s="69" cm="1">
        <f t="array" ref="I134">SQRT(MMULT(MMULT(Scenarios1[[#This Row],[SPY]:[PE]], 'Corr_Cov 36- Month'!$J$13:$N$17), TRANSPOSE(Scenarios1[[#This Row],[SPY]:[PE]])))</f>
        <v>8.8221131984307727E-2</v>
      </c>
      <c r="J134" s="70">
        <f>(Scenarios1[[#This Row],[Expected Return]]-RiskFree)/Scenarios1[[#This Row],[36M Vol]]</f>
        <v>0.40943200763167553</v>
      </c>
      <c r="K134" s="107" cm="1">
        <f t="array" ref="K134">MIN(_xlfn._xlws.FILTER(PortfolioFrontier[#Data],(PortfolioFrontier[#Headers]="P"&amp;Scenarios1[[#This Row],[Reference '#]]&amp;" DD")))</f>
        <v>-0.18195764054702612</v>
      </c>
      <c r="L134" s="69">
        <f>SUM(Scenarios1[[#This Row],[SPY]:[VNQ]])</f>
        <v>0.9</v>
      </c>
      <c r="M134" s="69">
        <f>SUM(Scenarios1[[#This Row],[SPY]:[PE]])</f>
        <v>1</v>
      </c>
      <c r="N134" s="71" t="b">
        <f>Scenarios1[[#This Row],[SPY]]&gt;=SpyMin</f>
        <v>1</v>
      </c>
      <c r="O134" s="71" t="b">
        <f>Scenarios1[[#This Row],[AGG]]&gt;=AGGMin</f>
        <v>1</v>
      </c>
      <c r="P134" s="71" t="b">
        <f>AND(Scenarios1[[#This Row],[GLD]]&gt;=GLDMin,Scenarios1[[#This Row],[GLD]]&lt;=GLDMax)</f>
        <v>1</v>
      </c>
      <c r="Q134" s="71" t="b">
        <f>Scenarios1[[#This Row],[VNQ]]&gt;=VNQMin</f>
        <v>1</v>
      </c>
      <c r="R134" s="71" t="b">
        <f>AND(Scenarios1[[#This Row],[PE]]&gt;=PEMin,Scenarios1[[#This Row],[PE]]&lt;=PEMax)</f>
        <v>1</v>
      </c>
      <c r="S134" s="71" t="b">
        <f>Scenarios1[[#This Row],[Liquid Assets]]&gt;=LiquidMin</f>
        <v>1</v>
      </c>
      <c r="T134" s="71" t="b">
        <f>AND(Scenarios1[[#This Row],[Expected Return]]&gt;=ExpectedReturnMin,Scenarios1[[#This Row],[Expected Return]]&lt;=ExpectedReturnMax)</f>
        <v>1</v>
      </c>
      <c r="U134" s="71" t="b">
        <f>Scenarios1[[#This Row],[Max Drawdown]]&gt;=DrawdownMax</f>
        <v>1</v>
      </c>
      <c r="V13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34" s="46">
        <f>_xlfn.XLOOKUP(Scenarios1[[#This Row],[Reference '#]],ScenariosCombined[Reference '#],ScenariosCombined[Sharpe Rank])</f>
        <v>86</v>
      </c>
      <c r="X134" s="71">
        <f>IF(Scenarios1[[#This Row],[Eligible]],COUNTIFS(Scenarios1[Sharpe],"&gt;"&amp;Scenarios1[[#This Row],[Sharpe]],Scenarios1[Eligible],TRUE())+COUNTIFS(Scenarios1[Sharpe],Scenarios1[[#This Row],[Sharpe]],Scenarios1[Eligible],TRUE()),"")</f>
        <v>86</v>
      </c>
      <c r="Y13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25/20/20/25/10</v>
      </c>
      <c r="Z134">
        <f>Scenarios1[[#This Row],[Sharpe Rank]]</f>
        <v>86</v>
      </c>
      <c r="AA134">
        <f>_xlfn.XLOOKUP(Scenarios1[[#This Row],[Reference '#]],Scenarios2[Reference '#],Scenarios2[Sharpe Rank])</f>
        <v>85</v>
      </c>
      <c r="AB134">
        <f>_xlfn.XLOOKUP(Scenarios1[[#This Row],[Reference '#]],Scenarios3[Reference '#],Scenarios3[Sharpe Rank])</f>
        <v>81</v>
      </c>
      <c r="AG134"/>
      <c r="AK134" s="15"/>
    </row>
    <row r="135" spans="2:37" x14ac:dyDescent="0.2">
      <c r="B135" s="71">
        <v>125</v>
      </c>
      <c r="C135" s="69">
        <v>0.25</v>
      </c>
      <c r="D135" s="69">
        <v>0.2</v>
      </c>
      <c r="E135" s="69">
        <v>0.2</v>
      </c>
      <c r="F135" s="69">
        <v>0.2</v>
      </c>
      <c r="G135" s="69">
        <v>0.15</v>
      </c>
      <c r="H135" s="69">
        <f>SUMPRODUCT(Scenarios1[[#This Row],[SPY]:[PE]],_xlfn.TOROW(AssetSpecsScenario1[Annualized Return]))</f>
        <v>8.3016636700627297E-2</v>
      </c>
      <c r="I135" s="69" cm="1">
        <f t="array" ref="I135">SQRT(MMULT(MMULT(Scenarios1[[#This Row],[SPY]:[PE]], 'Corr_Cov 36- Month'!$J$13:$N$17), TRANSPOSE(Scenarios1[[#This Row],[SPY]:[PE]])))</f>
        <v>8.0394552377853243E-2</v>
      </c>
      <c r="J135" s="70">
        <f>(Scenarios1[[#This Row],[Expected Return]]-RiskFree)/Scenarios1[[#This Row],[36M Vol]]</f>
        <v>0.44792936934109889</v>
      </c>
      <c r="K135" s="107" cm="1">
        <f t="array" ref="K135">MIN(_xlfn._xlws.FILTER(PortfolioFrontier[#Data],(PortfolioFrontier[#Headers]="P"&amp;Scenarios1[[#This Row],[Reference '#]]&amp;" DD")))</f>
        <v>-0.16751350913162655</v>
      </c>
      <c r="L135" s="69">
        <f>SUM(Scenarios1[[#This Row],[SPY]:[VNQ]])</f>
        <v>0.85000000000000009</v>
      </c>
      <c r="M135" s="69">
        <f>SUM(Scenarios1[[#This Row],[SPY]:[PE]])</f>
        <v>1</v>
      </c>
      <c r="N135" s="71" t="b">
        <f>Scenarios1[[#This Row],[SPY]]&gt;=SpyMin</f>
        <v>1</v>
      </c>
      <c r="O135" s="71" t="b">
        <f>Scenarios1[[#This Row],[AGG]]&gt;=AGGMin</f>
        <v>1</v>
      </c>
      <c r="P135" s="71" t="b">
        <f>AND(Scenarios1[[#This Row],[GLD]]&gt;=GLDMin,Scenarios1[[#This Row],[GLD]]&lt;=GLDMax)</f>
        <v>1</v>
      </c>
      <c r="Q135" s="71" t="b">
        <f>Scenarios1[[#This Row],[VNQ]]&gt;=VNQMin</f>
        <v>1</v>
      </c>
      <c r="R135" s="71" t="b">
        <f>AND(Scenarios1[[#This Row],[PE]]&gt;=PEMin,Scenarios1[[#This Row],[PE]]&lt;=PEMax)</f>
        <v>1</v>
      </c>
      <c r="S135" s="71" t="b">
        <f>Scenarios1[[#This Row],[Liquid Assets]]&gt;=LiquidMin</f>
        <v>1</v>
      </c>
      <c r="T135" s="71" t="b">
        <f>AND(Scenarios1[[#This Row],[Expected Return]]&gt;=ExpectedReturnMin,Scenarios1[[#This Row],[Expected Return]]&lt;=ExpectedReturnMax)</f>
        <v>1</v>
      </c>
      <c r="U135" s="71" t="b">
        <f>Scenarios1[[#This Row],[Max Drawdown]]&gt;=DrawdownMax</f>
        <v>1</v>
      </c>
      <c r="V13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35" s="46">
        <f>_xlfn.XLOOKUP(Scenarios1[[#This Row],[Reference '#]],ScenariosCombined[Reference '#],ScenariosCombined[Sharpe Rank])</f>
        <v>62</v>
      </c>
      <c r="X135" s="71">
        <f>IF(Scenarios1[[#This Row],[Eligible]],COUNTIFS(Scenarios1[Sharpe],"&gt;"&amp;Scenarios1[[#This Row],[Sharpe]],Scenarios1[Eligible],TRUE())+COUNTIFS(Scenarios1[Sharpe],Scenarios1[[#This Row],[Sharpe]],Scenarios1[Eligible],TRUE()),"")</f>
        <v>64</v>
      </c>
      <c r="Y13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25/20/20/20/15</v>
      </c>
      <c r="Z135">
        <f>Scenarios1[[#This Row],[Sharpe Rank]]</f>
        <v>64</v>
      </c>
      <c r="AA135">
        <f>_xlfn.XLOOKUP(Scenarios1[[#This Row],[Reference '#]],Scenarios2[Reference '#],Scenarios2[Sharpe Rank])</f>
        <v>62</v>
      </c>
      <c r="AB135">
        <f>_xlfn.XLOOKUP(Scenarios1[[#This Row],[Reference '#]],Scenarios3[Reference '#],Scenarios3[Sharpe Rank])</f>
        <v>55</v>
      </c>
      <c r="AG135"/>
      <c r="AK135" s="15"/>
    </row>
    <row r="136" spans="2:37" x14ac:dyDescent="0.2">
      <c r="B136" s="71">
        <v>126</v>
      </c>
      <c r="C136" s="69">
        <v>0.25</v>
      </c>
      <c r="D136" s="69">
        <v>0.2</v>
      </c>
      <c r="E136" s="69">
        <v>0.2</v>
      </c>
      <c r="F136" s="69">
        <v>0.15</v>
      </c>
      <c r="G136" s="69">
        <v>0.2</v>
      </c>
      <c r="H136" s="69">
        <f>SUMPRODUCT(Scenarios1[[#This Row],[SPY]:[PE]],_xlfn.TOROW(AssetSpecsScenario1[Annualized Return]))</f>
        <v>8.2907162661824907E-2</v>
      </c>
      <c r="I136" s="69" cm="1">
        <f t="array" ref="I136">SQRT(MMULT(MMULT(Scenarios1[[#This Row],[SPY]:[PE]], 'Corr_Cov 36- Month'!$J$13:$N$17), TRANSPOSE(Scenarios1[[#This Row],[SPY]:[PE]])))</f>
        <v>7.2991122177908818E-2</v>
      </c>
      <c r="J136" s="70">
        <f>(Scenarios1[[#This Row],[Expected Return]]-RiskFree)/Scenarios1[[#This Row],[36M Vol]]</f>
        <v>0.49186265445765653</v>
      </c>
      <c r="K136" s="107" cm="1">
        <f t="array" ref="K136">MIN(_xlfn._xlws.FILTER(PortfolioFrontier[#Data],(PortfolioFrontier[#Headers]="P"&amp;Scenarios1[[#This Row],[Reference '#]]&amp;" DD")))</f>
        <v>-0.15295446198227591</v>
      </c>
      <c r="L136" s="69">
        <f>SUM(Scenarios1[[#This Row],[SPY]:[VNQ]])</f>
        <v>0.8</v>
      </c>
      <c r="M136" s="69">
        <f>SUM(Scenarios1[[#This Row],[SPY]:[PE]])</f>
        <v>1</v>
      </c>
      <c r="N136" s="71" t="b">
        <f>Scenarios1[[#This Row],[SPY]]&gt;=SpyMin</f>
        <v>1</v>
      </c>
      <c r="O136" s="71" t="b">
        <f>Scenarios1[[#This Row],[AGG]]&gt;=AGGMin</f>
        <v>1</v>
      </c>
      <c r="P136" s="71" t="b">
        <f>AND(Scenarios1[[#This Row],[GLD]]&gt;=GLDMin,Scenarios1[[#This Row],[GLD]]&lt;=GLDMax)</f>
        <v>1</v>
      </c>
      <c r="Q136" s="71" t="b">
        <f>Scenarios1[[#This Row],[VNQ]]&gt;=VNQMin</f>
        <v>1</v>
      </c>
      <c r="R136" s="71" t="b">
        <f>AND(Scenarios1[[#This Row],[PE]]&gt;=PEMin,Scenarios1[[#This Row],[PE]]&lt;=PEMax)</f>
        <v>1</v>
      </c>
      <c r="S136" s="71" t="b">
        <f>Scenarios1[[#This Row],[Liquid Assets]]&gt;=LiquidMin</f>
        <v>1</v>
      </c>
      <c r="T136" s="71" t="b">
        <f>AND(Scenarios1[[#This Row],[Expected Return]]&gt;=ExpectedReturnMin,Scenarios1[[#This Row],[Expected Return]]&lt;=ExpectedReturnMax)</f>
        <v>1</v>
      </c>
      <c r="U136" s="71" t="b">
        <f>Scenarios1[[#This Row],[Max Drawdown]]&gt;=DrawdownMax</f>
        <v>1</v>
      </c>
      <c r="V13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36" s="46">
        <f>_xlfn.XLOOKUP(Scenarios1[[#This Row],[Reference '#]],ScenariosCombined[Reference '#],ScenariosCombined[Sharpe Rank])</f>
        <v>39</v>
      </c>
      <c r="X136" s="71">
        <f>IF(Scenarios1[[#This Row],[Eligible]],COUNTIFS(Scenarios1[Sharpe],"&gt;"&amp;Scenarios1[[#This Row],[Sharpe]],Scenarios1[Eligible],TRUE())+COUNTIFS(Scenarios1[Sharpe],Scenarios1[[#This Row],[Sharpe]],Scenarios1[Eligible],TRUE()),"")</f>
        <v>46</v>
      </c>
      <c r="Y13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25/20/20/15/20</v>
      </c>
      <c r="Z136">
        <f>Scenarios1[[#This Row],[Sharpe Rank]]</f>
        <v>46</v>
      </c>
      <c r="AA136">
        <f>_xlfn.XLOOKUP(Scenarios1[[#This Row],[Reference '#]],Scenarios2[Reference '#],Scenarios2[Sharpe Rank])</f>
        <v>42</v>
      </c>
      <c r="AB136">
        <f>_xlfn.XLOOKUP(Scenarios1[[#This Row],[Reference '#]],Scenarios3[Reference '#],Scenarios3[Sharpe Rank])</f>
        <v>25</v>
      </c>
      <c r="AG136"/>
      <c r="AK136" s="15"/>
    </row>
    <row r="137" spans="2:37" x14ac:dyDescent="0.2">
      <c r="B137" s="71">
        <v>127</v>
      </c>
      <c r="C137" s="69">
        <v>0.25</v>
      </c>
      <c r="D137" s="69">
        <v>0.2</v>
      </c>
      <c r="E137" s="69">
        <v>0.15</v>
      </c>
      <c r="F137" s="69">
        <v>0.3</v>
      </c>
      <c r="G137" s="69">
        <v>0.1</v>
      </c>
      <c r="H137" s="69">
        <f>SUMPRODUCT(Scenarios1[[#This Row],[SPY]:[PE]],_xlfn.TOROW(AssetSpecsScenario1[Annualized Return]))</f>
        <v>7.9134391838353663E-2</v>
      </c>
      <c r="I137" s="69" cm="1">
        <f t="array" ref="I137">SQRT(MMULT(MMULT(Scenarios1[[#This Row],[SPY]:[PE]], 'Corr_Cov 36- Month'!$J$13:$N$17), TRANSPOSE(Scenarios1[[#This Row],[SPY]:[PE]])))</f>
        <v>9.3554842778208525E-2</v>
      </c>
      <c r="J137" s="70">
        <f>(Scenarios1[[#This Row],[Expected Return]]-RiskFree)/Scenarios1[[#This Row],[36M Vol]]</f>
        <v>0.34342248170911144</v>
      </c>
      <c r="K137" s="107" cm="1">
        <f t="array" ref="K137">MIN(_xlfn._xlws.FILTER(PortfolioFrontier[#Data],(PortfolioFrontier[#Headers]="P"&amp;Scenarios1[[#This Row],[Reference '#]]&amp;" DD")))</f>
        <v>-0.19209090006663587</v>
      </c>
      <c r="L137" s="69">
        <f>SUM(Scenarios1[[#This Row],[SPY]:[VNQ]])</f>
        <v>0.89999999999999991</v>
      </c>
      <c r="M137" s="69">
        <f>SUM(Scenarios1[[#This Row],[SPY]:[PE]])</f>
        <v>0.99999999999999989</v>
      </c>
      <c r="N137" s="71" t="b">
        <f>Scenarios1[[#This Row],[SPY]]&gt;=SpyMin</f>
        <v>1</v>
      </c>
      <c r="O137" s="71" t="b">
        <f>Scenarios1[[#This Row],[AGG]]&gt;=AGGMin</f>
        <v>1</v>
      </c>
      <c r="P137" s="71" t="b">
        <f>AND(Scenarios1[[#This Row],[GLD]]&gt;=GLDMin,Scenarios1[[#This Row],[GLD]]&lt;=GLDMax)</f>
        <v>1</v>
      </c>
      <c r="Q137" s="71" t="b">
        <f>Scenarios1[[#This Row],[VNQ]]&gt;=VNQMin</f>
        <v>1</v>
      </c>
      <c r="R137" s="71" t="b">
        <f>AND(Scenarios1[[#This Row],[PE]]&gt;=PEMin,Scenarios1[[#This Row],[PE]]&lt;=PEMax)</f>
        <v>1</v>
      </c>
      <c r="S137" s="71" t="b">
        <f>Scenarios1[[#This Row],[Liquid Assets]]&gt;=LiquidMin</f>
        <v>1</v>
      </c>
      <c r="T137" s="71" t="b">
        <f>AND(Scenarios1[[#This Row],[Expected Return]]&gt;=ExpectedReturnMin,Scenarios1[[#This Row],[Expected Return]]&lt;=ExpectedReturnMax)</f>
        <v>1</v>
      </c>
      <c r="U137" s="71" t="b">
        <f>Scenarios1[[#This Row],[Max Drawdown]]&gt;=DrawdownMax</f>
        <v>1</v>
      </c>
      <c r="V13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37" s="46">
        <f>_xlfn.XLOOKUP(Scenarios1[[#This Row],[Reference '#]],ScenariosCombined[Reference '#],ScenariosCombined[Sharpe Rank])</f>
        <v>110</v>
      </c>
      <c r="X137" s="71">
        <f>IF(Scenarios1[[#This Row],[Eligible]],COUNTIFS(Scenarios1[Sharpe],"&gt;"&amp;Scenarios1[[#This Row],[Sharpe]],Scenarios1[Eligible],TRUE())+COUNTIFS(Scenarios1[Sharpe],Scenarios1[[#This Row],[Sharpe]],Scenarios1[Eligible],TRUE()),"")</f>
        <v>106</v>
      </c>
      <c r="Y13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25/20/15/30/10</v>
      </c>
      <c r="Z137">
        <f>Scenarios1[[#This Row],[Sharpe Rank]]</f>
        <v>106</v>
      </c>
      <c r="AA137">
        <f>_xlfn.XLOOKUP(Scenarios1[[#This Row],[Reference '#]],Scenarios2[Reference '#],Scenarios2[Sharpe Rank])</f>
        <v>105</v>
      </c>
      <c r="AB137">
        <f>_xlfn.XLOOKUP(Scenarios1[[#This Row],[Reference '#]],Scenarios3[Reference '#],Scenarios3[Sharpe Rank])</f>
        <v>105</v>
      </c>
      <c r="AG137"/>
      <c r="AK137" s="15"/>
    </row>
    <row r="138" spans="2:37" x14ac:dyDescent="0.2">
      <c r="B138" s="71">
        <v>128</v>
      </c>
      <c r="C138" s="69">
        <v>0.25</v>
      </c>
      <c r="D138" s="69">
        <v>0.2</v>
      </c>
      <c r="E138" s="69">
        <v>0.15</v>
      </c>
      <c r="F138" s="69">
        <v>0.25</v>
      </c>
      <c r="G138" s="69">
        <v>0.15</v>
      </c>
      <c r="H138" s="69">
        <f>SUMPRODUCT(Scenarios1[[#This Row],[SPY]:[PE]],_xlfn.TOROW(AssetSpecsScenario1[Annualized Return]))</f>
        <v>7.9024917799551272E-2</v>
      </c>
      <c r="I138" s="69" cm="1">
        <f t="array" ref="I138">SQRT(MMULT(MMULT(Scenarios1[[#This Row],[SPY]:[PE]], 'Corr_Cov 36- Month'!$J$13:$N$17), TRANSPOSE(Scenarios1[[#This Row],[SPY]:[PE]])))</f>
        <v>8.5453208050162058E-2</v>
      </c>
      <c r="J138" s="70">
        <f>(Scenarios1[[#This Row],[Expected Return]]-RiskFree)/Scenarios1[[#This Row],[36M Vol]]</f>
        <v>0.37470052879933979</v>
      </c>
      <c r="K138" s="107" cm="1">
        <f t="array" ref="K138">MIN(_xlfn._xlws.FILTER(PortfolioFrontier[#Data],(PortfolioFrontier[#Headers]="P"&amp;Scenarios1[[#This Row],[Reference '#]]&amp;" DD")))</f>
        <v>-0.17771921926106304</v>
      </c>
      <c r="L138" s="69">
        <f>SUM(Scenarios1[[#This Row],[SPY]:[VNQ]])</f>
        <v>0.85</v>
      </c>
      <c r="M138" s="69">
        <f>SUM(Scenarios1[[#This Row],[SPY]:[PE]])</f>
        <v>1</v>
      </c>
      <c r="N138" s="71" t="b">
        <f>Scenarios1[[#This Row],[SPY]]&gt;=SpyMin</f>
        <v>1</v>
      </c>
      <c r="O138" s="71" t="b">
        <f>Scenarios1[[#This Row],[AGG]]&gt;=AGGMin</f>
        <v>1</v>
      </c>
      <c r="P138" s="71" t="b">
        <f>AND(Scenarios1[[#This Row],[GLD]]&gt;=GLDMin,Scenarios1[[#This Row],[GLD]]&lt;=GLDMax)</f>
        <v>1</v>
      </c>
      <c r="Q138" s="71" t="b">
        <f>Scenarios1[[#This Row],[VNQ]]&gt;=VNQMin</f>
        <v>1</v>
      </c>
      <c r="R138" s="71" t="b">
        <f>AND(Scenarios1[[#This Row],[PE]]&gt;=PEMin,Scenarios1[[#This Row],[PE]]&lt;=PEMax)</f>
        <v>1</v>
      </c>
      <c r="S138" s="71" t="b">
        <f>Scenarios1[[#This Row],[Liquid Assets]]&gt;=LiquidMin</f>
        <v>1</v>
      </c>
      <c r="T138" s="71" t="b">
        <f>AND(Scenarios1[[#This Row],[Expected Return]]&gt;=ExpectedReturnMin,Scenarios1[[#This Row],[Expected Return]]&lt;=ExpectedReturnMax)</f>
        <v>1</v>
      </c>
      <c r="U138" s="71" t="b">
        <f>Scenarios1[[#This Row],[Max Drawdown]]&gt;=DrawdownMax</f>
        <v>1</v>
      </c>
      <c r="V13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38" s="46">
        <f>_xlfn.XLOOKUP(Scenarios1[[#This Row],[Reference '#]],ScenariosCombined[Reference '#],ScenariosCombined[Sharpe Rank])</f>
        <v>95</v>
      </c>
      <c r="X138" s="71">
        <f>IF(Scenarios1[[#This Row],[Eligible]],COUNTIFS(Scenarios1[Sharpe],"&gt;"&amp;Scenarios1[[#This Row],[Sharpe]],Scenarios1[Eligible],TRUE())+COUNTIFS(Scenarios1[Sharpe],Scenarios1[[#This Row],[Sharpe]],Scenarios1[Eligible],TRUE()),"")</f>
        <v>97</v>
      </c>
      <c r="Y13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25/20/15/25/15</v>
      </c>
      <c r="Z138">
        <f>Scenarios1[[#This Row],[Sharpe Rank]]</f>
        <v>97</v>
      </c>
      <c r="AA138">
        <f>_xlfn.XLOOKUP(Scenarios1[[#This Row],[Reference '#]],Scenarios2[Reference '#],Scenarios2[Sharpe Rank])</f>
        <v>96</v>
      </c>
      <c r="AB138">
        <f>_xlfn.XLOOKUP(Scenarios1[[#This Row],[Reference '#]],Scenarios3[Reference '#],Scenarios3[Sharpe Rank])</f>
        <v>88</v>
      </c>
      <c r="AG138"/>
      <c r="AK138" s="15"/>
    </row>
    <row r="139" spans="2:37" x14ac:dyDescent="0.2">
      <c r="B139" s="71">
        <v>129</v>
      </c>
      <c r="C139" s="69">
        <v>0.25</v>
      </c>
      <c r="D139" s="69">
        <v>0.2</v>
      </c>
      <c r="E139" s="69">
        <v>0.15</v>
      </c>
      <c r="F139" s="69">
        <v>0.2</v>
      </c>
      <c r="G139" s="69">
        <v>0.2</v>
      </c>
      <c r="H139" s="69">
        <f>SUMPRODUCT(Scenarios1[[#This Row],[SPY]:[PE]],_xlfn.TOROW(AssetSpecsScenario1[Annualized Return]))</f>
        <v>7.8915443760748882E-2</v>
      </c>
      <c r="I139" s="69" cm="1">
        <f t="array" ref="I139">SQRT(MMULT(MMULT(Scenarios1[[#This Row],[SPY]:[PE]], 'Corr_Cov 36- Month'!$J$13:$N$17), TRANSPOSE(Scenarios1[[#This Row],[SPY]:[PE]])))</f>
        <v>7.7692321796851524E-2</v>
      </c>
      <c r="J139" s="70">
        <f>(Scenarios1[[#This Row],[Expected Return]]-RiskFree)/Scenarios1[[#This Row],[36M Vol]]</f>
        <v>0.41072125877034193</v>
      </c>
      <c r="K139" s="107" cm="1">
        <f t="array" ref="K139">MIN(_xlfn._xlws.FILTER(PortfolioFrontier[#Data],(PortfolioFrontier[#Headers]="P"&amp;Scenarios1[[#This Row],[Reference '#]]&amp;" DD")))</f>
        <v>-0.16323092705506337</v>
      </c>
      <c r="L139" s="69">
        <f>SUM(Scenarios1[[#This Row],[SPY]:[VNQ]])</f>
        <v>0.8</v>
      </c>
      <c r="M139" s="69">
        <f>SUM(Scenarios1[[#This Row],[SPY]:[PE]])</f>
        <v>1</v>
      </c>
      <c r="N139" s="71" t="b">
        <f>Scenarios1[[#This Row],[SPY]]&gt;=SpyMin</f>
        <v>1</v>
      </c>
      <c r="O139" s="71" t="b">
        <f>Scenarios1[[#This Row],[AGG]]&gt;=AGGMin</f>
        <v>1</v>
      </c>
      <c r="P139" s="71" t="b">
        <f>AND(Scenarios1[[#This Row],[GLD]]&gt;=GLDMin,Scenarios1[[#This Row],[GLD]]&lt;=GLDMax)</f>
        <v>1</v>
      </c>
      <c r="Q139" s="71" t="b">
        <f>Scenarios1[[#This Row],[VNQ]]&gt;=VNQMin</f>
        <v>1</v>
      </c>
      <c r="R139" s="71" t="b">
        <f>AND(Scenarios1[[#This Row],[PE]]&gt;=PEMin,Scenarios1[[#This Row],[PE]]&lt;=PEMax)</f>
        <v>1</v>
      </c>
      <c r="S139" s="71" t="b">
        <f>Scenarios1[[#This Row],[Liquid Assets]]&gt;=LiquidMin</f>
        <v>1</v>
      </c>
      <c r="T139" s="71" t="b">
        <f>AND(Scenarios1[[#This Row],[Expected Return]]&gt;=ExpectedReturnMin,Scenarios1[[#This Row],[Expected Return]]&lt;=ExpectedReturnMax)</f>
        <v>1</v>
      </c>
      <c r="U139" s="71" t="b">
        <f>Scenarios1[[#This Row],[Max Drawdown]]&gt;=DrawdownMax</f>
        <v>1</v>
      </c>
      <c r="V13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39" s="46">
        <f>_xlfn.XLOOKUP(Scenarios1[[#This Row],[Reference '#]],ScenariosCombined[Reference '#],ScenariosCombined[Sharpe Rank])</f>
        <v>75</v>
      </c>
      <c r="X139" s="71">
        <f>IF(Scenarios1[[#This Row],[Eligible]],COUNTIFS(Scenarios1[Sharpe],"&gt;"&amp;Scenarios1[[#This Row],[Sharpe]],Scenarios1[Eligible],TRUE())+COUNTIFS(Scenarios1[Sharpe],Scenarios1[[#This Row],[Sharpe]],Scenarios1[Eligible],TRUE()),"")</f>
        <v>84</v>
      </c>
      <c r="Y13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25/20/15/20/20</v>
      </c>
      <c r="Z139">
        <f>Scenarios1[[#This Row],[Sharpe Rank]]</f>
        <v>84</v>
      </c>
      <c r="AA139">
        <f>_xlfn.XLOOKUP(Scenarios1[[#This Row],[Reference '#]],Scenarios2[Reference '#],Scenarios2[Sharpe Rank])</f>
        <v>79</v>
      </c>
      <c r="AB139">
        <f>_xlfn.XLOOKUP(Scenarios1[[#This Row],[Reference '#]],Scenarios3[Reference '#],Scenarios3[Sharpe Rank])</f>
        <v>62</v>
      </c>
      <c r="AG139"/>
      <c r="AK139" s="15"/>
    </row>
    <row r="140" spans="2:37" x14ac:dyDescent="0.2">
      <c r="B140" s="71">
        <v>130</v>
      </c>
      <c r="C140" s="69">
        <v>0.25</v>
      </c>
      <c r="D140" s="69">
        <v>0.2</v>
      </c>
      <c r="E140" s="69">
        <v>0.1</v>
      </c>
      <c r="F140" s="69">
        <v>0.35</v>
      </c>
      <c r="G140" s="69">
        <v>0.1</v>
      </c>
      <c r="H140" s="69">
        <f>SUMPRODUCT(Scenarios1[[#This Row],[SPY]:[PE]],_xlfn.TOROW(AssetSpecsScenario1[Annualized Return]))</f>
        <v>7.5142672937277638E-2</v>
      </c>
      <c r="I140" s="69" cm="1">
        <f t="array" ref="I140">SQRT(MMULT(MMULT(Scenarios1[[#This Row],[SPY]:[PE]], 'Corr_Cov 36- Month'!$J$13:$N$17), TRANSPOSE(Scenarios1[[#This Row],[SPY]:[PE]])))</f>
        <v>9.96317956413382E-2</v>
      </c>
      <c r="J140" s="70">
        <f>(Scenarios1[[#This Row],[Expected Return]]-RiskFree)/Scenarios1[[#This Row],[36M Vol]]</f>
        <v>0.28241102351514502</v>
      </c>
      <c r="K140" s="107" cm="1">
        <f t="array" ref="K140">MIN(_xlfn._xlws.FILTER(PortfolioFrontier[#Data],(PortfolioFrontier[#Headers]="P"&amp;Scenarios1[[#This Row],[Reference '#]]&amp;" DD")))</f>
        <v>-0.20219415117514361</v>
      </c>
      <c r="L140" s="69">
        <f>SUM(Scenarios1[[#This Row],[SPY]:[VNQ]])</f>
        <v>0.9</v>
      </c>
      <c r="M140" s="69">
        <f>SUM(Scenarios1[[#This Row],[SPY]:[PE]])</f>
        <v>1</v>
      </c>
      <c r="N140" s="71" t="b">
        <f>Scenarios1[[#This Row],[SPY]]&gt;=SpyMin</f>
        <v>1</v>
      </c>
      <c r="O140" s="71" t="b">
        <f>Scenarios1[[#This Row],[AGG]]&gt;=AGGMin</f>
        <v>1</v>
      </c>
      <c r="P140" s="71" t="b">
        <f>AND(Scenarios1[[#This Row],[GLD]]&gt;=GLDMin,Scenarios1[[#This Row],[GLD]]&lt;=GLDMax)</f>
        <v>1</v>
      </c>
      <c r="Q140" s="71" t="b">
        <f>Scenarios1[[#This Row],[VNQ]]&gt;=VNQMin</f>
        <v>1</v>
      </c>
      <c r="R140" s="71" t="b">
        <f>AND(Scenarios1[[#This Row],[PE]]&gt;=PEMin,Scenarios1[[#This Row],[PE]]&lt;=PEMax)</f>
        <v>1</v>
      </c>
      <c r="S140" s="71" t="b">
        <f>Scenarios1[[#This Row],[Liquid Assets]]&gt;=LiquidMin</f>
        <v>1</v>
      </c>
      <c r="T140" s="71" t="b">
        <f>AND(Scenarios1[[#This Row],[Expected Return]]&gt;=ExpectedReturnMin,Scenarios1[[#This Row],[Expected Return]]&lt;=ExpectedReturnMax)</f>
        <v>1</v>
      </c>
      <c r="U140" s="71" t="b">
        <f>Scenarios1[[#This Row],[Max Drawdown]]&gt;=DrawdownMax</f>
        <v>0</v>
      </c>
      <c r="V14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40" s="46" t="str">
        <f>_xlfn.XLOOKUP(Scenarios1[[#This Row],[Reference '#]],ScenariosCombined[Reference '#],ScenariosCombined[Sharpe Rank])</f>
        <v/>
      </c>
      <c r="X140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4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25/20/10/35/10</v>
      </c>
      <c r="Z140" t="str">
        <f>Scenarios1[[#This Row],[Sharpe Rank]]</f>
        <v/>
      </c>
      <c r="AA140" t="str">
        <f>_xlfn.XLOOKUP(Scenarios1[[#This Row],[Reference '#]],Scenarios2[Reference '#],Scenarios2[Sharpe Rank])</f>
        <v/>
      </c>
      <c r="AB140" t="str">
        <f>_xlfn.XLOOKUP(Scenarios1[[#This Row],[Reference '#]],Scenarios3[Reference '#],Scenarios3[Sharpe Rank])</f>
        <v/>
      </c>
      <c r="AG140"/>
      <c r="AK140" s="15"/>
    </row>
    <row r="141" spans="2:37" x14ac:dyDescent="0.2">
      <c r="B141" s="71">
        <v>131</v>
      </c>
      <c r="C141" s="69">
        <v>0.25</v>
      </c>
      <c r="D141" s="69">
        <v>0.2</v>
      </c>
      <c r="E141" s="69">
        <v>0.1</v>
      </c>
      <c r="F141" s="69">
        <v>0.3</v>
      </c>
      <c r="G141" s="69">
        <v>0.15</v>
      </c>
      <c r="H141" s="69">
        <f>SUMPRODUCT(Scenarios1[[#This Row],[SPY]:[PE]],_xlfn.TOROW(AssetSpecsScenario1[Annualized Return]))</f>
        <v>7.5033198898475248E-2</v>
      </c>
      <c r="I141" s="69" cm="1">
        <f t="array" ref="I141">SQRT(MMULT(MMULT(Scenarios1[[#This Row],[SPY]:[PE]], 'Corr_Cov 36- Month'!$J$13:$N$17), TRANSPOSE(Scenarios1[[#This Row],[SPY]:[PE]])))</f>
        <v>9.1354600852352072E-2</v>
      </c>
      <c r="J141" s="70">
        <f>(Scenarios1[[#This Row],[Expected Return]]-RiskFree)/Scenarios1[[#This Row],[36M Vol]]</f>
        <v>0.30680056703677316</v>
      </c>
      <c r="K141" s="107" cm="1">
        <f t="array" ref="K141">MIN(_xlfn._xlws.FILTER(PortfolioFrontier[#Data],(PortfolioFrontier[#Headers]="P"&amp;Scenarios1[[#This Row],[Reference '#]]&amp;" DD")))</f>
        <v>-0.18789657190822107</v>
      </c>
      <c r="L141" s="69">
        <f>SUM(Scenarios1[[#This Row],[SPY]:[VNQ]])</f>
        <v>0.85000000000000009</v>
      </c>
      <c r="M141" s="69">
        <f>SUM(Scenarios1[[#This Row],[SPY]:[PE]])</f>
        <v>1</v>
      </c>
      <c r="N141" s="71" t="b">
        <f>Scenarios1[[#This Row],[SPY]]&gt;=SpyMin</f>
        <v>1</v>
      </c>
      <c r="O141" s="71" t="b">
        <f>Scenarios1[[#This Row],[AGG]]&gt;=AGGMin</f>
        <v>1</v>
      </c>
      <c r="P141" s="71" t="b">
        <f>AND(Scenarios1[[#This Row],[GLD]]&gt;=GLDMin,Scenarios1[[#This Row],[GLD]]&lt;=GLDMax)</f>
        <v>1</v>
      </c>
      <c r="Q141" s="71" t="b">
        <f>Scenarios1[[#This Row],[VNQ]]&gt;=VNQMin</f>
        <v>1</v>
      </c>
      <c r="R141" s="71" t="b">
        <f>AND(Scenarios1[[#This Row],[PE]]&gt;=PEMin,Scenarios1[[#This Row],[PE]]&lt;=PEMax)</f>
        <v>1</v>
      </c>
      <c r="S141" s="71" t="b">
        <f>Scenarios1[[#This Row],[Liquid Assets]]&gt;=LiquidMin</f>
        <v>1</v>
      </c>
      <c r="T141" s="71" t="b">
        <f>AND(Scenarios1[[#This Row],[Expected Return]]&gt;=ExpectedReturnMin,Scenarios1[[#This Row],[Expected Return]]&lt;=ExpectedReturnMax)</f>
        <v>1</v>
      </c>
      <c r="U141" s="71" t="b">
        <f>Scenarios1[[#This Row],[Max Drawdown]]&gt;=DrawdownMax</f>
        <v>1</v>
      </c>
      <c r="V14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41" s="46">
        <f>_xlfn.XLOOKUP(Scenarios1[[#This Row],[Reference '#]],ScenariosCombined[Reference '#],ScenariosCombined[Sharpe Rank])</f>
        <v>113</v>
      </c>
      <c r="X141" s="71">
        <f>IF(Scenarios1[[#This Row],[Eligible]],COUNTIFS(Scenarios1[Sharpe],"&gt;"&amp;Scenarios1[[#This Row],[Sharpe]],Scenarios1[Eligible],TRUE())+COUNTIFS(Scenarios1[Sharpe],Scenarios1[[#This Row],[Sharpe]],Scenarios1[Eligible],TRUE()),"")</f>
        <v>109</v>
      </c>
      <c r="Y14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25/20/10/30/15</v>
      </c>
      <c r="Z141">
        <f>Scenarios1[[#This Row],[Sharpe Rank]]</f>
        <v>109</v>
      </c>
      <c r="AA141">
        <f>_xlfn.XLOOKUP(Scenarios1[[#This Row],[Reference '#]],Scenarios2[Reference '#],Scenarios2[Sharpe Rank])</f>
        <v>109</v>
      </c>
      <c r="AB141">
        <f>_xlfn.XLOOKUP(Scenarios1[[#This Row],[Reference '#]],Scenarios3[Reference '#],Scenarios3[Sharpe Rank])</f>
        <v>110</v>
      </c>
      <c r="AG141"/>
      <c r="AK141" s="15"/>
    </row>
    <row r="142" spans="2:37" x14ac:dyDescent="0.2">
      <c r="B142" s="71">
        <v>132</v>
      </c>
      <c r="C142" s="69">
        <v>0.25</v>
      </c>
      <c r="D142" s="69">
        <v>0.2</v>
      </c>
      <c r="E142" s="69">
        <v>0.1</v>
      </c>
      <c r="F142" s="69">
        <v>0.25</v>
      </c>
      <c r="G142" s="69">
        <v>0.2</v>
      </c>
      <c r="H142" s="69">
        <f>SUMPRODUCT(Scenarios1[[#This Row],[SPY]:[PE]],_xlfn.TOROW(AssetSpecsScenario1[Annualized Return]))</f>
        <v>7.4923724859672858E-2</v>
      </c>
      <c r="I142" s="69" cm="1">
        <f t="array" ref="I142">SQRT(MMULT(MMULT(Scenarios1[[#This Row],[SPY]:[PE]], 'Corr_Cov 36- Month'!$J$13:$N$17), TRANSPOSE(Scenarios1[[#This Row],[SPY]:[PE]])))</f>
        <v>8.3360274905856888E-2</v>
      </c>
      <c r="J142" s="70">
        <f>(Scenarios1[[#This Row],[Expected Return]]-RiskFree)/Scenarios1[[#This Row],[36M Vol]]</f>
        <v>0.33490975570374204</v>
      </c>
      <c r="K142" s="107" cm="1">
        <f t="array" ref="K142">MIN(_xlfn._xlws.FILTER(PortfolioFrontier[#Data],(PortfolioFrontier[#Headers]="P"&amp;Scenarios1[[#This Row],[Reference '#]]&amp;" DD")))</f>
        <v>-0.17348073118349583</v>
      </c>
      <c r="L142" s="69">
        <f>SUM(Scenarios1[[#This Row],[SPY]:[VNQ]])</f>
        <v>0.8</v>
      </c>
      <c r="M142" s="69">
        <f>SUM(Scenarios1[[#This Row],[SPY]:[PE]])</f>
        <v>1</v>
      </c>
      <c r="N142" s="71" t="b">
        <f>Scenarios1[[#This Row],[SPY]]&gt;=SpyMin</f>
        <v>1</v>
      </c>
      <c r="O142" s="71" t="b">
        <f>Scenarios1[[#This Row],[AGG]]&gt;=AGGMin</f>
        <v>1</v>
      </c>
      <c r="P142" s="71" t="b">
        <f>AND(Scenarios1[[#This Row],[GLD]]&gt;=GLDMin,Scenarios1[[#This Row],[GLD]]&lt;=GLDMax)</f>
        <v>1</v>
      </c>
      <c r="Q142" s="71" t="b">
        <f>Scenarios1[[#This Row],[VNQ]]&gt;=VNQMin</f>
        <v>1</v>
      </c>
      <c r="R142" s="71" t="b">
        <f>AND(Scenarios1[[#This Row],[PE]]&gt;=PEMin,Scenarios1[[#This Row],[PE]]&lt;=PEMax)</f>
        <v>1</v>
      </c>
      <c r="S142" s="71" t="b">
        <f>Scenarios1[[#This Row],[Liquid Assets]]&gt;=LiquidMin</f>
        <v>1</v>
      </c>
      <c r="T142" s="71" t="b">
        <f>AND(Scenarios1[[#This Row],[Expected Return]]&gt;=ExpectedReturnMin,Scenarios1[[#This Row],[Expected Return]]&lt;=ExpectedReturnMax)</f>
        <v>0</v>
      </c>
      <c r="U142" s="71" t="b">
        <f>Scenarios1[[#This Row],[Max Drawdown]]&gt;=DrawdownMax</f>
        <v>1</v>
      </c>
      <c r="V142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42" s="46">
        <f>_xlfn.XLOOKUP(Scenarios1[[#This Row],[Reference '#]],ScenariosCombined[Reference '#],ScenariosCombined[Sharpe Rank])</f>
        <v>105</v>
      </c>
      <c r="X142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42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25/20/10/25/20</v>
      </c>
      <c r="Z142" t="str">
        <f>Scenarios1[[#This Row],[Sharpe Rank]]</f>
        <v/>
      </c>
      <c r="AA142">
        <f>_xlfn.XLOOKUP(Scenarios1[[#This Row],[Reference '#]],Scenarios2[Reference '#],Scenarios2[Sharpe Rank])</f>
        <v>106</v>
      </c>
      <c r="AB142">
        <f>_xlfn.XLOOKUP(Scenarios1[[#This Row],[Reference '#]],Scenarios3[Reference '#],Scenarios3[Sharpe Rank])</f>
        <v>94</v>
      </c>
      <c r="AG142"/>
      <c r="AK142" s="15"/>
    </row>
    <row r="143" spans="2:37" x14ac:dyDescent="0.2">
      <c r="B143" s="71">
        <v>133</v>
      </c>
      <c r="C143" s="69">
        <v>0.25</v>
      </c>
      <c r="D143" s="69">
        <v>0.15</v>
      </c>
      <c r="E143" s="69">
        <v>0.2</v>
      </c>
      <c r="F143" s="69">
        <v>0.3</v>
      </c>
      <c r="G143" s="69">
        <v>0.1</v>
      </c>
      <c r="H143" s="69">
        <f>SUMPRODUCT(Scenarios1[[#This Row],[SPY]:[PE]],_xlfn.TOROW(AssetSpecsScenario1[Annualized Return]))</f>
        <v>8.4709850085593161E-2</v>
      </c>
      <c r="I143" s="69" cm="1">
        <f t="array" ref="I143">SQRT(MMULT(MMULT(Scenarios1[[#This Row],[SPY]:[PE]], 'Corr_Cov 36- Month'!$J$13:$N$17), TRANSPOSE(Scenarios1[[#This Row],[SPY]:[PE]])))</f>
        <v>9.366381439993085E-2</v>
      </c>
      <c r="J143" s="70">
        <f>(Scenarios1[[#This Row],[Expected Return]]-RiskFree)/Scenarios1[[#This Row],[36M Vol]]</f>
        <v>0.40254921040313135</v>
      </c>
      <c r="K143" s="107" cm="1">
        <f t="array" ref="K143">MIN(_xlfn._xlws.FILTER(PortfolioFrontier[#Data],(PortfolioFrontier[#Headers]="P"&amp;Scenarios1[[#This Row],[Reference '#]]&amp;" DD")))</f>
        <v>-0.18970169674832826</v>
      </c>
      <c r="L143" s="69">
        <f>SUM(Scenarios1[[#This Row],[SPY]:[VNQ]])</f>
        <v>0.90000000000000013</v>
      </c>
      <c r="M143" s="69">
        <f>SUM(Scenarios1[[#This Row],[SPY]:[PE]])</f>
        <v>1.0000000000000002</v>
      </c>
      <c r="N143" s="71" t="b">
        <f>Scenarios1[[#This Row],[SPY]]&gt;=SpyMin</f>
        <v>1</v>
      </c>
      <c r="O143" s="71" t="b">
        <f>Scenarios1[[#This Row],[AGG]]&gt;=AGGMin</f>
        <v>1</v>
      </c>
      <c r="P143" s="71" t="b">
        <f>AND(Scenarios1[[#This Row],[GLD]]&gt;=GLDMin,Scenarios1[[#This Row],[GLD]]&lt;=GLDMax)</f>
        <v>1</v>
      </c>
      <c r="Q143" s="71" t="b">
        <f>Scenarios1[[#This Row],[VNQ]]&gt;=VNQMin</f>
        <v>1</v>
      </c>
      <c r="R143" s="71" t="b">
        <f>AND(Scenarios1[[#This Row],[PE]]&gt;=PEMin,Scenarios1[[#This Row],[PE]]&lt;=PEMax)</f>
        <v>1</v>
      </c>
      <c r="S143" s="71" t="b">
        <f>Scenarios1[[#This Row],[Liquid Assets]]&gt;=LiquidMin</f>
        <v>1</v>
      </c>
      <c r="T143" s="71" t="b">
        <f>AND(Scenarios1[[#This Row],[Expected Return]]&gt;=ExpectedReturnMin,Scenarios1[[#This Row],[Expected Return]]&lt;=ExpectedReturnMax)</f>
        <v>1</v>
      </c>
      <c r="U143" s="71" t="b">
        <f>Scenarios1[[#This Row],[Max Drawdown]]&gt;=DrawdownMax</f>
        <v>1</v>
      </c>
      <c r="V143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43" s="46">
        <f>_xlfn.XLOOKUP(Scenarios1[[#This Row],[Reference '#]],ScenariosCombined[Reference '#],ScenariosCombined[Sharpe Rank])</f>
        <v>90</v>
      </c>
      <c r="X143" s="71">
        <f>IF(Scenarios1[[#This Row],[Eligible]],COUNTIFS(Scenarios1[Sharpe],"&gt;"&amp;Scenarios1[[#This Row],[Sharpe]],Scenarios1[Eligible],TRUE())+COUNTIFS(Scenarios1[Sharpe],Scenarios1[[#This Row],[Sharpe]],Scenarios1[Eligible],TRUE()),"")</f>
        <v>89</v>
      </c>
      <c r="Y143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25/15/20/30/10</v>
      </c>
      <c r="Z143">
        <f>Scenarios1[[#This Row],[Sharpe Rank]]</f>
        <v>89</v>
      </c>
      <c r="AA143">
        <f>_xlfn.XLOOKUP(Scenarios1[[#This Row],[Reference '#]],Scenarios2[Reference '#],Scenarios2[Sharpe Rank])</f>
        <v>88</v>
      </c>
      <c r="AB143">
        <f>_xlfn.XLOOKUP(Scenarios1[[#This Row],[Reference '#]],Scenarios3[Reference '#],Scenarios3[Sharpe Rank])</f>
        <v>87</v>
      </c>
      <c r="AG143"/>
      <c r="AK143" s="15"/>
    </row>
    <row r="144" spans="2:37" x14ac:dyDescent="0.2">
      <c r="B144" s="71">
        <v>134</v>
      </c>
      <c r="C144" s="69">
        <v>0.25</v>
      </c>
      <c r="D144" s="69">
        <v>0.15</v>
      </c>
      <c r="E144" s="69">
        <v>0.2</v>
      </c>
      <c r="F144" s="69">
        <v>0.25</v>
      </c>
      <c r="G144" s="69">
        <v>0.15</v>
      </c>
      <c r="H144" s="69">
        <f>SUMPRODUCT(Scenarios1[[#This Row],[SPY]:[PE]],_xlfn.TOROW(AssetSpecsScenario1[Annualized Return]))</f>
        <v>8.4600376046790771E-2</v>
      </c>
      <c r="I144" s="69" cm="1">
        <f t="array" ref="I144">SQRT(MMULT(MMULT(Scenarios1[[#This Row],[SPY]:[PE]], 'Corr_Cov 36- Month'!$J$13:$N$17), TRANSPOSE(Scenarios1[[#This Row],[SPY]:[PE]])))</f>
        <v>8.5661553228605275E-2</v>
      </c>
      <c r="J144" s="70">
        <f>(Scenarios1[[#This Row],[Expected Return]]-RiskFree)/Scenarios1[[#This Row],[36M Vol]]</f>
        <v>0.43887624114059426</v>
      </c>
      <c r="K144" s="107" cm="1">
        <f t="array" ref="K144">MIN(_xlfn._xlws.FILTER(PortfolioFrontier[#Data],(PortfolioFrontier[#Headers]="P"&amp;Scenarios1[[#This Row],[Reference '#]]&amp;" DD")))</f>
        <v>-0.17530039956612353</v>
      </c>
      <c r="L144" s="69">
        <f>SUM(Scenarios1[[#This Row],[SPY]:[VNQ]])</f>
        <v>0.85000000000000009</v>
      </c>
      <c r="M144" s="69">
        <f>SUM(Scenarios1[[#This Row],[SPY]:[PE]])</f>
        <v>1</v>
      </c>
      <c r="N144" s="71" t="b">
        <f>Scenarios1[[#This Row],[SPY]]&gt;=SpyMin</f>
        <v>1</v>
      </c>
      <c r="O144" s="71" t="b">
        <f>Scenarios1[[#This Row],[AGG]]&gt;=AGGMin</f>
        <v>1</v>
      </c>
      <c r="P144" s="71" t="b">
        <f>AND(Scenarios1[[#This Row],[GLD]]&gt;=GLDMin,Scenarios1[[#This Row],[GLD]]&lt;=GLDMax)</f>
        <v>1</v>
      </c>
      <c r="Q144" s="71" t="b">
        <f>Scenarios1[[#This Row],[VNQ]]&gt;=VNQMin</f>
        <v>1</v>
      </c>
      <c r="R144" s="71" t="b">
        <f>AND(Scenarios1[[#This Row],[PE]]&gt;=PEMin,Scenarios1[[#This Row],[PE]]&lt;=PEMax)</f>
        <v>1</v>
      </c>
      <c r="S144" s="71" t="b">
        <f>Scenarios1[[#This Row],[Liquid Assets]]&gt;=LiquidMin</f>
        <v>1</v>
      </c>
      <c r="T144" s="71" t="b">
        <f>AND(Scenarios1[[#This Row],[Expected Return]]&gt;=ExpectedReturnMin,Scenarios1[[#This Row],[Expected Return]]&lt;=ExpectedReturnMax)</f>
        <v>1</v>
      </c>
      <c r="U144" s="71" t="b">
        <f>Scenarios1[[#This Row],[Max Drawdown]]&gt;=DrawdownMax</f>
        <v>1</v>
      </c>
      <c r="V144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44" s="46">
        <f>_xlfn.XLOOKUP(Scenarios1[[#This Row],[Reference '#]],ScenariosCombined[Reference '#],ScenariosCombined[Sharpe Rank])</f>
        <v>67</v>
      </c>
      <c r="X144" s="71">
        <f>IF(Scenarios1[[#This Row],[Eligible]],COUNTIFS(Scenarios1[Sharpe],"&gt;"&amp;Scenarios1[[#This Row],[Sharpe]],Scenarios1[Eligible],TRUE())+COUNTIFS(Scenarios1[Sharpe],Scenarios1[[#This Row],[Sharpe]],Scenarios1[Eligible],TRUE()),"")</f>
        <v>67</v>
      </c>
      <c r="Y144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25/15/20/25/15</v>
      </c>
      <c r="Z144">
        <f>Scenarios1[[#This Row],[Sharpe Rank]]</f>
        <v>67</v>
      </c>
      <c r="AA144">
        <f>_xlfn.XLOOKUP(Scenarios1[[#This Row],[Reference '#]],Scenarios2[Reference '#],Scenarios2[Sharpe Rank])</f>
        <v>65</v>
      </c>
      <c r="AB144">
        <f>_xlfn.XLOOKUP(Scenarios1[[#This Row],[Reference '#]],Scenarios3[Reference '#],Scenarios3[Sharpe Rank])</f>
        <v>61</v>
      </c>
      <c r="AG144"/>
      <c r="AK144" s="15"/>
    </row>
    <row r="145" spans="2:37" x14ac:dyDescent="0.2">
      <c r="B145" s="71">
        <v>135</v>
      </c>
      <c r="C145" s="69">
        <v>0.25</v>
      </c>
      <c r="D145" s="69">
        <v>0.15</v>
      </c>
      <c r="E145" s="69">
        <v>0.2</v>
      </c>
      <c r="F145" s="69">
        <v>0.2</v>
      </c>
      <c r="G145" s="69">
        <v>0.2</v>
      </c>
      <c r="H145" s="69">
        <f>SUMPRODUCT(Scenarios1[[#This Row],[SPY]:[PE]],_xlfn.TOROW(AssetSpecsScenario1[Annualized Return]))</f>
        <v>8.449090200798838E-2</v>
      </c>
      <c r="I145" s="69" cm="1">
        <f t="array" ref="I145">SQRT(MMULT(MMULT(Scenarios1[[#This Row],[SPY]:[PE]], 'Corr_Cov 36- Month'!$J$13:$N$17), TRANSPOSE(Scenarios1[[#This Row],[SPY]:[PE]])))</f>
        <v>7.8019210560232755E-2</v>
      </c>
      <c r="J145" s="70">
        <f>(Scenarios1[[#This Row],[Expected Return]]-RiskFree)/Scenarios1[[#This Row],[36M Vol]]</f>
        <v>0.48046303190280576</v>
      </c>
      <c r="K145" s="107" cm="1">
        <f t="array" ref="K145">MIN(_xlfn._xlws.FILTER(PortfolioFrontier[#Data],(PortfolioFrontier[#Headers]="P"&amp;Scenarios1[[#This Row],[Reference '#]]&amp;" DD")))</f>
        <v>-0.16078244493257399</v>
      </c>
      <c r="L145" s="69">
        <f>SUM(Scenarios1[[#This Row],[SPY]:[VNQ]])</f>
        <v>0.8</v>
      </c>
      <c r="M145" s="69">
        <f>SUM(Scenarios1[[#This Row],[SPY]:[PE]])</f>
        <v>1</v>
      </c>
      <c r="N145" s="71" t="b">
        <f>Scenarios1[[#This Row],[SPY]]&gt;=SpyMin</f>
        <v>1</v>
      </c>
      <c r="O145" s="71" t="b">
        <f>Scenarios1[[#This Row],[AGG]]&gt;=AGGMin</f>
        <v>1</v>
      </c>
      <c r="P145" s="71" t="b">
        <f>AND(Scenarios1[[#This Row],[GLD]]&gt;=GLDMin,Scenarios1[[#This Row],[GLD]]&lt;=GLDMax)</f>
        <v>1</v>
      </c>
      <c r="Q145" s="71" t="b">
        <f>Scenarios1[[#This Row],[VNQ]]&gt;=VNQMin</f>
        <v>1</v>
      </c>
      <c r="R145" s="71" t="b">
        <f>AND(Scenarios1[[#This Row],[PE]]&gt;=PEMin,Scenarios1[[#This Row],[PE]]&lt;=PEMax)</f>
        <v>1</v>
      </c>
      <c r="S145" s="71" t="b">
        <f>Scenarios1[[#This Row],[Liquid Assets]]&gt;=LiquidMin</f>
        <v>1</v>
      </c>
      <c r="T145" s="71" t="b">
        <f>AND(Scenarios1[[#This Row],[Expected Return]]&gt;=ExpectedReturnMin,Scenarios1[[#This Row],[Expected Return]]&lt;=ExpectedReturnMax)</f>
        <v>1</v>
      </c>
      <c r="U145" s="71" t="b">
        <f>Scenarios1[[#This Row],[Max Drawdown]]&gt;=DrawdownMax</f>
        <v>1</v>
      </c>
      <c r="V145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45" s="46">
        <f>_xlfn.XLOOKUP(Scenarios1[[#This Row],[Reference '#]],ScenariosCombined[Reference '#],ScenariosCombined[Sharpe Rank])</f>
        <v>44</v>
      </c>
      <c r="X145" s="71">
        <f>IF(Scenarios1[[#This Row],[Eligible]],COUNTIFS(Scenarios1[Sharpe],"&gt;"&amp;Scenarios1[[#This Row],[Sharpe]],Scenarios1[Eligible],TRUE())+COUNTIFS(Scenarios1[Sharpe],Scenarios1[[#This Row],[Sharpe]],Scenarios1[Eligible],TRUE()),"")</f>
        <v>52</v>
      </c>
      <c r="Y145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25/15/20/20/20</v>
      </c>
      <c r="Z145">
        <f>Scenarios1[[#This Row],[Sharpe Rank]]</f>
        <v>52</v>
      </c>
      <c r="AA145">
        <f>_xlfn.XLOOKUP(Scenarios1[[#This Row],[Reference '#]],Scenarios2[Reference '#],Scenarios2[Sharpe Rank])</f>
        <v>48</v>
      </c>
      <c r="AB145">
        <f>_xlfn.XLOOKUP(Scenarios1[[#This Row],[Reference '#]],Scenarios3[Reference '#],Scenarios3[Sharpe Rank])</f>
        <v>32</v>
      </c>
      <c r="AG145"/>
      <c r="AK145" s="15"/>
    </row>
    <row r="146" spans="2:37" x14ac:dyDescent="0.2">
      <c r="B146" s="71">
        <v>136</v>
      </c>
      <c r="C146" s="69">
        <v>0.25</v>
      </c>
      <c r="D146" s="69">
        <v>0.15</v>
      </c>
      <c r="E146" s="69">
        <v>0.15</v>
      </c>
      <c r="F146" s="69">
        <v>0.35</v>
      </c>
      <c r="G146" s="69">
        <v>0.1</v>
      </c>
      <c r="H146" s="69">
        <f>SUMPRODUCT(Scenarios1[[#This Row],[SPY]:[PE]],_xlfn.TOROW(AssetSpecsScenario1[Annualized Return]))</f>
        <v>8.0718131184517136E-2</v>
      </c>
      <c r="I146" s="69" cm="1">
        <f t="array" ref="I146">SQRT(MMULT(MMULT(Scenarios1[[#This Row],[SPY]:[PE]], 'Corr_Cov 36- Month'!$J$13:$N$17), TRANSPOSE(Scenarios1[[#This Row],[SPY]:[PE]])))</f>
        <v>9.9228577762732639E-2</v>
      </c>
      <c r="J146" s="70">
        <f>(Scenarios1[[#This Row],[Expected Return]]-RiskFree)/Scenarios1[[#This Row],[36M Vol]]</f>
        <v>0.33974663740089445</v>
      </c>
      <c r="K146" s="107" cm="1">
        <f t="array" ref="K146">MIN(_xlfn._xlws.FILTER(PortfolioFrontier[#Data],(PortfolioFrontier[#Headers]="P"&amp;Scenarios1[[#This Row],[Reference '#]]&amp;" DD")))</f>
        <v>-0.19981007336081691</v>
      </c>
      <c r="L146" s="69">
        <f>SUM(Scenarios1[[#This Row],[SPY]:[VNQ]])</f>
        <v>0.9</v>
      </c>
      <c r="M146" s="69">
        <f>SUM(Scenarios1[[#This Row],[SPY]:[PE]])</f>
        <v>1</v>
      </c>
      <c r="N146" s="71" t="b">
        <f>Scenarios1[[#This Row],[SPY]]&gt;=SpyMin</f>
        <v>1</v>
      </c>
      <c r="O146" s="71" t="b">
        <f>Scenarios1[[#This Row],[AGG]]&gt;=AGGMin</f>
        <v>1</v>
      </c>
      <c r="P146" s="71" t="b">
        <f>AND(Scenarios1[[#This Row],[GLD]]&gt;=GLDMin,Scenarios1[[#This Row],[GLD]]&lt;=GLDMax)</f>
        <v>1</v>
      </c>
      <c r="Q146" s="71" t="b">
        <f>Scenarios1[[#This Row],[VNQ]]&gt;=VNQMin</f>
        <v>1</v>
      </c>
      <c r="R146" s="71" t="b">
        <f>AND(Scenarios1[[#This Row],[PE]]&gt;=PEMin,Scenarios1[[#This Row],[PE]]&lt;=PEMax)</f>
        <v>1</v>
      </c>
      <c r="S146" s="71" t="b">
        <f>Scenarios1[[#This Row],[Liquid Assets]]&gt;=LiquidMin</f>
        <v>1</v>
      </c>
      <c r="T146" s="71" t="b">
        <f>AND(Scenarios1[[#This Row],[Expected Return]]&gt;=ExpectedReturnMin,Scenarios1[[#This Row],[Expected Return]]&lt;=ExpectedReturnMax)</f>
        <v>1</v>
      </c>
      <c r="U146" s="71" t="b">
        <f>Scenarios1[[#This Row],[Max Drawdown]]&gt;=DrawdownMax</f>
        <v>1</v>
      </c>
      <c r="V146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46" s="46">
        <f>_xlfn.XLOOKUP(Scenarios1[[#This Row],[Reference '#]],ScenariosCombined[Reference '#],ScenariosCombined[Sharpe Rank])</f>
        <v>111</v>
      </c>
      <c r="X146" s="71">
        <f>IF(Scenarios1[[#This Row],[Eligible]],COUNTIFS(Scenarios1[Sharpe],"&gt;"&amp;Scenarios1[[#This Row],[Sharpe]],Scenarios1[Eligible],TRUE())+COUNTIFS(Scenarios1[Sharpe],Scenarios1[[#This Row],[Sharpe]],Scenarios1[Eligible],TRUE()),"")</f>
        <v>107</v>
      </c>
      <c r="Y146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25/15/15/35/10</v>
      </c>
      <c r="Z146">
        <f>Scenarios1[[#This Row],[Sharpe Rank]]</f>
        <v>107</v>
      </c>
      <c r="AA146">
        <f>_xlfn.XLOOKUP(Scenarios1[[#This Row],[Reference '#]],Scenarios2[Reference '#],Scenarios2[Sharpe Rank])</f>
        <v>107</v>
      </c>
      <c r="AB146">
        <f>_xlfn.XLOOKUP(Scenarios1[[#This Row],[Reference '#]],Scenarios3[Reference '#],Scenarios3[Sharpe Rank])</f>
        <v>107</v>
      </c>
      <c r="AG146"/>
      <c r="AK146" s="15"/>
    </row>
    <row r="147" spans="2:37" x14ac:dyDescent="0.2">
      <c r="B147" s="71">
        <v>137</v>
      </c>
      <c r="C147" s="69">
        <v>0.25</v>
      </c>
      <c r="D147" s="69">
        <v>0.15</v>
      </c>
      <c r="E147" s="69">
        <v>0.15</v>
      </c>
      <c r="F147" s="69">
        <v>0.3</v>
      </c>
      <c r="G147" s="69">
        <v>0.15</v>
      </c>
      <c r="H147" s="69">
        <f>SUMPRODUCT(Scenarios1[[#This Row],[SPY]:[PE]],_xlfn.TOROW(AssetSpecsScenario1[Annualized Return]))</f>
        <v>8.0608657145714746E-2</v>
      </c>
      <c r="I147" s="69" cm="1">
        <f t="array" ref="I147">SQRT(MMULT(MMULT(Scenarios1[[#This Row],[SPY]:[PE]], 'Corr_Cov 36- Month'!$J$13:$N$17), TRANSPOSE(Scenarios1[[#This Row],[SPY]:[PE]])))</f>
        <v>9.0998507975534298E-2</v>
      </c>
      <c r="J147" s="70">
        <f>(Scenarios1[[#This Row],[Expected Return]]-RiskFree)/Scenarios1[[#This Row],[36M Vol]]</f>
        <v>0.36927090715810051</v>
      </c>
      <c r="K147" s="107" cm="1">
        <f t="array" ref="K147">MIN(_xlfn._xlws.FILTER(PortfolioFrontier[#Data],(PortfolioFrontier[#Headers]="P"&amp;Scenarios1[[#This Row],[Reference '#]]&amp;" DD")))</f>
        <v>-0.18548259409266865</v>
      </c>
      <c r="L147" s="69">
        <f>SUM(Scenarios1[[#This Row],[SPY]:[VNQ]])</f>
        <v>0.85000000000000009</v>
      </c>
      <c r="M147" s="69">
        <f>SUM(Scenarios1[[#This Row],[SPY]:[PE]])</f>
        <v>1</v>
      </c>
      <c r="N147" s="71" t="b">
        <f>Scenarios1[[#This Row],[SPY]]&gt;=SpyMin</f>
        <v>1</v>
      </c>
      <c r="O147" s="71" t="b">
        <f>Scenarios1[[#This Row],[AGG]]&gt;=AGGMin</f>
        <v>1</v>
      </c>
      <c r="P147" s="71" t="b">
        <f>AND(Scenarios1[[#This Row],[GLD]]&gt;=GLDMin,Scenarios1[[#This Row],[GLD]]&lt;=GLDMax)</f>
        <v>1</v>
      </c>
      <c r="Q147" s="71" t="b">
        <f>Scenarios1[[#This Row],[VNQ]]&gt;=VNQMin</f>
        <v>1</v>
      </c>
      <c r="R147" s="71" t="b">
        <f>AND(Scenarios1[[#This Row],[PE]]&gt;=PEMin,Scenarios1[[#This Row],[PE]]&lt;=PEMax)</f>
        <v>1</v>
      </c>
      <c r="S147" s="71" t="b">
        <f>Scenarios1[[#This Row],[Liquid Assets]]&gt;=LiquidMin</f>
        <v>1</v>
      </c>
      <c r="T147" s="71" t="b">
        <f>AND(Scenarios1[[#This Row],[Expected Return]]&gt;=ExpectedReturnMin,Scenarios1[[#This Row],[Expected Return]]&lt;=ExpectedReturnMax)</f>
        <v>1</v>
      </c>
      <c r="U147" s="71" t="b">
        <f>Scenarios1[[#This Row],[Max Drawdown]]&gt;=DrawdownMax</f>
        <v>1</v>
      </c>
      <c r="V147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47" s="46">
        <f>_xlfn.XLOOKUP(Scenarios1[[#This Row],[Reference '#]],ScenariosCombined[Reference '#],ScenariosCombined[Sharpe Rank])</f>
        <v>97</v>
      </c>
      <c r="X147" s="71">
        <f>IF(Scenarios1[[#This Row],[Eligible]],COUNTIFS(Scenarios1[Sharpe],"&gt;"&amp;Scenarios1[[#This Row],[Sharpe]],Scenarios1[Eligible],TRUE())+COUNTIFS(Scenarios1[Sharpe],Scenarios1[[#This Row],[Sharpe]],Scenarios1[Eligible],TRUE()),"")</f>
        <v>99</v>
      </c>
      <c r="Y147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25/15/15/30/15</v>
      </c>
      <c r="Z147">
        <f>Scenarios1[[#This Row],[Sharpe Rank]]</f>
        <v>99</v>
      </c>
      <c r="AA147">
        <f>_xlfn.XLOOKUP(Scenarios1[[#This Row],[Reference '#]],Scenarios2[Reference '#],Scenarios2[Sharpe Rank])</f>
        <v>98</v>
      </c>
      <c r="AB147">
        <f>_xlfn.XLOOKUP(Scenarios1[[#This Row],[Reference '#]],Scenarios3[Reference '#],Scenarios3[Sharpe Rank])</f>
        <v>91</v>
      </c>
      <c r="AG147"/>
      <c r="AK147" s="15"/>
    </row>
    <row r="148" spans="2:37" x14ac:dyDescent="0.2">
      <c r="B148" s="71">
        <v>138</v>
      </c>
      <c r="C148" s="69">
        <v>0.25</v>
      </c>
      <c r="D148" s="69">
        <v>0.15</v>
      </c>
      <c r="E148" s="69">
        <v>0.15</v>
      </c>
      <c r="F148" s="69">
        <v>0.25</v>
      </c>
      <c r="G148" s="69">
        <v>0.2</v>
      </c>
      <c r="H148" s="69">
        <f>SUMPRODUCT(Scenarios1[[#This Row],[SPY]:[PE]],_xlfn.TOROW(AssetSpecsScenario1[Annualized Return]))</f>
        <v>8.0499183106912342E-2</v>
      </c>
      <c r="I148" s="69" cm="1">
        <f t="array" ref="I148">SQRT(MMULT(MMULT(Scenarios1[[#This Row],[SPY]:[PE]], 'Corr_Cov 36- Month'!$J$13:$N$17), TRANSPOSE(Scenarios1[[#This Row],[SPY]:[PE]])))</f>
        <v>8.3061725265277039E-2</v>
      </c>
      <c r="J148" s="70">
        <f>(Scenarios1[[#This Row],[Expected Return]]-RiskFree)/Scenarios1[[#This Row],[36M Vol]]</f>
        <v>0.4032378023016866</v>
      </c>
      <c r="K148" s="107" cm="1">
        <f t="array" ref="K148">MIN(_xlfn._xlws.FILTER(PortfolioFrontier[#Data],(PortfolioFrontier[#Headers]="P"&amp;Scenarios1[[#This Row],[Reference '#]]&amp;" DD")))</f>
        <v>-0.17103679909467062</v>
      </c>
      <c r="L148" s="69">
        <f>SUM(Scenarios1[[#This Row],[SPY]:[VNQ]])</f>
        <v>0.8</v>
      </c>
      <c r="M148" s="69">
        <f>SUM(Scenarios1[[#This Row],[SPY]:[PE]])</f>
        <v>1</v>
      </c>
      <c r="N148" s="71" t="b">
        <f>Scenarios1[[#This Row],[SPY]]&gt;=SpyMin</f>
        <v>1</v>
      </c>
      <c r="O148" s="71" t="b">
        <f>Scenarios1[[#This Row],[AGG]]&gt;=AGGMin</f>
        <v>1</v>
      </c>
      <c r="P148" s="71" t="b">
        <f>AND(Scenarios1[[#This Row],[GLD]]&gt;=GLDMin,Scenarios1[[#This Row],[GLD]]&lt;=GLDMax)</f>
        <v>1</v>
      </c>
      <c r="Q148" s="71" t="b">
        <f>Scenarios1[[#This Row],[VNQ]]&gt;=VNQMin</f>
        <v>1</v>
      </c>
      <c r="R148" s="71" t="b">
        <f>AND(Scenarios1[[#This Row],[PE]]&gt;=PEMin,Scenarios1[[#This Row],[PE]]&lt;=PEMax)</f>
        <v>1</v>
      </c>
      <c r="S148" s="71" t="b">
        <f>Scenarios1[[#This Row],[Liquid Assets]]&gt;=LiquidMin</f>
        <v>1</v>
      </c>
      <c r="T148" s="71" t="b">
        <f>AND(Scenarios1[[#This Row],[Expected Return]]&gt;=ExpectedReturnMin,Scenarios1[[#This Row],[Expected Return]]&lt;=ExpectedReturnMax)</f>
        <v>1</v>
      </c>
      <c r="U148" s="71" t="b">
        <f>Scenarios1[[#This Row],[Max Drawdown]]&gt;=DrawdownMax</f>
        <v>1</v>
      </c>
      <c r="V148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48" s="46">
        <f>_xlfn.XLOOKUP(Scenarios1[[#This Row],[Reference '#]],ScenariosCombined[Reference '#],ScenariosCombined[Sharpe Rank])</f>
        <v>80</v>
      </c>
      <c r="X148" s="71">
        <f>IF(Scenarios1[[#This Row],[Eligible]],COUNTIFS(Scenarios1[Sharpe],"&gt;"&amp;Scenarios1[[#This Row],[Sharpe]],Scenarios1[Eligible],TRUE())+COUNTIFS(Scenarios1[Sharpe],Scenarios1[[#This Row],[Sharpe]],Scenarios1[Eligible],TRUE()),"")</f>
        <v>88</v>
      </c>
      <c r="Y148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25/15/15/25/20</v>
      </c>
      <c r="Z148">
        <f>Scenarios1[[#This Row],[Sharpe Rank]]</f>
        <v>88</v>
      </c>
      <c r="AA148">
        <f>_xlfn.XLOOKUP(Scenarios1[[#This Row],[Reference '#]],Scenarios2[Reference '#],Scenarios2[Sharpe Rank])</f>
        <v>84</v>
      </c>
      <c r="AB148">
        <f>_xlfn.XLOOKUP(Scenarios1[[#This Row],[Reference '#]],Scenarios3[Reference '#],Scenarios3[Sharpe Rank])</f>
        <v>65</v>
      </c>
      <c r="AG148"/>
      <c r="AK148" s="15"/>
    </row>
    <row r="149" spans="2:37" x14ac:dyDescent="0.2">
      <c r="B149" s="71">
        <v>139</v>
      </c>
      <c r="C149" s="69">
        <v>0.25</v>
      </c>
      <c r="D149" s="69">
        <v>0.15</v>
      </c>
      <c r="E149" s="69">
        <v>0.1</v>
      </c>
      <c r="F149" s="69">
        <v>0.4</v>
      </c>
      <c r="G149" s="69">
        <v>0.1</v>
      </c>
      <c r="H149" s="69">
        <f>SUMPRODUCT(Scenarios1[[#This Row],[SPY]:[PE]],_xlfn.TOROW(AssetSpecsScenario1[Annualized Return]))</f>
        <v>7.6726412283441112E-2</v>
      </c>
      <c r="I149" s="69" cm="1">
        <f t="array" ref="I149">SQRT(MMULT(MMULT(Scenarios1[[#This Row],[SPY]:[PE]], 'Corr_Cov 36- Month'!$J$13:$N$17), TRANSPOSE(Scenarios1[[#This Row],[SPY]:[PE]])))</f>
        <v>0.10547111821955832</v>
      </c>
      <c r="J149" s="70">
        <f>(Scenarios1[[#This Row],[Expected Return]]-RiskFree)/Scenarios1[[#This Row],[36M Vol]]</f>
        <v>0.28179142526976825</v>
      </c>
      <c r="K149" s="107" cm="1">
        <f t="array" ref="K149">MIN(_xlfn._xlws.FILTER(PortfolioFrontier[#Data],(PortfolioFrontier[#Headers]="P"&amp;Scenarios1[[#This Row],[Reference '#]]&amp;" DD")))</f>
        <v>-0.20988720039690845</v>
      </c>
      <c r="L149" s="69">
        <f>SUM(Scenarios1[[#This Row],[SPY]:[VNQ]])</f>
        <v>0.9</v>
      </c>
      <c r="M149" s="69">
        <f>SUM(Scenarios1[[#This Row],[SPY]:[PE]])</f>
        <v>1</v>
      </c>
      <c r="N149" s="71" t="b">
        <f>Scenarios1[[#This Row],[SPY]]&gt;=SpyMin</f>
        <v>1</v>
      </c>
      <c r="O149" s="71" t="b">
        <f>Scenarios1[[#This Row],[AGG]]&gt;=AGGMin</f>
        <v>1</v>
      </c>
      <c r="P149" s="71" t="b">
        <f>AND(Scenarios1[[#This Row],[GLD]]&gt;=GLDMin,Scenarios1[[#This Row],[GLD]]&lt;=GLDMax)</f>
        <v>1</v>
      </c>
      <c r="Q149" s="71" t="b">
        <f>Scenarios1[[#This Row],[VNQ]]&gt;=VNQMin</f>
        <v>1</v>
      </c>
      <c r="R149" s="71" t="b">
        <f>AND(Scenarios1[[#This Row],[PE]]&gt;=PEMin,Scenarios1[[#This Row],[PE]]&lt;=PEMax)</f>
        <v>1</v>
      </c>
      <c r="S149" s="71" t="b">
        <f>Scenarios1[[#This Row],[Liquid Assets]]&gt;=LiquidMin</f>
        <v>1</v>
      </c>
      <c r="T149" s="71" t="b">
        <f>AND(Scenarios1[[#This Row],[Expected Return]]&gt;=ExpectedReturnMin,Scenarios1[[#This Row],[Expected Return]]&lt;=ExpectedReturnMax)</f>
        <v>1</v>
      </c>
      <c r="U149" s="71" t="b">
        <f>Scenarios1[[#This Row],[Max Drawdown]]&gt;=DrawdownMax</f>
        <v>0</v>
      </c>
      <c r="V149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0</v>
      </c>
      <c r="W149" s="46" t="str">
        <f>_xlfn.XLOOKUP(Scenarios1[[#This Row],[Reference '#]],ScenariosCombined[Reference '#],ScenariosCombined[Sharpe Rank])</f>
        <v/>
      </c>
      <c r="X149" s="71" t="str">
        <f>IF(Scenarios1[[#This Row],[Eligible]],COUNTIFS(Scenarios1[Sharpe],"&gt;"&amp;Scenarios1[[#This Row],[Sharpe]],Scenarios1[Eligible],TRUE())+COUNTIFS(Scenarios1[Sharpe],Scenarios1[[#This Row],[Sharpe]],Scenarios1[Eligible],TRUE()),"")</f>
        <v/>
      </c>
      <c r="Y149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25/15/10/40/10</v>
      </c>
      <c r="Z149" t="str">
        <f>Scenarios1[[#This Row],[Sharpe Rank]]</f>
        <v/>
      </c>
      <c r="AA149" t="str">
        <f>_xlfn.XLOOKUP(Scenarios1[[#This Row],[Reference '#]],Scenarios2[Reference '#],Scenarios2[Sharpe Rank])</f>
        <v/>
      </c>
      <c r="AB149" t="str">
        <f>_xlfn.XLOOKUP(Scenarios1[[#This Row],[Reference '#]],Scenarios3[Reference '#],Scenarios3[Sharpe Rank])</f>
        <v/>
      </c>
      <c r="AG149"/>
      <c r="AK149" s="15"/>
    </row>
    <row r="150" spans="2:37" x14ac:dyDescent="0.2">
      <c r="B150" s="71">
        <v>140</v>
      </c>
      <c r="C150" s="69">
        <v>0.25</v>
      </c>
      <c r="D150" s="69">
        <v>0.15</v>
      </c>
      <c r="E150" s="69">
        <v>0.1</v>
      </c>
      <c r="F150" s="69">
        <v>0.35</v>
      </c>
      <c r="G150" s="69">
        <v>0.15</v>
      </c>
      <c r="H150" s="69">
        <f>SUMPRODUCT(Scenarios1[[#This Row],[SPY]:[PE]],_xlfn.TOROW(AssetSpecsScenario1[Annualized Return]))</f>
        <v>7.6616938244638721E-2</v>
      </c>
      <c r="I150" s="69" cm="1">
        <f t="array" ref="I150">SQRT(MMULT(MMULT(Scenarios1[[#This Row],[SPY]:[PE]], 'Corr_Cov 36- Month'!$J$13:$N$17), TRANSPOSE(Scenarios1[[#This Row],[SPY]:[PE]])))</f>
        <v>9.7097892988514276E-2</v>
      </c>
      <c r="J150" s="70">
        <f>(Scenarios1[[#This Row],[Expected Return]]-RiskFree)/Scenarios1[[#This Row],[36M Vol]]</f>
        <v>0.30496421474960228</v>
      </c>
      <c r="K150" s="107" cm="1">
        <f t="array" ref="K150">MIN(_xlfn._xlws.FILTER(PortfolioFrontier[#Data],(PortfolioFrontier[#Headers]="P"&amp;Scenarios1[[#This Row],[Reference '#]]&amp;" DD")))</f>
        <v>-0.19563516063567976</v>
      </c>
      <c r="L150" s="69">
        <f>SUM(Scenarios1[[#This Row],[SPY]:[VNQ]])</f>
        <v>0.85</v>
      </c>
      <c r="M150" s="69">
        <f>SUM(Scenarios1[[#This Row],[SPY]:[PE]])</f>
        <v>1</v>
      </c>
      <c r="N150" s="71" t="b">
        <f>Scenarios1[[#This Row],[SPY]]&gt;=SpyMin</f>
        <v>1</v>
      </c>
      <c r="O150" s="71" t="b">
        <f>Scenarios1[[#This Row],[AGG]]&gt;=AGGMin</f>
        <v>1</v>
      </c>
      <c r="P150" s="71" t="b">
        <f>AND(Scenarios1[[#This Row],[GLD]]&gt;=GLDMin,Scenarios1[[#This Row],[GLD]]&lt;=GLDMax)</f>
        <v>1</v>
      </c>
      <c r="Q150" s="71" t="b">
        <f>Scenarios1[[#This Row],[VNQ]]&gt;=VNQMin</f>
        <v>1</v>
      </c>
      <c r="R150" s="71" t="b">
        <f>AND(Scenarios1[[#This Row],[PE]]&gt;=PEMin,Scenarios1[[#This Row],[PE]]&lt;=PEMax)</f>
        <v>1</v>
      </c>
      <c r="S150" s="71" t="b">
        <f>Scenarios1[[#This Row],[Liquid Assets]]&gt;=LiquidMin</f>
        <v>1</v>
      </c>
      <c r="T150" s="71" t="b">
        <f>AND(Scenarios1[[#This Row],[Expected Return]]&gt;=ExpectedReturnMin,Scenarios1[[#This Row],[Expected Return]]&lt;=ExpectedReturnMax)</f>
        <v>1</v>
      </c>
      <c r="U150" s="71" t="b">
        <f>Scenarios1[[#This Row],[Max Drawdown]]&gt;=DrawdownMax</f>
        <v>1</v>
      </c>
      <c r="V150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50" s="46">
        <f>_xlfn.XLOOKUP(Scenarios1[[#This Row],[Reference '#]],ScenariosCombined[Reference '#],ScenariosCombined[Sharpe Rank])</f>
        <v>114</v>
      </c>
      <c r="X150" s="71">
        <f>IF(Scenarios1[[#This Row],[Eligible]],COUNTIFS(Scenarios1[Sharpe],"&gt;"&amp;Scenarios1[[#This Row],[Sharpe]],Scenarios1[Eligible],TRUE())+COUNTIFS(Scenarios1[Sharpe],Scenarios1[[#This Row],[Sharpe]],Scenarios1[Eligible],TRUE()),"")</f>
        <v>110</v>
      </c>
      <c r="Y150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25/15/10/35/15</v>
      </c>
      <c r="Z150">
        <f>Scenarios1[[#This Row],[Sharpe Rank]]</f>
        <v>110</v>
      </c>
      <c r="AA150">
        <f>_xlfn.XLOOKUP(Scenarios1[[#This Row],[Reference '#]],Scenarios2[Reference '#],Scenarios2[Sharpe Rank])</f>
        <v>110</v>
      </c>
      <c r="AB150">
        <f>_xlfn.XLOOKUP(Scenarios1[[#This Row],[Reference '#]],Scenarios3[Reference '#],Scenarios3[Sharpe Rank])</f>
        <v>111</v>
      </c>
      <c r="AG150"/>
      <c r="AK150" s="15"/>
    </row>
    <row r="151" spans="2:37" x14ac:dyDescent="0.2">
      <c r="B151" s="71">
        <v>141</v>
      </c>
      <c r="C151" s="69">
        <v>0.25</v>
      </c>
      <c r="D151" s="69">
        <v>0.15</v>
      </c>
      <c r="E151" s="69">
        <v>0.1</v>
      </c>
      <c r="F151" s="69">
        <v>0.3</v>
      </c>
      <c r="G151" s="69">
        <v>0.2</v>
      </c>
      <c r="H151" s="69">
        <f>SUMPRODUCT(Scenarios1[[#This Row],[SPY]:[PE]],_xlfn.TOROW(AssetSpecsScenario1[Annualized Return]))</f>
        <v>7.6507464205836331E-2</v>
      </c>
      <c r="I151" s="69" cm="1">
        <f t="array" ref="I151">SQRT(MMULT(MMULT(Scenarios1[[#This Row],[SPY]:[PE]], 'Corr_Cov 36- Month'!$J$13:$N$17), TRANSPOSE(Scenarios1[[#This Row],[SPY]:[PE]])))</f>
        <v>8.8971617993864618E-2</v>
      </c>
      <c r="J151" s="70">
        <f>(Scenarios1[[#This Row],[Expected Return]]-RiskFree)/Scenarios1[[#This Row],[36M Vol]]</f>
        <v>0.33158786268577467</v>
      </c>
      <c r="K151" s="107" cm="1">
        <f t="array" ref="K151">MIN(_xlfn._xlws.FILTER(PortfolioFrontier[#Data],(PortfolioFrontier[#Headers]="P"&amp;Scenarios1[[#This Row],[Reference '#]]&amp;" DD")))</f>
        <v>-0.18126319236251531</v>
      </c>
      <c r="L151" s="69">
        <f>SUM(Scenarios1[[#This Row],[SPY]:[VNQ]])</f>
        <v>0.8</v>
      </c>
      <c r="M151" s="69">
        <f>SUM(Scenarios1[[#This Row],[SPY]:[PE]])</f>
        <v>1</v>
      </c>
      <c r="N151" s="71" t="b">
        <f>Scenarios1[[#This Row],[SPY]]&gt;=SpyMin</f>
        <v>1</v>
      </c>
      <c r="O151" s="71" t="b">
        <f>Scenarios1[[#This Row],[AGG]]&gt;=AGGMin</f>
        <v>1</v>
      </c>
      <c r="P151" s="71" t="b">
        <f>AND(Scenarios1[[#This Row],[GLD]]&gt;=GLDMin,Scenarios1[[#This Row],[GLD]]&lt;=GLDMax)</f>
        <v>1</v>
      </c>
      <c r="Q151" s="71" t="b">
        <f>Scenarios1[[#This Row],[VNQ]]&gt;=VNQMin</f>
        <v>1</v>
      </c>
      <c r="R151" s="71" t="b">
        <f>AND(Scenarios1[[#This Row],[PE]]&gt;=PEMin,Scenarios1[[#This Row],[PE]]&lt;=PEMax)</f>
        <v>1</v>
      </c>
      <c r="S151" s="71" t="b">
        <f>Scenarios1[[#This Row],[Liquid Assets]]&gt;=LiquidMin</f>
        <v>1</v>
      </c>
      <c r="T151" s="71" t="b">
        <f>AND(Scenarios1[[#This Row],[Expected Return]]&gt;=ExpectedReturnMin,Scenarios1[[#This Row],[Expected Return]]&lt;=ExpectedReturnMax)</f>
        <v>1</v>
      </c>
      <c r="U151" s="71" t="b">
        <f>Scenarios1[[#This Row],[Max Drawdown]]&gt;=DrawdownMax</f>
        <v>1</v>
      </c>
      <c r="V151" s="71" t="b">
        <f>AND(Scenarios1[[#This Row],[Weight Sum]]=100%,Scenarios1[[#This Row],[SPY&gt;=25%]],Scenarios1[[#This Row],[AGG&gt;=15%]],Scenarios1[[#This Row],[GLD 10%-20%]],Scenarios1[[#This Row],[VNQ&gt;=10%]],Scenarios1[[#This Row],[PE 10%-20%]],Scenarios1[[#This Row],[Liquid&gt;=80%]],Scenarios1[[#This Row],[Return 7.5%-10%]],Scenarios1[[#This Row],[MDD&gt;=-20%]])</f>
        <v>1</v>
      </c>
      <c r="W151" s="46">
        <f>_xlfn.XLOOKUP(Scenarios1[[#This Row],[Reference '#]],ScenariosCombined[Reference '#],ScenariosCombined[Sharpe Rank])</f>
        <v>108</v>
      </c>
      <c r="X151" s="71">
        <f>IF(Scenarios1[[#This Row],[Eligible]],COUNTIFS(Scenarios1[Sharpe],"&gt;"&amp;Scenarios1[[#This Row],[Sharpe]],Scenarios1[Eligible],TRUE())+COUNTIFS(Scenarios1[Sharpe],Scenarios1[[#This Row],[Sharpe]],Scenarios1[Eligible],TRUE()),"")</f>
        <v>108</v>
      </c>
      <c r="Y151" s="47" t="str">
        <f>TEXT(Scenarios1[[#This Row],[SPY]]*100,"##")&amp;"/"&amp;TEXT(Scenarios1[[#This Row],[AGG]]*100,"##")&amp;"/"&amp;TEXT(Scenarios1[[#This Row],[GLD]]*100,"##")&amp;"/"&amp;TEXT(Scenarios1[[#This Row],[VNQ]]*100,"##")&amp;"/"&amp;TEXT(Scenarios1[[#This Row],[PE]]*100,"##")</f>
        <v>25/15/10/30/20</v>
      </c>
      <c r="Z151">
        <f>Scenarios1[[#This Row],[Sharpe Rank]]</f>
        <v>108</v>
      </c>
      <c r="AA151">
        <f>_xlfn.XLOOKUP(Scenarios1[[#This Row],[Reference '#]],Scenarios2[Reference '#],Scenarios2[Sharpe Rank])</f>
        <v>108</v>
      </c>
      <c r="AB151">
        <f>_xlfn.XLOOKUP(Scenarios1[[#This Row],[Reference '#]],Scenarios3[Reference '#],Scenarios3[Sharpe Rank])</f>
        <v>95</v>
      </c>
      <c r="AG151"/>
      <c r="AK151" s="15"/>
    </row>
  </sheetData>
  <phoneticPr fontId="7" type="noConversion"/>
  <conditionalFormatting sqref="V11:V151">
    <cfRule type="containsText" dxfId="7" priority="1" operator="containsText" text="TRUE">
      <formula>NOT(ISERROR(SEARCH("TRUE",V11)))</formula>
    </cfRule>
    <cfRule type="containsText" dxfId="6" priority="2" operator="containsText" text="FALSE">
      <formula>NOT(ISERROR(SEARCH("FALSE",V11)))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0228-4D3F-47CB-A74A-E99EC3291B61}">
  <dimension ref="B1:AK151"/>
  <sheetViews>
    <sheetView topLeftCell="A129" zoomScale="85" zoomScaleNormal="85" workbookViewId="0"/>
  </sheetViews>
  <sheetFormatPr baseColWidth="10" defaultColWidth="8.83203125" defaultRowHeight="15" x14ac:dyDescent="0.2"/>
  <cols>
    <col min="1" max="1" width="3.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bestFit="1" customWidth="1"/>
    <col min="14" max="14" width="12.6640625" customWidth="1"/>
    <col min="15" max="15" width="13.83203125" customWidth="1"/>
    <col min="16" max="18" width="12.6640625" customWidth="1"/>
    <col min="19" max="19" width="16.5" customWidth="1"/>
    <col min="20" max="21" width="12.6640625" customWidth="1"/>
    <col min="25" max="25" width="16.5" bestFit="1" customWidth="1"/>
    <col min="26" max="26" width="8.6640625" bestFit="1" customWidth="1"/>
    <col min="27" max="28" width="8.5" bestFit="1" customWidth="1"/>
    <col min="31" max="32" width="9.83203125" bestFit="1" customWidth="1"/>
    <col min="33" max="33" width="18.5" style="15" bestFit="1" customWidth="1"/>
    <col min="34" max="34" width="18.1640625" style="15" customWidth="1"/>
    <col min="35" max="35" width="16.1640625" style="15" customWidth="1"/>
    <col min="36" max="36" width="14.5" style="15" customWidth="1"/>
    <col min="37" max="37" width="18.5" bestFit="1" customWidth="1"/>
    <col min="38" max="38" width="18.1640625" customWidth="1"/>
    <col min="39" max="39" width="16.1640625" customWidth="1"/>
    <col min="40" max="40" width="14.5" customWidth="1"/>
    <col min="41" max="41" width="14.83203125" customWidth="1"/>
    <col min="42" max="42" width="18.1640625" customWidth="1"/>
    <col min="43" max="43" width="16.1640625" customWidth="1"/>
    <col min="44" max="44" width="14.5" customWidth="1"/>
    <col min="45" max="45" width="14.83203125" customWidth="1"/>
    <col min="46" max="46" width="18.1640625" customWidth="1"/>
    <col min="47" max="47" width="16.1640625" customWidth="1"/>
    <col min="48" max="48" width="14.5" customWidth="1"/>
    <col min="49" max="49" width="14.83203125" customWidth="1"/>
    <col min="50" max="50" width="18.1640625" customWidth="1"/>
    <col min="51" max="51" width="16.1640625" customWidth="1"/>
    <col min="52" max="52" width="14.5" customWidth="1"/>
    <col min="53" max="53" width="14.83203125" customWidth="1"/>
    <col min="54" max="54" width="18.1640625" customWidth="1"/>
    <col min="55" max="55" width="16.1640625" customWidth="1"/>
    <col min="56" max="56" width="14.5" customWidth="1"/>
    <col min="57" max="57" width="14.83203125" customWidth="1"/>
    <col min="58" max="58" width="18.1640625" customWidth="1"/>
    <col min="59" max="59" width="16.1640625" customWidth="1"/>
    <col min="60" max="60" width="14.5" customWidth="1"/>
    <col min="61" max="61" width="14.83203125" customWidth="1"/>
    <col min="62" max="62" width="18.1640625" customWidth="1"/>
    <col min="63" max="63" width="16.1640625" customWidth="1"/>
    <col min="64" max="64" width="14.5" customWidth="1"/>
    <col min="65" max="65" width="14.83203125" customWidth="1"/>
    <col min="66" max="66" width="18.1640625" customWidth="1"/>
    <col min="67" max="67" width="16.1640625" customWidth="1"/>
    <col min="68" max="68" width="14.5" customWidth="1"/>
    <col min="69" max="69" width="15.83203125" customWidth="1"/>
    <col min="70" max="70" width="19.1640625" customWidth="1"/>
    <col min="71" max="71" width="17.1640625" customWidth="1"/>
    <col min="72" max="72" width="15.5" customWidth="1"/>
    <col min="73" max="73" width="15.83203125" customWidth="1"/>
    <col min="74" max="74" width="19.1640625" customWidth="1"/>
    <col min="75" max="75" width="17.1640625" customWidth="1"/>
    <col min="76" max="76" width="15.5" customWidth="1"/>
    <col min="77" max="77" width="15.83203125" customWidth="1"/>
    <col min="78" max="78" width="19.1640625" customWidth="1"/>
    <col min="79" max="79" width="17.1640625" customWidth="1"/>
    <col min="80" max="80" width="15.5" customWidth="1"/>
    <col min="81" max="81" width="15.83203125" customWidth="1"/>
    <col min="82" max="82" width="19.1640625" customWidth="1"/>
    <col min="83" max="83" width="17.1640625" customWidth="1"/>
    <col min="84" max="84" width="15.5" customWidth="1"/>
    <col min="85" max="85" width="15.83203125" customWidth="1"/>
    <col min="86" max="86" width="19.1640625" customWidth="1"/>
    <col min="87" max="87" width="17.1640625" customWidth="1"/>
    <col min="88" max="88" width="15.5" customWidth="1"/>
    <col min="89" max="89" width="15.83203125" customWidth="1"/>
    <col min="90" max="90" width="19.1640625" customWidth="1"/>
    <col min="91" max="91" width="17.1640625" customWidth="1"/>
    <col min="92" max="92" width="15.5" customWidth="1"/>
    <col min="93" max="93" width="15.83203125" customWidth="1"/>
    <col min="94" max="94" width="19.1640625" customWidth="1"/>
    <col min="95" max="95" width="17.1640625" customWidth="1"/>
    <col min="96" max="96" width="15.5" customWidth="1"/>
    <col min="97" max="97" width="15.83203125" customWidth="1"/>
    <col min="98" max="98" width="19.1640625" customWidth="1"/>
    <col min="99" max="99" width="17.1640625" customWidth="1"/>
    <col min="100" max="100" width="15.5" customWidth="1"/>
    <col min="101" max="101" width="15.83203125" customWidth="1"/>
    <col min="102" max="102" width="19.1640625" customWidth="1"/>
    <col min="103" max="103" width="17.1640625" customWidth="1"/>
    <col min="104" max="104" width="15.5" customWidth="1"/>
    <col min="105" max="105" width="15.83203125" customWidth="1"/>
    <col min="106" max="106" width="19.1640625" customWidth="1"/>
    <col min="107" max="107" width="17.1640625" customWidth="1"/>
    <col min="108" max="108" width="15.5" customWidth="1"/>
    <col min="109" max="109" width="15.83203125" customWidth="1"/>
    <col min="110" max="110" width="19.1640625" customWidth="1"/>
    <col min="111" max="111" width="17.1640625" customWidth="1"/>
    <col min="112" max="112" width="15.5" customWidth="1"/>
    <col min="113" max="113" width="15.83203125" customWidth="1"/>
    <col min="114" max="114" width="19.1640625" customWidth="1"/>
    <col min="115" max="115" width="17.1640625" customWidth="1"/>
    <col min="116" max="116" width="15.5" customWidth="1"/>
    <col min="117" max="117" width="15.83203125" customWidth="1"/>
    <col min="118" max="118" width="19.1640625" customWidth="1"/>
    <col min="119" max="119" width="17.1640625" customWidth="1"/>
    <col min="120" max="120" width="15.5" customWidth="1"/>
    <col min="121" max="121" width="15.83203125" customWidth="1"/>
    <col min="122" max="122" width="19.1640625" customWidth="1"/>
    <col min="123" max="123" width="17.1640625" customWidth="1"/>
    <col min="124" max="124" width="15.5" customWidth="1"/>
    <col min="125" max="125" width="15.83203125" customWidth="1"/>
    <col min="126" max="126" width="19.1640625" customWidth="1"/>
    <col min="127" max="127" width="17.1640625" customWidth="1"/>
    <col min="128" max="128" width="15.5" customWidth="1"/>
    <col min="129" max="129" width="15.83203125" customWidth="1"/>
    <col min="130" max="130" width="19.1640625" customWidth="1"/>
    <col min="131" max="131" width="17.1640625" customWidth="1"/>
    <col min="132" max="132" width="15.5" customWidth="1"/>
    <col min="133" max="133" width="15.83203125" customWidth="1"/>
    <col min="134" max="134" width="19.1640625" customWidth="1"/>
    <col min="135" max="135" width="17.1640625" customWidth="1"/>
    <col min="136" max="136" width="15.5" customWidth="1"/>
    <col min="137" max="137" width="15.83203125" customWidth="1"/>
    <col min="138" max="138" width="19.1640625" customWidth="1"/>
    <col min="139" max="139" width="17.1640625" customWidth="1"/>
    <col min="140" max="140" width="15.5" customWidth="1"/>
    <col min="141" max="141" width="15.83203125" customWidth="1"/>
    <col min="142" max="142" width="19.1640625" customWidth="1"/>
    <col min="143" max="143" width="17.1640625" customWidth="1"/>
    <col min="144" max="144" width="15.5" customWidth="1"/>
    <col min="145" max="145" width="15.83203125" customWidth="1"/>
    <col min="146" max="146" width="19.1640625" customWidth="1"/>
    <col min="147" max="147" width="17.1640625" customWidth="1"/>
    <col min="148" max="148" width="15.5" customWidth="1"/>
    <col min="149" max="149" width="15.83203125" customWidth="1"/>
    <col min="150" max="150" width="19.1640625" customWidth="1"/>
    <col min="151" max="151" width="17.1640625" customWidth="1"/>
    <col min="152" max="152" width="15.5" customWidth="1"/>
    <col min="153" max="153" width="15.83203125" customWidth="1"/>
    <col min="154" max="154" width="19.1640625" customWidth="1"/>
    <col min="155" max="155" width="17.1640625" customWidth="1"/>
    <col min="156" max="156" width="15.5" customWidth="1"/>
    <col min="157" max="157" width="15.83203125" customWidth="1"/>
    <col min="158" max="158" width="19.1640625" customWidth="1"/>
    <col min="159" max="159" width="17.1640625" customWidth="1"/>
    <col min="160" max="160" width="15.5" customWidth="1"/>
    <col min="161" max="161" width="15.83203125" customWidth="1"/>
    <col min="162" max="162" width="19.1640625" customWidth="1"/>
    <col min="163" max="163" width="17.1640625" customWidth="1"/>
    <col min="164" max="164" width="15.5" customWidth="1"/>
    <col min="165" max="165" width="15.83203125" customWidth="1"/>
    <col min="166" max="166" width="19.1640625" customWidth="1"/>
    <col min="167" max="167" width="17.1640625" customWidth="1"/>
    <col min="168" max="168" width="15.5" customWidth="1"/>
    <col min="169" max="169" width="15.83203125" customWidth="1"/>
    <col min="170" max="170" width="19.1640625" customWidth="1"/>
    <col min="171" max="171" width="17.1640625" customWidth="1"/>
    <col min="172" max="172" width="15.5" customWidth="1"/>
    <col min="173" max="173" width="15.83203125" customWidth="1"/>
    <col min="174" max="174" width="19.1640625" customWidth="1"/>
    <col min="175" max="175" width="17.1640625" customWidth="1"/>
    <col min="176" max="176" width="15.5" customWidth="1"/>
    <col min="177" max="177" width="15.83203125" customWidth="1"/>
    <col min="178" max="178" width="19.1640625" customWidth="1"/>
    <col min="179" max="179" width="17.1640625" customWidth="1"/>
    <col min="180" max="180" width="15.5" customWidth="1"/>
    <col min="181" max="181" width="15.83203125" customWidth="1"/>
    <col min="182" max="182" width="19.1640625" customWidth="1"/>
    <col min="183" max="183" width="17.1640625" customWidth="1"/>
    <col min="184" max="184" width="15.5" customWidth="1"/>
    <col min="185" max="185" width="15.83203125" customWidth="1"/>
    <col min="186" max="186" width="19.1640625" customWidth="1"/>
    <col min="187" max="187" width="17.1640625" customWidth="1"/>
    <col min="188" max="188" width="15.5" customWidth="1"/>
    <col min="189" max="189" width="15.83203125" customWidth="1"/>
    <col min="190" max="190" width="19.1640625" customWidth="1"/>
    <col min="191" max="191" width="17.1640625" customWidth="1"/>
    <col min="192" max="192" width="15.5" customWidth="1"/>
    <col min="193" max="193" width="15.83203125" customWidth="1"/>
    <col min="194" max="194" width="19.1640625" customWidth="1"/>
    <col min="195" max="195" width="17.1640625" customWidth="1"/>
    <col min="196" max="196" width="15.5" customWidth="1"/>
    <col min="197" max="197" width="15.83203125" customWidth="1"/>
    <col min="198" max="198" width="19.1640625" customWidth="1"/>
    <col min="199" max="199" width="17.1640625" customWidth="1"/>
    <col min="200" max="200" width="15.5" customWidth="1"/>
    <col min="201" max="201" width="15.83203125" customWidth="1"/>
    <col min="202" max="202" width="19.1640625" customWidth="1"/>
    <col min="203" max="203" width="17.1640625" customWidth="1"/>
    <col min="204" max="204" width="15.5" customWidth="1"/>
    <col min="205" max="205" width="15.83203125" customWidth="1"/>
    <col min="206" max="206" width="19.1640625" customWidth="1"/>
    <col min="207" max="207" width="17.1640625" customWidth="1"/>
    <col min="208" max="208" width="15.5" customWidth="1"/>
    <col min="209" max="209" width="15.83203125" customWidth="1"/>
    <col min="210" max="210" width="19.1640625" customWidth="1"/>
    <col min="211" max="211" width="17.1640625" customWidth="1"/>
    <col min="212" max="212" width="15.5" customWidth="1"/>
    <col min="213" max="213" width="15.83203125" customWidth="1"/>
    <col min="214" max="214" width="19.1640625" customWidth="1"/>
    <col min="215" max="215" width="17.1640625" customWidth="1"/>
    <col min="216" max="216" width="15.5" customWidth="1"/>
    <col min="217" max="217" width="15.83203125" customWidth="1"/>
    <col min="218" max="218" width="19.1640625" customWidth="1"/>
    <col min="219" max="219" width="17.1640625" customWidth="1"/>
    <col min="220" max="220" width="15.5" customWidth="1"/>
    <col min="221" max="221" width="15.83203125" customWidth="1"/>
    <col min="222" max="222" width="19.1640625" customWidth="1"/>
    <col min="223" max="223" width="17.1640625" customWidth="1"/>
    <col min="224" max="224" width="15.5" customWidth="1"/>
    <col min="225" max="225" width="15.83203125" customWidth="1"/>
    <col min="226" max="226" width="19.1640625" customWidth="1"/>
    <col min="227" max="227" width="17.1640625" customWidth="1"/>
    <col min="228" max="228" width="15.5" customWidth="1"/>
    <col min="229" max="229" width="15.83203125" customWidth="1"/>
    <col min="230" max="230" width="19.1640625" customWidth="1"/>
    <col min="231" max="231" width="17.1640625" customWidth="1"/>
    <col min="232" max="232" width="15.5" customWidth="1"/>
    <col min="233" max="233" width="15.83203125" customWidth="1"/>
    <col min="234" max="234" width="19.1640625" customWidth="1"/>
    <col min="235" max="235" width="17.1640625" customWidth="1"/>
    <col min="236" max="236" width="15.5" customWidth="1"/>
    <col min="237" max="237" width="15.83203125" customWidth="1"/>
    <col min="238" max="238" width="19.1640625" customWidth="1"/>
    <col min="239" max="239" width="17.1640625" customWidth="1"/>
    <col min="240" max="240" width="15.5" customWidth="1"/>
    <col min="241" max="241" width="15.83203125" customWidth="1"/>
    <col min="242" max="242" width="19.1640625" customWidth="1"/>
    <col min="243" max="243" width="17.1640625" customWidth="1"/>
    <col min="244" max="244" width="15.5" customWidth="1"/>
    <col min="245" max="245" width="15.83203125" customWidth="1"/>
    <col min="246" max="246" width="19.1640625" customWidth="1"/>
    <col min="247" max="247" width="17.1640625" customWidth="1"/>
    <col min="248" max="248" width="15.5" customWidth="1"/>
    <col min="249" max="249" width="15.83203125" customWidth="1"/>
    <col min="250" max="250" width="19.1640625" customWidth="1"/>
    <col min="251" max="251" width="17.1640625" customWidth="1"/>
    <col min="252" max="252" width="15.5" customWidth="1"/>
    <col min="253" max="253" width="15.83203125" customWidth="1"/>
    <col min="254" max="254" width="19.1640625" customWidth="1"/>
    <col min="255" max="255" width="17.1640625" customWidth="1"/>
    <col min="256" max="256" width="15.5" customWidth="1"/>
    <col min="257" max="257" width="15.83203125" customWidth="1"/>
    <col min="258" max="258" width="19.1640625" customWidth="1"/>
    <col min="259" max="259" width="17.1640625" customWidth="1"/>
    <col min="260" max="260" width="15.5" customWidth="1"/>
    <col min="261" max="261" width="15.83203125" customWidth="1"/>
    <col min="262" max="262" width="19.1640625" customWidth="1"/>
    <col min="263" max="263" width="17.1640625" customWidth="1"/>
    <col min="264" max="264" width="15.5" customWidth="1"/>
    <col min="265" max="265" width="15.83203125" customWidth="1"/>
    <col min="266" max="266" width="19.1640625" customWidth="1"/>
    <col min="267" max="267" width="17.1640625" customWidth="1"/>
    <col min="268" max="268" width="15.5" customWidth="1"/>
    <col min="269" max="269" width="15.83203125" customWidth="1"/>
    <col min="270" max="270" width="19.1640625" customWidth="1"/>
    <col min="271" max="271" width="17.1640625" customWidth="1"/>
    <col min="272" max="272" width="15.5" customWidth="1"/>
    <col min="273" max="273" width="15.83203125" customWidth="1"/>
    <col min="274" max="274" width="19.1640625" customWidth="1"/>
    <col min="275" max="275" width="17.1640625" customWidth="1"/>
    <col min="276" max="276" width="15.5" customWidth="1"/>
    <col min="277" max="277" width="15.83203125" customWidth="1"/>
    <col min="278" max="278" width="19.1640625" customWidth="1"/>
    <col min="279" max="279" width="17.1640625" customWidth="1"/>
    <col min="280" max="280" width="15.5" customWidth="1"/>
    <col min="281" max="281" width="15.83203125" customWidth="1"/>
    <col min="282" max="282" width="19.1640625" customWidth="1"/>
    <col min="283" max="283" width="17.1640625" customWidth="1"/>
    <col min="284" max="284" width="15.5" customWidth="1"/>
    <col min="285" max="285" width="15.83203125" customWidth="1"/>
    <col min="286" max="286" width="19.1640625" customWidth="1"/>
    <col min="287" max="287" width="17.1640625" customWidth="1"/>
    <col min="288" max="288" width="15.5" customWidth="1"/>
    <col min="289" max="289" width="15.83203125" customWidth="1"/>
    <col min="290" max="290" width="19.1640625" customWidth="1"/>
    <col min="291" max="291" width="17.1640625" customWidth="1"/>
    <col min="292" max="292" width="15.5" customWidth="1"/>
    <col min="293" max="293" width="15.83203125" customWidth="1"/>
    <col min="294" max="294" width="19.1640625" customWidth="1"/>
    <col min="295" max="295" width="17.1640625" customWidth="1"/>
    <col min="296" max="296" width="15.5" customWidth="1"/>
    <col min="297" max="297" width="15.83203125" customWidth="1"/>
    <col min="298" max="298" width="19.1640625" customWidth="1"/>
    <col min="299" max="299" width="17.1640625" customWidth="1"/>
    <col min="300" max="300" width="15.5" customWidth="1"/>
    <col min="301" max="301" width="15.83203125" customWidth="1"/>
    <col min="302" max="302" width="19.1640625" customWidth="1"/>
    <col min="303" max="303" width="17.1640625" customWidth="1"/>
    <col min="304" max="304" width="15.5" customWidth="1"/>
    <col min="305" max="305" width="15.83203125" customWidth="1"/>
    <col min="306" max="306" width="19.1640625" customWidth="1"/>
    <col min="307" max="307" width="17.1640625" customWidth="1"/>
    <col min="308" max="308" width="15.5" customWidth="1"/>
    <col min="309" max="309" width="15.83203125" customWidth="1"/>
    <col min="310" max="310" width="19.1640625" customWidth="1"/>
    <col min="311" max="311" width="17.1640625" customWidth="1"/>
    <col min="312" max="312" width="15.5" customWidth="1"/>
    <col min="313" max="313" width="15.83203125" customWidth="1"/>
    <col min="314" max="314" width="19.1640625" customWidth="1"/>
    <col min="315" max="315" width="17.1640625" customWidth="1"/>
    <col min="316" max="316" width="15.5" customWidth="1"/>
    <col min="317" max="317" width="15.83203125" customWidth="1"/>
    <col min="318" max="318" width="19.1640625" customWidth="1"/>
    <col min="319" max="319" width="17.1640625" customWidth="1"/>
    <col min="320" max="320" width="15.5" customWidth="1"/>
    <col min="321" max="321" width="15.83203125" customWidth="1"/>
    <col min="322" max="322" width="19.1640625" customWidth="1"/>
    <col min="323" max="323" width="17.1640625" customWidth="1"/>
    <col min="324" max="324" width="15.5" customWidth="1"/>
    <col min="325" max="325" width="15.83203125" customWidth="1"/>
    <col min="326" max="326" width="19.1640625" customWidth="1"/>
    <col min="327" max="327" width="17.1640625" customWidth="1"/>
    <col min="328" max="328" width="15.5" customWidth="1"/>
    <col min="329" max="329" width="15.83203125" customWidth="1"/>
    <col min="330" max="330" width="19.1640625" customWidth="1"/>
    <col min="331" max="331" width="17.1640625" customWidth="1"/>
    <col min="332" max="332" width="15.5" customWidth="1"/>
    <col min="333" max="333" width="15.83203125" customWidth="1"/>
    <col min="334" max="334" width="19.1640625" customWidth="1"/>
    <col min="335" max="335" width="17.1640625" customWidth="1"/>
    <col min="336" max="336" width="15.5" customWidth="1"/>
    <col min="337" max="337" width="15.83203125" customWidth="1"/>
    <col min="338" max="338" width="19.1640625" customWidth="1"/>
    <col min="339" max="339" width="17.1640625" customWidth="1"/>
    <col min="340" max="340" width="15.5" customWidth="1"/>
    <col min="341" max="341" width="15.83203125" customWidth="1"/>
    <col min="342" max="342" width="19.1640625" customWidth="1"/>
    <col min="343" max="343" width="17.1640625" customWidth="1"/>
    <col min="344" max="344" width="15.5" customWidth="1"/>
    <col min="345" max="345" width="15.83203125" customWidth="1"/>
    <col min="346" max="346" width="19.1640625" customWidth="1"/>
    <col min="347" max="347" width="17.1640625" customWidth="1"/>
    <col min="348" max="348" width="15.5" customWidth="1"/>
    <col min="349" max="349" width="15.83203125" customWidth="1"/>
    <col min="350" max="350" width="19.1640625" customWidth="1"/>
    <col min="351" max="351" width="17.1640625" customWidth="1"/>
    <col min="352" max="352" width="15.5" customWidth="1"/>
    <col min="353" max="353" width="15.83203125" customWidth="1"/>
    <col min="354" max="354" width="19.1640625" customWidth="1"/>
    <col min="355" max="355" width="17.1640625" customWidth="1"/>
    <col min="356" max="356" width="15.5" customWidth="1"/>
    <col min="357" max="357" width="15.83203125" customWidth="1"/>
    <col min="358" max="358" width="19.1640625" customWidth="1"/>
    <col min="359" max="359" width="17.1640625" customWidth="1"/>
    <col min="360" max="360" width="15.5" customWidth="1"/>
    <col min="361" max="361" width="15.83203125" customWidth="1"/>
    <col min="362" max="362" width="19.1640625" customWidth="1"/>
    <col min="363" max="363" width="17.1640625" customWidth="1"/>
    <col min="364" max="364" width="15.5" customWidth="1"/>
    <col min="365" max="365" width="15.83203125" customWidth="1"/>
    <col min="366" max="366" width="19.1640625" customWidth="1"/>
    <col min="367" max="367" width="17.1640625" customWidth="1"/>
    <col min="368" max="368" width="15.5" customWidth="1"/>
    <col min="369" max="369" width="15.83203125" customWidth="1"/>
    <col min="370" max="370" width="19.1640625" customWidth="1"/>
    <col min="371" max="371" width="17.1640625" customWidth="1"/>
    <col min="372" max="372" width="15.5" customWidth="1"/>
    <col min="373" max="373" width="15.83203125" customWidth="1"/>
    <col min="374" max="374" width="19.1640625" customWidth="1"/>
    <col min="375" max="375" width="17.1640625" customWidth="1"/>
    <col min="376" max="376" width="15.5" customWidth="1"/>
    <col min="377" max="377" width="15.83203125" customWidth="1"/>
    <col min="378" max="378" width="19.1640625" customWidth="1"/>
    <col min="379" max="379" width="17.1640625" customWidth="1"/>
    <col min="380" max="380" width="15.5" customWidth="1"/>
    <col min="381" max="381" width="15.83203125" customWidth="1"/>
    <col min="382" max="382" width="19.1640625" customWidth="1"/>
    <col min="383" max="383" width="17.1640625" customWidth="1"/>
    <col min="384" max="384" width="15.5" customWidth="1"/>
    <col min="385" max="385" width="15.83203125" customWidth="1"/>
    <col min="386" max="386" width="19.1640625" customWidth="1"/>
    <col min="387" max="387" width="17.1640625" customWidth="1"/>
    <col min="388" max="388" width="15.5" customWidth="1"/>
    <col min="389" max="389" width="15.83203125" customWidth="1"/>
    <col min="390" max="390" width="19.1640625" customWidth="1"/>
    <col min="391" max="391" width="17.1640625" customWidth="1"/>
    <col min="392" max="392" width="15.5" customWidth="1"/>
    <col min="393" max="393" width="15.83203125" customWidth="1"/>
    <col min="394" max="394" width="19.1640625" customWidth="1"/>
    <col min="395" max="395" width="17.1640625" customWidth="1"/>
    <col min="396" max="396" width="15.5" customWidth="1"/>
    <col min="397" max="397" width="15.83203125" customWidth="1"/>
    <col min="398" max="398" width="19.1640625" customWidth="1"/>
    <col min="399" max="399" width="17.1640625" customWidth="1"/>
    <col min="400" max="400" width="15.5" customWidth="1"/>
    <col min="401" max="401" width="15.83203125" customWidth="1"/>
    <col min="402" max="402" width="19.1640625" customWidth="1"/>
    <col min="403" max="403" width="17.1640625" customWidth="1"/>
    <col min="404" max="404" width="15.5" customWidth="1"/>
    <col min="405" max="405" width="15.83203125" customWidth="1"/>
    <col min="406" max="406" width="19.1640625" customWidth="1"/>
    <col min="407" max="407" width="17.1640625" customWidth="1"/>
    <col min="408" max="408" width="15.5" customWidth="1"/>
    <col min="409" max="409" width="15.83203125" customWidth="1"/>
    <col min="410" max="410" width="19.1640625" customWidth="1"/>
    <col min="411" max="411" width="17.1640625" customWidth="1"/>
    <col min="412" max="412" width="15.5" customWidth="1"/>
    <col min="413" max="413" width="15.83203125" customWidth="1"/>
    <col min="414" max="414" width="19.1640625" customWidth="1"/>
    <col min="415" max="415" width="17.1640625" customWidth="1"/>
    <col min="416" max="416" width="15.5" customWidth="1"/>
    <col min="417" max="417" width="15.83203125" customWidth="1"/>
    <col min="418" max="418" width="19.1640625" customWidth="1"/>
    <col min="419" max="419" width="17.1640625" customWidth="1"/>
    <col min="420" max="420" width="15.5" customWidth="1"/>
    <col min="421" max="421" width="15.83203125" customWidth="1"/>
    <col min="422" max="422" width="19.1640625" customWidth="1"/>
    <col min="423" max="423" width="17.1640625" customWidth="1"/>
    <col min="424" max="424" width="15.5" customWidth="1"/>
    <col min="425" max="425" width="15.83203125" customWidth="1"/>
    <col min="426" max="426" width="19.1640625" customWidth="1"/>
    <col min="427" max="427" width="17.1640625" customWidth="1"/>
    <col min="428" max="428" width="15.5" customWidth="1"/>
    <col min="429" max="429" width="16.83203125" customWidth="1"/>
    <col min="430" max="430" width="20.1640625" customWidth="1"/>
    <col min="431" max="431" width="18.1640625" customWidth="1"/>
    <col min="432" max="432" width="16.5" customWidth="1"/>
    <col min="433" max="433" width="16.83203125" customWidth="1"/>
    <col min="434" max="434" width="20.1640625" customWidth="1"/>
    <col min="435" max="435" width="18.1640625" customWidth="1"/>
    <col min="436" max="436" width="16.5" customWidth="1"/>
    <col min="437" max="437" width="16.83203125" customWidth="1"/>
    <col min="438" max="438" width="20.1640625" customWidth="1"/>
    <col min="439" max="439" width="18.1640625" customWidth="1"/>
    <col min="440" max="440" width="16.5" customWidth="1"/>
    <col min="441" max="441" width="16.83203125" customWidth="1"/>
    <col min="442" max="442" width="20.1640625" customWidth="1"/>
    <col min="443" max="443" width="18.1640625" customWidth="1"/>
    <col min="444" max="444" width="16.5" customWidth="1"/>
    <col min="445" max="445" width="16.83203125" customWidth="1"/>
    <col min="446" max="446" width="20.1640625" customWidth="1"/>
    <col min="447" max="447" width="18.1640625" customWidth="1"/>
    <col min="448" max="448" width="16.5" customWidth="1"/>
    <col min="449" max="449" width="16.83203125" customWidth="1"/>
    <col min="450" max="450" width="20.1640625" customWidth="1"/>
    <col min="451" max="451" width="18.1640625" customWidth="1"/>
    <col min="452" max="452" width="16.5" customWidth="1"/>
    <col min="453" max="453" width="16.83203125" customWidth="1"/>
    <col min="454" max="454" width="20.1640625" customWidth="1"/>
    <col min="455" max="455" width="18.1640625" customWidth="1"/>
    <col min="456" max="456" width="16.5" customWidth="1"/>
    <col min="457" max="457" width="16.83203125" customWidth="1"/>
    <col min="458" max="458" width="20.1640625" customWidth="1"/>
    <col min="459" max="459" width="18.1640625" customWidth="1"/>
    <col min="460" max="460" width="16.5" customWidth="1"/>
    <col min="461" max="461" width="16.83203125" customWidth="1"/>
    <col min="462" max="462" width="20.1640625" customWidth="1"/>
    <col min="463" max="463" width="18.1640625" customWidth="1"/>
    <col min="464" max="464" width="16.5" customWidth="1"/>
    <col min="465" max="465" width="16.83203125" customWidth="1"/>
    <col min="466" max="466" width="20.1640625" customWidth="1"/>
    <col min="467" max="467" width="18.1640625" customWidth="1"/>
    <col min="468" max="468" width="16.5" customWidth="1"/>
    <col min="469" max="469" width="16.83203125" customWidth="1"/>
    <col min="470" max="470" width="20.1640625" customWidth="1"/>
    <col min="471" max="471" width="18.1640625" customWidth="1"/>
    <col min="472" max="472" width="16.5" customWidth="1"/>
    <col min="473" max="473" width="16.83203125" customWidth="1"/>
    <col min="474" max="474" width="20.1640625" customWidth="1"/>
    <col min="475" max="475" width="18.1640625" customWidth="1"/>
    <col min="476" max="476" width="16.5" customWidth="1"/>
    <col min="477" max="477" width="16.83203125" customWidth="1"/>
    <col min="478" max="478" width="20.1640625" customWidth="1"/>
    <col min="479" max="479" width="18.1640625" customWidth="1"/>
    <col min="480" max="480" width="16.5" customWidth="1"/>
    <col min="481" max="481" width="16.83203125" customWidth="1"/>
    <col min="482" max="482" width="20.1640625" customWidth="1"/>
    <col min="483" max="483" width="18.1640625" customWidth="1"/>
    <col min="484" max="484" width="16.5" customWidth="1"/>
    <col min="485" max="485" width="16.83203125" customWidth="1"/>
    <col min="486" max="486" width="20.1640625" customWidth="1"/>
    <col min="487" max="487" width="18.1640625" customWidth="1"/>
    <col min="488" max="488" width="16.5" customWidth="1"/>
    <col min="489" max="489" width="16.83203125" customWidth="1"/>
    <col min="490" max="490" width="20.1640625" customWidth="1"/>
    <col min="491" max="491" width="18.1640625" customWidth="1"/>
    <col min="492" max="492" width="16.5" customWidth="1"/>
    <col min="493" max="493" width="16.83203125" customWidth="1"/>
    <col min="494" max="494" width="20.1640625" customWidth="1"/>
    <col min="495" max="495" width="18.1640625" customWidth="1"/>
    <col min="496" max="496" width="16.5" customWidth="1"/>
    <col min="497" max="497" width="16.83203125" customWidth="1"/>
    <col min="498" max="498" width="20.1640625" customWidth="1"/>
    <col min="499" max="499" width="18.1640625" customWidth="1"/>
    <col min="500" max="500" width="16.5" customWidth="1"/>
    <col min="501" max="501" width="16.83203125" customWidth="1"/>
    <col min="502" max="502" width="20.1640625" customWidth="1"/>
    <col min="503" max="503" width="18.1640625" customWidth="1"/>
    <col min="504" max="504" width="16.5" customWidth="1"/>
    <col min="505" max="505" width="16.83203125" customWidth="1"/>
    <col min="506" max="506" width="20.1640625" customWidth="1"/>
    <col min="507" max="507" width="18.1640625" customWidth="1"/>
    <col min="508" max="508" width="16.5" customWidth="1"/>
    <col min="509" max="509" width="16.83203125" customWidth="1"/>
    <col min="510" max="510" width="20.1640625" customWidth="1"/>
    <col min="511" max="511" width="18.1640625" customWidth="1"/>
    <col min="512" max="512" width="16.5" customWidth="1"/>
    <col min="513" max="513" width="16.83203125" customWidth="1"/>
    <col min="514" max="514" width="20.1640625" customWidth="1"/>
    <col min="515" max="515" width="18.1640625" customWidth="1"/>
    <col min="516" max="516" width="16.5" customWidth="1"/>
    <col min="517" max="517" width="16.83203125" customWidth="1"/>
    <col min="518" max="518" width="20.1640625" customWidth="1"/>
    <col min="519" max="519" width="18.1640625" customWidth="1"/>
    <col min="520" max="520" width="16.5" customWidth="1"/>
    <col min="521" max="521" width="16.83203125" customWidth="1"/>
    <col min="522" max="522" width="20.1640625" customWidth="1"/>
    <col min="523" max="523" width="18.1640625" customWidth="1"/>
    <col min="524" max="524" width="16.5" customWidth="1"/>
    <col min="525" max="525" width="16.83203125" customWidth="1"/>
    <col min="526" max="526" width="20.1640625" customWidth="1"/>
    <col min="527" max="527" width="18.1640625" customWidth="1"/>
    <col min="528" max="528" width="16.5" customWidth="1"/>
    <col min="529" max="529" width="16.83203125" customWidth="1"/>
    <col min="530" max="530" width="20.1640625" customWidth="1"/>
    <col min="531" max="531" width="18.1640625" customWidth="1"/>
    <col min="532" max="532" width="16.5" customWidth="1"/>
    <col min="533" max="533" width="16.83203125" customWidth="1"/>
    <col min="534" max="534" width="20.1640625" customWidth="1"/>
    <col min="535" max="535" width="18.1640625" customWidth="1"/>
    <col min="536" max="536" width="16.5" customWidth="1"/>
    <col min="537" max="537" width="16.83203125" customWidth="1"/>
    <col min="538" max="538" width="20.1640625" customWidth="1"/>
    <col min="539" max="539" width="18.1640625" customWidth="1"/>
    <col min="540" max="540" width="16.5" customWidth="1"/>
    <col min="541" max="541" width="16.83203125" customWidth="1"/>
    <col min="542" max="542" width="20.1640625" customWidth="1"/>
    <col min="543" max="543" width="18.1640625" customWidth="1"/>
    <col min="544" max="544" width="16.5" customWidth="1"/>
    <col min="545" max="545" width="16.83203125" customWidth="1"/>
    <col min="546" max="546" width="20.1640625" customWidth="1"/>
    <col min="547" max="547" width="18.1640625" customWidth="1"/>
    <col min="548" max="548" width="16.5" customWidth="1"/>
    <col min="549" max="549" width="16.83203125" customWidth="1"/>
    <col min="550" max="550" width="20.1640625" customWidth="1"/>
    <col min="551" max="551" width="18.1640625" customWidth="1"/>
    <col min="552" max="552" width="16.5" customWidth="1"/>
    <col min="553" max="553" width="16.83203125" customWidth="1"/>
    <col min="554" max="554" width="20.1640625" customWidth="1"/>
    <col min="555" max="555" width="18.1640625" customWidth="1"/>
    <col min="556" max="556" width="16.5" customWidth="1"/>
    <col min="557" max="557" width="16.83203125" customWidth="1"/>
    <col min="558" max="558" width="20.1640625" customWidth="1"/>
    <col min="559" max="559" width="18.1640625" customWidth="1"/>
    <col min="560" max="560" width="16.5" customWidth="1"/>
    <col min="561" max="561" width="16.83203125" customWidth="1"/>
    <col min="562" max="562" width="20.1640625" customWidth="1"/>
    <col min="563" max="563" width="18.1640625" customWidth="1"/>
    <col min="564" max="564" width="16.5" customWidth="1"/>
    <col min="565" max="565" width="16.83203125" customWidth="1"/>
    <col min="566" max="566" width="20.1640625" customWidth="1"/>
    <col min="567" max="567" width="18.1640625" customWidth="1"/>
    <col min="568" max="568" width="16.5" customWidth="1"/>
    <col min="569" max="569" width="16.83203125" customWidth="1"/>
    <col min="570" max="570" width="20.1640625" customWidth="1"/>
    <col min="571" max="571" width="18.1640625" customWidth="1"/>
    <col min="572" max="572" width="16.5" customWidth="1"/>
    <col min="573" max="573" width="16.83203125" customWidth="1"/>
    <col min="574" max="574" width="20.1640625" customWidth="1"/>
    <col min="575" max="575" width="18.1640625" customWidth="1"/>
    <col min="576" max="576" width="16.5" customWidth="1"/>
    <col min="577" max="577" width="16.83203125" customWidth="1"/>
    <col min="578" max="578" width="20.1640625" customWidth="1"/>
    <col min="579" max="579" width="18.1640625" customWidth="1"/>
    <col min="580" max="580" width="16.5" customWidth="1"/>
    <col min="581" max="581" width="16.83203125" customWidth="1"/>
    <col min="582" max="582" width="20.1640625" customWidth="1"/>
    <col min="583" max="583" width="18.1640625" customWidth="1"/>
    <col min="584" max="584" width="16.5" customWidth="1"/>
    <col min="585" max="585" width="16.83203125" customWidth="1"/>
    <col min="586" max="586" width="20.1640625" customWidth="1"/>
    <col min="587" max="587" width="18.1640625" customWidth="1"/>
    <col min="588" max="588" width="16.5" customWidth="1"/>
    <col min="589" max="589" width="16.83203125" customWidth="1"/>
    <col min="590" max="590" width="20.1640625" customWidth="1"/>
    <col min="591" max="591" width="18.1640625" customWidth="1"/>
    <col min="592" max="592" width="16.5" customWidth="1"/>
    <col min="593" max="593" width="16.83203125" customWidth="1"/>
    <col min="594" max="594" width="20.1640625" customWidth="1"/>
    <col min="595" max="595" width="18.1640625" customWidth="1"/>
    <col min="596" max="596" width="16.5" customWidth="1"/>
  </cols>
  <sheetData>
    <row r="1" spans="2:37" s="15" customFormat="1" ht="19" x14ac:dyDescent="0.25">
      <c r="B1" s="39" t="s">
        <v>640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K1"/>
    </row>
    <row r="2" spans="2:37" x14ac:dyDescent="0.2">
      <c r="B2" s="103"/>
    </row>
    <row r="3" spans="2:37" s="15" customFormat="1" ht="16" x14ac:dyDescent="0.2">
      <c r="B3" s="17" t="s">
        <v>16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17</v>
      </c>
      <c r="I3" s="18" t="s">
        <v>14</v>
      </c>
      <c r="J3" s="18" t="s">
        <v>18</v>
      </c>
      <c r="K3" s="18" t="s">
        <v>19</v>
      </c>
      <c r="L3" s="19" t="s">
        <v>20</v>
      </c>
      <c r="M3" s="18" t="s">
        <v>662</v>
      </c>
      <c r="N3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K3"/>
    </row>
    <row r="4" spans="2:37" s="15" customFormat="1" x14ac:dyDescent="0.2">
      <c r="B4" s="61">
        <v>1</v>
      </c>
      <c r="C4" s="53">
        <f t="shared" ref="C4:L8" si="0">_xlfn.XLOOKUP($B4,$AA$10:$AA$149,C$10:C$149)</f>
        <v>0.35</v>
      </c>
      <c r="D4" s="53">
        <f t="shared" si="0"/>
        <v>0.15</v>
      </c>
      <c r="E4" s="53">
        <f t="shared" si="0"/>
        <v>0.2</v>
      </c>
      <c r="F4" s="53">
        <f t="shared" si="0"/>
        <v>0.1</v>
      </c>
      <c r="G4" s="53">
        <f t="shared" si="0"/>
        <v>0.2</v>
      </c>
      <c r="H4" s="53">
        <f t="shared" si="0"/>
        <v>9.567461158867431E-2</v>
      </c>
      <c r="I4" s="53">
        <f t="shared" si="0"/>
        <v>7.3031963043220252E-2</v>
      </c>
      <c r="J4" s="85">
        <f t="shared" si="0"/>
        <v>0.66640761120328174</v>
      </c>
      <c r="K4" s="53">
        <f>_xlfn.XLOOKUP($B4,$AA$10:$AA$149,K$10:K$149)</f>
        <v>-0.15484931096251686</v>
      </c>
      <c r="L4" s="56">
        <f>_xlfn.XLOOKUP($B4,$AA$10:$AA$149,L$10:L$149)</f>
        <v>0.79999999999999993</v>
      </c>
      <c r="M4" s="137" t="str">
        <f>_xlfn.XLOOKUP(Scenario2Rank[[#This Row],[Rank]],$X$10:$X$149,Y$10:Y$149)</f>
        <v>35/15/20/10/20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K4"/>
    </row>
    <row r="5" spans="2:37" s="15" customFormat="1" x14ac:dyDescent="0.2">
      <c r="B5" s="61">
        <v>2</v>
      </c>
      <c r="C5" s="53">
        <f t="shared" si="0"/>
        <v>0.4</v>
      </c>
      <c r="D5" s="53">
        <f t="shared" si="0"/>
        <v>0.15</v>
      </c>
      <c r="E5" s="53">
        <f t="shared" si="0"/>
        <v>0.15</v>
      </c>
      <c r="F5" s="53">
        <f t="shared" si="0"/>
        <v>0.1</v>
      </c>
      <c r="G5" s="53">
        <f t="shared" si="0"/>
        <v>0.2</v>
      </c>
      <c r="H5" s="53">
        <f t="shared" si="0"/>
        <v>9.6782386362443476E-2</v>
      </c>
      <c r="I5" s="53">
        <f t="shared" si="0"/>
        <v>7.5583071565287943E-2</v>
      </c>
      <c r="J5" s="85">
        <f t="shared" si="0"/>
        <v>0.65857115589555226</v>
      </c>
      <c r="K5" s="53">
        <f t="shared" si="0"/>
        <v>-0.16220725630038224</v>
      </c>
      <c r="L5" s="56">
        <f t="shared" si="0"/>
        <v>0.8</v>
      </c>
      <c r="M5" s="137" t="str">
        <f>_xlfn.XLOOKUP(Scenario2Rank[[#This Row],[Rank]],$X$10:$X$149,Y$10:Y$149)</f>
        <v>40/15/15/10/20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K5"/>
    </row>
    <row r="6" spans="2:37" s="15" customFormat="1" x14ac:dyDescent="0.2">
      <c r="B6" s="61">
        <v>3</v>
      </c>
      <c r="C6" s="53">
        <f t="shared" si="0"/>
        <v>0.4</v>
      </c>
      <c r="D6" s="53">
        <f t="shared" si="0"/>
        <v>0.2</v>
      </c>
      <c r="E6" s="53">
        <f t="shared" si="0"/>
        <v>0.2</v>
      </c>
      <c r="F6" s="53">
        <f t="shared" si="0"/>
        <v>0.1</v>
      </c>
      <c r="G6" s="53">
        <f t="shared" si="0"/>
        <v>0.1</v>
      </c>
      <c r="H6" s="53">
        <f t="shared" si="0"/>
        <v>9.8916952879463033E-2</v>
      </c>
      <c r="I6" s="53">
        <f t="shared" si="0"/>
        <v>7.9943764058617736E-2</v>
      </c>
      <c r="J6" s="85">
        <f t="shared" si="0"/>
        <v>0.6493489259005133</v>
      </c>
      <c r="K6" s="53">
        <f t="shared" si="0"/>
        <v>-0.17322688100654049</v>
      </c>
      <c r="L6" s="56">
        <f t="shared" si="0"/>
        <v>0.9</v>
      </c>
      <c r="M6" s="137" t="str">
        <f>_xlfn.XLOOKUP(Scenario2Rank[[#This Row],[Rank]],$X$10:$X$149,Y$10:Y$149)</f>
        <v>40/20/20/10/10</v>
      </c>
      <c r="N6" s="20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K6"/>
    </row>
    <row r="7" spans="2:37" s="15" customFormat="1" x14ac:dyDescent="0.2">
      <c r="B7" s="61">
        <v>4</v>
      </c>
      <c r="C7" s="53">
        <f t="shared" si="0"/>
        <v>0.45</v>
      </c>
      <c r="D7" s="53">
        <f t="shared" si="0"/>
        <v>0.15</v>
      </c>
      <c r="E7" s="53">
        <f t="shared" si="0"/>
        <v>0.1</v>
      </c>
      <c r="F7" s="53">
        <f t="shared" si="0"/>
        <v>0.1</v>
      </c>
      <c r="G7" s="53">
        <f t="shared" si="0"/>
        <v>0.2</v>
      </c>
      <c r="H7" s="53">
        <f t="shared" si="0"/>
        <v>9.7890161136212642E-2</v>
      </c>
      <c r="I7" s="53">
        <f t="shared" si="0"/>
        <v>7.911221564736387E-2</v>
      </c>
      <c r="J7" s="85">
        <f t="shared" si="0"/>
        <v>0.6431953038386764</v>
      </c>
      <c r="K7" s="53">
        <f t="shared" si="0"/>
        <v>-0.16958426219189504</v>
      </c>
      <c r="L7" s="56">
        <f t="shared" si="0"/>
        <v>0.79999999999999993</v>
      </c>
      <c r="M7" s="137" t="str">
        <f>_xlfn.XLOOKUP(Scenario2Rank[[#This Row],[Rank]],$X$10:$X$149,Y$10:Y$149)</f>
        <v>45/15/10/10/20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K7"/>
    </row>
    <row r="8" spans="2:37" s="15" customFormat="1" x14ac:dyDescent="0.2">
      <c r="B8" s="63">
        <v>5</v>
      </c>
      <c r="C8" s="58">
        <f t="shared" si="0"/>
        <v>0.35</v>
      </c>
      <c r="D8" s="58">
        <f t="shared" si="0"/>
        <v>0.2</v>
      </c>
      <c r="E8" s="58">
        <f t="shared" si="0"/>
        <v>0.2</v>
      </c>
      <c r="F8" s="58">
        <f t="shared" si="0"/>
        <v>0.1</v>
      </c>
      <c r="G8" s="58">
        <f t="shared" si="0"/>
        <v>0.15</v>
      </c>
      <c r="H8" s="58">
        <f t="shared" si="0"/>
        <v>9.395416572356434E-2</v>
      </c>
      <c r="I8" s="58">
        <f t="shared" si="0"/>
        <v>7.5127128613537944E-2</v>
      </c>
      <c r="J8" s="108">
        <f t="shared" si="0"/>
        <v>0.62492219567604546</v>
      </c>
      <c r="K8" s="58">
        <f t="shared" si="0"/>
        <v>-0.16162825703486428</v>
      </c>
      <c r="L8" s="109">
        <f t="shared" si="0"/>
        <v>0.85</v>
      </c>
      <c r="M8" s="137" t="str">
        <f>_xlfn.XLOOKUP(Scenario2Rank[[#This Row],[Rank]],$X$10:$X$149,Y$10:Y$149)</f>
        <v>35/20/20/10/15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K8"/>
    </row>
    <row r="10" spans="2:37" s="15" customFormat="1" ht="32" x14ac:dyDescent="0.2">
      <c r="B10" s="11" t="s">
        <v>46</v>
      </c>
      <c r="C10" s="10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17</v>
      </c>
      <c r="I10" s="11" t="s">
        <v>21</v>
      </c>
      <c r="J10" s="11" t="s">
        <v>22</v>
      </c>
      <c r="K10" s="11" t="s">
        <v>19</v>
      </c>
      <c r="L10" s="11" t="s">
        <v>20</v>
      </c>
      <c r="M10" s="11" t="s">
        <v>23</v>
      </c>
      <c r="N10" s="11" t="s">
        <v>24</v>
      </c>
      <c r="O10" s="11" t="s">
        <v>25</v>
      </c>
      <c r="P10" s="11" t="s">
        <v>26</v>
      </c>
      <c r="Q10" s="11" t="s">
        <v>27</v>
      </c>
      <c r="R10" s="11" t="s">
        <v>28</v>
      </c>
      <c r="S10" s="11" t="s">
        <v>29</v>
      </c>
      <c r="T10" s="11" t="s">
        <v>30</v>
      </c>
      <c r="U10" s="11" t="s">
        <v>31</v>
      </c>
      <c r="V10" s="12" t="s">
        <v>32</v>
      </c>
      <c r="W10" s="11" t="s">
        <v>635</v>
      </c>
      <c r="X10" s="11" t="s">
        <v>636</v>
      </c>
      <c r="Y10" s="60" t="s">
        <v>662</v>
      </c>
      <c r="Z10" s="11" t="s">
        <v>642</v>
      </c>
      <c r="AA10" s="11" t="s">
        <v>643</v>
      </c>
      <c r="AB10" s="11" t="s">
        <v>644</v>
      </c>
    </row>
    <row r="11" spans="2:37" s="15" customFormat="1" x14ac:dyDescent="0.2">
      <c r="B11" s="112">
        <v>1</v>
      </c>
      <c r="C11" s="113">
        <v>0.55000000000000004</v>
      </c>
      <c r="D11" s="114">
        <v>0.15</v>
      </c>
      <c r="E11" s="114">
        <v>0.1</v>
      </c>
      <c r="F11" s="114">
        <v>0.1</v>
      </c>
      <c r="G11" s="114">
        <v>0.1</v>
      </c>
      <c r="H11" s="114">
        <f>SUMPRODUCT(Scenarios2[[#This Row],[SPY]:[PE]],_xlfn.TOROW(AssetSpecsScenario2[Annualized Return]))</f>
        <v>0.10781573544800999</v>
      </c>
      <c r="I11" s="114" cm="1">
        <f t="array" ref="I11">SQRT(MMULT(MMULT(Scenarios2[[#This Row],[SPY]:[PE]], 'Corr_Cov 36- Month'!$J$13:$N$17), TRANSPOSE(Scenarios2[[#This Row],[SPY]:[PE]])))</f>
        <v>8.9362678371669044E-2</v>
      </c>
      <c r="J11" s="115">
        <f>(Scenarios2[[#This Row],[Expected Return]]-RiskFree)/Scenarios2[[#This Row],[36M Vol]]</f>
        <v>0.68048743614798923</v>
      </c>
      <c r="K11" s="114" cm="1">
        <f t="array" ref="K11">MIN(_xlfn._xlws.FILTER(PortfolioFrontier[#Data],(PortfolioFrontier[#Headers]="P"&amp;Scenarios2[[#This Row],[Reference '#]]&amp;" DD")))</f>
        <v>-0.19275958966564344</v>
      </c>
      <c r="L11" s="114">
        <f>SUM(Scenarios2[[#This Row],[SPY]:[VNQ]])</f>
        <v>0.9</v>
      </c>
      <c r="M11" s="114">
        <f>SUM(Scenarios2[[#This Row],[SPY]:[PE]])</f>
        <v>1</v>
      </c>
      <c r="N11" s="116" t="b">
        <f>Scenarios2[[#This Row],[SPY]]&gt;=SpyMin</f>
        <v>1</v>
      </c>
      <c r="O11" s="116" t="b">
        <f>Scenarios2[[#This Row],[AGG]]&gt;=AGGMin</f>
        <v>1</v>
      </c>
      <c r="P11" s="116" t="b">
        <f>AND(Scenarios2[[#This Row],[GLD]]&gt;=GLDMin,Scenarios2[[#This Row],[GLD]]&lt;=GLDMax)</f>
        <v>1</v>
      </c>
      <c r="Q11" s="116" t="b">
        <f>Scenarios2[[#This Row],[VNQ]]&gt;=VNQMin</f>
        <v>1</v>
      </c>
      <c r="R11" s="116" t="b">
        <f>AND(Scenarios2[[#This Row],[PE]]&gt;=PEMin,Scenarios2[[#This Row],[PE]]&lt;=PEMax)</f>
        <v>1</v>
      </c>
      <c r="S11" s="116" t="b">
        <f>Scenarios2[[#This Row],[Liquid Assets]]&gt;=LiquidMin</f>
        <v>1</v>
      </c>
      <c r="T11" s="116" t="b">
        <f>AND(Scenarios2[[#This Row],[Expected Return]]&gt;=ExpectedReturnMin,Scenarios2[[#This Row],[Expected Return]]&lt;=ExpectedReturnMax)</f>
        <v>0</v>
      </c>
      <c r="U11" s="116" t="b">
        <f>Scenarios2[[#This Row],[Max Drawdown]]&gt;=DrawdownMax</f>
        <v>1</v>
      </c>
      <c r="V11" s="117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1" s="158" t="str">
        <f>_xlfn.XLOOKUP(Scenarios2[[#This Row],[Reference '#]],ScenariosCombined[Reference '#],ScenariosCombined[Sharpe Rank])</f>
        <v/>
      </c>
      <c r="X11" s="112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1" s="152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55/15/10/10/10</v>
      </c>
      <c r="Z11" s="120" t="str">
        <f>_xlfn.XLOOKUP(Scenarios2[[#This Row],[Reference '#]],Scenarios1[Reference '#],Scenarios1[Sharpe Rank])</f>
        <v/>
      </c>
      <c r="AA11" s="120" t="str">
        <f>Scenarios2[[#This Row],[Sharpe Rank]]</f>
        <v/>
      </c>
      <c r="AB11" s="120" t="str">
        <f>_xlfn.XLOOKUP(Scenarios2[[#This Row],[Reference '#]],Scenarios3[Reference '#],Scenarios3[Sharpe Rank])</f>
        <v/>
      </c>
      <c r="AC11"/>
      <c r="AD11"/>
      <c r="AE11"/>
      <c r="AF11"/>
      <c r="AG11"/>
    </row>
    <row r="12" spans="2:37" s="15" customFormat="1" x14ac:dyDescent="0.2">
      <c r="B12" s="112">
        <v>2</v>
      </c>
      <c r="C12" s="113">
        <v>0.5</v>
      </c>
      <c r="D12" s="114">
        <v>0.2</v>
      </c>
      <c r="E12" s="114">
        <v>0.1</v>
      </c>
      <c r="F12" s="114">
        <v>0.1</v>
      </c>
      <c r="G12" s="114">
        <v>0.1</v>
      </c>
      <c r="H12" s="114">
        <f>SUMPRODUCT(Scenarios2[[#This Row],[SPY]:[PE]],_xlfn.TOROW(AssetSpecsScenario2[Annualized Return]))</f>
        <v>0.10113250242700134</v>
      </c>
      <c r="I12" s="114" cm="1">
        <f t="array" ref="I12">SQRT(MMULT(MMULT(Scenarios2[[#This Row],[SPY]:[PE]], 'Corr_Cov 36- Month'!$J$13:$N$17), TRANSPOSE(Scenarios2[[#This Row],[SPY]:[PE]])))</f>
        <v>8.6129978160750478E-2</v>
      </c>
      <c r="J12" s="115">
        <f>(Scenarios2[[#This Row],[Expected Return]]-RiskFree)/Scenarios2[[#This Row],[36M Vol]]</f>
        <v>0.62843330542154363</v>
      </c>
      <c r="K12" s="114" cm="1">
        <f t="array" ref="K12">MIN(_xlfn._xlws.FILTER(PortfolioFrontier[#Data],(PortfolioFrontier[#Headers]="P"&amp;Scenarios2[[#This Row],[Reference '#]]&amp;" DD")))</f>
        <v>-0.18787639492969854</v>
      </c>
      <c r="L12" s="114">
        <f>SUM(Scenarios2[[#This Row],[SPY]:[VNQ]])</f>
        <v>0.89999999999999991</v>
      </c>
      <c r="M12" s="114">
        <f>SUM(Scenarios2[[#This Row],[SPY]:[PE]])</f>
        <v>0.99999999999999989</v>
      </c>
      <c r="N12" s="116" t="b">
        <f>Scenarios2[[#This Row],[SPY]]&gt;=SpyMin</f>
        <v>1</v>
      </c>
      <c r="O12" s="116" t="b">
        <f>Scenarios2[[#This Row],[AGG]]&gt;=AGGMin</f>
        <v>1</v>
      </c>
      <c r="P12" s="116" t="b">
        <f>AND(Scenarios2[[#This Row],[GLD]]&gt;=GLDMin,Scenarios2[[#This Row],[GLD]]&lt;=GLDMax)</f>
        <v>1</v>
      </c>
      <c r="Q12" s="116" t="b">
        <f>Scenarios2[[#This Row],[VNQ]]&gt;=VNQMin</f>
        <v>1</v>
      </c>
      <c r="R12" s="116" t="b">
        <f>AND(Scenarios2[[#This Row],[PE]]&gt;=PEMin,Scenarios2[[#This Row],[PE]]&lt;=PEMax)</f>
        <v>1</v>
      </c>
      <c r="S12" s="116" t="b">
        <f>Scenarios2[[#This Row],[Liquid Assets]]&gt;=LiquidMin</f>
        <v>1</v>
      </c>
      <c r="T12" s="116" t="b">
        <f>AND(Scenarios2[[#This Row],[Expected Return]]&gt;=ExpectedReturnMin,Scenarios2[[#This Row],[Expected Return]]&lt;=ExpectedReturnMax)</f>
        <v>0</v>
      </c>
      <c r="U12" s="116" t="b">
        <f>Scenarios2[[#This Row],[Max Drawdown]]&gt;=DrawdownMax</f>
        <v>1</v>
      </c>
      <c r="V12" s="117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2" s="118" t="str">
        <f>_xlfn.XLOOKUP(Scenarios2[[#This Row],[Reference '#]],ScenariosCombined[Reference '#],ScenariosCombined[Sharpe Rank])</f>
        <v/>
      </c>
      <c r="X12" s="112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2" s="11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50/20/10/10/10</v>
      </c>
      <c r="Z12" s="120" t="str">
        <f>_xlfn.XLOOKUP(Scenarios2[[#This Row],[Reference '#]],Scenarios1[Reference '#],Scenarios1[Sharpe Rank])</f>
        <v/>
      </c>
      <c r="AA12" s="120" t="str">
        <f>Scenarios2[[#This Row],[Sharpe Rank]]</f>
        <v/>
      </c>
      <c r="AB12" s="120" t="str">
        <f>_xlfn.XLOOKUP(Scenarios2[[#This Row],[Reference '#]],Scenarios3[Reference '#],Scenarios3[Sharpe Rank])</f>
        <v/>
      </c>
      <c r="AC12"/>
      <c r="AD12"/>
      <c r="AE12"/>
      <c r="AF12"/>
      <c r="AG12"/>
    </row>
    <row r="13" spans="2:37" s="15" customFormat="1" x14ac:dyDescent="0.2">
      <c r="B13" s="112">
        <v>3</v>
      </c>
      <c r="C13" s="113">
        <v>0.5</v>
      </c>
      <c r="D13" s="114">
        <v>0.15</v>
      </c>
      <c r="E13" s="114">
        <v>0.15</v>
      </c>
      <c r="F13" s="114">
        <v>0.1</v>
      </c>
      <c r="G13" s="114">
        <v>0.1</v>
      </c>
      <c r="H13" s="114">
        <f>SUMPRODUCT(Scenarios2[[#This Row],[SPY]:[PE]],_xlfn.TOROW(AssetSpecsScenario2[Annualized Return]))</f>
        <v>0.10670796067424082</v>
      </c>
      <c r="I13" s="114" cm="1">
        <f t="array" ref="I13">SQRT(MMULT(MMULT(Scenarios2[[#This Row],[SPY]:[PE]], 'Corr_Cov 36- Month'!$J$13:$N$17), TRANSPOSE(Scenarios2[[#This Row],[SPY]:[PE]])))</f>
        <v>8.5586284450093794E-2</v>
      </c>
      <c r="J13" s="115">
        <f>(Scenarios2[[#This Row],[Expected Return]]-RiskFree)/Scenarios2[[#This Row],[36M Vol]]</f>
        <v>0.69756977420252808</v>
      </c>
      <c r="K13" s="114" cm="1">
        <f t="array" ref="K13">MIN(_xlfn._xlws.FILTER(PortfolioFrontier[#Data],(PortfolioFrontier[#Headers]="P"&amp;Scenarios2[[#This Row],[Reference '#]]&amp;" DD")))</f>
        <v>-0.18541960554388814</v>
      </c>
      <c r="L13" s="114">
        <f>SUM(Scenarios2[[#This Row],[SPY]:[VNQ]])</f>
        <v>0.9</v>
      </c>
      <c r="M13" s="114">
        <f>SUM(Scenarios2[[#This Row],[SPY]:[PE]])</f>
        <v>1</v>
      </c>
      <c r="N13" s="116" t="b">
        <f>Scenarios2[[#This Row],[SPY]]&gt;=SpyMin</f>
        <v>1</v>
      </c>
      <c r="O13" s="116" t="b">
        <f>Scenarios2[[#This Row],[AGG]]&gt;=AGGMin</f>
        <v>1</v>
      </c>
      <c r="P13" s="116" t="b">
        <f>AND(Scenarios2[[#This Row],[GLD]]&gt;=GLDMin,Scenarios2[[#This Row],[GLD]]&lt;=GLDMax)</f>
        <v>1</v>
      </c>
      <c r="Q13" s="116" t="b">
        <f>Scenarios2[[#This Row],[VNQ]]&gt;=VNQMin</f>
        <v>1</v>
      </c>
      <c r="R13" s="116" t="b">
        <f>AND(Scenarios2[[#This Row],[PE]]&gt;=PEMin,Scenarios2[[#This Row],[PE]]&lt;=PEMax)</f>
        <v>1</v>
      </c>
      <c r="S13" s="116" t="b">
        <f>Scenarios2[[#This Row],[Liquid Assets]]&gt;=LiquidMin</f>
        <v>1</v>
      </c>
      <c r="T13" s="116" t="b">
        <f>AND(Scenarios2[[#This Row],[Expected Return]]&gt;=ExpectedReturnMin,Scenarios2[[#This Row],[Expected Return]]&lt;=ExpectedReturnMax)</f>
        <v>0</v>
      </c>
      <c r="U13" s="116" t="b">
        <f>Scenarios2[[#This Row],[Max Drawdown]]&gt;=DrawdownMax</f>
        <v>1</v>
      </c>
      <c r="V13" s="117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3" s="118" t="str">
        <f>_xlfn.XLOOKUP(Scenarios2[[#This Row],[Reference '#]],ScenariosCombined[Reference '#],ScenariosCombined[Sharpe Rank])</f>
        <v/>
      </c>
      <c r="X13" s="112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3" s="11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50/15/15/10/10</v>
      </c>
      <c r="Z13" s="120" t="str">
        <f>_xlfn.XLOOKUP(Scenarios2[[#This Row],[Reference '#]],Scenarios1[Reference '#],Scenarios1[Sharpe Rank])</f>
        <v/>
      </c>
      <c r="AA13" s="120" t="str">
        <f>Scenarios2[[#This Row],[Sharpe Rank]]</f>
        <v/>
      </c>
      <c r="AB13" s="120" t="str">
        <f>_xlfn.XLOOKUP(Scenarios2[[#This Row],[Reference '#]],Scenarios3[Reference '#],Scenarios3[Sharpe Rank])</f>
        <v/>
      </c>
      <c r="AC13"/>
      <c r="AD13"/>
      <c r="AE13"/>
      <c r="AF13" s="34"/>
      <c r="AG13" s="34"/>
    </row>
    <row r="14" spans="2:37" s="15" customFormat="1" x14ac:dyDescent="0.2">
      <c r="B14" s="112">
        <v>4</v>
      </c>
      <c r="C14" s="113">
        <v>0.5</v>
      </c>
      <c r="D14" s="114">
        <v>0.15</v>
      </c>
      <c r="E14" s="114">
        <v>0.1</v>
      </c>
      <c r="F14" s="114">
        <v>0.15</v>
      </c>
      <c r="G14" s="114">
        <v>0.1</v>
      </c>
      <c r="H14" s="114">
        <f>SUMPRODUCT(Scenarios2[[#This Row],[SPY]:[PE]],_xlfn.TOROW(AssetSpecsScenario2[Annualized Return]))</f>
        <v>0.10271624177316482</v>
      </c>
      <c r="I14" s="114" cm="1">
        <f t="array" ref="I14">SQRT(MMULT(MMULT(Scenarios2[[#This Row],[SPY]:[PE]], 'Corr_Cov 36- Month'!$J$13:$N$17), TRANSPOSE(Scenarios2[[#This Row],[SPY]:[PE]])))</f>
        <v>9.1270846552146068E-2</v>
      </c>
      <c r="J14" s="115">
        <f>(Scenarios2[[#This Row],[Expected Return]]-RiskFree)/Scenarios2[[#This Row],[36M Vol]]</f>
        <v>0.6103886215822476</v>
      </c>
      <c r="K14" s="114" cm="1">
        <f t="array" ref="K14">MIN(_xlfn._xlws.FILTER(PortfolioFrontier[#Data],(PortfolioFrontier[#Headers]="P"&amp;Scenarios2[[#This Row],[Reference '#]]&amp;" DD")))</f>
        <v>-0.19559472139226264</v>
      </c>
      <c r="L14" s="114">
        <f>SUM(Scenarios2[[#This Row],[SPY]:[VNQ]])</f>
        <v>0.9</v>
      </c>
      <c r="M14" s="114">
        <f>SUM(Scenarios2[[#This Row],[SPY]:[PE]])</f>
        <v>1</v>
      </c>
      <c r="N14" s="116" t="b">
        <f>Scenarios2[[#This Row],[SPY]]&gt;=SpyMin</f>
        <v>1</v>
      </c>
      <c r="O14" s="116" t="b">
        <f>Scenarios2[[#This Row],[AGG]]&gt;=AGGMin</f>
        <v>1</v>
      </c>
      <c r="P14" s="116" t="b">
        <f>AND(Scenarios2[[#This Row],[GLD]]&gt;=GLDMin,Scenarios2[[#This Row],[GLD]]&lt;=GLDMax)</f>
        <v>1</v>
      </c>
      <c r="Q14" s="116" t="b">
        <f>Scenarios2[[#This Row],[VNQ]]&gt;=VNQMin</f>
        <v>1</v>
      </c>
      <c r="R14" s="116" t="b">
        <f>AND(Scenarios2[[#This Row],[PE]]&gt;=PEMin,Scenarios2[[#This Row],[PE]]&lt;=PEMax)</f>
        <v>1</v>
      </c>
      <c r="S14" s="116" t="b">
        <f>Scenarios2[[#This Row],[Liquid Assets]]&gt;=LiquidMin</f>
        <v>1</v>
      </c>
      <c r="T14" s="116" t="b">
        <f>AND(Scenarios2[[#This Row],[Expected Return]]&gt;=ExpectedReturnMin,Scenarios2[[#This Row],[Expected Return]]&lt;=ExpectedReturnMax)</f>
        <v>0</v>
      </c>
      <c r="U14" s="116" t="b">
        <f>Scenarios2[[#This Row],[Max Drawdown]]&gt;=DrawdownMax</f>
        <v>1</v>
      </c>
      <c r="V14" s="117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4" s="118" t="str">
        <f>_xlfn.XLOOKUP(Scenarios2[[#This Row],[Reference '#]],ScenariosCombined[Reference '#],ScenariosCombined[Sharpe Rank])</f>
        <v/>
      </c>
      <c r="X14" s="112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4" s="11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50/15/10/15/10</v>
      </c>
      <c r="Z14" s="120" t="str">
        <f>_xlfn.XLOOKUP(Scenarios2[[#This Row],[Reference '#]],Scenarios1[Reference '#],Scenarios1[Sharpe Rank])</f>
        <v/>
      </c>
      <c r="AA14" s="120" t="str">
        <f>Scenarios2[[#This Row],[Sharpe Rank]]</f>
        <v/>
      </c>
      <c r="AB14" s="120" t="str">
        <f>_xlfn.XLOOKUP(Scenarios2[[#This Row],[Reference '#]],Scenarios3[Reference '#],Scenarios3[Sharpe Rank])</f>
        <v/>
      </c>
      <c r="AC14"/>
      <c r="AD14"/>
      <c r="AE14"/>
      <c r="AF14" s="34"/>
      <c r="AG14" s="34"/>
    </row>
    <row r="15" spans="2:37" s="15" customFormat="1" x14ac:dyDescent="0.2">
      <c r="B15" s="112">
        <v>5</v>
      </c>
      <c r="C15" s="113">
        <v>0.5</v>
      </c>
      <c r="D15" s="114">
        <v>0.15</v>
      </c>
      <c r="E15" s="114">
        <v>0.1</v>
      </c>
      <c r="F15" s="114">
        <v>0.1</v>
      </c>
      <c r="G15" s="114">
        <v>0.15</v>
      </c>
      <c r="H15" s="114">
        <f>SUMPRODUCT(Scenarios2[[#This Row],[SPY]:[PE]],_xlfn.TOROW(AssetSpecsScenario2[Annualized Return]))</f>
        <v>0.10285294829211131</v>
      </c>
      <c r="I15" s="114" cm="1">
        <f t="array" ref="I15">SQRT(MMULT(MMULT(Scenarios2[[#This Row],[SPY]:[PE]], 'Corr_Cov 36- Month'!$J$13:$N$17), TRANSPOSE(Scenarios2[[#This Row],[SPY]:[PE]])))</f>
        <v>8.416977947948194E-2</v>
      </c>
      <c r="J15" s="115">
        <f>(Scenarios2[[#This Row],[Expected Return]]-RiskFree)/Scenarios2[[#This Row],[36M Vol]]</f>
        <v>0.66350883989389176</v>
      </c>
      <c r="K15" s="114" cm="1">
        <f t="array" ref="K15">MIN(_xlfn._xlws.FILTER(PortfolioFrontier[#Data],(PortfolioFrontier[#Headers]="P"&amp;Scenarios2[[#This Row],[Reference '#]]&amp;" DD")))</f>
        <v>-0.1811991970700908</v>
      </c>
      <c r="L15" s="114">
        <f>SUM(Scenarios2[[#This Row],[SPY]:[VNQ]])</f>
        <v>0.85</v>
      </c>
      <c r="M15" s="114">
        <f>SUM(Scenarios2[[#This Row],[SPY]:[PE]])</f>
        <v>1</v>
      </c>
      <c r="N15" s="116" t="b">
        <f>Scenarios2[[#This Row],[SPY]]&gt;=SpyMin</f>
        <v>1</v>
      </c>
      <c r="O15" s="116" t="b">
        <f>Scenarios2[[#This Row],[AGG]]&gt;=AGGMin</f>
        <v>1</v>
      </c>
      <c r="P15" s="116" t="b">
        <f>AND(Scenarios2[[#This Row],[GLD]]&gt;=GLDMin,Scenarios2[[#This Row],[GLD]]&lt;=GLDMax)</f>
        <v>1</v>
      </c>
      <c r="Q15" s="116" t="b">
        <f>Scenarios2[[#This Row],[VNQ]]&gt;=VNQMin</f>
        <v>1</v>
      </c>
      <c r="R15" s="116" t="b">
        <f>AND(Scenarios2[[#This Row],[PE]]&gt;=PEMin,Scenarios2[[#This Row],[PE]]&lt;=PEMax)</f>
        <v>1</v>
      </c>
      <c r="S15" s="116" t="b">
        <f>Scenarios2[[#This Row],[Liquid Assets]]&gt;=LiquidMin</f>
        <v>1</v>
      </c>
      <c r="T15" s="116" t="b">
        <f>AND(Scenarios2[[#This Row],[Expected Return]]&gt;=ExpectedReturnMin,Scenarios2[[#This Row],[Expected Return]]&lt;=ExpectedReturnMax)</f>
        <v>0</v>
      </c>
      <c r="U15" s="116" t="b">
        <f>Scenarios2[[#This Row],[Max Drawdown]]&gt;=DrawdownMax</f>
        <v>1</v>
      </c>
      <c r="V15" s="117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5" s="118" t="str">
        <f>_xlfn.XLOOKUP(Scenarios2[[#This Row],[Reference '#]],ScenariosCombined[Reference '#],ScenariosCombined[Sharpe Rank])</f>
        <v/>
      </c>
      <c r="X15" s="112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5" s="11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50/15/10/10/15</v>
      </c>
      <c r="Z15" s="120" t="str">
        <f>_xlfn.XLOOKUP(Scenarios2[[#This Row],[Reference '#]],Scenarios1[Reference '#],Scenarios1[Sharpe Rank])</f>
        <v/>
      </c>
      <c r="AA15" s="120" t="str">
        <f>Scenarios2[[#This Row],[Sharpe Rank]]</f>
        <v/>
      </c>
      <c r="AB15" s="120" t="str">
        <f>_xlfn.XLOOKUP(Scenarios2[[#This Row],[Reference '#]],Scenarios3[Reference '#],Scenarios3[Sharpe Rank])</f>
        <v/>
      </c>
      <c r="AC15"/>
      <c r="AD15"/>
      <c r="AE15"/>
      <c r="AF15" s="34"/>
      <c r="AG15" s="34"/>
    </row>
    <row r="16" spans="2:37" x14ac:dyDescent="0.2">
      <c r="B16" s="44">
        <v>6</v>
      </c>
      <c r="C16" s="68">
        <v>0.45</v>
      </c>
      <c r="D16" s="69">
        <v>0.25</v>
      </c>
      <c r="E16" s="69">
        <v>0.1</v>
      </c>
      <c r="F16" s="69">
        <v>0.1</v>
      </c>
      <c r="G16" s="69">
        <v>0.1</v>
      </c>
      <c r="H16" s="69">
        <f>SUMPRODUCT(Scenarios2[[#This Row],[SPY]:[PE]],_xlfn.TOROW(AssetSpecsScenario2[Annualized Return]))</f>
        <v>9.4449269405992686E-2</v>
      </c>
      <c r="I16" s="69" cm="1">
        <f t="array" ref="I16">SQRT(MMULT(MMULT(Scenarios2[[#This Row],[SPY]:[PE]], 'Corr_Cov 36- Month'!$J$13:$N$17), TRANSPOSE(Scenarios2[[#This Row],[SPY]:[PE]])))</f>
        <v>8.3036500283408879E-2</v>
      </c>
      <c r="J16" s="70">
        <f>(Scenarios2[[#This Row],[Expected Return]]-RiskFree)/Scenarios2[[#This Row],[36M Vol]]</f>
        <v>0.57135974768335263</v>
      </c>
      <c r="K16" s="69" cm="1">
        <f t="array" ref="K16">MIN(_xlfn._xlws.FILTER(PortfolioFrontier[#Data],(PortfolioFrontier[#Headers]="P"&amp;Scenarios2[[#This Row],[Reference '#]]&amp;" DD")))</f>
        <v>-0.18300737779652643</v>
      </c>
      <c r="L16" s="69">
        <f>SUM(Scenarios2[[#This Row],[SPY]:[VNQ]])</f>
        <v>0.89999999999999991</v>
      </c>
      <c r="M16" s="69">
        <f>SUM(Scenarios2[[#This Row],[SPY]:[PE]])</f>
        <v>0.99999999999999989</v>
      </c>
      <c r="N16" s="71" t="b">
        <f>Scenarios2[[#This Row],[SPY]]&gt;=SpyMin</f>
        <v>1</v>
      </c>
      <c r="O16" s="71" t="b">
        <f>Scenarios2[[#This Row],[AGG]]&gt;=AGGMin</f>
        <v>1</v>
      </c>
      <c r="P16" s="71" t="b">
        <f>AND(Scenarios2[[#This Row],[GLD]]&gt;=GLDMin,Scenarios2[[#This Row],[GLD]]&lt;=GLDMax)</f>
        <v>1</v>
      </c>
      <c r="Q16" s="71" t="b">
        <f>Scenarios2[[#This Row],[VNQ]]&gt;=VNQMin</f>
        <v>1</v>
      </c>
      <c r="R16" s="71" t="b">
        <f>AND(Scenarios2[[#This Row],[PE]]&gt;=PEMin,Scenarios2[[#This Row],[PE]]&lt;=PEMax)</f>
        <v>1</v>
      </c>
      <c r="S16" s="71" t="b">
        <f>Scenarios2[[#This Row],[Liquid Assets]]&gt;=LiquidMin</f>
        <v>1</v>
      </c>
      <c r="T16" s="71" t="b">
        <f>AND(Scenarios2[[#This Row],[Expected Return]]&gt;=ExpectedReturnMin,Scenarios2[[#This Row],[Expected Return]]&lt;=ExpectedReturnMax)</f>
        <v>1</v>
      </c>
      <c r="U16" s="71" t="b">
        <f>Scenarios2[[#This Row],[Max Drawdown]]&gt;=DrawdownMax</f>
        <v>1</v>
      </c>
      <c r="V1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6" s="46">
        <f>_xlfn.XLOOKUP(Scenarios2[[#This Row],[Reference '#]],ScenariosCombined[Reference '#],ScenariosCombined[Sharpe Rank])</f>
        <v>19</v>
      </c>
      <c r="X16" s="44">
        <f>IF(Scenarios2[[#This Row],[Eligible]],COUNTIFS(Scenarios2[Sharpe],"&gt;"&amp;Scenarios2[[#This Row],[Sharpe]],Scenarios2[Eligible],TRUE())+COUNTIFS(Scenarios2[Sharpe],Scenarios2[[#This Row],[Sharpe]],Scenarios2[Eligible],TRUE()),"")</f>
        <v>18</v>
      </c>
      <c r="Y1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45/25/10/10/10</v>
      </c>
      <c r="Z16">
        <f>_xlfn.XLOOKUP(Scenarios2[[#This Row],[Reference '#]],Scenarios1[Reference '#],Scenarios1[Sharpe Rank])</f>
        <v>18</v>
      </c>
      <c r="AA16">
        <f>Scenarios2[[#This Row],[Sharpe Rank]]</f>
        <v>18</v>
      </c>
      <c r="AB16">
        <f>_xlfn.XLOOKUP(Scenarios2[[#This Row],[Reference '#]],Scenarios3[Reference '#],Scenarios3[Sharpe Rank])</f>
        <v>14</v>
      </c>
      <c r="AF16" s="34"/>
      <c r="AG16" s="34"/>
      <c r="AK16" s="15"/>
    </row>
    <row r="17" spans="2:37" x14ac:dyDescent="0.2">
      <c r="B17" s="44">
        <v>7</v>
      </c>
      <c r="C17" s="68">
        <v>0.45</v>
      </c>
      <c r="D17" s="69">
        <v>0.2</v>
      </c>
      <c r="E17" s="69">
        <v>0.15</v>
      </c>
      <c r="F17" s="69">
        <v>0.1</v>
      </c>
      <c r="G17" s="69">
        <v>0.1</v>
      </c>
      <c r="H17" s="69">
        <f>SUMPRODUCT(Scenarios2[[#This Row],[SPY]:[PE]],_xlfn.TOROW(AssetSpecsScenario2[Annualized Return]))</f>
        <v>0.1000247276532322</v>
      </c>
      <c r="I17" s="69" cm="1">
        <f t="array" ref="I17">SQRT(MMULT(MMULT(Scenarios2[[#This Row],[SPY]:[PE]], 'Corr_Cov 36- Month'!$J$13:$N$17), TRANSPOSE(Scenarios2[[#This Row],[SPY]:[PE]])))</f>
        <v>8.2591069958370428E-2</v>
      </c>
      <c r="J17" s="70">
        <f>(Scenarios2[[#This Row],[Expected Return]]-RiskFree)/Scenarios2[[#This Row],[36M Vol]]</f>
        <v>0.64194799903186472</v>
      </c>
      <c r="K17" s="69" cm="1">
        <f t="array" ref="K17">MIN(_xlfn._xlws.FILTER(PortfolioFrontier[#Data],(PortfolioFrontier[#Headers]="P"&amp;Scenarios2[[#This Row],[Reference '#]]&amp;" DD")))</f>
        <v>-0.18054317991848512</v>
      </c>
      <c r="L17" s="69">
        <f>SUM(Scenarios2[[#This Row],[SPY]:[VNQ]])</f>
        <v>0.9</v>
      </c>
      <c r="M17" s="69">
        <f>SUM(Scenarios2[[#This Row],[SPY]:[PE]])</f>
        <v>1</v>
      </c>
      <c r="N17" s="71" t="b">
        <f>Scenarios2[[#This Row],[SPY]]&gt;=SpyMin</f>
        <v>1</v>
      </c>
      <c r="O17" s="71" t="b">
        <f>Scenarios2[[#This Row],[AGG]]&gt;=AGGMin</f>
        <v>1</v>
      </c>
      <c r="P17" s="71" t="b">
        <f>AND(Scenarios2[[#This Row],[GLD]]&gt;=GLDMin,Scenarios2[[#This Row],[GLD]]&lt;=GLDMax)</f>
        <v>1</v>
      </c>
      <c r="Q17" s="71" t="b">
        <f>Scenarios2[[#This Row],[VNQ]]&gt;=VNQMin</f>
        <v>1</v>
      </c>
      <c r="R17" s="71" t="b">
        <f>AND(Scenarios2[[#This Row],[PE]]&gt;=PEMin,Scenarios2[[#This Row],[PE]]&lt;=PEMax)</f>
        <v>1</v>
      </c>
      <c r="S17" s="71" t="b">
        <f>Scenarios2[[#This Row],[Liquid Assets]]&gt;=LiquidMin</f>
        <v>1</v>
      </c>
      <c r="T17" s="71" t="b">
        <f>AND(Scenarios2[[#This Row],[Expected Return]]&gt;=ExpectedReturnMin,Scenarios2[[#This Row],[Expected Return]]&lt;=ExpectedReturnMax)</f>
        <v>0</v>
      </c>
      <c r="U17" s="71" t="b">
        <f>Scenarios2[[#This Row],[Max Drawdown]]&gt;=DrawdownMax</f>
        <v>1</v>
      </c>
      <c r="V1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7" s="46" t="str">
        <f>_xlfn.XLOOKUP(Scenarios2[[#This Row],[Reference '#]],ScenariosCombined[Reference '#],ScenariosCombined[Sharpe Rank])</f>
        <v/>
      </c>
      <c r="X17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45/20/15/10/10</v>
      </c>
      <c r="Z17">
        <f>_xlfn.XLOOKUP(Scenarios2[[#This Row],[Reference '#]],Scenarios1[Reference '#],Scenarios1[Sharpe Rank])</f>
        <v>5</v>
      </c>
      <c r="AA17" t="str">
        <f>Scenarios2[[#This Row],[Sharpe Rank]]</f>
        <v/>
      </c>
      <c r="AB17" t="str">
        <f>_xlfn.XLOOKUP(Scenarios2[[#This Row],[Reference '#]],Scenarios3[Reference '#],Scenarios3[Sharpe Rank])</f>
        <v/>
      </c>
      <c r="AF17" s="34"/>
      <c r="AG17" s="34"/>
      <c r="AK17" s="15"/>
    </row>
    <row r="18" spans="2:37" x14ac:dyDescent="0.2">
      <c r="B18" s="44">
        <v>8</v>
      </c>
      <c r="C18" s="68">
        <v>0.45</v>
      </c>
      <c r="D18" s="69">
        <v>0.2</v>
      </c>
      <c r="E18" s="69">
        <v>0.1</v>
      </c>
      <c r="F18" s="69">
        <v>0.15</v>
      </c>
      <c r="G18" s="69">
        <v>0.1</v>
      </c>
      <c r="H18" s="69">
        <f>SUMPRODUCT(Scenarios2[[#This Row],[SPY]:[PE]],_xlfn.TOROW(AssetSpecsScenario2[Annualized Return]))</f>
        <v>9.6033008752156174E-2</v>
      </c>
      <c r="I18" s="69" cm="1">
        <f t="array" ref="I18">SQRT(MMULT(MMULT(Scenarios2[[#This Row],[SPY]:[PE]], 'Corr_Cov 36- Month'!$J$13:$N$17), TRANSPOSE(Scenarios2[[#This Row],[SPY]:[PE]])))</f>
        <v>8.8188878555594666E-2</v>
      </c>
      <c r="J18" s="70">
        <f>(Scenarios2[[#This Row],[Expected Return]]-RiskFree)/Scenarios2[[#This Row],[36M Vol]]</f>
        <v>0.55593691630508146</v>
      </c>
      <c r="K18" s="69" cm="1">
        <f t="array" ref="K18">MIN(_xlfn._xlws.FILTER(PortfolioFrontier[#Data],(PortfolioFrontier[#Headers]="P"&amp;Scenarios2[[#This Row],[Reference '#]]&amp;" DD")))</f>
        <v>-0.19072422907983366</v>
      </c>
      <c r="L18" s="69">
        <f>SUM(Scenarios2[[#This Row],[SPY]:[VNQ]])</f>
        <v>0.9</v>
      </c>
      <c r="M18" s="69">
        <f>SUM(Scenarios2[[#This Row],[SPY]:[PE]])</f>
        <v>1</v>
      </c>
      <c r="N18" s="71" t="b">
        <f>Scenarios2[[#This Row],[SPY]]&gt;=SpyMin</f>
        <v>1</v>
      </c>
      <c r="O18" s="71" t="b">
        <f>Scenarios2[[#This Row],[AGG]]&gt;=AGGMin</f>
        <v>1</v>
      </c>
      <c r="P18" s="71" t="b">
        <f>AND(Scenarios2[[#This Row],[GLD]]&gt;=GLDMin,Scenarios2[[#This Row],[GLD]]&lt;=GLDMax)</f>
        <v>1</v>
      </c>
      <c r="Q18" s="71" t="b">
        <f>Scenarios2[[#This Row],[VNQ]]&gt;=VNQMin</f>
        <v>1</v>
      </c>
      <c r="R18" s="71" t="b">
        <f>AND(Scenarios2[[#This Row],[PE]]&gt;=PEMin,Scenarios2[[#This Row],[PE]]&lt;=PEMax)</f>
        <v>1</v>
      </c>
      <c r="S18" s="71" t="b">
        <f>Scenarios2[[#This Row],[Liquid Assets]]&gt;=LiquidMin</f>
        <v>1</v>
      </c>
      <c r="T18" s="71" t="b">
        <f>AND(Scenarios2[[#This Row],[Expected Return]]&gt;=ExpectedReturnMin,Scenarios2[[#This Row],[Expected Return]]&lt;=ExpectedReturnMax)</f>
        <v>1</v>
      </c>
      <c r="U18" s="71" t="b">
        <f>Scenarios2[[#This Row],[Max Drawdown]]&gt;=DrawdownMax</f>
        <v>1</v>
      </c>
      <c r="V1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8" s="46">
        <f>_xlfn.XLOOKUP(Scenarios2[[#This Row],[Reference '#]],ScenariosCombined[Reference '#],ScenariosCombined[Sharpe Rank])</f>
        <v>24</v>
      </c>
      <c r="X18" s="44">
        <f>IF(Scenarios2[[#This Row],[Eligible]],COUNTIFS(Scenarios2[Sharpe],"&gt;"&amp;Scenarios2[[#This Row],[Sharpe]],Scenarios2[Eligible],TRUE())+COUNTIFS(Scenarios2[Sharpe],Scenarios2[[#This Row],[Sharpe]],Scenarios2[Eligible],TRUE()),"")</f>
        <v>22</v>
      </c>
      <c r="Y1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45/20/10/15/10</v>
      </c>
      <c r="Z18">
        <f>_xlfn.XLOOKUP(Scenarios2[[#This Row],[Reference '#]],Scenarios1[Reference '#],Scenarios1[Sharpe Rank])</f>
        <v>24</v>
      </c>
      <c r="AA18">
        <f>Scenarios2[[#This Row],[Sharpe Rank]]</f>
        <v>22</v>
      </c>
      <c r="AB18">
        <f>_xlfn.XLOOKUP(Scenarios2[[#This Row],[Reference '#]],Scenarios3[Reference '#],Scenarios3[Sharpe Rank])</f>
        <v>23</v>
      </c>
      <c r="AF18" s="34"/>
      <c r="AG18" s="34"/>
      <c r="AK18" s="15"/>
    </row>
    <row r="19" spans="2:37" x14ac:dyDescent="0.2">
      <c r="B19" s="44">
        <v>9</v>
      </c>
      <c r="C19" s="68">
        <v>0.45</v>
      </c>
      <c r="D19" s="69">
        <v>0.2</v>
      </c>
      <c r="E19" s="69">
        <v>0.1</v>
      </c>
      <c r="F19" s="69">
        <v>0.1</v>
      </c>
      <c r="G19" s="69">
        <v>0.15</v>
      </c>
      <c r="H19" s="69">
        <f>SUMPRODUCT(Scenarios2[[#This Row],[SPY]:[PE]],_xlfn.TOROW(AssetSpecsScenario2[Annualized Return]))</f>
        <v>9.6169715271102657E-2</v>
      </c>
      <c r="I19" s="69" cm="1">
        <f t="array" ref="I19">SQRT(MMULT(MMULT(Scenarios2[[#This Row],[SPY]:[PE]], 'Corr_Cov 36- Month'!$J$13:$N$17), TRANSPOSE(Scenarios2[[#This Row],[SPY]:[PE]])))</f>
        <v>8.0973569375642915E-2</v>
      </c>
      <c r="J19" s="70">
        <f>(Scenarios2[[#This Row],[Expected Return]]-RiskFree)/Scenarios2[[#This Row],[36M Vol]]</f>
        <v>0.60716305449585173</v>
      </c>
      <c r="K19" s="69" cm="1">
        <f t="array" ref="K19">MIN(_xlfn._xlws.FILTER(PortfolioFrontier[#Data],(PortfolioFrontier[#Headers]="P"&amp;Scenarios2[[#This Row],[Reference '#]]&amp;" DD")))</f>
        <v>-0.17631267316325527</v>
      </c>
      <c r="L19" s="69">
        <f>SUM(Scenarios2[[#This Row],[SPY]:[VNQ]])</f>
        <v>0.85</v>
      </c>
      <c r="M19" s="69">
        <f>SUM(Scenarios2[[#This Row],[SPY]:[PE]])</f>
        <v>1</v>
      </c>
      <c r="N19" s="71" t="b">
        <f>Scenarios2[[#This Row],[SPY]]&gt;=SpyMin</f>
        <v>1</v>
      </c>
      <c r="O19" s="71" t="b">
        <f>Scenarios2[[#This Row],[AGG]]&gt;=AGGMin</f>
        <v>1</v>
      </c>
      <c r="P19" s="71" t="b">
        <f>AND(Scenarios2[[#This Row],[GLD]]&gt;=GLDMin,Scenarios2[[#This Row],[GLD]]&lt;=GLDMax)</f>
        <v>1</v>
      </c>
      <c r="Q19" s="71" t="b">
        <f>Scenarios2[[#This Row],[VNQ]]&gt;=VNQMin</f>
        <v>1</v>
      </c>
      <c r="R19" s="71" t="b">
        <f>AND(Scenarios2[[#This Row],[PE]]&gt;=PEMin,Scenarios2[[#This Row],[PE]]&lt;=PEMax)</f>
        <v>1</v>
      </c>
      <c r="S19" s="71" t="b">
        <f>Scenarios2[[#This Row],[Liquid Assets]]&gt;=LiquidMin</f>
        <v>1</v>
      </c>
      <c r="T19" s="71" t="b">
        <f>AND(Scenarios2[[#This Row],[Expected Return]]&gt;=ExpectedReturnMin,Scenarios2[[#This Row],[Expected Return]]&lt;=ExpectedReturnMax)</f>
        <v>1</v>
      </c>
      <c r="U19" s="71" t="b">
        <f>Scenarios2[[#This Row],[Max Drawdown]]&gt;=DrawdownMax</f>
        <v>1</v>
      </c>
      <c r="V1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9" s="46">
        <f>_xlfn.XLOOKUP(Scenarios2[[#This Row],[Reference '#]],ScenariosCombined[Reference '#],ScenariosCombined[Sharpe Rank])</f>
        <v>7</v>
      </c>
      <c r="X19" s="44">
        <f>IF(Scenarios2[[#This Row],[Eligible]],COUNTIFS(Scenarios2[Sharpe],"&gt;"&amp;Scenarios2[[#This Row],[Sharpe]],Scenarios2[Eligible],TRUE())+COUNTIFS(Scenarios2[Sharpe],Scenarios2[[#This Row],[Sharpe]],Scenarios2[Eligible],TRUE()),"")</f>
        <v>7</v>
      </c>
      <c r="Y1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45/20/10/10/15</v>
      </c>
      <c r="Z19">
        <f>_xlfn.XLOOKUP(Scenarios2[[#This Row],[Reference '#]],Scenarios1[Reference '#],Scenarios1[Sharpe Rank])</f>
        <v>9</v>
      </c>
      <c r="AA19">
        <f>Scenarios2[[#This Row],[Sharpe Rank]]</f>
        <v>7</v>
      </c>
      <c r="AB19" t="str">
        <f>_xlfn.XLOOKUP(Scenarios2[[#This Row],[Reference '#]],Scenarios3[Reference '#],Scenarios3[Sharpe Rank])</f>
        <v/>
      </c>
      <c r="AF19" s="34"/>
      <c r="AG19" s="34"/>
      <c r="AK19" s="15"/>
    </row>
    <row r="20" spans="2:37" x14ac:dyDescent="0.2">
      <c r="B20" s="44">
        <v>10</v>
      </c>
      <c r="C20" s="68">
        <v>0.45</v>
      </c>
      <c r="D20" s="69">
        <v>0.15</v>
      </c>
      <c r="E20" s="69">
        <v>0.2</v>
      </c>
      <c r="F20" s="69">
        <v>0.1</v>
      </c>
      <c r="G20" s="69">
        <v>0.1</v>
      </c>
      <c r="H20" s="69">
        <f>SUMPRODUCT(Scenarios2[[#This Row],[SPY]:[PE]],_xlfn.TOROW(AssetSpecsScenario2[Annualized Return]))</f>
        <v>0.10560018590047168</v>
      </c>
      <c r="I20" s="69" cm="1">
        <f t="array" ref="I20">SQRT(MMULT(MMULT(Scenarios2[[#This Row],[SPY]:[PE]], 'Corr_Cov 36- Month'!$J$13:$N$17), TRANSPOSE(Scenarios2[[#This Row],[SPY]:[PE]])))</f>
        <v>8.2650739635412737E-2</v>
      </c>
      <c r="J20" s="70">
        <f>(Scenarios2[[#This Row],[Expected Return]]-RiskFree)/Scenarios2[[#This Row],[36M Vol]]</f>
        <v>0.70894260115986352</v>
      </c>
      <c r="K20" s="69" cm="1">
        <f t="array" ref="K20">MIN(_xlfn._xlws.FILTER(PortfolioFrontier[#Data],(PortfolioFrontier[#Headers]="P"&amp;Scenarios2[[#This Row],[Reference '#]]&amp;" DD")))</f>
        <v>-0.17809556533929027</v>
      </c>
      <c r="L20" s="69">
        <f>SUM(Scenarios2[[#This Row],[SPY]:[VNQ]])</f>
        <v>0.9</v>
      </c>
      <c r="M20" s="69">
        <f>SUM(Scenarios2[[#This Row],[SPY]:[PE]])</f>
        <v>1</v>
      </c>
      <c r="N20" s="71" t="b">
        <f>Scenarios2[[#This Row],[SPY]]&gt;=SpyMin</f>
        <v>1</v>
      </c>
      <c r="O20" s="71" t="b">
        <f>Scenarios2[[#This Row],[AGG]]&gt;=AGGMin</f>
        <v>1</v>
      </c>
      <c r="P20" s="71" t="b">
        <f>AND(Scenarios2[[#This Row],[GLD]]&gt;=GLDMin,Scenarios2[[#This Row],[GLD]]&lt;=GLDMax)</f>
        <v>1</v>
      </c>
      <c r="Q20" s="71" t="b">
        <f>Scenarios2[[#This Row],[VNQ]]&gt;=VNQMin</f>
        <v>1</v>
      </c>
      <c r="R20" s="71" t="b">
        <f>AND(Scenarios2[[#This Row],[PE]]&gt;=PEMin,Scenarios2[[#This Row],[PE]]&lt;=PEMax)</f>
        <v>1</v>
      </c>
      <c r="S20" s="71" t="b">
        <f>Scenarios2[[#This Row],[Liquid Assets]]&gt;=LiquidMin</f>
        <v>1</v>
      </c>
      <c r="T20" s="71" t="b">
        <f>AND(Scenarios2[[#This Row],[Expected Return]]&gt;=ExpectedReturnMin,Scenarios2[[#This Row],[Expected Return]]&lt;=ExpectedReturnMax)</f>
        <v>0</v>
      </c>
      <c r="U20" s="71" t="b">
        <f>Scenarios2[[#This Row],[Max Drawdown]]&gt;=DrawdownMax</f>
        <v>1</v>
      </c>
      <c r="V2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20" s="46" t="str">
        <f>_xlfn.XLOOKUP(Scenarios2[[#This Row],[Reference '#]],ScenariosCombined[Reference '#],ScenariosCombined[Sharpe Rank])</f>
        <v/>
      </c>
      <c r="X20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2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45/15/20/10/10</v>
      </c>
      <c r="Z20" t="str">
        <f>_xlfn.XLOOKUP(Scenarios2[[#This Row],[Reference '#]],Scenarios1[Reference '#],Scenarios1[Sharpe Rank])</f>
        <v/>
      </c>
      <c r="AA20" t="str">
        <f>Scenarios2[[#This Row],[Sharpe Rank]]</f>
        <v/>
      </c>
      <c r="AB20" t="str">
        <f>_xlfn.XLOOKUP(Scenarios2[[#This Row],[Reference '#]],Scenarios3[Reference '#],Scenarios3[Sharpe Rank])</f>
        <v/>
      </c>
      <c r="AF20" s="34"/>
      <c r="AG20" s="34"/>
      <c r="AK20" s="15"/>
    </row>
    <row r="21" spans="2:37" x14ac:dyDescent="0.2">
      <c r="B21" s="44">
        <v>11</v>
      </c>
      <c r="C21" s="68">
        <v>0.45</v>
      </c>
      <c r="D21" s="69">
        <v>0.15</v>
      </c>
      <c r="E21" s="69">
        <v>0.15</v>
      </c>
      <c r="F21" s="69">
        <v>0.15</v>
      </c>
      <c r="G21" s="69">
        <v>0.1</v>
      </c>
      <c r="H21" s="69">
        <f>SUMPRODUCT(Scenarios2[[#This Row],[SPY]:[PE]],_xlfn.TOROW(AssetSpecsScenario2[Annualized Return]))</f>
        <v>0.10160846699939566</v>
      </c>
      <c r="I21" s="69" cm="1">
        <f t="array" ref="I21">SQRT(MMULT(MMULT(Scenarios2[[#This Row],[SPY]:[PE]], 'Corr_Cov 36- Month'!$J$13:$N$17), TRANSPOSE(Scenarios2[[#This Row],[SPY]:[PE]])))</f>
        <v>8.7672986989800306E-2</v>
      </c>
      <c r="J21" s="70">
        <f>(Scenarios2[[#This Row],[Expected Return]]-RiskFree)/Scenarios2[[#This Row],[36M Vol]]</f>
        <v>0.62280199772585021</v>
      </c>
      <c r="K21" s="69" cm="1">
        <f t="array" ref="K21">MIN(_xlfn._xlws.FILTER(PortfolioFrontier[#Data],(PortfolioFrontier[#Headers]="P"&amp;Scenarios2[[#This Row],[Reference '#]]&amp;" DD")))</f>
        <v>-0.18828201909404418</v>
      </c>
      <c r="L21" s="69">
        <f>SUM(Scenarios2[[#This Row],[SPY]:[VNQ]])</f>
        <v>0.9</v>
      </c>
      <c r="M21" s="69">
        <f>SUM(Scenarios2[[#This Row],[SPY]:[PE]])</f>
        <v>1</v>
      </c>
      <c r="N21" s="71" t="b">
        <f>Scenarios2[[#This Row],[SPY]]&gt;=SpyMin</f>
        <v>1</v>
      </c>
      <c r="O21" s="71" t="b">
        <f>Scenarios2[[#This Row],[AGG]]&gt;=AGGMin</f>
        <v>1</v>
      </c>
      <c r="P21" s="71" t="b">
        <f>AND(Scenarios2[[#This Row],[GLD]]&gt;=GLDMin,Scenarios2[[#This Row],[GLD]]&lt;=GLDMax)</f>
        <v>1</v>
      </c>
      <c r="Q21" s="71" t="b">
        <f>Scenarios2[[#This Row],[VNQ]]&gt;=VNQMin</f>
        <v>1</v>
      </c>
      <c r="R21" s="71" t="b">
        <f>AND(Scenarios2[[#This Row],[PE]]&gt;=PEMin,Scenarios2[[#This Row],[PE]]&lt;=PEMax)</f>
        <v>1</v>
      </c>
      <c r="S21" s="71" t="b">
        <f>Scenarios2[[#This Row],[Liquid Assets]]&gt;=LiquidMin</f>
        <v>1</v>
      </c>
      <c r="T21" s="71" t="b">
        <f>AND(Scenarios2[[#This Row],[Expected Return]]&gt;=ExpectedReturnMin,Scenarios2[[#This Row],[Expected Return]]&lt;=ExpectedReturnMax)</f>
        <v>0</v>
      </c>
      <c r="U21" s="71" t="b">
        <f>Scenarios2[[#This Row],[Max Drawdown]]&gt;=DrawdownMax</f>
        <v>1</v>
      </c>
      <c r="V2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21" s="46" t="str">
        <f>_xlfn.XLOOKUP(Scenarios2[[#This Row],[Reference '#]],ScenariosCombined[Reference '#],ScenariosCombined[Sharpe Rank])</f>
        <v/>
      </c>
      <c r="X21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2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45/15/15/15/10</v>
      </c>
      <c r="Z21" t="str">
        <f>_xlfn.XLOOKUP(Scenarios2[[#This Row],[Reference '#]],Scenarios1[Reference '#],Scenarios1[Sharpe Rank])</f>
        <v/>
      </c>
      <c r="AA21" t="str">
        <f>Scenarios2[[#This Row],[Sharpe Rank]]</f>
        <v/>
      </c>
      <c r="AB21" t="str">
        <f>_xlfn.XLOOKUP(Scenarios2[[#This Row],[Reference '#]],Scenarios3[Reference '#],Scenarios3[Sharpe Rank])</f>
        <v/>
      </c>
      <c r="AF21" s="34"/>
      <c r="AG21" s="34"/>
      <c r="AK21" s="15"/>
    </row>
    <row r="22" spans="2:37" x14ac:dyDescent="0.2">
      <c r="B22" s="44">
        <v>12</v>
      </c>
      <c r="C22" s="68">
        <v>0.45</v>
      </c>
      <c r="D22" s="69">
        <v>0.15</v>
      </c>
      <c r="E22" s="69">
        <v>0.15</v>
      </c>
      <c r="F22" s="69">
        <v>0.1</v>
      </c>
      <c r="G22" s="69">
        <v>0.15</v>
      </c>
      <c r="H22" s="69">
        <f>SUMPRODUCT(Scenarios2[[#This Row],[SPY]:[PE]],_xlfn.TOROW(AssetSpecsScenario2[Annualized Return]))</f>
        <v>0.10174517351834214</v>
      </c>
      <c r="I22" s="69" cm="1">
        <f t="array" ref="I22">SQRT(MMULT(MMULT(Scenarios2[[#This Row],[SPY]:[PE]], 'Corr_Cov 36- Month'!$J$13:$N$17), TRANSPOSE(Scenarios2[[#This Row],[SPY]:[PE]])))</f>
        <v>8.0506165596405346E-2</v>
      </c>
      <c r="J22" s="70">
        <f>(Scenarios2[[#This Row],[Expected Return]]-RiskFree)/Scenarios2[[#This Row],[36M Vol]]</f>
        <v>0.67994317649169911</v>
      </c>
      <c r="K22" s="69" cm="1">
        <f t="array" ref="K22">MIN(_xlfn._xlws.FILTER(PortfolioFrontier[#Data],(PortfolioFrontier[#Headers]="P"&amp;Scenarios2[[#This Row],[Reference '#]]&amp;" DD")))</f>
        <v>-0.17383993004821174</v>
      </c>
      <c r="L22" s="69">
        <f>SUM(Scenarios2[[#This Row],[SPY]:[VNQ]])</f>
        <v>0.85</v>
      </c>
      <c r="M22" s="69">
        <f>SUM(Scenarios2[[#This Row],[SPY]:[PE]])</f>
        <v>1</v>
      </c>
      <c r="N22" s="71" t="b">
        <f>Scenarios2[[#This Row],[SPY]]&gt;=SpyMin</f>
        <v>1</v>
      </c>
      <c r="O22" s="71" t="b">
        <f>Scenarios2[[#This Row],[AGG]]&gt;=AGGMin</f>
        <v>1</v>
      </c>
      <c r="P22" s="71" t="b">
        <f>AND(Scenarios2[[#This Row],[GLD]]&gt;=GLDMin,Scenarios2[[#This Row],[GLD]]&lt;=GLDMax)</f>
        <v>1</v>
      </c>
      <c r="Q22" s="71" t="b">
        <f>Scenarios2[[#This Row],[VNQ]]&gt;=VNQMin</f>
        <v>1</v>
      </c>
      <c r="R22" s="71" t="b">
        <f>AND(Scenarios2[[#This Row],[PE]]&gt;=PEMin,Scenarios2[[#This Row],[PE]]&lt;=PEMax)</f>
        <v>1</v>
      </c>
      <c r="S22" s="71" t="b">
        <f>Scenarios2[[#This Row],[Liquid Assets]]&gt;=LiquidMin</f>
        <v>1</v>
      </c>
      <c r="T22" s="71" t="b">
        <f>AND(Scenarios2[[#This Row],[Expected Return]]&gt;=ExpectedReturnMin,Scenarios2[[#This Row],[Expected Return]]&lt;=ExpectedReturnMax)</f>
        <v>0</v>
      </c>
      <c r="U22" s="71" t="b">
        <f>Scenarios2[[#This Row],[Max Drawdown]]&gt;=DrawdownMax</f>
        <v>1</v>
      </c>
      <c r="V2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22" s="46" t="str">
        <f>_xlfn.XLOOKUP(Scenarios2[[#This Row],[Reference '#]],ScenariosCombined[Reference '#],ScenariosCombined[Sharpe Rank])</f>
        <v/>
      </c>
      <c r="X22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2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45/15/15/10/15</v>
      </c>
      <c r="Z22" t="str">
        <f>_xlfn.XLOOKUP(Scenarios2[[#This Row],[Reference '#]],Scenarios1[Reference '#],Scenarios1[Sharpe Rank])</f>
        <v/>
      </c>
      <c r="AA22" t="str">
        <f>Scenarios2[[#This Row],[Sharpe Rank]]</f>
        <v/>
      </c>
      <c r="AB22" t="str">
        <f>_xlfn.XLOOKUP(Scenarios2[[#This Row],[Reference '#]],Scenarios3[Reference '#],Scenarios3[Sharpe Rank])</f>
        <v/>
      </c>
      <c r="AF22" s="34"/>
      <c r="AG22" s="34"/>
      <c r="AK22" s="15"/>
    </row>
    <row r="23" spans="2:37" x14ac:dyDescent="0.2">
      <c r="B23" s="44">
        <v>13</v>
      </c>
      <c r="C23" s="68">
        <v>0.45</v>
      </c>
      <c r="D23" s="69">
        <v>0.15</v>
      </c>
      <c r="E23" s="69">
        <v>0.1</v>
      </c>
      <c r="F23" s="69">
        <v>0.2</v>
      </c>
      <c r="G23" s="69">
        <v>0.1</v>
      </c>
      <c r="H23" s="69">
        <f>SUMPRODUCT(Scenarios2[[#This Row],[SPY]:[PE]],_xlfn.TOROW(AssetSpecsScenario2[Annualized Return]))</f>
        <v>9.7616748098319647E-2</v>
      </c>
      <c r="I23" s="69" cm="1">
        <f t="array" ref="I23">SQRT(MMULT(MMULT(Scenarios2[[#This Row],[SPY]:[PE]], 'Corr_Cov 36- Month'!$J$13:$N$17), TRANSPOSE(Scenarios2[[#This Row],[SPY]:[PE]])))</f>
        <v>9.3522222759865978E-2</v>
      </c>
      <c r="J23" s="70">
        <f>(Scenarios2[[#This Row],[Expected Return]]-RiskFree)/Scenarios2[[#This Row],[36M Vol]]</f>
        <v>0.54116755407660533</v>
      </c>
      <c r="K23" s="69" cm="1">
        <f t="array" ref="K23">MIN(_xlfn._xlws.FILTER(PortfolioFrontier[#Data],(PortfolioFrontier[#Headers]="P"&amp;Scenarios2[[#This Row],[Reference '#]]&amp;" DD")))</f>
        <v>-0.1984378230080508</v>
      </c>
      <c r="L23" s="69">
        <f>SUM(Scenarios2[[#This Row],[SPY]:[VNQ]])</f>
        <v>0.89999999999999991</v>
      </c>
      <c r="M23" s="69">
        <f>SUM(Scenarios2[[#This Row],[SPY]:[PE]])</f>
        <v>0.99999999999999989</v>
      </c>
      <c r="N23" s="71" t="b">
        <f>Scenarios2[[#This Row],[SPY]]&gt;=SpyMin</f>
        <v>1</v>
      </c>
      <c r="O23" s="71" t="b">
        <f>Scenarios2[[#This Row],[AGG]]&gt;=AGGMin</f>
        <v>1</v>
      </c>
      <c r="P23" s="71" t="b">
        <f>AND(Scenarios2[[#This Row],[GLD]]&gt;=GLDMin,Scenarios2[[#This Row],[GLD]]&lt;=GLDMax)</f>
        <v>1</v>
      </c>
      <c r="Q23" s="71" t="b">
        <f>Scenarios2[[#This Row],[VNQ]]&gt;=VNQMin</f>
        <v>1</v>
      </c>
      <c r="R23" s="71" t="b">
        <f>AND(Scenarios2[[#This Row],[PE]]&gt;=PEMin,Scenarios2[[#This Row],[PE]]&lt;=PEMax)</f>
        <v>1</v>
      </c>
      <c r="S23" s="71" t="b">
        <f>Scenarios2[[#This Row],[Liquid Assets]]&gt;=LiquidMin</f>
        <v>1</v>
      </c>
      <c r="T23" s="71" t="b">
        <f>AND(Scenarios2[[#This Row],[Expected Return]]&gt;=ExpectedReturnMin,Scenarios2[[#This Row],[Expected Return]]&lt;=ExpectedReturnMax)</f>
        <v>1</v>
      </c>
      <c r="U23" s="71" t="b">
        <f>Scenarios2[[#This Row],[Max Drawdown]]&gt;=DrawdownMax</f>
        <v>1</v>
      </c>
      <c r="V2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23" s="46">
        <f>_xlfn.XLOOKUP(Scenarios2[[#This Row],[Reference '#]],ScenariosCombined[Reference '#],ScenariosCombined[Sharpe Rank])</f>
        <v>30</v>
      </c>
      <c r="X23" s="44">
        <f>IF(Scenarios2[[#This Row],[Eligible]],COUNTIFS(Scenarios2[Sharpe],"&gt;"&amp;Scenarios2[[#This Row],[Sharpe]],Scenarios2[Eligible],TRUE())+COUNTIFS(Scenarios2[Sharpe],Scenarios2[[#This Row],[Sharpe]],Scenarios2[Eligible],TRUE()),"")</f>
        <v>28</v>
      </c>
      <c r="Y2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45/15/10/20/10</v>
      </c>
      <c r="Z23">
        <f>_xlfn.XLOOKUP(Scenarios2[[#This Row],[Reference '#]],Scenarios1[Reference '#],Scenarios1[Sharpe Rank])</f>
        <v>29</v>
      </c>
      <c r="AA23">
        <f>Scenarios2[[#This Row],[Sharpe Rank]]</f>
        <v>28</v>
      </c>
      <c r="AB23" t="str">
        <f>_xlfn.XLOOKUP(Scenarios2[[#This Row],[Reference '#]],Scenarios3[Reference '#],Scenarios3[Sharpe Rank])</f>
        <v/>
      </c>
      <c r="AF23" s="34"/>
      <c r="AG23" s="34"/>
      <c r="AK23" s="15"/>
    </row>
    <row r="24" spans="2:37" x14ac:dyDescent="0.2">
      <c r="B24" s="44">
        <v>14</v>
      </c>
      <c r="C24" s="68">
        <v>0.45</v>
      </c>
      <c r="D24" s="69">
        <v>0.15</v>
      </c>
      <c r="E24" s="69">
        <v>0.1</v>
      </c>
      <c r="F24" s="69">
        <v>0.15</v>
      </c>
      <c r="G24" s="69">
        <v>0.15</v>
      </c>
      <c r="H24" s="69">
        <f>SUMPRODUCT(Scenarios2[[#This Row],[SPY]:[PE]],_xlfn.TOROW(AssetSpecsScenario2[Annualized Return]))</f>
        <v>9.7753454617266144E-2</v>
      </c>
      <c r="I24" s="69" cm="1">
        <f t="array" ref="I24">SQRT(MMULT(MMULT(Scenarios2[[#This Row],[SPY]:[PE]], 'Corr_Cov 36- Month'!$J$13:$N$17), TRANSPOSE(Scenarios2[[#This Row],[SPY]:[PE]])))</f>
        <v>8.6084391364720458E-2</v>
      </c>
      <c r="J24" s="70">
        <f>(Scenarios2[[#This Row],[Expected Return]]-RiskFree)/Scenarios2[[#This Row],[36M Vol]]</f>
        <v>0.58951336307534552</v>
      </c>
      <c r="K24" s="69" cm="1">
        <f t="array" ref="K24">MIN(_xlfn._xlws.FILTER(PortfolioFrontier[#Data],(PortfolioFrontier[#Headers]="P"&amp;Scenarios2[[#This Row],[Reference '#]]&amp;" DD")))</f>
        <v>-0.18407065770152886</v>
      </c>
      <c r="L24" s="69">
        <f>SUM(Scenarios2[[#This Row],[SPY]:[VNQ]])</f>
        <v>0.85</v>
      </c>
      <c r="M24" s="69">
        <f>SUM(Scenarios2[[#This Row],[SPY]:[PE]])</f>
        <v>1</v>
      </c>
      <c r="N24" s="71" t="b">
        <f>Scenarios2[[#This Row],[SPY]]&gt;=SpyMin</f>
        <v>1</v>
      </c>
      <c r="O24" s="71" t="b">
        <f>Scenarios2[[#This Row],[AGG]]&gt;=AGGMin</f>
        <v>1</v>
      </c>
      <c r="P24" s="71" t="b">
        <f>AND(Scenarios2[[#This Row],[GLD]]&gt;=GLDMin,Scenarios2[[#This Row],[GLD]]&lt;=GLDMax)</f>
        <v>1</v>
      </c>
      <c r="Q24" s="71" t="b">
        <f>Scenarios2[[#This Row],[VNQ]]&gt;=VNQMin</f>
        <v>1</v>
      </c>
      <c r="R24" s="71" t="b">
        <f>AND(Scenarios2[[#This Row],[PE]]&gt;=PEMin,Scenarios2[[#This Row],[PE]]&lt;=PEMax)</f>
        <v>1</v>
      </c>
      <c r="S24" s="71" t="b">
        <f>Scenarios2[[#This Row],[Liquid Assets]]&gt;=LiquidMin</f>
        <v>1</v>
      </c>
      <c r="T24" s="71" t="b">
        <f>AND(Scenarios2[[#This Row],[Expected Return]]&gt;=ExpectedReturnMin,Scenarios2[[#This Row],[Expected Return]]&lt;=ExpectedReturnMax)</f>
        <v>1</v>
      </c>
      <c r="U24" s="71" t="b">
        <f>Scenarios2[[#This Row],[Max Drawdown]]&gt;=DrawdownMax</f>
        <v>1</v>
      </c>
      <c r="V2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24" s="46">
        <f>_xlfn.XLOOKUP(Scenarios2[[#This Row],[Reference '#]],ScenariosCombined[Reference '#],ScenariosCombined[Sharpe Rank])</f>
        <v>12</v>
      </c>
      <c r="X24" s="44">
        <f>IF(Scenarios2[[#This Row],[Eligible]],COUNTIFS(Scenarios2[Sharpe],"&gt;"&amp;Scenarios2[[#This Row],[Sharpe]],Scenarios2[Eligible],TRUE())+COUNTIFS(Scenarios2[Sharpe],Scenarios2[[#This Row],[Sharpe]],Scenarios2[Eligible],TRUE()),"")</f>
        <v>12</v>
      </c>
      <c r="Y2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45/15/10/15/15</v>
      </c>
      <c r="Z24">
        <f>_xlfn.XLOOKUP(Scenarios2[[#This Row],[Reference '#]],Scenarios1[Reference '#],Scenarios1[Sharpe Rank])</f>
        <v>13</v>
      </c>
      <c r="AA24">
        <f>Scenarios2[[#This Row],[Sharpe Rank]]</f>
        <v>12</v>
      </c>
      <c r="AB24" t="str">
        <f>_xlfn.XLOOKUP(Scenarios2[[#This Row],[Reference '#]],Scenarios3[Reference '#],Scenarios3[Sharpe Rank])</f>
        <v/>
      </c>
      <c r="AF24" s="34"/>
      <c r="AG24" s="34"/>
      <c r="AK24" s="15"/>
    </row>
    <row r="25" spans="2:37" x14ac:dyDescent="0.2">
      <c r="B25" s="175">
        <v>15</v>
      </c>
      <c r="C25" s="176">
        <v>0.45</v>
      </c>
      <c r="D25" s="176">
        <v>0.15</v>
      </c>
      <c r="E25" s="176">
        <v>0.1</v>
      </c>
      <c r="F25" s="176">
        <v>0.1</v>
      </c>
      <c r="G25" s="176">
        <v>0.2</v>
      </c>
      <c r="H25" s="176">
        <f>SUMPRODUCT(Scenarios2[[#This Row],[SPY]:[PE]],_xlfn.TOROW(AssetSpecsScenario2[Annualized Return]))</f>
        <v>9.7890161136212642E-2</v>
      </c>
      <c r="I25" s="176" cm="1">
        <f t="array" ref="I25">SQRT(MMULT(MMULT(Scenarios2[[#This Row],[SPY]:[PE]], 'Corr_Cov 36- Month'!$J$13:$N$17), TRANSPOSE(Scenarios2[[#This Row],[SPY]:[PE]])))</f>
        <v>7.911221564736387E-2</v>
      </c>
      <c r="J25" s="177">
        <f>(Scenarios2[[#This Row],[Expected Return]]-RiskFree)/Scenarios2[[#This Row],[36M Vol]]</f>
        <v>0.6431953038386764</v>
      </c>
      <c r="K25" s="176" cm="1">
        <f t="array" ref="K25">MIN(_xlfn._xlws.FILTER(PortfolioFrontier[#Data],(PortfolioFrontier[#Headers]="P"&amp;Scenarios2[[#This Row],[Reference '#]]&amp;" DD")))</f>
        <v>-0.16958426219189504</v>
      </c>
      <c r="L25" s="176">
        <f>SUM(Scenarios2[[#This Row],[SPY]:[VNQ]])</f>
        <v>0.79999999999999993</v>
      </c>
      <c r="M25" s="176">
        <f>SUM(Scenarios2[[#This Row],[SPY]:[PE]])</f>
        <v>1</v>
      </c>
      <c r="N25" s="175" t="b">
        <f>Scenarios2[[#This Row],[SPY]]&gt;=SpyMin</f>
        <v>1</v>
      </c>
      <c r="O25" s="175" t="b">
        <f>Scenarios2[[#This Row],[AGG]]&gt;=AGGMin</f>
        <v>1</v>
      </c>
      <c r="P25" s="175" t="b">
        <f>AND(Scenarios2[[#This Row],[GLD]]&gt;=GLDMin,Scenarios2[[#This Row],[GLD]]&lt;=GLDMax)</f>
        <v>1</v>
      </c>
      <c r="Q25" s="175" t="b">
        <f>Scenarios2[[#This Row],[VNQ]]&gt;=VNQMin</f>
        <v>1</v>
      </c>
      <c r="R25" s="175" t="b">
        <f>AND(Scenarios2[[#This Row],[PE]]&gt;=PEMin,Scenarios2[[#This Row],[PE]]&lt;=PEMax)</f>
        <v>1</v>
      </c>
      <c r="S25" s="175" t="b">
        <f>Scenarios2[[#This Row],[Liquid Assets]]&gt;=LiquidMin</f>
        <v>1</v>
      </c>
      <c r="T25" s="175" t="b">
        <f>AND(Scenarios2[[#This Row],[Expected Return]]&gt;=ExpectedReturnMin,Scenarios2[[#This Row],[Expected Return]]&lt;=ExpectedReturnMax)</f>
        <v>1</v>
      </c>
      <c r="U25" s="175" t="b">
        <f>Scenarios2[[#This Row],[Max Drawdown]]&gt;=DrawdownMax</f>
        <v>1</v>
      </c>
      <c r="V25" s="175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25" s="178">
        <f>_xlfn.XLOOKUP(Scenarios2[[#This Row],[Reference '#]],ScenariosCombined[Reference '#],ScenariosCombined[Sharpe Rank])</f>
        <v>3</v>
      </c>
      <c r="X25" s="175">
        <f>IF(Scenarios2[[#This Row],[Eligible]],COUNTIFS(Scenarios2[Sharpe],"&gt;"&amp;Scenarios2[[#This Row],[Sharpe]],Scenarios2[Eligible],TRUE())+COUNTIFS(Scenarios2[Sharpe],Scenarios2[[#This Row],[Sharpe]],Scenarios2[Eligible],TRUE()),"")</f>
        <v>4</v>
      </c>
      <c r="Y25" s="17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45/15/10/10/20</v>
      </c>
      <c r="Z25" s="180">
        <f>_xlfn.XLOOKUP(Scenarios2[[#This Row],[Reference '#]],Scenarios1[Reference '#],Scenarios1[Sharpe Rank])</f>
        <v>6</v>
      </c>
      <c r="AA25" s="180">
        <f>Scenarios2[[#This Row],[Sharpe Rank]]</f>
        <v>4</v>
      </c>
      <c r="AB25" s="180" t="str">
        <f>_xlfn.XLOOKUP(Scenarios2[[#This Row],[Reference '#]],Scenarios3[Reference '#],Scenarios3[Sharpe Rank])</f>
        <v/>
      </c>
      <c r="AF25" s="34"/>
      <c r="AG25" s="34"/>
      <c r="AK25" s="15"/>
    </row>
    <row r="26" spans="2:37" x14ac:dyDescent="0.2">
      <c r="B26" s="44">
        <v>16</v>
      </c>
      <c r="C26" s="68">
        <v>0.4</v>
      </c>
      <c r="D26" s="69">
        <v>0.3</v>
      </c>
      <c r="E26" s="69">
        <v>0.1</v>
      </c>
      <c r="F26" s="69">
        <v>0.1</v>
      </c>
      <c r="G26" s="69">
        <v>0.1</v>
      </c>
      <c r="H26" s="69">
        <f>SUMPRODUCT(Scenarios2[[#This Row],[SPY]:[PE]],_xlfn.TOROW(AssetSpecsScenario2[Annualized Return]))</f>
        <v>8.7766036384984036E-2</v>
      </c>
      <c r="I26" s="69" cm="1">
        <f t="array" ref="I26">SQRT(MMULT(MMULT(Scenarios2[[#This Row],[SPY]:[PE]], 'Corr_Cov 36- Month'!$J$13:$N$17), TRANSPOSE(Scenarios2[[#This Row],[SPY]:[PE]])))</f>
        <v>8.0098377073408847E-2</v>
      </c>
      <c r="J26" s="70">
        <f>(Scenarios2[[#This Row],[Expected Return]]-RiskFree)/Scenarios2[[#This Row],[36M Vol]]</f>
        <v>0.50888023351674372</v>
      </c>
      <c r="K26" s="69" cm="1">
        <f t="array" ref="K26">MIN(_xlfn._xlws.FILTER(PortfolioFrontier[#Data],(PortfolioFrontier[#Headers]="P"&amp;Scenarios2[[#This Row],[Reference '#]]&amp;" DD")))</f>
        <v>-0.17815309576344351</v>
      </c>
      <c r="L26" s="69">
        <f>SUM(Scenarios2[[#This Row],[SPY]:[VNQ]])</f>
        <v>0.89999999999999991</v>
      </c>
      <c r="M26" s="69">
        <f>SUM(Scenarios2[[#This Row],[SPY]:[PE]])</f>
        <v>0.99999999999999989</v>
      </c>
      <c r="N26" s="71" t="b">
        <f>Scenarios2[[#This Row],[SPY]]&gt;=SpyMin</f>
        <v>1</v>
      </c>
      <c r="O26" s="71" t="b">
        <f>Scenarios2[[#This Row],[AGG]]&gt;=AGGMin</f>
        <v>1</v>
      </c>
      <c r="P26" s="71" t="b">
        <f>AND(Scenarios2[[#This Row],[GLD]]&gt;=GLDMin,Scenarios2[[#This Row],[GLD]]&lt;=GLDMax)</f>
        <v>1</v>
      </c>
      <c r="Q26" s="71" t="b">
        <f>Scenarios2[[#This Row],[VNQ]]&gt;=VNQMin</f>
        <v>1</v>
      </c>
      <c r="R26" s="71" t="b">
        <f>AND(Scenarios2[[#This Row],[PE]]&gt;=PEMin,Scenarios2[[#This Row],[PE]]&lt;=PEMax)</f>
        <v>1</v>
      </c>
      <c r="S26" s="71" t="b">
        <f>Scenarios2[[#This Row],[Liquid Assets]]&gt;=LiquidMin</f>
        <v>1</v>
      </c>
      <c r="T26" s="71" t="b">
        <f>AND(Scenarios2[[#This Row],[Expected Return]]&gt;=ExpectedReturnMin,Scenarios2[[#This Row],[Expected Return]]&lt;=ExpectedReturnMax)</f>
        <v>1</v>
      </c>
      <c r="U26" s="71" t="b">
        <f>Scenarios2[[#This Row],[Max Drawdown]]&gt;=DrawdownMax</f>
        <v>1</v>
      </c>
      <c r="V2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26" s="46">
        <f>_xlfn.XLOOKUP(Scenarios2[[#This Row],[Reference '#]],ScenariosCombined[Reference '#],ScenariosCombined[Sharpe Rank])</f>
        <v>43</v>
      </c>
      <c r="X26" s="44">
        <f>IF(Scenarios2[[#This Row],[Eligible]],COUNTIFS(Scenarios2[Sharpe],"&gt;"&amp;Scenarios2[[#This Row],[Sharpe]],Scenarios2[Eligible],TRUE())+COUNTIFS(Scenarios2[Sharpe],Scenarios2[[#This Row],[Sharpe]],Scenarios2[Eligible],TRUE()),"")</f>
        <v>40</v>
      </c>
      <c r="Y2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40/30/10/10/10</v>
      </c>
      <c r="Z26">
        <f>_xlfn.XLOOKUP(Scenarios2[[#This Row],[Reference '#]],Scenarios1[Reference '#],Scenarios1[Sharpe Rank])</f>
        <v>41</v>
      </c>
      <c r="AA26">
        <f>Scenarios2[[#This Row],[Sharpe Rank]]</f>
        <v>40</v>
      </c>
      <c r="AB26">
        <f>_xlfn.XLOOKUP(Scenarios2[[#This Row],[Reference '#]],Scenarios3[Reference '#],Scenarios3[Sharpe Rank])</f>
        <v>38</v>
      </c>
      <c r="AF26" s="34"/>
      <c r="AG26" s="34"/>
      <c r="AK26" s="15"/>
    </row>
    <row r="27" spans="2:37" x14ac:dyDescent="0.2">
      <c r="B27" s="44">
        <v>17</v>
      </c>
      <c r="C27" s="68">
        <v>0.4</v>
      </c>
      <c r="D27" s="69">
        <v>0.25</v>
      </c>
      <c r="E27" s="69">
        <v>0.15</v>
      </c>
      <c r="F27" s="69">
        <v>0.1</v>
      </c>
      <c r="G27" s="69">
        <v>0.1</v>
      </c>
      <c r="H27" s="69">
        <f>SUMPRODUCT(Scenarios2[[#This Row],[SPY]:[PE]],_xlfn.TOROW(AssetSpecsScenario2[Annualized Return]))</f>
        <v>9.3341494632223548E-2</v>
      </c>
      <c r="I27" s="69" cm="1">
        <f t="array" ref="I27">SQRT(MMULT(MMULT(Scenarios2[[#This Row],[SPY]:[PE]], 'Corr_Cov 36- Month'!$J$13:$N$17), TRANSPOSE(Scenarios2[[#This Row],[SPY]:[PE]])))</f>
        <v>7.9759388017315733E-2</v>
      </c>
      <c r="J27" s="70">
        <f>(Scenarios2[[#This Row],[Expected Return]]-RiskFree)/Scenarios2[[#This Row],[36M Vol]]</f>
        <v>0.58094652213992015</v>
      </c>
      <c r="K27" s="69" cm="1">
        <f t="array" ref="K27">MIN(_xlfn._xlws.FILTER(PortfolioFrontier[#Data],(PortfolioFrontier[#Headers]="P"&amp;Scenarios2[[#This Row],[Reference '#]]&amp;" DD")))</f>
        <v>-0.17568161179238972</v>
      </c>
      <c r="L27" s="69">
        <f>SUM(Scenarios2[[#This Row],[SPY]:[VNQ]])</f>
        <v>0.9</v>
      </c>
      <c r="M27" s="69">
        <f>SUM(Scenarios2[[#This Row],[SPY]:[PE]])</f>
        <v>1</v>
      </c>
      <c r="N27" s="71" t="b">
        <f>Scenarios2[[#This Row],[SPY]]&gt;=SpyMin</f>
        <v>1</v>
      </c>
      <c r="O27" s="71" t="b">
        <f>Scenarios2[[#This Row],[AGG]]&gt;=AGGMin</f>
        <v>1</v>
      </c>
      <c r="P27" s="71" t="b">
        <f>AND(Scenarios2[[#This Row],[GLD]]&gt;=GLDMin,Scenarios2[[#This Row],[GLD]]&lt;=GLDMax)</f>
        <v>1</v>
      </c>
      <c r="Q27" s="71" t="b">
        <f>Scenarios2[[#This Row],[VNQ]]&gt;=VNQMin</f>
        <v>1</v>
      </c>
      <c r="R27" s="71" t="b">
        <f>AND(Scenarios2[[#This Row],[PE]]&gt;=PEMin,Scenarios2[[#This Row],[PE]]&lt;=PEMax)</f>
        <v>1</v>
      </c>
      <c r="S27" s="71" t="b">
        <f>Scenarios2[[#This Row],[Liquid Assets]]&gt;=LiquidMin</f>
        <v>1</v>
      </c>
      <c r="T27" s="71" t="b">
        <f>AND(Scenarios2[[#This Row],[Expected Return]]&gt;=ExpectedReturnMin,Scenarios2[[#This Row],[Expected Return]]&lt;=ExpectedReturnMax)</f>
        <v>1</v>
      </c>
      <c r="U27" s="71" t="b">
        <f>Scenarios2[[#This Row],[Max Drawdown]]&gt;=DrawdownMax</f>
        <v>1</v>
      </c>
      <c r="V2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27" s="46">
        <f>_xlfn.XLOOKUP(Scenarios2[[#This Row],[Reference '#]],ScenariosCombined[Reference '#],ScenariosCombined[Sharpe Rank])</f>
        <v>17</v>
      </c>
      <c r="X27" s="44">
        <f>IF(Scenarios2[[#This Row],[Eligible]],COUNTIFS(Scenarios2[Sharpe],"&gt;"&amp;Scenarios2[[#This Row],[Sharpe]],Scenarios2[Eligible],TRUE())+COUNTIFS(Scenarios2[Sharpe],Scenarios2[[#This Row],[Sharpe]],Scenarios2[Eligible],TRUE()),"")</f>
        <v>15</v>
      </c>
      <c r="Y2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40/25/15/10/10</v>
      </c>
      <c r="Z27">
        <f>_xlfn.XLOOKUP(Scenarios2[[#This Row],[Reference '#]],Scenarios1[Reference '#],Scenarios1[Sharpe Rank])</f>
        <v>16</v>
      </c>
      <c r="AA27">
        <f>Scenarios2[[#This Row],[Sharpe Rank]]</f>
        <v>15</v>
      </c>
      <c r="AB27">
        <f>_xlfn.XLOOKUP(Scenarios2[[#This Row],[Reference '#]],Scenarios3[Reference '#],Scenarios3[Sharpe Rank])</f>
        <v>11</v>
      </c>
      <c r="AF27" s="34"/>
      <c r="AG27" s="34"/>
      <c r="AK27" s="15"/>
    </row>
    <row r="28" spans="2:37" x14ac:dyDescent="0.2">
      <c r="B28" s="44">
        <v>18</v>
      </c>
      <c r="C28" s="68">
        <v>0.4</v>
      </c>
      <c r="D28" s="69">
        <v>0.25</v>
      </c>
      <c r="E28" s="69">
        <v>0.1</v>
      </c>
      <c r="F28" s="69">
        <v>0.15</v>
      </c>
      <c r="G28" s="69">
        <v>0.1</v>
      </c>
      <c r="H28" s="69">
        <f>SUMPRODUCT(Scenarios2[[#This Row],[SPY]:[PE]],_xlfn.TOROW(AssetSpecsScenario2[Annualized Return]))</f>
        <v>8.9349775731147524E-2</v>
      </c>
      <c r="I28" s="69" cm="1">
        <f t="array" ref="I28">SQRT(MMULT(MMULT(Scenarios2[[#This Row],[SPY]:[PE]], 'Corr_Cov 36- Month'!$J$13:$N$17), TRANSPOSE(Scenarios2[[#This Row],[SPY]:[PE]])))</f>
        <v>8.525368942499599E-2</v>
      </c>
      <c r="J28" s="70">
        <f>(Scenarios2[[#This Row],[Expected Return]]-RiskFree)/Scenarios2[[#This Row],[36M Vol]]</f>
        <v>0.49668489963528595</v>
      </c>
      <c r="K28" s="69" cm="1">
        <f t="array" ref="K28">MIN(_xlfn._xlws.FILTER(PortfolioFrontier[#Data],(PortfolioFrontier[#Headers]="P"&amp;Scenarios2[[#This Row],[Reference '#]]&amp;" DD")))</f>
        <v>-0.18586780321194241</v>
      </c>
      <c r="L28" s="69">
        <f>SUM(Scenarios2[[#This Row],[SPY]:[VNQ]])</f>
        <v>0.9</v>
      </c>
      <c r="M28" s="69">
        <f>SUM(Scenarios2[[#This Row],[SPY]:[PE]])</f>
        <v>1</v>
      </c>
      <c r="N28" s="71" t="b">
        <f>Scenarios2[[#This Row],[SPY]]&gt;=SpyMin</f>
        <v>1</v>
      </c>
      <c r="O28" s="71" t="b">
        <f>Scenarios2[[#This Row],[AGG]]&gt;=AGGMin</f>
        <v>1</v>
      </c>
      <c r="P28" s="71" t="b">
        <f>AND(Scenarios2[[#This Row],[GLD]]&gt;=GLDMin,Scenarios2[[#This Row],[GLD]]&lt;=GLDMax)</f>
        <v>1</v>
      </c>
      <c r="Q28" s="71" t="b">
        <f>Scenarios2[[#This Row],[VNQ]]&gt;=VNQMin</f>
        <v>1</v>
      </c>
      <c r="R28" s="71" t="b">
        <f>AND(Scenarios2[[#This Row],[PE]]&gt;=PEMin,Scenarios2[[#This Row],[PE]]&lt;=PEMax)</f>
        <v>1</v>
      </c>
      <c r="S28" s="71" t="b">
        <f>Scenarios2[[#This Row],[Liquid Assets]]&gt;=LiquidMin</f>
        <v>1</v>
      </c>
      <c r="T28" s="71" t="b">
        <f>AND(Scenarios2[[#This Row],[Expected Return]]&gt;=ExpectedReturnMin,Scenarios2[[#This Row],[Expected Return]]&lt;=ExpectedReturnMax)</f>
        <v>1</v>
      </c>
      <c r="U28" s="71" t="b">
        <f>Scenarios2[[#This Row],[Max Drawdown]]&gt;=DrawdownMax</f>
        <v>1</v>
      </c>
      <c r="V2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28" s="46">
        <f>_xlfn.XLOOKUP(Scenarios2[[#This Row],[Reference '#]],ScenariosCombined[Reference '#],ScenariosCombined[Sharpe Rank])</f>
        <v>49</v>
      </c>
      <c r="X28" s="44">
        <f>IF(Scenarios2[[#This Row],[Eligible]],COUNTIFS(Scenarios2[Sharpe],"&gt;"&amp;Scenarios2[[#This Row],[Sharpe]],Scenarios2[Eligible],TRUE())+COUNTIFS(Scenarios2[Sharpe],Scenarios2[[#This Row],[Sharpe]],Scenarios2[Eligible],TRUE()),"")</f>
        <v>46</v>
      </c>
      <c r="Y2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40/25/10/15/10</v>
      </c>
      <c r="Z28">
        <f>_xlfn.XLOOKUP(Scenarios2[[#This Row],[Reference '#]],Scenarios1[Reference '#],Scenarios1[Sharpe Rank])</f>
        <v>47</v>
      </c>
      <c r="AA28">
        <f>Scenarios2[[#This Row],[Sharpe Rank]]</f>
        <v>46</v>
      </c>
      <c r="AB28">
        <f>_xlfn.XLOOKUP(Scenarios2[[#This Row],[Reference '#]],Scenarios3[Reference '#],Scenarios3[Sharpe Rank])</f>
        <v>44</v>
      </c>
      <c r="AF28" s="34"/>
      <c r="AG28" s="34"/>
      <c r="AK28" s="15"/>
    </row>
    <row r="29" spans="2:37" x14ac:dyDescent="0.2">
      <c r="B29" s="44">
        <v>19</v>
      </c>
      <c r="C29" s="68">
        <v>0.4</v>
      </c>
      <c r="D29" s="69">
        <v>0.25</v>
      </c>
      <c r="E29" s="69">
        <v>0.1</v>
      </c>
      <c r="F29" s="69">
        <v>0.1</v>
      </c>
      <c r="G29" s="69">
        <v>0.15</v>
      </c>
      <c r="H29" s="69">
        <f>SUMPRODUCT(Scenarios2[[#This Row],[SPY]:[PE]],_xlfn.TOROW(AssetSpecsScenario2[Annualized Return]))</f>
        <v>8.9486482250094007E-2</v>
      </c>
      <c r="I29" s="69" cm="1">
        <f t="array" ref="I29">SQRT(MMULT(MMULT(Scenarios2[[#This Row],[SPY]:[PE]], 'Corr_Cov 36- Month'!$J$13:$N$17), TRANSPOSE(Scenarios2[[#This Row],[SPY]:[PE]])))</f>
        <v>7.7928739797148691E-2</v>
      </c>
      <c r="J29" s="70">
        <f>(Scenarios2[[#This Row],[Expected Return]]-RiskFree)/Scenarios2[[#This Row],[36M Vol]]</f>
        <v>0.54512528760400636</v>
      </c>
      <c r="K29" s="69" cm="1">
        <f t="array" ref="K29">MIN(_xlfn._xlws.FILTER(PortfolioFrontier[#Data],(PortfolioFrontier[#Headers]="P"&amp;Scenarios2[[#This Row],[Reference '#]]&amp;" DD")))</f>
        <v>-0.17144121024298842</v>
      </c>
      <c r="L29" s="69">
        <f>SUM(Scenarios2[[#This Row],[SPY]:[VNQ]])</f>
        <v>0.85</v>
      </c>
      <c r="M29" s="69">
        <f>SUM(Scenarios2[[#This Row],[SPY]:[PE]])</f>
        <v>1</v>
      </c>
      <c r="N29" s="71" t="b">
        <f>Scenarios2[[#This Row],[SPY]]&gt;=SpyMin</f>
        <v>1</v>
      </c>
      <c r="O29" s="71" t="b">
        <f>Scenarios2[[#This Row],[AGG]]&gt;=AGGMin</f>
        <v>1</v>
      </c>
      <c r="P29" s="71" t="b">
        <f>AND(Scenarios2[[#This Row],[GLD]]&gt;=GLDMin,Scenarios2[[#This Row],[GLD]]&lt;=GLDMax)</f>
        <v>1</v>
      </c>
      <c r="Q29" s="71" t="b">
        <f>Scenarios2[[#This Row],[VNQ]]&gt;=VNQMin</f>
        <v>1</v>
      </c>
      <c r="R29" s="71" t="b">
        <f>AND(Scenarios2[[#This Row],[PE]]&gt;=PEMin,Scenarios2[[#This Row],[PE]]&lt;=PEMax)</f>
        <v>1</v>
      </c>
      <c r="S29" s="71" t="b">
        <f>Scenarios2[[#This Row],[Liquid Assets]]&gt;=LiquidMin</f>
        <v>1</v>
      </c>
      <c r="T29" s="71" t="b">
        <f>AND(Scenarios2[[#This Row],[Expected Return]]&gt;=ExpectedReturnMin,Scenarios2[[#This Row],[Expected Return]]&lt;=ExpectedReturnMax)</f>
        <v>1</v>
      </c>
      <c r="U29" s="71" t="b">
        <f>Scenarios2[[#This Row],[Max Drawdown]]&gt;=DrawdownMax</f>
        <v>1</v>
      </c>
      <c r="V2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29" s="46">
        <f>_xlfn.XLOOKUP(Scenarios2[[#This Row],[Reference '#]],ScenariosCombined[Reference '#],ScenariosCombined[Sharpe Rank])</f>
        <v>26</v>
      </c>
      <c r="X29" s="44">
        <f>IF(Scenarios2[[#This Row],[Eligible]],COUNTIFS(Scenarios2[Sharpe],"&gt;"&amp;Scenarios2[[#This Row],[Sharpe]],Scenarios2[Eligible],TRUE())+COUNTIFS(Scenarios2[Sharpe],Scenarios2[[#This Row],[Sharpe]],Scenarios2[Eligible],TRUE()),"")</f>
        <v>27</v>
      </c>
      <c r="Y2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40/25/10/10/15</v>
      </c>
      <c r="Z29">
        <f>_xlfn.XLOOKUP(Scenarios2[[#This Row],[Reference '#]],Scenarios1[Reference '#],Scenarios1[Sharpe Rank])</f>
        <v>30</v>
      </c>
      <c r="AA29">
        <f>Scenarios2[[#This Row],[Sharpe Rank]]</f>
        <v>27</v>
      </c>
      <c r="AB29">
        <f>_xlfn.XLOOKUP(Scenarios2[[#This Row],[Reference '#]],Scenarios3[Reference '#],Scenarios3[Sharpe Rank])</f>
        <v>18</v>
      </c>
      <c r="AF29" s="34"/>
      <c r="AG29" s="34"/>
      <c r="AK29" s="15"/>
    </row>
    <row r="30" spans="2:37" x14ac:dyDescent="0.2">
      <c r="B30" s="175">
        <v>20</v>
      </c>
      <c r="C30" s="176">
        <v>0.4</v>
      </c>
      <c r="D30" s="176">
        <v>0.2</v>
      </c>
      <c r="E30" s="176">
        <v>0.2</v>
      </c>
      <c r="F30" s="176">
        <v>0.1</v>
      </c>
      <c r="G30" s="176">
        <v>0.1</v>
      </c>
      <c r="H30" s="176">
        <f>SUMPRODUCT(Scenarios2[[#This Row],[SPY]:[PE]],_xlfn.TOROW(AssetSpecsScenario2[Annualized Return]))</f>
        <v>9.8916952879463033E-2</v>
      </c>
      <c r="I30" s="176" cm="1">
        <f t="array" ref="I30">SQRT(MMULT(MMULT(Scenarios2[[#This Row],[SPY]:[PE]], 'Corr_Cov 36- Month'!$J$13:$N$17), TRANSPOSE(Scenarios2[[#This Row],[SPY]:[PE]])))</f>
        <v>7.9943764058617736E-2</v>
      </c>
      <c r="J30" s="177">
        <f>(Scenarios2[[#This Row],[Expected Return]]-RiskFree)/Scenarios2[[#This Row],[36M Vol]]</f>
        <v>0.6493489259005133</v>
      </c>
      <c r="K30" s="176" cm="1">
        <f t="array" ref="K30">MIN(_xlfn._xlws.FILTER(PortfolioFrontier[#Data],(PortfolioFrontier[#Headers]="P"&amp;Scenarios2[[#This Row],[Reference '#]]&amp;" DD")))</f>
        <v>-0.17322688100654049</v>
      </c>
      <c r="L30" s="176">
        <f>SUM(Scenarios2[[#This Row],[SPY]:[VNQ]])</f>
        <v>0.9</v>
      </c>
      <c r="M30" s="176">
        <f>SUM(Scenarios2[[#This Row],[SPY]:[PE]])</f>
        <v>1</v>
      </c>
      <c r="N30" s="175" t="b">
        <f>Scenarios2[[#This Row],[SPY]]&gt;=SpyMin</f>
        <v>1</v>
      </c>
      <c r="O30" s="175" t="b">
        <f>Scenarios2[[#This Row],[AGG]]&gt;=AGGMin</f>
        <v>1</v>
      </c>
      <c r="P30" s="175" t="b">
        <f>AND(Scenarios2[[#This Row],[GLD]]&gt;=GLDMin,Scenarios2[[#This Row],[GLD]]&lt;=GLDMax)</f>
        <v>1</v>
      </c>
      <c r="Q30" s="175" t="b">
        <f>Scenarios2[[#This Row],[VNQ]]&gt;=VNQMin</f>
        <v>1</v>
      </c>
      <c r="R30" s="175" t="b">
        <f>AND(Scenarios2[[#This Row],[PE]]&gt;=PEMin,Scenarios2[[#This Row],[PE]]&lt;=PEMax)</f>
        <v>1</v>
      </c>
      <c r="S30" s="175" t="b">
        <f>Scenarios2[[#This Row],[Liquid Assets]]&gt;=LiquidMin</f>
        <v>1</v>
      </c>
      <c r="T30" s="175" t="b">
        <f>AND(Scenarios2[[#This Row],[Expected Return]]&gt;=ExpectedReturnMin,Scenarios2[[#This Row],[Expected Return]]&lt;=ExpectedReturnMax)</f>
        <v>1</v>
      </c>
      <c r="U30" s="175" t="b">
        <f>Scenarios2[[#This Row],[Max Drawdown]]&gt;=DrawdownMax</f>
        <v>1</v>
      </c>
      <c r="V30" s="175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0" s="178">
        <f>_xlfn.XLOOKUP(Scenarios2[[#This Row],[Reference '#]],ScenariosCombined[Reference '#],ScenariosCombined[Sharpe Rank])</f>
        <v>4</v>
      </c>
      <c r="X30" s="175">
        <f>IF(Scenarios2[[#This Row],[Eligible]],COUNTIFS(Scenarios2[Sharpe],"&gt;"&amp;Scenarios2[[#This Row],[Sharpe]],Scenarios2[Eligible],TRUE())+COUNTIFS(Scenarios2[Sharpe],Scenarios2[[#This Row],[Sharpe]],Scenarios2[Eligible],TRUE()),"")</f>
        <v>3</v>
      </c>
      <c r="Y30" s="17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40/20/20/10/10</v>
      </c>
      <c r="Z30" s="180">
        <f>_xlfn.XLOOKUP(Scenarios2[[#This Row],[Reference '#]],Scenarios1[Reference '#],Scenarios1[Sharpe Rank])</f>
        <v>4</v>
      </c>
      <c r="AA30" s="180">
        <f>Scenarios2[[#This Row],[Sharpe Rank]]</f>
        <v>3</v>
      </c>
      <c r="AB30" s="180" t="str">
        <f>_xlfn.XLOOKUP(Scenarios2[[#This Row],[Reference '#]],Scenarios3[Reference '#],Scenarios3[Sharpe Rank])</f>
        <v/>
      </c>
      <c r="AF30" s="34"/>
      <c r="AG30" s="34"/>
      <c r="AK30" s="15"/>
    </row>
    <row r="31" spans="2:37" x14ac:dyDescent="0.2">
      <c r="B31" s="44">
        <v>21</v>
      </c>
      <c r="C31" s="68">
        <v>0.4</v>
      </c>
      <c r="D31" s="69">
        <v>0.2</v>
      </c>
      <c r="E31" s="69">
        <v>0.15</v>
      </c>
      <c r="F31" s="69">
        <v>0.15</v>
      </c>
      <c r="G31" s="69">
        <v>0.1</v>
      </c>
      <c r="H31" s="69">
        <f>SUMPRODUCT(Scenarios2[[#This Row],[SPY]:[PE]],_xlfn.TOROW(AssetSpecsScenario2[Annualized Return]))</f>
        <v>9.4925233978387008E-2</v>
      </c>
      <c r="I31" s="69" cm="1">
        <f t="array" ref="I31">SQRT(MMULT(MMULT(Scenarios2[[#This Row],[SPY]:[PE]], 'Corr_Cov 36- Month'!$J$13:$N$17), TRANSPOSE(Scenarios2[[#This Row],[SPY]:[PE]])))</f>
        <v>8.4835437270899997E-2</v>
      </c>
      <c r="J31" s="70">
        <f>(Scenarios2[[#This Row],[Expected Return]]-RiskFree)/Scenarios2[[#This Row],[36M Vol]]</f>
        <v>0.56485449906755802</v>
      </c>
      <c r="K31" s="69" cm="1">
        <f t="array" ref="K31">MIN(_xlfn._xlws.FILTER(PortfolioFrontier[#Data],(PortfolioFrontier[#Headers]="P"&amp;Scenarios2[[#This Row],[Reference '#]]&amp;" DD")))</f>
        <v>-0.18341824386731309</v>
      </c>
      <c r="L31" s="69">
        <f>SUM(Scenarios2[[#This Row],[SPY]:[VNQ]])</f>
        <v>0.90000000000000013</v>
      </c>
      <c r="M31" s="69">
        <f>SUM(Scenarios2[[#This Row],[SPY]:[PE]])</f>
        <v>1.0000000000000002</v>
      </c>
      <c r="N31" s="71" t="b">
        <f>Scenarios2[[#This Row],[SPY]]&gt;=SpyMin</f>
        <v>1</v>
      </c>
      <c r="O31" s="71" t="b">
        <f>Scenarios2[[#This Row],[AGG]]&gt;=AGGMin</f>
        <v>1</v>
      </c>
      <c r="P31" s="71" t="b">
        <f>AND(Scenarios2[[#This Row],[GLD]]&gt;=GLDMin,Scenarios2[[#This Row],[GLD]]&lt;=GLDMax)</f>
        <v>1</v>
      </c>
      <c r="Q31" s="71" t="b">
        <f>Scenarios2[[#This Row],[VNQ]]&gt;=VNQMin</f>
        <v>1</v>
      </c>
      <c r="R31" s="71" t="b">
        <f>AND(Scenarios2[[#This Row],[PE]]&gt;=PEMin,Scenarios2[[#This Row],[PE]]&lt;=PEMax)</f>
        <v>1</v>
      </c>
      <c r="S31" s="71" t="b">
        <f>Scenarios2[[#This Row],[Liquid Assets]]&gt;=LiquidMin</f>
        <v>1</v>
      </c>
      <c r="T31" s="71" t="b">
        <f>AND(Scenarios2[[#This Row],[Expected Return]]&gt;=ExpectedReturnMin,Scenarios2[[#This Row],[Expected Return]]&lt;=ExpectedReturnMax)</f>
        <v>1</v>
      </c>
      <c r="U31" s="71" t="b">
        <f>Scenarios2[[#This Row],[Max Drawdown]]&gt;=DrawdownMax</f>
        <v>1</v>
      </c>
      <c r="V3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1" s="46">
        <f>_xlfn.XLOOKUP(Scenarios2[[#This Row],[Reference '#]],ScenariosCombined[Reference '#],ScenariosCombined[Sharpe Rank])</f>
        <v>21</v>
      </c>
      <c r="X31" s="44">
        <f>IF(Scenarios2[[#This Row],[Eligible]],COUNTIFS(Scenarios2[Sharpe],"&gt;"&amp;Scenarios2[[#This Row],[Sharpe]],Scenarios2[Eligible],TRUE())+COUNTIFS(Scenarios2[Sharpe],Scenarios2[[#This Row],[Sharpe]],Scenarios2[Eligible],TRUE()),"")</f>
        <v>21</v>
      </c>
      <c r="Y3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40/20/15/15/10</v>
      </c>
      <c r="Z31">
        <f>_xlfn.XLOOKUP(Scenarios2[[#This Row],[Reference '#]],Scenarios1[Reference '#],Scenarios1[Sharpe Rank])</f>
        <v>22</v>
      </c>
      <c r="AA31">
        <f>Scenarios2[[#This Row],[Sharpe Rank]]</f>
        <v>21</v>
      </c>
      <c r="AB31">
        <f>_xlfn.XLOOKUP(Scenarios2[[#This Row],[Reference '#]],Scenarios3[Reference '#],Scenarios3[Sharpe Rank])</f>
        <v>19</v>
      </c>
      <c r="AF31" s="34"/>
      <c r="AG31" s="34"/>
      <c r="AK31" s="15"/>
    </row>
    <row r="32" spans="2:37" s="15" customFormat="1" x14ac:dyDescent="0.2">
      <c r="B32" s="44">
        <v>22</v>
      </c>
      <c r="C32" s="68">
        <v>0.4</v>
      </c>
      <c r="D32" s="69">
        <v>0.2</v>
      </c>
      <c r="E32" s="69">
        <v>0.15</v>
      </c>
      <c r="F32" s="69">
        <v>0.1</v>
      </c>
      <c r="G32" s="69">
        <v>0.15</v>
      </c>
      <c r="H32" s="69">
        <f>SUMPRODUCT(Scenarios2[[#This Row],[SPY]:[PE]],_xlfn.TOROW(AssetSpecsScenario2[Annualized Return]))</f>
        <v>9.5061940497333491E-2</v>
      </c>
      <c r="I32" s="69" cm="1">
        <f t="array" ref="I32">SQRT(MMULT(MMULT(Scenarios2[[#This Row],[SPY]:[PE]], 'Corr_Cov 36- Month'!$J$13:$N$17), TRANSPOSE(Scenarios2[[#This Row],[SPY]:[PE]])))</f>
        <v>7.7569309378944171E-2</v>
      </c>
      <c r="J32" s="70">
        <f>(Scenarios2[[#This Row],[Expected Return]]-RiskFree)/Scenarios2[[#This Row],[36M Vol]]</f>
        <v>0.61952833313251887</v>
      </c>
      <c r="K32" s="69" cm="1">
        <f t="array" ref="K32">MIN(_xlfn._xlws.FILTER(PortfolioFrontier[#Data],(PortfolioFrontier[#Headers]="P"&amp;Scenarios2[[#This Row],[Reference '#]]&amp;" DD")))</f>
        <v>-0.16896122731263008</v>
      </c>
      <c r="L32" s="69">
        <f>SUM(Scenarios2[[#This Row],[SPY]:[VNQ]])</f>
        <v>0.85000000000000009</v>
      </c>
      <c r="M32" s="69">
        <f>SUM(Scenarios2[[#This Row],[SPY]:[PE]])</f>
        <v>1</v>
      </c>
      <c r="N32" s="71" t="b">
        <f>Scenarios2[[#This Row],[SPY]]&gt;=SpyMin</f>
        <v>1</v>
      </c>
      <c r="O32" s="71" t="b">
        <f>Scenarios2[[#This Row],[AGG]]&gt;=AGGMin</f>
        <v>1</v>
      </c>
      <c r="P32" s="71" t="b">
        <f>AND(Scenarios2[[#This Row],[GLD]]&gt;=GLDMin,Scenarios2[[#This Row],[GLD]]&lt;=GLDMax)</f>
        <v>1</v>
      </c>
      <c r="Q32" s="71" t="b">
        <f>Scenarios2[[#This Row],[VNQ]]&gt;=VNQMin</f>
        <v>1</v>
      </c>
      <c r="R32" s="71" t="b">
        <f>AND(Scenarios2[[#This Row],[PE]]&gt;=PEMin,Scenarios2[[#This Row],[PE]]&lt;=PEMax)</f>
        <v>1</v>
      </c>
      <c r="S32" s="71" t="b">
        <f>Scenarios2[[#This Row],[Liquid Assets]]&gt;=LiquidMin</f>
        <v>1</v>
      </c>
      <c r="T32" s="71" t="b">
        <f>AND(Scenarios2[[#This Row],[Expected Return]]&gt;=ExpectedReturnMin,Scenarios2[[#This Row],[Expected Return]]&lt;=ExpectedReturnMax)</f>
        <v>1</v>
      </c>
      <c r="U32" s="71" t="b">
        <f>Scenarios2[[#This Row],[Max Drawdown]]&gt;=DrawdownMax</f>
        <v>1</v>
      </c>
      <c r="V3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2" s="46">
        <f>_xlfn.XLOOKUP(Scenarios2[[#This Row],[Reference '#]],ScenariosCombined[Reference '#],ScenariosCombined[Sharpe Rank])</f>
        <v>6</v>
      </c>
      <c r="X32" s="44">
        <f>IF(Scenarios2[[#This Row],[Eligible]],COUNTIFS(Scenarios2[Sharpe],"&gt;"&amp;Scenarios2[[#This Row],[Sharpe]],Scenarios2[Eligible],TRUE())+COUNTIFS(Scenarios2[Sharpe],Scenarios2[[#This Row],[Sharpe]],Scenarios2[Eligible],TRUE()),"")</f>
        <v>6</v>
      </c>
      <c r="Y3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40/20/15/10/15</v>
      </c>
      <c r="Z32">
        <f>_xlfn.XLOOKUP(Scenarios2[[#This Row],[Reference '#]],Scenarios1[Reference '#],Scenarios1[Sharpe Rank])</f>
        <v>8</v>
      </c>
      <c r="AA32">
        <f>Scenarios2[[#This Row],[Sharpe Rank]]</f>
        <v>6</v>
      </c>
      <c r="AB32">
        <f>_xlfn.XLOOKUP(Scenarios2[[#This Row],[Reference '#]],Scenarios3[Reference '#],Scenarios3[Sharpe Rank])</f>
        <v>3</v>
      </c>
      <c r="AC32"/>
      <c r="AD32"/>
      <c r="AE32"/>
      <c r="AF32" s="34"/>
      <c r="AG32" s="34"/>
    </row>
    <row r="33" spans="2:33" s="15" customFormat="1" x14ac:dyDescent="0.2">
      <c r="B33" s="44">
        <v>23</v>
      </c>
      <c r="C33" s="68">
        <v>0.4</v>
      </c>
      <c r="D33" s="69">
        <v>0.2</v>
      </c>
      <c r="E33" s="69">
        <v>0.1</v>
      </c>
      <c r="F33" s="69">
        <v>0.2</v>
      </c>
      <c r="G33" s="69">
        <v>0.1</v>
      </c>
      <c r="H33" s="69">
        <f>SUMPRODUCT(Scenarios2[[#This Row],[SPY]:[PE]],_xlfn.TOROW(AssetSpecsScenario2[Annualized Return]))</f>
        <v>9.0933515077310997E-2</v>
      </c>
      <c r="I33" s="69" cm="1">
        <f t="array" ref="I33">SQRT(MMULT(MMULT(Scenarios2[[#This Row],[SPY]:[PE]], 'Corr_Cov 36- Month'!$J$13:$N$17), TRANSPOSE(Scenarios2[[#This Row],[SPY]:[PE]])))</f>
        <v>9.0595491272077472E-2</v>
      </c>
      <c r="J33" s="70">
        <f>(Scenarios2[[#This Row],[Expected Return]]-RiskFree)/Scenarios2[[#This Row],[36M Vol]]</f>
        <v>0.48488019552574058</v>
      </c>
      <c r="K33" s="69" cm="1">
        <f t="array" ref="K33">MIN(_xlfn._xlws.FILTER(PortfolioFrontier[#Data],(PortfolioFrontier[#Headers]="P"&amp;Scenarios2[[#This Row],[Reference '#]]&amp;" DD")))</f>
        <v>-0.19358005839495529</v>
      </c>
      <c r="L33" s="69">
        <f>SUM(Scenarios2[[#This Row],[SPY]:[VNQ]])</f>
        <v>0.90000000000000013</v>
      </c>
      <c r="M33" s="69">
        <f>SUM(Scenarios2[[#This Row],[SPY]:[PE]])</f>
        <v>1.0000000000000002</v>
      </c>
      <c r="N33" s="71" t="b">
        <f>Scenarios2[[#This Row],[SPY]]&gt;=SpyMin</f>
        <v>1</v>
      </c>
      <c r="O33" s="71" t="b">
        <f>Scenarios2[[#This Row],[AGG]]&gt;=AGGMin</f>
        <v>1</v>
      </c>
      <c r="P33" s="71" t="b">
        <f>AND(Scenarios2[[#This Row],[GLD]]&gt;=GLDMin,Scenarios2[[#This Row],[GLD]]&lt;=GLDMax)</f>
        <v>1</v>
      </c>
      <c r="Q33" s="71" t="b">
        <f>Scenarios2[[#This Row],[VNQ]]&gt;=VNQMin</f>
        <v>1</v>
      </c>
      <c r="R33" s="71" t="b">
        <f>AND(Scenarios2[[#This Row],[PE]]&gt;=PEMin,Scenarios2[[#This Row],[PE]]&lt;=PEMax)</f>
        <v>1</v>
      </c>
      <c r="S33" s="71" t="b">
        <f>Scenarios2[[#This Row],[Liquid Assets]]&gt;=LiquidMin</f>
        <v>1</v>
      </c>
      <c r="T33" s="71" t="b">
        <f>AND(Scenarios2[[#This Row],[Expected Return]]&gt;=ExpectedReturnMin,Scenarios2[[#This Row],[Expected Return]]&lt;=ExpectedReturnMax)</f>
        <v>1</v>
      </c>
      <c r="U33" s="71" t="b">
        <f>Scenarios2[[#This Row],[Max Drawdown]]&gt;=DrawdownMax</f>
        <v>1</v>
      </c>
      <c r="V3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3" s="46">
        <f>_xlfn.XLOOKUP(Scenarios2[[#This Row],[Reference '#]],ScenariosCombined[Reference '#],ScenariosCombined[Sharpe Rank])</f>
        <v>53</v>
      </c>
      <c r="X33" s="44">
        <f>IF(Scenarios2[[#This Row],[Eligible]],COUNTIFS(Scenarios2[Sharpe],"&gt;"&amp;Scenarios2[[#This Row],[Sharpe]],Scenarios2[Eligible],TRUE())+COUNTIFS(Scenarios2[Sharpe],Scenarios2[[#This Row],[Sharpe]],Scenarios2[Eligible],TRUE()),"")</f>
        <v>52</v>
      </c>
      <c r="Y3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40/20/10/20/10</v>
      </c>
      <c r="Z33">
        <f>_xlfn.XLOOKUP(Scenarios2[[#This Row],[Reference '#]],Scenarios1[Reference '#],Scenarios1[Sharpe Rank])</f>
        <v>53</v>
      </c>
      <c r="AA33">
        <f>Scenarios2[[#This Row],[Sharpe Rank]]</f>
        <v>52</v>
      </c>
      <c r="AB33">
        <f>_xlfn.XLOOKUP(Scenarios2[[#This Row],[Reference '#]],Scenarios3[Reference '#],Scenarios3[Sharpe Rank])</f>
        <v>52</v>
      </c>
      <c r="AC33"/>
      <c r="AD33"/>
      <c r="AE33"/>
      <c r="AF33" s="34"/>
      <c r="AG33" s="34"/>
    </row>
    <row r="34" spans="2:33" s="15" customFormat="1" x14ac:dyDescent="0.2">
      <c r="B34" s="44">
        <v>24</v>
      </c>
      <c r="C34" s="68">
        <v>0.4</v>
      </c>
      <c r="D34" s="69">
        <v>0.2</v>
      </c>
      <c r="E34" s="69">
        <v>0.1</v>
      </c>
      <c r="F34" s="69">
        <v>0.15</v>
      </c>
      <c r="G34" s="69">
        <v>0.15</v>
      </c>
      <c r="H34" s="69">
        <f>SUMPRODUCT(Scenarios2[[#This Row],[SPY]:[PE]],_xlfn.TOROW(AssetSpecsScenario2[Annualized Return]))</f>
        <v>9.1070221596257495E-2</v>
      </c>
      <c r="I34" s="69" cm="1">
        <f t="array" ref="I34">SQRT(MMULT(MMULT(Scenarios2[[#This Row],[SPY]:[PE]], 'Corr_Cov 36- Month'!$J$13:$N$17), TRANSPOSE(Scenarios2[[#This Row],[SPY]:[PE]])))</f>
        <v>8.3047670736612664E-2</v>
      </c>
      <c r="J34" s="70">
        <f>(Scenarios2[[#This Row],[Expected Return]]-RiskFree)/Scenarios2[[#This Row],[36M Vol]]</f>
        <v>0.53059484570559368</v>
      </c>
      <c r="K34" s="69" cm="1">
        <f t="array" ref="K34">MIN(_xlfn._xlws.FILTER(PortfolioFrontier[#Data],(PortfolioFrontier[#Headers]="P"&amp;Scenarios2[[#This Row],[Reference '#]]&amp;" DD")))</f>
        <v>-0.17919674215818437</v>
      </c>
      <c r="L34" s="69">
        <f>SUM(Scenarios2[[#This Row],[SPY]:[VNQ]])</f>
        <v>0.85000000000000009</v>
      </c>
      <c r="M34" s="69">
        <f>SUM(Scenarios2[[#This Row],[SPY]:[PE]])</f>
        <v>1</v>
      </c>
      <c r="N34" s="71" t="b">
        <f>Scenarios2[[#This Row],[SPY]]&gt;=SpyMin</f>
        <v>1</v>
      </c>
      <c r="O34" s="71" t="b">
        <f>Scenarios2[[#This Row],[AGG]]&gt;=AGGMin</f>
        <v>1</v>
      </c>
      <c r="P34" s="71" t="b">
        <f>AND(Scenarios2[[#This Row],[GLD]]&gt;=GLDMin,Scenarios2[[#This Row],[GLD]]&lt;=GLDMax)</f>
        <v>1</v>
      </c>
      <c r="Q34" s="71" t="b">
        <f>Scenarios2[[#This Row],[VNQ]]&gt;=VNQMin</f>
        <v>1</v>
      </c>
      <c r="R34" s="71" t="b">
        <f>AND(Scenarios2[[#This Row],[PE]]&gt;=PEMin,Scenarios2[[#This Row],[PE]]&lt;=PEMax)</f>
        <v>1</v>
      </c>
      <c r="S34" s="71" t="b">
        <f>Scenarios2[[#This Row],[Liquid Assets]]&gt;=LiquidMin</f>
        <v>1</v>
      </c>
      <c r="T34" s="71" t="b">
        <f>AND(Scenarios2[[#This Row],[Expected Return]]&gt;=ExpectedReturnMin,Scenarios2[[#This Row],[Expected Return]]&lt;=ExpectedReturnMax)</f>
        <v>1</v>
      </c>
      <c r="U34" s="71" t="b">
        <f>Scenarios2[[#This Row],[Max Drawdown]]&gt;=DrawdownMax</f>
        <v>1</v>
      </c>
      <c r="V3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4" s="46">
        <f>_xlfn.XLOOKUP(Scenarios2[[#This Row],[Reference '#]],ScenariosCombined[Reference '#],ScenariosCombined[Sharpe Rank])</f>
        <v>31</v>
      </c>
      <c r="X34" s="44">
        <f>IF(Scenarios2[[#This Row],[Eligible]],COUNTIFS(Scenarios2[Sharpe],"&gt;"&amp;Scenarios2[[#This Row],[Sharpe]],Scenarios2[Eligible],TRUE())+COUNTIFS(Scenarios2[Sharpe],Scenarios2[[#This Row],[Sharpe]],Scenarios2[Eligible],TRUE()),"")</f>
        <v>31</v>
      </c>
      <c r="Y3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40/20/10/15/15</v>
      </c>
      <c r="Z34">
        <f>_xlfn.XLOOKUP(Scenarios2[[#This Row],[Reference '#]],Scenarios1[Reference '#],Scenarios1[Sharpe Rank])</f>
        <v>33</v>
      </c>
      <c r="AA34">
        <f>Scenarios2[[#This Row],[Sharpe Rank]]</f>
        <v>31</v>
      </c>
      <c r="AB34">
        <f>_xlfn.XLOOKUP(Scenarios2[[#This Row],[Reference '#]],Scenarios3[Reference '#],Scenarios3[Sharpe Rank])</f>
        <v>26</v>
      </c>
      <c r="AC34"/>
      <c r="AD34"/>
      <c r="AE34"/>
      <c r="AF34" s="34"/>
      <c r="AG34" s="34"/>
    </row>
    <row r="35" spans="2:33" s="15" customFormat="1" x14ac:dyDescent="0.2">
      <c r="B35" s="44">
        <v>25</v>
      </c>
      <c r="C35" s="68">
        <v>0.4</v>
      </c>
      <c r="D35" s="69">
        <v>0.2</v>
      </c>
      <c r="E35" s="69">
        <v>0.1</v>
      </c>
      <c r="F35" s="69">
        <v>0.1</v>
      </c>
      <c r="G35" s="69">
        <v>0.2</v>
      </c>
      <c r="H35" s="69">
        <f>SUMPRODUCT(Scenarios2[[#This Row],[SPY]:[PE]],_xlfn.TOROW(AssetSpecsScenario2[Annualized Return]))</f>
        <v>9.1206928115203992E-2</v>
      </c>
      <c r="I35" s="69" cm="1">
        <f t="array" ref="I35">SQRT(MMULT(MMULT(Scenarios2[[#This Row],[SPY]:[PE]], 'Corr_Cov 36- Month'!$J$13:$N$17), TRANSPOSE(Scenarios2[[#This Row],[SPY]:[PE]])))</f>
        <v>7.5963097172488184E-2</v>
      </c>
      <c r="J35" s="70">
        <f>(Scenarios2[[#This Row],[Expected Return]]-RiskFree)/Scenarios2[[#This Row],[36M Vol]]</f>
        <v>0.58187954684471455</v>
      </c>
      <c r="K35" s="69" cm="1">
        <f t="array" ref="K35">MIN(_xlfn._xlws.FILTER(PortfolioFrontier[#Data],(PortfolioFrontier[#Headers]="P"&amp;Scenarios2[[#This Row],[Reference '#]]&amp;" DD")))</f>
        <v>-0.16469571026556495</v>
      </c>
      <c r="L35" s="69">
        <f>SUM(Scenarios2[[#This Row],[SPY]:[VNQ]])</f>
        <v>0.8</v>
      </c>
      <c r="M35" s="69">
        <f>SUM(Scenarios2[[#This Row],[SPY]:[PE]])</f>
        <v>1</v>
      </c>
      <c r="N35" s="71" t="b">
        <f>Scenarios2[[#This Row],[SPY]]&gt;=SpyMin</f>
        <v>1</v>
      </c>
      <c r="O35" s="71" t="b">
        <f>Scenarios2[[#This Row],[AGG]]&gt;=AGGMin</f>
        <v>1</v>
      </c>
      <c r="P35" s="71" t="b">
        <f>AND(Scenarios2[[#This Row],[GLD]]&gt;=GLDMin,Scenarios2[[#This Row],[GLD]]&lt;=GLDMax)</f>
        <v>1</v>
      </c>
      <c r="Q35" s="71" t="b">
        <f>Scenarios2[[#This Row],[VNQ]]&gt;=VNQMin</f>
        <v>1</v>
      </c>
      <c r="R35" s="71" t="b">
        <f>AND(Scenarios2[[#This Row],[PE]]&gt;=PEMin,Scenarios2[[#This Row],[PE]]&lt;=PEMax)</f>
        <v>1</v>
      </c>
      <c r="S35" s="71" t="b">
        <f>Scenarios2[[#This Row],[Liquid Assets]]&gt;=LiquidMin</f>
        <v>1</v>
      </c>
      <c r="T35" s="71" t="b">
        <f>AND(Scenarios2[[#This Row],[Expected Return]]&gt;=ExpectedReturnMin,Scenarios2[[#This Row],[Expected Return]]&lt;=ExpectedReturnMax)</f>
        <v>1</v>
      </c>
      <c r="U35" s="71" t="b">
        <f>Scenarios2[[#This Row],[Max Drawdown]]&gt;=DrawdownMax</f>
        <v>1</v>
      </c>
      <c r="V3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5" s="46">
        <f>_xlfn.XLOOKUP(Scenarios2[[#This Row],[Reference '#]],ScenariosCombined[Reference '#],ScenariosCombined[Sharpe Rank])</f>
        <v>13</v>
      </c>
      <c r="X35" s="44">
        <f>IF(Scenarios2[[#This Row],[Eligible]],COUNTIFS(Scenarios2[Sharpe],"&gt;"&amp;Scenarios2[[#This Row],[Sharpe]],Scenarios2[Eligible],TRUE())+COUNTIFS(Scenarios2[Sharpe],Scenarios2[[#This Row],[Sharpe]],Scenarios2[Eligible],TRUE()),"")</f>
        <v>14</v>
      </c>
      <c r="Y3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40/20/10/10/20</v>
      </c>
      <c r="Z35">
        <f>_xlfn.XLOOKUP(Scenarios2[[#This Row],[Reference '#]],Scenarios1[Reference '#],Scenarios1[Sharpe Rank])</f>
        <v>17</v>
      </c>
      <c r="AA35">
        <f>Scenarios2[[#This Row],[Sharpe Rank]]</f>
        <v>14</v>
      </c>
      <c r="AB35">
        <f>_xlfn.XLOOKUP(Scenarios2[[#This Row],[Reference '#]],Scenarios3[Reference '#],Scenarios3[Sharpe Rank])</f>
        <v>6</v>
      </c>
      <c r="AC35"/>
      <c r="AD35"/>
      <c r="AE35"/>
      <c r="AF35" s="34"/>
      <c r="AG35" s="34"/>
    </row>
    <row r="36" spans="2:33" s="15" customFormat="1" x14ac:dyDescent="0.2">
      <c r="B36" s="44">
        <v>26</v>
      </c>
      <c r="C36" s="68">
        <v>0.4</v>
      </c>
      <c r="D36" s="69">
        <v>0.15</v>
      </c>
      <c r="E36" s="69">
        <v>0.2</v>
      </c>
      <c r="F36" s="69">
        <v>0.15</v>
      </c>
      <c r="G36" s="69">
        <v>0.1</v>
      </c>
      <c r="H36" s="69">
        <f>SUMPRODUCT(Scenarios2[[#This Row],[SPY]:[PE]],_xlfn.TOROW(AssetSpecsScenario2[Annualized Return]))</f>
        <v>0.10050069222562652</v>
      </c>
      <c r="I36" s="69" cm="1">
        <f t="array" ref="I36">SQRT(MMULT(MMULT(Scenarios2[[#This Row],[SPY]:[PE]], 'Corr_Cov 36- Month'!$J$13:$N$17), TRANSPOSE(Scenarios2[[#This Row],[SPY]:[PE]])))</f>
        <v>8.4909049819064705E-2</v>
      </c>
      <c r="J36" s="70">
        <f>(Scenarios2[[#This Row],[Expected Return]]-RiskFree)/Scenarios2[[#This Row],[36M Vol]]</f>
        <v>0.63002868108953514</v>
      </c>
      <c r="K36" s="69" cm="1">
        <f t="array" ref="K36">MIN(_xlfn._xlws.FILTER(PortfolioFrontier[#Data],(PortfolioFrontier[#Headers]="P"&amp;Scenarios2[[#This Row],[Reference '#]]&amp;" DD")))</f>
        <v>-0.18098526063032661</v>
      </c>
      <c r="L36" s="69">
        <f>SUM(Scenarios2[[#This Row],[SPY]:[VNQ]])</f>
        <v>0.9</v>
      </c>
      <c r="M36" s="69">
        <f>SUM(Scenarios2[[#This Row],[SPY]:[PE]])</f>
        <v>1</v>
      </c>
      <c r="N36" s="71" t="b">
        <f>Scenarios2[[#This Row],[SPY]]&gt;=SpyMin</f>
        <v>1</v>
      </c>
      <c r="O36" s="71" t="b">
        <f>Scenarios2[[#This Row],[AGG]]&gt;=AGGMin</f>
        <v>1</v>
      </c>
      <c r="P36" s="71" t="b">
        <f>AND(Scenarios2[[#This Row],[GLD]]&gt;=GLDMin,Scenarios2[[#This Row],[GLD]]&lt;=GLDMax)</f>
        <v>1</v>
      </c>
      <c r="Q36" s="71" t="b">
        <f>Scenarios2[[#This Row],[VNQ]]&gt;=VNQMin</f>
        <v>1</v>
      </c>
      <c r="R36" s="71" t="b">
        <f>AND(Scenarios2[[#This Row],[PE]]&gt;=PEMin,Scenarios2[[#This Row],[PE]]&lt;=PEMax)</f>
        <v>1</v>
      </c>
      <c r="S36" s="71" t="b">
        <f>Scenarios2[[#This Row],[Liquid Assets]]&gt;=LiquidMin</f>
        <v>1</v>
      </c>
      <c r="T36" s="71" t="b">
        <f>AND(Scenarios2[[#This Row],[Expected Return]]&gt;=ExpectedReturnMin,Scenarios2[[#This Row],[Expected Return]]&lt;=ExpectedReturnMax)</f>
        <v>0</v>
      </c>
      <c r="U36" s="71" t="b">
        <f>Scenarios2[[#This Row],[Max Drawdown]]&gt;=DrawdownMax</f>
        <v>1</v>
      </c>
      <c r="V3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36" s="46" t="str">
        <f>_xlfn.XLOOKUP(Scenarios2[[#This Row],[Reference '#]],ScenariosCombined[Reference '#],ScenariosCombined[Sharpe Rank])</f>
        <v/>
      </c>
      <c r="X36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3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40/15/20/15/10</v>
      </c>
      <c r="Z36" t="str">
        <f>_xlfn.XLOOKUP(Scenarios2[[#This Row],[Reference '#]],Scenarios1[Reference '#],Scenarios1[Sharpe Rank])</f>
        <v/>
      </c>
      <c r="AA36" t="str">
        <f>Scenarios2[[#This Row],[Sharpe Rank]]</f>
        <v/>
      </c>
      <c r="AB36" t="str">
        <f>_xlfn.XLOOKUP(Scenarios2[[#This Row],[Reference '#]],Scenarios3[Reference '#],Scenarios3[Sharpe Rank])</f>
        <v/>
      </c>
      <c r="AC36"/>
      <c r="AD36"/>
      <c r="AE36"/>
      <c r="AF36" s="34"/>
      <c r="AG36" s="34"/>
    </row>
    <row r="37" spans="2:33" s="15" customFormat="1" x14ac:dyDescent="0.2">
      <c r="B37" s="44">
        <v>27</v>
      </c>
      <c r="C37" s="68">
        <v>0.4</v>
      </c>
      <c r="D37" s="69">
        <v>0.15</v>
      </c>
      <c r="E37" s="69">
        <v>0.2</v>
      </c>
      <c r="F37" s="69">
        <v>0.1</v>
      </c>
      <c r="G37" s="69">
        <v>0.15</v>
      </c>
      <c r="H37" s="69">
        <f>SUMPRODUCT(Scenarios2[[#This Row],[SPY]:[PE]],_xlfn.TOROW(AssetSpecsScenario2[Annualized Return]))</f>
        <v>0.100637398744573</v>
      </c>
      <c r="I37" s="69" cm="1">
        <f t="array" ref="I37">SQRT(MMULT(MMULT(Scenarios2[[#This Row],[SPY]:[PE]], 'Corr_Cov 36- Month'!$J$13:$N$17), TRANSPOSE(Scenarios2[[#This Row],[SPY]:[PE]])))</f>
        <v>7.7747942072710019E-2</v>
      </c>
      <c r="J37" s="70">
        <f>(Scenarios2[[#This Row],[Expected Return]]-RiskFree)/Scenarios2[[#This Row],[36M Vol]]</f>
        <v>0.68981688465607038</v>
      </c>
      <c r="K37" s="69" cm="1">
        <f t="array" ref="K37">MIN(_xlfn._xlws.FILTER(PortfolioFrontier[#Data],(PortfolioFrontier[#Headers]="P"&amp;Scenarios2[[#This Row],[Reference '#]]&amp;" DD")))</f>
        <v>-0.1664981537878889</v>
      </c>
      <c r="L37" s="69">
        <f>SUM(Scenarios2[[#This Row],[SPY]:[VNQ]])</f>
        <v>0.85</v>
      </c>
      <c r="M37" s="69">
        <f>SUM(Scenarios2[[#This Row],[SPY]:[PE]])</f>
        <v>1</v>
      </c>
      <c r="N37" s="71" t="b">
        <f>Scenarios2[[#This Row],[SPY]]&gt;=SpyMin</f>
        <v>1</v>
      </c>
      <c r="O37" s="71" t="b">
        <f>Scenarios2[[#This Row],[AGG]]&gt;=AGGMin</f>
        <v>1</v>
      </c>
      <c r="P37" s="71" t="b">
        <f>AND(Scenarios2[[#This Row],[GLD]]&gt;=GLDMin,Scenarios2[[#This Row],[GLD]]&lt;=GLDMax)</f>
        <v>1</v>
      </c>
      <c r="Q37" s="71" t="b">
        <f>Scenarios2[[#This Row],[VNQ]]&gt;=VNQMin</f>
        <v>1</v>
      </c>
      <c r="R37" s="71" t="b">
        <f>AND(Scenarios2[[#This Row],[PE]]&gt;=PEMin,Scenarios2[[#This Row],[PE]]&lt;=PEMax)</f>
        <v>1</v>
      </c>
      <c r="S37" s="71" t="b">
        <f>Scenarios2[[#This Row],[Liquid Assets]]&gt;=LiquidMin</f>
        <v>1</v>
      </c>
      <c r="T37" s="71" t="b">
        <f>AND(Scenarios2[[#This Row],[Expected Return]]&gt;=ExpectedReturnMin,Scenarios2[[#This Row],[Expected Return]]&lt;=ExpectedReturnMax)</f>
        <v>0</v>
      </c>
      <c r="U37" s="71" t="b">
        <f>Scenarios2[[#This Row],[Max Drawdown]]&gt;=DrawdownMax</f>
        <v>1</v>
      </c>
      <c r="V3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37" s="46" t="str">
        <f>_xlfn.XLOOKUP(Scenarios2[[#This Row],[Reference '#]],ScenariosCombined[Reference '#],ScenariosCombined[Sharpe Rank])</f>
        <v/>
      </c>
      <c r="X37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3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40/15/20/10/15</v>
      </c>
      <c r="Z37">
        <f>_xlfn.XLOOKUP(Scenarios2[[#This Row],[Reference '#]],Scenarios1[Reference '#],Scenarios1[Sharpe Rank])</f>
        <v>1</v>
      </c>
      <c r="AA37" t="str">
        <f>Scenarios2[[#This Row],[Sharpe Rank]]</f>
        <v/>
      </c>
      <c r="AB37" t="str">
        <f>_xlfn.XLOOKUP(Scenarios2[[#This Row],[Reference '#]],Scenarios3[Reference '#],Scenarios3[Sharpe Rank])</f>
        <v/>
      </c>
      <c r="AC37"/>
      <c r="AD37"/>
      <c r="AE37"/>
      <c r="AF37" s="34"/>
      <c r="AG37" s="34"/>
    </row>
    <row r="38" spans="2:33" s="15" customFormat="1" x14ac:dyDescent="0.2">
      <c r="B38" s="44">
        <v>28</v>
      </c>
      <c r="C38" s="68">
        <v>0.4</v>
      </c>
      <c r="D38" s="69">
        <v>0.15</v>
      </c>
      <c r="E38" s="69">
        <v>0.15</v>
      </c>
      <c r="F38" s="69">
        <v>0.2</v>
      </c>
      <c r="G38" s="69">
        <v>0.1</v>
      </c>
      <c r="H38" s="69">
        <f>SUMPRODUCT(Scenarios2[[#This Row],[SPY]:[PE]],_xlfn.TOROW(AssetSpecsScenario2[Annualized Return]))</f>
        <v>9.6508973324550482E-2</v>
      </c>
      <c r="I38" s="69" cm="1">
        <f t="array" ref="I38">SQRT(MMULT(MMULT(Scenarios2[[#This Row],[SPY]:[PE]], 'Corr_Cov 36- Month'!$J$13:$N$17), TRANSPOSE(Scenarios2[[#This Row],[SPY]:[PE]])))</f>
        <v>9.010800621736445E-2</v>
      </c>
      <c r="J38" s="70">
        <f>(Scenarios2[[#This Row],[Expected Return]]-RiskFree)/Scenarios2[[#This Row],[36M Vol]]</f>
        <v>0.54937868283956404</v>
      </c>
      <c r="K38" s="69" cm="1">
        <f t="array" ref="K38">MIN(_xlfn._xlws.FILTER(PortfolioFrontier[#Data],(PortfolioFrontier[#Headers]="P"&amp;Scenarios2[[#This Row],[Reference '#]]&amp;" DD")))</f>
        <v>-0.1911524096507079</v>
      </c>
      <c r="L38" s="69">
        <f>SUM(Scenarios2[[#This Row],[SPY]:[VNQ]])</f>
        <v>0.90000000000000013</v>
      </c>
      <c r="M38" s="69">
        <f>SUM(Scenarios2[[#This Row],[SPY]:[PE]])</f>
        <v>1.0000000000000002</v>
      </c>
      <c r="N38" s="71" t="b">
        <f>Scenarios2[[#This Row],[SPY]]&gt;=SpyMin</f>
        <v>1</v>
      </c>
      <c r="O38" s="71" t="b">
        <f>Scenarios2[[#This Row],[AGG]]&gt;=AGGMin</f>
        <v>1</v>
      </c>
      <c r="P38" s="71" t="b">
        <f>AND(Scenarios2[[#This Row],[GLD]]&gt;=GLDMin,Scenarios2[[#This Row],[GLD]]&lt;=GLDMax)</f>
        <v>1</v>
      </c>
      <c r="Q38" s="71" t="b">
        <f>Scenarios2[[#This Row],[VNQ]]&gt;=VNQMin</f>
        <v>1</v>
      </c>
      <c r="R38" s="71" t="b">
        <f>AND(Scenarios2[[#This Row],[PE]]&gt;=PEMin,Scenarios2[[#This Row],[PE]]&lt;=PEMax)</f>
        <v>1</v>
      </c>
      <c r="S38" s="71" t="b">
        <f>Scenarios2[[#This Row],[Liquid Assets]]&gt;=LiquidMin</f>
        <v>1</v>
      </c>
      <c r="T38" s="71" t="b">
        <f>AND(Scenarios2[[#This Row],[Expected Return]]&gt;=ExpectedReturnMin,Scenarios2[[#This Row],[Expected Return]]&lt;=ExpectedReturnMax)</f>
        <v>1</v>
      </c>
      <c r="U38" s="71" t="b">
        <f>Scenarios2[[#This Row],[Max Drawdown]]&gt;=DrawdownMax</f>
        <v>1</v>
      </c>
      <c r="V3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8" s="46">
        <f>_xlfn.XLOOKUP(Scenarios2[[#This Row],[Reference '#]],ScenariosCombined[Reference '#],ScenariosCombined[Sharpe Rank])</f>
        <v>27</v>
      </c>
      <c r="X38" s="44">
        <f>IF(Scenarios2[[#This Row],[Eligible]],COUNTIFS(Scenarios2[Sharpe],"&gt;"&amp;Scenarios2[[#This Row],[Sharpe]],Scenarios2[Eligible],TRUE())+COUNTIFS(Scenarios2[Sharpe],Scenarios2[[#This Row],[Sharpe]],Scenarios2[Eligible],TRUE()),"")</f>
        <v>26</v>
      </c>
      <c r="Y3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40/15/15/20/10</v>
      </c>
      <c r="Z38">
        <f>_xlfn.XLOOKUP(Scenarios2[[#This Row],[Reference '#]],Scenarios1[Reference '#],Scenarios1[Sharpe Rank])</f>
        <v>26</v>
      </c>
      <c r="AA38">
        <f>Scenarios2[[#This Row],[Sharpe Rank]]</f>
        <v>26</v>
      </c>
      <c r="AB38">
        <f>_xlfn.XLOOKUP(Scenarios2[[#This Row],[Reference '#]],Scenarios3[Reference '#],Scenarios3[Sharpe Rank])</f>
        <v>28</v>
      </c>
      <c r="AC38"/>
      <c r="AD38"/>
      <c r="AE38"/>
      <c r="AF38" s="34"/>
      <c r="AG38" s="34"/>
    </row>
    <row r="39" spans="2:33" s="15" customFormat="1" x14ac:dyDescent="0.2">
      <c r="B39" s="44">
        <v>29</v>
      </c>
      <c r="C39" s="68">
        <v>0.4</v>
      </c>
      <c r="D39" s="69">
        <v>0.15</v>
      </c>
      <c r="E39" s="69">
        <v>0.15</v>
      </c>
      <c r="F39" s="69">
        <v>0.15</v>
      </c>
      <c r="G39" s="69">
        <v>0.15</v>
      </c>
      <c r="H39" s="69">
        <f>SUMPRODUCT(Scenarios2[[#This Row],[SPY]:[PE]],_xlfn.TOROW(AssetSpecsScenario2[Annualized Return]))</f>
        <v>9.6645679843496979E-2</v>
      </c>
      <c r="I39" s="69" cm="1">
        <f t="array" ref="I39">SQRT(MMULT(MMULT(Scenarios2[[#This Row],[SPY]:[PE]], 'Corr_Cov 36- Month'!$J$13:$N$17), TRANSPOSE(Scenarios2[[#This Row],[SPY]:[PE]])))</f>
        <v>8.2607958304269175E-2</v>
      </c>
      <c r="J39" s="70">
        <f>(Scenarios2[[#This Row],[Expected Return]]-RiskFree)/Scenarios2[[#This Row],[36M Vol]]</f>
        <v>0.60091213131188148</v>
      </c>
      <c r="K39" s="69" cm="1">
        <f t="array" ref="K39">MIN(_xlfn._xlws.FILTER(PortfolioFrontier[#Data],(PortfolioFrontier[#Headers]="P"&amp;Scenarios2[[#This Row],[Reference '#]]&amp;" DD")))</f>
        <v>-0.17673871875174951</v>
      </c>
      <c r="L39" s="69">
        <f>SUM(Scenarios2[[#This Row],[SPY]:[VNQ]])</f>
        <v>0.85000000000000009</v>
      </c>
      <c r="M39" s="69">
        <f>SUM(Scenarios2[[#This Row],[SPY]:[PE]])</f>
        <v>1</v>
      </c>
      <c r="N39" s="71" t="b">
        <f>Scenarios2[[#This Row],[SPY]]&gt;=SpyMin</f>
        <v>1</v>
      </c>
      <c r="O39" s="71" t="b">
        <f>Scenarios2[[#This Row],[AGG]]&gt;=AGGMin</f>
        <v>1</v>
      </c>
      <c r="P39" s="71" t="b">
        <f>AND(Scenarios2[[#This Row],[GLD]]&gt;=GLDMin,Scenarios2[[#This Row],[GLD]]&lt;=GLDMax)</f>
        <v>1</v>
      </c>
      <c r="Q39" s="71" t="b">
        <f>Scenarios2[[#This Row],[VNQ]]&gt;=VNQMin</f>
        <v>1</v>
      </c>
      <c r="R39" s="71" t="b">
        <f>AND(Scenarios2[[#This Row],[PE]]&gt;=PEMin,Scenarios2[[#This Row],[PE]]&lt;=PEMax)</f>
        <v>1</v>
      </c>
      <c r="S39" s="71" t="b">
        <f>Scenarios2[[#This Row],[Liquid Assets]]&gt;=LiquidMin</f>
        <v>1</v>
      </c>
      <c r="T39" s="71" t="b">
        <f>AND(Scenarios2[[#This Row],[Expected Return]]&gt;=ExpectedReturnMin,Scenarios2[[#This Row],[Expected Return]]&lt;=ExpectedReturnMax)</f>
        <v>1</v>
      </c>
      <c r="U39" s="71" t="b">
        <f>Scenarios2[[#This Row],[Max Drawdown]]&gt;=DrawdownMax</f>
        <v>1</v>
      </c>
      <c r="V3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39" s="46">
        <f>_xlfn.XLOOKUP(Scenarios2[[#This Row],[Reference '#]],ScenariosCombined[Reference '#],ScenariosCombined[Sharpe Rank])</f>
        <v>10</v>
      </c>
      <c r="X39" s="44">
        <f>IF(Scenarios2[[#This Row],[Eligible]],COUNTIFS(Scenarios2[Sharpe],"&gt;"&amp;Scenarios2[[#This Row],[Sharpe]],Scenarios2[Eligible],TRUE())+COUNTIFS(Scenarios2[Sharpe],Scenarios2[[#This Row],[Sharpe]],Scenarios2[Eligible],TRUE()),"")</f>
        <v>9</v>
      </c>
      <c r="Y3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40/15/15/15/15</v>
      </c>
      <c r="Z39">
        <f>_xlfn.XLOOKUP(Scenarios2[[#This Row],[Reference '#]],Scenarios1[Reference '#],Scenarios1[Sharpe Rank])</f>
        <v>11</v>
      </c>
      <c r="AA39">
        <f>Scenarios2[[#This Row],[Sharpe Rank]]</f>
        <v>9</v>
      </c>
      <c r="AB39" t="str">
        <f>_xlfn.XLOOKUP(Scenarios2[[#This Row],[Reference '#]],Scenarios3[Reference '#],Scenarios3[Sharpe Rank])</f>
        <v/>
      </c>
      <c r="AC39"/>
      <c r="AD39"/>
      <c r="AE39"/>
      <c r="AF39" s="34"/>
      <c r="AG39" s="34"/>
    </row>
    <row r="40" spans="2:33" s="15" customFormat="1" x14ac:dyDescent="0.2">
      <c r="B40" s="175">
        <v>30</v>
      </c>
      <c r="C40" s="176">
        <v>0.4</v>
      </c>
      <c r="D40" s="176">
        <v>0.15</v>
      </c>
      <c r="E40" s="176">
        <v>0.15</v>
      </c>
      <c r="F40" s="176">
        <v>0.1</v>
      </c>
      <c r="G40" s="176">
        <v>0.2</v>
      </c>
      <c r="H40" s="176">
        <f>SUMPRODUCT(Scenarios2[[#This Row],[SPY]:[PE]],_xlfn.TOROW(AssetSpecsScenario2[Annualized Return]))</f>
        <v>9.6782386362443476E-2</v>
      </c>
      <c r="I40" s="176" cm="1">
        <f t="array" ref="I40">SQRT(MMULT(MMULT(Scenarios2[[#This Row],[SPY]:[PE]], 'Corr_Cov 36- Month'!$J$13:$N$17), TRANSPOSE(Scenarios2[[#This Row],[SPY]:[PE]])))</f>
        <v>7.5583071565287943E-2</v>
      </c>
      <c r="J40" s="177">
        <f>(Scenarios2[[#This Row],[Expected Return]]-RiskFree)/Scenarios2[[#This Row],[36M Vol]]</f>
        <v>0.65857115589555226</v>
      </c>
      <c r="K40" s="176" cm="1">
        <f t="array" ref="K40">MIN(_xlfn._xlws.FILTER(PortfolioFrontier[#Data],(PortfolioFrontier[#Headers]="P"&amp;Scenarios2[[#This Row],[Reference '#]]&amp;" DD")))</f>
        <v>-0.16220725630038224</v>
      </c>
      <c r="L40" s="176">
        <f>SUM(Scenarios2[[#This Row],[SPY]:[VNQ]])</f>
        <v>0.8</v>
      </c>
      <c r="M40" s="176">
        <f>SUM(Scenarios2[[#This Row],[SPY]:[PE]])</f>
        <v>1</v>
      </c>
      <c r="N40" s="175" t="b">
        <f>Scenarios2[[#This Row],[SPY]]&gt;=SpyMin</f>
        <v>1</v>
      </c>
      <c r="O40" s="175" t="b">
        <f>Scenarios2[[#This Row],[AGG]]&gt;=AGGMin</f>
        <v>1</v>
      </c>
      <c r="P40" s="175" t="b">
        <f>AND(Scenarios2[[#This Row],[GLD]]&gt;=GLDMin,Scenarios2[[#This Row],[GLD]]&lt;=GLDMax)</f>
        <v>1</v>
      </c>
      <c r="Q40" s="175" t="b">
        <f>Scenarios2[[#This Row],[VNQ]]&gt;=VNQMin</f>
        <v>1</v>
      </c>
      <c r="R40" s="175" t="b">
        <f>AND(Scenarios2[[#This Row],[PE]]&gt;=PEMin,Scenarios2[[#This Row],[PE]]&lt;=PEMax)</f>
        <v>1</v>
      </c>
      <c r="S40" s="175" t="b">
        <f>Scenarios2[[#This Row],[Liquid Assets]]&gt;=LiquidMin</f>
        <v>1</v>
      </c>
      <c r="T40" s="175" t="b">
        <f>AND(Scenarios2[[#This Row],[Expected Return]]&gt;=ExpectedReturnMin,Scenarios2[[#This Row],[Expected Return]]&lt;=ExpectedReturnMax)</f>
        <v>1</v>
      </c>
      <c r="U40" s="175" t="b">
        <f>Scenarios2[[#This Row],[Max Drawdown]]&gt;=DrawdownMax</f>
        <v>1</v>
      </c>
      <c r="V40" s="175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0" s="178">
        <f>_xlfn.XLOOKUP(Scenarios2[[#This Row],[Reference '#]],ScenariosCombined[Reference '#],ScenariosCombined[Sharpe Rank])</f>
        <v>2</v>
      </c>
      <c r="X40" s="175">
        <f>IF(Scenarios2[[#This Row],[Eligible]],COUNTIFS(Scenarios2[Sharpe],"&gt;"&amp;Scenarios2[[#This Row],[Sharpe]],Scenarios2[Eligible],TRUE())+COUNTIFS(Scenarios2[Sharpe],Scenarios2[[#This Row],[Sharpe]],Scenarios2[Eligible],TRUE()),"")</f>
        <v>2</v>
      </c>
      <c r="Y40" s="17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40/15/15/10/20</v>
      </c>
      <c r="Z40" s="180">
        <f>_xlfn.XLOOKUP(Scenarios2[[#This Row],[Reference '#]],Scenarios1[Reference '#],Scenarios1[Sharpe Rank])</f>
        <v>3</v>
      </c>
      <c r="AA40" s="180">
        <f>Scenarios2[[#This Row],[Sharpe Rank]]</f>
        <v>2</v>
      </c>
      <c r="AB40" s="180" t="str">
        <f>_xlfn.XLOOKUP(Scenarios2[[#This Row],[Reference '#]],Scenarios3[Reference '#],Scenarios3[Sharpe Rank])</f>
        <v/>
      </c>
      <c r="AC40"/>
      <c r="AD40"/>
      <c r="AE40"/>
      <c r="AF40" s="34"/>
      <c r="AG40" s="34"/>
    </row>
    <row r="41" spans="2:33" s="15" customFormat="1" x14ac:dyDescent="0.2">
      <c r="B41" s="44">
        <v>31</v>
      </c>
      <c r="C41" s="68">
        <v>0.4</v>
      </c>
      <c r="D41" s="69">
        <v>0.15</v>
      </c>
      <c r="E41" s="69">
        <v>0.1</v>
      </c>
      <c r="F41" s="69">
        <v>0.25</v>
      </c>
      <c r="G41" s="69">
        <v>0.1</v>
      </c>
      <c r="H41" s="69">
        <f>SUMPRODUCT(Scenarios2[[#This Row],[SPY]:[PE]],_xlfn.TOROW(AssetSpecsScenario2[Annualized Return]))</f>
        <v>9.2517254423474471E-2</v>
      </c>
      <c r="I41" s="69" cm="1">
        <f t="array" ref="I41">SQRT(MMULT(MMULT(Scenarios2[[#This Row],[SPY]:[PE]], 'Corr_Cov 36- Month'!$J$13:$N$17), TRANSPOSE(Scenarios2[[#This Row],[SPY]:[PE]])))</f>
        <v>9.6092686738170438E-2</v>
      </c>
      <c r="J41" s="70">
        <f>(Scenarios2[[#This Row],[Expected Return]]-RiskFree)/Scenarios2[[#This Row],[36M Vol]]</f>
        <v>0.47362291983704652</v>
      </c>
      <c r="K41" s="69" cm="1">
        <f t="array" ref="K41">MIN(_xlfn._xlws.FILTER(PortfolioFrontier[#Data],(PortfolioFrontier[#Headers]="P"&amp;Scenarios2[[#This Row],[Reference '#]]&amp;" DD")))</f>
        <v>-0.20128875787594014</v>
      </c>
      <c r="L41" s="69">
        <f>SUM(Scenarios2[[#This Row],[SPY]:[VNQ]])</f>
        <v>0.9</v>
      </c>
      <c r="M41" s="69">
        <f>SUM(Scenarios2[[#This Row],[SPY]:[PE]])</f>
        <v>1</v>
      </c>
      <c r="N41" s="71" t="b">
        <f>Scenarios2[[#This Row],[SPY]]&gt;=SpyMin</f>
        <v>1</v>
      </c>
      <c r="O41" s="71" t="b">
        <f>Scenarios2[[#This Row],[AGG]]&gt;=AGGMin</f>
        <v>1</v>
      </c>
      <c r="P41" s="71" t="b">
        <f>AND(Scenarios2[[#This Row],[GLD]]&gt;=GLDMin,Scenarios2[[#This Row],[GLD]]&lt;=GLDMax)</f>
        <v>1</v>
      </c>
      <c r="Q41" s="71" t="b">
        <f>Scenarios2[[#This Row],[VNQ]]&gt;=VNQMin</f>
        <v>1</v>
      </c>
      <c r="R41" s="71" t="b">
        <f>AND(Scenarios2[[#This Row],[PE]]&gt;=PEMin,Scenarios2[[#This Row],[PE]]&lt;=PEMax)</f>
        <v>1</v>
      </c>
      <c r="S41" s="71" t="b">
        <f>Scenarios2[[#This Row],[Liquid Assets]]&gt;=LiquidMin</f>
        <v>1</v>
      </c>
      <c r="T41" s="71" t="b">
        <f>AND(Scenarios2[[#This Row],[Expected Return]]&gt;=ExpectedReturnMin,Scenarios2[[#This Row],[Expected Return]]&lt;=ExpectedReturnMax)</f>
        <v>1</v>
      </c>
      <c r="U41" s="71" t="b">
        <f>Scenarios2[[#This Row],[Max Drawdown]]&gt;=DrawdownMax</f>
        <v>0</v>
      </c>
      <c r="V4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41" s="46" t="str">
        <f>_xlfn.XLOOKUP(Scenarios2[[#This Row],[Reference '#]],ScenariosCombined[Reference '#],ScenariosCombined[Sharpe Rank])</f>
        <v/>
      </c>
      <c r="X41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4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40/15/10/25/10</v>
      </c>
      <c r="Z41" t="str">
        <f>_xlfn.XLOOKUP(Scenarios2[[#This Row],[Reference '#]],Scenarios1[Reference '#],Scenarios1[Sharpe Rank])</f>
        <v/>
      </c>
      <c r="AA41" t="str">
        <f>Scenarios2[[#This Row],[Sharpe Rank]]</f>
        <v/>
      </c>
      <c r="AB41" t="str">
        <f>_xlfn.XLOOKUP(Scenarios2[[#This Row],[Reference '#]],Scenarios3[Reference '#],Scenarios3[Sharpe Rank])</f>
        <v/>
      </c>
      <c r="AC41"/>
      <c r="AD41"/>
      <c r="AE41"/>
      <c r="AF41" s="34"/>
      <c r="AG41" s="34"/>
    </row>
    <row r="42" spans="2:33" s="15" customFormat="1" x14ac:dyDescent="0.2">
      <c r="B42" s="44">
        <v>32</v>
      </c>
      <c r="C42" s="68">
        <v>0.4</v>
      </c>
      <c r="D42" s="69">
        <v>0.15</v>
      </c>
      <c r="E42" s="69">
        <v>0.1</v>
      </c>
      <c r="F42" s="69">
        <v>0.2</v>
      </c>
      <c r="G42" s="69">
        <v>0.15</v>
      </c>
      <c r="H42" s="69">
        <f>SUMPRODUCT(Scenarios2[[#This Row],[SPY]:[PE]],_xlfn.TOROW(AssetSpecsScenario2[Annualized Return]))</f>
        <v>9.2653960942420968E-2</v>
      </c>
      <c r="I42" s="69" cm="1">
        <f t="array" ref="I42">SQRT(MMULT(MMULT(Scenarios2[[#This Row],[SPY]:[PE]], 'Corr_Cov 36- Month'!$J$13:$N$17), TRANSPOSE(Scenarios2[[#This Row],[SPY]:[PE]])))</f>
        <v>8.8362054472820292E-2</v>
      </c>
      <c r="J42" s="70">
        <f>(Scenarios2[[#This Row],[Expected Return]]-RiskFree)/Scenarios2[[#This Row],[36M Vol]]</f>
        <v>0.51660642862153716</v>
      </c>
      <c r="K42" s="69" cm="1">
        <f t="array" ref="K42">MIN(_xlfn._xlws.FILTER(PortfolioFrontier[#Data],(PortfolioFrontier[#Headers]="P"&amp;Scenarios2[[#This Row],[Reference '#]]&amp;" DD")))</f>
        <v>-0.18695012140380352</v>
      </c>
      <c r="L42" s="69">
        <f>SUM(Scenarios2[[#This Row],[SPY]:[VNQ]])</f>
        <v>0.85000000000000009</v>
      </c>
      <c r="M42" s="69">
        <f>SUM(Scenarios2[[#This Row],[SPY]:[PE]])</f>
        <v>1</v>
      </c>
      <c r="N42" s="71" t="b">
        <f>Scenarios2[[#This Row],[SPY]]&gt;=SpyMin</f>
        <v>1</v>
      </c>
      <c r="O42" s="71" t="b">
        <f>Scenarios2[[#This Row],[AGG]]&gt;=AGGMin</f>
        <v>1</v>
      </c>
      <c r="P42" s="71" t="b">
        <f>AND(Scenarios2[[#This Row],[GLD]]&gt;=GLDMin,Scenarios2[[#This Row],[GLD]]&lt;=GLDMax)</f>
        <v>1</v>
      </c>
      <c r="Q42" s="71" t="b">
        <f>Scenarios2[[#This Row],[VNQ]]&gt;=VNQMin</f>
        <v>1</v>
      </c>
      <c r="R42" s="71" t="b">
        <f>AND(Scenarios2[[#This Row],[PE]]&gt;=PEMin,Scenarios2[[#This Row],[PE]]&lt;=PEMax)</f>
        <v>1</v>
      </c>
      <c r="S42" s="71" t="b">
        <f>Scenarios2[[#This Row],[Liquid Assets]]&gt;=LiquidMin</f>
        <v>1</v>
      </c>
      <c r="T42" s="71" t="b">
        <f>AND(Scenarios2[[#This Row],[Expected Return]]&gt;=ExpectedReturnMin,Scenarios2[[#This Row],[Expected Return]]&lt;=ExpectedReturnMax)</f>
        <v>1</v>
      </c>
      <c r="U42" s="71" t="b">
        <f>Scenarios2[[#This Row],[Max Drawdown]]&gt;=DrawdownMax</f>
        <v>1</v>
      </c>
      <c r="V4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2" s="46">
        <f>_xlfn.XLOOKUP(Scenarios2[[#This Row],[Reference '#]],ScenariosCombined[Reference '#],ScenariosCombined[Sharpe Rank])</f>
        <v>37</v>
      </c>
      <c r="X42" s="44">
        <f>IF(Scenarios2[[#This Row],[Eligible]],COUNTIFS(Scenarios2[Sharpe],"&gt;"&amp;Scenarios2[[#This Row],[Sharpe]],Scenarios2[Eligible],TRUE())+COUNTIFS(Scenarios2[Sharpe],Scenarios2[[#This Row],[Sharpe]],Scenarios2[Eligible],TRUE()),"")</f>
        <v>36</v>
      </c>
      <c r="Y4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40/15/10/20/15</v>
      </c>
      <c r="Z42">
        <f>_xlfn.XLOOKUP(Scenarios2[[#This Row],[Reference '#]],Scenarios1[Reference '#],Scenarios1[Sharpe Rank])</f>
        <v>36</v>
      </c>
      <c r="AA42">
        <f>Scenarios2[[#This Row],[Sharpe Rank]]</f>
        <v>36</v>
      </c>
      <c r="AB42">
        <f>_xlfn.XLOOKUP(Scenarios2[[#This Row],[Reference '#]],Scenarios3[Reference '#],Scenarios3[Sharpe Rank])</f>
        <v>33</v>
      </c>
      <c r="AC42"/>
      <c r="AD42"/>
      <c r="AE42"/>
      <c r="AF42" s="34"/>
      <c r="AG42" s="34"/>
    </row>
    <row r="43" spans="2:33" s="15" customFormat="1" x14ac:dyDescent="0.2">
      <c r="B43" s="44">
        <v>33</v>
      </c>
      <c r="C43" s="68">
        <v>0.4</v>
      </c>
      <c r="D43" s="69">
        <v>0.15</v>
      </c>
      <c r="E43" s="69">
        <v>0.1</v>
      </c>
      <c r="F43" s="69">
        <v>0.15</v>
      </c>
      <c r="G43" s="69">
        <v>0.2</v>
      </c>
      <c r="H43" s="69">
        <f>SUMPRODUCT(Scenarios2[[#This Row],[SPY]:[PE]],_xlfn.TOROW(AssetSpecsScenario2[Annualized Return]))</f>
        <v>9.2790667461367479E-2</v>
      </c>
      <c r="I43" s="69" cm="1">
        <f t="array" ref="I43">SQRT(MMULT(MMULT(Scenarios2[[#This Row],[SPY]:[PE]], 'Corr_Cov 36- Month'!$J$13:$N$17), TRANSPOSE(Scenarios2[[#This Row],[SPY]:[PE]])))</f>
        <v>8.1030888172766852E-2</v>
      </c>
      <c r="J43" s="70">
        <f>(Scenarios2[[#This Row],[Expected Return]]-RiskFree)/Scenarios2[[#This Row],[36M Vol]]</f>
        <v>0.56503282807653532</v>
      </c>
      <c r="K43" s="69" cm="1">
        <f t="array" ref="K43">MIN(_xlfn._xlws.FILTER(PortfolioFrontier[#Data],(PortfolioFrontier[#Headers]="P"&amp;Scenarios2[[#This Row],[Reference '#]]&amp;" DD")))</f>
        <v>-0.17249207732612581</v>
      </c>
      <c r="L43" s="69">
        <f>SUM(Scenarios2[[#This Row],[SPY]:[VNQ]])</f>
        <v>0.8</v>
      </c>
      <c r="M43" s="69">
        <f>SUM(Scenarios2[[#This Row],[SPY]:[PE]])</f>
        <v>1</v>
      </c>
      <c r="N43" s="71" t="b">
        <f>Scenarios2[[#This Row],[SPY]]&gt;=SpyMin</f>
        <v>1</v>
      </c>
      <c r="O43" s="71" t="b">
        <f>Scenarios2[[#This Row],[AGG]]&gt;=AGGMin</f>
        <v>1</v>
      </c>
      <c r="P43" s="71" t="b">
        <f>AND(Scenarios2[[#This Row],[GLD]]&gt;=GLDMin,Scenarios2[[#This Row],[GLD]]&lt;=GLDMax)</f>
        <v>1</v>
      </c>
      <c r="Q43" s="71" t="b">
        <f>Scenarios2[[#This Row],[VNQ]]&gt;=VNQMin</f>
        <v>1</v>
      </c>
      <c r="R43" s="71" t="b">
        <f>AND(Scenarios2[[#This Row],[PE]]&gt;=PEMin,Scenarios2[[#This Row],[PE]]&lt;=PEMax)</f>
        <v>1</v>
      </c>
      <c r="S43" s="71" t="b">
        <f>Scenarios2[[#This Row],[Liquid Assets]]&gt;=LiquidMin</f>
        <v>1</v>
      </c>
      <c r="T43" s="71" t="b">
        <f>AND(Scenarios2[[#This Row],[Expected Return]]&gt;=ExpectedReturnMin,Scenarios2[[#This Row],[Expected Return]]&lt;=ExpectedReturnMax)</f>
        <v>1</v>
      </c>
      <c r="U43" s="71" t="b">
        <f>Scenarios2[[#This Row],[Max Drawdown]]&gt;=DrawdownMax</f>
        <v>1</v>
      </c>
      <c r="V4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3" s="46">
        <f>_xlfn.XLOOKUP(Scenarios2[[#This Row],[Reference '#]],ScenariosCombined[Reference '#],ScenariosCombined[Sharpe Rank])</f>
        <v>18</v>
      </c>
      <c r="X43" s="44">
        <f>IF(Scenarios2[[#This Row],[Eligible]],COUNTIFS(Scenarios2[Sharpe],"&gt;"&amp;Scenarios2[[#This Row],[Sharpe]],Scenarios2[Eligible],TRUE())+COUNTIFS(Scenarios2[Sharpe],Scenarios2[[#This Row],[Sharpe]],Scenarios2[Eligible],TRUE()),"")</f>
        <v>20</v>
      </c>
      <c r="Y4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40/15/10/15/20</v>
      </c>
      <c r="Z43">
        <f>_xlfn.XLOOKUP(Scenarios2[[#This Row],[Reference '#]],Scenarios1[Reference '#],Scenarios1[Sharpe Rank])</f>
        <v>23</v>
      </c>
      <c r="AA43">
        <f>Scenarios2[[#This Row],[Sharpe Rank]]</f>
        <v>20</v>
      </c>
      <c r="AB43">
        <f>_xlfn.XLOOKUP(Scenarios2[[#This Row],[Reference '#]],Scenarios3[Reference '#],Scenarios3[Sharpe Rank])</f>
        <v>9</v>
      </c>
      <c r="AC43"/>
      <c r="AD43"/>
      <c r="AE43"/>
      <c r="AF43" s="34"/>
      <c r="AG43" s="34"/>
    </row>
    <row r="44" spans="2:33" s="15" customFormat="1" x14ac:dyDescent="0.2">
      <c r="B44" s="44">
        <v>34</v>
      </c>
      <c r="C44" s="68">
        <v>0.35</v>
      </c>
      <c r="D44" s="69">
        <v>0.35</v>
      </c>
      <c r="E44" s="69">
        <v>0.1</v>
      </c>
      <c r="F44" s="69">
        <v>0.1</v>
      </c>
      <c r="G44" s="69">
        <v>0.1</v>
      </c>
      <c r="H44" s="69">
        <f>SUMPRODUCT(Scenarios2[[#This Row],[SPY]:[PE]],_xlfn.TOROW(AssetSpecsScenario2[Annualized Return]))</f>
        <v>8.1082803363975386E-2</v>
      </c>
      <c r="I44" s="69" cm="1">
        <f t="array" ref="I44">SQRT(MMULT(MMULT(Scenarios2[[#This Row],[SPY]:[PE]], 'Corr_Cov 36- Month'!$J$13:$N$17), TRANSPOSE(Scenarios2[[#This Row],[SPY]:[PE]])))</f>
        <v>7.7333317718843761E-2</v>
      </c>
      <c r="J44" s="70">
        <f>(Scenarios2[[#This Row],[Expected Return]]-RiskFree)/Scenarios2[[#This Row],[36M Vol]]</f>
        <v>0.44065415546133041</v>
      </c>
      <c r="K44" s="69" cm="1">
        <f t="array" ref="K44">MIN(_xlfn._xlws.FILTER(PortfolioFrontier[#Data],(PortfolioFrontier[#Headers]="P"&amp;Scenarios2[[#This Row],[Reference '#]]&amp;" DD")))</f>
        <v>-0.17331410905464495</v>
      </c>
      <c r="L44" s="69">
        <f>SUM(Scenarios2[[#This Row],[SPY]:[VNQ]])</f>
        <v>0.89999999999999991</v>
      </c>
      <c r="M44" s="69">
        <f>SUM(Scenarios2[[#This Row],[SPY]:[PE]])</f>
        <v>0.99999999999999989</v>
      </c>
      <c r="N44" s="71" t="b">
        <f>Scenarios2[[#This Row],[SPY]]&gt;=SpyMin</f>
        <v>1</v>
      </c>
      <c r="O44" s="71" t="b">
        <f>Scenarios2[[#This Row],[AGG]]&gt;=AGGMin</f>
        <v>1</v>
      </c>
      <c r="P44" s="71" t="b">
        <f>AND(Scenarios2[[#This Row],[GLD]]&gt;=GLDMin,Scenarios2[[#This Row],[GLD]]&lt;=GLDMax)</f>
        <v>1</v>
      </c>
      <c r="Q44" s="71" t="b">
        <f>Scenarios2[[#This Row],[VNQ]]&gt;=VNQMin</f>
        <v>1</v>
      </c>
      <c r="R44" s="71" t="b">
        <f>AND(Scenarios2[[#This Row],[PE]]&gt;=PEMin,Scenarios2[[#This Row],[PE]]&lt;=PEMax)</f>
        <v>1</v>
      </c>
      <c r="S44" s="71" t="b">
        <f>Scenarios2[[#This Row],[Liquid Assets]]&gt;=LiquidMin</f>
        <v>1</v>
      </c>
      <c r="T44" s="71" t="b">
        <f>AND(Scenarios2[[#This Row],[Expected Return]]&gt;=ExpectedReturnMin,Scenarios2[[#This Row],[Expected Return]]&lt;=ExpectedReturnMax)</f>
        <v>1</v>
      </c>
      <c r="U44" s="71" t="b">
        <f>Scenarios2[[#This Row],[Max Drawdown]]&gt;=DrawdownMax</f>
        <v>1</v>
      </c>
      <c r="V4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4" s="46">
        <f>_xlfn.XLOOKUP(Scenarios2[[#This Row],[Reference '#]],ScenariosCombined[Reference '#],ScenariosCombined[Sharpe Rank])</f>
        <v>72</v>
      </c>
      <c r="X44" s="44">
        <f>IF(Scenarios2[[#This Row],[Eligible]],COUNTIFS(Scenarios2[Sharpe],"&gt;"&amp;Scenarios2[[#This Row],[Sharpe]],Scenarios2[Eligible],TRUE())+COUNTIFS(Scenarios2[Sharpe],Scenarios2[[#This Row],[Sharpe]],Scenarios2[Eligible],TRUE()),"")</f>
        <v>68</v>
      </c>
      <c r="Y4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35/35/10/10/10</v>
      </c>
      <c r="Z44">
        <f>_xlfn.XLOOKUP(Scenarios2[[#This Row],[Reference '#]],Scenarios1[Reference '#],Scenarios1[Sharpe Rank])</f>
        <v>70</v>
      </c>
      <c r="AA44">
        <f>Scenarios2[[#This Row],[Sharpe Rank]]</f>
        <v>68</v>
      </c>
      <c r="AB44">
        <f>_xlfn.XLOOKUP(Scenarios2[[#This Row],[Reference '#]],Scenarios3[Reference '#],Scenarios3[Sharpe Rank])</f>
        <v>68</v>
      </c>
      <c r="AC44"/>
      <c r="AD44"/>
      <c r="AE44"/>
      <c r="AF44" s="34"/>
      <c r="AG44" s="34"/>
    </row>
    <row r="45" spans="2:33" s="15" customFormat="1" x14ac:dyDescent="0.2">
      <c r="B45" s="44">
        <v>35</v>
      </c>
      <c r="C45" s="68">
        <v>0.35</v>
      </c>
      <c r="D45" s="69">
        <v>0.3</v>
      </c>
      <c r="E45" s="69">
        <v>0.15</v>
      </c>
      <c r="F45" s="69">
        <v>0.1</v>
      </c>
      <c r="G45" s="69">
        <v>0.1</v>
      </c>
      <c r="H45" s="69">
        <f>SUMPRODUCT(Scenarios2[[#This Row],[SPY]:[PE]],_xlfn.TOROW(AssetSpecsScenario2[Annualized Return]))</f>
        <v>8.6658261611214871E-2</v>
      </c>
      <c r="I45" s="69" cm="1">
        <f t="array" ref="I45">SQRT(MMULT(MMULT(Scenarios2[[#This Row],[SPY]:[PE]], 'Corr_Cov 36- Month'!$J$13:$N$17), TRANSPOSE(Scenarios2[[#This Row],[SPY]:[PE]])))</f>
        <v>7.710925694141553E-2</v>
      </c>
      <c r="J45" s="70">
        <f>(Scenarios2[[#This Row],[Expected Return]]-RiskFree)/Scenarios2[[#This Row],[36M Vol]]</f>
        <v>0.51424054164840194</v>
      </c>
      <c r="K45" s="69" cm="1">
        <f t="array" ref="K45">MIN(_xlfn._xlws.FILTER(PortfolioFrontier[#Data],(PortfolioFrontier[#Headers]="P"&amp;Scenarios2[[#This Row],[Reference '#]]&amp;" DD")))</f>
        <v>-0.17083546284768747</v>
      </c>
      <c r="L45" s="69">
        <f>SUM(Scenarios2[[#This Row],[SPY]:[VNQ]])</f>
        <v>0.89999999999999991</v>
      </c>
      <c r="M45" s="69">
        <f>SUM(Scenarios2[[#This Row],[SPY]:[PE]])</f>
        <v>0.99999999999999989</v>
      </c>
      <c r="N45" s="71" t="b">
        <f>Scenarios2[[#This Row],[SPY]]&gt;=SpyMin</f>
        <v>1</v>
      </c>
      <c r="O45" s="71" t="b">
        <f>Scenarios2[[#This Row],[AGG]]&gt;=AGGMin</f>
        <v>1</v>
      </c>
      <c r="P45" s="71" t="b">
        <f>AND(Scenarios2[[#This Row],[GLD]]&gt;=GLDMin,Scenarios2[[#This Row],[GLD]]&lt;=GLDMax)</f>
        <v>1</v>
      </c>
      <c r="Q45" s="71" t="b">
        <f>Scenarios2[[#This Row],[VNQ]]&gt;=VNQMin</f>
        <v>1</v>
      </c>
      <c r="R45" s="71" t="b">
        <f>AND(Scenarios2[[#This Row],[PE]]&gt;=PEMin,Scenarios2[[#This Row],[PE]]&lt;=PEMax)</f>
        <v>1</v>
      </c>
      <c r="S45" s="71" t="b">
        <f>Scenarios2[[#This Row],[Liquid Assets]]&gt;=LiquidMin</f>
        <v>1</v>
      </c>
      <c r="T45" s="71" t="b">
        <f>AND(Scenarios2[[#This Row],[Expected Return]]&gt;=ExpectedReturnMin,Scenarios2[[#This Row],[Expected Return]]&lt;=ExpectedReturnMax)</f>
        <v>1</v>
      </c>
      <c r="U45" s="71" t="b">
        <f>Scenarios2[[#This Row],[Max Drawdown]]&gt;=DrawdownMax</f>
        <v>1</v>
      </c>
      <c r="V4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5" s="46">
        <f>_xlfn.XLOOKUP(Scenarios2[[#This Row],[Reference '#]],ScenariosCombined[Reference '#],ScenariosCombined[Sharpe Rank])</f>
        <v>40</v>
      </c>
      <c r="X45" s="44">
        <f>IF(Scenarios2[[#This Row],[Eligible]],COUNTIFS(Scenarios2[Sharpe],"&gt;"&amp;Scenarios2[[#This Row],[Sharpe]],Scenarios2[Eligible],TRUE())+COUNTIFS(Scenarios2[Sharpe],Scenarios2[[#This Row],[Sharpe]],Scenarios2[Eligible],TRUE()),"")</f>
        <v>37</v>
      </c>
      <c r="Y4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35/30/15/10/10</v>
      </c>
      <c r="Z45">
        <f>_xlfn.XLOOKUP(Scenarios2[[#This Row],[Reference '#]],Scenarios1[Reference '#],Scenarios1[Sharpe Rank])</f>
        <v>37</v>
      </c>
      <c r="AA45">
        <f>Scenarios2[[#This Row],[Sharpe Rank]]</f>
        <v>37</v>
      </c>
      <c r="AB45">
        <f>_xlfn.XLOOKUP(Scenarios2[[#This Row],[Reference '#]],Scenarios3[Reference '#],Scenarios3[Sharpe Rank])</f>
        <v>36</v>
      </c>
      <c r="AC45"/>
      <c r="AD45"/>
      <c r="AE45"/>
      <c r="AF45" s="34"/>
      <c r="AG45" s="34"/>
    </row>
    <row r="46" spans="2:33" s="15" customFormat="1" x14ac:dyDescent="0.2">
      <c r="B46" s="44">
        <v>36</v>
      </c>
      <c r="C46" s="68">
        <v>0.35</v>
      </c>
      <c r="D46" s="69">
        <v>0.3</v>
      </c>
      <c r="E46" s="69">
        <v>0.1</v>
      </c>
      <c r="F46" s="69">
        <v>0.15</v>
      </c>
      <c r="G46" s="69">
        <v>0.1</v>
      </c>
      <c r="H46" s="69">
        <f>SUMPRODUCT(Scenarios2[[#This Row],[SPY]:[PE]],_xlfn.TOROW(AssetSpecsScenario2[Annualized Return]))</f>
        <v>8.2666542710138874E-2</v>
      </c>
      <c r="I46" s="69" cm="1">
        <f t="array" ref="I46">SQRT(MMULT(MMULT(Scenarios2[[#This Row],[SPY]:[PE]], 'Corr_Cov 36- Month'!$J$13:$N$17), TRANSPOSE(Scenarios2[[#This Row],[SPY]:[PE]])))</f>
        <v>8.2480950584884388E-2</v>
      </c>
      <c r="J46" s="70">
        <f>(Scenarios2[[#This Row],[Expected Return]]-RiskFree)/Scenarios2[[#This Row],[36M Vol]]</f>
        <v>0.43235422120751626</v>
      </c>
      <c r="K46" s="69" cm="1">
        <f t="array" ref="K46">MIN(_xlfn._xlws.FILTER(PortfolioFrontier[#Data],(PortfolioFrontier[#Headers]="P"&amp;Scenarios2[[#This Row],[Reference '#]]&amp;" DD")))</f>
        <v>-0.18102599925931473</v>
      </c>
      <c r="L46" s="69">
        <f>SUM(Scenarios2[[#This Row],[SPY]:[VNQ]])</f>
        <v>0.89999999999999991</v>
      </c>
      <c r="M46" s="69">
        <f>SUM(Scenarios2[[#This Row],[SPY]:[PE]])</f>
        <v>0.99999999999999989</v>
      </c>
      <c r="N46" s="71" t="b">
        <f>Scenarios2[[#This Row],[SPY]]&gt;=SpyMin</f>
        <v>1</v>
      </c>
      <c r="O46" s="71" t="b">
        <f>Scenarios2[[#This Row],[AGG]]&gt;=AGGMin</f>
        <v>1</v>
      </c>
      <c r="P46" s="71" t="b">
        <f>AND(Scenarios2[[#This Row],[GLD]]&gt;=GLDMin,Scenarios2[[#This Row],[GLD]]&lt;=GLDMax)</f>
        <v>1</v>
      </c>
      <c r="Q46" s="71" t="b">
        <f>Scenarios2[[#This Row],[VNQ]]&gt;=VNQMin</f>
        <v>1</v>
      </c>
      <c r="R46" s="71" t="b">
        <f>AND(Scenarios2[[#This Row],[PE]]&gt;=PEMin,Scenarios2[[#This Row],[PE]]&lt;=PEMax)</f>
        <v>1</v>
      </c>
      <c r="S46" s="71" t="b">
        <f>Scenarios2[[#This Row],[Liquid Assets]]&gt;=LiquidMin</f>
        <v>1</v>
      </c>
      <c r="T46" s="71" t="b">
        <f>AND(Scenarios2[[#This Row],[Expected Return]]&gt;=ExpectedReturnMin,Scenarios2[[#This Row],[Expected Return]]&lt;=ExpectedReturnMax)</f>
        <v>1</v>
      </c>
      <c r="U46" s="71" t="b">
        <f>Scenarios2[[#This Row],[Max Drawdown]]&gt;=DrawdownMax</f>
        <v>1</v>
      </c>
      <c r="V4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6" s="46">
        <f>_xlfn.XLOOKUP(Scenarios2[[#This Row],[Reference '#]],ScenariosCombined[Reference '#],ScenariosCombined[Sharpe Rank])</f>
        <v>76</v>
      </c>
      <c r="X46" s="44">
        <f>IF(Scenarios2[[#This Row],[Eligible]],COUNTIFS(Scenarios2[Sharpe],"&gt;"&amp;Scenarios2[[#This Row],[Sharpe]],Scenarios2[Eligible],TRUE())+COUNTIFS(Scenarios2[Sharpe],Scenarios2[[#This Row],[Sharpe]],Scenarios2[Eligible],TRUE()),"")</f>
        <v>73</v>
      </c>
      <c r="Y4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35/30/10/15/10</v>
      </c>
      <c r="Z46">
        <f>_xlfn.XLOOKUP(Scenarios2[[#This Row],[Reference '#]],Scenarios1[Reference '#],Scenarios1[Sharpe Rank])</f>
        <v>73</v>
      </c>
      <c r="AA46">
        <f>Scenarios2[[#This Row],[Sharpe Rank]]</f>
        <v>73</v>
      </c>
      <c r="AB46">
        <f>_xlfn.XLOOKUP(Scenarios2[[#This Row],[Reference '#]],Scenarios3[Reference '#],Scenarios3[Sharpe Rank])</f>
        <v>71</v>
      </c>
      <c r="AC46"/>
      <c r="AD46"/>
      <c r="AE46"/>
      <c r="AF46" s="34"/>
      <c r="AG46" s="34"/>
    </row>
    <row r="47" spans="2:33" s="15" customFormat="1" x14ac:dyDescent="0.2">
      <c r="B47" s="44">
        <v>37</v>
      </c>
      <c r="C47" s="68">
        <v>0.35</v>
      </c>
      <c r="D47" s="69">
        <v>0.3</v>
      </c>
      <c r="E47" s="69">
        <v>0.1</v>
      </c>
      <c r="F47" s="69">
        <v>0.1</v>
      </c>
      <c r="G47" s="69">
        <v>0.15</v>
      </c>
      <c r="H47" s="69">
        <f>SUMPRODUCT(Scenarios2[[#This Row],[SPY]:[PE]],_xlfn.TOROW(AssetSpecsScenario2[Annualized Return]))</f>
        <v>8.2803249229085357E-2</v>
      </c>
      <c r="I47" s="69" cm="1">
        <f t="array" ref="I47">SQRT(MMULT(MMULT(Scenarios2[[#This Row],[SPY]:[PE]], 'Corr_Cov 36- Month'!$J$13:$N$17), TRANSPOSE(Scenarios2[[#This Row],[SPY]:[PE]])))</f>
        <v>7.505371692623608E-2</v>
      </c>
      <c r="J47" s="70">
        <f>(Scenarios2[[#This Row],[Expected Return]]-RiskFree)/Scenarios2[[#This Row],[36M Vol]]</f>
        <v>0.476960970616716</v>
      </c>
      <c r="K47" s="69" cm="1">
        <f t="array" ref="K47">MIN(_xlfn._xlws.FILTER(PortfolioFrontier[#Data],(PortfolioFrontier[#Headers]="P"&amp;Scenarios2[[#This Row],[Reference '#]]&amp;" DD")))</f>
        <v>-0.16658537183824618</v>
      </c>
      <c r="L47" s="69">
        <f>SUM(Scenarios2[[#This Row],[SPY]:[VNQ]])</f>
        <v>0.84999999999999987</v>
      </c>
      <c r="M47" s="69">
        <f>SUM(Scenarios2[[#This Row],[SPY]:[PE]])</f>
        <v>0.99999999999999989</v>
      </c>
      <c r="N47" s="71" t="b">
        <f>Scenarios2[[#This Row],[SPY]]&gt;=SpyMin</f>
        <v>1</v>
      </c>
      <c r="O47" s="71" t="b">
        <f>Scenarios2[[#This Row],[AGG]]&gt;=AGGMin</f>
        <v>1</v>
      </c>
      <c r="P47" s="71" t="b">
        <f>AND(Scenarios2[[#This Row],[GLD]]&gt;=GLDMin,Scenarios2[[#This Row],[GLD]]&lt;=GLDMax)</f>
        <v>1</v>
      </c>
      <c r="Q47" s="71" t="b">
        <f>Scenarios2[[#This Row],[VNQ]]&gt;=VNQMin</f>
        <v>1</v>
      </c>
      <c r="R47" s="71" t="b">
        <f>AND(Scenarios2[[#This Row],[PE]]&gt;=PEMin,Scenarios2[[#This Row],[PE]]&lt;=PEMax)</f>
        <v>1</v>
      </c>
      <c r="S47" s="71" t="b">
        <f>Scenarios2[[#This Row],[Liquid Assets]]&gt;=LiquidMin</f>
        <v>1</v>
      </c>
      <c r="T47" s="71" t="b">
        <f>AND(Scenarios2[[#This Row],[Expected Return]]&gt;=ExpectedReturnMin,Scenarios2[[#This Row],[Expected Return]]&lt;=ExpectedReturnMax)</f>
        <v>1</v>
      </c>
      <c r="U47" s="71" t="b">
        <f>Scenarios2[[#This Row],[Max Drawdown]]&gt;=DrawdownMax</f>
        <v>1</v>
      </c>
      <c r="V4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7" s="46">
        <f>_xlfn.XLOOKUP(Scenarios2[[#This Row],[Reference '#]],ScenariosCombined[Reference '#],ScenariosCombined[Sharpe Rank])</f>
        <v>55</v>
      </c>
      <c r="X47" s="44">
        <f>IF(Scenarios2[[#This Row],[Eligible]],COUNTIFS(Scenarios2[Sharpe],"&gt;"&amp;Scenarios2[[#This Row],[Sharpe]],Scenarios2[Eligible],TRUE())+COUNTIFS(Scenarios2[Sharpe],Scenarios2[[#This Row],[Sharpe]],Scenarios2[Eligible],TRUE()),"")</f>
        <v>56</v>
      </c>
      <c r="Y4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35/30/10/10/15</v>
      </c>
      <c r="Z47">
        <f>_xlfn.XLOOKUP(Scenarios2[[#This Row],[Reference '#]],Scenarios1[Reference '#],Scenarios1[Sharpe Rank])</f>
        <v>58</v>
      </c>
      <c r="AA47">
        <f>Scenarios2[[#This Row],[Sharpe Rank]]</f>
        <v>56</v>
      </c>
      <c r="AB47">
        <f>_xlfn.XLOOKUP(Scenarios2[[#This Row],[Reference '#]],Scenarios3[Reference '#],Scenarios3[Sharpe Rank])</f>
        <v>43</v>
      </c>
      <c r="AC47"/>
      <c r="AD47"/>
      <c r="AE47"/>
      <c r="AF47" s="34"/>
      <c r="AG47" s="34"/>
    </row>
    <row r="48" spans="2:33" s="15" customFormat="1" x14ac:dyDescent="0.2">
      <c r="B48" s="44">
        <v>38</v>
      </c>
      <c r="C48" s="68">
        <v>0.35</v>
      </c>
      <c r="D48" s="69">
        <v>0.25</v>
      </c>
      <c r="E48" s="69">
        <v>0.2</v>
      </c>
      <c r="F48" s="69">
        <v>0.1</v>
      </c>
      <c r="G48" s="69">
        <v>0.1</v>
      </c>
      <c r="H48" s="69">
        <f>SUMPRODUCT(Scenarios2[[#This Row],[SPY]:[PE]],_xlfn.TOROW(AssetSpecsScenario2[Annualized Return]))</f>
        <v>9.2233719858454383E-2</v>
      </c>
      <c r="I48" s="69" cm="1">
        <f t="array" ref="I48">SQRT(MMULT(MMULT(Scenarios2[[#This Row],[SPY]:[PE]], 'Corr_Cov 36- Month'!$J$13:$N$17), TRANSPOSE(Scenarios2[[#This Row],[SPY]:[PE]])))</f>
        <v>7.7426535829593413E-2</v>
      </c>
      <c r="J48" s="70">
        <f>(Scenarios2[[#This Row],[Expected Return]]-RiskFree)/Scenarios2[[#This Row],[36M Vol]]</f>
        <v>0.58414294037951842</v>
      </c>
      <c r="K48" s="69" cm="1">
        <f t="array" ref="K48">MIN(_xlfn._xlws.FILTER(PortfolioFrontier[#Data],(PortfolioFrontier[#Headers]="P"&amp;Scenarios2[[#This Row],[Reference '#]]&amp;" DD")))</f>
        <v>-0.16837374068860644</v>
      </c>
      <c r="L48" s="69">
        <f>SUM(Scenarios2[[#This Row],[SPY]:[VNQ]])</f>
        <v>0.9</v>
      </c>
      <c r="M48" s="69">
        <f>SUM(Scenarios2[[#This Row],[SPY]:[PE]])</f>
        <v>1</v>
      </c>
      <c r="N48" s="71" t="b">
        <f>Scenarios2[[#This Row],[SPY]]&gt;=SpyMin</f>
        <v>1</v>
      </c>
      <c r="O48" s="71" t="b">
        <f>Scenarios2[[#This Row],[AGG]]&gt;=AGGMin</f>
        <v>1</v>
      </c>
      <c r="P48" s="71" t="b">
        <f>AND(Scenarios2[[#This Row],[GLD]]&gt;=GLDMin,Scenarios2[[#This Row],[GLD]]&lt;=GLDMax)</f>
        <v>1</v>
      </c>
      <c r="Q48" s="71" t="b">
        <f>Scenarios2[[#This Row],[VNQ]]&gt;=VNQMin</f>
        <v>1</v>
      </c>
      <c r="R48" s="71" t="b">
        <f>AND(Scenarios2[[#This Row],[PE]]&gt;=PEMin,Scenarios2[[#This Row],[PE]]&lt;=PEMax)</f>
        <v>1</v>
      </c>
      <c r="S48" s="71" t="b">
        <f>Scenarios2[[#This Row],[Liquid Assets]]&gt;=LiquidMin</f>
        <v>1</v>
      </c>
      <c r="T48" s="71" t="b">
        <f>AND(Scenarios2[[#This Row],[Expected Return]]&gt;=ExpectedReturnMin,Scenarios2[[#This Row],[Expected Return]]&lt;=ExpectedReturnMax)</f>
        <v>1</v>
      </c>
      <c r="U48" s="71" t="b">
        <f>Scenarios2[[#This Row],[Max Drawdown]]&gt;=DrawdownMax</f>
        <v>1</v>
      </c>
      <c r="V4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8" s="46">
        <f>_xlfn.XLOOKUP(Scenarios2[[#This Row],[Reference '#]],ScenariosCombined[Reference '#],ScenariosCombined[Sharpe Rank])</f>
        <v>16</v>
      </c>
      <c r="X48" s="44">
        <f>IF(Scenarios2[[#This Row],[Eligible]],COUNTIFS(Scenarios2[Sharpe],"&gt;"&amp;Scenarios2[[#This Row],[Sharpe]],Scenarios2[Eligible],TRUE())+COUNTIFS(Scenarios2[Sharpe],Scenarios2[[#This Row],[Sharpe]],Scenarios2[Eligible],TRUE()),"")</f>
        <v>13</v>
      </c>
      <c r="Y4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35/25/20/10/10</v>
      </c>
      <c r="Z48">
        <f>_xlfn.XLOOKUP(Scenarios2[[#This Row],[Reference '#]],Scenarios1[Reference '#],Scenarios1[Sharpe Rank])</f>
        <v>15</v>
      </c>
      <c r="AA48">
        <f>Scenarios2[[#This Row],[Sharpe Rank]]</f>
        <v>13</v>
      </c>
      <c r="AB48">
        <f>_xlfn.XLOOKUP(Scenarios2[[#This Row],[Reference '#]],Scenarios3[Reference '#],Scenarios3[Sharpe Rank])</f>
        <v>10</v>
      </c>
      <c r="AC48"/>
      <c r="AD48"/>
      <c r="AE48"/>
      <c r="AF48" s="34"/>
      <c r="AG48" s="34"/>
    </row>
    <row r="49" spans="2:33" s="15" customFormat="1" x14ac:dyDescent="0.2">
      <c r="B49" s="44">
        <v>39</v>
      </c>
      <c r="C49" s="68">
        <v>0.35</v>
      </c>
      <c r="D49" s="69">
        <v>0.25</v>
      </c>
      <c r="E49" s="69">
        <v>0.15</v>
      </c>
      <c r="F49" s="69">
        <v>0.15</v>
      </c>
      <c r="G49" s="69">
        <v>0.1</v>
      </c>
      <c r="H49" s="69">
        <f>SUMPRODUCT(Scenarios2[[#This Row],[SPY]:[PE]],_xlfn.TOROW(AssetSpecsScenario2[Annualized Return]))</f>
        <v>8.8242000957378358E-2</v>
      </c>
      <c r="I49" s="69" cm="1">
        <f t="array" ref="I49">SQRT(MMULT(MMULT(Scenarios2[[#This Row],[SPY]:[PE]], 'Corr_Cov 36- Month'!$J$13:$N$17), TRANSPOSE(Scenarios2[[#This Row],[SPY]:[PE]])))</f>
        <v>8.2167831754940079E-2</v>
      </c>
      <c r="J49" s="70">
        <f>(Scenarios2[[#This Row],[Expected Return]]-RiskFree)/Scenarios2[[#This Row],[36M Vol]]</f>
        <v>0.50185631677379139</v>
      </c>
      <c r="K49" s="69" cm="1">
        <f t="array" ref="K49">MIN(_xlfn._xlws.FILTER(PortfolioFrontier[#Data],(PortfolioFrontier[#Headers]="P"&amp;Scenarios2[[#This Row],[Reference '#]]&amp;" DD")))</f>
        <v>-0.17856921257489966</v>
      </c>
      <c r="L49" s="69">
        <f>SUM(Scenarios2[[#This Row],[SPY]:[VNQ]])</f>
        <v>0.9</v>
      </c>
      <c r="M49" s="69">
        <f>SUM(Scenarios2[[#This Row],[SPY]:[PE]])</f>
        <v>1</v>
      </c>
      <c r="N49" s="71" t="b">
        <f>Scenarios2[[#This Row],[SPY]]&gt;=SpyMin</f>
        <v>1</v>
      </c>
      <c r="O49" s="71" t="b">
        <f>Scenarios2[[#This Row],[AGG]]&gt;=AGGMin</f>
        <v>1</v>
      </c>
      <c r="P49" s="71" t="b">
        <f>AND(Scenarios2[[#This Row],[GLD]]&gt;=GLDMin,Scenarios2[[#This Row],[GLD]]&lt;=GLDMax)</f>
        <v>1</v>
      </c>
      <c r="Q49" s="71" t="b">
        <f>Scenarios2[[#This Row],[VNQ]]&gt;=VNQMin</f>
        <v>1</v>
      </c>
      <c r="R49" s="71" t="b">
        <f>AND(Scenarios2[[#This Row],[PE]]&gt;=PEMin,Scenarios2[[#This Row],[PE]]&lt;=PEMax)</f>
        <v>1</v>
      </c>
      <c r="S49" s="71" t="b">
        <f>Scenarios2[[#This Row],[Liquid Assets]]&gt;=LiquidMin</f>
        <v>1</v>
      </c>
      <c r="T49" s="71" t="b">
        <f>AND(Scenarios2[[#This Row],[Expected Return]]&gt;=ExpectedReturnMin,Scenarios2[[#This Row],[Expected Return]]&lt;=ExpectedReturnMax)</f>
        <v>1</v>
      </c>
      <c r="U49" s="71" t="b">
        <f>Scenarios2[[#This Row],[Max Drawdown]]&gt;=DrawdownMax</f>
        <v>1</v>
      </c>
      <c r="V4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49" s="46">
        <f>_xlfn.XLOOKUP(Scenarios2[[#This Row],[Reference '#]],ScenariosCombined[Reference '#],ScenariosCombined[Sharpe Rank])</f>
        <v>46</v>
      </c>
      <c r="X49" s="44">
        <f>IF(Scenarios2[[#This Row],[Eligible]],COUNTIFS(Scenarios2[Sharpe],"&gt;"&amp;Scenarios2[[#This Row],[Sharpe]],Scenarios2[Eligible],TRUE())+COUNTIFS(Scenarios2[Sharpe],Scenarios2[[#This Row],[Sharpe]],Scenarios2[Eligible],TRUE()),"")</f>
        <v>43</v>
      </c>
      <c r="Y4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35/25/15/15/10</v>
      </c>
      <c r="Z49">
        <f>_xlfn.XLOOKUP(Scenarios2[[#This Row],[Reference '#]],Scenarios1[Reference '#],Scenarios1[Sharpe Rank])</f>
        <v>43</v>
      </c>
      <c r="AA49">
        <f>Scenarios2[[#This Row],[Sharpe Rank]]</f>
        <v>43</v>
      </c>
      <c r="AB49">
        <f>_xlfn.XLOOKUP(Scenarios2[[#This Row],[Reference '#]],Scenarios3[Reference '#],Scenarios3[Sharpe Rank])</f>
        <v>41</v>
      </c>
      <c r="AC49"/>
      <c r="AD49"/>
      <c r="AE49"/>
      <c r="AF49" s="34"/>
      <c r="AG49" s="34"/>
    </row>
    <row r="50" spans="2:33" s="15" customFormat="1" x14ac:dyDescent="0.2">
      <c r="B50" s="44">
        <v>40</v>
      </c>
      <c r="C50" s="68">
        <v>0.35</v>
      </c>
      <c r="D50" s="69">
        <v>0.25</v>
      </c>
      <c r="E50" s="69">
        <v>0.15</v>
      </c>
      <c r="F50" s="69">
        <v>0.1</v>
      </c>
      <c r="G50" s="69">
        <v>0.15</v>
      </c>
      <c r="H50" s="69">
        <f>SUMPRODUCT(Scenarios2[[#This Row],[SPY]:[PE]],_xlfn.TOROW(AssetSpecsScenario2[Annualized Return]))</f>
        <v>8.8378707476324841E-2</v>
      </c>
      <c r="I50" s="69" cm="1">
        <f t="array" ref="I50">SQRT(MMULT(MMULT(Scenarios2[[#This Row],[SPY]:[PE]], 'Corr_Cov 36- Month'!$J$13:$N$17), TRANSPOSE(Scenarios2[[#This Row],[SPY]:[PE]])))</f>
        <v>7.481146439650202E-2</v>
      </c>
      <c r="J50" s="70">
        <f>(Scenarios2[[#This Row],[Expected Return]]-RiskFree)/Scenarios2[[#This Row],[36M Vol]]</f>
        <v>0.55303224251153393</v>
      </c>
      <c r="K50" s="69" cm="1">
        <f t="array" ref="K50">MIN(_xlfn._xlws.FILTER(PortfolioFrontier[#Data],(PortfolioFrontier[#Headers]="P"&amp;Scenarios2[[#This Row],[Reference '#]]&amp;" DD")))</f>
        <v>-0.16409827380704267</v>
      </c>
      <c r="L50" s="69">
        <f>SUM(Scenarios2[[#This Row],[SPY]:[VNQ]])</f>
        <v>0.85</v>
      </c>
      <c r="M50" s="69">
        <f>SUM(Scenarios2[[#This Row],[SPY]:[PE]])</f>
        <v>1</v>
      </c>
      <c r="N50" s="71" t="b">
        <f>Scenarios2[[#This Row],[SPY]]&gt;=SpyMin</f>
        <v>1</v>
      </c>
      <c r="O50" s="71" t="b">
        <f>Scenarios2[[#This Row],[AGG]]&gt;=AGGMin</f>
        <v>1</v>
      </c>
      <c r="P50" s="71" t="b">
        <f>AND(Scenarios2[[#This Row],[GLD]]&gt;=GLDMin,Scenarios2[[#This Row],[GLD]]&lt;=GLDMax)</f>
        <v>1</v>
      </c>
      <c r="Q50" s="71" t="b">
        <f>Scenarios2[[#This Row],[VNQ]]&gt;=VNQMin</f>
        <v>1</v>
      </c>
      <c r="R50" s="71" t="b">
        <f>AND(Scenarios2[[#This Row],[PE]]&gt;=PEMin,Scenarios2[[#This Row],[PE]]&lt;=PEMax)</f>
        <v>1</v>
      </c>
      <c r="S50" s="71" t="b">
        <f>Scenarios2[[#This Row],[Liquid Assets]]&gt;=LiquidMin</f>
        <v>1</v>
      </c>
      <c r="T50" s="71" t="b">
        <f>AND(Scenarios2[[#This Row],[Expected Return]]&gt;=ExpectedReturnMin,Scenarios2[[#This Row],[Expected Return]]&lt;=ExpectedReturnMax)</f>
        <v>1</v>
      </c>
      <c r="U50" s="71" t="b">
        <f>Scenarios2[[#This Row],[Max Drawdown]]&gt;=DrawdownMax</f>
        <v>1</v>
      </c>
      <c r="V5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0" s="46">
        <f>_xlfn.XLOOKUP(Scenarios2[[#This Row],[Reference '#]],ScenariosCombined[Reference '#],ScenariosCombined[Sharpe Rank])</f>
        <v>23</v>
      </c>
      <c r="X50" s="44">
        <f>IF(Scenarios2[[#This Row],[Eligible]],COUNTIFS(Scenarios2[Sharpe],"&gt;"&amp;Scenarios2[[#This Row],[Sharpe]],Scenarios2[Eligible],TRUE())+COUNTIFS(Scenarios2[Sharpe],Scenarios2[[#This Row],[Sharpe]],Scenarios2[Eligible],TRUE()),"")</f>
        <v>24</v>
      </c>
      <c r="Y5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35/25/15/10/15</v>
      </c>
      <c r="Z50">
        <f>_xlfn.XLOOKUP(Scenarios2[[#This Row],[Reference '#]],Scenarios1[Reference '#],Scenarios1[Sharpe Rank])</f>
        <v>28</v>
      </c>
      <c r="AA50">
        <f>Scenarios2[[#This Row],[Sharpe Rank]]</f>
        <v>24</v>
      </c>
      <c r="AB50">
        <f>_xlfn.XLOOKUP(Scenarios2[[#This Row],[Reference '#]],Scenarios3[Reference '#],Scenarios3[Sharpe Rank])</f>
        <v>13</v>
      </c>
      <c r="AC50"/>
      <c r="AD50"/>
      <c r="AE50"/>
      <c r="AF50" s="34"/>
      <c r="AG50" s="34"/>
    </row>
    <row r="51" spans="2:33" s="15" customFormat="1" x14ac:dyDescent="0.2">
      <c r="B51" s="44">
        <v>41</v>
      </c>
      <c r="C51" s="68">
        <v>0.35</v>
      </c>
      <c r="D51" s="69">
        <v>0.25</v>
      </c>
      <c r="E51" s="69">
        <v>0.1</v>
      </c>
      <c r="F51" s="69">
        <v>0.2</v>
      </c>
      <c r="G51" s="69">
        <v>0.1</v>
      </c>
      <c r="H51" s="69">
        <f>SUMPRODUCT(Scenarios2[[#This Row],[SPY]:[PE]],_xlfn.TOROW(AssetSpecsScenario2[Annualized Return]))</f>
        <v>8.4250282056302334E-2</v>
      </c>
      <c r="I51" s="69" cm="1">
        <f t="array" ref="I51">SQRT(MMULT(MMULT(Scenarios2[[#This Row],[SPY]:[PE]], 'Corr_Cov 36- Month'!$J$13:$N$17), TRANSPOSE(Scenarios2[[#This Row],[SPY]:[PE]])))</f>
        <v>8.7821878349556792E-2</v>
      </c>
      <c r="J51" s="70">
        <f>(Scenarios2[[#This Row],[Expected Return]]-RiskFree)/Scenarios2[[#This Row],[36M Vol]]</f>
        <v>0.4240939410621789</v>
      </c>
      <c r="K51" s="69" cm="1">
        <f t="array" ref="K51">MIN(_xlfn._xlws.FILTER(PortfolioFrontier[#Data],(PortfolioFrontier[#Headers]="P"&amp;Scenarios2[[#This Row],[Reference '#]]&amp;" DD")))</f>
        <v>-0.1887362491709641</v>
      </c>
      <c r="L51" s="69">
        <f>SUM(Scenarios2[[#This Row],[SPY]:[VNQ]])</f>
        <v>0.89999999999999991</v>
      </c>
      <c r="M51" s="69">
        <f>SUM(Scenarios2[[#This Row],[SPY]:[PE]])</f>
        <v>0.99999999999999989</v>
      </c>
      <c r="N51" s="71" t="b">
        <f>Scenarios2[[#This Row],[SPY]]&gt;=SpyMin</f>
        <v>1</v>
      </c>
      <c r="O51" s="71" t="b">
        <f>Scenarios2[[#This Row],[AGG]]&gt;=AGGMin</f>
        <v>1</v>
      </c>
      <c r="P51" s="71" t="b">
        <f>AND(Scenarios2[[#This Row],[GLD]]&gt;=GLDMin,Scenarios2[[#This Row],[GLD]]&lt;=GLDMax)</f>
        <v>1</v>
      </c>
      <c r="Q51" s="71" t="b">
        <f>Scenarios2[[#This Row],[VNQ]]&gt;=VNQMin</f>
        <v>1</v>
      </c>
      <c r="R51" s="71" t="b">
        <f>AND(Scenarios2[[#This Row],[PE]]&gt;=PEMin,Scenarios2[[#This Row],[PE]]&lt;=PEMax)</f>
        <v>1</v>
      </c>
      <c r="S51" s="71" t="b">
        <f>Scenarios2[[#This Row],[Liquid Assets]]&gt;=LiquidMin</f>
        <v>1</v>
      </c>
      <c r="T51" s="71" t="b">
        <f>AND(Scenarios2[[#This Row],[Expected Return]]&gt;=ExpectedReturnMin,Scenarios2[[#This Row],[Expected Return]]&lt;=ExpectedReturnMax)</f>
        <v>1</v>
      </c>
      <c r="U51" s="71" t="b">
        <f>Scenarios2[[#This Row],[Max Drawdown]]&gt;=DrawdownMax</f>
        <v>1</v>
      </c>
      <c r="V5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1" s="46">
        <f>_xlfn.XLOOKUP(Scenarios2[[#This Row],[Reference '#]],ScenariosCombined[Reference '#],ScenariosCombined[Sharpe Rank])</f>
        <v>81</v>
      </c>
      <c r="X51" s="44">
        <f>IF(Scenarios2[[#This Row],[Eligible]],COUNTIFS(Scenarios2[Sharpe],"&gt;"&amp;Scenarios2[[#This Row],[Sharpe]],Scenarios2[Eligible],TRUE())+COUNTIFS(Scenarios2[Sharpe],Scenarios2[[#This Row],[Sharpe]],Scenarios2[Eligible],TRUE()),"")</f>
        <v>78</v>
      </c>
      <c r="Y5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35/25/10/20/10</v>
      </c>
      <c r="Z51">
        <f>_xlfn.XLOOKUP(Scenarios2[[#This Row],[Reference '#]],Scenarios1[Reference '#],Scenarios1[Sharpe Rank])</f>
        <v>78</v>
      </c>
      <c r="AA51">
        <f>Scenarios2[[#This Row],[Sharpe Rank]]</f>
        <v>78</v>
      </c>
      <c r="AB51">
        <f>_xlfn.XLOOKUP(Scenarios2[[#This Row],[Reference '#]],Scenarios3[Reference '#],Scenarios3[Sharpe Rank])</f>
        <v>77</v>
      </c>
      <c r="AC51"/>
      <c r="AD51"/>
      <c r="AE51"/>
      <c r="AF51" s="34"/>
      <c r="AG51" s="34"/>
    </row>
    <row r="52" spans="2:33" s="15" customFormat="1" x14ac:dyDescent="0.2">
      <c r="B52" s="44">
        <v>42</v>
      </c>
      <c r="C52" s="68">
        <v>0.35</v>
      </c>
      <c r="D52" s="69">
        <v>0.25</v>
      </c>
      <c r="E52" s="69">
        <v>0.1</v>
      </c>
      <c r="F52" s="69">
        <v>0.15</v>
      </c>
      <c r="G52" s="69">
        <v>0.15</v>
      </c>
      <c r="H52" s="69">
        <f>SUMPRODUCT(Scenarios2[[#This Row],[SPY]:[PE]],_xlfn.TOROW(AssetSpecsScenario2[Annualized Return]))</f>
        <v>8.4386988575248831E-2</v>
      </c>
      <c r="I52" s="69" cm="1">
        <f t="array" ref="I52">SQRT(MMULT(MMULT(Scenarios2[[#This Row],[SPY]:[PE]], 'Corr_Cov 36- Month'!$J$13:$N$17), TRANSPOSE(Scenarios2[[#This Row],[SPY]:[PE]])))</f>
        <v>8.0170513170688407E-2</v>
      </c>
      <c r="J52" s="70">
        <f>(Scenarios2[[#This Row],[Expected Return]]-RiskFree)/Scenarios2[[#This Row],[36M Vol]]</f>
        <v>0.46627408932889952</v>
      </c>
      <c r="K52" s="69" cm="1">
        <f t="array" ref="K52">MIN(_xlfn._xlws.FILTER(PortfolioFrontier[#Data],(PortfolioFrontier[#Headers]="P"&amp;Scenarios2[[#This Row],[Reference '#]]&amp;" DD")))</f>
        <v>-0.17433777288872498</v>
      </c>
      <c r="L52" s="69">
        <f>SUM(Scenarios2[[#This Row],[SPY]:[VNQ]])</f>
        <v>0.85</v>
      </c>
      <c r="M52" s="69">
        <f>SUM(Scenarios2[[#This Row],[SPY]:[PE]])</f>
        <v>1</v>
      </c>
      <c r="N52" s="71" t="b">
        <f>Scenarios2[[#This Row],[SPY]]&gt;=SpyMin</f>
        <v>1</v>
      </c>
      <c r="O52" s="71" t="b">
        <f>Scenarios2[[#This Row],[AGG]]&gt;=AGGMin</f>
        <v>1</v>
      </c>
      <c r="P52" s="71" t="b">
        <f>AND(Scenarios2[[#This Row],[GLD]]&gt;=GLDMin,Scenarios2[[#This Row],[GLD]]&lt;=GLDMax)</f>
        <v>1</v>
      </c>
      <c r="Q52" s="71" t="b">
        <f>Scenarios2[[#This Row],[VNQ]]&gt;=VNQMin</f>
        <v>1</v>
      </c>
      <c r="R52" s="71" t="b">
        <f>AND(Scenarios2[[#This Row],[PE]]&gt;=PEMin,Scenarios2[[#This Row],[PE]]&lt;=PEMax)</f>
        <v>1</v>
      </c>
      <c r="S52" s="71" t="b">
        <f>Scenarios2[[#This Row],[Liquid Assets]]&gt;=LiquidMin</f>
        <v>1</v>
      </c>
      <c r="T52" s="71" t="b">
        <f>AND(Scenarios2[[#This Row],[Expected Return]]&gt;=ExpectedReturnMin,Scenarios2[[#This Row],[Expected Return]]&lt;=ExpectedReturnMax)</f>
        <v>1</v>
      </c>
      <c r="U52" s="71" t="b">
        <f>Scenarios2[[#This Row],[Max Drawdown]]&gt;=DrawdownMax</f>
        <v>1</v>
      </c>
      <c r="V5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2" s="46">
        <f>_xlfn.XLOOKUP(Scenarios2[[#This Row],[Reference '#]],ScenariosCombined[Reference '#],ScenariosCombined[Sharpe Rank])</f>
        <v>60</v>
      </c>
      <c r="X52" s="44">
        <f>IF(Scenarios2[[#This Row],[Eligible]],COUNTIFS(Scenarios2[Sharpe],"&gt;"&amp;Scenarios2[[#This Row],[Sharpe]],Scenarios2[Eligible],TRUE())+COUNTIFS(Scenarios2[Sharpe],Scenarios2[[#This Row],[Sharpe]],Scenarios2[Eligible],TRUE()),"")</f>
        <v>60</v>
      </c>
      <c r="Y5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35/25/10/15/15</v>
      </c>
      <c r="Z52">
        <f>_xlfn.XLOOKUP(Scenarios2[[#This Row],[Reference '#]],Scenarios1[Reference '#],Scenarios1[Sharpe Rank])</f>
        <v>61</v>
      </c>
      <c r="AA52">
        <f>Scenarios2[[#This Row],[Sharpe Rank]]</f>
        <v>60</v>
      </c>
      <c r="AB52">
        <f>_xlfn.XLOOKUP(Scenarios2[[#This Row],[Reference '#]],Scenarios3[Reference '#],Scenarios3[Sharpe Rank])</f>
        <v>51</v>
      </c>
      <c r="AC52"/>
      <c r="AD52"/>
      <c r="AE52"/>
      <c r="AF52" s="34"/>
      <c r="AG52" s="34"/>
    </row>
    <row r="53" spans="2:33" s="15" customFormat="1" x14ac:dyDescent="0.2">
      <c r="B53" s="44">
        <v>43</v>
      </c>
      <c r="C53" s="68">
        <v>0.35</v>
      </c>
      <c r="D53" s="69">
        <v>0.25</v>
      </c>
      <c r="E53" s="69">
        <v>0.1</v>
      </c>
      <c r="F53" s="69">
        <v>0.1</v>
      </c>
      <c r="G53" s="69">
        <v>0.2</v>
      </c>
      <c r="H53" s="69">
        <f>SUMPRODUCT(Scenarios2[[#This Row],[SPY]:[PE]],_xlfn.TOROW(AssetSpecsScenario2[Annualized Return]))</f>
        <v>8.4523695094195328E-2</v>
      </c>
      <c r="I53" s="69" cm="1">
        <f t="array" ref="I53">SQRT(MMULT(MMULT(Scenarios2[[#This Row],[SPY]:[PE]], 'Corr_Cov 36- Month'!$J$13:$N$17), TRANSPOSE(Scenarios2[[#This Row],[SPY]:[PE]])))</f>
        <v>7.2979750537878502E-2</v>
      </c>
      <c r="J53" s="70">
        <f>(Scenarios2[[#This Row],[Expected Return]]-RiskFree)/Scenarios2[[#This Row],[36M Vol]]</f>
        <v>0.51408972025968802</v>
      </c>
      <c r="K53" s="69" cm="1">
        <f t="array" ref="K53">MIN(_xlfn._xlws.FILTER(PortfolioFrontier[#Data],(PortfolioFrontier[#Headers]="P"&amp;Scenarios2[[#This Row],[Reference '#]]&amp;" DD")))</f>
        <v>-0.15982311456934162</v>
      </c>
      <c r="L53" s="69">
        <f>SUM(Scenarios2[[#This Row],[SPY]:[VNQ]])</f>
        <v>0.79999999999999993</v>
      </c>
      <c r="M53" s="69">
        <f>SUM(Scenarios2[[#This Row],[SPY]:[PE]])</f>
        <v>1</v>
      </c>
      <c r="N53" s="71" t="b">
        <f>Scenarios2[[#This Row],[SPY]]&gt;=SpyMin</f>
        <v>1</v>
      </c>
      <c r="O53" s="71" t="b">
        <f>Scenarios2[[#This Row],[AGG]]&gt;=AGGMin</f>
        <v>1</v>
      </c>
      <c r="P53" s="71" t="b">
        <f>AND(Scenarios2[[#This Row],[GLD]]&gt;=GLDMin,Scenarios2[[#This Row],[GLD]]&lt;=GLDMax)</f>
        <v>1</v>
      </c>
      <c r="Q53" s="71" t="b">
        <f>Scenarios2[[#This Row],[VNQ]]&gt;=VNQMin</f>
        <v>1</v>
      </c>
      <c r="R53" s="71" t="b">
        <f>AND(Scenarios2[[#This Row],[PE]]&gt;=PEMin,Scenarios2[[#This Row],[PE]]&lt;=PEMax)</f>
        <v>1</v>
      </c>
      <c r="S53" s="71" t="b">
        <f>Scenarios2[[#This Row],[Liquid Assets]]&gt;=LiquidMin</f>
        <v>1</v>
      </c>
      <c r="T53" s="71" t="b">
        <f>AND(Scenarios2[[#This Row],[Expected Return]]&gt;=ExpectedReturnMin,Scenarios2[[#This Row],[Expected Return]]&lt;=ExpectedReturnMax)</f>
        <v>1</v>
      </c>
      <c r="U53" s="71" t="b">
        <f>Scenarios2[[#This Row],[Max Drawdown]]&gt;=DrawdownMax</f>
        <v>1</v>
      </c>
      <c r="V5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3" s="46">
        <f>_xlfn.XLOOKUP(Scenarios2[[#This Row],[Reference '#]],ScenariosCombined[Reference '#],ScenariosCombined[Sharpe Rank])</f>
        <v>36</v>
      </c>
      <c r="X53" s="44">
        <f>IF(Scenarios2[[#This Row],[Eligible]],COUNTIFS(Scenarios2[Sharpe],"&gt;"&amp;Scenarios2[[#This Row],[Sharpe]],Scenarios2[Eligible],TRUE())+COUNTIFS(Scenarios2[Sharpe],Scenarios2[[#This Row],[Sharpe]],Scenarios2[Eligible],TRUE()),"")</f>
        <v>38</v>
      </c>
      <c r="Y5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35/25/10/10/20</v>
      </c>
      <c r="Z53">
        <f>_xlfn.XLOOKUP(Scenarios2[[#This Row],[Reference '#]],Scenarios1[Reference '#],Scenarios1[Sharpe Rank])</f>
        <v>42</v>
      </c>
      <c r="AA53">
        <f>Scenarios2[[#This Row],[Sharpe Rank]]</f>
        <v>38</v>
      </c>
      <c r="AB53">
        <f>_xlfn.XLOOKUP(Scenarios2[[#This Row],[Reference '#]],Scenarios3[Reference '#],Scenarios3[Sharpe Rank])</f>
        <v>21</v>
      </c>
      <c r="AC53"/>
      <c r="AD53"/>
      <c r="AE53"/>
      <c r="AF53" s="34"/>
      <c r="AG53" s="34"/>
    </row>
    <row r="54" spans="2:33" s="15" customFormat="1" x14ac:dyDescent="0.2">
      <c r="B54" s="44">
        <v>44</v>
      </c>
      <c r="C54" s="68">
        <v>0.35</v>
      </c>
      <c r="D54" s="69">
        <v>0.2</v>
      </c>
      <c r="E54" s="69">
        <v>0.2</v>
      </c>
      <c r="F54" s="69">
        <v>0.15</v>
      </c>
      <c r="G54" s="69">
        <v>0.1</v>
      </c>
      <c r="H54" s="69">
        <f>SUMPRODUCT(Scenarios2[[#This Row],[SPY]:[PE]],_xlfn.TOROW(AssetSpecsScenario2[Annualized Return]))</f>
        <v>9.3817459204617856E-2</v>
      </c>
      <c r="I54" s="69" cm="1">
        <f t="array" ref="I54">SQRT(MMULT(MMULT(Scenarios2[[#This Row],[SPY]:[PE]], 'Corr_Cov 36- Month'!$J$13:$N$17), TRANSPOSE(Scenarios2[[#This Row],[SPY]:[PE]])))</f>
        <v>8.2362815694284067E-2</v>
      </c>
      <c r="J54" s="70">
        <f>(Scenarios2[[#This Row],[Expected Return]]-RiskFree)/Scenarios2[[#This Row],[36M Vol]]</f>
        <v>0.56836210921709696</v>
      </c>
      <c r="K54" s="69" cm="1">
        <f t="array" ref="K54">MIN(_xlfn._xlws.FILTER(PortfolioFrontier[#Data],(PortfolioFrontier[#Headers]="P"&amp;Scenarios2[[#This Row],[Reference '#]]&amp;" DD")))</f>
        <v>-0.17612917157273245</v>
      </c>
      <c r="L54" s="69">
        <f>SUM(Scenarios2[[#This Row],[SPY]:[VNQ]])</f>
        <v>0.9</v>
      </c>
      <c r="M54" s="69">
        <f>SUM(Scenarios2[[#This Row],[SPY]:[PE]])</f>
        <v>1</v>
      </c>
      <c r="N54" s="71" t="b">
        <f>Scenarios2[[#This Row],[SPY]]&gt;=SpyMin</f>
        <v>1</v>
      </c>
      <c r="O54" s="71" t="b">
        <f>Scenarios2[[#This Row],[AGG]]&gt;=AGGMin</f>
        <v>1</v>
      </c>
      <c r="P54" s="71" t="b">
        <f>AND(Scenarios2[[#This Row],[GLD]]&gt;=GLDMin,Scenarios2[[#This Row],[GLD]]&lt;=GLDMax)</f>
        <v>1</v>
      </c>
      <c r="Q54" s="71" t="b">
        <f>Scenarios2[[#This Row],[VNQ]]&gt;=VNQMin</f>
        <v>1</v>
      </c>
      <c r="R54" s="71" t="b">
        <f>AND(Scenarios2[[#This Row],[PE]]&gt;=PEMin,Scenarios2[[#This Row],[PE]]&lt;=PEMax)</f>
        <v>1</v>
      </c>
      <c r="S54" s="71" t="b">
        <f>Scenarios2[[#This Row],[Liquid Assets]]&gt;=LiquidMin</f>
        <v>1</v>
      </c>
      <c r="T54" s="71" t="b">
        <f>AND(Scenarios2[[#This Row],[Expected Return]]&gt;=ExpectedReturnMin,Scenarios2[[#This Row],[Expected Return]]&lt;=ExpectedReturnMax)</f>
        <v>1</v>
      </c>
      <c r="U54" s="71" t="b">
        <f>Scenarios2[[#This Row],[Max Drawdown]]&gt;=DrawdownMax</f>
        <v>1</v>
      </c>
      <c r="V5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4" s="46">
        <f>_xlfn.XLOOKUP(Scenarios2[[#This Row],[Reference '#]],ScenariosCombined[Reference '#],ScenariosCombined[Sharpe Rank])</f>
        <v>20</v>
      </c>
      <c r="X54" s="44">
        <f>IF(Scenarios2[[#This Row],[Eligible]],COUNTIFS(Scenarios2[Sharpe],"&gt;"&amp;Scenarios2[[#This Row],[Sharpe]],Scenarios2[Eligible],TRUE())+COUNTIFS(Scenarios2[Sharpe],Scenarios2[[#This Row],[Sharpe]],Scenarios2[Eligible],TRUE()),"")</f>
        <v>19</v>
      </c>
      <c r="Y5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35/20/20/15/10</v>
      </c>
      <c r="Z54">
        <f>_xlfn.XLOOKUP(Scenarios2[[#This Row],[Reference '#]],Scenarios1[Reference '#],Scenarios1[Sharpe Rank])</f>
        <v>20</v>
      </c>
      <c r="AA54">
        <f>Scenarios2[[#This Row],[Sharpe Rank]]</f>
        <v>19</v>
      </c>
      <c r="AB54">
        <f>_xlfn.XLOOKUP(Scenarios2[[#This Row],[Reference '#]],Scenarios3[Reference '#],Scenarios3[Sharpe Rank])</f>
        <v>15</v>
      </c>
      <c r="AC54"/>
      <c r="AD54"/>
      <c r="AE54"/>
      <c r="AF54" s="34"/>
      <c r="AG54" s="34"/>
    </row>
    <row r="55" spans="2:33" s="15" customFormat="1" x14ac:dyDescent="0.2">
      <c r="B55" s="175">
        <v>45</v>
      </c>
      <c r="C55" s="176">
        <v>0.35</v>
      </c>
      <c r="D55" s="176">
        <v>0.2</v>
      </c>
      <c r="E55" s="176">
        <v>0.2</v>
      </c>
      <c r="F55" s="176">
        <v>0.1</v>
      </c>
      <c r="G55" s="176">
        <v>0.15</v>
      </c>
      <c r="H55" s="176">
        <f>SUMPRODUCT(Scenarios2[[#This Row],[SPY]:[PE]],_xlfn.TOROW(AssetSpecsScenario2[Annualized Return]))</f>
        <v>9.395416572356434E-2</v>
      </c>
      <c r="I55" s="176" cm="1">
        <f t="array" ref="I55">SQRT(MMULT(MMULT(Scenarios2[[#This Row],[SPY]:[PE]], 'Corr_Cov 36- Month'!$J$13:$N$17), TRANSPOSE(Scenarios2[[#This Row],[SPY]:[PE]])))</f>
        <v>7.5127128613537944E-2</v>
      </c>
      <c r="J55" s="177">
        <f>(Scenarios2[[#This Row],[Expected Return]]-RiskFree)/Scenarios2[[#This Row],[36M Vol]]</f>
        <v>0.62492219567604546</v>
      </c>
      <c r="K55" s="176" cm="1">
        <f t="array" ref="K55">MIN(_xlfn._xlws.FILTER(PortfolioFrontier[#Data],(PortfolioFrontier[#Headers]="P"&amp;Scenarios2[[#This Row],[Reference '#]]&amp;" DD")))</f>
        <v>-0.16162825703486428</v>
      </c>
      <c r="L55" s="176">
        <f>SUM(Scenarios2[[#This Row],[SPY]:[VNQ]])</f>
        <v>0.85</v>
      </c>
      <c r="M55" s="176">
        <f>SUM(Scenarios2[[#This Row],[SPY]:[PE]])</f>
        <v>1</v>
      </c>
      <c r="N55" s="175" t="b">
        <f>Scenarios2[[#This Row],[SPY]]&gt;=SpyMin</f>
        <v>1</v>
      </c>
      <c r="O55" s="175" t="b">
        <f>Scenarios2[[#This Row],[AGG]]&gt;=AGGMin</f>
        <v>1</v>
      </c>
      <c r="P55" s="175" t="b">
        <f>AND(Scenarios2[[#This Row],[GLD]]&gt;=GLDMin,Scenarios2[[#This Row],[GLD]]&lt;=GLDMax)</f>
        <v>1</v>
      </c>
      <c r="Q55" s="175" t="b">
        <f>Scenarios2[[#This Row],[VNQ]]&gt;=VNQMin</f>
        <v>1</v>
      </c>
      <c r="R55" s="175" t="b">
        <f>AND(Scenarios2[[#This Row],[PE]]&gt;=PEMin,Scenarios2[[#This Row],[PE]]&lt;=PEMax)</f>
        <v>1</v>
      </c>
      <c r="S55" s="175" t="b">
        <f>Scenarios2[[#This Row],[Liquid Assets]]&gt;=LiquidMin</f>
        <v>1</v>
      </c>
      <c r="T55" s="175" t="b">
        <f>AND(Scenarios2[[#This Row],[Expected Return]]&gt;=ExpectedReturnMin,Scenarios2[[#This Row],[Expected Return]]&lt;=ExpectedReturnMax)</f>
        <v>1</v>
      </c>
      <c r="U55" s="175" t="b">
        <f>Scenarios2[[#This Row],[Max Drawdown]]&gt;=DrawdownMax</f>
        <v>1</v>
      </c>
      <c r="V55" s="175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5" s="178">
        <f>_xlfn.XLOOKUP(Scenarios2[[#This Row],[Reference '#]],ScenariosCombined[Reference '#],ScenariosCombined[Sharpe Rank])</f>
        <v>5</v>
      </c>
      <c r="X55" s="175">
        <f>IF(Scenarios2[[#This Row],[Eligible]],COUNTIFS(Scenarios2[Sharpe],"&gt;"&amp;Scenarios2[[#This Row],[Sharpe]],Scenarios2[Eligible],TRUE())+COUNTIFS(Scenarios2[Sharpe],Scenarios2[[#This Row],[Sharpe]],Scenarios2[Eligible],TRUE()),"")</f>
        <v>5</v>
      </c>
      <c r="Y55" s="17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35/20/20/10/15</v>
      </c>
      <c r="Z55" s="180">
        <f>_xlfn.XLOOKUP(Scenarios2[[#This Row],[Reference '#]],Scenarios1[Reference '#],Scenarios1[Sharpe Rank])</f>
        <v>7</v>
      </c>
      <c r="AA55" s="180">
        <f>Scenarios2[[#This Row],[Sharpe Rank]]</f>
        <v>5</v>
      </c>
      <c r="AB55" s="180">
        <f>_xlfn.XLOOKUP(Scenarios2[[#This Row],[Reference '#]],Scenarios3[Reference '#],Scenarios3[Sharpe Rank])</f>
        <v>1</v>
      </c>
      <c r="AC55"/>
      <c r="AD55"/>
      <c r="AE55"/>
      <c r="AF55" s="34"/>
      <c r="AG55" s="34"/>
    </row>
    <row r="56" spans="2:33" s="15" customFormat="1" x14ac:dyDescent="0.2">
      <c r="B56" s="44">
        <v>46</v>
      </c>
      <c r="C56" s="68">
        <v>0.35</v>
      </c>
      <c r="D56" s="69">
        <v>0.2</v>
      </c>
      <c r="E56" s="69">
        <v>0.15</v>
      </c>
      <c r="F56" s="69">
        <v>0.2</v>
      </c>
      <c r="G56" s="69">
        <v>0.1</v>
      </c>
      <c r="H56" s="69">
        <f>SUMPRODUCT(Scenarios2[[#This Row],[SPY]:[PE]],_xlfn.TOROW(AssetSpecsScenario2[Annualized Return]))</f>
        <v>8.9825740303541832E-2</v>
      </c>
      <c r="I56" s="69" cm="1">
        <f t="array" ref="I56">SQRT(MMULT(MMULT(Scenarios2[[#This Row],[SPY]:[PE]], 'Corr_Cov 36- Month'!$J$13:$N$17), TRANSPOSE(Scenarios2[[#This Row],[SPY]:[PE]])))</f>
        <v>8.7430987481754693E-2</v>
      </c>
      <c r="J56" s="70">
        <f>(Scenarios2[[#This Row],[Expected Return]]-RiskFree)/Scenarios2[[#This Row],[36M Vol]]</f>
        <v>0.48975982064622225</v>
      </c>
      <c r="K56" s="69" cm="1">
        <f t="array" ref="K56">MIN(_xlfn._xlws.FILTER(PortfolioFrontier[#Data],(PortfolioFrontier[#Headers]="P"&amp;Scenarios2[[#This Row],[Reference '#]]&amp;" DD")))</f>
        <v>-0.18630131001666095</v>
      </c>
      <c r="L56" s="69">
        <f>SUM(Scenarios2[[#This Row],[SPY]:[VNQ]])</f>
        <v>0.90000000000000013</v>
      </c>
      <c r="M56" s="69">
        <f>SUM(Scenarios2[[#This Row],[SPY]:[PE]])</f>
        <v>1.0000000000000002</v>
      </c>
      <c r="N56" s="71" t="b">
        <f>Scenarios2[[#This Row],[SPY]]&gt;=SpyMin</f>
        <v>1</v>
      </c>
      <c r="O56" s="71" t="b">
        <f>Scenarios2[[#This Row],[AGG]]&gt;=AGGMin</f>
        <v>1</v>
      </c>
      <c r="P56" s="71" t="b">
        <f>AND(Scenarios2[[#This Row],[GLD]]&gt;=GLDMin,Scenarios2[[#This Row],[GLD]]&lt;=GLDMax)</f>
        <v>1</v>
      </c>
      <c r="Q56" s="71" t="b">
        <f>Scenarios2[[#This Row],[VNQ]]&gt;=VNQMin</f>
        <v>1</v>
      </c>
      <c r="R56" s="71" t="b">
        <f>AND(Scenarios2[[#This Row],[PE]]&gt;=PEMin,Scenarios2[[#This Row],[PE]]&lt;=PEMax)</f>
        <v>1</v>
      </c>
      <c r="S56" s="71" t="b">
        <f>Scenarios2[[#This Row],[Liquid Assets]]&gt;=LiquidMin</f>
        <v>1</v>
      </c>
      <c r="T56" s="71" t="b">
        <f>AND(Scenarios2[[#This Row],[Expected Return]]&gt;=ExpectedReturnMin,Scenarios2[[#This Row],[Expected Return]]&lt;=ExpectedReturnMax)</f>
        <v>1</v>
      </c>
      <c r="U56" s="71" t="b">
        <f>Scenarios2[[#This Row],[Max Drawdown]]&gt;=DrawdownMax</f>
        <v>1</v>
      </c>
      <c r="V5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6" s="46">
        <f>_xlfn.XLOOKUP(Scenarios2[[#This Row],[Reference '#]],ScenariosCombined[Reference '#],ScenariosCombined[Sharpe Rank])</f>
        <v>51</v>
      </c>
      <c r="X56" s="44">
        <f>IF(Scenarios2[[#This Row],[Eligible]],COUNTIFS(Scenarios2[Sharpe],"&gt;"&amp;Scenarios2[[#This Row],[Sharpe]],Scenarios2[Eligible],TRUE())+COUNTIFS(Scenarios2[Sharpe],Scenarios2[[#This Row],[Sharpe]],Scenarios2[Eligible],TRUE()),"")</f>
        <v>50</v>
      </c>
      <c r="Y5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35/20/15/20/10</v>
      </c>
      <c r="Z56">
        <f>_xlfn.XLOOKUP(Scenarios2[[#This Row],[Reference '#]],Scenarios1[Reference '#],Scenarios1[Sharpe Rank])</f>
        <v>50</v>
      </c>
      <c r="AA56">
        <f>Scenarios2[[#This Row],[Sharpe Rank]]</f>
        <v>50</v>
      </c>
      <c r="AB56">
        <f>_xlfn.XLOOKUP(Scenarios2[[#This Row],[Reference '#]],Scenarios3[Reference '#],Scenarios3[Sharpe Rank])</f>
        <v>49</v>
      </c>
      <c r="AC56"/>
      <c r="AD56"/>
      <c r="AE56"/>
      <c r="AF56" s="34"/>
      <c r="AG56" s="34"/>
    </row>
    <row r="57" spans="2:33" s="15" customFormat="1" x14ac:dyDescent="0.2">
      <c r="B57" s="44">
        <v>47</v>
      </c>
      <c r="C57" s="68">
        <v>0.35</v>
      </c>
      <c r="D57" s="69">
        <v>0.2</v>
      </c>
      <c r="E57" s="69">
        <v>0.15</v>
      </c>
      <c r="F57" s="69">
        <v>0.15</v>
      </c>
      <c r="G57" s="69">
        <v>0.15</v>
      </c>
      <c r="H57" s="69">
        <f>SUMPRODUCT(Scenarios2[[#This Row],[SPY]:[PE]],_xlfn.TOROW(AssetSpecsScenario2[Annualized Return]))</f>
        <v>8.9962446822488329E-2</v>
      </c>
      <c r="I57" s="69" cm="1">
        <f t="array" ref="I57">SQRT(MMULT(MMULT(Scenarios2[[#This Row],[SPY]:[PE]], 'Corr_Cov 36- Month'!$J$13:$N$17), TRANSPOSE(Scenarios2[[#This Row],[SPY]:[PE]])))</f>
        <v>7.9837684410467652E-2</v>
      </c>
      <c r="J57" s="70">
        <f>(Scenarios2[[#This Row],[Expected Return]]-RiskFree)/Scenarios2[[#This Row],[36M Vol]]</f>
        <v>0.53805282034583446</v>
      </c>
      <c r="K57" s="69" cm="1">
        <f t="array" ref="K57">MIN(_xlfn._xlws.FILTER(PortfolioFrontier[#Data],(PortfolioFrontier[#Headers]="P"&amp;Scenarios2[[#This Row],[Reference '#]]&amp;" DD")))</f>
        <v>-0.17187256847840193</v>
      </c>
      <c r="L57" s="69">
        <f>SUM(Scenarios2[[#This Row],[SPY]:[VNQ]])</f>
        <v>0.85000000000000009</v>
      </c>
      <c r="M57" s="69">
        <f>SUM(Scenarios2[[#This Row],[SPY]:[PE]])</f>
        <v>1</v>
      </c>
      <c r="N57" s="71" t="b">
        <f>Scenarios2[[#This Row],[SPY]]&gt;=SpyMin</f>
        <v>1</v>
      </c>
      <c r="O57" s="71" t="b">
        <f>Scenarios2[[#This Row],[AGG]]&gt;=AGGMin</f>
        <v>1</v>
      </c>
      <c r="P57" s="71" t="b">
        <f>AND(Scenarios2[[#This Row],[GLD]]&gt;=GLDMin,Scenarios2[[#This Row],[GLD]]&lt;=GLDMax)</f>
        <v>1</v>
      </c>
      <c r="Q57" s="71" t="b">
        <f>Scenarios2[[#This Row],[VNQ]]&gt;=VNQMin</f>
        <v>1</v>
      </c>
      <c r="R57" s="71" t="b">
        <f>AND(Scenarios2[[#This Row],[PE]]&gt;=PEMin,Scenarios2[[#This Row],[PE]]&lt;=PEMax)</f>
        <v>1</v>
      </c>
      <c r="S57" s="71" t="b">
        <f>Scenarios2[[#This Row],[Liquid Assets]]&gt;=LiquidMin</f>
        <v>1</v>
      </c>
      <c r="T57" s="71" t="b">
        <f>AND(Scenarios2[[#This Row],[Expected Return]]&gt;=ExpectedReturnMin,Scenarios2[[#This Row],[Expected Return]]&lt;=ExpectedReturnMax)</f>
        <v>1</v>
      </c>
      <c r="U57" s="71" t="b">
        <f>Scenarios2[[#This Row],[Max Drawdown]]&gt;=DrawdownMax</f>
        <v>1</v>
      </c>
      <c r="V5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7" s="46">
        <f>_xlfn.XLOOKUP(Scenarios2[[#This Row],[Reference '#]],ScenariosCombined[Reference '#],ScenariosCombined[Sharpe Rank])</f>
        <v>29</v>
      </c>
      <c r="X57" s="44">
        <f>IF(Scenarios2[[#This Row],[Eligible]],COUNTIFS(Scenarios2[Sharpe],"&gt;"&amp;Scenarios2[[#This Row],[Sharpe]],Scenarios2[Eligible],TRUE())+COUNTIFS(Scenarios2[Sharpe],Scenarios2[[#This Row],[Sharpe]],Scenarios2[Eligible],TRUE()),"")</f>
        <v>30</v>
      </c>
      <c r="Y5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35/20/15/15/15</v>
      </c>
      <c r="Z57">
        <f>_xlfn.XLOOKUP(Scenarios2[[#This Row],[Reference '#]],Scenarios1[Reference '#],Scenarios1[Sharpe Rank])</f>
        <v>32</v>
      </c>
      <c r="AA57">
        <f>Scenarios2[[#This Row],[Sharpe Rank]]</f>
        <v>30</v>
      </c>
      <c r="AB57">
        <f>_xlfn.XLOOKUP(Scenarios2[[#This Row],[Reference '#]],Scenarios3[Reference '#],Scenarios3[Sharpe Rank])</f>
        <v>22</v>
      </c>
      <c r="AC57"/>
      <c r="AD57"/>
      <c r="AE57"/>
      <c r="AF57" s="34"/>
      <c r="AG57" s="34"/>
    </row>
    <row r="58" spans="2:33" s="15" customFormat="1" x14ac:dyDescent="0.2">
      <c r="B58" s="44">
        <v>48</v>
      </c>
      <c r="C58" s="68">
        <v>0.35</v>
      </c>
      <c r="D58" s="69">
        <v>0.2</v>
      </c>
      <c r="E58" s="69">
        <v>0.15</v>
      </c>
      <c r="F58" s="69">
        <v>0.1</v>
      </c>
      <c r="G58" s="69">
        <v>0.2</v>
      </c>
      <c r="H58" s="69">
        <f>SUMPRODUCT(Scenarios2[[#This Row],[SPY]:[PE]],_xlfn.TOROW(AssetSpecsScenario2[Annualized Return]))</f>
        <v>9.0099153341434826E-2</v>
      </c>
      <c r="I58" s="69" cm="1">
        <f t="array" ref="I58">SQRT(MMULT(MMULT(Scenarios2[[#This Row],[SPY]:[PE]], 'Corr_Cov 36- Month'!$J$13:$N$17), TRANSPOSE(Scenarios2[[#This Row],[SPY]:[PE]])))</f>
        <v>7.2718897635541749E-2</v>
      </c>
      <c r="J58" s="70">
        <f>(Scenarios2[[#This Row],[Expected Return]]-RiskFree)/Scenarios2[[#This Row],[36M Vol]]</f>
        <v>0.59260521249729525</v>
      </c>
      <c r="K58" s="69" cm="1">
        <f t="array" ref="K58">MIN(_xlfn._xlws.FILTER(PortfolioFrontier[#Data],(PortfolioFrontier[#Headers]="P"&amp;Scenarios2[[#This Row],[Reference '#]]&amp;" DD")))</f>
        <v>-0.15732759310777245</v>
      </c>
      <c r="L58" s="69">
        <f>SUM(Scenarios2[[#This Row],[SPY]:[VNQ]])</f>
        <v>0.8</v>
      </c>
      <c r="M58" s="69">
        <f>SUM(Scenarios2[[#This Row],[SPY]:[PE]])</f>
        <v>1</v>
      </c>
      <c r="N58" s="71" t="b">
        <f>Scenarios2[[#This Row],[SPY]]&gt;=SpyMin</f>
        <v>1</v>
      </c>
      <c r="O58" s="71" t="b">
        <f>Scenarios2[[#This Row],[AGG]]&gt;=AGGMin</f>
        <v>1</v>
      </c>
      <c r="P58" s="71" t="b">
        <f>AND(Scenarios2[[#This Row],[GLD]]&gt;=GLDMin,Scenarios2[[#This Row],[GLD]]&lt;=GLDMax)</f>
        <v>1</v>
      </c>
      <c r="Q58" s="71" t="b">
        <f>Scenarios2[[#This Row],[VNQ]]&gt;=VNQMin</f>
        <v>1</v>
      </c>
      <c r="R58" s="71" t="b">
        <f>AND(Scenarios2[[#This Row],[PE]]&gt;=PEMin,Scenarios2[[#This Row],[PE]]&lt;=PEMax)</f>
        <v>1</v>
      </c>
      <c r="S58" s="71" t="b">
        <f>Scenarios2[[#This Row],[Liquid Assets]]&gt;=LiquidMin</f>
        <v>1</v>
      </c>
      <c r="T58" s="71" t="b">
        <f>AND(Scenarios2[[#This Row],[Expected Return]]&gt;=ExpectedReturnMin,Scenarios2[[#This Row],[Expected Return]]&lt;=ExpectedReturnMax)</f>
        <v>1</v>
      </c>
      <c r="U58" s="71" t="b">
        <f>Scenarios2[[#This Row],[Max Drawdown]]&gt;=DrawdownMax</f>
        <v>1</v>
      </c>
      <c r="V5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8" s="46">
        <f>_xlfn.XLOOKUP(Scenarios2[[#This Row],[Reference '#]],ScenariosCombined[Reference '#],ScenariosCombined[Sharpe Rank])</f>
        <v>11</v>
      </c>
      <c r="X58" s="44">
        <f>IF(Scenarios2[[#This Row],[Eligible]],COUNTIFS(Scenarios2[Sharpe],"&gt;"&amp;Scenarios2[[#This Row],[Sharpe]],Scenarios2[Eligible],TRUE())+COUNTIFS(Scenarios2[Sharpe],Scenarios2[[#This Row],[Sharpe]],Scenarios2[Eligible],TRUE()),"")</f>
        <v>11</v>
      </c>
      <c r="Y5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35/20/15/10/20</v>
      </c>
      <c r="Z58">
        <f>_xlfn.XLOOKUP(Scenarios2[[#This Row],[Reference '#]],Scenarios1[Reference '#],Scenarios1[Sharpe Rank])</f>
        <v>14</v>
      </c>
      <c r="AA58">
        <f>Scenarios2[[#This Row],[Sharpe Rank]]</f>
        <v>11</v>
      </c>
      <c r="AB58">
        <f>_xlfn.XLOOKUP(Scenarios2[[#This Row],[Reference '#]],Scenarios3[Reference '#],Scenarios3[Sharpe Rank])</f>
        <v>4</v>
      </c>
      <c r="AC58"/>
      <c r="AD58"/>
      <c r="AE58"/>
      <c r="AF58" s="34"/>
      <c r="AG58" s="34"/>
    </row>
    <row r="59" spans="2:33" s="15" customFormat="1" x14ac:dyDescent="0.2">
      <c r="B59" s="44">
        <v>49</v>
      </c>
      <c r="C59" s="68">
        <v>0.35</v>
      </c>
      <c r="D59" s="69">
        <v>0.2</v>
      </c>
      <c r="E59" s="69">
        <v>0.1</v>
      </c>
      <c r="F59" s="69">
        <v>0.25</v>
      </c>
      <c r="G59" s="69">
        <v>0.1</v>
      </c>
      <c r="H59" s="69">
        <f>SUMPRODUCT(Scenarios2[[#This Row],[SPY]:[PE]],_xlfn.TOROW(AssetSpecsScenario2[Annualized Return]))</f>
        <v>8.5834021402465793E-2</v>
      </c>
      <c r="I59" s="69" cm="1">
        <f t="array" ref="I59">SQRT(MMULT(MMULT(Scenarios2[[#This Row],[SPY]:[PE]], 'Corr_Cov 36- Month'!$J$13:$N$17), TRANSPOSE(Scenarios2[[#This Row],[SPY]:[PE]])))</f>
        <v>9.332291975596492E-2</v>
      </c>
      <c r="J59" s="70">
        <f>(Scenarios2[[#This Row],[Expected Return]]-RiskFree)/Scenarios2[[#This Row],[36M Vol]]</f>
        <v>0.41606569906347624</v>
      </c>
      <c r="K59" s="69" cm="1">
        <f t="array" ref="K59">MIN(_xlfn._xlws.FILTER(PortfolioFrontier[#Data],(PortfolioFrontier[#Headers]="P"&amp;Scenarios2[[#This Row],[Reference '#]]&amp;" DD")))</f>
        <v>-0.19644374610144166</v>
      </c>
      <c r="L59" s="69">
        <f>SUM(Scenarios2[[#This Row],[SPY]:[VNQ]])</f>
        <v>0.9</v>
      </c>
      <c r="M59" s="69">
        <f>SUM(Scenarios2[[#This Row],[SPY]:[PE]])</f>
        <v>1</v>
      </c>
      <c r="N59" s="71" t="b">
        <f>Scenarios2[[#This Row],[SPY]]&gt;=SpyMin</f>
        <v>1</v>
      </c>
      <c r="O59" s="71" t="b">
        <f>Scenarios2[[#This Row],[AGG]]&gt;=AGGMin</f>
        <v>1</v>
      </c>
      <c r="P59" s="71" t="b">
        <f>AND(Scenarios2[[#This Row],[GLD]]&gt;=GLDMin,Scenarios2[[#This Row],[GLD]]&lt;=GLDMax)</f>
        <v>1</v>
      </c>
      <c r="Q59" s="71" t="b">
        <f>Scenarios2[[#This Row],[VNQ]]&gt;=VNQMin</f>
        <v>1</v>
      </c>
      <c r="R59" s="71" t="b">
        <f>AND(Scenarios2[[#This Row],[PE]]&gt;=PEMin,Scenarios2[[#This Row],[PE]]&lt;=PEMax)</f>
        <v>1</v>
      </c>
      <c r="S59" s="71" t="b">
        <f>Scenarios2[[#This Row],[Liquid Assets]]&gt;=LiquidMin</f>
        <v>1</v>
      </c>
      <c r="T59" s="71" t="b">
        <f>AND(Scenarios2[[#This Row],[Expected Return]]&gt;=ExpectedReturnMin,Scenarios2[[#This Row],[Expected Return]]&lt;=ExpectedReturnMax)</f>
        <v>1</v>
      </c>
      <c r="U59" s="71" t="b">
        <f>Scenarios2[[#This Row],[Max Drawdown]]&gt;=DrawdownMax</f>
        <v>1</v>
      </c>
      <c r="V5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59" s="46">
        <f>_xlfn.XLOOKUP(Scenarios2[[#This Row],[Reference '#]],ScenariosCombined[Reference '#],ScenariosCombined[Sharpe Rank])</f>
        <v>85</v>
      </c>
      <c r="X59" s="44">
        <f>IF(Scenarios2[[#This Row],[Eligible]],COUNTIFS(Scenarios2[Sharpe],"&gt;"&amp;Scenarios2[[#This Row],[Sharpe]],Scenarios2[Eligible],TRUE())+COUNTIFS(Scenarios2[Sharpe],Scenarios2[[#This Row],[Sharpe]],Scenarios2[Eligible],TRUE()),"")</f>
        <v>83</v>
      </c>
      <c r="Y5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35/20/10/25/10</v>
      </c>
      <c r="Z59">
        <f>_xlfn.XLOOKUP(Scenarios2[[#This Row],[Reference '#]],Scenarios1[Reference '#],Scenarios1[Sharpe Rank])</f>
        <v>83</v>
      </c>
      <c r="AA59">
        <f>Scenarios2[[#This Row],[Sharpe Rank]]</f>
        <v>83</v>
      </c>
      <c r="AB59">
        <f>_xlfn.XLOOKUP(Scenarios2[[#This Row],[Reference '#]],Scenarios3[Reference '#],Scenarios3[Sharpe Rank])</f>
        <v>82</v>
      </c>
      <c r="AC59"/>
      <c r="AD59"/>
      <c r="AE59"/>
      <c r="AF59" s="34"/>
      <c r="AG59" s="34"/>
    </row>
    <row r="60" spans="2:33" s="15" customFormat="1" x14ac:dyDescent="0.2">
      <c r="B60" s="44">
        <v>50</v>
      </c>
      <c r="C60" s="68">
        <v>0.35</v>
      </c>
      <c r="D60" s="69">
        <v>0.2</v>
      </c>
      <c r="E60" s="69">
        <v>0.1</v>
      </c>
      <c r="F60" s="69">
        <v>0.2</v>
      </c>
      <c r="G60" s="69">
        <v>0.15</v>
      </c>
      <c r="H60" s="69">
        <f>SUMPRODUCT(Scenarios2[[#This Row],[SPY]:[PE]],_xlfn.TOROW(AssetSpecsScenario2[Annualized Return]))</f>
        <v>8.597072792141229E-2</v>
      </c>
      <c r="I60" s="69" cm="1">
        <f t="array" ref="I60">SQRT(MMULT(MMULT(Scenarios2[[#This Row],[SPY]:[PE]], 'Corr_Cov 36- Month'!$J$13:$N$17), TRANSPOSE(Scenarios2[[#This Row],[SPY]:[PE]])))</f>
        <v>8.5489600929792478E-2</v>
      </c>
      <c r="J60" s="70">
        <f>(Scenarios2[[#This Row],[Expected Return]]-RiskFree)/Scenarios2[[#This Row],[36M Vol]]</f>
        <v>0.45578844610418195</v>
      </c>
      <c r="K60" s="69" cm="1">
        <f t="array" ref="K60">MIN(_xlfn._xlws.FILTER(PortfolioFrontier[#Data],(PortfolioFrontier[#Headers]="P"&amp;Scenarios2[[#This Row],[Reference '#]]&amp;" DD")))</f>
        <v>-0.18208883977532875</v>
      </c>
      <c r="L60" s="69">
        <f>SUM(Scenarios2[[#This Row],[SPY]:[VNQ]])</f>
        <v>0.85000000000000009</v>
      </c>
      <c r="M60" s="69">
        <f>SUM(Scenarios2[[#This Row],[SPY]:[PE]])</f>
        <v>1</v>
      </c>
      <c r="N60" s="71" t="b">
        <f>Scenarios2[[#This Row],[SPY]]&gt;=SpyMin</f>
        <v>1</v>
      </c>
      <c r="O60" s="71" t="b">
        <f>Scenarios2[[#This Row],[AGG]]&gt;=AGGMin</f>
        <v>1</v>
      </c>
      <c r="P60" s="71" t="b">
        <f>AND(Scenarios2[[#This Row],[GLD]]&gt;=GLDMin,Scenarios2[[#This Row],[GLD]]&lt;=GLDMax)</f>
        <v>1</v>
      </c>
      <c r="Q60" s="71" t="b">
        <f>Scenarios2[[#This Row],[VNQ]]&gt;=VNQMin</f>
        <v>1</v>
      </c>
      <c r="R60" s="71" t="b">
        <f>AND(Scenarios2[[#This Row],[PE]]&gt;=PEMin,Scenarios2[[#This Row],[PE]]&lt;=PEMax)</f>
        <v>1</v>
      </c>
      <c r="S60" s="71" t="b">
        <f>Scenarios2[[#This Row],[Liquid Assets]]&gt;=LiquidMin</f>
        <v>1</v>
      </c>
      <c r="T60" s="71" t="b">
        <f>AND(Scenarios2[[#This Row],[Expected Return]]&gt;=ExpectedReturnMin,Scenarios2[[#This Row],[Expected Return]]&lt;=ExpectedReturnMax)</f>
        <v>1</v>
      </c>
      <c r="U60" s="71" t="b">
        <f>Scenarios2[[#This Row],[Max Drawdown]]&gt;=DrawdownMax</f>
        <v>1</v>
      </c>
      <c r="V6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0" s="46">
        <f>_xlfn.XLOOKUP(Scenarios2[[#This Row],[Reference '#]],ScenariosCombined[Reference '#],ScenariosCombined[Sharpe Rank])</f>
        <v>63</v>
      </c>
      <c r="X60" s="44">
        <f>IF(Scenarios2[[#This Row],[Eligible]],COUNTIFS(Scenarios2[Sharpe],"&gt;"&amp;Scenarios2[[#This Row],[Sharpe]],Scenarios2[Eligible],TRUE())+COUNTIFS(Scenarios2[Sharpe],Scenarios2[[#This Row],[Sharpe]],Scenarios2[Eligible],TRUE()),"")</f>
        <v>63</v>
      </c>
      <c r="Y6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35/20/10/20/15</v>
      </c>
      <c r="Z60">
        <f>_xlfn.XLOOKUP(Scenarios2[[#This Row],[Reference '#]],Scenarios1[Reference '#],Scenarios1[Sharpe Rank])</f>
        <v>65</v>
      </c>
      <c r="AA60">
        <f>Scenarios2[[#This Row],[Sharpe Rank]]</f>
        <v>63</v>
      </c>
      <c r="AB60">
        <f>_xlfn.XLOOKUP(Scenarios2[[#This Row],[Reference '#]],Scenarios3[Reference '#],Scenarios3[Sharpe Rank])</f>
        <v>59</v>
      </c>
      <c r="AC60"/>
      <c r="AD60"/>
      <c r="AE60"/>
      <c r="AF60" s="34"/>
      <c r="AG60" s="34"/>
    </row>
    <row r="61" spans="2:33" s="15" customFormat="1" x14ac:dyDescent="0.2">
      <c r="B61" s="44">
        <v>51</v>
      </c>
      <c r="C61" s="68">
        <v>0.35</v>
      </c>
      <c r="D61" s="69">
        <v>0.2</v>
      </c>
      <c r="E61" s="69">
        <v>0.1</v>
      </c>
      <c r="F61" s="69">
        <v>0.15</v>
      </c>
      <c r="G61" s="69">
        <v>0.2</v>
      </c>
      <c r="H61" s="69">
        <f>SUMPRODUCT(Scenarios2[[#This Row],[SPY]:[PE]],_xlfn.TOROW(AssetSpecsScenario2[Annualized Return]))</f>
        <v>8.6107434440358802E-2</v>
      </c>
      <c r="I61" s="69" cm="1">
        <f t="array" ref="I61">SQRT(MMULT(MMULT(Scenarios2[[#This Row],[SPY]:[PE]], 'Corr_Cov 36- Month'!$J$13:$N$17), TRANSPOSE(Scenarios2[[#This Row],[SPY]:[PE]])))</f>
        <v>7.8050498549364591E-2</v>
      </c>
      <c r="J61" s="70">
        <f>(Scenarios2[[#This Row],[Expected Return]]-RiskFree)/Scenarios2[[#This Row],[36M Vol]]</f>
        <v>0.50098179526774567</v>
      </c>
      <c r="K61" s="69" cm="1">
        <f t="array" ref="K61">MIN(_xlfn._xlws.FILTER(PortfolioFrontier[#Data],(PortfolioFrontier[#Headers]="P"&amp;Scenarios2[[#This Row],[Reference '#]]&amp;" DD")))</f>
        <v>-0.16761603397906266</v>
      </c>
      <c r="L61" s="69">
        <f>SUM(Scenarios2[[#This Row],[SPY]:[VNQ]])</f>
        <v>0.8</v>
      </c>
      <c r="M61" s="69">
        <f>SUM(Scenarios2[[#This Row],[SPY]:[PE]])</f>
        <v>1</v>
      </c>
      <c r="N61" s="71" t="b">
        <f>Scenarios2[[#This Row],[SPY]]&gt;=SpyMin</f>
        <v>1</v>
      </c>
      <c r="O61" s="71" t="b">
        <f>Scenarios2[[#This Row],[AGG]]&gt;=AGGMin</f>
        <v>1</v>
      </c>
      <c r="P61" s="71" t="b">
        <f>AND(Scenarios2[[#This Row],[GLD]]&gt;=GLDMin,Scenarios2[[#This Row],[GLD]]&lt;=GLDMax)</f>
        <v>1</v>
      </c>
      <c r="Q61" s="71" t="b">
        <f>Scenarios2[[#This Row],[VNQ]]&gt;=VNQMin</f>
        <v>1</v>
      </c>
      <c r="R61" s="71" t="b">
        <f>AND(Scenarios2[[#This Row],[PE]]&gt;=PEMin,Scenarios2[[#This Row],[PE]]&lt;=PEMax)</f>
        <v>1</v>
      </c>
      <c r="S61" s="71" t="b">
        <f>Scenarios2[[#This Row],[Liquid Assets]]&gt;=LiquidMin</f>
        <v>1</v>
      </c>
      <c r="T61" s="71" t="b">
        <f>AND(Scenarios2[[#This Row],[Expected Return]]&gt;=ExpectedReturnMin,Scenarios2[[#This Row],[Expected Return]]&lt;=ExpectedReturnMax)</f>
        <v>1</v>
      </c>
      <c r="U61" s="71" t="b">
        <f>Scenarios2[[#This Row],[Max Drawdown]]&gt;=DrawdownMax</f>
        <v>1</v>
      </c>
      <c r="V6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1" s="46">
        <f>_xlfn.XLOOKUP(Scenarios2[[#This Row],[Reference '#]],ScenariosCombined[Reference '#],ScenariosCombined[Sharpe Rank])</f>
        <v>42</v>
      </c>
      <c r="X61" s="44">
        <f>IF(Scenarios2[[#This Row],[Eligible]],COUNTIFS(Scenarios2[Sharpe],"&gt;"&amp;Scenarios2[[#This Row],[Sharpe]],Scenarios2[Eligible],TRUE())+COUNTIFS(Scenarios2[Sharpe],Scenarios2[[#This Row],[Sharpe]],Scenarios2[Eligible],TRUE()),"")</f>
        <v>45</v>
      </c>
      <c r="Y6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35/20/10/15/20</v>
      </c>
      <c r="Z61">
        <f>_xlfn.XLOOKUP(Scenarios2[[#This Row],[Reference '#]],Scenarios1[Reference '#],Scenarios1[Sharpe Rank])</f>
        <v>48</v>
      </c>
      <c r="AA61">
        <f>Scenarios2[[#This Row],[Sharpe Rank]]</f>
        <v>45</v>
      </c>
      <c r="AB61">
        <f>_xlfn.XLOOKUP(Scenarios2[[#This Row],[Reference '#]],Scenarios3[Reference '#],Scenarios3[Sharpe Rank])</f>
        <v>31</v>
      </c>
      <c r="AC61"/>
      <c r="AD61"/>
      <c r="AE61"/>
      <c r="AF61" s="34"/>
      <c r="AG61" s="34"/>
    </row>
    <row r="62" spans="2:33" s="15" customFormat="1" x14ac:dyDescent="0.2">
      <c r="B62" s="44">
        <v>52</v>
      </c>
      <c r="C62" s="68">
        <v>0.35</v>
      </c>
      <c r="D62" s="69">
        <v>0.15</v>
      </c>
      <c r="E62" s="69">
        <v>0.2</v>
      </c>
      <c r="F62" s="69">
        <v>0.2</v>
      </c>
      <c r="G62" s="69">
        <v>0.1</v>
      </c>
      <c r="H62" s="69">
        <f>SUMPRODUCT(Scenarios2[[#This Row],[SPY]:[PE]],_xlfn.TOROW(AssetSpecsScenario2[Annualized Return]))</f>
        <v>9.5401198550781316E-2</v>
      </c>
      <c r="I62" s="69" cm="1">
        <f t="array" ref="I62">SQRT(MMULT(MMULT(Scenarios2[[#This Row],[SPY]:[PE]], 'Corr_Cov 36- Month'!$J$13:$N$17), TRANSPOSE(Scenarios2[[#This Row],[SPY]:[PE]])))</f>
        <v>8.7517474227068542E-2</v>
      </c>
      <c r="J62" s="70">
        <f>(Scenarios2[[#This Row],[Expected Return]]-RiskFree)/Scenarios2[[#This Row],[36M Vol]]</f>
        <v>0.55298262915655916</v>
      </c>
      <c r="K62" s="69" cm="1">
        <f t="array" ref="K62">MIN(_xlfn._xlws.FILTER(PortfolioFrontier[#Data],(PortfolioFrontier[#Headers]="P"&amp;Scenarios2[[#This Row],[Reference '#]]&amp;" DD")))</f>
        <v>-0.18388293935893474</v>
      </c>
      <c r="L62" s="69">
        <f>SUM(Scenarios2[[#This Row],[SPY]:[VNQ]])</f>
        <v>0.89999999999999991</v>
      </c>
      <c r="M62" s="69">
        <f>SUM(Scenarios2[[#This Row],[SPY]:[PE]])</f>
        <v>0.99999999999999989</v>
      </c>
      <c r="N62" s="71" t="b">
        <f>Scenarios2[[#This Row],[SPY]]&gt;=SpyMin</f>
        <v>1</v>
      </c>
      <c r="O62" s="71" t="b">
        <f>Scenarios2[[#This Row],[AGG]]&gt;=AGGMin</f>
        <v>1</v>
      </c>
      <c r="P62" s="71" t="b">
        <f>AND(Scenarios2[[#This Row],[GLD]]&gt;=GLDMin,Scenarios2[[#This Row],[GLD]]&lt;=GLDMax)</f>
        <v>1</v>
      </c>
      <c r="Q62" s="71" t="b">
        <f>Scenarios2[[#This Row],[VNQ]]&gt;=VNQMin</f>
        <v>1</v>
      </c>
      <c r="R62" s="71" t="b">
        <f>AND(Scenarios2[[#This Row],[PE]]&gt;=PEMin,Scenarios2[[#This Row],[PE]]&lt;=PEMax)</f>
        <v>1</v>
      </c>
      <c r="S62" s="71" t="b">
        <f>Scenarios2[[#This Row],[Liquid Assets]]&gt;=LiquidMin</f>
        <v>1</v>
      </c>
      <c r="T62" s="71" t="b">
        <f>AND(Scenarios2[[#This Row],[Expected Return]]&gt;=ExpectedReturnMin,Scenarios2[[#This Row],[Expected Return]]&lt;=ExpectedReturnMax)</f>
        <v>1</v>
      </c>
      <c r="U62" s="71" t="b">
        <f>Scenarios2[[#This Row],[Max Drawdown]]&gt;=DrawdownMax</f>
        <v>1</v>
      </c>
      <c r="V6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2" s="46">
        <f>_xlfn.XLOOKUP(Scenarios2[[#This Row],[Reference '#]],ScenariosCombined[Reference '#],ScenariosCombined[Sharpe Rank])</f>
        <v>25</v>
      </c>
      <c r="X62" s="44">
        <f>IF(Scenarios2[[#This Row],[Eligible]],COUNTIFS(Scenarios2[Sharpe],"&gt;"&amp;Scenarios2[[#This Row],[Sharpe]],Scenarios2[Eligible],TRUE())+COUNTIFS(Scenarios2[Sharpe],Scenarios2[[#This Row],[Sharpe]],Scenarios2[Eligible],TRUE()),"")</f>
        <v>25</v>
      </c>
      <c r="Y6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35/15/20/20/10</v>
      </c>
      <c r="Z62">
        <f>_xlfn.XLOOKUP(Scenarios2[[#This Row],[Reference '#]],Scenarios1[Reference '#],Scenarios1[Sharpe Rank])</f>
        <v>25</v>
      </c>
      <c r="AA62">
        <f>Scenarios2[[#This Row],[Sharpe Rank]]</f>
        <v>25</v>
      </c>
      <c r="AB62">
        <f>_xlfn.XLOOKUP(Scenarios2[[#This Row],[Reference '#]],Scenarios3[Reference '#],Scenarios3[Sharpe Rank])</f>
        <v>24</v>
      </c>
      <c r="AC62"/>
      <c r="AD62"/>
      <c r="AE62"/>
      <c r="AF62" s="34"/>
      <c r="AG62" s="34"/>
    </row>
    <row r="63" spans="2:33" s="15" customFormat="1" x14ac:dyDescent="0.2">
      <c r="B63" s="44">
        <v>53</v>
      </c>
      <c r="C63" s="68">
        <v>0.35</v>
      </c>
      <c r="D63" s="69">
        <v>0.15</v>
      </c>
      <c r="E63" s="69">
        <v>0.2</v>
      </c>
      <c r="F63" s="69">
        <v>0.15</v>
      </c>
      <c r="G63" s="69">
        <v>0.15</v>
      </c>
      <c r="H63" s="69">
        <f>SUMPRODUCT(Scenarios2[[#This Row],[SPY]:[PE]],_xlfn.TOROW(AssetSpecsScenario2[Annualized Return]))</f>
        <v>9.5537905069727813E-2</v>
      </c>
      <c r="I63" s="69" cm="1">
        <f t="array" ref="I63">SQRT(MMULT(MMULT(Scenarios2[[#This Row],[SPY]:[PE]], 'Corr_Cov 36- Month'!$J$13:$N$17), TRANSPOSE(Scenarios2[[#This Row],[SPY]:[PE]])))</f>
        <v>8.0027720134087321E-2</v>
      </c>
      <c r="J63" s="70">
        <f>(Scenarios2[[#This Row],[Expected Return]]-RiskFree)/Scenarios2[[#This Row],[36M Vol]]</f>
        <v>0.60644423498327549</v>
      </c>
      <c r="K63" s="69" cm="1">
        <f t="array" ref="K63">MIN(_xlfn._xlws.FILTER(PortfolioFrontier[#Data],(PortfolioFrontier[#Headers]="P"&amp;Scenarios2[[#This Row],[Reference '#]]&amp;" DD")))</f>
        <v>-0.16942426563268254</v>
      </c>
      <c r="L63" s="69">
        <f>SUM(Scenarios2[[#This Row],[SPY]:[VNQ]])</f>
        <v>0.85</v>
      </c>
      <c r="M63" s="69">
        <f>SUM(Scenarios2[[#This Row],[SPY]:[PE]])</f>
        <v>1</v>
      </c>
      <c r="N63" s="71" t="b">
        <f>Scenarios2[[#This Row],[SPY]]&gt;=SpyMin</f>
        <v>1</v>
      </c>
      <c r="O63" s="71" t="b">
        <f>Scenarios2[[#This Row],[AGG]]&gt;=AGGMin</f>
        <v>1</v>
      </c>
      <c r="P63" s="71" t="b">
        <f>AND(Scenarios2[[#This Row],[GLD]]&gt;=GLDMin,Scenarios2[[#This Row],[GLD]]&lt;=GLDMax)</f>
        <v>1</v>
      </c>
      <c r="Q63" s="71" t="b">
        <f>Scenarios2[[#This Row],[VNQ]]&gt;=VNQMin</f>
        <v>1</v>
      </c>
      <c r="R63" s="71" t="b">
        <f>AND(Scenarios2[[#This Row],[PE]]&gt;=PEMin,Scenarios2[[#This Row],[PE]]&lt;=PEMax)</f>
        <v>1</v>
      </c>
      <c r="S63" s="71" t="b">
        <f>Scenarios2[[#This Row],[Liquid Assets]]&gt;=LiquidMin</f>
        <v>1</v>
      </c>
      <c r="T63" s="71" t="b">
        <f>AND(Scenarios2[[#This Row],[Expected Return]]&gt;=ExpectedReturnMin,Scenarios2[[#This Row],[Expected Return]]&lt;=ExpectedReturnMax)</f>
        <v>1</v>
      </c>
      <c r="U63" s="71" t="b">
        <f>Scenarios2[[#This Row],[Max Drawdown]]&gt;=DrawdownMax</f>
        <v>1</v>
      </c>
      <c r="V6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3" s="46">
        <f>_xlfn.XLOOKUP(Scenarios2[[#This Row],[Reference '#]],ScenariosCombined[Reference '#],ScenariosCombined[Sharpe Rank])</f>
        <v>8</v>
      </c>
      <c r="X63" s="44">
        <f>IF(Scenarios2[[#This Row],[Eligible]],COUNTIFS(Scenarios2[Sharpe],"&gt;"&amp;Scenarios2[[#This Row],[Sharpe]],Scenarios2[Eligible],TRUE())+COUNTIFS(Scenarios2[Sharpe],Scenarios2[[#This Row],[Sharpe]],Scenarios2[Eligible],TRUE()),"")</f>
        <v>8</v>
      </c>
      <c r="Y6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35/15/20/15/15</v>
      </c>
      <c r="Z63">
        <f>_xlfn.XLOOKUP(Scenarios2[[#This Row],[Reference '#]],Scenarios1[Reference '#],Scenarios1[Sharpe Rank])</f>
        <v>10</v>
      </c>
      <c r="AA63">
        <f>Scenarios2[[#This Row],[Sharpe Rank]]</f>
        <v>8</v>
      </c>
      <c r="AB63">
        <f>_xlfn.XLOOKUP(Scenarios2[[#This Row],[Reference '#]],Scenarios3[Reference '#],Scenarios3[Sharpe Rank])</f>
        <v>5</v>
      </c>
      <c r="AC63"/>
      <c r="AD63"/>
      <c r="AE63"/>
      <c r="AF63" s="34"/>
      <c r="AG63" s="34"/>
    </row>
    <row r="64" spans="2:33" s="15" customFormat="1" x14ac:dyDescent="0.2">
      <c r="B64" s="175">
        <v>54</v>
      </c>
      <c r="C64" s="176">
        <v>0.35</v>
      </c>
      <c r="D64" s="176">
        <v>0.15</v>
      </c>
      <c r="E64" s="176">
        <v>0.2</v>
      </c>
      <c r="F64" s="176">
        <v>0.1</v>
      </c>
      <c r="G64" s="176">
        <v>0.2</v>
      </c>
      <c r="H64" s="176">
        <f>SUMPRODUCT(Scenarios2[[#This Row],[SPY]:[PE]],_xlfn.TOROW(AssetSpecsScenario2[Annualized Return]))</f>
        <v>9.567461158867431E-2</v>
      </c>
      <c r="I64" s="176" cm="1">
        <f t="array" ref="I64">SQRT(MMULT(MMULT(Scenarios2[[#This Row],[SPY]:[PE]], 'Corr_Cov 36- Month'!$J$13:$N$17), TRANSPOSE(Scenarios2[[#This Row],[SPY]:[PE]])))</f>
        <v>7.3031963043220252E-2</v>
      </c>
      <c r="J64" s="177">
        <f>(Scenarios2[[#This Row],[Expected Return]]-RiskFree)/Scenarios2[[#This Row],[36M Vol]]</f>
        <v>0.66640761120328174</v>
      </c>
      <c r="K64" s="176" cm="1">
        <f t="array" ref="K64">MIN(_xlfn._xlws.FILTER(PortfolioFrontier[#Data],(PortfolioFrontier[#Headers]="P"&amp;Scenarios2[[#This Row],[Reference '#]]&amp;" DD")))</f>
        <v>-0.15484931096251686</v>
      </c>
      <c r="L64" s="176">
        <f>SUM(Scenarios2[[#This Row],[SPY]:[VNQ]])</f>
        <v>0.79999999999999993</v>
      </c>
      <c r="M64" s="176">
        <f>SUM(Scenarios2[[#This Row],[SPY]:[PE]])</f>
        <v>1</v>
      </c>
      <c r="N64" s="175" t="b">
        <f>Scenarios2[[#This Row],[SPY]]&gt;=SpyMin</f>
        <v>1</v>
      </c>
      <c r="O64" s="175" t="b">
        <f>Scenarios2[[#This Row],[AGG]]&gt;=AGGMin</f>
        <v>1</v>
      </c>
      <c r="P64" s="175" t="b">
        <f>AND(Scenarios2[[#This Row],[GLD]]&gt;=GLDMin,Scenarios2[[#This Row],[GLD]]&lt;=GLDMax)</f>
        <v>1</v>
      </c>
      <c r="Q64" s="175" t="b">
        <f>Scenarios2[[#This Row],[VNQ]]&gt;=VNQMin</f>
        <v>1</v>
      </c>
      <c r="R64" s="175" t="b">
        <f>AND(Scenarios2[[#This Row],[PE]]&gt;=PEMin,Scenarios2[[#This Row],[PE]]&lt;=PEMax)</f>
        <v>1</v>
      </c>
      <c r="S64" s="175" t="b">
        <f>Scenarios2[[#This Row],[Liquid Assets]]&gt;=LiquidMin</f>
        <v>1</v>
      </c>
      <c r="T64" s="175" t="b">
        <f>AND(Scenarios2[[#This Row],[Expected Return]]&gt;=ExpectedReturnMin,Scenarios2[[#This Row],[Expected Return]]&lt;=ExpectedReturnMax)</f>
        <v>1</v>
      </c>
      <c r="U64" s="175" t="b">
        <f>Scenarios2[[#This Row],[Max Drawdown]]&gt;=DrawdownMax</f>
        <v>1</v>
      </c>
      <c r="V64" s="175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4" s="178">
        <f>_xlfn.XLOOKUP(Scenarios2[[#This Row],[Reference '#]],ScenariosCombined[Reference '#],ScenariosCombined[Sharpe Rank])</f>
        <v>1</v>
      </c>
      <c r="X64" s="175">
        <f>IF(Scenarios2[[#This Row],[Eligible]],COUNTIFS(Scenarios2[Sharpe],"&gt;"&amp;Scenarios2[[#This Row],[Sharpe]],Scenarios2[Eligible],TRUE())+COUNTIFS(Scenarios2[Sharpe],Scenarios2[[#This Row],[Sharpe]],Scenarios2[Eligible],TRUE()),"")</f>
        <v>1</v>
      </c>
      <c r="Y64" s="17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35/15/20/10/20</v>
      </c>
      <c r="Z64" s="180">
        <f>_xlfn.XLOOKUP(Scenarios2[[#This Row],[Reference '#]],Scenarios1[Reference '#],Scenarios1[Sharpe Rank])</f>
        <v>2</v>
      </c>
      <c r="AA64" s="180">
        <f>Scenarios2[[#This Row],[Sharpe Rank]]</f>
        <v>1</v>
      </c>
      <c r="AB64" s="180" t="str">
        <f>_xlfn.XLOOKUP(Scenarios2[[#This Row],[Reference '#]],Scenarios3[Reference '#],Scenarios3[Sharpe Rank])</f>
        <v/>
      </c>
      <c r="AC64"/>
      <c r="AD64"/>
      <c r="AE64"/>
      <c r="AF64" s="34"/>
      <c r="AG64" s="34"/>
    </row>
    <row r="65" spans="2:33" s="15" customFormat="1" x14ac:dyDescent="0.2">
      <c r="B65" s="44">
        <v>55</v>
      </c>
      <c r="C65" s="68">
        <v>0.35</v>
      </c>
      <c r="D65" s="69">
        <v>0.15</v>
      </c>
      <c r="E65" s="69">
        <v>0.15</v>
      </c>
      <c r="F65" s="69">
        <v>0.25</v>
      </c>
      <c r="G65" s="69">
        <v>0.1</v>
      </c>
      <c r="H65" s="69">
        <f>SUMPRODUCT(Scenarios2[[#This Row],[SPY]:[PE]],_xlfn.TOROW(AssetSpecsScenario2[Annualized Return]))</f>
        <v>9.1409479649705291E-2</v>
      </c>
      <c r="I65" s="69" cm="1">
        <f t="array" ref="I65">SQRT(MMULT(MMULT(Scenarios2[[#This Row],[SPY]:[PE]], 'Corr_Cov 36- Month'!$J$13:$N$17), TRANSPOSE(Scenarios2[[#This Row],[SPY]:[PE]])))</f>
        <v>9.2863946159082916E-2</v>
      </c>
      <c r="J65" s="70">
        <f>(Scenarios2[[#This Row],[Expected Return]]-RiskFree)/Scenarios2[[#This Row],[36M Vol]]</f>
        <v>0.47816107252304874</v>
      </c>
      <c r="K65" s="69" cm="1">
        <f t="array" ref="K65">MIN(_xlfn._xlws.FILTER(PortfolioFrontier[#Data],(PortfolioFrontier[#Headers]="P"&amp;Scenarios2[[#This Row],[Reference '#]]&amp;" DD")))</f>
        <v>-0.1940306400546703</v>
      </c>
      <c r="L65" s="69">
        <f>SUM(Scenarios2[[#This Row],[SPY]:[VNQ]])</f>
        <v>0.9</v>
      </c>
      <c r="M65" s="69">
        <f>SUM(Scenarios2[[#This Row],[SPY]:[PE]])</f>
        <v>1</v>
      </c>
      <c r="N65" s="71" t="b">
        <f>Scenarios2[[#This Row],[SPY]]&gt;=SpyMin</f>
        <v>1</v>
      </c>
      <c r="O65" s="71" t="b">
        <f>Scenarios2[[#This Row],[AGG]]&gt;=AGGMin</f>
        <v>1</v>
      </c>
      <c r="P65" s="71" t="b">
        <f>AND(Scenarios2[[#This Row],[GLD]]&gt;=GLDMin,Scenarios2[[#This Row],[GLD]]&lt;=GLDMax)</f>
        <v>1</v>
      </c>
      <c r="Q65" s="71" t="b">
        <f>Scenarios2[[#This Row],[VNQ]]&gt;=VNQMin</f>
        <v>1</v>
      </c>
      <c r="R65" s="71" t="b">
        <f>AND(Scenarios2[[#This Row],[PE]]&gt;=PEMin,Scenarios2[[#This Row],[PE]]&lt;=PEMax)</f>
        <v>1</v>
      </c>
      <c r="S65" s="71" t="b">
        <f>Scenarios2[[#This Row],[Liquid Assets]]&gt;=LiquidMin</f>
        <v>1</v>
      </c>
      <c r="T65" s="71" t="b">
        <f>AND(Scenarios2[[#This Row],[Expected Return]]&gt;=ExpectedReturnMin,Scenarios2[[#This Row],[Expected Return]]&lt;=ExpectedReturnMax)</f>
        <v>1</v>
      </c>
      <c r="U65" s="71" t="b">
        <f>Scenarios2[[#This Row],[Max Drawdown]]&gt;=DrawdownMax</f>
        <v>1</v>
      </c>
      <c r="V6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5" s="46">
        <f>_xlfn.XLOOKUP(Scenarios2[[#This Row],[Reference '#]],ScenariosCombined[Reference '#],ScenariosCombined[Sharpe Rank])</f>
        <v>57</v>
      </c>
      <c r="X65" s="44">
        <f>IF(Scenarios2[[#This Row],[Eligible]],COUNTIFS(Scenarios2[Sharpe],"&gt;"&amp;Scenarios2[[#This Row],[Sharpe]],Scenarios2[Eligible],TRUE())+COUNTIFS(Scenarios2[Sharpe],Scenarios2[[#This Row],[Sharpe]],Scenarios2[Eligible],TRUE()),"")</f>
        <v>55</v>
      </c>
      <c r="Y6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35/15/15/25/10</v>
      </c>
      <c r="Z65">
        <f>_xlfn.XLOOKUP(Scenarios2[[#This Row],[Reference '#]],Scenarios1[Reference '#],Scenarios1[Sharpe Rank])</f>
        <v>56</v>
      </c>
      <c r="AA65">
        <f>Scenarios2[[#This Row],[Sharpe Rank]]</f>
        <v>55</v>
      </c>
      <c r="AB65">
        <f>_xlfn.XLOOKUP(Scenarios2[[#This Row],[Reference '#]],Scenarios3[Reference '#],Scenarios3[Sharpe Rank])</f>
        <v>57</v>
      </c>
      <c r="AC65"/>
      <c r="AD65"/>
      <c r="AE65"/>
      <c r="AF65" s="34"/>
      <c r="AG65" s="34"/>
    </row>
    <row r="66" spans="2:33" s="15" customFormat="1" x14ac:dyDescent="0.2">
      <c r="B66" s="44">
        <v>56</v>
      </c>
      <c r="C66" s="68">
        <v>0.35</v>
      </c>
      <c r="D66" s="69">
        <v>0.15</v>
      </c>
      <c r="E66" s="69">
        <v>0.15</v>
      </c>
      <c r="F66" s="69">
        <v>0.2</v>
      </c>
      <c r="G66" s="69">
        <v>0.15</v>
      </c>
      <c r="H66" s="69">
        <f>SUMPRODUCT(Scenarios2[[#This Row],[SPY]:[PE]],_xlfn.TOROW(AssetSpecsScenario2[Annualized Return]))</f>
        <v>9.1546186168651789E-2</v>
      </c>
      <c r="I66" s="69" cm="1">
        <f t="array" ref="I66">SQRT(MMULT(MMULT(Scenarios2[[#This Row],[SPY]:[PE]], 'Corr_Cov 36- Month'!$J$13:$N$17), TRANSPOSE(Scenarios2[[#This Row],[SPY]:[PE]])))</f>
        <v>8.5078002012138693E-2</v>
      </c>
      <c r="J66" s="70">
        <f>(Scenarios2[[#This Row],[Expected Return]]-RiskFree)/Scenarios2[[#This Row],[36M Vol]]</f>
        <v>0.52352699357868449</v>
      </c>
      <c r="K66" s="69" cm="1">
        <f t="array" ref="K66">MIN(_xlfn._xlws.FILTER(PortfolioFrontier[#Data],(PortfolioFrontier[#Headers]="P"&amp;Scenarios2[[#This Row],[Reference '#]]&amp;" DD")))</f>
        <v>-0.17964551741147883</v>
      </c>
      <c r="L66" s="69">
        <f>SUM(Scenarios2[[#This Row],[SPY]:[VNQ]])</f>
        <v>0.85000000000000009</v>
      </c>
      <c r="M66" s="69">
        <f>SUM(Scenarios2[[#This Row],[SPY]:[PE]])</f>
        <v>1</v>
      </c>
      <c r="N66" s="71" t="b">
        <f>Scenarios2[[#This Row],[SPY]]&gt;=SpyMin</f>
        <v>1</v>
      </c>
      <c r="O66" s="71" t="b">
        <f>Scenarios2[[#This Row],[AGG]]&gt;=AGGMin</f>
        <v>1</v>
      </c>
      <c r="P66" s="71" t="b">
        <f>AND(Scenarios2[[#This Row],[GLD]]&gt;=GLDMin,Scenarios2[[#This Row],[GLD]]&lt;=GLDMax)</f>
        <v>1</v>
      </c>
      <c r="Q66" s="71" t="b">
        <f>Scenarios2[[#This Row],[VNQ]]&gt;=VNQMin</f>
        <v>1</v>
      </c>
      <c r="R66" s="71" t="b">
        <f>AND(Scenarios2[[#This Row],[PE]]&gt;=PEMin,Scenarios2[[#This Row],[PE]]&lt;=PEMax)</f>
        <v>1</v>
      </c>
      <c r="S66" s="71" t="b">
        <f>Scenarios2[[#This Row],[Liquid Assets]]&gt;=LiquidMin</f>
        <v>1</v>
      </c>
      <c r="T66" s="71" t="b">
        <f>AND(Scenarios2[[#This Row],[Expected Return]]&gt;=ExpectedReturnMin,Scenarios2[[#This Row],[Expected Return]]&lt;=ExpectedReturnMax)</f>
        <v>1</v>
      </c>
      <c r="U66" s="71" t="b">
        <f>Scenarios2[[#This Row],[Max Drawdown]]&gt;=DrawdownMax</f>
        <v>1</v>
      </c>
      <c r="V6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6" s="46">
        <f>_xlfn.XLOOKUP(Scenarios2[[#This Row],[Reference '#]],ScenariosCombined[Reference '#],ScenariosCombined[Sharpe Rank])</f>
        <v>35</v>
      </c>
      <c r="X66" s="44">
        <f>IF(Scenarios2[[#This Row],[Eligible]],COUNTIFS(Scenarios2[Sharpe],"&gt;"&amp;Scenarios2[[#This Row],[Sharpe]],Scenarios2[Eligible],TRUE())+COUNTIFS(Scenarios2[Sharpe],Scenarios2[[#This Row],[Sharpe]],Scenarios2[Eligible],TRUE()),"")</f>
        <v>33</v>
      </c>
      <c r="Y6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35/15/15/20/15</v>
      </c>
      <c r="Z66">
        <f>_xlfn.XLOOKUP(Scenarios2[[#This Row],[Reference '#]],Scenarios1[Reference '#],Scenarios1[Sharpe Rank])</f>
        <v>35</v>
      </c>
      <c r="AA66">
        <f>Scenarios2[[#This Row],[Sharpe Rank]]</f>
        <v>33</v>
      </c>
      <c r="AB66">
        <f>_xlfn.XLOOKUP(Scenarios2[[#This Row],[Reference '#]],Scenarios3[Reference '#],Scenarios3[Sharpe Rank])</f>
        <v>30</v>
      </c>
      <c r="AC66"/>
      <c r="AD66"/>
      <c r="AE66"/>
      <c r="AF66" s="34"/>
      <c r="AG66" s="34"/>
    </row>
    <row r="67" spans="2:33" s="15" customFormat="1" x14ac:dyDescent="0.2">
      <c r="B67" s="44">
        <v>57</v>
      </c>
      <c r="C67" s="68">
        <v>0.35</v>
      </c>
      <c r="D67" s="69">
        <v>0.15</v>
      </c>
      <c r="E67" s="69">
        <v>0.15</v>
      </c>
      <c r="F67" s="69">
        <v>0.15</v>
      </c>
      <c r="G67" s="69">
        <v>0.2</v>
      </c>
      <c r="H67" s="69">
        <f>SUMPRODUCT(Scenarios2[[#This Row],[SPY]:[PE]],_xlfn.TOROW(AssetSpecsScenario2[Annualized Return]))</f>
        <v>9.16828926875983E-2</v>
      </c>
      <c r="I67" s="69" cm="1">
        <f t="array" ref="I67">SQRT(MMULT(MMULT(Scenarios2[[#This Row],[SPY]:[PE]], 'Corr_Cov 36- Month'!$J$13:$N$17), TRANSPOSE(Scenarios2[[#This Row],[SPY]:[PE]])))</f>
        <v>7.7697646668545756E-2</v>
      </c>
      <c r="J67" s="70">
        <f>(Scenarios2[[#This Row],[Expected Return]]-RiskFree)/Scenarios2[[#This Row],[36M Vol]]</f>
        <v>0.57501531960979479</v>
      </c>
      <c r="K67" s="69" cm="1">
        <f t="array" ref="K67">MIN(_xlfn._xlws.FILTER(PortfolioFrontier[#Data],(PortfolioFrontier[#Headers]="P"&amp;Scenarios2[[#This Row],[Reference '#]]&amp;" DD")))</f>
        <v>-0.1651424399457585</v>
      </c>
      <c r="L67" s="69">
        <f>SUM(Scenarios2[[#This Row],[SPY]:[VNQ]])</f>
        <v>0.8</v>
      </c>
      <c r="M67" s="69">
        <f>SUM(Scenarios2[[#This Row],[SPY]:[PE]])</f>
        <v>1</v>
      </c>
      <c r="N67" s="71" t="b">
        <f>Scenarios2[[#This Row],[SPY]]&gt;=SpyMin</f>
        <v>1</v>
      </c>
      <c r="O67" s="71" t="b">
        <f>Scenarios2[[#This Row],[AGG]]&gt;=AGGMin</f>
        <v>1</v>
      </c>
      <c r="P67" s="71" t="b">
        <f>AND(Scenarios2[[#This Row],[GLD]]&gt;=GLDMin,Scenarios2[[#This Row],[GLD]]&lt;=GLDMax)</f>
        <v>1</v>
      </c>
      <c r="Q67" s="71" t="b">
        <f>Scenarios2[[#This Row],[VNQ]]&gt;=VNQMin</f>
        <v>1</v>
      </c>
      <c r="R67" s="71" t="b">
        <f>AND(Scenarios2[[#This Row],[PE]]&gt;=PEMin,Scenarios2[[#This Row],[PE]]&lt;=PEMax)</f>
        <v>1</v>
      </c>
      <c r="S67" s="71" t="b">
        <f>Scenarios2[[#This Row],[Liquid Assets]]&gt;=LiquidMin</f>
        <v>1</v>
      </c>
      <c r="T67" s="71" t="b">
        <f>AND(Scenarios2[[#This Row],[Expected Return]]&gt;=ExpectedReturnMin,Scenarios2[[#This Row],[Expected Return]]&lt;=ExpectedReturnMax)</f>
        <v>1</v>
      </c>
      <c r="U67" s="71" t="b">
        <f>Scenarios2[[#This Row],[Max Drawdown]]&gt;=DrawdownMax</f>
        <v>1</v>
      </c>
      <c r="V6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7" s="46">
        <f>_xlfn.XLOOKUP(Scenarios2[[#This Row],[Reference '#]],ScenariosCombined[Reference '#],ScenariosCombined[Sharpe Rank])</f>
        <v>15</v>
      </c>
      <c r="X67" s="44">
        <f>IF(Scenarios2[[#This Row],[Eligible]],COUNTIFS(Scenarios2[Sharpe],"&gt;"&amp;Scenarios2[[#This Row],[Sharpe]],Scenarios2[Eligible],TRUE())+COUNTIFS(Scenarios2[Sharpe],Scenarios2[[#This Row],[Sharpe]],Scenarios2[Eligible],TRUE()),"")</f>
        <v>17</v>
      </c>
      <c r="Y6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35/15/15/15/20</v>
      </c>
      <c r="Z67">
        <f>_xlfn.XLOOKUP(Scenarios2[[#This Row],[Reference '#]],Scenarios1[Reference '#],Scenarios1[Sharpe Rank])</f>
        <v>21</v>
      </c>
      <c r="AA67">
        <f>Scenarios2[[#This Row],[Sharpe Rank]]</f>
        <v>17</v>
      </c>
      <c r="AB67">
        <f>_xlfn.XLOOKUP(Scenarios2[[#This Row],[Reference '#]],Scenarios3[Reference '#],Scenarios3[Sharpe Rank])</f>
        <v>8</v>
      </c>
      <c r="AC67"/>
      <c r="AD67"/>
      <c r="AE67"/>
      <c r="AF67" s="34"/>
      <c r="AG67" s="34"/>
    </row>
    <row r="68" spans="2:33" s="15" customFormat="1" x14ac:dyDescent="0.2">
      <c r="B68" s="44">
        <v>58</v>
      </c>
      <c r="C68" s="68">
        <v>0.35</v>
      </c>
      <c r="D68" s="69">
        <v>0.15</v>
      </c>
      <c r="E68" s="69">
        <v>0.1</v>
      </c>
      <c r="F68" s="69">
        <v>0.3</v>
      </c>
      <c r="G68" s="69">
        <v>0.1</v>
      </c>
      <c r="H68" s="69">
        <f>SUMPRODUCT(Scenarios2[[#This Row],[SPY]:[PE]],_xlfn.TOROW(AssetSpecsScenario2[Annualized Return]))</f>
        <v>8.7417760748629267E-2</v>
      </c>
      <c r="I68" s="69" cm="1">
        <f t="array" ref="I68">SQRT(MMULT(MMULT(Scenarios2[[#This Row],[SPY]:[PE]], 'Corr_Cov 36- Month'!$J$13:$N$17), TRANSPOSE(Scenarios2[[#This Row],[SPY]:[PE]])))</f>
        <v>9.8957376249514034E-2</v>
      </c>
      <c r="J68" s="70">
        <f>(Scenarios2[[#This Row],[Expected Return]]-RiskFree)/Scenarios2[[#This Row],[36M Vol]]</f>
        <v>0.40837991794747264</v>
      </c>
      <c r="K68" s="69" cm="1">
        <f t="array" ref="K68">MIN(_xlfn._xlws.FILTER(PortfolioFrontier[#Data],(PortfolioFrontier[#Headers]="P"&amp;Scenarios2[[#This Row],[Reference '#]]&amp;" DD")))</f>
        <v>-0.20414738967609258</v>
      </c>
      <c r="L68" s="69">
        <f>SUM(Scenarios2[[#This Row],[SPY]:[VNQ]])</f>
        <v>0.89999999999999991</v>
      </c>
      <c r="M68" s="69">
        <f>SUM(Scenarios2[[#This Row],[SPY]:[PE]])</f>
        <v>0.99999999999999989</v>
      </c>
      <c r="N68" s="71" t="b">
        <f>Scenarios2[[#This Row],[SPY]]&gt;=SpyMin</f>
        <v>1</v>
      </c>
      <c r="O68" s="71" t="b">
        <f>Scenarios2[[#This Row],[AGG]]&gt;=AGGMin</f>
        <v>1</v>
      </c>
      <c r="P68" s="71" t="b">
        <f>AND(Scenarios2[[#This Row],[GLD]]&gt;=GLDMin,Scenarios2[[#This Row],[GLD]]&lt;=GLDMax)</f>
        <v>1</v>
      </c>
      <c r="Q68" s="71" t="b">
        <f>Scenarios2[[#This Row],[VNQ]]&gt;=VNQMin</f>
        <v>1</v>
      </c>
      <c r="R68" s="71" t="b">
        <f>AND(Scenarios2[[#This Row],[PE]]&gt;=PEMin,Scenarios2[[#This Row],[PE]]&lt;=PEMax)</f>
        <v>1</v>
      </c>
      <c r="S68" s="71" t="b">
        <f>Scenarios2[[#This Row],[Liquid Assets]]&gt;=LiquidMin</f>
        <v>1</v>
      </c>
      <c r="T68" s="71" t="b">
        <f>AND(Scenarios2[[#This Row],[Expected Return]]&gt;=ExpectedReturnMin,Scenarios2[[#This Row],[Expected Return]]&lt;=ExpectedReturnMax)</f>
        <v>1</v>
      </c>
      <c r="U68" s="71" t="b">
        <f>Scenarios2[[#This Row],[Max Drawdown]]&gt;=DrawdownMax</f>
        <v>0</v>
      </c>
      <c r="V6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68" s="46" t="str">
        <f>_xlfn.XLOOKUP(Scenarios2[[#This Row],[Reference '#]],ScenariosCombined[Reference '#],ScenariosCombined[Sharpe Rank])</f>
        <v/>
      </c>
      <c r="X68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6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35/15/10/30/10</v>
      </c>
      <c r="Z68" t="str">
        <f>_xlfn.XLOOKUP(Scenarios2[[#This Row],[Reference '#]],Scenarios1[Reference '#],Scenarios1[Sharpe Rank])</f>
        <v/>
      </c>
      <c r="AA68" t="str">
        <f>Scenarios2[[#This Row],[Sharpe Rank]]</f>
        <v/>
      </c>
      <c r="AB68" t="str">
        <f>_xlfn.XLOOKUP(Scenarios2[[#This Row],[Reference '#]],Scenarios3[Reference '#],Scenarios3[Sharpe Rank])</f>
        <v/>
      </c>
      <c r="AC68"/>
      <c r="AD68"/>
      <c r="AE68"/>
      <c r="AF68" s="34"/>
      <c r="AG68" s="34"/>
    </row>
    <row r="69" spans="2:33" s="15" customFormat="1" x14ac:dyDescent="0.2">
      <c r="B69" s="44">
        <v>59</v>
      </c>
      <c r="C69" s="68">
        <v>0.35</v>
      </c>
      <c r="D69" s="69">
        <v>0.15</v>
      </c>
      <c r="E69" s="69">
        <v>0.1</v>
      </c>
      <c r="F69" s="69">
        <v>0.25</v>
      </c>
      <c r="G69" s="69">
        <v>0.15</v>
      </c>
      <c r="H69" s="69">
        <f>SUMPRODUCT(Scenarios2[[#This Row],[SPY]:[PE]],_xlfn.TOROW(AssetSpecsScenario2[Annualized Return]))</f>
        <v>8.7554467267575764E-2</v>
      </c>
      <c r="I69" s="69" cm="1">
        <f t="array" ref="I69">SQRT(MMULT(MMULT(Scenarios2[[#This Row],[SPY]:[PE]], 'Corr_Cov 36- Month'!$J$13:$N$17), TRANSPOSE(Scenarios2[[#This Row],[SPY]:[PE]])))</f>
        <v>9.0975504833413975E-2</v>
      </c>
      <c r="J69" s="70">
        <f>(Scenarios2[[#This Row],[Expected Return]]-RiskFree)/Scenarios2[[#This Row],[36M Vol]]</f>
        <v>0.44571241221765873</v>
      </c>
      <c r="K69" s="69" cm="1">
        <f t="array" ref="K69">MIN(_xlfn._xlws.FILTER(PortfolioFrontier[#Data],(PortfolioFrontier[#Headers]="P"&amp;Scenarios2[[#This Row],[Reference '#]]&amp;" DD")))</f>
        <v>-0.18983745098866178</v>
      </c>
      <c r="L69" s="69">
        <f>SUM(Scenarios2[[#This Row],[SPY]:[VNQ]])</f>
        <v>0.85</v>
      </c>
      <c r="M69" s="69">
        <f>SUM(Scenarios2[[#This Row],[SPY]:[PE]])</f>
        <v>1</v>
      </c>
      <c r="N69" s="71" t="b">
        <f>Scenarios2[[#This Row],[SPY]]&gt;=SpyMin</f>
        <v>1</v>
      </c>
      <c r="O69" s="71" t="b">
        <f>Scenarios2[[#This Row],[AGG]]&gt;=AGGMin</f>
        <v>1</v>
      </c>
      <c r="P69" s="71" t="b">
        <f>AND(Scenarios2[[#This Row],[GLD]]&gt;=GLDMin,Scenarios2[[#This Row],[GLD]]&lt;=GLDMax)</f>
        <v>1</v>
      </c>
      <c r="Q69" s="71" t="b">
        <f>Scenarios2[[#This Row],[VNQ]]&gt;=VNQMin</f>
        <v>1</v>
      </c>
      <c r="R69" s="71" t="b">
        <f>AND(Scenarios2[[#This Row],[PE]]&gt;=PEMin,Scenarios2[[#This Row],[PE]]&lt;=PEMax)</f>
        <v>1</v>
      </c>
      <c r="S69" s="71" t="b">
        <f>Scenarios2[[#This Row],[Liquid Assets]]&gt;=LiquidMin</f>
        <v>1</v>
      </c>
      <c r="T69" s="71" t="b">
        <f>AND(Scenarios2[[#This Row],[Expected Return]]&gt;=ExpectedReturnMin,Scenarios2[[#This Row],[Expected Return]]&lt;=ExpectedReturnMax)</f>
        <v>1</v>
      </c>
      <c r="U69" s="71" t="b">
        <f>Scenarios2[[#This Row],[Max Drawdown]]&gt;=DrawdownMax</f>
        <v>1</v>
      </c>
      <c r="V6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69" s="46">
        <f>_xlfn.XLOOKUP(Scenarios2[[#This Row],[Reference '#]],ScenariosCombined[Reference '#],ScenariosCombined[Sharpe Rank])</f>
        <v>68</v>
      </c>
      <c r="X69" s="44">
        <f>IF(Scenarios2[[#This Row],[Eligible]],COUNTIFS(Scenarios2[Sharpe],"&gt;"&amp;Scenarios2[[#This Row],[Sharpe]],Scenarios2[Eligible],TRUE())+COUNTIFS(Scenarios2[Sharpe],Scenarios2[[#This Row],[Sharpe]],Scenarios2[Eligible],TRUE()),"")</f>
        <v>66</v>
      </c>
      <c r="Y6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35/15/10/25/15</v>
      </c>
      <c r="Z69">
        <f>_xlfn.XLOOKUP(Scenarios2[[#This Row],[Reference '#]],Scenarios1[Reference '#],Scenarios1[Sharpe Rank])</f>
        <v>68</v>
      </c>
      <c r="AA69">
        <f>Scenarios2[[#This Row],[Sharpe Rank]]</f>
        <v>66</v>
      </c>
      <c r="AB69">
        <f>_xlfn.XLOOKUP(Scenarios2[[#This Row],[Reference '#]],Scenarios3[Reference '#],Scenarios3[Sharpe Rank])</f>
        <v>63</v>
      </c>
      <c r="AC69"/>
      <c r="AD69"/>
      <c r="AE69"/>
      <c r="AF69" s="34"/>
      <c r="AG69" s="34"/>
    </row>
    <row r="70" spans="2:33" s="15" customFormat="1" x14ac:dyDescent="0.2">
      <c r="B70" s="44">
        <v>60</v>
      </c>
      <c r="C70" s="68">
        <v>0.35</v>
      </c>
      <c r="D70" s="69">
        <v>0.15</v>
      </c>
      <c r="E70" s="69">
        <v>0.1</v>
      </c>
      <c r="F70" s="69">
        <v>0.2</v>
      </c>
      <c r="G70" s="69">
        <v>0.2</v>
      </c>
      <c r="H70" s="69">
        <f>SUMPRODUCT(Scenarios2[[#This Row],[SPY]:[PE]],_xlfn.TOROW(AssetSpecsScenario2[Annualized Return]))</f>
        <v>8.7691173786522275E-2</v>
      </c>
      <c r="I70" s="69" cm="1">
        <f t="array" ref="I70">SQRT(MMULT(MMULT(Scenarios2[[#This Row],[SPY]:[PE]], 'Corr_Cov 36- Month'!$J$13:$N$17), TRANSPOSE(Scenarios2[[#This Row],[SPY]:[PE]])))</f>
        <v>8.3334426178581542E-2</v>
      </c>
      <c r="J70" s="70">
        <f>(Scenarios2[[#This Row],[Expected Return]]-RiskFree)/Scenarios2[[#This Row],[36M Vol]]</f>
        <v>0.48822101617138952</v>
      </c>
      <c r="K70" s="69" cm="1">
        <f t="array" ref="K70">MIN(_xlfn._xlws.FILTER(PortfolioFrontier[#Data],(PortfolioFrontier[#Headers]="P"&amp;Scenarios2[[#This Row],[Reference '#]]&amp;" DD")))</f>
        <v>-0.17540792917075321</v>
      </c>
      <c r="L70" s="69">
        <f>SUM(Scenarios2[[#This Row],[SPY]:[VNQ]])</f>
        <v>0.8</v>
      </c>
      <c r="M70" s="69">
        <f>SUM(Scenarios2[[#This Row],[SPY]:[PE]])</f>
        <v>1</v>
      </c>
      <c r="N70" s="71" t="b">
        <f>Scenarios2[[#This Row],[SPY]]&gt;=SpyMin</f>
        <v>1</v>
      </c>
      <c r="O70" s="71" t="b">
        <f>Scenarios2[[#This Row],[AGG]]&gt;=AGGMin</f>
        <v>1</v>
      </c>
      <c r="P70" s="71" t="b">
        <f>AND(Scenarios2[[#This Row],[GLD]]&gt;=GLDMin,Scenarios2[[#This Row],[GLD]]&lt;=GLDMax)</f>
        <v>1</v>
      </c>
      <c r="Q70" s="71" t="b">
        <f>Scenarios2[[#This Row],[VNQ]]&gt;=VNQMin</f>
        <v>1</v>
      </c>
      <c r="R70" s="71" t="b">
        <f>AND(Scenarios2[[#This Row],[PE]]&gt;=PEMin,Scenarios2[[#This Row],[PE]]&lt;=PEMax)</f>
        <v>1</v>
      </c>
      <c r="S70" s="71" t="b">
        <f>Scenarios2[[#This Row],[Liquid Assets]]&gt;=LiquidMin</f>
        <v>1</v>
      </c>
      <c r="T70" s="71" t="b">
        <f>AND(Scenarios2[[#This Row],[Expected Return]]&gt;=ExpectedReturnMin,Scenarios2[[#This Row],[Expected Return]]&lt;=ExpectedReturnMax)</f>
        <v>1</v>
      </c>
      <c r="U70" s="71" t="b">
        <f>Scenarios2[[#This Row],[Max Drawdown]]&gt;=DrawdownMax</f>
        <v>1</v>
      </c>
      <c r="V7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0" s="46">
        <f>_xlfn.XLOOKUP(Scenarios2[[#This Row],[Reference '#]],ScenariosCombined[Reference '#],ScenariosCombined[Sharpe Rank])</f>
        <v>48</v>
      </c>
      <c r="X70" s="44">
        <f>IF(Scenarios2[[#This Row],[Eligible]],COUNTIFS(Scenarios2[Sharpe],"&gt;"&amp;Scenarios2[[#This Row],[Sharpe]],Scenarios2[Eligible],TRUE())+COUNTIFS(Scenarios2[Sharpe],Scenarios2[[#This Row],[Sharpe]],Scenarios2[Eligible],TRUE()),"")</f>
        <v>51</v>
      </c>
      <c r="Y7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35/15/10/20/20</v>
      </c>
      <c r="Z70">
        <f>_xlfn.XLOOKUP(Scenarios2[[#This Row],[Reference '#]],Scenarios1[Reference '#],Scenarios1[Sharpe Rank])</f>
        <v>54</v>
      </c>
      <c r="AA70">
        <f>Scenarios2[[#This Row],[Sharpe Rank]]</f>
        <v>51</v>
      </c>
      <c r="AB70">
        <f>_xlfn.XLOOKUP(Scenarios2[[#This Row],[Reference '#]],Scenarios3[Reference '#],Scenarios3[Sharpe Rank])</f>
        <v>35</v>
      </c>
      <c r="AC70"/>
      <c r="AD70"/>
      <c r="AE70"/>
      <c r="AF70" s="34"/>
      <c r="AG70" s="34"/>
    </row>
    <row r="71" spans="2:33" s="15" customFormat="1" x14ac:dyDescent="0.2">
      <c r="B71" s="44">
        <v>61</v>
      </c>
      <c r="C71" s="68">
        <v>0.3</v>
      </c>
      <c r="D71" s="69">
        <v>0.4</v>
      </c>
      <c r="E71" s="69">
        <v>0.1</v>
      </c>
      <c r="F71" s="69">
        <v>0.1</v>
      </c>
      <c r="G71" s="69">
        <v>0.1</v>
      </c>
      <c r="H71" s="69">
        <f>SUMPRODUCT(Scenarios2[[#This Row],[SPY]:[PE]],_xlfn.TOROW(AssetSpecsScenario2[Annualized Return]))</f>
        <v>7.4399570342966737E-2</v>
      </c>
      <c r="I71" s="69" cm="1">
        <f t="array" ref="I71">SQRT(MMULT(MMULT(Scenarios2[[#This Row],[SPY]:[PE]], 'Corr_Cov 36- Month'!$J$13:$N$17), TRANSPOSE(Scenarios2[[#This Row],[SPY]:[PE]])))</f>
        <v>7.4760527273057001E-2</v>
      </c>
      <c r="J71" s="70">
        <f>(Scenarios2[[#This Row],[Expected Return]]-RiskFree)/Scenarios2[[#This Row],[36M Vol]]</f>
        <v>0.36642350965980591</v>
      </c>
      <c r="K71" s="69" cm="1">
        <f t="array" ref="K71">MIN(_xlfn._xlws.FILTER(PortfolioFrontier[#Data],(PortfolioFrontier[#Headers]="P"&amp;Scenarios2[[#This Row],[Reference '#]]&amp;" DD")))</f>
        <v>-0.16849098057898348</v>
      </c>
      <c r="L71" s="69">
        <f>SUM(Scenarios2[[#This Row],[SPY]:[VNQ]])</f>
        <v>0.89999999999999991</v>
      </c>
      <c r="M71" s="69">
        <f>SUM(Scenarios2[[#This Row],[SPY]:[PE]])</f>
        <v>0.99999999999999989</v>
      </c>
      <c r="N71" s="71" t="b">
        <f>Scenarios2[[#This Row],[SPY]]&gt;=SpyMin</f>
        <v>1</v>
      </c>
      <c r="O71" s="71" t="b">
        <f>Scenarios2[[#This Row],[AGG]]&gt;=AGGMin</f>
        <v>1</v>
      </c>
      <c r="P71" s="71" t="b">
        <f>AND(Scenarios2[[#This Row],[GLD]]&gt;=GLDMin,Scenarios2[[#This Row],[GLD]]&lt;=GLDMax)</f>
        <v>1</v>
      </c>
      <c r="Q71" s="71" t="b">
        <f>Scenarios2[[#This Row],[VNQ]]&gt;=VNQMin</f>
        <v>1</v>
      </c>
      <c r="R71" s="71" t="b">
        <f>AND(Scenarios2[[#This Row],[PE]]&gt;=PEMin,Scenarios2[[#This Row],[PE]]&lt;=PEMax)</f>
        <v>1</v>
      </c>
      <c r="S71" s="71" t="b">
        <f>Scenarios2[[#This Row],[Liquid Assets]]&gt;=LiquidMin</f>
        <v>1</v>
      </c>
      <c r="T71" s="71" t="b">
        <f>AND(Scenarios2[[#This Row],[Expected Return]]&gt;=ExpectedReturnMin,Scenarios2[[#This Row],[Expected Return]]&lt;=ExpectedReturnMax)</f>
        <v>0</v>
      </c>
      <c r="U71" s="71" t="b">
        <f>Scenarios2[[#This Row],[Max Drawdown]]&gt;=DrawdownMax</f>
        <v>1</v>
      </c>
      <c r="V7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71" s="46">
        <f>_xlfn.XLOOKUP(Scenarios2[[#This Row],[Reference '#]],ScenariosCombined[Reference '#],ScenariosCombined[Sharpe Rank])</f>
        <v>99</v>
      </c>
      <c r="X71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7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30/40/10/10/10</v>
      </c>
      <c r="Z71" t="str">
        <f>_xlfn.XLOOKUP(Scenarios2[[#This Row],[Reference '#]],Scenarios1[Reference '#],Scenarios1[Sharpe Rank])</f>
        <v/>
      </c>
      <c r="AA71" t="str">
        <f>Scenarios2[[#This Row],[Sharpe Rank]]</f>
        <v/>
      </c>
      <c r="AB71">
        <f>_xlfn.XLOOKUP(Scenarios2[[#This Row],[Reference '#]],Scenarios3[Reference '#],Scenarios3[Sharpe Rank])</f>
        <v>96</v>
      </c>
      <c r="AC71"/>
      <c r="AD71"/>
      <c r="AE71"/>
      <c r="AF71" s="34"/>
      <c r="AG71" s="34"/>
    </row>
    <row r="72" spans="2:33" s="15" customFormat="1" x14ac:dyDescent="0.2">
      <c r="B72" s="44">
        <v>62</v>
      </c>
      <c r="C72" s="68">
        <v>0.3</v>
      </c>
      <c r="D72" s="69">
        <v>0.35</v>
      </c>
      <c r="E72" s="69">
        <v>0.15</v>
      </c>
      <c r="F72" s="69">
        <v>0.1</v>
      </c>
      <c r="G72" s="69">
        <v>0.1</v>
      </c>
      <c r="H72" s="69">
        <f>SUMPRODUCT(Scenarios2[[#This Row],[SPY]:[PE]],_xlfn.TOROW(AssetSpecsScenario2[Annualized Return]))</f>
        <v>7.9975028590206221E-2</v>
      </c>
      <c r="I72" s="69" cm="1">
        <f t="array" ref="I72">SQRT(MMULT(MMULT(Scenarios2[[#This Row],[SPY]:[PE]], 'Corr_Cov 36- Month'!$J$13:$N$17), TRANSPOSE(Scenarios2[[#This Row],[SPY]:[PE]])))</f>
        <v>7.4660012217719132E-2</v>
      </c>
      <c r="J72" s="70">
        <f>(Scenarios2[[#This Row],[Expected Return]]-RiskFree)/Scenarios2[[#This Row],[36M Vol]]</f>
        <v>0.44159479827711567</v>
      </c>
      <c r="K72" s="69" cm="1">
        <f t="array" ref="K72">MIN(_xlfn._xlws.FILTER(PortfolioFrontier[#Data],(PortfolioFrontier[#Headers]="P"&amp;Scenarios2[[#This Row],[Reference '#]]&amp;" DD")))</f>
        <v>-0.16600529744900194</v>
      </c>
      <c r="L72" s="69">
        <f>SUM(Scenarios2[[#This Row],[SPY]:[VNQ]])</f>
        <v>0.89999999999999991</v>
      </c>
      <c r="M72" s="69">
        <f>SUM(Scenarios2[[#This Row],[SPY]:[PE]])</f>
        <v>0.99999999999999989</v>
      </c>
      <c r="N72" s="71" t="b">
        <f>Scenarios2[[#This Row],[SPY]]&gt;=SpyMin</f>
        <v>1</v>
      </c>
      <c r="O72" s="71" t="b">
        <f>Scenarios2[[#This Row],[AGG]]&gt;=AGGMin</f>
        <v>1</v>
      </c>
      <c r="P72" s="71" t="b">
        <f>AND(Scenarios2[[#This Row],[GLD]]&gt;=GLDMin,Scenarios2[[#This Row],[GLD]]&lt;=GLDMax)</f>
        <v>1</v>
      </c>
      <c r="Q72" s="71" t="b">
        <f>Scenarios2[[#This Row],[VNQ]]&gt;=VNQMin</f>
        <v>1</v>
      </c>
      <c r="R72" s="71" t="b">
        <f>AND(Scenarios2[[#This Row],[PE]]&gt;=PEMin,Scenarios2[[#This Row],[PE]]&lt;=PEMax)</f>
        <v>1</v>
      </c>
      <c r="S72" s="71" t="b">
        <f>Scenarios2[[#This Row],[Liquid Assets]]&gt;=LiquidMin</f>
        <v>1</v>
      </c>
      <c r="T72" s="71" t="b">
        <f>AND(Scenarios2[[#This Row],[Expected Return]]&gt;=ExpectedReturnMin,Scenarios2[[#This Row],[Expected Return]]&lt;=ExpectedReturnMax)</f>
        <v>1</v>
      </c>
      <c r="U72" s="71" t="b">
        <f>Scenarios2[[#This Row],[Max Drawdown]]&gt;=DrawdownMax</f>
        <v>1</v>
      </c>
      <c r="V7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2" s="46">
        <f>_xlfn.XLOOKUP(Scenarios2[[#This Row],[Reference '#]],ScenariosCombined[Reference '#],ScenariosCombined[Sharpe Rank])</f>
        <v>70</v>
      </c>
      <c r="X72" s="44">
        <f>IF(Scenarios2[[#This Row],[Eligible]],COUNTIFS(Scenarios2[Sharpe],"&gt;"&amp;Scenarios2[[#This Row],[Sharpe]],Scenarios2[Eligible],TRUE())+COUNTIFS(Scenarios2[Sharpe],Scenarios2[[#This Row],[Sharpe]],Scenarios2[Eligible],TRUE()),"")</f>
        <v>67</v>
      </c>
      <c r="Y7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30/35/15/10/10</v>
      </c>
      <c r="Z72">
        <f>_xlfn.XLOOKUP(Scenarios2[[#This Row],[Reference '#]],Scenarios1[Reference '#],Scenarios1[Sharpe Rank])</f>
        <v>69</v>
      </c>
      <c r="AA72">
        <f>Scenarios2[[#This Row],[Sharpe Rank]]</f>
        <v>67</v>
      </c>
      <c r="AB72">
        <f>_xlfn.XLOOKUP(Scenarios2[[#This Row],[Reference '#]],Scenarios3[Reference '#],Scenarios3[Sharpe Rank])</f>
        <v>66</v>
      </c>
      <c r="AC72"/>
      <c r="AD72"/>
      <c r="AE72"/>
      <c r="AF72" s="34"/>
      <c r="AG72" s="34"/>
    </row>
    <row r="73" spans="2:33" s="15" customFormat="1" x14ac:dyDescent="0.2">
      <c r="B73" s="44">
        <v>63</v>
      </c>
      <c r="C73" s="68">
        <v>0.3</v>
      </c>
      <c r="D73" s="69">
        <v>0.35</v>
      </c>
      <c r="E73" s="69">
        <v>0.1</v>
      </c>
      <c r="F73" s="69">
        <v>0.15</v>
      </c>
      <c r="G73" s="69">
        <v>0.1</v>
      </c>
      <c r="H73" s="69">
        <f>SUMPRODUCT(Scenarios2[[#This Row],[SPY]:[PE]],_xlfn.TOROW(AssetSpecsScenario2[Annualized Return]))</f>
        <v>7.5983309689130224E-2</v>
      </c>
      <c r="I73" s="69" cm="1">
        <f t="array" ref="I73">SQRT(MMULT(MMULT(Scenarios2[[#This Row],[SPY]:[PE]], 'Corr_Cov 36- Month'!$J$13:$N$17), TRANSPOSE(Scenarios2[[#This Row],[SPY]:[PE]])))</f>
        <v>7.9887578805035941E-2</v>
      </c>
      <c r="J73" s="70">
        <f>(Scenarios2[[#This Row],[Expected Return]]-RiskFree)/Scenarios2[[#This Row],[36M Vol]]</f>
        <v>0.36273166075409935</v>
      </c>
      <c r="K73" s="69" cm="1">
        <f t="array" ref="K73">MIN(_xlfn._xlws.FILTER(PortfolioFrontier[#Data],(PortfolioFrontier[#Headers]="P"&amp;Scenarios2[[#This Row],[Reference '#]]&amp;" DD")))</f>
        <v>-0.17619937541805675</v>
      </c>
      <c r="L73" s="69">
        <f>SUM(Scenarios2[[#This Row],[SPY]:[VNQ]])</f>
        <v>0.89999999999999991</v>
      </c>
      <c r="M73" s="69">
        <f>SUM(Scenarios2[[#This Row],[SPY]:[PE]])</f>
        <v>0.99999999999999989</v>
      </c>
      <c r="N73" s="71" t="b">
        <f>Scenarios2[[#This Row],[SPY]]&gt;=SpyMin</f>
        <v>1</v>
      </c>
      <c r="O73" s="71" t="b">
        <f>Scenarios2[[#This Row],[AGG]]&gt;=AGGMin</f>
        <v>1</v>
      </c>
      <c r="P73" s="71" t="b">
        <f>AND(Scenarios2[[#This Row],[GLD]]&gt;=GLDMin,Scenarios2[[#This Row],[GLD]]&lt;=GLDMax)</f>
        <v>1</v>
      </c>
      <c r="Q73" s="71" t="b">
        <f>Scenarios2[[#This Row],[VNQ]]&gt;=VNQMin</f>
        <v>1</v>
      </c>
      <c r="R73" s="71" t="b">
        <f>AND(Scenarios2[[#This Row],[PE]]&gt;=PEMin,Scenarios2[[#This Row],[PE]]&lt;=PEMax)</f>
        <v>1</v>
      </c>
      <c r="S73" s="71" t="b">
        <f>Scenarios2[[#This Row],[Liquid Assets]]&gt;=LiquidMin</f>
        <v>1</v>
      </c>
      <c r="T73" s="71" t="b">
        <f>AND(Scenarios2[[#This Row],[Expected Return]]&gt;=ExpectedReturnMin,Scenarios2[[#This Row],[Expected Return]]&lt;=ExpectedReturnMax)</f>
        <v>1</v>
      </c>
      <c r="U73" s="71" t="b">
        <f>Scenarios2[[#This Row],[Max Drawdown]]&gt;=DrawdownMax</f>
        <v>1</v>
      </c>
      <c r="V7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3" s="46">
        <f>_xlfn.XLOOKUP(Scenarios2[[#This Row],[Reference '#]],ScenariosCombined[Reference '#],ScenariosCombined[Sharpe Rank])</f>
        <v>100</v>
      </c>
      <c r="X73" s="44">
        <f>IF(Scenarios2[[#This Row],[Eligible]],COUNTIFS(Scenarios2[Sharpe],"&gt;"&amp;Scenarios2[[#This Row],[Sharpe]],Scenarios2[Eligible],TRUE())+COUNTIFS(Scenarios2[Sharpe],Scenarios2[[#This Row],[Sharpe]],Scenarios2[Eligible],TRUE()),"")</f>
        <v>99</v>
      </c>
      <c r="Y7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30/35/10/15/10</v>
      </c>
      <c r="Z73">
        <f>_xlfn.XLOOKUP(Scenarios2[[#This Row],[Reference '#]],Scenarios1[Reference '#],Scenarios1[Sharpe Rank])</f>
        <v>100</v>
      </c>
      <c r="AA73">
        <f>Scenarios2[[#This Row],[Sharpe Rank]]</f>
        <v>99</v>
      </c>
      <c r="AB73">
        <f>_xlfn.XLOOKUP(Scenarios2[[#This Row],[Reference '#]],Scenarios3[Reference '#],Scenarios3[Sharpe Rank])</f>
        <v>98</v>
      </c>
      <c r="AC73"/>
      <c r="AD73"/>
      <c r="AE73"/>
      <c r="AF73" s="34"/>
      <c r="AG73" s="34"/>
    </row>
    <row r="74" spans="2:33" s="15" customFormat="1" x14ac:dyDescent="0.2">
      <c r="B74" s="44">
        <v>64</v>
      </c>
      <c r="C74" s="68">
        <v>0.3</v>
      </c>
      <c r="D74" s="69">
        <v>0.35</v>
      </c>
      <c r="E74" s="69">
        <v>0.1</v>
      </c>
      <c r="F74" s="69">
        <v>0.1</v>
      </c>
      <c r="G74" s="69">
        <v>0.15</v>
      </c>
      <c r="H74" s="69">
        <f>SUMPRODUCT(Scenarios2[[#This Row],[SPY]:[PE]],_xlfn.TOROW(AssetSpecsScenario2[Annualized Return]))</f>
        <v>7.6120016208076707E-2</v>
      </c>
      <c r="I74" s="69" cm="1">
        <f t="array" ref="I74">SQRT(MMULT(MMULT(Scenarios2[[#This Row],[SPY]:[PE]], 'Corr_Cov 36- Month'!$J$13:$N$17), TRANSPOSE(Scenarios2[[#This Row],[SPY]:[PE]])))</f>
        <v>7.236874153699005E-2</v>
      </c>
      <c r="J74" s="70">
        <f>(Scenarios2[[#This Row],[Expected Return]]-RiskFree)/Scenarios2[[#This Row],[36M Vol]]</f>
        <v>0.4023071292132363</v>
      </c>
      <c r="K74" s="69" cm="1">
        <f t="array" ref="K74">MIN(_xlfn._xlws.FILTER(PortfolioFrontier[#Data],(PortfolioFrontier[#Headers]="P"&amp;Scenarios2[[#This Row],[Reference '#]]&amp;" DD")))</f>
        <v>-0.16174572414969512</v>
      </c>
      <c r="L74" s="69">
        <f>SUM(Scenarios2[[#This Row],[SPY]:[VNQ]])</f>
        <v>0.84999999999999987</v>
      </c>
      <c r="M74" s="69">
        <f>SUM(Scenarios2[[#This Row],[SPY]:[PE]])</f>
        <v>0.99999999999999989</v>
      </c>
      <c r="N74" s="71" t="b">
        <f>Scenarios2[[#This Row],[SPY]]&gt;=SpyMin</f>
        <v>1</v>
      </c>
      <c r="O74" s="71" t="b">
        <f>Scenarios2[[#This Row],[AGG]]&gt;=AGGMin</f>
        <v>1</v>
      </c>
      <c r="P74" s="71" t="b">
        <f>AND(Scenarios2[[#This Row],[GLD]]&gt;=GLDMin,Scenarios2[[#This Row],[GLD]]&lt;=GLDMax)</f>
        <v>1</v>
      </c>
      <c r="Q74" s="71" t="b">
        <f>Scenarios2[[#This Row],[VNQ]]&gt;=VNQMin</f>
        <v>1</v>
      </c>
      <c r="R74" s="71" t="b">
        <f>AND(Scenarios2[[#This Row],[PE]]&gt;=PEMin,Scenarios2[[#This Row],[PE]]&lt;=PEMax)</f>
        <v>1</v>
      </c>
      <c r="S74" s="71" t="b">
        <f>Scenarios2[[#This Row],[Liquid Assets]]&gt;=LiquidMin</f>
        <v>1</v>
      </c>
      <c r="T74" s="71" t="b">
        <f>AND(Scenarios2[[#This Row],[Expected Return]]&gt;=ExpectedReturnMin,Scenarios2[[#This Row],[Expected Return]]&lt;=ExpectedReturnMax)</f>
        <v>1</v>
      </c>
      <c r="U74" s="71" t="b">
        <f>Scenarios2[[#This Row],[Max Drawdown]]&gt;=DrawdownMax</f>
        <v>1</v>
      </c>
      <c r="V7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4" s="46">
        <f>_xlfn.XLOOKUP(Scenarios2[[#This Row],[Reference '#]],ScenariosCombined[Reference '#],ScenariosCombined[Sharpe Rank])</f>
        <v>87</v>
      </c>
      <c r="X74" s="44">
        <f>IF(Scenarios2[[#This Row],[Eligible]],COUNTIFS(Scenarios2[Sharpe],"&gt;"&amp;Scenarios2[[#This Row],[Sharpe]],Scenarios2[Eligible],TRUE())+COUNTIFS(Scenarios2[Sharpe],Scenarios2[[#This Row],[Sharpe]],Scenarios2[Eligible],TRUE()),"")</f>
        <v>89</v>
      </c>
      <c r="Y7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30/35/10/10/15</v>
      </c>
      <c r="Z74">
        <f>_xlfn.XLOOKUP(Scenarios2[[#This Row],[Reference '#]],Scenarios1[Reference '#],Scenarios1[Sharpe Rank])</f>
        <v>91</v>
      </c>
      <c r="AA74">
        <f>Scenarios2[[#This Row],[Sharpe Rank]]</f>
        <v>89</v>
      </c>
      <c r="AB74">
        <f>_xlfn.XLOOKUP(Scenarios2[[#This Row],[Reference '#]],Scenarios3[Reference '#],Scenarios3[Sharpe Rank])</f>
        <v>74</v>
      </c>
      <c r="AC74"/>
      <c r="AD74"/>
      <c r="AE74"/>
      <c r="AF74" s="34"/>
      <c r="AG74" s="34"/>
    </row>
    <row r="75" spans="2:33" s="15" customFormat="1" x14ac:dyDescent="0.2">
      <c r="B75" s="44">
        <v>65</v>
      </c>
      <c r="C75" s="68">
        <v>0.3</v>
      </c>
      <c r="D75" s="69">
        <v>0.3</v>
      </c>
      <c r="E75" s="69">
        <v>0.2</v>
      </c>
      <c r="F75" s="69">
        <v>0.1</v>
      </c>
      <c r="G75" s="69">
        <v>0.1</v>
      </c>
      <c r="H75" s="69">
        <f>SUMPRODUCT(Scenarios2[[#This Row],[SPY]:[PE]],_xlfn.TOROW(AssetSpecsScenario2[Annualized Return]))</f>
        <v>8.5550486837445733E-2</v>
      </c>
      <c r="I75" s="69" cm="1">
        <f t="array" ref="I75">SQRT(MMULT(MMULT(Scenarios2[[#This Row],[SPY]:[PE]], 'Corr_Cov 36- Month'!$J$13:$N$17), TRANSPOSE(Scenarios2[[#This Row],[SPY]:[PE]])))</f>
        <v>7.5118132820344422E-2</v>
      </c>
      <c r="J75" s="70">
        <f>(Scenarios2[[#This Row],[Expected Return]]-RiskFree)/Scenarios2[[#This Row],[36M Vol]]</f>
        <v>0.51312419298381395</v>
      </c>
      <c r="K75" s="69" cm="1">
        <f t="array" ref="K75">MIN(_xlfn._xlws.FILTER(PortfolioFrontier[#Data],(PortfolioFrontier[#Headers]="P"&amp;Scenarios2[[#This Row],[Reference '#]]&amp;" DD")))</f>
        <v>-0.16353671020713034</v>
      </c>
      <c r="L75" s="69">
        <f>SUM(Scenarios2[[#This Row],[SPY]:[VNQ]])</f>
        <v>0.9</v>
      </c>
      <c r="M75" s="69">
        <f>SUM(Scenarios2[[#This Row],[SPY]:[PE]])</f>
        <v>1</v>
      </c>
      <c r="N75" s="71" t="b">
        <f>Scenarios2[[#This Row],[SPY]]&gt;=SpyMin</f>
        <v>1</v>
      </c>
      <c r="O75" s="71" t="b">
        <f>Scenarios2[[#This Row],[AGG]]&gt;=AGGMin</f>
        <v>1</v>
      </c>
      <c r="P75" s="71" t="b">
        <f>AND(Scenarios2[[#This Row],[GLD]]&gt;=GLDMin,Scenarios2[[#This Row],[GLD]]&lt;=GLDMax)</f>
        <v>1</v>
      </c>
      <c r="Q75" s="71" t="b">
        <f>Scenarios2[[#This Row],[VNQ]]&gt;=VNQMin</f>
        <v>1</v>
      </c>
      <c r="R75" s="71" t="b">
        <f>AND(Scenarios2[[#This Row],[PE]]&gt;=PEMin,Scenarios2[[#This Row],[PE]]&lt;=PEMax)</f>
        <v>1</v>
      </c>
      <c r="S75" s="71" t="b">
        <f>Scenarios2[[#This Row],[Liquid Assets]]&gt;=LiquidMin</f>
        <v>1</v>
      </c>
      <c r="T75" s="71" t="b">
        <f>AND(Scenarios2[[#This Row],[Expected Return]]&gt;=ExpectedReturnMin,Scenarios2[[#This Row],[Expected Return]]&lt;=ExpectedReturnMax)</f>
        <v>1</v>
      </c>
      <c r="U75" s="71" t="b">
        <f>Scenarios2[[#This Row],[Max Drawdown]]&gt;=DrawdownMax</f>
        <v>1</v>
      </c>
      <c r="V7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5" s="46">
        <f>_xlfn.XLOOKUP(Scenarios2[[#This Row],[Reference '#]],ScenariosCombined[Reference '#],ScenariosCombined[Sharpe Rank])</f>
        <v>41</v>
      </c>
      <c r="X75" s="44">
        <f>IF(Scenarios2[[#This Row],[Eligible]],COUNTIFS(Scenarios2[Sharpe],"&gt;"&amp;Scenarios2[[#This Row],[Sharpe]],Scenarios2[Eligible],TRUE())+COUNTIFS(Scenarios2[Sharpe],Scenarios2[[#This Row],[Sharpe]],Scenarios2[Eligible],TRUE()),"")</f>
        <v>39</v>
      </c>
      <c r="Y7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30/30/20/10/10</v>
      </c>
      <c r="Z75">
        <f>_xlfn.XLOOKUP(Scenarios2[[#This Row],[Reference '#]],Scenarios1[Reference '#],Scenarios1[Sharpe Rank])</f>
        <v>38</v>
      </c>
      <c r="AA75">
        <f>Scenarios2[[#This Row],[Sharpe Rank]]</f>
        <v>39</v>
      </c>
      <c r="AB75">
        <f>_xlfn.XLOOKUP(Scenarios2[[#This Row],[Reference '#]],Scenarios3[Reference '#],Scenarios3[Sharpe Rank])</f>
        <v>37</v>
      </c>
      <c r="AC75"/>
      <c r="AD75"/>
      <c r="AE75"/>
      <c r="AF75" s="34"/>
      <c r="AG75" s="34"/>
    </row>
    <row r="76" spans="2:33" s="15" customFormat="1" x14ac:dyDescent="0.2">
      <c r="B76" s="44">
        <v>66</v>
      </c>
      <c r="C76" s="68">
        <v>0.3</v>
      </c>
      <c r="D76" s="69">
        <v>0.3</v>
      </c>
      <c r="E76" s="69">
        <v>0.15</v>
      </c>
      <c r="F76" s="69">
        <v>0.15</v>
      </c>
      <c r="G76" s="69">
        <v>0.1</v>
      </c>
      <c r="H76" s="69">
        <f>SUMPRODUCT(Scenarios2[[#This Row],[SPY]:[PE]],_xlfn.TOROW(AssetSpecsScenario2[Annualized Return]))</f>
        <v>8.1558767936369708E-2</v>
      </c>
      <c r="I76" s="69" cm="1">
        <f t="array" ref="I76">SQRT(MMULT(MMULT(Scenarios2[[#This Row],[SPY]:[PE]], 'Corr_Cov 36- Month'!$J$13:$N$17), TRANSPOSE(Scenarios2[[#This Row],[SPY]:[PE]])))</f>
        <v>7.9687239397557827E-2</v>
      </c>
      <c r="J76" s="70">
        <f>(Scenarios2[[#This Row],[Expected Return]]-RiskFree)/Scenarios2[[#This Row],[36M Vol]]</f>
        <v>0.43361035771899398</v>
      </c>
      <c r="K76" s="69" cm="1">
        <f t="array" ref="K76">MIN(_xlfn._xlws.FILTER(PortfolioFrontier[#Data],(PortfolioFrontier[#Headers]="P"&amp;Scenarios2[[#This Row],[Reference '#]]&amp;" DD")))</f>
        <v>-0.17373548486634538</v>
      </c>
      <c r="L76" s="69">
        <f>SUM(Scenarios2[[#This Row],[SPY]:[VNQ]])</f>
        <v>0.9</v>
      </c>
      <c r="M76" s="69">
        <f>SUM(Scenarios2[[#This Row],[SPY]:[PE]])</f>
        <v>1</v>
      </c>
      <c r="N76" s="71" t="b">
        <f>Scenarios2[[#This Row],[SPY]]&gt;=SpyMin</f>
        <v>1</v>
      </c>
      <c r="O76" s="71" t="b">
        <f>Scenarios2[[#This Row],[AGG]]&gt;=AGGMin</f>
        <v>1</v>
      </c>
      <c r="P76" s="71" t="b">
        <f>AND(Scenarios2[[#This Row],[GLD]]&gt;=GLDMin,Scenarios2[[#This Row],[GLD]]&lt;=GLDMax)</f>
        <v>1</v>
      </c>
      <c r="Q76" s="71" t="b">
        <f>Scenarios2[[#This Row],[VNQ]]&gt;=VNQMin</f>
        <v>1</v>
      </c>
      <c r="R76" s="71" t="b">
        <f>AND(Scenarios2[[#This Row],[PE]]&gt;=PEMin,Scenarios2[[#This Row],[PE]]&lt;=PEMax)</f>
        <v>1</v>
      </c>
      <c r="S76" s="71" t="b">
        <f>Scenarios2[[#This Row],[Liquid Assets]]&gt;=LiquidMin</f>
        <v>1</v>
      </c>
      <c r="T76" s="71" t="b">
        <f>AND(Scenarios2[[#This Row],[Expected Return]]&gt;=ExpectedReturnMin,Scenarios2[[#This Row],[Expected Return]]&lt;=ExpectedReturnMax)</f>
        <v>1</v>
      </c>
      <c r="U76" s="71" t="b">
        <f>Scenarios2[[#This Row],[Max Drawdown]]&gt;=DrawdownMax</f>
        <v>1</v>
      </c>
      <c r="V7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6" s="46">
        <f>_xlfn.XLOOKUP(Scenarios2[[#This Row],[Reference '#]],ScenariosCombined[Reference '#],ScenariosCombined[Sharpe Rank])</f>
        <v>74</v>
      </c>
      <c r="X76" s="44">
        <f>IF(Scenarios2[[#This Row],[Eligible]],COUNTIFS(Scenarios2[Sharpe],"&gt;"&amp;Scenarios2[[#This Row],[Sharpe]],Scenarios2[Eligible],TRUE())+COUNTIFS(Scenarios2[Sharpe],Scenarios2[[#This Row],[Sharpe]],Scenarios2[Eligible],TRUE()),"")</f>
        <v>72</v>
      </c>
      <c r="Y7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30/30/15/15/10</v>
      </c>
      <c r="Z76">
        <f>_xlfn.XLOOKUP(Scenarios2[[#This Row],[Reference '#]],Scenarios1[Reference '#],Scenarios1[Sharpe Rank])</f>
        <v>72</v>
      </c>
      <c r="AA76">
        <f>Scenarios2[[#This Row],[Sharpe Rank]]</f>
        <v>72</v>
      </c>
      <c r="AB76">
        <f>_xlfn.XLOOKUP(Scenarios2[[#This Row],[Reference '#]],Scenarios3[Reference '#],Scenarios3[Sharpe Rank])</f>
        <v>70</v>
      </c>
      <c r="AC76"/>
      <c r="AD76"/>
      <c r="AE76"/>
      <c r="AF76" s="34"/>
      <c r="AG76" s="34"/>
    </row>
    <row r="77" spans="2:33" s="15" customFormat="1" x14ac:dyDescent="0.2">
      <c r="B77" s="44">
        <v>67</v>
      </c>
      <c r="C77" s="68">
        <v>0.3</v>
      </c>
      <c r="D77" s="69">
        <v>0.3</v>
      </c>
      <c r="E77" s="69">
        <v>0.15</v>
      </c>
      <c r="F77" s="69">
        <v>0.1</v>
      </c>
      <c r="G77" s="69">
        <v>0.15</v>
      </c>
      <c r="H77" s="69">
        <f>SUMPRODUCT(Scenarios2[[#This Row],[SPY]:[PE]],_xlfn.TOROW(AssetSpecsScenario2[Annualized Return]))</f>
        <v>8.1695474455316192E-2</v>
      </c>
      <c r="I77" s="69" cm="1">
        <f t="array" ref="I77">SQRT(MMULT(MMULT(Scenarios2[[#This Row],[SPY]:[PE]], 'Corr_Cov 36- Month'!$J$13:$N$17), TRANSPOSE(Scenarios2[[#This Row],[SPY]:[PE]])))</f>
        <v>7.2253131710009952E-2</v>
      </c>
      <c r="J77" s="70">
        <f>(Scenarios2[[#This Row],[Expected Return]]-RiskFree)/Scenarios2[[#This Row],[36M Vol]]</f>
        <v>0.48011647493688775</v>
      </c>
      <c r="K77" s="69" cm="1">
        <f t="array" ref="K77">MIN(_xlfn._xlws.FILTER(PortfolioFrontier[#Data],(PortfolioFrontier[#Headers]="P"&amp;Scenarios2[[#This Row],[Reference '#]]&amp;" DD")))</f>
        <v>-0.15925163718743796</v>
      </c>
      <c r="L77" s="69">
        <f>SUM(Scenarios2[[#This Row],[SPY]:[VNQ]])</f>
        <v>0.85</v>
      </c>
      <c r="M77" s="69">
        <f>SUM(Scenarios2[[#This Row],[SPY]:[PE]])</f>
        <v>1</v>
      </c>
      <c r="N77" s="71" t="b">
        <f>Scenarios2[[#This Row],[SPY]]&gt;=SpyMin</f>
        <v>1</v>
      </c>
      <c r="O77" s="71" t="b">
        <f>Scenarios2[[#This Row],[AGG]]&gt;=AGGMin</f>
        <v>1</v>
      </c>
      <c r="P77" s="71" t="b">
        <f>AND(Scenarios2[[#This Row],[GLD]]&gt;=GLDMin,Scenarios2[[#This Row],[GLD]]&lt;=GLDMax)</f>
        <v>1</v>
      </c>
      <c r="Q77" s="71" t="b">
        <f>Scenarios2[[#This Row],[VNQ]]&gt;=VNQMin</f>
        <v>1</v>
      </c>
      <c r="R77" s="71" t="b">
        <f>AND(Scenarios2[[#This Row],[PE]]&gt;=PEMin,Scenarios2[[#This Row],[PE]]&lt;=PEMax)</f>
        <v>1</v>
      </c>
      <c r="S77" s="71" t="b">
        <f>Scenarios2[[#This Row],[Liquid Assets]]&gt;=LiquidMin</f>
        <v>1</v>
      </c>
      <c r="T77" s="71" t="b">
        <f>AND(Scenarios2[[#This Row],[Expected Return]]&gt;=ExpectedReturnMin,Scenarios2[[#This Row],[Expected Return]]&lt;=ExpectedReturnMax)</f>
        <v>1</v>
      </c>
      <c r="U77" s="71" t="b">
        <f>Scenarios2[[#This Row],[Max Drawdown]]&gt;=DrawdownMax</f>
        <v>1</v>
      </c>
      <c r="V7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7" s="46">
        <f>_xlfn.XLOOKUP(Scenarios2[[#This Row],[Reference '#]],ScenariosCombined[Reference '#],ScenariosCombined[Sharpe Rank])</f>
        <v>52</v>
      </c>
      <c r="X77" s="44">
        <f>IF(Scenarios2[[#This Row],[Eligible]],COUNTIFS(Scenarios2[Sharpe],"&gt;"&amp;Scenarios2[[#This Row],[Sharpe]],Scenarios2[Eligible],TRUE())+COUNTIFS(Scenarios2[Sharpe],Scenarios2[[#This Row],[Sharpe]],Scenarios2[Eligible],TRUE()),"")</f>
        <v>53</v>
      </c>
      <c r="Y7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30/30/15/10/15</v>
      </c>
      <c r="Z77">
        <f>_xlfn.XLOOKUP(Scenarios2[[#This Row],[Reference '#]],Scenarios1[Reference '#],Scenarios1[Sharpe Rank])</f>
        <v>57</v>
      </c>
      <c r="AA77">
        <f>Scenarios2[[#This Row],[Sharpe Rank]]</f>
        <v>53</v>
      </c>
      <c r="AB77">
        <f>_xlfn.XLOOKUP(Scenarios2[[#This Row],[Reference '#]],Scenarios3[Reference '#],Scenarios3[Sharpe Rank])</f>
        <v>39</v>
      </c>
      <c r="AC77"/>
      <c r="AD77"/>
      <c r="AE77"/>
      <c r="AF77" s="34"/>
      <c r="AG77" s="34"/>
    </row>
    <row r="78" spans="2:33" s="15" customFormat="1" x14ac:dyDescent="0.2">
      <c r="B78" s="44">
        <v>68</v>
      </c>
      <c r="C78" s="68">
        <v>0.3</v>
      </c>
      <c r="D78" s="69">
        <v>0.3</v>
      </c>
      <c r="E78" s="69">
        <v>0.1</v>
      </c>
      <c r="F78" s="69">
        <v>0.2</v>
      </c>
      <c r="G78" s="69">
        <v>0.1</v>
      </c>
      <c r="H78" s="69">
        <f>SUMPRODUCT(Scenarios2[[#This Row],[SPY]:[PE]],_xlfn.TOROW(AssetSpecsScenario2[Annualized Return]))</f>
        <v>7.7567049035293698E-2</v>
      </c>
      <c r="I78" s="69" cm="1">
        <f t="array" ref="I78">SQRT(MMULT(MMULT(Scenarios2[[#This Row],[SPY]:[PE]], 'Corr_Cov 36- Month'!$J$13:$N$17), TRANSPOSE(Scenarios2[[#This Row],[SPY]:[PE]])))</f>
        <v>8.5216336368045431E-2</v>
      </c>
      <c r="J78" s="70">
        <f>(Scenarios2[[#This Row],[Expected Return]]-RiskFree)/Scenarios2[[#This Row],[36M Vol]]</f>
        <v>0.35863421008554586</v>
      </c>
      <c r="K78" s="69" cm="1">
        <f t="array" ref="K78">MIN(_xlfn._xlws.FILTER(PortfolioFrontier[#Data],(PortfolioFrontier[#Headers]="P"&amp;Scenarios2[[#This Row],[Reference '#]]&amp;" DD")))</f>
        <v>-0.18390694878202885</v>
      </c>
      <c r="L78" s="69">
        <f>SUM(Scenarios2[[#This Row],[SPY]:[VNQ]])</f>
        <v>0.89999999999999991</v>
      </c>
      <c r="M78" s="69">
        <f>SUM(Scenarios2[[#This Row],[SPY]:[PE]])</f>
        <v>0.99999999999999989</v>
      </c>
      <c r="N78" s="71" t="b">
        <f>Scenarios2[[#This Row],[SPY]]&gt;=SpyMin</f>
        <v>1</v>
      </c>
      <c r="O78" s="71" t="b">
        <f>Scenarios2[[#This Row],[AGG]]&gt;=AGGMin</f>
        <v>1</v>
      </c>
      <c r="P78" s="71" t="b">
        <f>AND(Scenarios2[[#This Row],[GLD]]&gt;=GLDMin,Scenarios2[[#This Row],[GLD]]&lt;=GLDMax)</f>
        <v>1</v>
      </c>
      <c r="Q78" s="71" t="b">
        <f>Scenarios2[[#This Row],[VNQ]]&gt;=VNQMin</f>
        <v>1</v>
      </c>
      <c r="R78" s="71" t="b">
        <f>AND(Scenarios2[[#This Row],[PE]]&gt;=PEMin,Scenarios2[[#This Row],[PE]]&lt;=PEMax)</f>
        <v>1</v>
      </c>
      <c r="S78" s="71" t="b">
        <f>Scenarios2[[#This Row],[Liquid Assets]]&gt;=LiquidMin</f>
        <v>1</v>
      </c>
      <c r="T78" s="71" t="b">
        <f>AND(Scenarios2[[#This Row],[Expected Return]]&gt;=ExpectedReturnMin,Scenarios2[[#This Row],[Expected Return]]&lt;=ExpectedReturnMax)</f>
        <v>1</v>
      </c>
      <c r="U78" s="71" t="b">
        <f>Scenarios2[[#This Row],[Max Drawdown]]&gt;=DrawdownMax</f>
        <v>1</v>
      </c>
      <c r="V7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8" s="46">
        <f>_xlfn.XLOOKUP(Scenarios2[[#This Row],[Reference '#]],ScenariosCombined[Reference '#],ScenariosCombined[Sharpe Rank])</f>
        <v>103</v>
      </c>
      <c r="X78" s="44">
        <f>IF(Scenarios2[[#This Row],[Eligible]],COUNTIFS(Scenarios2[Sharpe],"&gt;"&amp;Scenarios2[[#This Row],[Sharpe]],Scenarios2[Eligible],TRUE())+COUNTIFS(Scenarios2[Sharpe],Scenarios2[[#This Row],[Sharpe]],Scenarios2[Eligible],TRUE()),"")</f>
        <v>100</v>
      </c>
      <c r="Y7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30/30/10/20/10</v>
      </c>
      <c r="Z78">
        <f>_xlfn.XLOOKUP(Scenarios2[[#This Row],[Reference '#]],Scenarios1[Reference '#],Scenarios1[Sharpe Rank])</f>
        <v>101</v>
      </c>
      <c r="AA78">
        <f>Scenarios2[[#This Row],[Sharpe Rank]]</f>
        <v>100</v>
      </c>
      <c r="AB78">
        <f>_xlfn.XLOOKUP(Scenarios2[[#This Row],[Reference '#]],Scenarios3[Reference '#],Scenarios3[Sharpe Rank])</f>
        <v>100</v>
      </c>
      <c r="AC78"/>
      <c r="AD78"/>
      <c r="AE78"/>
      <c r="AF78" s="34"/>
      <c r="AG78" s="34"/>
    </row>
    <row r="79" spans="2:33" s="15" customFormat="1" x14ac:dyDescent="0.2">
      <c r="B79" s="44">
        <v>69</v>
      </c>
      <c r="C79" s="68">
        <v>0.3</v>
      </c>
      <c r="D79" s="69">
        <v>0.3</v>
      </c>
      <c r="E79" s="69">
        <v>0.1</v>
      </c>
      <c r="F79" s="69">
        <v>0.15</v>
      </c>
      <c r="G79" s="69">
        <v>0.15</v>
      </c>
      <c r="H79" s="69">
        <f>SUMPRODUCT(Scenarios2[[#This Row],[SPY]:[PE]],_xlfn.TOROW(AssetSpecsScenario2[Annualized Return]))</f>
        <v>7.7703755554240195E-2</v>
      </c>
      <c r="I79" s="69" cm="1">
        <f t="array" ref="I79">SQRT(MMULT(MMULT(Scenarios2[[#This Row],[SPY]:[PE]], 'Corr_Cov 36- Month'!$J$13:$N$17), TRANSPOSE(Scenarios2[[#This Row],[SPY]:[PE]])))</f>
        <v>7.7470698579904629E-2</v>
      </c>
      <c r="J79" s="70">
        <f>(Scenarios2[[#This Row],[Expected Return]]-RiskFree)/Scenarios2[[#This Row],[36M Vol]]</f>
        <v>0.39625562388626179</v>
      </c>
      <c r="K79" s="69" cm="1">
        <f t="array" ref="K79">MIN(_xlfn._xlws.FILTER(PortfolioFrontier[#Data],(PortfolioFrontier[#Headers]="P"&amp;Scenarios2[[#This Row],[Reference '#]]&amp;" DD")))</f>
        <v>-0.16949431138552595</v>
      </c>
      <c r="L79" s="69">
        <f>SUM(Scenarios2[[#This Row],[SPY]:[VNQ]])</f>
        <v>0.85</v>
      </c>
      <c r="M79" s="69">
        <f>SUM(Scenarios2[[#This Row],[SPY]:[PE]])</f>
        <v>1</v>
      </c>
      <c r="N79" s="71" t="b">
        <f>Scenarios2[[#This Row],[SPY]]&gt;=SpyMin</f>
        <v>1</v>
      </c>
      <c r="O79" s="71" t="b">
        <f>Scenarios2[[#This Row],[AGG]]&gt;=AGGMin</f>
        <v>1</v>
      </c>
      <c r="P79" s="71" t="b">
        <f>AND(Scenarios2[[#This Row],[GLD]]&gt;=GLDMin,Scenarios2[[#This Row],[GLD]]&lt;=GLDMax)</f>
        <v>1</v>
      </c>
      <c r="Q79" s="71" t="b">
        <f>Scenarios2[[#This Row],[VNQ]]&gt;=VNQMin</f>
        <v>1</v>
      </c>
      <c r="R79" s="71" t="b">
        <f>AND(Scenarios2[[#This Row],[PE]]&gt;=PEMin,Scenarios2[[#This Row],[PE]]&lt;=PEMax)</f>
        <v>1</v>
      </c>
      <c r="S79" s="71" t="b">
        <f>Scenarios2[[#This Row],[Liquid Assets]]&gt;=LiquidMin</f>
        <v>1</v>
      </c>
      <c r="T79" s="71" t="b">
        <f>AND(Scenarios2[[#This Row],[Expected Return]]&gt;=ExpectedReturnMin,Scenarios2[[#This Row],[Expected Return]]&lt;=ExpectedReturnMax)</f>
        <v>1</v>
      </c>
      <c r="U79" s="71" t="b">
        <f>Scenarios2[[#This Row],[Max Drawdown]]&gt;=DrawdownMax</f>
        <v>1</v>
      </c>
      <c r="V7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79" s="46">
        <f>_xlfn.XLOOKUP(Scenarios2[[#This Row],[Reference '#]],ScenariosCombined[Reference '#],ScenariosCombined[Sharpe Rank])</f>
        <v>91</v>
      </c>
      <c r="X79" s="44">
        <f>IF(Scenarios2[[#This Row],[Eligible]],COUNTIFS(Scenarios2[Sharpe],"&gt;"&amp;Scenarios2[[#This Row],[Sharpe]],Scenarios2[Eligible],TRUE())+COUNTIFS(Scenarios2[Sharpe],Scenarios2[[#This Row],[Sharpe]],Scenarios2[Eligible],TRUE()),"")</f>
        <v>91</v>
      </c>
      <c r="Y7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30/30/10/15/15</v>
      </c>
      <c r="Z79">
        <f>_xlfn.XLOOKUP(Scenarios2[[#This Row],[Reference '#]],Scenarios1[Reference '#],Scenarios1[Sharpe Rank])</f>
        <v>92</v>
      </c>
      <c r="AA79">
        <f>Scenarios2[[#This Row],[Sharpe Rank]]</f>
        <v>91</v>
      </c>
      <c r="AB79">
        <f>_xlfn.XLOOKUP(Scenarios2[[#This Row],[Reference '#]],Scenarios3[Reference '#],Scenarios3[Sharpe Rank])</f>
        <v>79</v>
      </c>
      <c r="AC79"/>
      <c r="AD79"/>
      <c r="AE79"/>
      <c r="AF79" s="34"/>
      <c r="AG79" s="34"/>
    </row>
    <row r="80" spans="2:33" s="15" customFormat="1" x14ac:dyDescent="0.2">
      <c r="B80" s="44">
        <v>70</v>
      </c>
      <c r="C80" s="68">
        <v>0.3</v>
      </c>
      <c r="D80" s="69">
        <v>0.3</v>
      </c>
      <c r="E80" s="69">
        <v>0.1</v>
      </c>
      <c r="F80" s="69">
        <v>0.1</v>
      </c>
      <c r="G80" s="69">
        <v>0.2</v>
      </c>
      <c r="H80" s="69">
        <f>SUMPRODUCT(Scenarios2[[#This Row],[SPY]:[PE]],_xlfn.TOROW(AssetSpecsScenario2[Annualized Return]))</f>
        <v>7.7840462073186692E-2</v>
      </c>
      <c r="I80" s="69" cm="1">
        <f t="array" ref="I80">SQRT(MMULT(MMULT(Scenarios2[[#This Row],[SPY]:[PE]], 'Corr_Cov 36- Month'!$J$13:$N$17), TRANSPOSE(Scenarios2[[#This Row],[SPY]:[PE]])))</f>
        <v>7.0183318774743708E-2</v>
      </c>
      <c r="J80" s="70">
        <f>(Scenarios2[[#This Row],[Expected Return]]-RiskFree)/Scenarios2[[#This Row],[36M Vol]]</f>
        <v>0.43934808236408801</v>
      </c>
      <c r="K80" s="69" cm="1">
        <f t="array" ref="K80">MIN(_xlfn._xlws.FILTER(PortfolioFrontier[#Data],(PortfolioFrontier[#Headers]="P"&amp;Scenarios2[[#This Row],[Reference '#]]&amp;" DD")))</f>
        <v>-0.15496704459696842</v>
      </c>
      <c r="L80" s="69">
        <f>SUM(Scenarios2[[#This Row],[SPY]:[VNQ]])</f>
        <v>0.79999999999999993</v>
      </c>
      <c r="M80" s="69">
        <f>SUM(Scenarios2[[#This Row],[SPY]:[PE]])</f>
        <v>1</v>
      </c>
      <c r="N80" s="71" t="b">
        <f>Scenarios2[[#This Row],[SPY]]&gt;=SpyMin</f>
        <v>1</v>
      </c>
      <c r="O80" s="71" t="b">
        <f>Scenarios2[[#This Row],[AGG]]&gt;=AGGMin</f>
        <v>1</v>
      </c>
      <c r="P80" s="71" t="b">
        <f>AND(Scenarios2[[#This Row],[GLD]]&gt;=GLDMin,Scenarios2[[#This Row],[GLD]]&lt;=GLDMax)</f>
        <v>1</v>
      </c>
      <c r="Q80" s="71" t="b">
        <f>Scenarios2[[#This Row],[VNQ]]&gt;=VNQMin</f>
        <v>1</v>
      </c>
      <c r="R80" s="71" t="b">
        <f>AND(Scenarios2[[#This Row],[PE]]&gt;=PEMin,Scenarios2[[#This Row],[PE]]&lt;=PEMax)</f>
        <v>1</v>
      </c>
      <c r="S80" s="71" t="b">
        <f>Scenarios2[[#This Row],[Liquid Assets]]&gt;=LiquidMin</f>
        <v>1</v>
      </c>
      <c r="T80" s="71" t="b">
        <f>AND(Scenarios2[[#This Row],[Expected Return]]&gt;=ExpectedReturnMin,Scenarios2[[#This Row],[Expected Return]]&lt;=ExpectedReturnMax)</f>
        <v>1</v>
      </c>
      <c r="U80" s="71" t="b">
        <f>Scenarios2[[#This Row],[Max Drawdown]]&gt;=DrawdownMax</f>
        <v>1</v>
      </c>
      <c r="V8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0" s="46">
        <f>_xlfn.XLOOKUP(Scenarios2[[#This Row],[Reference '#]],ScenariosCombined[Reference '#],ScenariosCombined[Sharpe Rank])</f>
        <v>66</v>
      </c>
      <c r="X80" s="44">
        <f>IF(Scenarios2[[#This Row],[Eligible]],COUNTIFS(Scenarios2[Sharpe],"&gt;"&amp;Scenarios2[[#This Row],[Sharpe]],Scenarios2[Eligible],TRUE())+COUNTIFS(Scenarios2[Sharpe],Scenarios2[[#This Row],[Sharpe]],Scenarios2[Eligible],TRUE()),"")</f>
        <v>70</v>
      </c>
      <c r="Y8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30/30/10/10/20</v>
      </c>
      <c r="Z80">
        <f>_xlfn.XLOOKUP(Scenarios2[[#This Row],[Reference '#]],Scenarios1[Reference '#],Scenarios1[Sharpe Rank])</f>
        <v>74</v>
      </c>
      <c r="AA80">
        <f>Scenarios2[[#This Row],[Sharpe Rank]]</f>
        <v>70</v>
      </c>
      <c r="AB80">
        <f>_xlfn.XLOOKUP(Scenarios2[[#This Row],[Reference '#]],Scenarios3[Reference '#],Scenarios3[Sharpe Rank])</f>
        <v>50</v>
      </c>
      <c r="AC80"/>
      <c r="AD80"/>
      <c r="AE80"/>
      <c r="AF80" s="34"/>
      <c r="AG80" s="34"/>
    </row>
    <row r="81" spans="2:33" s="15" customFormat="1" x14ac:dyDescent="0.2">
      <c r="B81" s="44">
        <v>71</v>
      </c>
      <c r="C81" s="68">
        <v>0.3</v>
      </c>
      <c r="D81" s="69">
        <v>0.25</v>
      </c>
      <c r="E81" s="69">
        <v>0.2</v>
      </c>
      <c r="F81" s="69">
        <v>0.15</v>
      </c>
      <c r="G81" s="69">
        <v>0.1</v>
      </c>
      <c r="H81" s="69">
        <f>SUMPRODUCT(Scenarios2[[#This Row],[SPY]:[PE]],_xlfn.TOROW(AssetSpecsScenario2[Annualized Return]))</f>
        <v>8.713422618360922E-2</v>
      </c>
      <c r="I81" s="69" cm="1">
        <f t="array" ref="I81">SQRT(MMULT(MMULT(Scenarios2[[#This Row],[SPY]:[PE]], 'Corr_Cov 36- Month'!$J$13:$N$17), TRANSPOSE(Scenarios2[[#This Row],[SPY]:[PE]])))</f>
        <v>8.0010764689115568E-2</v>
      </c>
      <c r="J81" s="70">
        <f>(Scenarios2[[#This Row],[Expected Return]]-RiskFree)/Scenarios2[[#This Row],[36M Vol]]</f>
        <v>0.50154089620284126</v>
      </c>
      <c r="K81" s="69" cm="1">
        <f t="array" ref="K81">MIN(_xlfn._xlws.FILTER(PortfolioFrontier[#Data],(PortfolioFrontier[#Headers]="P"&amp;Scenarios2[[#This Row],[Reference '#]]&amp;" DD")))</f>
        <v>-0.17128851054404948</v>
      </c>
      <c r="L81" s="69">
        <f>SUM(Scenarios2[[#This Row],[SPY]:[VNQ]])</f>
        <v>0.9</v>
      </c>
      <c r="M81" s="69">
        <f>SUM(Scenarios2[[#This Row],[SPY]:[PE]])</f>
        <v>1</v>
      </c>
      <c r="N81" s="71" t="b">
        <f>Scenarios2[[#This Row],[SPY]]&gt;=SpyMin</f>
        <v>1</v>
      </c>
      <c r="O81" s="71" t="b">
        <f>Scenarios2[[#This Row],[AGG]]&gt;=AGGMin</f>
        <v>1</v>
      </c>
      <c r="P81" s="71" t="b">
        <f>AND(Scenarios2[[#This Row],[GLD]]&gt;=GLDMin,Scenarios2[[#This Row],[GLD]]&lt;=GLDMax)</f>
        <v>1</v>
      </c>
      <c r="Q81" s="71" t="b">
        <f>Scenarios2[[#This Row],[VNQ]]&gt;=VNQMin</f>
        <v>1</v>
      </c>
      <c r="R81" s="71" t="b">
        <f>AND(Scenarios2[[#This Row],[PE]]&gt;=PEMin,Scenarios2[[#This Row],[PE]]&lt;=PEMax)</f>
        <v>1</v>
      </c>
      <c r="S81" s="71" t="b">
        <f>Scenarios2[[#This Row],[Liquid Assets]]&gt;=LiquidMin</f>
        <v>1</v>
      </c>
      <c r="T81" s="71" t="b">
        <f>AND(Scenarios2[[#This Row],[Expected Return]]&gt;=ExpectedReturnMin,Scenarios2[[#This Row],[Expected Return]]&lt;=ExpectedReturnMax)</f>
        <v>1</v>
      </c>
      <c r="U81" s="71" t="b">
        <f>Scenarios2[[#This Row],[Max Drawdown]]&gt;=DrawdownMax</f>
        <v>1</v>
      </c>
      <c r="V8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1" s="46">
        <f>_xlfn.XLOOKUP(Scenarios2[[#This Row],[Reference '#]],ScenariosCombined[Reference '#],ScenariosCombined[Sharpe Rank])</f>
        <v>47</v>
      </c>
      <c r="X81" s="44">
        <f>IF(Scenarios2[[#This Row],[Eligible]],COUNTIFS(Scenarios2[Sharpe],"&gt;"&amp;Scenarios2[[#This Row],[Sharpe]],Scenarios2[Eligible],TRUE())+COUNTIFS(Scenarios2[Sharpe],Scenarios2[[#This Row],[Sharpe]],Scenarios2[Eligible],TRUE()),"")</f>
        <v>44</v>
      </c>
      <c r="Y8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30/25/20/15/10</v>
      </c>
      <c r="Z81">
        <f>_xlfn.XLOOKUP(Scenarios2[[#This Row],[Reference '#]],Scenarios1[Reference '#],Scenarios1[Sharpe Rank])</f>
        <v>44</v>
      </c>
      <c r="AA81">
        <f>Scenarios2[[#This Row],[Sharpe Rank]]</f>
        <v>44</v>
      </c>
      <c r="AB81">
        <f>_xlfn.XLOOKUP(Scenarios2[[#This Row],[Reference '#]],Scenarios3[Reference '#],Scenarios3[Sharpe Rank])</f>
        <v>40</v>
      </c>
      <c r="AC81"/>
      <c r="AD81"/>
      <c r="AE81"/>
      <c r="AF81" s="34"/>
      <c r="AG81" s="34"/>
    </row>
    <row r="82" spans="2:33" s="15" customFormat="1" x14ac:dyDescent="0.2">
      <c r="B82" s="44">
        <v>72</v>
      </c>
      <c r="C82" s="68">
        <v>0.3</v>
      </c>
      <c r="D82" s="69">
        <v>0.25</v>
      </c>
      <c r="E82" s="69">
        <v>0.2</v>
      </c>
      <c r="F82" s="69">
        <v>0.1</v>
      </c>
      <c r="G82" s="69">
        <v>0.15</v>
      </c>
      <c r="H82" s="69">
        <f>SUMPRODUCT(Scenarios2[[#This Row],[SPY]:[PE]],_xlfn.TOROW(AssetSpecsScenario2[Annualized Return]))</f>
        <v>8.7270932702555704E-2</v>
      </c>
      <c r="I82" s="69" cm="1">
        <f t="array" ref="I82">SQRT(MMULT(MMULT(Scenarios2[[#This Row],[SPY]:[PE]], 'Corr_Cov 36- Month'!$J$13:$N$17), TRANSPOSE(Scenarios2[[#This Row],[SPY]:[PE]])))</f>
        <v>7.2714722030830112E-2</v>
      </c>
      <c r="J82" s="70">
        <f>(Scenarios2[[#This Row],[Expected Return]]-RiskFree)/Scenarios2[[#This Row],[36M Vol]]</f>
        <v>0.55374449660865299</v>
      </c>
      <c r="K82" s="69" cm="1">
        <f t="array" ref="K82">MIN(_xlfn._xlws.FILTER(PortfolioFrontier[#Data],(PortfolioFrontier[#Headers]="P"&amp;Scenarios2[[#This Row],[Reference '#]]&amp;" DD")))</f>
        <v>-0.15677480431751634</v>
      </c>
      <c r="L82" s="69">
        <f>SUM(Scenarios2[[#This Row],[SPY]:[VNQ]])</f>
        <v>0.85</v>
      </c>
      <c r="M82" s="69">
        <f>SUM(Scenarios2[[#This Row],[SPY]:[PE]])</f>
        <v>1</v>
      </c>
      <c r="N82" s="71" t="b">
        <f>Scenarios2[[#This Row],[SPY]]&gt;=SpyMin</f>
        <v>1</v>
      </c>
      <c r="O82" s="71" t="b">
        <f>Scenarios2[[#This Row],[AGG]]&gt;=AGGMin</f>
        <v>1</v>
      </c>
      <c r="P82" s="71" t="b">
        <f>AND(Scenarios2[[#This Row],[GLD]]&gt;=GLDMin,Scenarios2[[#This Row],[GLD]]&lt;=GLDMax)</f>
        <v>1</v>
      </c>
      <c r="Q82" s="71" t="b">
        <f>Scenarios2[[#This Row],[VNQ]]&gt;=VNQMin</f>
        <v>1</v>
      </c>
      <c r="R82" s="71" t="b">
        <f>AND(Scenarios2[[#This Row],[PE]]&gt;=PEMin,Scenarios2[[#This Row],[PE]]&lt;=PEMax)</f>
        <v>1</v>
      </c>
      <c r="S82" s="71" t="b">
        <f>Scenarios2[[#This Row],[Liquid Assets]]&gt;=LiquidMin</f>
        <v>1</v>
      </c>
      <c r="T82" s="71" t="b">
        <f>AND(Scenarios2[[#This Row],[Expected Return]]&gt;=ExpectedReturnMin,Scenarios2[[#This Row],[Expected Return]]&lt;=ExpectedReturnMax)</f>
        <v>1</v>
      </c>
      <c r="U82" s="71" t="b">
        <f>Scenarios2[[#This Row],[Max Drawdown]]&gt;=DrawdownMax</f>
        <v>1</v>
      </c>
      <c r="V8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2" s="46">
        <f>_xlfn.XLOOKUP(Scenarios2[[#This Row],[Reference '#]],ScenariosCombined[Reference '#],ScenariosCombined[Sharpe Rank])</f>
        <v>22</v>
      </c>
      <c r="X82" s="44">
        <f>IF(Scenarios2[[#This Row],[Eligible]],COUNTIFS(Scenarios2[Sharpe],"&gt;"&amp;Scenarios2[[#This Row],[Sharpe]],Scenarios2[Eligible],TRUE())+COUNTIFS(Scenarios2[Sharpe],Scenarios2[[#This Row],[Sharpe]],Scenarios2[Eligible],TRUE()),"")</f>
        <v>23</v>
      </c>
      <c r="Y8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30/25/20/10/15</v>
      </c>
      <c r="Z82">
        <f>_xlfn.XLOOKUP(Scenarios2[[#This Row],[Reference '#]],Scenarios1[Reference '#],Scenarios1[Sharpe Rank])</f>
        <v>27</v>
      </c>
      <c r="AA82">
        <f>Scenarios2[[#This Row],[Sharpe Rank]]</f>
        <v>23</v>
      </c>
      <c r="AB82">
        <f>_xlfn.XLOOKUP(Scenarios2[[#This Row],[Reference '#]],Scenarios3[Reference '#],Scenarios3[Sharpe Rank])</f>
        <v>12</v>
      </c>
      <c r="AC82"/>
      <c r="AD82"/>
      <c r="AE82"/>
      <c r="AF82" s="34"/>
      <c r="AG82" s="34"/>
    </row>
    <row r="83" spans="2:33" s="15" customFormat="1" x14ac:dyDescent="0.2">
      <c r="B83" s="44">
        <v>73</v>
      </c>
      <c r="C83" s="68">
        <v>0.3</v>
      </c>
      <c r="D83" s="69">
        <v>0.25</v>
      </c>
      <c r="E83" s="69">
        <v>0.15</v>
      </c>
      <c r="F83" s="69">
        <v>0.2</v>
      </c>
      <c r="G83" s="69">
        <v>0.1</v>
      </c>
      <c r="H83" s="69">
        <f>SUMPRODUCT(Scenarios2[[#This Row],[SPY]:[PE]],_xlfn.TOROW(AssetSpecsScenario2[Annualized Return]))</f>
        <v>8.3142507282533182E-2</v>
      </c>
      <c r="I83" s="69" cm="1">
        <f t="array" ref="I83">SQRT(MMULT(MMULT(Scenarios2[[#This Row],[SPY]:[PE]], 'Corr_Cov 36- Month'!$J$13:$N$17), TRANSPOSE(Scenarios2[[#This Row],[SPY]:[PE]])))</f>
        <v>8.4928821661042236E-2</v>
      </c>
      <c r="J83" s="70">
        <f>(Scenarios2[[#This Row],[Expected Return]]-RiskFree)/Scenarios2[[#This Row],[36M Vol]]</f>
        <v>0.42549691636136333</v>
      </c>
      <c r="K83" s="69" cm="1">
        <f t="array" ref="K83">MIN(_xlfn._xlws.FILTER(PortfolioFrontier[#Data],(PortfolioFrontier[#Headers]="P"&amp;Scenarios2[[#This Row],[Reference '#]]&amp;" DD")))</f>
        <v>-0.18146484085570624</v>
      </c>
      <c r="L83" s="69">
        <f>SUM(Scenarios2[[#This Row],[SPY]:[VNQ]])</f>
        <v>0.90000000000000013</v>
      </c>
      <c r="M83" s="69">
        <f>SUM(Scenarios2[[#This Row],[SPY]:[PE]])</f>
        <v>1.0000000000000002</v>
      </c>
      <c r="N83" s="71" t="b">
        <f>Scenarios2[[#This Row],[SPY]]&gt;=SpyMin</f>
        <v>1</v>
      </c>
      <c r="O83" s="71" t="b">
        <f>Scenarios2[[#This Row],[AGG]]&gt;=AGGMin</f>
        <v>1</v>
      </c>
      <c r="P83" s="71" t="b">
        <f>AND(Scenarios2[[#This Row],[GLD]]&gt;=GLDMin,Scenarios2[[#This Row],[GLD]]&lt;=GLDMax)</f>
        <v>1</v>
      </c>
      <c r="Q83" s="71" t="b">
        <f>Scenarios2[[#This Row],[VNQ]]&gt;=VNQMin</f>
        <v>1</v>
      </c>
      <c r="R83" s="71" t="b">
        <f>AND(Scenarios2[[#This Row],[PE]]&gt;=PEMin,Scenarios2[[#This Row],[PE]]&lt;=PEMax)</f>
        <v>1</v>
      </c>
      <c r="S83" s="71" t="b">
        <f>Scenarios2[[#This Row],[Liquid Assets]]&gt;=LiquidMin</f>
        <v>1</v>
      </c>
      <c r="T83" s="71" t="b">
        <f>AND(Scenarios2[[#This Row],[Expected Return]]&gt;=ExpectedReturnMin,Scenarios2[[#This Row],[Expected Return]]&lt;=ExpectedReturnMax)</f>
        <v>1</v>
      </c>
      <c r="U83" s="71" t="b">
        <f>Scenarios2[[#This Row],[Max Drawdown]]&gt;=DrawdownMax</f>
        <v>1</v>
      </c>
      <c r="V8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3" s="46">
        <f>_xlfn.XLOOKUP(Scenarios2[[#This Row],[Reference '#]],ScenariosCombined[Reference '#],ScenariosCombined[Sharpe Rank])</f>
        <v>79</v>
      </c>
      <c r="X83" s="44">
        <f>IF(Scenarios2[[#This Row],[Eligible]],COUNTIFS(Scenarios2[Sharpe],"&gt;"&amp;Scenarios2[[#This Row],[Sharpe]],Scenarios2[Eligible],TRUE())+COUNTIFS(Scenarios2[Sharpe],Scenarios2[[#This Row],[Sharpe]],Scenarios2[Eligible],TRUE()),"")</f>
        <v>77</v>
      </c>
      <c r="Y8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30/25/15/20/10</v>
      </c>
      <c r="Z83">
        <f>_xlfn.XLOOKUP(Scenarios2[[#This Row],[Reference '#]],Scenarios1[Reference '#],Scenarios1[Sharpe Rank])</f>
        <v>77</v>
      </c>
      <c r="AA83">
        <f>Scenarios2[[#This Row],[Sharpe Rank]]</f>
        <v>77</v>
      </c>
      <c r="AB83">
        <f>_xlfn.XLOOKUP(Scenarios2[[#This Row],[Reference '#]],Scenarios3[Reference '#],Scenarios3[Sharpe Rank])</f>
        <v>75</v>
      </c>
      <c r="AC83"/>
      <c r="AD83"/>
      <c r="AE83"/>
      <c r="AF83" s="34"/>
      <c r="AG83" s="34"/>
    </row>
    <row r="84" spans="2:33" s="15" customFormat="1" x14ac:dyDescent="0.2">
      <c r="B84" s="44">
        <v>74</v>
      </c>
      <c r="C84" s="68">
        <v>0.3</v>
      </c>
      <c r="D84" s="69">
        <v>0.25</v>
      </c>
      <c r="E84" s="69">
        <v>0.15</v>
      </c>
      <c r="F84" s="69">
        <v>0.15</v>
      </c>
      <c r="G84" s="69">
        <v>0.15</v>
      </c>
      <c r="H84" s="69">
        <f>SUMPRODUCT(Scenarios2[[#This Row],[SPY]:[PE]],_xlfn.TOROW(AssetSpecsScenario2[Annualized Return]))</f>
        <v>8.3279213801479679E-2</v>
      </c>
      <c r="I84" s="69" cm="1">
        <f t="array" ref="I84">SQRT(MMULT(MMULT(Scenarios2[[#This Row],[SPY]:[PE]], 'Corr_Cov 36- Month'!$J$13:$N$17), TRANSPOSE(Scenarios2[[#This Row],[SPY]:[PE]])))</f>
        <v>7.7253086138892896E-2</v>
      </c>
      <c r="J84" s="70">
        <f>(Scenarios2[[#This Row],[Expected Return]]-RiskFree)/Scenarios2[[#This Row],[36M Vol]]</f>
        <v>0.4695431607833494</v>
      </c>
      <c r="K84" s="69" cm="1">
        <f t="array" ref="K84">MIN(_xlfn._xlws.FILTER(PortfolioFrontier[#Data],(PortfolioFrontier[#Headers]="P"&amp;Scenarios2[[#This Row],[Reference '#]]&amp;" DD")))</f>
        <v>-0.16702205029844652</v>
      </c>
      <c r="L84" s="69">
        <f>SUM(Scenarios2[[#This Row],[SPY]:[VNQ]])</f>
        <v>0.85000000000000009</v>
      </c>
      <c r="M84" s="69">
        <f>SUM(Scenarios2[[#This Row],[SPY]:[PE]])</f>
        <v>1</v>
      </c>
      <c r="N84" s="71" t="b">
        <f>Scenarios2[[#This Row],[SPY]]&gt;=SpyMin</f>
        <v>1</v>
      </c>
      <c r="O84" s="71" t="b">
        <f>Scenarios2[[#This Row],[AGG]]&gt;=AGGMin</f>
        <v>1</v>
      </c>
      <c r="P84" s="71" t="b">
        <f>AND(Scenarios2[[#This Row],[GLD]]&gt;=GLDMin,Scenarios2[[#This Row],[GLD]]&lt;=GLDMax)</f>
        <v>1</v>
      </c>
      <c r="Q84" s="71" t="b">
        <f>Scenarios2[[#This Row],[VNQ]]&gt;=VNQMin</f>
        <v>1</v>
      </c>
      <c r="R84" s="71" t="b">
        <f>AND(Scenarios2[[#This Row],[PE]]&gt;=PEMin,Scenarios2[[#This Row],[PE]]&lt;=PEMax)</f>
        <v>1</v>
      </c>
      <c r="S84" s="71" t="b">
        <f>Scenarios2[[#This Row],[Liquid Assets]]&gt;=LiquidMin</f>
        <v>1</v>
      </c>
      <c r="T84" s="71" t="b">
        <f>AND(Scenarios2[[#This Row],[Expected Return]]&gt;=ExpectedReturnMin,Scenarios2[[#This Row],[Expected Return]]&lt;=ExpectedReturnMax)</f>
        <v>1</v>
      </c>
      <c r="U84" s="71" t="b">
        <f>Scenarios2[[#This Row],[Max Drawdown]]&gt;=DrawdownMax</f>
        <v>1</v>
      </c>
      <c r="V8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4" s="46">
        <f>_xlfn.XLOOKUP(Scenarios2[[#This Row],[Reference '#]],ScenariosCombined[Reference '#],ScenariosCombined[Sharpe Rank])</f>
        <v>58</v>
      </c>
      <c r="X84" s="44">
        <f>IF(Scenarios2[[#This Row],[Eligible]],COUNTIFS(Scenarios2[Sharpe],"&gt;"&amp;Scenarios2[[#This Row],[Sharpe]],Scenarios2[Eligible],TRUE())+COUNTIFS(Scenarios2[Sharpe],Scenarios2[[#This Row],[Sharpe]],Scenarios2[Eligible],TRUE()),"")</f>
        <v>58</v>
      </c>
      <c r="Y8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30/25/15/15/15</v>
      </c>
      <c r="Z84">
        <f>_xlfn.XLOOKUP(Scenarios2[[#This Row],[Reference '#]],Scenarios1[Reference '#],Scenarios1[Sharpe Rank])</f>
        <v>60</v>
      </c>
      <c r="AA84">
        <f>Scenarios2[[#This Row],[Sharpe Rank]]</f>
        <v>58</v>
      </c>
      <c r="AB84">
        <f>_xlfn.XLOOKUP(Scenarios2[[#This Row],[Reference '#]],Scenarios3[Reference '#],Scenarios3[Sharpe Rank])</f>
        <v>45</v>
      </c>
      <c r="AC84"/>
      <c r="AD84"/>
      <c r="AE84"/>
      <c r="AF84" s="34"/>
      <c r="AG84" s="34"/>
    </row>
    <row r="85" spans="2:33" s="15" customFormat="1" x14ac:dyDescent="0.2">
      <c r="B85" s="44">
        <v>75</v>
      </c>
      <c r="C85" s="68">
        <v>0.3</v>
      </c>
      <c r="D85" s="69">
        <v>0.25</v>
      </c>
      <c r="E85" s="69">
        <v>0.15</v>
      </c>
      <c r="F85" s="69">
        <v>0.1</v>
      </c>
      <c r="G85" s="69">
        <v>0.2</v>
      </c>
      <c r="H85" s="69">
        <f>SUMPRODUCT(Scenarios2[[#This Row],[SPY]:[PE]],_xlfn.TOROW(AssetSpecsScenario2[Annualized Return]))</f>
        <v>8.3415920320426176E-2</v>
      </c>
      <c r="I85" s="69" cm="1">
        <f t="array" ref="I85">SQRT(MMULT(MMULT(Scenarios2[[#This Row],[SPY]:[PE]], 'Corr_Cov 36- Month'!$J$13:$N$17), TRANSPOSE(Scenarios2[[#This Row],[SPY]:[PE]])))</f>
        <v>7.0051965201167465E-2</v>
      </c>
      <c r="J85" s="70">
        <f>(Scenarios2[[#This Row],[Expected Return]]-RiskFree)/Scenarios2[[#This Row],[36M Vol]]</f>
        <v>0.51976221738121664</v>
      </c>
      <c r="K85" s="69" cm="1">
        <f t="array" ref="K85">MIN(_xlfn._xlws.FILTER(PortfolioFrontier[#Data],(PortfolioFrontier[#Headers]="P"&amp;Scenarios2[[#This Row],[Reference '#]]&amp;" DD")))</f>
        <v>-0.15246458266521146</v>
      </c>
      <c r="L85" s="69">
        <f>SUM(Scenarios2[[#This Row],[SPY]:[VNQ]])</f>
        <v>0.8</v>
      </c>
      <c r="M85" s="69">
        <f>SUM(Scenarios2[[#This Row],[SPY]:[PE]])</f>
        <v>1</v>
      </c>
      <c r="N85" s="71" t="b">
        <f>Scenarios2[[#This Row],[SPY]]&gt;=SpyMin</f>
        <v>1</v>
      </c>
      <c r="O85" s="71" t="b">
        <f>Scenarios2[[#This Row],[AGG]]&gt;=AGGMin</f>
        <v>1</v>
      </c>
      <c r="P85" s="71" t="b">
        <f>AND(Scenarios2[[#This Row],[GLD]]&gt;=GLDMin,Scenarios2[[#This Row],[GLD]]&lt;=GLDMax)</f>
        <v>1</v>
      </c>
      <c r="Q85" s="71" t="b">
        <f>Scenarios2[[#This Row],[VNQ]]&gt;=VNQMin</f>
        <v>1</v>
      </c>
      <c r="R85" s="71" t="b">
        <f>AND(Scenarios2[[#This Row],[PE]]&gt;=PEMin,Scenarios2[[#This Row],[PE]]&lt;=PEMax)</f>
        <v>1</v>
      </c>
      <c r="S85" s="71" t="b">
        <f>Scenarios2[[#This Row],[Liquid Assets]]&gt;=LiquidMin</f>
        <v>1</v>
      </c>
      <c r="T85" s="71" t="b">
        <f>AND(Scenarios2[[#This Row],[Expected Return]]&gt;=ExpectedReturnMin,Scenarios2[[#This Row],[Expected Return]]&lt;=ExpectedReturnMax)</f>
        <v>1</v>
      </c>
      <c r="U85" s="71" t="b">
        <f>Scenarios2[[#This Row],[Max Drawdown]]&gt;=DrawdownMax</f>
        <v>1</v>
      </c>
      <c r="V8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5" s="46">
        <f>_xlfn.XLOOKUP(Scenarios2[[#This Row],[Reference '#]],ScenariosCombined[Reference '#],ScenariosCombined[Sharpe Rank])</f>
        <v>32</v>
      </c>
      <c r="X85" s="44">
        <f>IF(Scenarios2[[#This Row],[Eligible]],COUNTIFS(Scenarios2[Sharpe],"&gt;"&amp;Scenarios2[[#This Row],[Sharpe]],Scenarios2[Eligible],TRUE())+COUNTIFS(Scenarios2[Sharpe],Scenarios2[[#This Row],[Sharpe]],Scenarios2[Eligible],TRUE()),"")</f>
        <v>34</v>
      </c>
      <c r="Y8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30/25/15/10/20</v>
      </c>
      <c r="Z85">
        <f>_xlfn.XLOOKUP(Scenarios2[[#This Row],[Reference '#]],Scenarios1[Reference '#],Scenarios1[Sharpe Rank])</f>
        <v>39</v>
      </c>
      <c r="AA85">
        <f>Scenarios2[[#This Row],[Sharpe Rank]]</f>
        <v>34</v>
      </c>
      <c r="AB85">
        <f>_xlfn.XLOOKUP(Scenarios2[[#This Row],[Reference '#]],Scenarios3[Reference '#],Scenarios3[Sharpe Rank])</f>
        <v>16</v>
      </c>
      <c r="AC85"/>
      <c r="AD85"/>
      <c r="AE85"/>
      <c r="AF85" s="34"/>
      <c r="AG85" s="34"/>
    </row>
    <row r="86" spans="2:33" s="15" customFormat="1" x14ac:dyDescent="0.2">
      <c r="B86" s="44">
        <v>76</v>
      </c>
      <c r="C86" s="68">
        <v>0.3</v>
      </c>
      <c r="D86" s="69">
        <v>0.25</v>
      </c>
      <c r="E86" s="69">
        <v>0.1</v>
      </c>
      <c r="F86" s="69">
        <v>0.25</v>
      </c>
      <c r="G86" s="69">
        <v>0.1</v>
      </c>
      <c r="H86" s="69">
        <f>SUMPRODUCT(Scenarios2[[#This Row],[SPY]:[PE]],_xlfn.TOROW(AssetSpecsScenario2[Annualized Return]))</f>
        <v>7.9150788381457157E-2</v>
      </c>
      <c r="I86" s="69" cm="1">
        <f t="array" ref="I86">SQRT(MMULT(MMULT(Scenarios2[[#This Row],[SPY]:[PE]], 'Corr_Cov 36- Month'!$J$13:$N$17), TRANSPOSE(Scenarios2[[#This Row],[SPY]:[PE]])))</f>
        <v>9.07112597648638E-2</v>
      </c>
      <c r="J86" s="70">
        <f>(Scenarios2[[#This Row],[Expected Return]]-RiskFree)/Scenarios2[[#This Row],[36M Vol]]</f>
        <v>0.354368717943357</v>
      </c>
      <c r="K86" s="69" cm="1">
        <f t="array" ref="K86">MIN(_xlfn._xlws.FILTER(PortfolioFrontier[#Data],(PortfolioFrontier[#Headers]="P"&amp;Scenarios2[[#This Row],[Reference '#]]&amp;" DD")))</f>
        <v>-0.19161257876741677</v>
      </c>
      <c r="L86" s="69">
        <f>SUM(Scenarios2[[#This Row],[SPY]:[VNQ]])</f>
        <v>0.9</v>
      </c>
      <c r="M86" s="69">
        <f>SUM(Scenarios2[[#This Row],[SPY]:[PE]])</f>
        <v>1</v>
      </c>
      <c r="N86" s="71" t="b">
        <f>Scenarios2[[#This Row],[SPY]]&gt;=SpyMin</f>
        <v>1</v>
      </c>
      <c r="O86" s="71" t="b">
        <f>Scenarios2[[#This Row],[AGG]]&gt;=AGGMin</f>
        <v>1</v>
      </c>
      <c r="P86" s="71" t="b">
        <f>AND(Scenarios2[[#This Row],[GLD]]&gt;=GLDMin,Scenarios2[[#This Row],[GLD]]&lt;=GLDMax)</f>
        <v>1</v>
      </c>
      <c r="Q86" s="71" t="b">
        <f>Scenarios2[[#This Row],[VNQ]]&gt;=VNQMin</f>
        <v>1</v>
      </c>
      <c r="R86" s="71" t="b">
        <f>AND(Scenarios2[[#This Row],[PE]]&gt;=PEMin,Scenarios2[[#This Row],[PE]]&lt;=PEMax)</f>
        <v>1</v>
      </c>
      <c r="S86" s="71" t="b">
        <f>Scenarios2[[#This Row],[Liquid Assets]]&gt;=LiquidMin</f>
        <v>1</v>
      </c>
      <c r="T86" s="71" t="b">
        <f>AND(Scenarios2[[#This Row],[Expected Return]]&gt;=ExpectedReturnMin,Scenarios2[[#This Row],[Expected Return]]&lt;=ExpectedReturnMax)</f>
        <v>1</v>
      </c>
      <c r="U86" s="71" t="b">
        <f>Scenarios2[[#This Row],[Max Drawdown]]&gt;=DrawdownMax</f>
        <v>1</v>
      </c>
      <c r="V8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6" s="46">
        <f>_xlfn.XLOOKUP(Scenarios2[[#This Row],[Reference '#]],ScenariosCombined[Reference '#],ScenariosCombined[Sharpe Rank])</f>
        <v>106</v>
      </c>
      <c r="X86" s="44">
        <f>IF(Scenarios2[[#This Row],[Eligible]],COUNTIFS(Scenarios2[Sharpe],"&gt;"&amp;Scenarios2[[#This Row],[Sharpe]],Scenarios2[Eligible],TRUE())+COUNTIFS(Scenarios2[Sharpe],Scenarios2[[#This Row],[Sharpe]],Scenarios2[Eligible],TRUE()),"")</f>
        <v>102</v>
      </c>
      <c r="Y8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30/25/10/25/10</v>
      </c>
      <c r="Z86">
        <f>_xlfn.XLOOKUP(Scenarios2[[#This Row],[Reference '#]],Scenarios1[Reference '#],Scenarios1[Sharpe Rank])</f>
        <v>103</v>
      </c>
      <c r="AA86">
        <f>Scenarios2[[#This Row],[Sharpe Rank]]</f>
        <v>102</v>
      </c>
      <c r="AB86">
        <f>_xlfn.XLOOKUP(Scenarios2[[#This Row],[Reference '#]],Scenarios3[Reference '#],Scenarios3[Sharpe Rank])</f>
        <v>102</v>
      </c>
      <c r="AC86"/>
      <c r="AD86"/>
      <c r="AE86"/>
      <c r="AF86" s="34"/>
      <c r="AG86" s="34"/>
    </row>
    <row r="87" spans="2:33" s="15" customFormat="1" x14ac:dyDescent="0.2">
      <c r="B87" s="44">
        <v>77</v>
      </c>
      <c r="C87" s="68">
        <v>0.3</v>
      </c>
      <c r="D87" s="69">
        <v>0.25</v>
      </c>
      <c r="E87" s="69">
        <v>0.1</v>
      </c>
      <c r="F87" s="69">
        <v>0.2</v>
      </c>
      <c r="G87" s="69">
        <v>0.15</v>
      </c>
      <c r="H87" s="69">
        <f>SUMPRODUCT(Scenarios2[[#This Row],[SPY]:[PE]],_xlfn.TOROW(AssetSpecsScenario2[Annualized Return]))</f>
        <v>7.9287494900403654E-2</v>
      </c>
      <c r="I87" s="69" cm="1">
        <f t="array" ref="I87">SQRT(MMULT(MMULT(Scenarios2[[#This Row],[SPY]:[PE]], 'Corr_Cov 36- Month'!$J$13:$N$17), TRANSPOSE(Scenarios2[[#This Row],[SPY]:[PE]])))</f>
        <v>8.2783412908292858E-2</v>
      </c>
      <c r="J87" s="70">
        <f>(Scenarios2[[#This Row],[Expected Return]]-RiskFree)/Scenarios2[[#This Row],[36M Vol]]</f>
        <v>0.38995661341735099</v>
      </c>
      <c r="K87" s="69" cm="1">
        <f t="array" ref="K87">MIN(_xlfn._xlws.FILTER(PortfolioFrontier[#Data],(PortfolioFrontier[#Headers]="P"&amp;Scenarios2[[#This Row],[Reference '#]]&amp;" DD")))</f>
        <v>-0.1772423898155604</v>
      </c>
      <c r="L87" s="69">
        <f>SUM(Scenarios2[[#This Row],[SPY]:[VNQ]])</f>
        <v>0.85000000000000009</v>
      </c>
      <c r="M87" s="69">
        <f>SUM(Scenarios2[[#This Row],[SPY]:[PE]])</f>
        <v>1</v>
      </c>
      <c r="N87" s="71" t="b">
        <f>Scenarios2[[#This Row],[SPY]]&gt;=SpyMin</f>
        <v>1</v>
      </c>
      <c r="O87" s="71" t="b">
        <f>Scenarios2[[#This Row],[AGG]]&gt;=AGGMin</f>
        <v>1</v>
      </c>
      <c r="P87" s="71" t="b">
        <f>AND(Scenarios2[[#This Row],[GLD]]&gt;=GLDMin,Scenarios2[[#This Row],[GLD]]&lt;=GLDMax)</f>
        <v>1</v>
      </c>
      <c r="Q87" s="71" t="b">
        <f>Scenarios2[[#This Row],[VNQ]]&gt;=VNQMin</f>
        <v>1</v>
      </c>
      <c r="R87" s="71" t="b">
        <f>AND(Scenarios2[[#This Row],[PE]]&gt;=PEMin,Scenarios2[[#This Row],[PE]]&lt;=PEMax)</f>
        <v>1</v>
      </c>
      <c r="S87" s="71" t="b">
        <f>Scenarios2[[#This Row],[Liquid Assets]]&gt;=LiquidMin</f>
        <v>1</v>
      </c>
      <c r="T87" s="71" t="b">
        <f>AND(Scenarios2[[#This Row],[Expected Return]]&gt;=ExpectedReturnMin,Scenarios2[[#This Row],[Expected Return]]&lt;=ExpectedReturnMax)</f>
        <v>1</v>
      </c>
      <c r="U87" s="71" t="b">
        <f>Scenarios2[[#This Row],[Max Drawdown]]&gt;=DrawdownMax</f>
        <v>1</v>
      </c>
      <c r="V8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7" s="46">
        <f>_xlfn.XLOOKUP(Scenarios2[[#This Row],[Reference '#]],ScenariosCombined[Reference '#],ScenariosCombined[Sharpe Rank])</f>
        <v>93</v>
      </c>
      <c r="X87" s="44">
        <f>IF(Scenarios2[[#This Row],[Eligible]],COUNTIFS(Scenarios2[Sharpe],"&gt;"&amp;Scenarios2[[#This Row],[Sharpe]],Scenarios2[Eligible],TRUE())+COUNTIFS(Scenarios2[Sharpe],Scenarios2[[#This Row],[Sharpe]],Scenarios2[Eligible],TRUE()),"")</f>
        <v>93</v>
      </c>
      <c r="Y8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30/25/10/20/15</v>
      </c>
      <c r="Z87">
        <f>_xlfn.XLOOKUP(Scenarios2[[#This Row],[Reference '#]],Scenarios1[Reference '#],Scenarios1[Sharpe Rank])</f>
        <v>94</v>
      </c>
      <c r="AA87">
        <f>Scenarios2[[#This Row],[Sharpe Rank]]</f>
        <v>93</v>
      </c>
      <c r="AB87">
        <f>_xlfn.XLOOKUP(Scenarios2[[#This Row],[Reference '#]],Scenarios3[Reference '#],Scenarios3[Sharpe Rank])</f>
        <v>84</v>
      </c>
      <c r="AC87"/>
      <c r="AD87"/>
      <c r="AE87"/>
      <c r="AF87" s="34"/>
      <c r="AG87" s="34"/>
    </row>
    <row r="88" spans="2:33" s="15" customFormat="1" x14ac:dyDescent="0.2">
      <c r="B88" s="44">
        <v>78</v>
      </c>
      <c r="C88" s="68">
        <v>0.3</v>
      </c>
      <c r="D88" s="69">
        <v>0.25</v>
      </c>
      <c r="E88" s="69">
        <v>0.1</v>
      </c>
      <c r="F88" s="69">
        <v>0.15</v>
      </c>
      <c r="G88" s="69">
        <v>0.2</v>
      </c>
      <c r="H88" s="69">
        <f>SUMPRODUCT(Scenarios2[[#This Row],[SPY]:[PE]],_xlfn.TOROW(AssetSpecsScenario2[Annualized Return]))</f>
        <v>7.9424201419350166E-2</v>
      </c>
      <c r="I88" s="69" cm="1">
        <f t="array" ref="I88">SQRT(MMULT(MMULT(Scenarios2[[#This Row],[SPY]:[PE]], 'Corr_Cov 36- Month'!$J$13:$N$17), TRANSPOSE(Scenarios2[[#This Row],[SPY]:[PE]])))</f>
        <v>7.5244655615355843E-2</v>
      </c>
      <c r="J88" s="70">
        <f>(Scenarios2[[#This Row],[Expected Return]]-RiskFree)/Scenarios2[[#This Row],[36M Vol]]</f>
        <v>0.43084316884266072</v>
      </c>
      <c r="K88" s="69" cm="1">
        <f t="array" ref="K88">MIN(_xlfn._xlws.FILTER(PortfolioFrontier[#Data],(PortfolioFrontier[#Headers]="P"&amp;Scenarios2[[#This Row],[Reference '#]]&amp;" DD")))</f>
        <v>-0.1627558285676346</v>
      </c>
      <c r="L88" s="69">
        <f>SUM(Scenarios2[[#This Row],[SPY]:[VNQ]])</f>
        <v>0.8</v>
      </c>
      <c r="M88" s="69">
        <f>SUM(Scenarios2[[#This Row],[SPY]:[PE]])</f>
        <v>1</v>
      </c>
      <c r="N88" s="71" t="b">
        <f>Scenarios2[[#This Row],[SPY]]&gt;=SpyMin</f>
        <v>1</v>
      </c>
      <c r="O88" s="71" t="b">
        <f>Scenarios2[[#This Row],[AGG]]&gt;=AGGMin</f>
        <v>1</v>
      </c>
      <c r="P88" s="71" t="b">
        <f>AND(Scenarios2[[#This Row],[GLD]]&gt;=GLDMin,Scenarios2[[#This Row],[GLD]]&lt;=GLDMax)</f>
        <v>1</v>
      </c>
      <c r="Q88" s="71" t="b">
        <f>Scenarios2[[#This Row],[VNQ]]&gt;=VNQMin</f>
        <v>1</v>
      </c>
      <c r="R88" s="71" t="b">
        <f>AND(Scenarios2[[#This Row],[PE]]&gt;=PEMin,Scenarios2[[#This Row],[PE]]&lt;=PEMax)</f>
        <v>1</v>
      </c>
      <c r="S88" s="71" t="b">
        <f>Scenarios2[[#This Row],[Liquid Assets]]&gt;=LiquidMin</f>
        <v>1</v>
      </c>
      <c r="T88" s="71" t="b">
        <f>AND(Scenarios2[[#This Row],[Expected Return]]&gt;=ExpectedReturnMin,Scenarios2[[#This Row],[Expected Return]]&lt;=ExpectedReturnMax)</f>
        <v>1</v>
      </c>
      <c r="U88" s="71" t="b">
        <f>Scenarios2[[#This Row],[Max Drawdown]]&gt;=DrawdownMax</f>
        <v>1</v>
      </c>
      <c r="V8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8" s="46">
        <f>_xlfn.XLOOKUP(Scenarios2[[#This Row],[Reference '#]],ScenariosCombined[Reference '#],ScenariosCombined[Sharpe Rank])</f>
        <v>71</v>
      </c>
      <c r="X88" s="44">
        <f>IF(Scenarios2[[#This Row],[Eligible]],COUNTIFS(Scenarios2[Sharpe],"&gt;"&amp;Scenarios2[[#This Row],[Sharpe]],Scenarios2[Eligible],TRUE())+COUNTIFS(Scenarios2[Sharpe],Scenarios2[[#This Row],[Sharpe]],Scenarios2[Eligible],TRUE()),"")</f>
        <v>75</v>
      </c>
      <c r="Y8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30/25/10/15/20</v>
      </c>
      <c r="Z88">
        <f>_xlfn.XLOOKUP(Scenarios2[[#This Row],[Reference '#]],Scenarios1[Reference '#],Scenarios1[Sharpe Rank])</f>
        <v>80</v>
      </c>
      <c r="AA88">
        <f>Scenarios2[[#This Row],[Sharpe Rank]]</f>
        <v>75</v>
      </c>
      <c r="AB88">
        <f>_xlfn.XLOOKUP(Scenarios2[[#This Row],[Reference '#]],Scenarios3[Reference '#],Scenarios3[Sharpe Rank])</f>
        <v>58</v>
      </c>
      <c r="AC88"/>
      <c r="AD88"/>
      <c r="AE88"/>
      <c r="AF88" s="34"/>
      <c r="AG88" s="34"/>
    </row>
    <row r="89" spans="2:33" s="15" customFormat="1" x14ac:dyDescent="0.2">
      <c r="B89" s="44">
        <v>79</v>
      </c>
      <c r="C89" s="68">
        <v>0.3</v>
      </c>
      <c r="D89" s="69">
        <v>0.2</v>
      </c>
      <c r="E89" s="69">
        <v>0.2</v>
      </c>
      <c r="F89" s="69">
        <v>0.2</v>
      </c>
      <c r="G89" s="69">
        <v>0.1</v>
      </c>
      <c r="H89" s="69">
        <f>SUMPRODUCT(Scenarios2[[#This Row],[SPY]:[PE]],_xlfn.TOROW(AssetSpecsScenario2[Annualized Return]))</f>
        <v>8.871796552977268E-2</v>
      </c>
      <c r="I89" s="69" cm="1">
        <f t="array" ref="I89">SQRT(MMULT(MMULT(Scenarios2[[#This Row],[SPY]:[PE]], 'Corr_Cov 36- Month'!$J$13:$N$17), TRANSPOSE(Scenarios2[[#This Row],[SPY]:[PE]])))</f>
        <v>8.5132960604778929E-2</v>
      </c>
      <c r="J89" s="70">
        <f>(Scenarios2[[#This Row],[Expected Return]]-RiskFree)/Scenarios2[[#This Row],[36M Vol]]</f>
        <v>0.48996780656863009</v>
      </c>
      <c r="K89" s="69" cm="1">
        <f t="array" ref="K89">MIN(_xlfn._xlws.FILTER(PortfolioFrontier[#Data],(PortfolioFrontier[#Headers]="P"&amp;Scenarios2[[#This Row],[Reference '#]]&amp;" DD")))</f>
        <v>-0.17903947068730142</v>
      </c>
      <c r="L89" s="69">
        <f>SUM(Scenarios2[[#This Row],[SPY]:[VNQ]])</f>
        <v>0.89999999999999991</v>
      </c>
      <c r="M89" s="69">
        <f>SUM(Scenarios2[[#This Row],[SPY]:[PE]])</f>
        <v>0.99999999999999989</v>
      </c>
      <c r="N89" s="71" t="b">
        <f>Scenarios2[[#This Row],[SPY]]&gt;=SpyMin</f>
        <v>1</v>
      </c>
      <c r="O89" s="71" t="b">
        <f>Scenarios2[[#This Row],[AGG]]&gt;=AGGMin</f>
        <v>1</v>
      </c>
      <c r="P89" s="71" t="b">
        <f>AND(Scenarios2[[#This Row],[GLD]]&gt;=GLDMin,Scenarios2[[#This Row],[GLD]]&lt;=GLDMax)</f>
        <v>1</v>
      </c>
      <c r="Q89" s="71" t="b">
        <f>Scenarios2[[#This Row],[VNQ]]&gt;=VNQMin</f>
        <v>1</v>
      </c>
      <c r="R89" s="71" t="b">
        <f>AND(Scenarios2[[#This Row],[PE]]&gt;=PEMin,Scenarios2[[#This Row],[PE]]&lt;=PEMax)</f>
        <v>1</v>
      </c>
      <c r="S89" s="71" t="b">
        <f>Scenarios2[[#This Row],[Liquid Assets]]&gt;=LiquidMin</f>
        <v>1</v>
      </c>
      <c r="T89" s="71" t="b">
        <f>AND(Scenarios2[[#This Row],[Expected Return]]&gt;=ExpectedReturnMin,Scenarios2[[#This Row],[Expected Return]]&lt;=ExpectedReturnMax)</f>
        <v>1</v>
      </c>
      <c r="U89" s="71" t="b">
        <f>Scenarios2[[#This Row],[Max Drawdown]]&gt;=DrawdownMax</f>
        <v>1</v>
      </c>
      <c r="V8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89" s="46">
        <f>_xlfn.XLOOKUP(Scenarios2[[#This Row],[Reference '#]],ScenariosCombined[Reference '#],ScenariosCombined[Sharpe Rank])</f>
        <v>50</v>
      </c>
      <c r="X89" s="44">
        <f>IF(Scenarios2[[#This Row],[Eligible]],COUNTIFS(Scenarios2[Sharpe],"&gt;"&amp;Scenarios2[[#This Row],[Sharpe]],Scenarios2[Eligible],TRUE())+COUNTIFS(Scenarios2[Sharpe],Scenarios2[[#This Row],[Sharpe]],Scenarios2[Eligible],TRUE()),"")</f>
        <v>49</v>
      </c>
      <c r="Y8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30/20/20/20/10</v>
      </c>
      <c r="Z89">
        <f>_xlfn.XLOOKUP(Scenarios2[[#This Row],[Reference '#]],Scenarios1[Reference '#],Scenarios1[Sharpe Rank])</f>
        <v>49</v>
      </c>
      <c r="AA89">
        <f>Scenarios2[[#This Row],[Sharpe Rank]]</f>
        <v>49</v>
      </c>
      <c r="AB89">
        <f>_xlfn.XLOOKUP(Scenarios2[[#This Row],[Reference '#]],Scenarios3[Reference '#],Scenarios3[Sharpe Rank])</f>
        <v>46</v>
      </c>
      <c r="AC89"/>
      <c r="AD89"/>
      <c r="AE89"/>
      <c r="AF89" s="34"/>
      <c r="AG89" s="34"/>
    </row>
    <row r="90" spans="2:33" s="15" customFormat="1" x14ac:dyDescent="0.2">
      <c r="B90" s="44">
        <v>80</v>
      </c>
      <c r="C90" s="68">
        <v>0.3</v>
      </c>
      <c r="D90" s="69">
        <v>0.2</v>
      </c>
      <c r="E90" s="69">
        <v>0.2</v>
      </c>
      <c r="F90" s="69">
        <v>0.15</v>
      </c>
      <c r="G90" s="69">
        <v>0.15</v>
      </c>
      <c r="H90" s="69">
        <f>SUMPRODUCT(Scenarios2[[#This Row],[SPY]:[PE]],_xlfn.TOROW(AssetSpecsScenario2[Annualized Return]))</f>
        <v>8.8854672048719177E-2</v>
      </c>
      <c r="I90" s="69" cm="1">
        <f t="array" ref="I90">SQRT(MMULT(MMULT(Scenarios2[[#This Row],[SPY]:[PE]], 'Corr_Cov 36- Month'!$J$13:$N$17), TRANSPOSE(Scenarios2[[#This Row],[SPY]:[PE]])))</f>
        <v>7.7575801416217713E-2</v>
      </c>
      <c r="J90" s="70">
        <f>(Scenarios2[[#This Row],[Expected Return]]-RiskFree)/Scenarios2[[#This Row],[36M Vol]]</f>
        <v>0.53946096242861119</v>
      </c>
      <c r="K90" s="69" cm="1">
        <f t="array" ref="K90">MIN(_xlfn._xlws.FILTER(PortfolioFrontier[#Data],(PortfolioFrontier[#Headers]="P"&amp;Scenarios2[[#This Row],[Reference '#]]&amp;" DD")))</f>
        <v>-0.16456686231062201</v>
      </c>
      <c r="L90" s="69">
        <f>SUM(Scenarios2[[#This Row],[SPY]:[VNQ]])</f>
        <v>0.85</v>
      </c>
      <c r="M90" s="69">
        <f>SUM(Scenarios2[[#This Row],[SPY]:[PE]])</f>
        <v>1</v>
      </c>
      <c r="N90" s="71" t="b">
        <f>Scenarios2[[#This Row],[SPY]]&gt;=SpyMin</f>
        <v>1</v>
      </c>
      <c r="O90" s="71" t="b">
        <f>Scenarios2[[#This Row],[AGG]]&gt;=AGGMin</f>
        <v>1</v>
      </c>
      <c r="P90" s="71" t="b">
        <f>AND(Scenarios2[[#This Row],[GLD]]&gt;=GLDMin,Scenarios2[[#This Row],[GLD]]&lt;=GLDMax)</f>
        <v>1</v>
      </c>
      <c r="Q90" s="71" t="b">
        <f>Scenarios2[[#This Row],[VNQ]]&gt;=VNQMin</f>
        <v>1</v>
      </c>
      <c r="R90" s="71" t="b">
        <f>AND(Scenarios2[[#This Row],[PE]]&gt;=PEMin,Scenarios2[[#This Row],[PE]]&lt;=PEMax)</f>
        <v>1</v>
      </c>
      <c r="S90" s="71" t="b">
        <f>Scenarios2[[#This Row],[Liquid Assets]]&gt;=LiquidMin</f>
        <v>1</v>
      </c>
      <c r="T90" s="71" t="b">
        <f>AND(Scenarios2[[#This Row],[Expected Return]]&gt;=ExpectedReturnMin,Scenarios2[[#This Row],[Expected Return]]&lt;=ExpectedReturnMax)</f>
        <v>1</v>
      </c>
      <c r="U90" s="71" t="b">
        <f>Scenarios2[[#This Row],[Max Drawdown]]&gt;=DrawdownMax</f>
        <v>1</v>
      </c>
      <c r="V9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0" s="46">
        <f>_xlfn.XLOOKUP(Scenarios2[[#This Row],[Reference '#]],ScenariosCombined[Reference '#],ScenariosCombined[Sharpe Rank])</f>
        <v>28</v>
      </c>
      <c r="X90" s="44">
        <f>IF(Scenarios2[[#This Row],[Eligible]],COUNTIFS(Scenarios2[Sharpe],"&gt;"&amp;Scenarios2[[#This Row],[Sharpe]],Scenarios2[Eligible],TRUE())+COUNTIFS(Scenarios2[Sharpe],Scenarios2[[#This Row],[Sharpe]],Scenarios2[Eligible],TRUE()),"")</f>
        <v>29</v>
      </c>
      <c r="Y9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30/20/20/15/15</v>
      </c>
      <c r="Z90">
        <f>_xlfn.XLOOKUP(Scenarios2[[#This Row],[Reference '#]],Scenarios1[Reference '#],Scenarios1[Sharpe Rank])</f>
        <v>31</v>
      </c>
      <c r="AA90">
        <f>Scenarios2[[#This Row],[Sharpe Rank]]</f>
        <v>29</v>
      </c>
      <c r="AB90">
        <f>_xlfn.XLOOKUP(Scenarios2[[#This Row],[Reference '#]],Scenarios3[Reference '#],Scenarios3[Sharpe Rank])</f>
        <v>20</v>
      </c>
      <c r="AC90"/>
      <c r="AD90"/>
      <c r="AE90"/>
      <c r="AF90" s="34"/>
      <c r="AG90" s="34"/>
    </row>
    <row r="91" spans="2:33" s="15" customFormat="1" x14ac:dyDescent="0.2">
      <c r="B91" s="44">
        <v>81</v>
      </c>
      <c r="C91" s="68">
        <v>0.3</v>
      </c>
      <c r="D91" s="69">
        <v>0.2</v>
      </c>
      <c r="E91" s="69">
        <v>0.2</v>
      </c>
      <c r="F91" s="69">
        <v>0.1</v>
      </c>
      <c r="G91" s="69">
        <v>0.2</v>
      </c>
      <c r="H91" s="69">
        <f>SUMPRODUCT(Scenarios2[[#This Row],[SPY]:[PE]],_xlfn.TOROW(AssetSpecsScenario2[Annualized Return]))</f>
        <v>8.8991378567665674E-2</v>
      </c>
      <c r="I91" s="69" cm="1">
        <f t="array" ref="I91">SQRT(MMULT(MMULT(Scenarios2[[#This Row],[SPY]:[PE]], 'Corr_Cov 36- Month'!$J$13:$N$17), TRANSPOSE(Scenarios2[[#This Row],[SPY]:[PE]])))</f>
        <v>7.0515905232183831E-2</v>
      </c>
      <c r="J91" s="70">
        <f>(Scenarios2[[#This Row],[Expected Return]]-RiskFree)/Scenarios2[[#This Row],[36M Vol]]</f>
        <v>0.59540926084499268</v>
      </c>
      <c r="K91" s="69" cm="1">
        <f t="array" ref="K91">MIN(_xlfn._xlws.FILTER(PortfolioFrontier[#Data],(PortfolioFrontier[#Headers]="P"&amp;Scenarios2[[#This Row],[Reference '#]]&amp;" DD")))</f>
        <v>-0.14997953387901686</v>
      </c>
      <c r="L91" s="69">
        <f>SUM(Scenarios2[[#This Row],[SPY]:[VNQ]])</f>
        <v>0.79999999999999993</v>
      </c>
      <c r="M91" s="69">
        <f>SUM(Scenarios2[[#This Row],[SPY]:[PE]])</f>
        <v>1</v>
      </c>
      <c r="N91" s="71" t="b">
        <f>Scenarios2[[#This Row],[SPY]]&gt;=SpyMin</f>
        <v>1</v>
      </c>
      <c r="O91" s="71" t="b">
        <f>Scenarios2[[#This Row],[AGG]]&gt;=AGGMin</f>
        <v>1</v>
      </c>
      <c r="P91" s="71" t="b">
        <f>AND(Scenarios2[[#This Row],[GLD]]&gt;=GLDMin,Scenarios2[[#This Row],[GLD]]&lt;=GLDMax)</f>
        <v>1</v>
      </c>
      <c r="Q91" s="71" t="b">
        <f>Scenarios2[[#This Row],[VNQ]]&gt;=VNQMin</f>
        <v>1</v>
      </c>
      <c r="R91" s="71" t="b">
        <f>AND(Scenarios2[[#This Row],[PE]]&gt;=PEMin,Scenarios2[[#This Row],[PE]]&lt;=PEMax)</f>
        <v>1</v>
      </c>
      <c r="S91" s="71" t="b">
        <f>Scenarios2[[#This Row],[Liquid Assets]]&gt;=LiquidMin</f>
        <v>1</v>
      </c>
      <c r="T91" s="71" t="b">
        <f>AND(Scenarios2[[#This Row],[Expected Return]]&gt;=ExpectedReturnMin,Scenarios2[[#This Row],[Expected Return]]&lt;=ExpectedReturnMax)</f>
        <v>1</v>
      </c>
      <c r="U91" s="71" t="b">
        <f>Scenarios2[[#This Row],[Max Drawdown]]&gt;=DrawdownMax</f>
        <v>1</v>
      </c>
      <c r="V9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1" s="46">
        <f>_xlfn.XLOOKUP(Scenarios2[[#This Row],[Reference '#]],ScenariosCombined[Reference '#],ScenariosCombined[Sharpe Rank])</f>
        <v>9</v>
      </c>
      <c r="X91" s="44">
        <f>IF(Scenarios2[[#This Row],[Eligible]],COUNTIFS(Scenarios2[Sharpe],"&gt;"&amp;Scenarios2[[#This Row],[Sharpe]],Scenarios2[Eligible],TRUE())+COUNTIFS(Scenarios2[Sharpe],Scenarios2[[#This Row],[Sharpe]],Scenarios2[Eligible],TRUE()),"")</f>
        <v>10</v>
      </c>
      <c r="Y9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30/20/20/10/20</v>
      </c>
      <c r="Z91">
        <f>_xlfn.XLOOKUP(Scenarios2[[#This Row],[Reference '#]],Scenarios1[Reference '#],Scenarios1[Sharpe Rank])</f>
        <v>12</v>
      </c>
      <c r="AA91">
        <f>Scenarios2[[#This Row],[Sharpe Rank]]</f>
        <v>10</v>
      </c>
      <c r="AB91">
        <f>_xlfn.XLOOKUP(Scenarios2[[#This Row],[Reference '#]],Scenarios3[Reference '#],Scenarios3[Sharpe Rank])</f>
        <v>2</v>
      </c>
      <c r="AC91"/>
      <c r="AD91"/>
      <c r="AE91"/>
      <c r="AF91" s="34"/>
      <c r="AG91" s="34"/>
    </row>
    <row r="92" spans="2:33" s="15" customFormat="1" x14ac:dyDescent="0.2">
      <c r="B92" s="44">
        <v>82</v>
      </c>
      <c r="C92" s="68">
        <v>0.3</v>
      </c>
      <c r="D92" s="69">
        <v>0.2</v>
      </c>
      <c r="E92" s="69">
        <v>0.15</v>
      </c>
      <c r="F92" s="69">
        <v>0.25</v>
      </c>
      <c r="G92" s="69">
        <v>0.1</v>
      </c>
      <c r="H92" s="69">
        <f>SUMPRODUCT(Scenarios2[[#This Row],[SPY]:[PE]],_xlfn.TOROW(AssetSpecsScenario2[Annualized Return]))</f>
        <v>8.4726246628696655E-2</v>
      </c>
      <c r="I92" s="69" cm="1">
        <f t="array" ref="I92">SQRT(MMULT(MMULT(Scenarios2[[#This Row],[SPY]:[PE]], 'Corr_Cov 36- Month'!$J$13:$N$17), TRANSPOSE(Scenarios2[[#This Row],[SPY]:[PE]])))</f>
        <v>9.0347458747538925E-2</v>
      </c>
      <c r="J92" s="70">
        <f>(Scenarios2[[#This Row],[Expected Return]]-RiskFree)/Scenarios2[[#This Row],[36M Vol]]</f>
        <v>0.41750694038385028</v>
      </c>
      <c r="K92" s="69" cm="1">
        <f t="array" ref="K92">MIN(_xlfn._xlws.FILTER(PortfolioFrontier[#Data],(PortfolioFrontier[#Headers]="P"&amp;Scenarios2[[#This Row],[Reference '#]]&amp;" DD")))</f>
        <v>-0.18919224107483956</v>
      </c>
      <c r="L92" s="69">
        <f>SUM(Scenarios2[[#This Row],[SPY]:[VNQ]])</f>
        <v>0.9</v>
      </c>
      <c r="M92" s="69">
        <f>SUM(Scenarios2[[#This Row],[SPY]:[PE]])</f>
        <v>1</v>
      </c>
      <c r="N92" s="71" t="b">
        <f>Scenarios2[[#This Row],[SPY]]&gt;=SpyMin</f>
        <v>1</v>
      </c>
      <c r="O92" s="71" t="b">
        <f>Scenarios2[[#This Row],[AGG]]&gt;=AGGMin</f>
        <v>1</v>
      </c>
      <c r="P92" s="71" t="b">
        <f>AND(Scenarios2[[#This Row],[GLD]]&gt;=GLDMin,Scenarios2[[#This Row],[GLD]]&lt;=GLDMax)</f>
        <v>1</v>
      </c>
      <c r="Q92" s="71" t="b">
        <f>Scenarios2[[#This Row],[VNQ]]&gt;=VNQMin</f>
        <v>1</v>
      </c>
      <c r="R92" s="71" t="b">
        <f>AND(Scenarios2[[#This Row],[PE]]&gt;=PEMin,Scenarios2[[#This Row],[PE]]&lt;=PEMax)</f>
        <v>1</v>
      </c>
      <c r="S92" s="71" t="b">
        <f>Scenarios2[[#This Row],[Liquid Assets]]&gt;=LiquidMin</f>
        <v>1</v>
      </c>
      <c r="T92" s="71" t="b">
        <f>AND(Scenarios2[[#This Row],[Expected Return]]&gt;=ExpectedReturnMin,Scenarios2[[#This Row],[Expected Return]]&lt;=ExpectedReturnMax)</f>
        <v>1</v>
      </c>
      <c r="U92" s="71" t="b">
        <f>Scenarios2[[#This Row],[Max Drawdown]]&gt;=DrawdownMax</f>
        <v>1</v>
      </c>
      <c r="V9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2" s="46">
        <f>_xlfn.XLOOKUP(Scenarios2[[#This Row],[Reference '#]],ScenariosCombined[Reference '#],ScenariosCombined[Sharpe Rank])</f>
        <v>84</v>
      </c>
      <c r="X92" s="44">
        <f>IF(Scenarios2[[#This Row],[Eligible]],COUNTIFS(Scenarios2[Sharpe],"&gt;"&amp;Scenarios2[[#This Row],[Sharpe]],Scenarios2[Eligible],TRUE())+COUNTIFS(Scenarios2[Sharpe],Scenarios2[[#This Row],[Sharpe]],Scenarios2[Eligible],TRUE()),"")</f>
        <v>82</v>
      </c>
      <c r="Y9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30/20/15/25/10</v>
      </c>
      <c r="Z92">
        <f>_xlfn.XLOOKUP(Scenarios2[[#This Row],[Reference '#]],Scenarios1[Reference '#],Scenarios1[Sharpe Rank])</f>
        <v>82</v>
      </c>
      <c r="AA92">
        <f>Scenarios2[[#This Row],[Sharpe Rank]]</f>
        <v>82</v>
      </c>
      <c r="AB92">
        <f>_xlfn.XLOOKUP(Scenarios2[[#This Row],[Reference '#]],Scenarios3[Reference '#],Scenarios3[Sharpe Rank])</f>
        <v>80</v>
      </c>
      <c r="AC92"/>
      <c r="AD92"/>
      <c r="AE92"/>
      <c r="AF92" s="34"/>
      <c r="AG92" s="34"/>
    </row>
    <row r="93" spans="2:33" s="15" customFormat="1" x14ac:dyDescent="0.2">
      <c r="B93" s="44">
        <v>83</v>
      </c>
      <c r="C93" s="68">
        <v>0.3</v>
      </c>
      <c r="D93" s="69">
        <v>0.2</v>
      </c>
      <c r="E93" s="69">
        <v>0.15</v>
      </c>
      <c r="F93" s="69">
        <v>0.2</v>
      </c>
      <c r="G93" s="69">
        <v>0.15</v>
      </c>
      <c r="H93" s="69">
        <f>SUMPRODUCT(Scenarios2[[#This Row],[SPY]:[PE]],_xlfn.TOROW(AssetSpecsScenario2[Annualized Return]))</f>
        <v>8.4862953147643153E-2</v>
      </c>
      <c r="I93" s="69" cm="1">
        <f t="array" ref="I93">SQRT(MMULT(MMULT(Scenarios2[[#This Row],[SPY]:[PE]], 'Corr_Cov 36- Month'!$J$13:$N$17), TRANSPOSE(Scenarios2[[#This Row],[SPY]:[PE]])))</f>
        <v>8.2477109076022251E-2</v>
      </c>
      <c r="J93" s="70">
        <f>(Scenarios2[[#This Row],[Expected Return]]-RiskFree)/Scenarios2[[#This Row],[36M Vol]]</f>
        <v>0.45900490470868732</v>
      </c>
      <c r="K93" s="69" cm="1">
        <f t="array" ref="K93">MIN(_xlfn._xlws.FILTER(PortfolioFrontier[#Data],(PortfolioFrontier[#Headers]="P"&amp;Scenarios2[[#This Row],[Reference '#]]&amp;" DD")))</f>
        <v>-0.17479194507259455</v>
      </c>
      <c r="L93" s="69">
        <f>SUM(Scenarios2[[#This Row],[SPY]:[VNQ]])</f>
        <v>0.85000000000000009</v>
      </c>
      <c r="M93" s="69">
        <f>SUM(Scenarios2[[#This Row],[SPY]:[PE]])</f>
        <v>1</v>
      </c>
      <c r="N93" s="71" t="b">
        <f>Scenarios2[[#This Row],[SPY]]&gt;=SpyMin</f>
        <v>1</v>
      </c>
      <c r="O93" s="71" t="b">
        <f>Scenarios2[[#This Row],[AGG]]&gt;=AGGMin</f>
        <v>1</v>
      </c>
      <c r="P93" s="71" t="b">
        <f>AND(Scenarios2[[#This Row],[GLD]]&gt;=GLDMin,Scenarios2[[#This Row],[GLD]]&lt;=GLDMax)</f>
        <v>1</v>
      </c>
      <c r="Q93" s="71" t="b">
        <f>Scenarios2[[#This Row],[VNQ]]&gt;=VNQMin</f>
        <v>1</v>
      </c>
      <c r="R93" s="71" t="b">
        <f>AND(Scenarios2[[#This Row],[PE]]&gt;=PEMin,Scenarios2[[#This Row],[PE]]&lt;=PEMax)</f>
        <v>1</v>
      </c>
      <c r="S93" s="71" t="b">
        <f>Scenarios2[[#This Row],[Liquid Assets]]&gt;=LiquidMin</f>
        <v>1</v>
      </c>
      <c r="T93" s="71" t="b">
        <f>AND(Scenarios2[[#This Row],[Expected Return]]&gt;=ExpectedReturnMin,Scenarios2[[#This Row],[Expected Return]]&lt;=ExpectedReturnMax)</f>
        <v>1</v>
      </c>
      <c r="U93" s="71" t="b">
        <f>Scenarios2[[#This Row],[Max Drawdown]]&gt;=DrawdownMax</f>
        <v>1</v>
      </c>
      <c r="V9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3" s="46">
        <f>_xlfn.XLOOKUP(Scenarios2[[#This Row],[Reference '#]],ScenariosCombined[Reference '#],ScenariosCombined[Sharpe Rank])</f>
        <v>61</v>
      </c>
      <c r="X93" s="44">
        <f>IF(Scenarios2[[#This Row],[Eligible]],COUNTIFS(Scenarios2[Sharpe],"&gt;"&amp;Scenarios2[[#This Row],[Sharpe]],Scenarios2[Eligible],TRUE())+COUNTIFS(Scenarios2[Sharpe],Scenarios2[[#This Row],[Sharpe]],Scenarios2[Eligible],TRUE()),"")</f>
        <v>61</v>
      </c>
      <c r="Y9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30/20/15/20/15</v>
      </c>
      <c r="Z93">
        <f>_xlfn.XLOOKUP(Scenarios2[[#This Row],[Reference '#]],Scenarios1[Reference '#],Scenarios1[Sharpe Rank])</f>
        <v>63</v>
      </c>
      <c r="AA93">
        <f>Scenarios2[[#This Row],[Sharpe Rank]]</f>
        <v>61</v>
      </c>
      <c r="AB93">
        <f>_xlfn.XLOOKUP(Scenarios2[[#This Row],[Reference '#]],Scenarios3[Reference '#],Scenarios3[Sharpe Rank])</f>
        <v>53</v>
      </c>
      <c r="AC93"/>
      <c r="AD93"/>
      <c r="AE93"/>
      <c r="AF93" s="34"/>
      <c r="AG93" s="34"/>
    </row>
    <row r="94" spans="2:33" s="15" customFormat="1" x14ac:dyDescent="0.2">
      <c r="B94" s="44">
        <v>84</v>
      </c>
      <c r="C94" s="68">
        <v>0.3</v>
      </c>
      <c r="D94" s="69">
        <v>0.2</v>
      </c>
      <c r="E94" s="69">
        <v>0.15</v>
      </c>
      <c r="F94" s="69">
        <v>0.15</v>
      </c>
      <c r="G94" s="69">
        <v>0.2</v>
      </c>
      <c r="H94" s="69">
        <f>SUMPRODUCT(Scenarios2[[#This Row],[SPY]:[PE]],_xlfn.TOROW(AssetSpecsScenario2[Annualized Return]))</f>
        <v>8.4999659666589664E-2</v>
      </c>
      <c r="I94" s="69" cm="1">
        <f t="array" ref="I94">SQRT(MMULT(MMULT(Scenarios2[[#This Row],[SPY]:[PE]], 'Corr_Cov 36- Month'!$J$13:$N$17), TRANSPOSE(Scenarios2[[#This Row],[SPY]:[PE]])))</f>
        <v>7.5009250644505046E-2</v>
      </c>
      <c r="J94" s="70">
        <f>(Scenarios2[[#This Row],[Expected Return]]-RiskFree)/Scenarios2[[#This Row],[36M Vol]]</f>
        <v>0.5065255789729376</v>
      </c>
      <c r="K94" s="69" cm="1">
        <f t="array" ref="K94">MIN(_xlfn._xlws.FILTER(PortfolioFrontier[#Data],(PortfolioFrontier[#Headers]="P"&amp;Scenarios2[[#This Row],[Reference '#]]&amp;" DD")))</f>
        <v>-0.16027522551679685</v>
      </c>
      <c r="L94" s="69">
        <f>SUM(Scenarios2[[#This Row],[SPY]:[VNQ]])</f>
        <v>0.8</v>
      </c>
      <c r="M94" s="69">
        <f>SUM(Scenarios2[[#This Row],[SPY]:[PE]])</f>
        <v>1</v>
      </c>
      <c r="N94" s="71" t="b">
        <f>Scenarios2[[#This Row],[SPY]]&gt;=SpyMin</f>
        <v>1</v>
      </c>
      <c r="O94" s="71" t="b">
        <f>Scenarios2[[#This Row],[AGG]]&gt;=AGGMin</f>
        <v>1</v>
      </c>
      <c r="P94" s="71" t="b">
        <f>AND(Scenarios2[[#This Row],[GLD]]&gt;=GLDMin,Scenarios2[[#This Row],[GLD]]&lt;=GLDMax)</f>
        <v>1</v>
      </c>
      <c r="Q94" s="71" t="b">
        <f>Scenarios2[[#This Row],[VNQ]]&gt;=VNQMin</f>
        <v>1</v>
      </c>
      <c r="R94" s="71" t="b">
        <f>AND(Scenarios2[[#This Row],[PE]]&gt;=PEMin,Scenarios2[[#This Row],[PE]]&lt;=PEMax)</f>
        <v>1</v>
      </c>
      <c r="S94" s="71" t="b">
        <f>Scenarios2[[#This Row],[Liquid Assets]]&gt;=LiquidMin</f>
        <v>1</v>
      </c>
      <c r="T94" s="71" t="b">
        <f>AND(Scenarios2[[#This Row],[Expected Return]]&gt;=ExpectedReturnMin,Scenarios2[[#This Row],[Expected Return]]&lt;=ExpectedReturnMax)</f>
        <v>1</v>
      </c>
      <c r="U94" s="71" t="b">
        <f>Scenarios2[[#This Row],[Max Drawdown]]&gt;=DrawdownMax</f>
        <v>1</v>
      </c>
      <c r="V9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4" s="46">
        <f>_xlfn.XLOOKUP(Scenarios2[[#This Row],[Reference '#]],ScenariosCombined[Reference '#],ScenariosCombined[Sharpe Rank])</f>
        <v>38</v>
      </c>
      <c r="X94" s="44">
        <f>IF(Scenarios2[[#This Row],[Eligible]],COUNTIFS(Scenarios2[Sharpe],"&gt;"&amp;Scenarios2[[#This Row],[Sharpe]],Scenarios2[Eligible],TRUE())+COUNTIFS(Scenarios2[Sharpe],Scenarios2[[#This Row],[Sharpe]],Scenarios2[Eligible],TRUE()),"")</f>
        <v>41</v>
      </c>
      <c r="Y9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30/20/15/15/20</v>
      </c>
      <c r="Z94">
        <f>_xlfn.XLOOKUP(Scenarios2[[#This Row],[Reference '#]],Scenarios1[Reference '#],Scenarios1[Sharpe Rank])</f>
        <v>45</v>
      </c>
      <c r="AA94">
        <f>Scenarios2[[#This Row],[Sharpe Rank]]</f>
        <v>41</v>
      </c>
      <c r="AB94">
        <f>_xlfn.XLOOKUP(Scenarios2[[#This Row],[Reference '#]],Scenarios3[Reference '#],Scenarios3[Sharpe Rank])</f>
        <v>27</v>
      </c>
      <c r="AC94"/>
      <c r="AD94"/>
      <c r="AE94"/>
      <c r="AF94" s="34"/>
      <c r="AG94" s="34"/>
    </row>
    <row r="95" spans="2:33" s="15" customFormat="1" x14ac:dyDescent="0.2">
      <c r="B95" s="44">
        <v>85</v>
      </c>
      <c r="C95" s="68">
        <v>0.3</v>
      </c>
      <c r="D95" s="69">
        <v>0.2</v>
      </c>
      <c r="E95" s="69">
        <v>0.1</v>
      </c>
      <c r="F95" s="69">
        <v>0.3</v>
      </c>
      <c r="G95" s="69">
        <v>0.1</v>
      </c>
      <c r="H95" s="69">
        <f>SUMPRODUCT(Scenarios2[[#This Row],[SPY]:[PE]],_xlfn.TOROW(AssetSpecsScenario2[Annualized Return]))</f>
        <v>8.0734527727620631E-2</v>
      </c>
      <c r="I95" s="69" cm="1">
        <f t="array" ref="I95">SQRT(MMULT(MMULT(Scenarios2[[#This Row],[SPY]:[PE]], 'Corr_Cov 36- Month'!$J$13:$N$17), TRANSPOSE(Scenarios2[[#This Row],[SPY]:[PE]])))</f>
        <v>9.6343921654357831E-2</v>
      </c>
      <c r="J95" s="70">
        <f>(Scenarios2[[#This Row],[Expected Return]]-RiskFree)/Scenarios2[[#This Row],[36M Vol]]</f>
        <v>0.3500892593211089</v>
      </c>
      <c r="K95" s="69" cm="1">
        <f t="array" ref="K95">MIN(_xlfn._xlws.FILTER(PortfolioFrontier[#Data],(PortfolioFrontier[#Headers]="P"&amp;Scenarios2[[#This Row],[Reference '#]]&amp;" DD")))</f>
        <v>-0.19931515574132885</v>
      </c>
      <c r="L95" s="69">
        <f>SUM(Scenarios2[[#This Row],[SPY]:[VNQ]])</f>
        <v>0.89999999999999991</v>
      </c>
      <c r="M95" s="69">
        <f>SUM(Scenarios2[[#This Row],[SPY]:[PE]])</f>
        <v>0.99999999999999989</v>
      </c>
      <c r="N95" s="71" t="b">
        <f>Scenarios2[[#This Row],[SPY]]&gt;=SpyMin</f>
        <v>1</v>
      </c>
      <c r="O95" s="71" t="b">
        <f>Scenarios2[[#This Row],[AGG]]&gt;=AGGMin</f>
        <v>1</v>
      </c>
      <c r="P95" s="71" t="b">
        <f>AND(Scenarios2[[#This Row],[GLD]]&gt;=GLDMin,Scenarios2[[#This Row],[GLD]]&lt;=GLDMax)</f>
        <v>1</v>
      </c>
      <c r="Q95" s="71" t="b">
        <f>Scenarios2[[#This Row],[VNQ]]&gt;=VNQMin</f>
        <v>1</v>
      </c>
      <c r="R95" s="71" t="b">
        <f>AND(Scenarios2[[#This Row],[PE]]&gt;=PEMin,Scenarios2[[#This Row],[PE]]&lt;=PEMax)</f>
        <v>1</v>
      </c>
      <c r="S95" s="71" t="b">
        <f>Scenarios2[[#This Row],[Liquid Assets]]&gt;=LiquidMin</f>
        <v>1</v>
      </c>
      <c r="T95" s="71" t="b">
        <f>AND(Scenarios2[[#This Row],[Expected Return]]&gt;=ExpectedReturnMin,Scenarios2[[#This Row],[Expected Return]]&lt;=ExpectedReturnMax)</f>
        <v>1</v>
      </c>
      <c r="U95" s="71" t="b">
        <f>Scenarios2[[#This Row],[Max Drawdown]]&gt;=DrawdownMax</f>
        <v>1</v>
      </c>
      <c r="V9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5" s="46">
        <f>_xlfn.XLOOKUP(Scenarios2[[#This Row],[Reference '#]],ScenariosCombined[Reference '#],ScenariosCombined[Sharpe Rank])</f>
        <v>109</v>
      </c>
      <c r="X95" s="44">
        <f>IF(Scenarios2[[#This Row],[Eligible]],COUNTIFS(Scenarios2[Sharpe],"&gt;"&amp;Scenarios2[[#This Row],[Sharpe]],Scenarios2[Eligible],TRUE())+COUNTIFS(Scenarios2[Sharpe],Scenarios2[[#This Row],[Sharpe]],Scenarios2[Eligible],TRUE()),"")</f>
        <v>104</v>
      </c>
      <c r="Y9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30/20/10/30/10</v>
      </c>
      <c r="Z95">
        <f>_xlfn.XLOOKUP(Scenarios2[[#This Row],[Reference '#]],Scenarios1[Reference '#],Scenarios1[Sharpe Rank])</f>
        <v>105</v>
      </c>
      <c r="AA95">
        <f>Scenarios2[[#This Row],[Sharpe Rank]]</f>
        <v>104</v>
      </c>
      <c r="AB95">
        <f>_xlfn.XLOOKUP(Scenarios2[[#This Row],[Reference '#]],Scenarios3[Reference '#],Scenarios3[Sharpe Rank])</f>
        <v>104</v>
      </c>
      <c r="AC95"/>
      <c r="AD95"/>
      <c r="AE95"/>
      <c r="AF95" s="34"/>
      <c r="AG95" s="34"/>
    </row>
    <row r="96" spans="2:33" s="15" customFormat="1" x14ac:dyDescent="0.2">
      <c r="B96" s="44">
        <v>86</v>
      </c>
      <c r="C96" s="68">
        <v>0.3</v>
      </c>
      <c r="D96" s="69">
        <v>0.2</v>
      </c>
      <c r="E96" s="69">
        <v>0.1</v>
      </c>
      <c r="F96" s="69">
        <v>0.25</v>
      </c>
      <c r="G96" s="69">
        <v>0.15</v>
      </c>
      <c r="H96" s="69">
        <f>SUMPRODUCT(Scenarios2[[#This Row],[SPY]:[PE]],_xlfn.TOROW(AssetSpecsScenario2[Annualized Return]))</f>
        <v>8.0871234246567114E-2</v>
      </c>
      <c r="I96" s="69" cm="1">
        <f t="array" ref="I96">SQRT(MMULT(MMULT(Scenarios2[[#This Row],[SPY]:[PE]], 'Corr_Cov 36- Month'!$J$13:$N$17), TRANSPOSE(Scenarios2[[#This Row],[SPY]:[PE]])))</f>
        <v>8.8268837618420512E-2</v>
      </c>
      <c r="J96" s="70">
        <f>(Scenarios2[[#This Row],[Expected Return]]-RiskFree)/Scenarios2[[#This Row],[36M Vol]]</f>
        <v>0.38366517113786319</v>
      </c>
      <c r="K96" s="69" cm="1">
        <f t="array" ref="K96">MIN(_xlfn._xlws.FILTER(PortfolioFrontier[#Data],(PortfolioFrontier[#Headers]="P"&amp;Scenarios2[[#This Row],[Reference '#]]&amp;" DD")))</f>
        <v>-0.1849888286940925</v>
      </c>
      <c r="L96" s="69">
        <f>SUM(Scenarios2[[#This Row],[SPY]:[VNQ]])</f>
        <v>0.85</v>
      </c>
      <c r="M96" s="69">
        <f>SUM(Scenarios2[[#This Row],[SPY]:[PE]])</f>
        <v>1</v>
      </c>
      <c r="N96" s="71" t="b">
        <f>Scenarios2[[#This Row],[SPY]]&gt;=SpyMin</f>
        <v>1</v>
      </c>
      <c r="O96" s="71" t="b">
        <f>Scenarios2[[#This Row],[AGG]]&gt;=AGGMin</f>
        <v>1</v>
      </c>
      <c r="P96" s="71" t="b">
        <f>AND(Scenarios2[[#This Row],[GLD]]&gt;=GLDMin,Scenarios2[[#This Row],[GLD]]&lt;=GLDMax)</f>
        <v>1</v>
      </c>
      <c r="Q96" s="71" t="b">
        <f>Scenarios2[[#This Row],[VNQ]]&gt;=VNQMin</f>
        <v>1</v>
      </c>
      <c r="R96" s="71" t="b">
        <f>AND(Scenarios2[[#This Row],[PE]]&gt;=PEMin,Scenarios2[[#This Row],[PE]]&lt;=PEMax)</f>
        <v>1</v>
      </c>
      <c r="S96" s="71" t="b">
        <f>Scenarios2[[#This Row],[Liquid Assets]]&gt;=LiquidMin</f>
        <v>1</v>
      </c>
      <c r="T96" s="71" t="b">
        <f>AND(Scenarios2[[#This Row],[Expected Return]]&gt;=ExpectedReturnMin,Scenarios2[[#This Row],[Expected Return]]&lt;=ExpectedReturnMax)</f>
        <v>1</v>
      </c>
      <c r="U96" s="71" t="b">
        <f>Scenarios2[[#This Row],[Max Drawdown]]&gt;=DrawdownMax</f>
        <v>1</v>
      </c>
      <c r="V9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6" s="46">
        <f>_xlfn.XLOOKUP(Scenarios2[[#This Row],[Reference '#]],ScenariosCombined[Reference '#],ScenariosCombined[Sharpe Rank])</f>
        <v>96</v>
      </c>
      <c r="X96" s="44">
        <f>IF(Scenarios2[[#This Row],[Eligible]],COUNTIFS(Scenarios2[Sharpe],"&gt;"&amp;Scenarios2[[#This Row],[Sharpe]],Scenarios2[Eligible],TRUE())+COUNTIFS(Scenarios2[Sharpe],Scenarios2[[#This Row],[Sharpe]],Scenarios2[Eligible],TRUE()),"")</f>
        <v>95</v>
      </c>
      <c r="Y9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30/20/10/25/15</v>
      </c>
      <c r="Z96">
        <f>_xlfn.XLOOKUP(Scenarios2[[#This Row],[Reference '#]],Scenarios1[Reference '#],Scenarios1[Sharpe Rank])</f>
        <v>96</v>
      </c>
      <c r="AA96">
        <f>Scenarios2[[#This Row],[Sharpe Rank]]</f>
        <v>95</v>
      </c>
      <c r="AB96">
        <f>_xlfn.XLOOKUP(Scenarios2[[#This Row],[Reference '#]],Scenarios3[Reference '#],Scenarios3[Sharpe Rank])</f>
        <v>89</v>
      </c>
      <c r="AC96"/>
      <c r="AD96"/>
      <c r="AE96"/>
      <c r="AF96" s="34"/>
      <c r="AG96" s="34"/>
    </row>
    <row r="97" spans="2:33" s="15" customFormat="1" x14ac:dyDescent="0.2">
      <c r="B97" s="44">
        <v>87</v>
      </c>
      <c r="C97" s="68">
        <v>0.3</v>
      </c>
      <c r="D97" s="69">
        <v>0.2</v>
      </c>
      <c r="E97" s="69">
        <v>0.1</v>
      </c>
      <c r="F97" s="69">
        <v>0.2</v>
      </c>
      <c r="G97" s="69">
        <v>0.2</v>
      </c>
      <c r="H97" s="69">
        <f>SUMPRODUCT(Scenarios2[[#This Row],[SPY]:[PE]],_xlfn.TOROW(AssetSpecsScenario2[Annualized Return]))</f>
        <v>8.1007940765513625E-2</v>
      </c>
      <c r="I97" s="69" cm="1">
        <f t="array" ref="I97">SQRT(MMULT(MMULT(Scenarios2[[#This Row],[SPY]:[PE]], 'Corr_Cov 36- Month'!$J$13:$N$17), TRANSPOSE(Scenarios2[[#This Row],[SPY]:[PE]])))</f>
        <v>8.0527809423735205E-2</v>
      </c>
      <c r="J97" s="70">
        <f>(Scenarios2[[#This Row],[Expected Return]]-RiskFree)/Scenarios2[[#This Row],[36M Vol]]</f>
        <v>0.42224401052608324</v>
      </c>
      <c r="K97" s="69" cm="1">
        <f t="array" ref="K97">MIN(_xlfn._xlws.FILTER(PortfolioFrontier[#Data],(PortfolioFrontier[#Headers]="P"&amp;Scenarios2[[#This Row],[Reference '#]]&amp;" DD")))</f>
        <v>-0.17054442023968874</v>
      </c>
      <c r="L97" s="69">
        <f>SUM(Scenarios2[[#This Row],[SPY]:[VNQ]])</f>
        <v>0.8</v>
      </c>
      <c r="M97" s="69">
        <f>SUM(Scenarios2[[#This Row],[SPY]:[PE]])</f>
        <v>1</v>
      </c>
      <c r="N97" s="71" t="b">
        <f>Scenarios2[[#This Row],[SPY]]&gt;=SpyMin</f>
        <v>1</v>
      </c>
      <c r="O97" s="71" t="b">
        <f>Scenarios2[[#This Row],[AGG]]&gt;=AGGMin</f>
        <v>1</v>
      </c>
      <c r="P97" s="71" t="b">
        <f>AND(Scenarios2[[#This Row],[GLD]]&gt;=GLDMin,Scenarios2[[#This Row],[GLD]]&lt;=GLDMax)</f>
        <v>1</v>
      </c>
      <c r="Q97" s="71" t="b">
        <f>Scenarios2[[#This Row],[VNQ]]&gt;=VNQMin</f>
        <v>1</v>
      </c>
      <c r="R97" s="71" t="b">
        <f>AND(Scenarios2[[#This Row],[PE]]&gt;=PEMin,Scenarios2[[#This Row],[PE]]&lt;=PEMax)</f>
        <v>1</v>
      </c>
      <c r="S97" s="71" t="b">
        <f>Scenarios2[[#This Row],[Liquid Assets]]&gt;=LiquidMin</f>
        <v>1</v>
      </c>
      <c r="T97" s="71" t="b">
        <f>AND(Scenarios2[[#This Row],[Expected Return]]&gt;=ExpectedReturnMin,Scenarios2[[#This Row],[Expected Return]]&lt;=ExpectedReturnMax)</f>
        <v>1</v>
      </c>
      <c r="U97" s="71" t="b">
        <f>Scenarios2[[#This Row],[Max Drawdown]]&gt;=DrawdownMax</f>
        <v>1</v>
      </c>
      <c r="V9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7" s="46">
        <f>_xlfn.XLOOKUP(Scenarios2[[#This Row],[Reference '#]],ScenariosCombined[Reference '#],ScenariosCombined[Sharpe Rank])</f>
        <v>77</v>
      </c>
      <c r="X97" s="44">
        <f>IF(Scenarios2[[#This Row],[Eligible]],COUNTIFS(Scenarios2[Sharpe],"&gt;"&amp;Scenarios2[[#This Row],[Sharpe]],Scenarios2[Eligible],TRUE())+COUNTIFS(Scenarios2[Sharpe],Scenarios2[[#This Row],[Sharpe]],Scenarios2[Eligible],TRUE()),"")</f>
        <v>81</v>
      </c>
      <c r="Y9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30/20/10/20/20</v>
      </c>
      <c r="Z97">
        <f>_xlfn.XLOOKUP(Scenarios2[[#This Row],[Reference '#]],Scenarios1[Reference '#],Scenarios1[Sharpe Rank])</f>
        <v>85</v>
      </c>
      <c r="AA97">
        <f>Scenarios2[[#This Row],[Sharpe Rank]]</f>
        <v>81</v>
      </c>
      <c r="AB97">
        <f>_xlfn.XLOOKUP(Scenarios2[[#This Row],[Reference '#]],Scenarios3[Reference '#],Scenarios3[Sharpe Rank])</f>
        <v>64</v>
      </c>
      <c r="AC97"/>
      <c r="AD97"/>
      <c r="AE97"/>
      <c r="AF97" s="34"/>
      <c r="AG97" s="34"/>
    </row>
    <row r="98" spans="2:33" s="15" customFormat="1" x14ac:dyDescent="0.2">
      <c r="B98" s="44">
        <v>88</v>
      </c>
      <c r="C98" s="68">
        <v>0.3</v>
      </c>
      <c r="D98" s="69">
        <v>0.15</v>
      </c>
      <c r="E98" s="69">
        <v>0.2</v>
      </c>
      <c r="F98" s="69">
        <v>0.25</v>
      </c>
      <c r="G98" s="69">
        <v>0.1</v>
      </c>
      <c r="H98" s="69">
        <f>SUMPRODUCT(Scenarios2[[#This Row],[SPY]:[PE]],_xlfn.TOROW(AssetSpecsScenario2[Annualized Return]))</f>
        <v>9.030170487593614E-2</v>
      </c>
      <c r="I98" s="69" cm="1">
        <f t="array" ref="I98">SQRT(MMULT(MMULT(Scenarios2[[#This Row],[SPY]:[PE]], 'Corr_Cov 36- Month'!$J$13:$N$17), TRANSPOSE(Scenarios2[[#This Row],[SPY]:[PE]])))</f>
        <v>9.044572639991548E-2</v>
      </c>
      <c r="J98" s="70">
        <f>(Scenarios2[[#This Row],[Expected Return]]-RiskFree)/Scenarios2[[#This Row],[36M Vol]]</f>
        <v>0.47869756862742219</v>
      </c>
      <c r="K98" s="69" cm="1">
        <f t="array" ref="K98">MIN(_xlfn._xlws.FILTER(PortfolioFrontier[#Data],(PortfolioFrontier[#Headers]="P"&amp;Scenarios2[[#This Row],[Reference '#]]&amp;" DD")))</f>
        <v>-0.18678846385025705</v>
      </c>
      <c r="L98" s="69">
        <f>SUM(Scenarios2[[#This Row],[SPY]:[VNQ]])</f>
        <v>0.89999999999999991</v>
      </c>
      <c r="M98" s="69">
        <f>SUM(Scenarios2[[#This Row],[SPY]:[PE]])</f>
        <v>0.99999999999999989</v>
      </c>
      <c r="N98" s="71" t="b">
        <f>Scenarios2[[#This Row],[SPY]]&gt;=SpyMin</f>
        <v>1</v>
      </c>
      <c r="O98" s="71" t="b">
        <f>Scenarios2[[#This Row],[AGG]]&gt;=AGGMin</f>
        <v>1</v>
      </c>
      <c r="P98" s="71" t="b">
        <f>AND(Scenarios2[[#This Row],[GLD]]&gt;=GLDMin,Scenarios2[[#This Row],[GLD]]&lt;=GLDMax)</f>
        <v>1</v>
      </c>
      <c r="Q98" s="71" t="b">
        <f>Scenarios2[[#This Row],[VNQ]]&gt;=VNQMin</f>
        <v>1</v>
      </c>
      <c r="R98" s="71" t="b">
        <f>AND(Scenarios2[[#This Row],[PE]]&gt;=PEMin,Scenarios2[[#This Row],[PE]]&lt;=PEMax)</f>
        <v>1</v>
      </c>
      <c r="S98" s="71" t="b">
        <f>Scenarios2[[#This Row],[Liquid Assets]]&gt;=LiquidMin</f>
        <v>1</v>
      </c>
      <c r="T98" s="71" t="b">
        <f>AND(Scenarios2[[#This Row],[Expected Return]]&gt;=ExpectedReturnMin,Scenarios2[[#This Row],[Expected Return]]&lt;=ExpectedReturnMax)</f>
        <v>1</v>
      </c>
      <c r="U98" s="71" t="b">
        <f>Scenarios2[[#This Row],[Max Drawdown]]&gt;=DrawdownMax</f>
        <v>1</v>
      </c>
      <c r="V9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8" s="46">
        <f>_xlfn.XLOOKUP(Scenarios2[[#This Row],[Reference '#]],ScenariosCombined[Reference '#],ScenariosCombined[Sharpe Rank])</f>
        <v>56</v>
      </c>
      <c r="X98" s="44">
        <f>IF(Scenarios2[[#This Row],[Eligible]],COUNTIFS(Scenarios2[Sharpe],"&gt;"&amp;Scenarios2[[#This Row],[Sharpe]],Scenarios2[Eligible],TRUE())+COUNTIFS(Scenarios2[Sharpe],Scenarios2[[#This Row],[Sharpe]],Scenarios2[Eligible],TRUE()),"")</f>
        <v>54</v>
      </c>
      <c r="Y9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30/15/20/25/10</v>
      </c>
      <c r="Z98">
        <f>_xlfn.XLOOKUP(Scenarios2[[#This Row],[Reference '#]],Scenarios1[Reference '#],Scenarios1[Sharpe Rank])</f>
        <v>55</v>
      </c>
      <c r="AA98">
        <f>Scenarios2[[#This Row],[Sharpe Rank]]</f>
        <v>54</v>
      </c>
      <c r="AB98">
        <f>_xlfn.XLOOKUP(Scenarios2[[#This Row],[Reference '#]],Scenarios3[Reference '#],Scenarios3[Sharpe Rank])</f>
        <v>54</v>
      </c>
      <c r="AC98"/>
      <c r="AD98"/>
      <c r="AE98"/>
      <c r="AF98" s="34"/>
      <c r="AG98" s="34"/>
    </row>
    <row r="99" spans="2:33" s="15" customFormat="1" x14ac:dyDescent="0.2">
      <c r="B99" s="44">
        <v>89</v>
      </c>
      <c r="C99" s="68">
        <v>0.3</v>
      </c>
      <c r="D99" s="69">
        <v>0.15</v>
      </c>
      <c r="E99" s="69">
        <v>0.2</v>
      </c>
      <c r="F99" s="69">
        <v>0.2</v>
      </c>
      <c r="G99" s="69">
        <v>0.15</v>
      </c>
      <c r="H99" s="69">
        <f>SUMPRODUCT(Scenarios2[[#This Row],[SPY]:[PE]],_xlfn.TOROW(AssetSpecsScenario2[Annualized Return]))</f>
        <v>9.0438411394882637E-2</v>
      </c>
      <c r="I99" s="69" cm="1">
        <f t="array" ref="I99">SQRT(MMULT(MMULT(Scenarios2[[#This Row],[SPY]:[PE]], 'Corr_Cov 36- Month'!$J$13:$N$17), TRANSPOSE(Scenarios2[[#This Row],[SPY]:[PE]])))</f>
        <v>8.2677016505143114E-2</v>
      </c>
      <c r="J99" s="70">
        <f>(Scenarios2[[#This Row],[Expected Return]]-RiskFree)/Scenarios2[[#This Row],[36M Vol]]</f>
        <v>0.5253316783222971</v>
      </c>
      <c r="K99" s="69" cm="1">
        <f t="array" ref="K99">MIN(_xlfn._xlws.FILTER(PortfolioFrontier[#Data],(PortfolioFrontier[#Headers]="P"&amp;Scenarios2[[#This Row],[Reference '#]]&amp;" DD")))</f>
        <v>-0.17235839363109051</v>
      </c>
      <c r="L99" s="69">
        <f>SUM(Scenarios2[[#This Row],[SPY]:[VNQ]])</f>
        <v>0.84999999999999987</v>
      </c>
      <c r="M99" s="69">
        <f>SUM(Scenarios2[[#This Row],[SPY]:[PE]])</f>
        <v>0.99999999999999989</v>
      </c>
      <c r="N99" s="71" t="b">
        <f>Scenarios2[[#This Row],[SPY]]&gt;=SpyMin</f>
        <v>1</v>
      </c>
      <c r="O99" s="71" t="b">
        <f>Scenarios2[[#This Row],[AGG]]&gt;=AGGMin</f>
        <v>1</v>
      </c>
      <c r="P99" s="71" t="b">
        <f>AND(Scenarios2[[#This Row],[GLD]]&gt;=GLDMin,Scenarios2[[#This Row],[GLD]]&lt;=GLDMax)</f>
        <v>1</v>
      </c>
      <c r="Q99" s="71" t="b">
        <f>Scenarios2[[#This Row],[VNQ]]&gt;=VNQMin</f>
        <v>1</v>
      </c>
      <c r="R99" s="71" t="b">
        <f>AND(Scenarios2[[#This Row],[PE]]&gt;=PEMin,Scenarios2[[#This Row],[PE]]&lt;=PEMax)</f>
        <v>1</v>
      </c>
      <c r="S99" s="71" t="b">
        <f>Scenarios2[[#This Row],[Liquid Assets]]&gt;=LiquidMin</f>
        <v>1</v>
      </c>
      <c r="T99" s="71" t="b">
        <f>AND(Scenarios2[[#This Row],[Expected Return]]&gt;=ExpectedReturnMin,Scenarios2[[#This Row],[Expected Return]]&lt;=ExpectedReturnMax)</f>
        <v>1</v>
      </c>
      <c r="U99" s="71" t="b">
        <f>Scenarios2[[#This Row],[Max Drawdown]]&gt;=DrawdownMax</f>
        <v>1</v>
      </c>
      <c r="V9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99" s="46">
        <f>_xlfn.XLOOKUP(Scenarios2[[#This Row],[Reference '#]],ScenariosCombined[Reference '#],ScenariosCombined[Sharpe Rank])</f>
        <v>34</v>
      </c>
      <c r="X99" s="44">
        <f>IF(Scenarios2[[#This Row],[Eligible]],COUNTIFS(Scenarios2[Sharpe],"&gt;"&amp;Scenarios2[[#This Row],[Sharpe]],Scenarios2[Eligible],TRUE())+COUNTIFS(Scenarios2[Sharpe],Scenarios2[[#This Row],[Sharpe]],Scenarios2[Eligible],TRUE()),"")</f>
        <v>32</v>
      </c>
      <c r="Y9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30/15/20/20/15</v>
      </c>
      <c r="Z99">
        <f>_xlfn.XLOOKUP(Scenarios2[[#This Row],[Reference '#]],Scenarios1[Reference '#],Scenarios1[Sharpe Rank])</f>
        <v>34</v>
      </c>
      <c r="AA99">
        <f>Scenarios2[[#This Row],[Sharpe Rank]]</f>
        <v>32</v>
      </c>
      <c r="AB99">
        <f>_xlfn.XLOOKUP(Scenarios2[[#This Row],[Reference '#]],Scenarios3[Reference '#],Scenarios3[Sharpe Rank])</f>
        <v>29</v>
      </c>
      <c r="AC99"/>
      <c r="AD99"/>
      <c r="AE99"/>
      <c r="AF99" s="34"/>
      <c r="AG99" s="34"/>
    </row>
    <row r="100" spans="2:33" s="15" customFormat="1" x14ac:dyDescent="0.2">
      <c r="B100" s="44">
        <v>90</v>
      </c>
      <c r="C100" s="68">
        <v>0.3</v>
      </c>
      <c r="D100" s="69">
        <v>0.15</v>
      </c>
      <c r="E100" s="69">
        <v>0.2</v>
      </c>
      <c r="F100" s="69">
        <v>0.15</v>
      </c>
      <c r="G100" s="69">
        <v>0.2</v>
      </c>
      <c r="H100" s="69">
        <f>SUMPRODUCT(Scenarios2[[#This Row],[SPY]:[PE]],_xlfn.TOROW(AssetSpecsScenario2[Annualized Return]))</f>
        <v>9.0575117913829148E-2</v>
      </c>
      <c r="I100" s="69" cm="1">
        <f t="array" ref="I100">SQRT(MMULT(MMULT(Scenarios2[[#This Row],[SPY]:[PE]], 'Corr_Cov 36- Month'!$J$13:$N$17), TRANSPOSE(Scenarios2[[#This Row],[SPY]:[PE]])))</f>
        <v>7.533029028012124E-2</v>
      </c>
      <c r="J100" s="70">
        <f>(Scenarios2[[#This Row],[Expected Return]]-RiskFree)/Scenarios2[[#This Row],[36M Vol]]</f>
        <v>0.57838038584820217</v>
      </c>
      <c r="K100" s="69" cm="1">
        <f t="array" ref="K100">MIN(_xlfn._xlws.FILTER(PortfolioFrontier[#Data],(PortfolioFrontier[#Headers]="P"&amp;Scenarios2[[#This Row],[Reference '#]]&amp;" DD")))</f>
        <v>-0.15781185327852942</v>
      </c>
      <c r="L100" s="69">
        <f>SUM(Scenarios2[[#This Row],[SPY]:[VNQ]])</f>
        <v>0.79999999999999993</v>
      </c>
      <c r="M100" s="69">
        <f>SUM(Scenarios2[[#This Row],[SPY]:[PE]])</f>
        <v>1</v>
      </c>
      <c r="N100" s="71" t="b">
        <f>Scenarios2[[#This Row],[SPY]]&gt;=SpyMin</f>
        <v>1</v>
      </c>
      <c r="O100" s="71" t="b">
        <f>Scenarios2[[#This Row],[AGG]]&gt;=AGGMin</f>
        <v>1</v>
      </c>
      <c r="P100" s="71" t="b">
        <f>AND(Scenarios2[[#This Row],[GLD]]&gt;=GLDMin,Scenarios2[[#This Row],[GLD]]&lt;=GLDMax)</f>
        <v>1</v>
      </c>
      <c r="Q100" s="71" t="b">
        <f>Scenarios2[[#This Row],[VNQ]]&gt;=VNQMin</f>
        <v>1</v>
      </c>
      <c r="R100" s="71" t="b">
        <f>AND(Scenarios2[[#This Row],[PE]]&gt;=PEMin,Scenarios2[[#This Row],[PE]]&lt;=PEMax)</f>
        <v>1</v>
      </c>
      <c r="S100" s="71" t="b">
        <f>Scenarios2[[#This Row],[Liquid Assets]]&gt;=LiquidMin</f>
        <v>1</v>
      </c>
      <c r="T100" s="71" t="b">
        <f>AND(Scenarios2[[#This Row],[Expected Return]]&gt;=ExpectedReturnMin,Scenarios2[[#This Row],[Expected Return]]&lt;=ExpectedReturnMax)</f>
        <v>1</v>
      </c>
      <c r="U100" s="71" t="b">
        <f>Scenarios2[[#This Row],[Max Drawdown]]&gt;=DrawdownMax</f>
        <v>1</v>
      </c>
      <c r="V10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00" s="46">
        <f>_xlfn.XLOOKUP(Scenarios2[[#This Row],[Reference '#]],ScenariosCombined[Reference '#],ScenariosCombined[Sharpe Rank])</f>
        <v>14</v>
      </c>
      <c r="X100" s="44">
        <f>IF(Scenarios2[[#This Row],[Eligible]],COUNTIFS(Scenarios2[Sharpe],"&gt;"&amp;Scenarios2[[#This Row],[Sharpe]],Scenarios2[Eligible],TRUE())+COUNTIFS(Scenarios2[Sharpe],Scenarios2[[#This Row],[Sharpe]],Scenarios2[Eligible],TRUE()),"")</f>
        <v>16</v>
      </c>
      <c r="Y10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30/15/20/15/20</v>
      </c>
      <c r="Z100">
        <f>_xlfn.XLOOKUP(Scenarios2[[#This Row],[Reference '#]],Scenarios1[Reference '#],Scenarios1[Sharpe Rank])</f>
        <v>19</v>
      </c>
      <c r="AA100">
        <f>Scenarios2[[#This Row],[Sharpe Rank]]</f>
        <v>16</v>
      </c>
      <c r="AB100">
        <f>_xlfn.XLOOKUP(Scenarios2[[#This Row],[Reference '#]],Scenarios3[Reference '#],Scenarios3[Sharpe Rank])</f>
        <v>7</v>
      </c>
      <c r="AC100"/>
      <c r="AD100"/>
      <c r="AE100"/>
      <c r="AF100" s="34"/>
      <c r="AG100" s="34"/>
    </row>
    <row r="101" spans="2:33" s="15" customFormat="1" x14ac:dyDescent="0.2">
      <c r="B101" s="44">
        <v>91</v>
      </c>
      <c r="C101" s="68">
        <v>0.3</v>
      </c>
      <c r="D101" s="69">
        <v>0.15</v>
      </c>
      <c r="E101" s="69">
        <v>0.15</v>
      </c>
      <c r="F101" s="69">
        <v>0.3</v>
      </c>
      <c r="G101" s="69">
        <v>0.1</v>
      </c>
      <c r="H101" s="69">
        <f>SUMPRODUCT(Scenarios2[[#This Row],[SPY]:[PE]],_xlfn.TOROW(AssetSpecsScenario2[Annualized Return]))</f>
        <v>8.6309985974860115E-2</v>
      </c>
      <c r="I101" s="69" cm="1">
        <f t="array" ref="I101">SQRT(MMULT(MMULT(Scenarios2[[#This Row],[SPY]:[PE]], 'Corr_Cov 36- Month'!$J$13:$N$17), TRANSPOSE(Scenarios2[[#This Row],[SPY]:[PE]])))</f>
        <v>9.5913147081195707E-2</v>
      </c>
      <c r="J101" s="70">
        <f>(Scenarios2[[#This Row],[Expected Return]]-RiskFree)/Scenarios2[[#This Row],[36M Vol]]</f>
        <v>0.40979189626664236</v>
      </c>
      <c r="K101" s="69" cm="1">
        <f t="array" ref="K101">MIN(_xlfn._xlws.FILTER(PortfolioFrontier[#Data],(PortfolioFrontier[#Headers]="P"&amp;Scenarios2[[#This Row],[Reference '#]]&amp;" DD")))</f>
        <v>-0.19691657346478753</v>
      </c>
      <c r="L101" s="69">
        <f>SUM(Scenarios2[[#This Row],[SPY]:[VNQ]])</f>
        <v>0.89999999999999991</v>
      </c>
      <c r="M101" s="69">
        <f>SUM(Scenarios2[[#This Row],[SPY]:[PE]])</f>
        <v>0.99999999999999989</v>
      </c>
      <c r="N101" s="71" t="b">
        <f>Scenarios2[[#This Row],[SPY]]&gt;=SpyMin</f>
        <v>1</v>
      </c>
      <c r="O101" s="71" t="b">
        <f>Scenarios2[[#This Row],[AGG]]&gt;=AGGMin</f>
        <v>1</v>
      </c>
      <c r="P101" s="71" t="b">
        <f>AND(Scenarios2[[#This Row],[GLD]]&gt;=GLDMin,Scenarios2[[#This Row],[GLD]]&lt;=GLDMax)</f>
        <v>1</v>
      </c>
      <c r="Q101" s="71" t="b">
        <f>Scenarios2[[#This Row],[VNQ]]&gt;=VNQMin</f>
        <v>1</v>
      </c>
      <c r="R101" s="71" t="b">
        <f>AND(Scenarios2[[#This Row],[PE]]&gt;=PEMin,Scenarios2[[#This Row],[PE]]&lt;=PEMax)</f>
        <v>1</v>
      </c>
      <c r="S101" s="71" t="b">
        <f>Scenarios2[[#This Row],[Liquid Assets]]&gt;=LiquidMin</f>
        <v>1</v>
      </c>
      <c r="T101" s="71" t="b">
        <f>AND(Scenarios2[[#This Row],[Expected Return]]&gt;=ExpectedReturnMin,Scenarios2[[#This Row],[Expected Return]]&lt;=ExpectedReturnMax)</f>
        <v>1</v>
      </c>
      <c r="U101" s="71" t="b">
        <f>Scenarios2[[#This Row],[Max Drawdown]]&gt;=DrawdownMax</f>
        <v>1</v>
      </c>
      <c r="V10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01" s="46">
        <f>_xlfn.XLOOKUP(Scenarios2[[#This Row],[Reference '#]],ScenariosCombined[Reference '#],ScenariosCombined[Sharpe Rank])</f>
        <v>88</v>
      </c>
      <c r="X101" s="44">
        <f>IF(Scenarios2[[#This Row],[Eligible]],COUNTIFS(Scenarios2[Sharpe],"&gt;"&amp;Scenarios2[[#This Row],[Sharpe]],Scenarios2[Eligible],TRUE())+COUNTIFS(Scenarios2[Sharpe],Scenarios2[[#This Row],[Sharpe]],Scenarios2[Eligible],TRUE()),"")</f>
        <v>87</v>
      </c>
      <c r="Y10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30/15/15/30/10</v>
      </c>
      <c r="Z101">
        <f>_xlfn.XLOOKUP(Scenarios2[[#This Row],[Reference '#]],Scenarios1[Reference '#],Scenarios1[Sharpe Rank])</f>
        <v>87</v>
      </c>
      <c r="AA101">
        <f>Scenarios2[[#This Row],[Sharpe Rank]]</f>
        <v>87</v>
      </c>
      <c r="AB101">
        <f>_xlfn.XLOOKUP(Scenarios2[[#This Row],[Reference '#]],Scenarios3[Reference '#],Scenarios3[Sharpe Rank])</f>
        <v>86</v>
      </c>
      <c r="AC101"/>
      <c r="AD101"/>
      <c r="AE101"/>
      <c r="AF101" s="34"/>
      <c r="AG101" s="34"/>
    </row>
    <row r="102" spans="2:33" s="15" customFormat="1" x14ac:dyDescent="0.2">
      <c r="B102" s="44">
        <v>92</v>
      </c>
      <c r="C102" s="68">
        <v>0.3</v>
      </c>
      <c r="D102" s="69">
        <v>0.15</v>
      </c>
      <c r="E102" s="69">
        <v>0.15</v>
      </c>
      <c r="F102" s="69">
        <v>0.25</v>
      </c>
      <c r="G102" s="69">
        <v>0.15</v>
      </c>
      <c r="H102" s="69">
        <f>SUMPRODUCT(Scenarios2[[#This Row],[SPY]:[PE]],_xlfn.TOROW(AssetSpecsScenario2[Annualized Return]))</f>
        <v>8.6446692493806612E-2</v>
      </c>
      <c r="I102" s="69" cm="1">
        <f t="array" ref="I102">SQRT(MMULT(MMULT(Scenarios2[[#This Row],[SPY]:[PE]], 'Corr_Cov 36- Month'!$J$13:$N$17), TRANSPOSE(Scenarios2[[#This Row],[SPY]:[PE]])))</f>
        <v>8.7885252759314761E-2</v>
      </c>
      <c r="J102" s="70">
        <f>(Scenarios2[[#This Row],[Expected Return]]-RiskFree)/Scenarios2[[#This Row],[36M Vol]]</f>
        <v>0.44877992268242961</v>
      </c>
      <c r="K102" s="69" cm="1">
        <f t="array" ref="K102">MIN(_xlfn._xlws.FILTER(PortfolioFrontier[#Data],(PortfolioFrontier[#Headers]="P"&amp;Scenarios2[[#This Row],[Reference '#]]&amp;" DD")))</f>
        <v>-0.18256018832149878</v>
      </c>
      <c r="L102" s="69">
        <f>SUM(Scenarios2[[#This Row],[SPY]:[VNQ]])</f>
        <v>0.85</v>
      </c>
      <c r="M102" s="69">
        <f>SUM(Scenarios2[[#This Row],[SPY]:[PE]])</f>
        <v>1</v>
      </c>
      <c r="N102" s="71" t="b">
        <f>Scenarios2[[#This Row],[SPY]]&gt;=SpyMin</f>
        <v>1</v>
      </c>
      <c r="O102" s="71" t="b">
        <f>Scenarios2[[#This Row],[AGG]]&gt;=AGGMin</f>
        <v>1</v>
      </c>
      <c r="P102" s="71" t="b">
        <f>AND(Scenarios2[[#This Row],[GLD]]&gt;=GLDMin,Scenarios2[[#This Row],[GLD]]&lt;=GLDMax)</f>
        <v>1</v>
      </c>
      <c r="Q102" s="71" t="b">
        <f>Scenarios2[[#This Row],[VNQ]]&gt;=VNQMin</f>
        <v>1</v>
      </c>
      <c r="R102" s="71" t="b">
        <f>AND(Scenarios2[[#This Row],[PE]]&gt;=PEMin,Scenarios2[[#This Row],[PE]]&lt;=PEMax)</f>
        <v>1</v>
      </c>
      <c r="S102" s="71" t="b">
        <f>Scenarios2[[#This Row],[Liquid Assets]]&gt;=LiquidMin</f>
        <v>1</v>
      </c>
      <c r="T102" s="71" t="b">
        <f>AND(Scenarios2[[#This Row],[Expected Return]]&gt;=ExpectedReturnMin,Scenarios2[[#This Row],[Expected Return]]&lt;=ExpectedReturnMax)</f>
        <v>1</v>
      </c>
      <c r="U102" s="71" t="b">
        <f>Scenarios2[[#This Row],[Max Drawdown]]&gt;=DrawdownMax</f>
        <v>1</v>
      </c>
      <c r="V10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02" s="46">
        <f>_xlfn.XLOOKUP(Scenarios2[[#This Row],[Reference '#]],ScenariosCombined[Reference '#],ScenariosCombined[Sharpe Rank])</f>
        <v>65</v>
      </c>
      <c r="X102" s="44">
        <f>IF(Scenarios2[[#This Row],[Eligible]],COUNTIFS(Scenarios2[Sharpe],"&gt;"&amp;Scenarios2[[#This Row],[Sharpe]],Scenarios2[Eligible],TRUE())+COUNTIFS(Scenarios2[Sharpe],Scenarios2[[#This Row],[Sharpe]],Scenarios2[Eligible],TRUE()),"")</f>
        <v>64</v>
      </c>
      <c r="Y10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30/15/15/25/15</v>
      </c>
      <c r="Z102">
        <f>_xlfn.XLOOKUP(Scenarios2[[#This Row],[Reference '#]],Scenarios1[Reference '#],Scenarios1[Sharpe Rank])</f>
        <v>66</v>
      </c>
      <c r="AA102">
        <f>Scenarios2[[#This Row],[Sharpe Rank]]</f>
        <v>64</v>
      </c>
      <c r="AB102">
        <f>_xlfn.XLOOKUP(Scenarios2[[#This Row],[Reference '#]],Scenarios3[Reference '#],Scenarios3[Sharpe Rank])</f>
        <v>60</v>
      </c>
      <c r="AC102"/>
      <c r="AD102"/>
      <c r="AE102"/>
      <c r="AF102" s="34"/>
      <c r="AG102" s="34"/>
    </row>
    <row r="103" spans="2:33" s="15" customFormat="1" x14ac:dyDescent="0.2">
      <c r="B103" s="44">
        <v>93</v>
      </c>
      <c r="C103" s="68">
        <v>0.3</v>
      </c>
      <c r="D103" s="69">
        <v>0.15</v>
      </c>
      <c r="E103" s="69">
        <v>0.15</v>
      </c>
      <c r="F103" s="69">
        <v>0.2</v>
      </c>
      <c r="G103" s="69">
        <v>0.2</v>
      </c>
      <c r="H103" s="69">
        <f>SUMPRODUCT(Scenarios2[[#This Row],[SPY]:[PE]],_xlfn.TOROW(AssetSpecsScenario2[Annualized Return]))</f>
        <v>8.6583399012753123E-2</v>
      </c>
      <c r="I103" s="69" cm="1">
        <f t="array" ref="I103">SQRT(MMULT(MMULT(Scenarios2[[#This Row],[SPY]:[PE]], 'Corr_Cov 36- Month'!$J$13:$N$17), TRANSPOSE(Scenarios2[[#This Row],[SPY]:[PE]])))</f>
        <v>8.0202290886423486E-2</v>
      </c>
      <c r="J103" s="70">
        <f>(Scenarios2[[#This Row],[Expected Return]]-RiskFree)/Scenarios2[[#This Row],[36M Vol]]</f>
        <v>0.49347522395893617</v>
      </c>
      <c r="K103" s="69" cm="1">
        <f t="array" ref="K103">MIN(_xlfn._xlws.FILTER(PortfolioFrontier[#Data],(PortfolioFrontier[#Headers]="P"&amp;Scenarios2[[#This Row],[Reference '#]]&amp;" DD")))</f>
        <v>-0.1680856669601688</v>
      </c>
      <c r="L103" s="69">
        <f>SUM(Scenarios2[[#This Row],[SPY]:[VNQ]])</f>
        <v>0.8</v>
      </c>
      <c r="M103" s="69">
        <f>SUM(Scenarios2[[#This Row],[SPY]:[PE]])</f>
        <v>1</v>
      </c>
      <c r="N103" s="71" t="b">
        <f>Scenarios2[[#This Row],[SPY]]&gt;=SpyMin</f>
        <v>1</v>
      </c>
      <c r="O103" s="71" t="b">
        <f>Scenarios2[[#This Row],[AGG]]&gt;=AGGMin</f>
        <v>1</v>
      </c>
      <c r="P103" s="71" t="b">
        <f>AND(Scenarios2[[#This Row],[GLD]]&gt;=GLDMin,Scenarios2[[#This Row],[GLD]]&lt;=GLDMax)</f>
        <v>1</v>
      </c>
      <c r="Q103" s="71" t="b">
        <f>Scenarios2[[#This Row],[VNQ]]&gt;=VNQMin</f>
        <v>1</v>
      </c>
      <c r="R103" s="71" t="b">
        <f>AND(Scenarios2[[#This Row],[PE]]&gt;=PEMin,Scenarios2[[#This Row],[PE]]&lt;=PEMax)</f>
        <v>1</v>
      </c>
      <c r="S103" s="71" t="b">
        <f>Scenarios2[[#This Row],[Liquid Assets]]&gt;=LiquidMin</f>
        <v>1</v>
      </c>
      <c r="T103" s="71" t="b">
        <f>AND(Scenarios2[[#This Row],[Expected Return]]&gt;=ExpectedReturnMin,Scenarios2[[#This Row],[Expected Return]]&lt;=ExpectedReturnMax)</f>
        <v>1</v>
      </c>
      <c r="U103" s="71" t="b">
        <f>Scenarios2[[#This Row],[Max Drawdown]]&gt;=DrawdownMax</f>
        <v>1</v>
      </c>
      <c r="V10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03" s="46">
        <f>_xlfn.XLOOKUP(Scenarios2[[#This Row],[Reference '#]],ScenariosCombined[Reference '#],ScenariosCombined[Sharpe Rank])</f>
        <v>45</v>
      </c>
      <c r="X103" s="44">
        <f>IF(Scenarios2[[#This Row],[Eligible]],COUNTIFS(Scenarios2[Sharpe],"&gt;"&amp;Scenarios2[[#This Row],[Sharpe]],Scenarios2[Eligible],TRUE())+COUNTIFS(Scenarios2[Sharpe],Scenarios2[[#This Row],[Sharpe]],Scenarios2[Eligible],TRUE()),"")</f>
        <v>47</v>
      </c>
      <c r="Y10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30/15/15/20/20</v>
      </c>
      <c r="Z103">
        <f>_xlfn.XLOOKUP(Scenarios2[[#This Row],[Reference '#]],Scenarios1[Reference '#],Scenarios1[Sharpe Rank])</f>
        <v>51</v>
      </c>
      <c r="AA103">
        <f>Scenarios2[[#This Row],[Sharpe Rank]]</f>
        <v>47</v>
      </c>
      <c r="AB103">
        <f>_xlfn.XLOOKUP(Scenarios2[[#This Row],[Reference '#]],Scenarios3[Reference '#],Scenarios3[Sharpe Rank])</f>
        <v>34</v>
      </c>
      <c r="AC103"/>
      <c r="AD103"/>
      <c r="AE103"/>
      <c r="AF103" s="34"/>
      <c r="AG103" s="34"/>
    </row>
    <row r="104" spans="2:33" s="15" customFormat="1" x14ac:dyDescent="0.2">
      <c r="B104" s="44">
        <v>94</v>
      </c>
      <c r="C104" s="68">
        <v>0.3</v>
      </c>
      <c r="D104" s="69">
        <v>0.15</v>
      </c>
      <c r="E104" s="69">
        <v>0.1</v>
      </c>
      <c r="F104" s="69">
        <v>0.35</v>
      </c>
      <c r="G104" s="69">
        <v>0.1</v>
      </c>
      <c r="H104" s="69">
        <f>SUMPRODUCT(Scenarios2[[#This Row],[SPY]:[PE]],_xlfn.TOROW(AssetSpecsScenario2[Annualized Return]))</f>
        <v>8.231826707378409E-2</v>
      </c>
      <c r="I104" s="69" cm="1">
        <f t="array" ref="I104">SQRT(MMULT(MMULT(Scenarios2[[#This Row],[SPY]:[PE]], 'Corr_Cov 36- Month'!$J$13:$N$17), TRANSPOSE(Scenarios2[[#This Row],[SPY]:[PE]])))</f>
        <v>0.10209152638113109</v>
      </c>
      <c r="J104" s="70">
        <f>(Scenarios2[[#This Row],[Expected Return]]-RiskFree)/Scenarios2[[#This Row],[36M Vol]]</f>
        <v>0.3458926785598061</v>
      </c>
      <c r="K104" s="69" cm="1">
        <f t="array" ref="K104">MIN(_xlfn._xlws.FILTER(PortfolioFrontier[#Data],(PortfolioFrontier[#Headers]="P"&amp;Scenarios2[[#This Row],[Reference '#]]&amp;" DD")))</f>
        <v>-0.20701358240872292</v>
      </c>
      <c r="L104" s="69">
        <f>SUM(Scenarios2[[#This Row],[SPY]:[VNQ]])</f>
        <v>0.89999999999999991</v>
      </c>
      <c r="M104" s="69">
        <f>SUM(Scenarios2[[#This Row],[SPY]:[PE]])</f>
        <v>0.99999999999999989</v>
      </c>
      <c r="N104" s="71" t="b">
        <f>Scenarios2[[#This Row],[SPY]]&gt;=SpyMin</f>
        <v>1</v>
      </c>
      <c r="O104" s="71" t="b">
        <f>Scenarios2[[#This Row],[AGG]]&gt;=AGGMin</f>
        <v>1</v>
      </c>
      <c r="P104" s="71" t="b">
        <f>AND(Scenarios2[[#This Row],[GLD]]&gt;=GLDMin,Scenarios2[[#This Row],[GLD]]&lt;=GLDMax)</f>
        <v>1</v>
      </c>
      <c r="Q104" s="71" t="b">
        <f>Scenarios2[[#This Row],[VNQ]]&gt;=VNQMin</f>
        <v>1</v>
      </c>
      <c r="R104" s="71" t="b">
        <f>AND(Scenarios2[[#This Row],[PE]]&gt;=PEMin,Scenarios2[[#This Row],[PE]]&lt;=PEMax)</f>
        <v>1</v>
      </c>
      <c r="S104" s="71" t="b">
        <f>Scenarios2[[#This Row],[Liquid Assets]]&gt;=LiquidMin</f>
        <v>1</v>
      </c>
      <c r="T104" s="71" t="b">
        <f>AND(Scenarios2[[#This Row],[Expected Return]]&gt;=ExpectedReturnMin,Scenarios2[[#This Row],[Expected Return]]&lt;=ExpectedReturnMax)</f>
        <v>1</v>
      </c>
      <c r="U104" s="71" t="b">
        <f>Scenarios2[[#This Row],[Max Drawdown]]&gt;=DrawdownMax</f>
        <v>0</v>
      </c>
      <c r="V10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04" s="46" t="str">
        <f>_xlfn.XLOOKUP(Scenarios2[[#This Row],[Reference '#]],ScenariosCombined[Reference '#],ScenariosCombined[Sharpe Rank])</f>
        <v/>
      </c>
      <c r="X104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0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30/15/10/35/10</v>
      </c>
      <c r="Z104" t="str">
        <f>_xlfn.XLOOKUP(Scenarios2[[#This Row],[Reference '#]],Scenarios1[Reference '#],Scenarios1[Sharpe Rank])</f>
        <v/>
      </c>
      <c r="AA104" t="str">
        <f>Scenarios2[[#This Row],[Sharpe Rank]]</f>
        <v/>
      </c>
      <c r="AB104" t="str">
        <f>_xlfn.XLOOKUP(Scenarios2[[#This Row],[Reference '#]],Scenarios3[Reference '#],Scenarios3[Sharpe Rank])</f>
        <v/>
      </c>
      <c r="AC104"/>
      <c r="AD104"/>
      <c r="AE104"/>
      <c r="AF104" s="34"/>
      <c r="AG104" s="34"/>
    </row>
    <row r="105" spans="2:33" s="15" customFormat="1" x14ac:dyDescent="0.2">
      <c r="B105" s="44">
        <v>95</v>
      </c>
      <c r="C105" s="68">
        <v>0.3</v>
      </c>
      <c r="D105" s="69">
        <v>0.15</v>
      </c>
      <c r="E105" s="69">
        <v>0.1</v>
      </c>
      <c r="F105" s="69">
        <v>0.3</v>
      </c>
      <c r="G105" s="69">
        <v>0.15</v>
      </c>
      <c r="H105" s="69">
        <f>SUMPRODUCT(Scenarios2[[#This Row],[SPY]:[PE]],_xlfn.TOROW(AssetSpecsScenario2[Annualized Return]))</f>
        <v>8.2454973592730588E-2</v>
      </c>
      <c r="I105" s="69" cm="1">
        <f t="array" ref="I105">SQRT(MMULT(MMULT(Scenarios2[[#This Row],[SPY]:[PE]], 'Corr_Cov 36- Month'!$J$13:$N$17), TRANSPOSE(Scenarios2[[#This Row],[SPY]:[PE]])))</f>
        <v>9.3896708481953542E-2</v>
      </c>
      <c r="J105" s="70">
        <f>(Scenarios2[[#This Row],[Expected Return]]-RiskFree)/Scenarios2[[#This Row],[36M Vol]]</f>
        <v>0.37753632273476584</v>
      </c>
      <c r="K105" s="69" cm="1">
        <f t="array" ref="K105">MIN(_xlfn._xlws.FILTER(PortfolioFrontier[#Data],(PortfolioFrontier[#Headers]="P"&amp;Scenarios2[[#This Row],[Reference '#]]&amp;" DD")))</f>
        <v>-0.19273250958379395</v>
      </c>
      <c r="L105" s="69">
        <f>SUM(Scenarios2[[#This Row],[SPY]:[VNQ]])</f>
        <v>0.84999999999999987</v>
      </c>
      <c r="M105" s="69">
        <f>SUM(Scenarios2[[#This Row],[SPY]:[PE]])</f>
        <v>0.99999999999999989</v>
      </c>
      <c r="N105" s="71" t="b">
        <f>Scenarios2[[#This Row],[SPY]]&gt;=SpyMin</f>
        <v>1</v>
      </c>
      <c r="O105" s="71" t="b">
        <f>Scenarios2[[#This Row],[AGG]]&gt;=AGGMin</f>
        <v>1</v>
      </c>
      <c r="P105" s="71" t="b">
        <f>AND(Scenarios2[[#This Row],[GLD]]&gt;=GLDMin,Scenarios2[[#This Row],[GLD]]&lt;=GLDMax)</f>
        <v>1</v>
      </c>
      <c r="Q105" s="71" t="b">
        <f>Scenarios2[[#This Row],[VNQ]]&gt;=VNQMin</f>
        <v>1</v>
      </c>
      <c r="R105" s="71" t="b">
        <f>AND(Scenarios2[[#This Row],[PE]]&gt;=PEMin,Scenarios2[[#This Row],[PE]]&lt;=PEMax)</f>
        <v>1</v>
      </c>
      <c r="S105" s="71" t="b">
        <f>Scenarios2[[#This Row],[Liquid Assets]]&gt;=LiquidMin</f>
        <v>1</v>
      </c>
      <c r="T105" s="71" t="b">
        <f>AND(Scenarios2[[#This Row],[Expected Return]]&gt;=ExpectedReturnMin,Scenarios2[[#This Row],[Expected Return]]&lt;=ExpectedReturnMax)</f>
        <v>1</v>
      </c>
      <c r="U105" s="71" t="b">
        <f>Scenarios2[[#This Row],[Max Drawdown]]&gt;=DrawdownMax</f>
        <v>1</v>
      </c>
      <c r="V10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05" s="46">
        <f>_xlfn.XLOOKUP(Scenarios2[[#This Row],[Reference '#]],ScenariosCombined[Reference '#],ScenariosCombined[Sharpe Rank])</f>
        <v>98</v>
      </c>
      <c r="X105" s="44">
        <f>IF(Scenarios2[[#This Row],[Eligible]],COUNTIFS(Scenarios2[Sharpe],"&gt;"&amp;Scenarios2[[#This Row],[Sharpe]],Scenarios2[Eligible],TRUE())+COUNTIFS(Scenarios2[Sharpe],Scenarios2[[#This Row],[Sharpe]],Scenarios2[Eligible],TRUE()),"")</f>
        <v>97</v>
      </c>
      <c r="Y10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30/15/10/30/15</v>
      </c>
      <c r="Z105">
        <f>_xlfn.XLOOKUP(Scenarios2[[#This Row],[Reference '#]],Scenarios1[Reference '#],Scenarios1[Sharpe Rank])</f>
        <v>98</v>
      </c>
      <c r="AA105">
        <f>Scenarios2[[#This Row],[Sharpe Rank]]</f>
        <v>97</v>
      </c>
      <c r="AB105">
        <f>_xlfn.XLOOKUP(Scenarios2[[#This Row],[Reference '#]],Scenarios3[Reference '#],Scenarios3[Sharpe Rank])</f>
        <v>93</v>
      </c>
      <c r="AC105"/>
      <c r="AD105"/>
      <c r="AE105"/>
      <c r="AF105" s="34"/>
      <c r="AG105" s="34"/>
    </row>
    <row r="106" spans="2:33" s="15" customFormat="1" x14ac:dyDescent="0.2">
      <c r="B106" s="44">
        <v>96</v>
      </c>
      <c r="C106" s="68">
        <v>0.3</v>
      </c>
      <c r="D106" s="69">
        <v>0.15</v>
      </c>
      <c r="E106" s="69">
        <v>0.1</v>
      </c>
      <c r="F106" s="69">
        <v>0.25</v>
      </c>
      <c r="G106" s="69">
        <v>0.2</v>
      </c>
      <c r="H106" s="69">
        <f>SUMPRODUCT(Scenarios2[[#This Row],[SPY]:[PE]],_xlfn.TOROW(AssetSpecsScenario2[Annualized Return]))</f>
        <v>8.2591680111677099E-2</v>
      </c>
      <c r="I106" s="69" cm="1">
        <f t="array" ref="I106">SQRT(MMULT(MMULT(Scenarios2[[#This Row],[SPY]:[PE]], 'Corr_Cov 36- Month'!$J$13:$N$17), TRANSPOSE(Scenarios2[[#This Row],[SPY]:[PE]])))</f>
        <v>8.5991906072449817E-2</v>
      </c>
      <c r="J106" s="70">
        <f>(Scenarios2[[#This Row],[Expected Return]]-RiskFree)/Scenarios2[[#This Row],[36M Vol]]</f>
        <v>0.41383109389550643</v>
      </c>
      <c r="K106" s="69" cm="1">
        <f t="array" ref="K106">MIN(_xlfn._xlws.FILTER(PortfolioFrontier[#Data],(PortfolioFrontier[#Headers]="P"&amp;Scenarios2[[#This Row],[Reference '#]]&amp;" DD")))</f>
        <v>-0.17833167998995136</v>
      </c>
      <c r="L106" s="69">
        <f>SUM(Scenarios2[[#This Row],[SPY]:[VNQ]])</f>
        <v>0.79999999999999993</v>
      </c>
      <c r="M106" s="69">
        <f>SUM(Scenarios2[[#This Row],[SPY]:[PE]])</f>
        <v>1</v>
      </c>
      <c r="N106" s="71" t="b">
        <f>Scenarios2[[#This Row],[SPY]]&gt;=SpyMin</f>
        <v>1</v>
      </c>
      <c r="O106" s="71" t="b">
        <f>Scenarios2[[#This Row],[AGG]]&gt;=AGGMin</f>
        <v>1</v>
      </c>
      <c r="P106" s="71" t="b">
        <f>AND(Scenarios2[[#This Row],[GLD]]&gt;=GLDMin,Scenarios2[[#This Row],[GLD]]&lt;=GLDMax)</f>
        <v>1</v>
      </c>
      <c r="Q106" s="71" t="b">
        <f>Scenarios2[[#This Row],[VNQ]]&gt;=VNQMin</f>
        <v>1</v>
      </c>
      <c r="R106" s="71" t="b">
        <f>AND(Scenarios2[[#This Row],[PE]]&gt;=PEMin,Scenarios2[[#This Row],[PE]]&lt;=PEMax)</f>
        <v>1</v>
      </c>
      <c r="S106" s="71" t="b">
        <f>Scenarios2[[#This Row],[Liquid Assets]]&gt;=LiquidMin</f>
        <v>1</v>
      </c>
      <c r="T106" s="71" t="b">
        <f>AND(Scenarios2[[#This Row],[Expected Return]]&gt;=ExpectedReturnMin,Scenarios2[[#This Row],[Expected Return]]&lt;=ExpectedReturnMax)</f>
        <v>1</v>
      </c>
      <c r="U106" s="71" t="b">
        <f>Scenarios2[[#This Row],[Max Drawdown]]&gt;=DrawdownMax</f>
        <v>1</v>
      </c>
      <c r="V10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06" s="46">
        <f>_xlfn.XLOOKUP(Scenarios2[[#This Row],[Reference '#]],ScenariosCombined[Reference '#],ScenariosCombined[Sharpe Rank])</f>
        <v>82</v>
      </c>
      <c r="X106" s="44">
        <f>IF(Scenarios2[[#This Row],[Eligible]],COUNTIFS(Scenarios2[Sharpe],"&gt;"&amp;Scenarios2[[#This Row],[Sharpe]],Scenarios2[Eligible],TRUE())+COUNTIFS(Scenarios2[Sharpe],Scenarios2[[#This Row],[Sharpe]],Scenarios2[Eligible],TRUE()),"")</f>
        <v>86</v>
      </c>
      <c r="Y10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30/15/10/25/20</v>
      </c>
      <c r="Z106">
        <f>_xlfn.XLOOKUP(Scenarios2[[#This Row],[Reference '#]],Scenarios1[Reference '#],Scenarios1[Sharpe Rank])</f>
        <v>90</v>
      </c>
      <c r="AA106">
        <f>Scenarios2[[#This Row],[Sharpe Rank]]</f>
        <v>86</v>
      </c>
      <c r="AB106">
        <f>_xlfn.XLOOKUP(Scenarios2[[#This Row],[Reference '#]],Scenarios3[Reference '#],Scenarios3[Sharpe Rank])</f>
        <v>67</v>
      </c>
      <c r="AC106"/>
      <c r="AD106"/>
      <c r="AE106"/>
      <c r="AF106" s="34"/>
      <c r="AG106" s="34"/>
    </row>
    <row r="107" spans="2:33" s="15" customFormat="1" x14ac:dyDescent="0.2">
      <c r="B107" s="44">
        <v>97</v>
      </c>
      <c r="C107" s="68">
        <v>0.25</v>
      </c>
      <c r="D107" s="69">
        <v>0.45</v>
      </c>
      <c r="E107" s="69">
        <v>0.1</v>
      </c>
      <c r="F107" s="69">
        <v>0.1</v>
      </c>
      <c r="G107" s="69">
        <v>0.1</v>
      </c>
      <c r="H107" s="69">
        <f>SUMPRODUCT(Scenarios2[[#This Row],[SPY]:[PE]],_xlfn.TOROW(AssetSpecsScenario2[Annualized Return]))</f>
        <v>6.7716337321958087E-2</v>
      </c>
      <c r="I107" s="69" cm="1">
        <f t="array" ref="I107">SQRT(MMULT(MMULT(Scenarios2[[#This Row],[SPY]:[PE]], 'Corr_Cov 36- Month'!$J$13:$N$17), TRANSPOSE(Scenarios2[[#This Row],[SPY]:[PE]])))</f>
        <v>7.2400505771849311E-2</v>
      </c>
      <c r="J107" s="70">
        <f>(Scenarios2[[#This Row],[Expected Return]]-RiskFree)/Scenarios2[[#This Row],[36M Vol]]</f>
        <v>0.28605852328804149</v>
      </c>
      <c r="K107" s="69" cm="1">
        <f t="array" ref="K107">MIN(_xlfn._xlws.FILTER(PortfolioFrontier[#Data],(PortfolioFrontier[#Headers]="P"&amp;Scenarios2[[#This Row],[Reference '#]]&amp;" DD")))</f>
        <v>-0.16368427588701906</v>
      </c>
      <c r="L107" s="69">
        <f>SUM(Scenarios2[[#This Row],[SPY]:[VNQ]])</f>
        <v>0.89999999999999991</v>
      </c>
      <c r="M107" s="69">
        <f>SUM(Scenarios2[[#This Row],[SPY]:[PE]])</f>
        <v>0.99999999999999989</v>
      </c>
      <c r="N107" s="71" t="b">
        <f>Scenarios2[[#This Row],[SPY]]&gt;=SpyMin</f>
        <v>1</v>
      </c>
      <c r="O107" s="71" t="b">
        <f>Scenarios2[[#This Row],[AGG]]&gt;=AGGMin</f>
        <v>1</v>
      </c>
      <c r="P107" s="71" t="b">
        <f>AND(Scenarios2[[#This Row],[GLD]]&gt;=GLDMin,Scenarios2[[#This Row],[GLD]]&lt;=GLDMax)</f>
        <v>1</v>
      </c>
      <c r="Q107" s="71" t="b">
        <f>Scenarios2[[#This Row],[VNQ]]&gt;=VNQMin</f>
        <v>1</v>
      </c>
      <c r="R107" s="71" t="b">
        <f>AND(Scenarios2[[#This Row],[PE]]&gt;=PEMin,Scenarios2[[#This Row],[PE]]&lt;=PEMax)</f>
        <v>1</v>
      </c>
      <c r="S107" s="71" t="b">
        <f>Scenarios2[[#This Row],[Liquid Assets]]&gt;=LiquidMin</f>
        <v>1</v>
      </c>
      <c r="T107" s="71" t="b">
        <f>AND(Scenarios2[[#This Row],[Expected Return]]&gt;=ExpectedReturnMin,Scenarios2[[#This Row],[Expected Return]]&lt;=ExpectedReturnMax)</f>
        <v>0</v>
      </c>
      <c r="U107" s="71" t="b">
        <f>Scenarios2[[#This Row],[Max Drawdown]]&gt;=DrawdownMax</f>
        <v>1</v>
      </c>
      <c r="V10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07" s="46" t="str">
        <f>_xlfn.XLOOKUP(Scenarios2[[#This Row],[Reference '#]],ScenariosCombined[Reference '#],ScenariosCombined[Sharpe Rank])</f>
        <v/>
      </c>
      <c r="X107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0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25/45/10/10/10</v>
      </c>
      <c r="Z107" t="str">
        <f>_xlfn.XLOOKUP(Scenarios2[[#This Row],[Reference '#]],Scenarios1[Reference '#],Scenarios1[Sharpe Rank])</f>
        <v/>
      </c>
      <c r="AA107" t="str">
        <f>Scenarios2[[#This Row],[Sharpe Rank]]</f>
        <v/>
      </c>
      <c r="AB107" t="str">
        <f>_xlfn.XLOOKUP(Scenarios2[[#This Row],[Reference '#]],Scenarios3[Reference '#],Scenarios3[Sharpe Rank])</f>
        <v/>
      </c>
      <c r="AC107"/>
      <c r="AD107"/>
      <c r="AE107"/>
      <c r="AF107" s="34"/>
      <c r="AG107" s="34"/>
    </row>
    <row r="108" spans="2:33" s="15" customFormat="1" x14ac:dyDescent="0.2">
      <c r="B108" s="44">
        <v>98</v>
      </c>
      <c r="C108" s="68">
        <v>0.25</v>
      </c>
      <c r="D108" s="69">
        <v>0.4</v>
      </c>
      <c r="E108" s="69">
        <v>0.15</v>
      </c>
      <c r="F108" s="69">
        <v>0.1</v>
      </c>
      <c r="G108" s="69">
        <v>0.1</v>
      </c>
      <c r="H108" s="69">
        <f>SUMPRODUCT(Scenarios2[[#This Row],[SPY]:[PE]],_xlfn.TOROW(AssetSpecsScenario2[Annualized Return]))</f>
        <v>7.3291795569197571E-2</v>
      </c>
      <c r="I108" s="69" cm="1">
        <f t="array" ref="I108">SQRT(MMULT(MMULT(Scenarios2[[#This Row],[SPY]:[PE]], 'Corr_Cov 36- Month'!$J$13:$N$17), TRANSPOSE(Scenarios2[[#This Row],[SPY]:[PE]])))</f>
        <v>7.2432035259095945E-2</v>
      </c>
      <c r="J108" s="70">
        <f>(Scenarios2[[#This Row],[Expected Return]]-RiskFree)/Scenarios2[[#This Row],[36M Vol]]</f>
        <v>0.36290903492651783</v>
      </c>
      <c r="K108" s="69" cm="1">
        <f t="array" ref="K108">MIN(_xlfn._xlws.FILTER(PortfolioFrontier[#Data],(PortfolioFrontier[#Headers]="P"&amp;Scenarios2[[#This Row],[Reference '#]]&amp;" DD")))</f>
        <v>-0.16119168260039207</v>
      </c>
      <c r="L108" s="69">
        <f>SUM(Scenarios2[[#This Row],[SPY]:[VNQ]])</f>
        <v>0.9</v>
      </c>
      <c r="M108" s="69">
        <f>SUM(Scenarios2[[#This Row],[SPY]:[PE]])</f>
        <v>1</v>
      </c>
      <c r="N108" s="71" t="b">
        <f>Scenarios2[[#This Row],[SPY]]&gt;=SpyMin</f>
        <v>1</v>
      </c>
      <c r="O108" s="71" t="b">
        <f>Scenarios2[[#This Row],[AGG]]&gt;=AGGMin</f>
        <v>1</v>
      </c>
      <c r="P108" s="71" t="b">
        <f>AND(Scenarios2[[#This Row],[GLD]]&gt;=GLDMin,Scenarios2[[#This Row],[GLD]]&lt;=GLDMax)</f>
        <v>1</v>
      </c>
      <c r="Q108" s="71" t="b">
        <f>Scenarios2[[#This Row],[VNQ]]&gt;=VNQMin</f>
        <v>1</v>
      </c>
      <c r="R108" s="71" t="b">
        <f>AND(Scenarios2[[#This Row],[PE]]&gt;=PEMin,Scenarios2[[#This Row],[PE]]&lt;=PEMax)</f>
        <v>1</v>
      </c>
      <c r="S108" s="71" t="b">
        <f>Scenarios2[[#This Row],[Liquid Assets]]&gt;=LiquidMin</f>
        <v>1</v>
      </c>
      <c r="T108" s="71" t="b">
        <f>AND(Scenarios2[[#This Row],[Expected Return]]&gt;=ExpectedReturnMin,Scenarios2[[#This Row],[Expected Return]]&lt;=ExpectedReturnMax)</f>
        <v>0</v>
      </c>
      <c r="U108" s="71" t="b">
        <f>Scenarios2[[#This Row],[Max Drawdown]]&gt;=DrawdownMax</f>
        <v>1</v>
      </c>
      <c r="V10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08" s="46" t="str">
        <f>_xlfn.XLOOKUP(Scenarios2[[#This Row],[Reference '#]],ScenariosCombined[Reference '#],ScenariosCombined[Sharpe Rank])</f>
        <v/>
      </c>
      <c r="X108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0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25/40/15/10/10</v>
      </c>
      <c r="Z108" t="str">
        <f>_xlfn.XLOOKUP(Scenarios2[[#This Row],[Reference '#]],Scenarios1[Reference '#],Scenarios1[Sharpe Rank])</f>
        <v/>
      </c>
      <c r="AA108" t="str">
        <f>Scenarios2[[#This Row],[Sharpe Rank]]</f>
        <v/>
      </c>
      <c r="AB108">
        <f>_xlfn.XLOOKUP(Scenarios2[[#This Row],[Reference '#]],Scenarios3[Reference '#],Scenarios3[Sharpe Rank])</f>
        <v>97</v>
      </c>
      <c r="AC108"/>
      <c r="AD108"/>
      <c r="AE108"/>
      <c r="AF108" s="34"/>
      <c r="AG108" s="34"/>
    </row>
    <row r="109" spans="2:33" s="15" customFormat="1" x14ac:dyDescent="0.2">
      <c r="B109" s="44">
        <v>99</v>
      </c>
      <c r="C109" s="68">
        <v>0.25</v>
      </c>
      <c r="D109" s="69">
        <v>0.4</v>
      </c>
      <c r="E109" s="69">
        <v>0.1</v>
      </c>
      <c r="F109" s="69">
        <v>0.15</v>
      </c>
      <c r="G109" s="69">
        <v>0.1</v>
      </c>
      <c r="H109" s="69">
        <f>SUMPRODUCT(Scenarios2[[#This Row],[SPY]:[PE]],_xlfn.TOROW(AssetSpecsScenario2[Annualized Return]))</f>
        <v>6.930007666812156E-2</v>
      </c>
      <c r="I109" s="69" cm="1">
        <f t="array" ref="I109">SQRT(MMULT(MMULT(Scenarios2[[#This Row],[SPY]:[PE]], 'Corr_Cov 36- Month'!$J$13:$N$17), TRANSPOSE(Scenarios2[[#This Row],[SPY]:[PE]])))</f>
        <v>7.7491584539275848E-2</v>
      </c>
      <c r="J109" s="70">
        <f>(Scenarios2[[#This Row],[Expected Return]]-RiskFree)/Scenarios2[[#This Row],[36M Vol]]</f>
        <v>0.28770248079346283</v>
      </c>
      <c r="K109" s="69" cm="1">
        <f t="array" ref="K109">MIN(_xlfn._xlws.FILTER(PortfolioFrontier[#Data],(PortfolioFrontier[#Headers]="P"&amp;Scenarios2[[#This Row],[Reference '#]]&amp;" DD")))</f>
        <v>-0.17138849256768163</v>
      </c>
      <c r="L109" s="69">
        <f>SUM(Scenarios2[[#This Row],[SPY]:[VNQ]])</f>
        <v>0.9</v>
      </c>
      <c r="M109" s="69">
        <f>SUM(Scenarios2[[#This Row],[SPY]:[PE]])</f>
        <v>1</v>
      </c>
      <c r="N109" s="71" t="b">
        <f>Scenarios2[[#This Row],[SPY]]&gt;=SpyMin</f>
        <v>1</v>
      </c>
      <c r="O109" s="71" t="b">
        <f>Scenarios2[[#This Row],[AGG]]&gt;=AGGMin</f>
        <v>1</v>
      </c>
      <c r="P109" s="71" t="b">
        <f>AND(Scenarios2[[#This Row],[GLD]]&gt;=GLDMin,Scenarios2[[#This Row],[GLD]]&lt;=GLDMax)</f>
        <v>1</v>
      </c>
      <c r="Q109" s="71" t="b">
        <f>Scenarios2[[#This Row],[VNQ]]&gt;=VNQMin</f>
        <v>1</v>
      </c>
      <c r="R109" s="71" t="b">
        <f>AND(Scenarios2[[#This Row],[PE]]&gt;=PEMin,Scenarios2[[#This Row],[PE]]&lt;=PEMax)</f>
        <v>1</v>
      </c>
      <c r="S109" s="71" t="b">
        <f>Scenarios2[[#This Row],[Liquid Assets]]&gt;=LiquidMin</f>
        <v>1</v>
      </c>
      <c r="T109" s="71" t="b">
        <f>AND(Scenarios2[[#This Row],[Expected Return]]&gt;=ExpectedReturnMin,Scenarios2[[#This Row],[Expected Return]]&lt;=ExpectedReturnMax)</f>
        <v>0</v>
      </c>
      <c r="U109" s="71" t="b">
        <f>Scenarios2[[#This Row],[Max Drawdown]]&gt;=DrawdownMax</f>
        <v>1</v>
      </c>
      <c r="V10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09" s="46" t="str">
        <f>_xlfn.XLOOKUP(Scenarios2[[#This Row],[Reference '#]],ScenariosCombined[Reference '#],ScenariosCombined[Sharpe Rank])</f>
        <v/>
      </c>
      <c r="X109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0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25/40/10/15/10</v>
      </c>
      <c r="Z109" t="str">
        <f>_xlfn.XLOOKUP(Scenarios2[[#This Row],[Reference '#]],Scenarios1[Reference '#],Scenarios1[Sharpe Rank])</f>
        <v/>
      </c>
      <c r="AA109" t="str">
        <f>Scenarios2[[#This Row],[Sharpe Rank]]</f>
        <v/>
      </c>
      <c r="AB109" t="str">
        <f>_xlfn.XLOOKUP(Scenarios2[[#This Row],[Reference '#]],Scenarios3[Reference '#],Scenarios3[Sharpe Rank])</f>
        <v/>
      </c>
      <c r="AC109"/>
      <c r="AD109"/>
      <c r="AE109"/>
      <c r="AF109" s="34"/>
      <c r="AG109" s="34"/>
    </row>
    <row r="110" spans="2:33" s="15" customFormat="1" x14ac:dyDescent="0.2">
      <c r="B110" s="44">
        <v>100</v>
      </c>
      <c r="C110" s="68">
        <v>0.25</v>
      </c>
      <c r="D110" s="69">
        <v>0.4</v>
      </c>
      <c r="E110" s="69">
        <v>0.1</v>
      </c>
      <c r="F110" s="69">
        <v>0.1</v>
      </c>
      <c r="G110" s="69">
        <v>0.15</v>
      </c>
      <c r="H110" s="69">
        <f>SUMPRODUCT(Scenarios2[[#This Row],[SPY]:[PE]],_xlfn.TOROW(AssetSpecsScenario2[Annualized Return]))</f>
        <v>6.9436783187068057E-2</v>
      </c>
      <c r="I110" s="69" cm="1">
        <f t="array" ref="I110">SQRT(MMULT(MMULT(Scenarios2[[#This Row],[SPY]:[PE]], 'Corr_Cov 36- Month'!$J$13:$N$17), TRANSPOSE(Scenarios2[[#This Row],[SPY]:[PE]])))</f>
        <v>6.9895718523983838E-2</v>
      </c>
      <c r="J110" s="70">
        <f>(Scenarios2[[#This Row],[Expected Return]]-RiskFree)/Scenarios2[[#This Row],[36M Vol]]</f>
        <v>0.32092420115569043</v>
      </c>
      <c r="K110" s="69" cm="1">
        <f t="array" ref="K110">MIN(_xlfn._xlws.FILTER(PortfolioFrontier[#Data],(PortfolioFrontier[#Headers]="P"&amp;Scenarios2[[#This Row],[Reference '#]]&amp;" DD")))</f>
        <v>-0.15692283600631585</v>
      </c>
      <c r="L110" s="69">
        <f>SUM(Scenarios2[[#This Row],[SPY]:[VNQ]])</f>
        <v>0.85</v>
      </c>
      <c r="M110" s="69">
        <f>SUM(Scenarios2[[#This Row],[SPY]:[PE]])</f>
        <v>1</v>
      </c>
      <c r="N110" s="71" t="b">
        <f>Scenarios2[[#This Row],[SPY]]&gt;=SpyMin</f>
        <v>1</v>
      </c>
      <c r="O110" s="71" t="b">
        <f>Scenarios2[[#This Row],[AGG]]&gt;=AGGMin</f>
        <v>1</v>
      </c>
      <c r="P110" s="71" t="b">
        <f>AND(Scenarios2[[#This Row],[GLD]]&gt;=GLDMin,Scenarios2[[#This Row],[GLD]]&lt;=GLDMax)</f>
        <v>1</v>
      </c>
      <c r="Q110" s="71" t="b">
        <f>Scenarios2[[#This Row],[VNQ]]&gt;=VNQMin</f>
        <v>1</v>
      </c>
      <c r="R110" s="71" t="b">
        <f>AND(Scenarios2[[#This Row],[PE]]&gt;=PEMin,Scenarios2[[#This Row],[PE]]&lt;=PEMax)</f>
        <v>1</v>
      </c>
      <c r="S110" s="71" t="b">
        <f>Scenarios2[[#This Row],[Liquid Assets]]&gt;=LiquidMin</f>
        <v>1</v>
      </c>
      <c r="T110" s="71" t="b">
        <f>AND(Scenarios2[[#This Row],[Expected Return]]&gt;=ExpectedReturnMin,Scenarios2[[#This Row],[Expected Return]]&lt;=ExpectedReturnMax)</f>
        <v>0</v>
      </c>
      <c r="U110" s="71" t="b">
        <f>Scenarios2[[#This Row],[Max Drawdown]]&gt;=DrawdownMax</f>
        <v>1</v>
      </c>
      <c r="V11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10" s="46" t="str">
        <f>_xlfn.XLOOKUP(Scenarios2[[#This Row],[Reference '#]],ScenariosCombined[Reference '#],ScenariosCombined[Sharpe Rank])</f>
        <v/>
      </c>
      <c r="X110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1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25/40/10/10/15</v>
      </c>
      <c r="Z110" t="str">
        <f>_xlfn.XLOOKUP(Scenarios2[[#This Row],[Reference '#]],Scenarios1[Reference '#],Scenarios1[Sharpe Rank])</f>
        <v/>
      </c>
      <c r="AA110" t="str">
        <f>Scenarios2[[#This Row],[Sharpe Rank]]</f>
        <v/>
      </c>
      <c r="AB110" t="str">
        <f>_xlfn.XLOOKUP(Scenarios2[[#This Row],[Reference '#]],Scenarios3[Reference '#],Scenarios3[Sharpe Rank])</f>
        <v/>
      </c>
      <c r="AC110"/>
      <c r="AD110"/>
      <c r="AE110"/>
      <c r="AF110" s="34"/>
      <c r="AG110" s="34"/>
    </row>
    <row r="111" spans="2:33" s="15" customFormat="1" x14ac:dyDescent="0.2">
      <c r="B111" s="44">
        <v>101</v>
      </c>
      <c r="C111" s="68">
        <v>0.25</v>
      </c>
      <c r="D111" s="69">
        <v>0.35</v>
      </c>
      <c r="E111" s="69">
        <v>0.2</v>
      </c>
      <c r="F111" s="69">
        <v>0.1</v>
      </c>
      <c r="G111" s="69">
        <v>0.1</v>
      </c>
      <c r="H111" s="69">
        <f>SUMPRODUCT(Scenarios2[[#This Row],[SPY]:[PE]],_xlfn.TOROW(AssetSpecsScenario2[Annualized Return]))</f>
        <v>7.8867253816437083E-2</v>
      </c>
      <c r="I111" s="69" cm="1">
        <f t="array" ref="I111">SQRT(MMULT(MMULT(Scenarios2[[#This Row],[SPY]:[PE]], 'Corr_Cov 36- Month'!$J$13:$N$17), TRANSPOSE(Scenarios2[[#This Row],[SPY]:[PE]])))</f>
        <v>7.3038357699161879E-2</v>
      </c>
      <c r="J111" s="70">
        <f>(Scenarios2[[#This Row],[Expected Return]]-RiskFree)/Scenarios2[[#This Row],[36M Vol]]</f>
        <v>0.43623240259750728</v>
      </c>
      <c r="K111" s="69" cm="1">
        <f t="array" ref="K111">MIN(_xlfn._xlws.FILTER(PortfolioFrontier[#Data],(PortfolioFrontier[#Headers]="P"&amp;Scenarios2[[#This Row],[Reference '#]]&amp;" DD")))</f>
        <v>-0.1587163580209372</v>
      </c>
      <c r="L111" s="69">
        <f>SUM(Scenarios2[[#This Row],[SPY]:[VNQ]])</f>
        <v>0.9</v>
      </c>
      <c r="M111" s="69">
        <f>SUM(Scenarios2[[#This Row],[SPY]:[PE]])</f>
        <v>1</v>
      </c>
      <c r="N111" s="71" t="b">
        <f>Scenarios2[[#This Row],[SPY]]&gt;=SpyMin</f>
        <v>1</v>
      </c>
      <c r="O111" s="71" t="b">
        <f>Scenarios2[[#This Row],[AGG]]&gt;=AGGMin</f>
        <v>1</v>
      </c>
      <c r="P111" s="71" t="b">
        <f>AND(Scenarios2[[#This Row],[GLD]]&gt;=GLDMin,Scenarios2[[#This Row],[GLD]]&lt;=GLDMax)</f>
        <v>1</v>
      </c>
      <c r="Q111" s="71" t="b">
        <f>Scenarios2[[#This Row],[VNQ]]&gt;=VNQMin</f>
        <v>1</v>
      </c>
      <c r="R111" s="71" t="b">
        <f>AND(Scenarios2[[#This Row],[PE]]&gt;=PEMin,Scenarios2[[#This Row],[PE]]&lt;=PEMax)</f>
        <v>1</v>
      </c>
      <c r="S111" s="71" t="b">
        <f>Scenarios2[[#This Row],[Liquid Assets]]&gt;=LiquidMin</f>
        <v>1</v>
      </c>
      <c r="T111" s="71" t="b">
        <f>AND(Scenarios2[[#This Row],[Expected Return]]&gt;=ExpectedReturnMin,Scenarios2[[#This Row],[Expected Return]]&lt;=ExpectedReturnMax)</f>
        <v>1</v>
      </c>
      <c r="U111" s="71" t="b">
        <f>Scenarios2[[#This Row],[Max Drawdown]]&gt;=DrawdownMax</f>
        <v>1</v>
      </c>
      <c r="V11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11" s="46">
        <f>_xlfn.XLOOKUP(Scenarios2[[#This Row],[Reference '#]],ScenariosCombined[Reference '#],ScenariosCombined[Sharpe Rank])</f>
        <v>73</v>
      </c>
      <c r="X111" s="44">
        <f>IF(Scenarios2[[#This Row],[Eligible]],COUNTIFS(Scenarios2[Sharpe],"&gt;"&amp;Scenarios2[[#This Row],[Sharpe]],Scenarios2[Eligible],TRUE())+COUNTIFS(Scenarios2[Sharpe],Scenarios2[[#This Row],[Sharpe]],Scenarios2[Eligible],TRUE()),"")</f>
        <v>71</v>
      </c>
      <c r="Y11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25/35/20/10/10</v>
      </c>
      <c r="Z111">
        <f>_xlfn.XLOOKUP(Scenarios2[[#This Row],[Reference '#]],Scenarios1[Reference '#],Scenarios1[Sharpe Rank])</f>
        <v>71</v>
      </c>
      <c r="AA111">
        <f>Scenarios2[[#This Row],[Sharpe Rank]]</f>
        <v>71</v>
      </c>
      <c r="AB111">
        <f>_xlfn.XLOOKUP(Scenarios2[[#This Row],[Reference '#]],Scenarios3[Reference '#],Scenarios3[Sharpe Rank])</f>
        <v>69</v>
      </c>
      <c r="AC111"/>
      <c r="AD111"/>
      <c r="AE111"/>
      <c r="AF111" s="34"/>
      <c r="AG111" s="34"/>
    </row>
    <row r="112" spans="2:33" s="15" customFormat="1" x14ac:dyDescent="0.2">
      <c r="B112" s="44">
        <v>102</v>
      </c>
      <c r="C112" s="68">
        <v>0.25</v>
      </c>
      <c r="D112" s="69">
        <v>0.35</v>
      </c>
      <c r="E112" s="69">
        <v>0.15</v>
      </c>
      <c r="F112" s="69">
        <v>0.15</v>
      </c>
      <c r="G112" s="69">
        <v>0.1</v>
      </c>
      <c r="H112" s="69">
        <f>SUMPRODUCT(Scenarios2[[#This Row],[SPY]:[PE]],_xlfn.TOROW(AssetSpecsScenario2[Annualized Return]))</f>
        <v>7.4875534915361058E-2</v>
      </c>
      <c r="I112" s="69" cm="1">
        <f t="array" ref="I112">SQRT(MMULT(MMULT(Scenarios2[[#This Row],[SPY]:[PE]], 'Corr_Cov 36- Month'!$J$13:$N$17), TRANSPOSE(Scenarios2[[#This Row],[SPY]:[PE]])))</f>
        <v>7.7411640335491291E-2</v>
      </c>
      <c r="J112" s="70">
        <f>(Scenarios2[[#This Row],[Expected Return]]-RiskFree)/Scenarios2[[#This Row],[36M Vol]]</f>
        <v>0.36002310814007932</v>
      </c>
      <c r="K112" s="69" cm="1">
        <f t="array" ref="K112">MIN(_xlfn._xlws.FILTER(PortfolioFrontier[#Data],(PortfolioFrontier[#Headers]="P"&amp;Scenarios2[[#This Row],[Reference '#]]&amp;" DD")))</f>
        <v>-0.16891762307251379</v>
      </c>
      <c r="L112" s="69">
        <f>SUM(Scenarios2[[#This Row],[SPY]:[VNQ]])</f>
        <v>0.9</v>
      </c>
      <c r="M112" s="69">
        <f>SUM(Scenarios2[[#This Row],[SPY]:[PE]])</f>
        <v>1</v>
      </c>
      <c r="N112" s="71" t="b">
        <f>Scenarios2[[#This Row],[SPY]]&gt;=SpyMin</f>
        <v>1</v>
      </c>
      <c r="O112" s="71" t="b">
        <f>Scenarios2[[#This Row],[AGG]]&gt;=AGGMin</f>
        <v>1</v>
      </c>
      <c r="P112" s="71" t="b">
        <f>AND(Scenarios2[[#This Row],[GLD]]&gt;=GLDMin,Scenarios2[[#This Row],[GLD]]&lt;=GLDMax)</f>
        <v>1</v>
      </c>
      <c r="Q112" s="71" t="b">
        <f>Scenarios2[[#This Row],[VNQ]]&gt;=VNQMin</f>
        <v>1</v>
      </c>
      <c r="R112" s="71" t="b">
        <f>AND(Scenarios2[[#This Row],[PE]]&gt;=PEMin,Scenarios2[[#This Row],[PE]]&lt;=PEMax)</f>
        <v>1</v>
      </c>
      <c r="S112" s="71" t="b">
        <f>Scenarios2[[#This Row],[Liquid Assets]]&gt;=LiquidMin</f>
        <v>1</v>
      </c>
      <c r="T112" s="71" t="b">
        <f>AND(Scenarios2[[#This Row],[Expected Return]]&gt;=ExpectedReturnMin,Scenarios2[[#This Row],[Expected Return]]&lt;=ExpectedReturnMax)</f>
        <v>0</v>
      </c>
      <c r="U112" s="71" t="b">
        <f>Scenarios2[[#This Row],[Max Drawdown]]&gt;=DrawdownMax</f>
        <v>1</v>
      </c>
      <c r="V11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12" s="46">
        <f>_xlfn.XLOOKUP(Scenarios2[[#This Row],[Reference '#]],ScenariosCombined[Reference '#],ScenariosCombined[Sharpe Rank])</f>
        <v>102</v>
      </c>
      <c r="X112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1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25/35/15/15/10</v>
      </c>
      <c r="Z112" t="str">
        <f>_xlfn.XLOOKUP(Scenarios2[[#This Row],[Reference '#]],Scenarios1[Reference '#],Scenarios1[Sharpe Rank])</f>
        <v/>
      </c>
      <c r="AA112" t="str">
        <f>Scenarios2[[#This Row],[Sharpe Rank]]</f>
        <v/>
      </c>
      <c r="AB112">
        <f>_xlfn.XLOOKUP(Scenarios2[[#This Row],[Reference '#]],Scenarios3[Reference '#],Scenarios3[Sharpe Rank])</f>
        <v>99</v>
      </c>
      <c r="AC112"/>
      <c r="AD112"/>
      <c r="AE112"/>
      <c r="AF112" s="34"/>
      <c r="AG112" s="34"/>
    </row>
    <row r="113" spans="2:33" s="15" customFormat="1" x14ac:dyDescent="0.2">
      <c r="B113" s="44">
        <v>103</v>
      </c>
      <c r="C113" s="68">
        <v>0.25</v>
      </c>
      <c r="D113" s="69">
        <v>0.35</v>
      </c>
      <c r="E113" s="69">
        <v>0.15</v>
      </c>
      <c r="F113" s="69">
        <v>0.1</v>
      </c>
      <c r="G113" s="69">
        <v>0.15</v>
      </c>
      <c r="H113" s="69">
        <f>SUMPRODUCT(Scenarios2[[#This Row],[SPY]:[PE]],_xlfn.TOROW(AssetSpecsScenario2[Annualized Return]))</f>
        <v>7.5012241434307542E-2</v>
      </c>
      <c r="I113" s="69" cm="1">
        <f t="array" ref="I113">SQRT(MMULT(MMULT(Scenarios2[[#This Row],[SPY]:[PE]], 'Corr_Cov 36- Month'!$J$13:$N$17), TRANSPOSE(Scenarios2[[#This Row],[SPY]:[PE]])))</f>
        <v>6.9916216057444192E-2</v>
      </c>
      <c r="J113" s="70">
        <f>(Scenarios2[[#This Row],[Expected Return]]-RiskFree)/Scenarios2[[#This Row],[36M Vol]]</f>
        <v>0.40057496612432925</v>
      </c>
      <c r="K113" s="69" cm="1">
        <f t="array" ref="K113">MIN(_xlfn._xlws.FILTER(PortfolioFrontier[#Data],(PortfolioFrontier[#Headers]="P"&amp;Scenarios2[[#This Row],[Reference '#]]&amp;" DD")))</f>
        <v>-0.15442188773577281</v>
      </c>
      <c r="L113" s="69">
        <f>SUM(Scenarios2[[#This Row],[SPY]:[VNQ]])</f>
        <v>0.85</v>
      </c>
      <c r="M113" s="69">
        <f>SUM(Scenarios2[[#This Row],[SPY]:[PE]])</f>
        <v>1</v>
      </c>
      <c r="N113" s="71" t="b">
        <f>Scenarios2[[#This Row],[SPY]]&gt;=SpyMin</f>
        <v>1</v>
      </c>
      <c r="O113" s="71" t="b">
        <f>Scenarios2[[#This Row],[AGG]]&gt;=AGGMin</f>
        <v>1</v>
      </c>
      <c r="P113" s="71" t="b">
        <f>AND(Scenarios2[[#This Row],[GLD]]&gt;=GLDMin,Scenarios2[[#This Row],[GLD]]&lt;=GLDMax)</f>
        <v>1</v>
      </c>
      <c r="Q113" s="71" t="b">
        <f>Scenarios2[[#This Row],[VNQ]]&gt;=VNQMin</f>
        <v>1</v>
      </c>
      <c r="R113" s="71" t="b">
        <f>AND(Scenarios2[[#This Row],[PE]]&gt;=PEMin,Scenarios2[[#This Row],[PE]]&lt;=PEMax)</f>
        <v>1</v>
      </c>
      <c r="S113" s="71" t="b">
        <f>Scenarios2[[#This Row],[Liquid Assets]]&gt;=LiquidMin</f>
        <v>1</v>
      </c>
      <c r="T113" s="71" t="b">
        <f>AND(Scenarios2[[#This Row],[Expected Return]]&gt;=ExpectedReturnMin,Scenarios2[[#This Row],[Expected Return]]&lt;=ExpectedReturnMax)</f>
        <v>1</v>
      </c>
      <c r="U113" s="71" t="b">
        <f>Scenarios2[[#This Row],[Max Drawdown]]&gt;=DrawdownMax</f>
        <v>1</v>
      </c>
      <c r="V11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13" s="46">
        <f>_xlfn.XLOOKUP(Scenarios2[[#This Row],[Reference '#]],ScenariosCombined[Reference '#],ScenariosCombined[Sharpe Rank])</f>
        <v>89</v>
      </c>
      <c r="X113" s="44">
        <f>IF(Scenarios2[[#This Row],[Eligible]],COUNTIFS(Scenarios2[Sharpe],"&gt;"&amp;Scenarios2[[#This Row],[Sharpe]],Scenarios2[Eligible],TRUE())+COUNTIFS(Scenarios2[Sharpe],Scenarios2[[#This Row],[Sharpe]],Scenarios2[Eligible],TRUE()),"")</f>
        <v>90</v>
      </c>
      <c r="Y11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25/35/15/10/15</v>
      </c>
      <c r="Z113" t="str">
        <f>_xlfn.XLOOKUP(Scenarios2[[#This Row],[Reference '#]],Scenarios1[Reference '#],Scenarios1[Sharpe Rank])</f>
        <v/>
      </c>
      <c r="AA113">
        <f>Scenarios2[[#This Row],[Sharpe Rank]]</f>
        <v>90</v>
      </c>
      <c r="AB113">
        <f>_xlfn.XLOOKUP(Scenarios2[[#This Row],[Reference '#]],Scenarios3[Reference '#],Scenarios3[Sharpe Rank])</f>
        <v>73</v>
      </c>
      <c r="AC113"/>
      <c r="AD113"/>
      <c r="AE113"/>
      <c r="AF113" s="34"/>
      <c r="AG113" s="34"/>
    </row>
    <row r="114" spans="2:33" s="15" customFormat="1" x14ac:dyDescent="0.2">
      <c r="B114" s="44">
        <v>104</v>
      </c>
      <c r="C114" s="68">
        <v>0.25</v>
      </c>
      <c r="D114" s="69">
        <v>0.35</v>
      </c>
      <c r="E114" s="69">
        <v>0.1</v>
      </c>
      <c r="F114" s="69">
        <v>0.2</v>
      </c>
      <c r="G114" s="69">
        <v>0.1</v>
      </c>
      <c r="H114" s="69">
        <f>SUMPRODUCT(Scenarios2[[#This Row],[SPY]:[PE]],_xlfn.TOROW(AssetSpecsScenario2[Annualized Return]))</f>
        <v>7.0883816014285034E-2</v>
      </c>
      <c r="I114" s="69" cm="1">
        <f t="array" ref="I114">SQRT(MMULT(MMULT(Scenarios2[[#This Row],[SPY]:[PE]], 'Corr_Cov 36- Month'!$J$13:$N$17), TRANSPOSE(Scenarios2[[#This Row],[SPY]:[PE]])))</f>
        <v>8.2794734375270448E-2</v>
      </c>
      <c r="J114" s="70">
        <f>(Scenarios2[[#This Row],[Expected Return]]-RiskFree)/Scenarios2[[#This Row],[36M Vol]]</f>
        <v>0.28840312900214538</v>
      </c>
      <c r="K114" s="69" cm="1">
        <f t="array" ref="K114">MIN(_xlfn._xlws.FILTER(PortfolioFrontier[#Data],(PortfolioFrontier[#Headers]="P"&amp;Scenarios2[[#This Row],[Reference '#]]&amp;" DD")))</f>
        <v>-0.17909271339796062</v>
      </c>
      <c r="L114" s="69">
        <f>SUM(Scenarios2[[#This Row],[SPY]:[VNQ]])</f>
        <v>0.89999999999999991</v>
      </c>
      <c r="M114" s="69">
        <f>SUM(Scenarios2[[#This Row],[SPY]:[PE]])</f>
        <v>0.99999999999999989</v>
      </c>
      <c r="N114" s="71" t="b">
        <f>Scenarios2[[#This Row],[SPY]]&gt;=SpyMin</f>
        <v>1</v>
      </c>
      <c r="O114" s="71" t="b">
        <f>Scenarios2[[#This Row],[AGG]]&gt;=AGGMin</f>
        <v>1</v>
      </c>
      <c r="P114" s="71" t="b">
        <f>AND(Scenarios2[[#This Row],[GLD]]&gt;=GLDMin,Scenarios2[[#This Row],[GLD]]&lt;=GLDMax)</f>
        <v>1</v>
      </c>
      <c r="Q114" s="71" t="b">
        <f>Scenarios2[[#This Row],[VNQ]]&gt;=VNQMin</f>
        <v>1</v>
      </c>
      <c r="R114" s="71" t="b">
        <f>AND(Scenarios2[[#This Row],[PE]]&gt;=PEMin,Scenarios2[[#This Row],[PE]]&lt;=PEMax)</f>
        <v>1</v>
      </c>
      <c r="S114" s="71" t="b">
        <f>Scenarios2[[#This Row],[Liquid Assets]]&gt;=LiquidMin</f>
        <v>1</v>
      </c>
      <c r="T114" s="71" t="b">
        <f>AND(Scenarios2[[#This Row],[Expected Return]]&gt;=ExpectedReturnMin,Scenarios2[[#This Row],[Expected Return]]&lt;=ExpectedReturnMax)</f>
        <v>0</v>
      </c>
      <c r="U114" s="71" t="b">
        <f>Scenarios2[[#This Row],[Max Drawdown]]&gt;=DrawdownMax</f>
        <v>1</v>
      </c>
      <c r="V11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14" s="46" t="str">
        <f>_xlfn.XLOOKUP(Scenarios2[[#This Row],[Reference '#]],ScenariosCombined[Reference '#],ScenariosCombined[Sharpe Rank])</f>
        <v/>
      </c>
      <c r="X114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1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25/35/10/20/10</v>
      </c>
      <c r="Z114" t="str">
        <f>_xlfn.XLOOKUP(Scenarios2[[#This Row],[Reference '#]],Scenarios1[Reference '#],Scenarios1[Sharpe Rank])</f>
        <v/>
      </c>
      <c r="AA114" t="str">
        <f>Scenarios2[[#This Row],[Sharpe Rank]]</f>
        <v/>
      </c>
      <c r="AB114" t="str">
        <f>_xlfn.XLOOKUP(Scenarios2[[#This Row],[Reference '#]],Scenarios3[Reference '#],Scenarios3[Sharpe Rank])</f>
        <v/>
      </c>
      <c r="AC114"/>
      <c r="AD114"/>
      <c r="AE114"/>
      <c r="AF114" s="34"/>
      <c r="AG114" s="34"/>
    </row>
    <row r="115" spans="2:33" s="15" customFormat="1" x14ac:dyDescent="0.2">
      <c r="B115" s="44">
        <v>105</v>
      </c>
      <c r="C115" s="68">
        <v>0.25</v>
      </c>
      <c r="D115" s="69">
        <v>0.35</v>
      </c>
      <c r="E115" s="69">
        <v>0.1</v>
      </c>
      <c r="F115" s="69">
        <v>0.15</v>
      </c>
      <c r="G115" s="69">
        <v>0.15</v>
      </c>
      <c r="H115" s="69">
        <f>SUMPRODUCT(Scenarios2[[#This Row],[SPY]:[PE]],_xlfn.TOROW(AssetSpecsScenario2[Annualized Return]))</f>
        <v>7.1020522533231531E-2</v>
      </c>
      <c r="I115" s="69" cm="1">
        <f t="array" ref="I115">SQRT(MMULT(MMULT(Scenarios2[[#This Row],[SPY]:[PE]], 'Corr_Cov 36- Month'!$J$13:$N$17), TRANSPOSE(Scenarios2[[#This Row],[SPY]:[PE]])))</f>
        <v>7.4967389470339485E-2</v>
      </c>
      <c r="J115" s="70">
        <f>(Scenarios2[[#This Row],[Expected Return]]-RiskFree)/Scenarios2[[#This Row],[36M Vol]]</f>
        <v>0.32033884529455831</v>
      </c>
      <c r="K115" s="69" cm="1">
        <f t="array" ref="K115">MIN(_xlfn._xlws.FILTER(PortfolioFrontier[#Data],(PortfolioFrontier[#Headers]="P"&amp;Scenarios2[[#This Row],[Reference '#]]&amp;" DD")))</f>
        <v>-0.16466692181154297</v>
      </c>
      <c r="L115" s="69">
        <f>SUM(Scenarios2[[#This Row],[SPY]:[VNQ]])</f>
        <v>0.85</v>
      </c>
      <c r="M115" s="69">
        <f>SUM(Scenarios2[[#This Row],[SPY]:[PE]])</f>
        <v>1</v>
      </c>
      <c r="N115" s="71" t="b">
        <f>Scenarios2[[#This Row],[SPY]]&gt;=SpyMin</f>
        <v>1</v>
      </c>
      <c r="O115" s="71" t="b">
        <f>Scenarios2[[#This Row],[AGG]]&gt;=AGGMin</f>
        <v>1</v>
      </c>
      <c r="P115" s="71" t="b">
        <f>AND(Scenarios2[[#This Row],[GLD]]&gt;=GLDMin,Scenarios2[[#This Row],[GLD]]&lt;=GLDMax)</f>
        <v>1</v>
      </c>
      <c r="Q115" s="71" t="b">
        <f>Scenarios2[[#This Row],[VNQ]]&gt;=VNQMin</f>
        <v>1</v>
      </c>
      <c r="R115" s="71" t="b">
        <f>AND(Scenarios2[[#This Row],[PE]]&gt;=PEMin,Scenarios2[[#This Row],[PE]]&lt;=PEMax)</f>
        <v>1</v>
      </c>
      <c r="S115" s="71" t="b">
        <f>Scenarios2[[#This Row],[Liquid Assets]]&gt;=LiquidMin</f>
        <v>1</v>
      </c>
      <c r="T115" s="71" t="b">
        <f>AND(Scenarios2[[#This Row],[Expected Return]]&gt;=ExpectedReturnMin,Scenarios2[[#This Row],[Expected Return]]&lt;=ExpectedReturnMax)</f>
        <v>0</v>
      </c>
      <c r="U115" s="71" t="b">
        <f>Scenarios2[[#This Row],[Max Drawdown]]&gt;=DrawdownMax</f>
        <v>1</v>
      </c>
      <c r="V11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15" s="46" t="str">
        <f>_xlfn.XLOOKUP(Scenarios2[[#This Row],[Reference '#]],ScenariosCombined[Reference '#],ScenariosCombined[Sharpe Rank])</f>
        <v/>
      </c>
      <c r="X115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1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25/35/10/15/15</v>
      </c>
      <c r="Z115" t="str">
        <f>_xlfn.XLOOKUP(Scenarios2[[#This Row],[Reference '#]],Scenarios1[Reference '#],Scenarios1[Sharpe Rank])</f>
        <v/>
      </c>
      <c r="AA115" t="str">
        <f>Scenarios2[[#This Row],[Sharpe Rank]]</f>
        <v/>
      </c>
      <c r="AB115">
        <f>_xlfn.XLOOKUP(Scenarios2[[#This Row],[Reference '#]],Scenarios3[Reference '#],Scenarios3[Sharpe Rank])</f>
        <v>106</v>
      </c>
      <c r="AC115"/>
      <c r="AD115"/>
      <c r="AE115"/>
      <c r="AF115" s="34"/>
      <c r="AG115" s="34"/>
    </row>
    <row r="116" spans="2:33" s="15" customFormat="1" x14ac:dyDescent="0.2">
      <c r="B116" s="44">
        <v>106</v>
      </c>
      <c r="C116" s="68">
        <v>0.25</v>
      </c>
      <c r="D116" s="69">
        <v>0.35</v>
      </c>
      <c r="E116" s="69">
        <v>0.1</v>
      </c>
      <c r="F116" s="69">
        <v>0.1</v>
      </c>
      <c r="G116" s="69">
        <v>0.2</v>
      </c>
      <c r="H116" s="69">
        <f>SUMPRODUCT(Scenarios2[[#This Row],[SPY]:[PE]],_xlfn.TOROW(AssetSpecsScenario2[Annualized Return]))</f>
        <v>7.1157229052178042E-2</v>
      </c>
      <c r="I116" s="69" cm="1">
        <f t="array" ref="I116">SQRT(MMULT(MMULT(Scenarios2[[#This Row],[SPY]:[PE]], 'Corr_Cov 36- Month'!$J$13:$N$17), TRANSPOSE(Scenarios2[[#This Row],[SPY]:[PE]])))</f>
        <v>6.7597003402782796E-2</v>
      </c>
      <c r="J116" s="70">
        <f>(Scenarios2[[#This Row],[Expected Return]]-RiskFree)/Scenarios2[[#This Row],[36M Vol]]</f>
        <v>0.35728911461818186</v>
      </c>
      <c r="K116" s="69" cm="1">
        <f t="array" ref="K116">MIN(_xlfn._xlws.FILTER(PortfolioFrontier[#Data],(PortfolioFrontier[#Headers]="P"&amp;Scenarios2[[#This Row],[Reference '#]]&amp;" DD")))</f>
        <v>-0.15012807245687076</v>
      </c>
      <c r="L116" s="69">
        <f>SUM(Scenarios2[[#This Row],[SPY]:[VNQ]])</f>
        <v>0.79999999999999993</v>
      </c>
      <c r="M116" s="69">
        <f>SUM(Scenarios2[[#This Row],[SPY]:[PE]])</f>
        <v>1</v>
      </c>
      <c r="N116" s="71" t="b">
        <f>Scenarios2[[#This Row],[SPY]]&gt;=SpyMin</f>
        <v>1</v>
      </c>
      <c r="O116" s="71" t="b">
        <f>Scenarios2[[#This Row],[AGG]]&gt;=AGGMin</f>
        <v>1</v>
      </c>
      <c r="P116" s="71" t="b">
        <f>AND(Scenarios2[[#This Row],[GLD]]&gt;=GLDMin,Scenarios2[[#This Row],[GLD]]&lt;=GLDMax)</f>
        <v>1</v>
      </c>
      <c r="Q116" s="71" t="b">
        <f>Scenarios2[[#This Row],[VNQ]]&gt;=VNQMin</f>
        <v>1</v>
      </c>
      <c r="R116" s="71" t="b">
        <f>AND(Scenarios2[[#This Row],[PE]]&gt;=PEMin,Scenarios2[[#This Row],[PE]]&lt;=PEMax)</f>
        <v>1</v>
      </c>
      <c r="S116" s="71" t="b">
        <f>Scenarios2[[#This Row],[Liquid Assets]]&gt;=LiquidMin</f>
        <v>1</v>
      </c>
      <c r="T116" s="71" t="b">
        <f>AND(Scenarios2[[#This Row],[Expected Return]]&gt;=ExpectedReturnMin,Scenarios2[[#This Row],[Expected Return]]&lt;=ExpectedReturnMax)</f>
        <v>0</v>
      </c>
      <c r="U116" s="71" t="b">
        <f>Scenarios2[[#This Row],[Max Drawdown]]&gt;=DrawdownMax</f>
        <v>1</v>
      </c>
      <c r="V11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16" s="46" t="str">
        <f>_xlfn.XLOOKUP(Scenarios2[[#This Row],[Reference '#]],ScenariosCombined[Reference '#],ScenariosCombined[Sharpe Rank])</f>
        <v/>
      </c>
      <c r="X116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1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25/35/10/10/20</v>
      </c>
      <c r="Z116" t="str">
        <f>_xlfn.XLOOKUP(Scenarios2[[#This Row],[Reference '#]],Scenarios1[Reference '#],Scenarios1[Sharpe Rank])</f>
        <v/>
      </c>
      <c r="AA116" t="str">
        <f>Scenarios2[[#This Row],[Sharpe Rank]]</f>
        <v/>
      </c>
      <c r="AB116">
        <f>_xlfn.XLOOKUP(Scenarios2[[#This Row],[Reference '#]],Scenarios3[Reference '#],Scenarios3[Sharpe Rank])</f>
        <v>85</v>
      </c>
      <c r="AC116"/>
      <c r="AD116"/>
      <c r="AE116"/>
      <c r="AF116" s="34"/>
      <c r="AG116" s="34"/>
    </row>
    <row r="117" spans="2:33" s="15" customFormat="1" x14ac:dyDescent="0.2">
      <c r="B117" s="44">
        <v>107</v>
      </c>
      <c r="C117" s="68">
        <v>0.25</v>
      </c>
      <c r="D117" s="69">
        <v>0.3</v>
      </c>
      <c r="E117" s="69">
        <v>0.2</v>
      </c>
      <c r="F117" s="69">
        <v>0.15</v>
      </c>
      <c r="G117" s="69">
        <v>0.1</v>
      </c>
      <c r="H117" s="69">
        <f>SUMPRODUCT(Scenarios2[[#This Row],[SPY]:[PE]],_xlfn.TOROW(AssetSpecsScenario2[Annualized Return]))</f>
        <v>8.045099316260057E-2</v>
      </c>
      <c r="I117" s="69" cm="1">
        <f t="array" ref="I117">SQRT(MMULT(MMULT(Scenarios2[[#This Row],[SPY]:[PE]], 'Corr_Cov 36- Month'!$J$13:$N$17), TRANSPOSE(Scenarios2[[#This Row],[SPY]:[PE]])))</f>
        <v>7.7870494491274769E-2</v>
      </c>
      <c r="J117" s="70">
        <f>(Scenarios2[[#This Row],[Expected Return]]-RiskFree)/Scenarios2[[#This Row],[36M Vol]]</f>
        <v>0.42950077337434289</v>
      </c>
      <c r="K117" s="69" cm="1">
        <f t="array" ref="K117">MIN(_xlfn._xlws.FILTER(PortfolioFrontier[#Data],(PortfolioFrontier[#Headers]="P"&amp;Scenarios2[[#This Row],[Reference '#]]&amp;" DD")))</f>
        <v>-0.16646384132772141</v>
      </c>
      <c r="L117" s="69">
        <f>SUM(Scenarios2[[#This Row],[SPY]:[VNQ]])</f>
        <v>0.9</v>
      </c>
      <c r="M117" s="69">
        <f>SUM(Scenarios2[[#This Row],[SPY]:[PE]])</f>
        <v>1</v>
      </c>
      <c r="N117" s="71" t="b">
        <f>Scenarios2[[#This Row],[SPY]]&gt;=SpyMin</f>
        <v>1</v>
      </c>
      <c r="O117" s="71" t="b">
        <f>Scenarios2[[#This Row],[AGG]]&gt;=AGGMin</f>
        <v>1</v>
      </c>
      <c r="P117" s="71" t="b">
        <f>AND(Scenarios2[[#This Row],[GLD]]&gt;=GLDMin,Scenarios2[[#This Row],[GLD]]&lt;=GLDMax)</f>
        <v>1</v>
      </c>
      <c r="Q117" s="71" t="b">
        <f>Scenarios2[[#This Row],[VNQ]]&gt;=VNQMin</f>
        <v>1</v>
      </c>
      <c r="R117" s="71" t="b">
        <f>AND(Scenarios2[[#This Row],[PE]]&gt;=PEMin,Scenarios2[[#This Row],[PE]]&lt;=PEMax)</f>
        <v>1</v>
      </c>
      <c r="S117" s="71" t="b">
        <f>Scenarios2[[#This Row],[Liquid Assets]]&gt;=LiquidMin</f>
        <v>1</v>
      </c>
      <c r="T117" s="71" t="b">
        <f>AND(Scenarios2[[#This Row],[Expected Return]]&gt;=ExpectedReturnMin,Scenarios2[[#This Row],[Expected Return]]&lt;=ExpectedReturnMax)</f>
        <v>1</v>
      </c>
      <c r="U117" s="71" t="b">
        <f>Scenarios2[[#This Row],[Max Drawdown]]&gt;=DrawdownMax</f>
        <v>1</v>
      </c>
      <c r="V11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17" s="46">
        <f>_xlfn.XLOOKUP(Scenarios2[[#This Row],[Reference '#]],ScenariosCombined[Reference '#],ScenariosCombined[Sharpe Rank])</f>
        <v>78</v>
      </c>
      <c r="X117" s="44">
        <f>IF(Scenarios2[[#This Row],[Eligible]],COUNTIFS(Scenarios2[Sharpe],"&gt;"&amp;Scenarios2[[#This Row],[Sharpe]],Scenarios2[Eligible],TRUE())+COUNTIFS(Scenarios2[Sharpe],Scenarios2[[#This Row],[Sharpe]],Scenarios2[Eligible],TRUE()),"")</f>
        <v>76</v>
      </c>
      <c r="Y11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25/30/20/15/10</v>
      </c>
      <c r="Z117">
        <f>_xlfn.XLOOKUP(Scenarios2[[#This Row],[Reference '#]],Scenarios1[Reference '#],Scenarios1[Sharpe Rank])</f>
        <v>76</v>
      </c>
      <c r="AA117">
        <f>Scenarios2[[#This Row],[Sharpe Rank]]</f>
        <v>76</v>
      </c>
      <c r="AB117">
        <f>_xlfn.XLOOKUP(Scenarios2[[#This Row],[Reference '#]],Scenarios3[Reference '#],Scenarios3[Sharpe Rank])</f>
        <v>72</v>
      </c>
      <c r="AC117"/>
      <c r="AD117"/>
      <c r="AE117"/>
      <c r="AF117" s="34"/>
      <c r="AG117" s="34"/>
    </row>
    <row r="118" spans="2:33" s="15" customFormat="1" x14ac:dyDescent="0.2">
      <c r="B118" s="44">
        <v>108</v>
      </c>
      <c r="C118" s="68">
        <v>0.25</v>
      </c>
      <c r="D118" s="69">
        <v>0.3</v>
      </c>
      <c r="E118" s="69">
        <v>0.2</v>
      </c>
      <c r="F118" s="69">
        <v>0.1</v>
      </c>
      <c r="G118" s="69">
        <v>0.15</v>
      </c>
      <c r="H118" s="69">
        <f>SUMPRODUCT(Scenarios2[[#This Row],[SPY]:[PE]],_xlfn.TOROW(AssetSpecsScenario2[Annualized Return]))</f>
        <v>8.0587699681547054E-2</v>
      </c>
      <c r="I118" s="69" cm="1">
        <f t="array" ref="I118">SQRT(MMULT(MMULT(Scenarios2[[#This Row],[SPY]:[PE]], 'Corr_Cov 36- Month'!$J$13:$N$17), TRANSPOSE(Scenarios2[[#This Row],[SPY]:[PE]])))</f>
        <v>7.053210996035017E-2</v>
      </c>
      <c r="J118" s="70">
        <f>(Scenarios2[[#This Row],[Expected Return]]-RiskFree)/Scenarios2[[#This Row],[36M Vol]]</f>
        <v>0.47612561349532578</v>
      </c>
      <c r="K118" s="69" cm="1">
        <f t="array" ref="K118">MIN(_xlfn._xlws.FILTER(PortfolioFrontier[#Data],(PortfolioFrontier[#Headers]="P"&amp;Scenarios2[[#This Row],[Reference '#]]&amp;" DD")))</f>
        <v>-0.15193836737204758</v>
      </c>
      <c r="L118" s="69">
        <f>SUM(Scenarios2[[#This Row],[SPY]:[VNQ]])</f>
        <v>0.85</v>
      </c>
      <c r="M118" s="69">
        <f>SUM(Scenarios2[[#This Row],[SPY]:[PE]])</f>
        <v>1</v>
      </c>
      <c r="N118" s="71" t="b">
        <f>Scenarios2[[#This Row],[SPY]]&gt;=SpyMin</f>
        <v>1</v>
      </c>
      <c r="O118" s="71" t="b">
        <f>Scenarios2[[#This Row],[AGG]]&gt;=AGGMin</f>
        <v>1</v>
      </c>
      <c r="P118" s="71" t="b">
        <f>AND(Scenarios2[[#This Row],[GLD]]&gt;=GLDMin,Scenarios2[[#This Row],[GLD]]&lt;=GLDMax)</f>
        <v>1</v>
      </c>
      <c r="Q118" s="71" t="b">
        <f>Scenarios2[[#This Row],[VNQ]]&gt;=VNQMin</f>
        <v>1</v>
      </c>
      <c r="R118" s="71" t="b">
        <f>AND(Scenarios2[[#This Row],[PE]]&gt;=PEMin,Scenarios2[[#This Row],[PE]]&lt;=PEMax)</f>
        <v>1</v>
      </c>
      <c r="S118" s="71" t="b">
        <f>Scenarios2[[#This Row],[Liquid Assets]]&gt;=LiquidMin</f>
        <v>1</v>
      </c>
      <c r="T118" s="71" t="b">
        <f>AND(Scenarios2[[#This Row],[Expected Return]]&gt;=ExpectedReturnMin,Scenarios2[[#This Row],[Expected Return]]&lt;=ExpectedReturnMax)</f>
        <v>1</v>
      </c>
      <c r="U118" s="71" t="b">
        <f>Scenarios2[[#This Row],[Max Drawdown]]&gt;=DrawdownMax</f>
        <v>1</v>
      </c>
      <c r="V11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18" s="46">
        <f>_xlfn.XLOOKUP(Scenarios2[[#This Row],[Reference '#]],ScenariosCombined[Reference '#],ScenariosCombined[Sharpe Rank])</f>
        <v>54</v>
      </c>
      <c r="X118" s="44">
        <f>IF(Scenarios2[[#This Row],[Eligible]],COUNTIFS(Scenarios2[Sharpe],"&gt;"&amp;Scenarios2[[#This Row],[Sharpe]],Scenarios2[Eligible],TRUE())+COUNTIFS(Scenarios2[Sharpe],Scenarios2[[#This Row],[Sharpe]],Scenarios2[Eligible],TRUE()),"")</f>
        <v>57</v>
      </c>
      <c r="Y11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25/30/20/10/15</v>
      </c>
      <c r="Z118">
        <f>_xlfn.XLOOKUP(Scenarios2[[#This Row],[Reference '#]],Scenarios1[Reference '#],Scenarios1[Sharpe Rank])</f>
        <v>59</v>
      </c>
      <c r="AA118">
        <f>Scenarios2[[#This Row],[Sharpe Rank]]</f>
        <v>57</v>
      </c>
      <c r="AB118">
        <f>_xlfn.XLOOKUP(Scenarios2[[#This Row],[Reference '#]],Scenarios3[Reference '#],Scenarios3[Sharpe Rank])</f>
        <v>42</v>
      </c>
      <c r="AC118"/>
      <c r="AD118"/>
      <c r="AE118"/>
      <c r="AF118" s="34"/>
      <c r="AG118" s="34"/>
    </row>
    <row r="119" spans="2:33" s="15" customFormat="1" x14ac:dyDescent="0.2">
      <c r="B119" s="44">
        <v>109</v>
      </c>
      <c r="C119" s="68">
        <v>0.25</v>
      </c>
      <c r="D119" s="69">
        <v>0.3</v>
      </c>
      <c r="E119" s="69">
        <v>0.15</v>
      </c>
      <c r="F119" s="69">
        <v>0.2</v>
      </c>
      <c r="G119" s="69">
        <v>0.1</v>
      </c>
      <c r="H119" s="69">
        <f>SUMPRODUCT(Scenarios2[[#This Row],[SPY]:[PE]],_xlfn.TOROW(AssetSpecsScenario2[Annualized Return]))</f>
        <v>7.6459274261524532E-2</v>
      </c>
      <c r="I119" s="69" cm="1">
        <f t="array" ref="I119">SQRT(MMULT(MMULT(Scenarios2[[#This Row],[SPY]:[PE]], 'Corr_Cov 36- Month'!$J$13:$N$17), TRANSPOSE(Scenarios2[[#This Row],[SPY]:[PE]])))</f>
        <v>8.2617397166478854E-2</v>
      </c>
      <c r="J119" s="70">
        <f>(Scenarios2[[#This Row],[Expected Return]]-RiskFree)/Scenarios2[[#This Row],[36M Vol]]</f>
        <v>0.35650746351422846</v>
      </c>
      <c r="K119" s="69" cm="1">
        <f t="array" ref="K119">MIN(_xlfn._xlws.FILTER(PortfolioFrontier[#Data],(PortfolioFrontier[#Headers]="P"&amp;Scenarios2[[#This Row],[Reference '#]]&amp;" DD")))</f>
        <v>-0.17664355978662594</v>
      </c>
      <c r="L119" s="69">
        <f>SUM(Scenarios2[[#This Row],[SPY]:[VNQ]])</f>
        <v>0.90000000000000013</v>
      </c>
      <c r="M119" s="69">
        <f>SUM(Scenarios2[[#This Row],[SPY]:[PE]])</f>
        <v>1.0000000000000002</v>
      </c>
      <c r="N119" s="71" t="b">
        <f>Scenarios2[[#This Row],[SPY]]&gt;=SpyMin</f>
        <v>1</v>
      </c>
      <c r="O119" s="71" t="b">
        <f>Scenarios2[[#This Row],[AGG]]&gt;=AGGMin</f>
        <v>1</v>
      </c>
      <c r="P119" s="71" t="b">
        <f>AND(Scenarios2[[#This Row],[GLD]]&gt;=GLDMin,Scenarios2[[#This Row],[GLD]]&lt;=GLDMax)</f>
        <v>1</v>
      </c>
      <c r="Q119" s="71" t="b">
        <f>Scenarios2[[#This Row],[VNQ]]&gt;=VNQMin</f>
        <v>1</v>
      </c>
      <c r="R119" s="71" t="b">
        <f>AND(Scenarios2[[#This Row],[PE]]&gt;=PEMin,Scenarios2[[#This Row],[PE]]&lt;=PEMax)</f>
        <v>1</v>
      </c>
      <c r="S119" s="71" t="b">
        <f>Scenarios2[[#This Row],[Liquid Assets]]&gt;=LiquidMin</f>
        <v>1</v>
      </c>
      <c r="T119" s="71" t="b">
        <f>AND(Scenarios2[[#This Row],[Expected Return]]&gt;=ExpectedReturnMin,Scenarios2[[#This Row],[Expected Return]]&lt;=ExpectedReturnMax)</f>
        <v>1</v>
      </c>
      <c r="U119" s="71" t="b">
        <f>Scenarios2[[#This Row],[Max Drawdown]]&gt;=DrawdownMax</f>
        <v>1</v>
      </c>
      <c r="V11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19" s="46">
        <f>_xlfn.XLOOKUP(Scenarios2[[#This Row],[Reference '#]],ScenariosCombined[Reference '#],ScenariosCombined[Sharpe Rank])</f>
        <v>104</v>
      </c>
      <c r="X119" s="44">
        <f>IF(Scenarios2[[#This Row],[Eligible]],COUNTIFS(Scenarios2[Sharpe],"&gt;"&amp;Scenarios2[[#This Row],[Sharpe]],Scenarios2[Eligible],TRUE())+COUNTIFS(Scenarios2[Sharpe],Scenarios2[[#This Row],[Sharpe]],Scenarios2[Eligible],TRUE()),"")</f>
        <v>101</v>
      </c>
      <c r="Y11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25/30/15/20/10</v>
      </c>
      <c r="Z119">
        <f>_xlfn.XLOOKUP(Scenarios2[[#This Row],[Reference '#]],Scenarios1[Reference '#],Scenarios1[Sharpe Rank])</f>
        <v>102</v>
      </c>
      <c r="AA119">
        <f>Scenarios2[[#This Row],[Sharpe Rank]]</f>
        <v>101</v>
      </c>
      <c r="AB119">
        <f>_xlfn.XLOOKUP(Scenarios2[[#This Row],[Reference '#]],Scenarios3[Reference '#],Scenarios3[Sharpe Rank])</f>
        <v>101</v>
      </c>
      <c r="AC119"/>
      <c r="AD119"/>
      <c r="AE119"/>
      <c r="AF119" s="34"/>
      <c r="AG119" s="34"/>
    </row>
    <row r="120" spans="2:33" s="15" customFormat="1" x14ac:dyDescent="0.2">
      <c r="B120" s="44">
        <v>110</v>
      </c>
      <c r="C120" s="68">
        <v>0.25</v>
      </c>
      <c r="D120" s="69">
        <v>0.3</v>
      </c>
      <c r="E120" s="69">
        <v>0.15</v>
      </c>
      <c r="F120" s="69">
        <v>0.15</v>
      </c>
      <c r="G120" s="69">
        <v>0.15</v>
      </c>
      <c r="H120" s="69">
        <f>SUMPRODUCT(Scenarios2[[#This Row],[SPY]:[PE]],_xlfn.TOROW(AssetSpecsScenario2[Annualized Return]))</f>
        <v>7.6595980780471029E-2</v>
      </c>
      <c r="I120" s="69" cm="1">
        <f t="array" ref="I120">SQRT(MMULT(MMULT(Scenarios2[[#This Row],[SPY]:[PE]], 'Corr_Cov 36- Month'!$J$13:$N$17), TRANSPOSE(Scenarios2[[#This Row],[SPY]:[PE]])))</f>
        <v>7.4873394293789045E-2</v>
      </c>
      <c r="J120" s="70">
        <f>(Scenarios2[[#This Row],[Expected Return]]-RiskFree)/Scenarios2[[#This Row],[36M Vol]]</f>
        <v>0.39520614103333213</v>
      </c>
      <c r="K120" s="69" cm="1">
        <f t="array" ref="K120">MIN(_xlfn._xlws.FILTER(PortfolioFrontier[#Data],(PortfolioFrontier[#Headers]="P"&amp;Scenarios2[[#This Row],[Reference '#]]&amp;" DD")))</f>
        <v>-0.16218772982575114</v>
      </c>
      <c r="L120" s="69">
        <f>SUM(Scenarios2[[#This Row],[SPY]:[VNQ]])</f>
        <v>0.85000000000000009</v>
      </c>
      <c r="M120" s="69">
        <f>SUM(Scenarios2[[#This Row],[SPY]:[PE]])</f>
        <v>1</v>
      </c>
      <c r="N120" s="71" t="b">
        <f>Scenarios2[[#This Row],[SPY]]&gt;=SpyMin</f>
        <v>1</v>
      </c>
      <c r="O120" s="71" t="b">
        <f>Scenarios2[[#This Row],[AGG]]&gt;=AGGMin</f>
        <v>1</v>
      </c>
      <c r="P120" s="71" t="b">
        <f>AND(Scenarios2[[#This Row],[GLD]]&gt;=GLDMin,Scenarios2[[#This Row],[GLD]]&lt;=GLDMax)</f>
        <v>1</v>
      </c>
      <c r="Q120" s="71" t="b">
        <f>Scenarios2[[#This Row],[VNQ]]&gt;=VNQMin</f>
        <v>1</v>
      </c>
      <c r="R120" s="71" t="b">
        <f>AND(Scenarios2[[#This Row],[PE]]&gt;=PEMin,Scenarios2[[#This Row],[PE]]&lt;=PEMax)</f>
        <v>1</v>
      </c>
      <c r="S120" s="71" t="b">
        <f>Scenarios2[[#This Row],[Liquid Assets]]&gt;=LiquidMin</f>
        <v>1</v>
      </c>
      <c r="T120" s="71" t="b">
        <f>AND(Scenarios2[[#This Row],[Expected Return]]&gt;=ExpectedReturnMin,Scenarios2[[#This Row],[Expected Return]]&lt;=ExpectedReturnMax)</f>
        <v>1</v>
      </c>
      <c r="U120" s="71" t="b">
        <f>Scenarios2[[#This Row],[Max Drawdown]]&gt;=DrawdownMax</f>
        <v>1</v>
      </c>
      <c r="V12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20" s="46">
        <f>_xlfn.XLOOKUP(Scenarios2[[#This Row],[Reference '#]],ScenariosCombined[Reference '#],ScenariosCombined[Sharpe Rank])</f>
        <v>92</v>
      </c>
      <c r="X120" s="44">
        <f>IF(Scenarios2[[#This Row],[Eligible]],COUNTIFS(Scenarios2[Sharpe],"&gt;"&amp;Scenarios2[[#This Row],[Sharpe]],Scenarios2[Eligible],TRUE())+COUNTIFS(Scenarios2[Sharpe],Scenarios2[[#This Row],[Sharpe]],Scenarios2[Eligible],TRUE()),"")</f>
        <v>92</v>
      </c>
      <c r="Y12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25/30/15/15/15</v>
      </c>
      <c r="Z120">
        <f>_xlfn.XLOOKUP(Scenarios2[[#This Row],[Reference '#]],Scenarios1[Reference '#],Scenarios1[Sharpe Rank])</f>
        <v>93</v>
      </c>
      <c r="AA120">
        <f>Scenarios2[[#This Row],[Sharpe Rank]]</f>
        <v>92</v>
      </c>
      <c r="AB120">
        <f>_xlfn.XLOOKUP(Scenarios2[[#This Row],[Reference '#]],Scenarios3[Reference '#],Scenarios3[Sharpe Rank])</f>
        <v>78</v>
      </c>
      <c r="AC120"/>
      <c r="AD120"/>
      <c r="AE120"/>
      <c r="AF120" s="34"/>
      <c r="AG120" s="34"/>
    </row>
    <row r="121" spans="2:33" s="15" customFormat="1" x14ac:dyDescent="0.2">
      <c r="B121" s="44">
        <v>111</v>
      </c>
      <c r="C121" s="68">
        <v>0.25</v>
      </c>
      <c r="D121" s="69">
        <v>0.3</v>
      </c>
      <c r="E121" s="69">
        <v>0.15</v>
      </c>
      <c r="F121" s="69">
        <v>0.1</v>
      </c>
      <c r="G121" s="69">
        <v>0.2</v>
      </c>
      <c r="H121" s="69">
        <f>SUMPRODUCT(Scenarios2[[#This Row],[SPY]:[PE]],_xlfn.TOROW(AssetSpecsScenario2[Annualized Return]))</f>
        <v>7.6732687299417526E-2</v>
      </c>
      <c r="I121" s="69" cm="1">
        <f t="array" ref="I121">SQRT(MMULT(MMULT(Scenarios2[[#This Row],[SPY]:[PE]], 'Corr_Cov 36- Month'!$J$13:$N$17), TRANSPOSE(Scenarios2[[#This Row],[SPY]:[PE]])))</f>
        <v>6.7605620867609642E-2</v>
      </c>
      <c r="J121" s="70">
        <f>(Scenarios2[[#This Row],[Expected Return]]-RiskFree)/Scenarios2[[#This Row],[36M Vol]]</f>
        <v>0.43971390784319336</v>
      </c>
      <c r="K121" s="69" cm="1">
        <f t="array" ref="K121">MIN(_xlfn._xlws.FILTER(PortfolioFrontier[#Data],(PortfolioFrontier[#Headers]="P"&amp;Scenarios2[[#This Row],[Reference '#]]&amp;" DD")))</f>
        <v>-0.14761879853353232</v>
      </c>
      <c r="L121" s="69">
        <f>SUM(Scenarios2[[#This Row],[SPY]:[VNQ]])</f>
        <v>0.8</v>
      </c>
      <c r="M121" s="69">
        <f>SUM(Scenarios2[[#This Row],[SPY]:[PE]])</f>
        <v>1</v>
      </c>
      <c r="N121" s="71" t="b">
        <f>Scenarios2[[#This Row],[SPY]]&gt;=SpyMin</f>
        <v>1</v>
      </c>
      <c r="O121" s="71" t="b">
        <f>Scenarios2[[#This Row],[AGG]]&gt;=AGGMin</f>
        <v>1</v>
      </c>
      <c r="P121" s="71" t="b">
        <f>AND(Scenarios2[[#This Row],[GLD]]&gt;=GLDMin,Scenarios2[[#This Row],[GLD]]&lt;=GLDMax)</f>
        <v>1</v>
      </c>
      <c r="Q121" s="71" t="b">
        <f>Scenarios2[[#This Row],[VNQ]]&gt;=VNQMin</f>
        <v>1</v>
      </c>
      <c r="R121" s="71" t="b">
        <f>AND(Scenarios2[[#This Row],[PE]]&gt;=PEMin,Scenarios2[[#This Row],[PE]]&lt;=PEMax)</f>
        <v>1</v>
      </c>
      <c r="S121" s="71" t="b">
        <f>Scenarios2[[#This Row],[Liquid Assets]]&gt;=LiquidMin</f>
        <v>1</v>
      </c>
      <c r="T121" s="71" t="b">
        <f>AND(Scenarios2[[#This Row],[Expected Return]]&gt;=ExpectedReturnMin,Scenarios2[[#This Row],[Expected Return]]&lt;=ExpectedReturnMax)</f>
        <v>1</v>
      </c>
      <c r="U121" s="71" t="b">
        <f>Scenarios2[[#This Row],[Max Drawdown]]&gt;=DrawdownMax</f>
        <v>1</v>
      </c>
      <c r="V12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21" s="46">
        <f>_xlfn.XLOOKUP(Scenarios2[[#This Row],[Reference '#]],ScenariosCombined[Reference '#],ScenariosCombined[Sharpe Rank])</f>
        <v>64</v>
      </c>
      <c r="X121" s="44">
        <f>IF(Scenarios2[[#This Row],[Eligible]],COUNTIFS(Scenarios2[Sharpe],"&gt;"&amp;Scenarios2[[#This Row],[Sharpe]],Scenarios2[Eligible],TRUE())+COUNTIFS(Scenarios2[Sharpe],Scenarios2[[#This Row],[Sharpe]],Scenarios2[Eligible],TRUE()),"")</f>
        <v>69</v>
      </c>
      <c r="Y12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25/30/15/10/20</v>
      </c>
      <c r="Z121">
        <f>_xlfn.XLOOKUP(Scenarios2[[#This Row],[Reference '#]],Scenarios1[Reference '#],Scenarios1[Sharpe Rank])</f>
        <v>75</v>
      </c>
      <c r="AA121">
        <f>Scenarios2[[#This Row],[Sharpe Rank]]</f>
        <v>69</v>
      </c>
      <c r="AB121">
        <f>_xlfn.XLOOKUP(Scenarios2[[#This Row],[Reference '#]],Scenarios3[Reference '#],Scenarios3[Sharpe Rank])</f>
        <v>48</v>
      </c>
      <c r="AC121"/>
      <c r="AD121"/>
      <c r="AE121"/>
      <c r="AF121" s="34"/>
      <c r="AG121" s="34"/>
    </row>
    <row r="122" spans="2:33" s="15" customFormat="1" x14ac:dyDescent="0.2">
      <c r="B122" s="44">
        <v>112</v>
      </c>
      <c r="C122" s="68">
        <v>0.25</v>
      </c>
      <c r="D122" s="69">
        <v>0.3</v>
      </c>
      <c r="E122" s="69">
        <v>0.1</v>
      </c>
      <c r="F122" s="69">
        <v>0.25</v>
      </c>
      <c r="G122" s="69">
        <v>0.1</v>
      </c>
      <c r="H122" s="69">
        <f>SUMPRODUCT(Scenarios2[[#This Row],[SPY]:[PE]],_xlfn.TOROW(AssetSpecsScenario2[Annualized Return]))</f>
        <v>7.2467555360448507E-2</v>
      </c>
      <c r="I122" s="69" cm="1">
        <f t="array" ref="I122">SQRT(MMULT(MMULT(Scenarios2[[#This Row],[SPY]:[PE]], 'Corr_Cov 36- Month'!$J$13:$N$17), TRANSPOSE(Scenarios2[[#This Row],[SPY]:[PE]])))</f>
        <v>8.827174142165288E-2</v>
      </c>
      <c r="J122" s="70">
        <f>(Scenarios2[[#This Row],[Expected Return]]-RiskFree)/Scenarios2[[#This Row],[36M Vol]]</f>
        <v>0.28845018116576071</v>
      </c>
      <c r="K122" s="69" cm="1">
        <f t="array" ref="K122">MIN(_xlfn._xlws.FILTER(PortfolioFrontier[#Data],(PortfolioFrontier[#Headers]="P"&amp;Scenarios2[[#This Row],[Reference '#]]&amp;" DD")))</f>
        <v>-0.1867958072968543</v>
      </c>
      <c r="L122" s="69">
        <f>SUM(Scenarios2[[#This Row],[SPY]:[VNQ]])</f>
        <v>0.9</v>
      </c>
      <c r="M122" s="69">
        <f>SUM(Scenarios2[[#This Row],[SPY]:[PE]])</f>
        <v>1</v>
      </c>
      <c r="N122" s="71" t="b">
        <f>Scenarios2[[#This Row],[SPY]]&gt;=SpyMin</f>
        <v>1</v>
      </c>
      <c r="O122" s="71" t="b">
        <f>Scenarios2[[#This Row],[AGG]]&gt;=AGGMin</f>
        <v>1</v>
      </c>
      <c r="P122" s="71" t="b">
        <f>AND(Scenarios2[[#This Row],[GLD]]&gt;=GLDMin,Scenarios2[[#This Row],[GLD]]&lt;=GLDMax)</f>
        <v>1</v>
      </c>
      <c r="Q122" s="71" t="b">
        <f>Scenarios2[[#This Row],[VNQ]]&gt;=VNQMin</f>
        <v>1</v>
      </c>
      <c r="R122" s="71" t="b">
        <f>AND(Scenarios2[[#This Row],[PE]]&gt;=PEMin,Scenarios2[[#This Row],[PE]]&lt;=PEMax)</f>
        <v>1</v>
      </c>
      <c r="S122" s="71" t="b">
        <f>Scenarios2[[#This Row],[Liquid Assets]]&gt;=LiquidMin</f>
        <v>1</v>
      </c>
      <c r="T122" s="71" t="b">
        <f>AND(Scenarios2[[#This Row],[Expected Return]]&gt;=ExpectedReturnMin,Scenarios2[[#This Row],[Expected Return]]&lt;=ExpectedReturnMax)</f>
        <v>0</v>
      </c>
      <c r="U122" s="71" t="b">
        <f>Scenarios2[[#This Row],[Max Drawdown]]&gt;=DrawdownMax</f>
        <v>1</v>
      </c>
      <c r="V12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22" s="46" t="str">
        <f>_xlfn.XLOOKUP(Scenarios2[[#This Row],[Reference '#]],ScenariosCombined[Reference '#],ScenariosCombined[Sharpe Rank])</f>
        <v/>
      </c>
      <c r="X122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2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25/30/10/25/10</v>
      </c>
      <c r="Z122" t="str">
        <f>_xlfn.XLOOKUP(Scenarios2[[#This Row],[Reference '#]],Scenarios1[Reference '#],Scenarios1[Sharpe Rank])</f>
        <v/>
      </c>
      <c r="AA122" t="str">
        <f>Scenarios2[[#This Row],[Sharpe Rank]]</f>
        <v/>
      </c>
      <c r="AB122">
        <f>_xlfn.XLOOKUP(Scenarios2[[#This Row],[Reference '#]],Scenarios3[Reference '#],Scenarios3[Sharpe Rank])</f>
        <v>112</v>
      </c>
      <c r="AC122"/>
      <c r="AD122"/>
      <c r="AE122"/>
      <c r="AF122" s="34"/>
      <c r="AG122" s="34"/>
    </row>
    <row r="123" spans="2:33" s="15" customFormat="1" x14ac:dyDescent="0.2">
      <c r="B123" s="44">
        <v>113</v>
      </c>
      <c r="C123" s="68">
        <v>0.25</v>
      </c>
      <c r="D123" s="69">
        <v>0.3</v>
      </c>
      <c r="E123" s="69">
        <v>0.1</v>
      </c>
      <c r="F123" s="69">
        <v>0.2</v>
      </c>
      <c r="G123" s="69">
        <v>0.15</v>
      </c>
      <c r="H123" s="69">
        <f>SUMPRODUCT(Scenarios2[[#This Row],[SPY]:[PE]],_xlfn.TOROW(AssetSpecsScenario2[Annualized Return]))</f>
        <v>7.2604261879395005E-2</v>
      </c>
      <c r="I123" s="69" cm="1">
        <f t="array" ref="I123">SQRT(MMULT(MMULT(Scenarios2[[#This Row],[SPY]:[PE]], 'Corr_Cov 36- Month'!$J$13:$N$17), TRANSPOSE(Scenarios2[[#This Row],[SPY]:[PE]])))</f>
        <v>8.0260310412350544E-2</v>
      </c>
      <c r="J123" s="70">
        <f>(Scenarios2[[#This Row],[Expected Return]]-RiskFree)/Scenarios2[[#This Row],[36M Vol]]</f>
        <v>0.3189460169331752</v>
      </c>
      <c r="K123" s="69" cm="1">
        <f t="array" ref="K123">MIN(_xlfn._xlws.FILTER(PortfolioFrontier[#Data],(PortfolioFrontier[#Headers]="P"&amp;Scenarios2[[#This Row],[Reference '#]]&amp;" DD")))</f>
        <v>-0.17241133098208905</v>
      </c>
      <c r="L123" s="69">
        <f>SUM(Scenarios2[[#This Row],[SPY]:[VNQ]])</f>
        <v>0.85000000000000009</v>
      </c>
      <c r="M123" s="69">
        <f>SUM(Scenarios2[[#This Row],[SPY]:[PE]])</f>
        <v>1</v>
      </c>
      <c r="N123" s="71" t="b">
        <f>Scenarios2[[#This Row],[SPY]]&gt;=SpyMin</f>
        <v>1</v>
      </c>
      <c r="O123" s="71" t="b">
        <f>Scenarios2[[#This Row],[AGG]]&gt;=AGGMin</f>
        <v>1</v>
      </c>
      <c r="P123" s="71" t="b">
        <f>AND(Scenarios2[[#This Row],[GLD]]&gt;=GLDMin,Scenarios2[[#This Row],[GLD]]&lt;=GLDMax)</f>
        <v>1</v>
      </c>
      <c r="Q123" s="71" t="b">
        <f>Scenarios2[[#This Row],[VNQ]]&gt;=VNQMin</f>
        <v>1</v>
      </c>
      <c r="R123" s="71" t="b">
        <f>AND(Scenarios2[[#This Row],[PE]]&gt;=PEMin,Scenarios2[[#This Row],[PE]]&lt;=PEMax)</f>
        <v>1</v>
      </c>
      <c r="S123" s="71" t="b">
        <f>Scenarios2[[#This Row],[Liquid Assets]]&gt;=LiquidMin</f>
        <v>1</v>
      </c>
      <c r="T123" s="71" t="b">
        <f>AND(Scenarios2[[#This Row],[Expected Return]]&gt;=ExpectedReturnMin,Scenarios2[[#This Row],[Expected Return]]&lt;=ExpectedReturnMax)</f>
        <v>0</v>
      </c>
      <c r="U123" s="71" t="b">
        <f>Scenarios2[[#This Row],[Max Drawdown]]&gt;=DrawdownMax</f>
        <v>1</v>
      </c>
      <c r="V12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23" s="46" t="str">
        <f>_xlfn.XLOOKUP(Scenarios2[[#This Row],[Reference '#]],ScenariosCombined[Reference '#],ScenariosCombined[Sharpe Rank])</f>
        <v/>
      </c>
      <c r="X123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2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25/30/10/20/15</v>
      </c>
      <c r="Z123" t="str">
        <f>_xlfn.XLOOKUP(Scenarios2[[#This Row],[Reference '#]],Scenarios1[Reference '#],Scenarios1[Sharpe Rank])</f>
        <v/>
      </c>
      <c r="AA123" t="str">
        <f>Scenarios2[[#This Row],[Sharpe Rank]]</f>
        <v/>
      </c>
      <c r="AB123">
        <f>_xlfn.XLOOKUP(Scenarios2[[#This Row],[Reference '#]],Scenarios3[Reference '#],Scenarios3[Sharpe Rank])</f>
        <v>108</v>
      </c>
      <c r="AC123"/>
      <c r="AD123"/>
      <c r="AE123"/>
      <c r="AF123" s="34"/>
      <c r="AG123" s="34"/>
    </row>
    <row r="124" spans="2:33" s="15" customFormat="1" x14ac:dyDescent="0.2">
      <c r="B124" s="44">
        <v>114</v>
      </c>
      <c r="C124" s="68">
        <v>0.25</v>
      </c>
      <c r="D124" s="69">
        <v>0.3</v>
      </c>
      <c r="E124" s="69">
        <v>0.1</v>
      </c>
      <c r="F124" s="69">
        <v>0.15</v>
      </c>
      <c r="G124" s="69">
        <v>0.2</v>
      </c>
      <c r="H124" s="69">
        <f>SUMPRODUCT(Scenarios2[[#This Row],[SPY]:[PE]],_xlfn.TOROW(AssetSpecsScenario2[Annualized Return]))</f>
        <v>7.2740968398341516E-2</v>
      </c>
      <c r="I124" s="69" cm="1">
        <f t="array" ref="I124">SQRT(MMULT(MMULT(Scenarios2[[#This Row],[SPY]:[PE]], 'Corr_Cov 36- Month'!$J$13:$N$17), TRANSPOSE(Scenarios2[[#This Row],[SPY]:[PE]])))</f>
        <v>7.2633590456997646E-2</v>
      </c>
      <c r="J124" s="70">
        <f>(Scenarios2[[#This Row],[Expected Return]]-RiskFree)/Scenarios2[[#This Row],[36M Vol]]</f>
        <v>0.35431833509624572</v>
      </c>
      <c r="K124" s="69" cm="1">
        <f t="array" ref="K124">MIN(_xlfn._xlws.FILTER(PortfolioFrontier[#Data],(PortfolioFrontier[#Headers]="P"&amp;Scenarios2[[#This Row],[Reference '#]]&amp;" DD")))</f>
        <v>-0.15791202853953867</v>
      </c>
      <c r="L124" s="69">
        <f>SUM(Scenarios2[[#This Row],[SPY]:[VNQ]])</f>
        <v>0.8</v>
      </c>
      <c r="M124" s="69">
        <f>SUM(Scenarios2[[#This Row],[SPY]:[PE]])</f>
        <v>1</v>
      </c>
      <c r="N124" s="71" t="b">
        <f>Scenarios2[[#This Row],[SPY]]&gt;=SpyMin</f>
        <v>1</v>
      </c>
      <c r="O124" s="71" t="b">
        <f>Scenarios2[[#This Row],[AGG]]&gt;=AGGMin</f>
        <v>1</v>
      </c>
      <c r="P124" s="71" t="b">
        <f>AND(Scenarios2[[#This Row],[GLD]]&gt;=GLDMin,Scenarios2[[#This Row],[GLD]]&lt;=GLDMax)</f>
        <v>1</v>
      </c>
      <c r="Q124" s="71" t="b">
        <f>Scenarios2[[#This Row],[VNQ]]&gt;=VNQMin</f>
        <v>1</v>
      </c>
      <c r="R124" s="71" t="b">
        <f>AND(Scenarios2[[#This Row],[PE]]&gt;=PEMin,Scenarios2[[#This Row],[PE]]&lt;=PEMax)</f>
        <v>1</v>
      </c>
      <c r="S124" s="71" t="b">
        <f>Scenarios2[[#This Row],[Liquid Assets]]&gt;=LiquidMin</f>
        <v>1</v>
      </c>
      <c r="T124" s="71" t="b">
        <f>AND(Scenarios2[[#This Row],[Expected Return]]&gt;=ExpectedReturnMin,Scenarios2[[#This Row],[Expected Return]]&lt;=ExpectedReturnMax)</f>
        <v>0</v>
      </c>
      <c r="U124" s="71" t="b">
        <f>Scenarios2[[#This Row],[Max Drawdown]]&gt;=DrawdownMax</f>
        <v>1</v>
      </c>
      <c r="V12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24" s="46" t="str">
        <f>_xlfn.XLOOKUP(Scenarios2[[#This Row],[Reference '#]],ScenariosCombined[Reference '#],ScenariosCombined[Sharpe Rank])</f>
        <v/>
      </c>
      <c r="X124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2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25/30/10/15/20</v>
      </c>
      <c r="Z124" t="str">
        <f>_xlfn.XLOOKUP(Scenarios2[[#This Row],[Reference '#]],Scenarios1[Reference '#],Scenarios1[Sharpe Rank])</f>
        <v/>
      </c>
      <c r="AA124" t="str">
        <f>Scenarios2[[#This Row],[Sharpe Rank]]</f>
        <v/>
      </c>
      <c r="AB124">
        <f>_xlfn.XLOOKUP(Scenarios2[[#This Row],[Reference '#]],Scenarios3[Reference '#],Scenarios3[Sharpe Rank])</f>
        <v>90</v>
      </c>
      <c r="AC124"/>
      <c r="AD124"/>
      <c r="AE124"/>
      <c r="AF124" s="34"/>
      <c r="AG124" s="34"/>
    </row>
    <row r="125" spans="2:33" s="15" customFormat="1" x14ac:dyDescent="0.2">
      <c r="B125" s="44">
        <v>115</v>
      </c>
      <c r="C125" s="68">
        <v>0.25</v>
      </c>
      <c r="D125" s="69">
        <v>0.25</v>
      </c>
      <c r="E125" s="69">
        <v>0.2</v>
      </c>
      <c r="F125" s="69">
        <v>0.2</v>
      </c>
      <c r="G125" s="69">
        <v>0.1</v>
      </c>
      <c r="H125" s="69">
        <f>SUMPRODUCT(Scenarios2[[#This Row],[SPY]:[PE]],_xlfn.TOROW(AssetSpecsScenario2[Annualized Return]))</f>
        <v>8.203473250876403E-2</v>
      </c>
      <c r="I125" s="69" cm="1">
        <f t="array" ref="I125">SQRT(MMULT(MMULT(Scenarios2[[#This Row],[SPY]:[PE]], 'Corr_Cov 36- Month'!$J$13:$N$17), TRANSPOSE(Scenarios2[[#This Row],[SPY]:[PE]])))</f>
        <v>8.2945379960045376E-2</v>
      </c>
      <c r="J125" s="70">
        <f>(Scenarios2[[#This Row],[Expected Return]]-RiskFree)/Scenarios2[[#This Row],[36M Vol]]</f>
        <v>0.42231619133075243</v>
      </c>
      <c r="K125" s="69" cm="1">
        <f t="array" ref="K125">MIN(_xlfn._xlws.FILTER(PortfolioFrontier[#Data],(PortfolioFrontier[#Headers]="P"&amp;Scenarios2[[#This Row],[Reference '#]]&amp;" DD")))</f>
        <v>-0.17421131416336322</v>
      </c>
      <c r="L125" s="69">
        <f>SUM(Scenarios2[[#This Row],[SPY]:[VNQ]])</f>
        <v>0.89999999999999991</v>
      </c>
      <c r="M125" s="69">
        <f>SUM(Scenarios2[[#This Row],[SPY]:[PE]])</f>
        <v>0.99999999999999989</v>
      </c>
      <c r="N125" s="71" t="b">
        <f>Scenarios2[[#This Row],[SPY]]&gt;=SpyMin</f>
        <v>1</v>
      </c>
      <c r="O125" s="71" t="b">
        <f>Scenarios2[[#This Row],[AGG]]&gt;=AGGMin</f>
        <v>1</v>
      </c>
      <c r="P125" s="71" t="b">
        <f>AND(Scenarios2[[#This Row],[GLD]]&gt;=GLDMin,Scenarios2[[#This Row],[GLD]]&lt;=GLDMax)</f>
        <v>1</v>
      </c>
      <c r="Q125" s="71" t="b">
        <f>Scenarios2[[#This Row],[VNQ]]&gt;=VNQMin</f>
        <v>1</v>
      </c>
      <c r="R125" s="71" t="b">
        <f>AND(Scenarios2[[#This Row],[PE]]&gt;=PEMin,Scenarios2[[#This Row],[PE]]&lt;=PEMax)</f>
        <v>1</v>
      </c>
      <c r="S125" s="71" t="b">
        <f>Scenarios2[[#This Row],[Liquid Assets]]&gt;=LiquidMin</f>
        <v>1</v>
      </c>
      <c r="T125" s="71" t="b">
        <f>AND(Scenarios2[[#This Row],[Expected Return]]&gt;=ExpectedReturnMin,Scenarios2[[#This Row],[Expected Return]]&lt;=ExpectedReturnMax)</f>
        <v>1</v>
      </c>
      <c r="U125" s="71" t="b">
        <f>Scenarios2[[#This Row],[Max Drawdown]]&gt;=DrawdownMax</f>
        <v>1</v>
      </c>
      <c r="V12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25" s="46">
        <f>_xlfn.XLOOKUP(Scenarios2[[#This Row],[Reference '#]],ScenariosCombined[Reference '#],ScenariosCombined[Sharpe Rank])</f>
        <v>83</v>
      </c>
      <c r="X125" s="44">
        <f>IF(Scenarios2[[#This Row],[Eligible]],COUNTIFS(Scenarios2[Sharpe],"&gt;"&amp;Scenarios2[[#This Row],[Sharpe]],Scenarios2[Eligible],TRUE())+COUNTIFS(Scenarios2[Sharpe],Scenarios2[[#This Row],[Sharpe]],Scenarios2[Eligible],TRUE()),"")</f>
        <v>80</v>
      </c>
      <c r="Y12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25/25/20/20/10</v>
      </c>
      <c r="Z125">
        <f>_xlfn.XLOOKUP(Scenarios2[[#This Row],[Reference '#]],Scenarios1[Reference '#],Scenarios1[Sharpe Rank])</f>
        <v>81</v>
      </c>
      <c r="AA125">
        <f>Scenarios2[[#This Row],[Sharpe Rank]]</f>
        <v>80</v>
      </c>
      <c r="AB125">
        <f>_xlfn.XLOOKUP(Scenarios2[[#This Row],[Reference '#]],Scenarios3[Reference '#],Scenarios3[Sharpe Rank])</f>
        <v>76</v>
      </c>
      <c r="AC125"/>
      <c r="AD125"/>
      <c r="AE125"/>
      <c r="AF125" s="34"/>
      <c r="AG125" s="34"/>
    </row>
    <row r="126" spans="2:33" s="15" customFormat="1" x14ac:dyDescent="0.2">
      <c r="B126" s="44">
        <v>116</v>
      </c>
      <c r="C126" s="68">
        <v>0.25</v>
      </c>
      <c r="D126" s="69">
        <v>0.25</v>
      </c>
      <c r="E126" s="69">
        <v>0.2</v>
      </c>
      <c r="F126" s="69">
        <v>0.15</v>
      </c>
      <c r="G126" s="69">
        <v>0.15</v>
      </c>
      <c r="H126" s="69">
        <f>SUMPRODUCT(Scenarios2[[#This Row],[SPY]:[PE]],_xlfn.TOROW(AssetSpecsScenario2[Annualized Return]))</f>
        <v>8.2171439027710527E-2</v>
      </c>
      <c r="I126" s="69" cm="1">
        <f t="array" ref="I126">SQRT(MMULT(MMULT(Scenarios2[[#This Row],[SPY]:[PE]], 'Corr_Cov 36- Month'!$J$13:$N$17), TRANSPOSE(Scenarios2[[#This Row],[SPY]:[PE]])))</f>
        <v>7.5336421006106366E-2</v>
      </c>
      <c r="J126" s="70">
        <f>(Scenarios2[[#This Row],[Expected Return]]-RiskFree)/Scenarios2[[#This Row],[36M Vol]]</f>
        <v>0.466784630893265</v>
      </c>
      <c r="K126" s="69" cm="1">
        <f t="array" ref="K126">MIN(_xlfn._xlws.FILTER(PortfolioFrontier[#Data],(PortfolioFrontier[#Headers]="P"&amp;Scenarios2[[#This Row],[Reference '#]]&amp;" DD")))</f>
        <v>-0.15972578344997812</v>
      </c>
      <c r="L126" s="69">
        <f>SUM(Scenarios2[[#This Row],[SPY]:[VNQ]])</f>
        <v>0.85</v>
      </c>
      <c r="M126" s="69">
        <f>SUM(Scenarios2[[#This Row],[SPY]:[PE]])</f>
        <v>1</v>
      </c>
      <c r="N126" s="71" t="b">
        <f>Scenarios2[[#This Row],[SPY]]&gt;=SpyMin</f>
        <v>1</v>
      </c>
      <c r="O126" s="71" t="b">
        <f>Scenarios2[[#This Row],[AGG]]&gt;=AGGMin</f>
        <v>1</v>
      </c>
      <c r="P126" s="71" t="b">
        <f>AND(Scenarios2[[#This Row],[GLD]]&gt;=GLDMin,Scenarios2[[#This Row],[GLD]]&lt;=GLDMax)</f>
        <v>1</v>
      </c>
      <c r="Q126" s="71" t="b">
        <f>Scenarios2[[#This Row],[VNQ]]&gt;=VNQMin</f>
        <v>1</v>
      </c>
      <c r="R126" s="71" t="b">
        <f>AND(Scenarios2[[#This Row],[PE]]&gt;=PEMin,Scenarios2[[#This Row],[PE]]&lt;=PEMax)</f>
        <v>1</v>
      </c>
      <c r="S126" s="71" t="b">
        <f>Scenarios2[[#This Row],[Liquid Assets]]&gt;=LiquidMin</f>
        <v>1</v>
      </c>
      <c r="T126" s="71" t="b">
        <f>AND(Scenarios2[[#This Row],[Expected Return]]&gt;=ExpectedReturnMin,Scenarios2[[#This Row],[Expected Return]]&lt;=ExpectedReturnMax)</f>
        <v>1</v>
      </c>
      <c r="U126" s="71" t="b">
        <f>Scenarios2[[#This Row],[Max Drawdown]]&gt;=DrawdownMax</f>
        <v>1</v>
      </c>
      <c r="V12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26" s="46">
        <f>_xlfn.XLOOKUP(Scenarios2[[#This Row],[Reference '#]],ScenariosCombined[Reference '#],ScenariosCombined[Sharpe Rank])</f>
        <v>59</v>
      </c>
      <c r="X126" s="44">
        <f>IF(Scenarios2[[#This Row],[Eligible]],COUNTIFS(Scenarios2[Sharpe],"&gt;"&amp;Scenarios2[[#This Row],[Sharpe]],Scenarios2[Eligible],TRUE())+COUNTIFS(Scenarios2[Sharpe],Scenarios2[[#This Row],[Sharpe]],Scenarios2[Eligible],TRUE()),"")</f>
        <v>59</v>
      </c>
      <c r="Y12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25/25/20/15/15</v>
      </c>
      <c r="Z126">
        <f>_xlfn.XLOOKUP(Scenarios2[[#This Row],[Reference '#]],Scenarios1[Reference '#],Scenarios1[Sharpe Rank])</f>
        <v>62</v>
      </c>
      <c r="AA126">
        <f>Scenarios2[[#This Row],[Sharpe Rank]]</f>
        <v>59</v>
      </c>
      <c r="AB126">
        <f>_xlfn.XLOOKUP(Scenarios2[[#This Row],[Reference '#]],Scenarios3[Reference '#],Scenarios3[Sharpe Rank])</f>
        <v>47</v>
      </c>
      <c r="AC126"/>
      <c r="AD126"/>
      <c r="AE126"/>
      <c r="AF126" s="34"/>
      <c r="AG126" s="34"/>
    </row>
    <row r="127" spans="2:33" s="15" customFormat="1" x14ac:dyDescent="0.2">
      <c r="B127" s="44">
        <v>117</v>
      </c>
      <c r="C127" s="68">
        <v>0.25</v>
      </c>
      <c r="D127" s="69">
        <v>0.25</v>
      </c>
      <c r="E127" s="69">
        <v>0.2</v>
      </c>
      <c r="F127" s="69">
        <v>0.1</v>
      </c>
      <c r="G127" s="69">
        <v>0.2</v>
      </c>
      <c r="H127" s="69">
        <f>SUMPRODUCT(Scenarios2[[#This Row],[SPY]:[PE]],_xlfn.TOROW(AssetSpecsScenario2[Annualized Return]))</f>
        <v>8.2308145546657024E-2</v>
      </c>
      <c r="I127" s="69" cm="1">
        <f t="array" ref="I127">SQRT(MMULT(MMULT(Scenarios2[[#This Row],[SPY]:[PE]], 'Corr_Cov 36- Month'!$J$13:$N$17), TRANSPOSE(Scenarios2[[#This Row],[SPY]:[PE]])))</f>
        <v>6.8229909457763416E-2</v>
      </c>
      <c r="J127" s="70">
        <f>(Scenarios2[[#This Row],[Expected Return]]-RiskFree)/Scenarios2[[#This Row],[36M Vol]]</f>
        <v>0.51740637312372451</v>
      </c>
      <c r="K127" s="69" cm="1">
        <f t="array" ref="K127">MIN(_xlfn._xlws.FILTER(PortfolioFrontier[#Data],(PortfolioFrontier[#Headers]="P"&amp;Scenarios2[[#This Row],[Reference '#]]&amp;" DD")))</f>
        <v>-0.14512711256852973</v>
      </c>
      <c r="L127" s="69">
        <f>SUM(Scenarios2[[#This Row],[SPY]:[VNQ]])</f>
        <v>0.79999999999999993</v>
      </c>
      <c r="M127" s="69">
        <f>SUM(Scenarios2[[#This Row],[SPY]:[PE]])</f>
        <v>1</v>
      </c>
      <c r="N127" s="71" t="b">
        <f>Scenarios2[[#This Row],[SPY]]&gt;=SpyMin</f>
        <v>1</v>
      </c>
      <c r="O127" s="71" t="b">
        <f>Scenarios2[[#This Row],[AGG]]&gt;=AGGMin</f>
        <v>1</v>
      </c>
      <c r="P127" s="71" t="b">
        <f>AND(Scenarios2[[#This Row],[GLD]]&gt;=GLDMin,Scenarios2[[#This Row],[GLD]]&lt;=GLDMax)</f>
        <v>1</v>
      </c>
      <c r="Q127" s="71" t="b">
        <f>Scenarios2[[#This Row],[VNQ]]&gt;=VNQMin</f>
        <v>1</v>
      </c>
      <c r="R127" s="71" t="b">
        <f>AND(Scenarios2[[#This Row],[PE]]&gt;=PEMin,Scenarios2[[#This Row],[PE]]&lt;=PEMax)</f>
        <v>1</v>
      </c>
      <c r="S127" s="71" t="b">
        <f>Scenarios2[[#This Row],[Liquid Assets]]&gt;=LiquidMin</f>
        <v>1</v>
      </c>
      <c r="T127" s="71" t="b">
        <f>AND(Scenarios2[[#This Row],[Expected Return]]&gt;=ExpectedReturnMin,Scenarios2[[#This Row],[Expected Return]]&lt;=ExpectedReturnMax)</f>
        <v>1</v>
      </c>
      <c r="U127" s="71" t="b">
        <f>Scenarios2[[#This Row],[Max Drawdown]]&gt;=DrawdownMax</f>
        <v>1</v>
      </c>
      <c r="V12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27" s="46">
        <f>_xlfn.XLOOKUP(Scenarios2[[#This Row],[Reference '#]],ScenariosCombined[Reference '#],ScenariosCombined[Sharpe Rank])</f>
        <v>33</v>
      </c>
      <c r="X127" s="44">
        <f>IF(Scenarios2[[#This Row],[Eligible]],COUNTIFS(Scenarios2[Sharpe],"&gt;"&amp;Scenarios2[[#This Row],[Sharpe]],Scenarios2[Eligible],TRUE())+COUNTIFS(Scenarios2[Sharpe],Scenarios2[[#This Row],[Sharpe]],Scenarios2[Eligible],TRUE()),"")</f>
        <v>35</v>
      </c>
      <c r="Y12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25/25/20/10/20</v>
      </c>
      <c r="Z127">
        <f>_xlfn.XLOOKUP(Scenarios2[[#This Row],[Reference '#]],Scenarios1[Reference '#],Scenarios1[Sharpe Rank])</f>
        <v>40</v>
      </c>
      <c r="AA127">
        <f>Scenarios2[[#This Row],[Sharpe Rank]]</f>
        <v>35</v>
      </c>
      <c r="AB127">
        <f>_xlfn.XLOOKUP(Scenarios2[[#This Row],[Reference '#]],Scenarios3[Reference '#],Scenarios3[Sharpe Rank])</f>
        <v>17</v>
      </c>
      <c r="AC127"/>
      <c r="AD127"/>
      <c r="AE127"/>
      <c r="AF127" s="34"/>
      <c r="AG127" s="34"/>
    </row>
    <row r="128" spans="2:33" s="15" customFormat="1" x14ac:dyDescent="0.2">
      <c r="B128" s="44">
        <v>118</v>
      </c>
      <c r="C128" s="68">
        <v>0.25</v>
      </c>
      <c r="D128" s="69">
        <v>0.25</v>
      </c>
      <c r="E128" s="69">
        <v>0.15</v>
      </c>
      <c r="F128" s="69">
        <v>0.25</v>
      </c>
      <c r="G128" s="69">
        <v>0.1</v>
      </c>
      <c r="H128" s="69">
        <f>SUMPRODUCT(Scenarios2[[#This Row],[SPY]:[PE]],_xlfn.TOROW(AssetSpecsScenario2[Annualized Return]))</f>
        <v>7.8043013607688005E-2</v>
      </c>
      <c r="I128" s="69" cm="1">
        <f t="array" ref="I128">SQRT(MMULT(MMULT(Scenarios2[[#This Row],[SPY]:[PE]], 'Corr_Cov 36- Month'!$J$13:$N$17), TRANSPOSE(Scenarios2[[#This Row],[SPY]:[PE]])))</f>
        <v>8.8009184163765894E-2</v>
      </c>
      <c r="J128" s="70">
        <f>(Scenarios2[[#This Row],[Expected Return]]-RiskFree)/Scenarios2[[#This Row],[36M Vol]]</f>
        <v>0.35266158125473035</v>
      </c>
      <c r="K128" s="69" cm="1">
        <f t="array" ref="K128">MIN(_xlfn._xlws.FILTER(PortfolioFrontier[#Data],(PortfolioFrontier[#Headers]="P"&amp;Scenarios2[[#This Row],[Reference '#]]&amp;" DD")))</f>
        <v>-0.184368359214654</v>
      </c>
      <c r="L128" s="69">
        <f>SUM(Scenarios2[[#This Row],[SPY]:[VNQ]])</f>
        <v>0.9</v>
      </c>
      <c r="M128" s="69">
        <f>SUM(Scenarios2[[#This Row],[SPY]:[PE]])</f>
        <v>1</v>
      </c>
      <c r="N128" s="71" t="b">
        <f>Scenarios2[[#This Row],[SPY]]&gt;=SpyMin</f>
        <v>1</v>
      </c>
      <c r="O128" s="71" t="b">
        <f>Scenarios2[[#This Row],[AGG]]&gt;=AGGMin</f>
        <v>1</v>
      </c>
      <c r="P128" s="71" t="b">
        <f>AND(Scenarios2[[#This Row],[GLD]]&gt;=GLDMin,Scenarios2[[#This Row],[GLD]]&lt;=GLDMax)</f>
        <v>1</v>
      </c>
      <c r="Q128" s="71" t="b">
        <f>Scenarios2[[#This Row],[VNQ]]&gt;=VNQMin</f>
        <v>1</v>
      </c>
      <c r="R128" s="71" t="b">
        <f>AND(Scenarios2[[#This Row],[PE]]&gt;=PEMin,Scenarios2[[#This Row],[PE]]&lt;=PEMax)</f>
        <v>1</v>
      </c>
      <c r="S128" s="71" t="b">
        <f>Scenarios2[[#This Row],[Liquid Assets]]&gt;=LiquidMin</f>
        <v>1</v>
      </c>
      <c r="T128" s="71" t="b">
        <f>AND(Scenarios2[[#This Row],[Expected Return]]&gt;=ExpectedReturnMin,Scenarios2[[#This Row],[Expected Return]]&lt;=ExpectedReturnMax)</f>
        <v>1</v>
      </c>
      <c r="U128" s="71" t="b">
        <f>Scenarios2[[#This Row],[Max Drawdown]]&gt;=DrawdownMax</f>
        <v>1</v>
      </c>
      <c r="V12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28" s="46">
        <f>_xlfn.XLOOKUP(Scenarios2[[#This Row],[Reference '#]],ScenariosCombined[Reference '#],ScenariosCombined[Sharpe Rank])</f>
        <v>107</v>
      </c>
      <c r="X128" s="44">
        <f>IF(Scenarios2[[#This Row],[Eligible]],COUNTIFS(Scenarios2[Sharpe],"&gt;"&amp;Scenarios2[[#This Row],[Sharpe]],Scenarios2[Eligible],TRUE())+COUNTIFS(Scenarios2[Sharpe],Scenarios2[[#This Row],[Sharpe]],Scenarios2[Eligible],TRUE()),"")</f>
        <v>103</v>
      </c>
      <c r="Y12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25/25/15/25/10</v>
      </c>
      <c r="Z128">
        <f>_xlfn.XLOOKUP(Scenarios2[[#This Row],[Reference '#]],Scenarios1[Reference '#],Scenarios1[Sharpe Rank])</f>
        <v>104</v>
      </c>
      <c r="AA128">
        <f>Scenarios2[[#This Row],[Sharpe Rank]]</f>
        <v>103</v>
      </c>
      <c r="AB128">
        <f>_xlfn.XLOOKUP(Scenarios2[[#This Row],[Reference '#]],Scenarios3[Reference '#],Scenarios3[Sharpe Rank])</f>
        <v>103</v>
      </c>
      <c r="AC128"/>
      <c r="AD128"/>
      <c r="AE128"/>
      <c r="AF128" s="34"/>
      <c r="AG128" s="34"/>
    </row>
    <row r="129" spans="2:37" s="15" customFormat="1" x14ac:dyDescent="0.2">
      <c r="B129" s="44">
        <v>119</v>
      </c>
      <c r="C129" s="68">
        <v>0.25</v>
      </c>
      <c r="D129" s="69">
        <v>0.25</v>
      </c>
      <c r="E129" s="69">
        <v>0.15</v>
      </c>
      <c r="F129" s="69">
        <v>0.2</v>
      </c>
      <c r="G129" s="69">
        <v>0.15</v>
      </c>
      <c r="H129" s="69">
        <f>SUMPRODUCT(Scenarios2[[#This Row],[SPY]:[PE]],_xlfn.TOROW(AssetSpecsScenario2[Annualized Return]))</f>
        <v>7.8179720126634489E-2</v>
      </c>
      <c r="I129" s="69" cm="1">
        <f t="array" ref="I129">SQRT(MMULT(MMULT(Scenarios2[[#This Row],[SPY]:[PE]], 'Corr_Cov 36- Month'!$J$13:$N$17), TRANSPOSE(Scenarios2[[#This Row],[SPY]:[PE]])))</f>
        <v>8.0066740946730747E-2</v>
      </c>
      <c r="J129" s="70">
        <f>(Scenarios2[[#This Row],[Expected Return]]-RiskFree)/Scenarios2[[#This Row],[36M Vol]]</f>
        <v>0.38935223542843389</v>
      </c>
      <c r="K129" s="69" cm="1">
        <f t="array" ref="K129">MIN(_xlfn._xlws.FILTER(PortfolioFrontier[#Data],(PortfolioFrontier[#Headers]="P"&amp;Scenarios2[[#This Row],[Reference '#]]&amp;" DD")))</f>
        <v>-0.16995388779893417</v>
      </c>
      <c r="L129" s="69">
        <f>SUM(Scenarios2[[#This Row],[SPY]:[VNQ]])</f>
        <v>0.85000000000000009</v>
      </c>
      <c r="M129" s="69">
        <f>SUM(Scenarios2[[#This Row],[SPY]:[PE]])</f>
        <v>1</v>
      </c>
      <c r="N129" s="71" t="b">
        <f>Scenarios2[[#This Row],[SPY]]&gt;=SpyMin</f>
        <v>1</v>
      </c>
      <c r="O129" s="71" t="b">
        <f>Scenarios2[[#This Row],[AGG]]&gt;=AGGMin</f>
        <v>1</v>
      </c>
      <c r="P129" s="71" t="b">
        <f>AND(Scenarios2[[#This Row],[GLD]]&gt;=GLDMin,Scenarios2[[#This Row],[GLD]]&lt;=GLDMax)</f>
        <v>1</v>
      </c>
      <c r="Q129" s="71" t="b">
        <f>Scenarios2[[#This Row],[VNQ]]&gt;=VNQMin</f>
        <v>1</v>
      </c>
      <c r="R129" s="71" t="b">
        <f>AND(Scenarios2[[#This Row],[PE]]&gt;=PEMin,Scenarios2[[#This Row],[PE]]&lt;=PEMax)</f>
        <v>1</v>
      </c>
      <c r="S129" s="71" t="b">
        <f>Scenarios2[[#This Row],[Liquid Assets]]&gt;=LiquidMin</f>
        <v>1</v>
      </c>
      <c r="T129" s="71" t="b">
        <f>AND(Scenarios2[[#This Row],[Expected Return]]&gt;=ExpectedReturnMin,Scenarios2[[#This Row],[Expected Return]]&lt;=ExpectedReturnMax)</f>
        <v>1</v>
      </c>
      <c r="U129" s="71" t="b">
        <f>Scenarios2[[#This Row],[Max Drawdown]]&gt;=DrawdownMax</f>
        <v>1</v>
      </c>
      <c r="V12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29" s="46">
        <f>_xlfn.XLOOKUP(Scenarios2[[#This Row],[Reference '#]],ScenariosCombined[Reference '#],ScenariosCombined[Sharpe Rank])</f>
        <v>94</v>
      </c>
      <c r="X129" s="44">
        <f>IF(Scenarios2[[#This Row],[Eligible]],COUNTIFS(Scenarios2[Sharpe],"&gt;"&amp;Scenarios2[[#This Row],[Sharpe]],Scenarios2[Eligible],TRUE())+COUNTIFS(Scenarios2[Sharpe],Scenarios2[[#This Row],[Sharpe]],Scenarios2[Eligible],TRUE()),"")</f>
        <v>94</v>
      </c>
      <c r="Y12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25/25/15/20/15</v>
      </c>
      <c r="Z129">
        <f>_xlfn.XLOOKUP(Scenarios2[[#This Row],[Reference '#]],Scenarios1[Reference '#],Scenarios1[Sharpe Rank])</f>
        <v>95</v>
      </c>
      <c r="AA129">
        <f>Scenarios2[[#This Row],[Sharpe Rank]]</f>
        <v>94</v>
      </c>
      <c r="AB129">
        <f>_xlfn.XLOOKUP(Scenarios2[[#This Row],[Reference '#]],Scenarios3[Reference '#],Scenarios3[Sharpe Rank])</f>
        <v>83</v>
      </c>
      <c r="AC129"/>
      <c r="AD129"/>
      <c r="AE129"/>
      <c r="AF129"/>
      <c r="AG129"/>
    </row>
    <row r="130" spans="2:37" s="15" customFormat="1" x14ac:dyDescent="0.2">
      <c r="B130" s="44">
        <v>120</v>
      </c>
      <c r="C130" s="68">
        <v>0.25</v>
      </c>
      <c r="D130" s="69">
        <v>0.25</v>
      </c>
      <c r="E130" s="69">
        <v>0.15</v>
      </c>
      <c r="F130" s="69">
        <v>0.15</v>
      </c>
      <c r="G130" s="69">
        <v>0.2</v>
      </c>
      <c r="H130" s="69">
        <f>SUMPRODUCT(Scenarios2[[#This Row],[SPY]:[PE]],_xlfn.TOROW(AssetSpecsScenario2[Annualized Return]))</f>
        <v>7.8316426645581E-2</v>
      </c>
      <c r="I130" s="69" cm="1">
        <f t="array" ref="I130">SQRT(MMULT(MMULT(Scenarios2[[#This Row],[SPY]:[PE]], 'Corr_Cov 36- Month'!$J$13:$N$17), TRANSPOSE(Scenarios2[[#This Row],[SPY]:[PE]])))</f>
        <v>7.2524847161523895E-2</v>
      </c>
      <c r="J130" s="70">
        <f>(Scenarios2[[#This Row],[Expected Return]]-RiskFree)/Scenarios2[[#This Row],[36M Vol]]</f>
        <v>0.43172612305257763</v>
      </c>
      <c r="K130" s="69" cm="1">
        <f t="array" ref="K130">MIN(_xlfn._xlws.FILTER(PortfolioFrontier[#Data],(PortfolioFrontier[#Headers]="P"&amp;Scenarios2[[#This Row],[Reference '#]]&amp;" DD")))</f>
        <v>-0.15542454310291398</v>
      </c>
      <c r="L130" s="69">
        <f>SUM(Scenarios2[[#This Row],[SPY]:[VNQ]])</f>
        <v>0.8</v>
      </c>
      <c r="M130" s="69">
        <f>SUM(Scenarios2[[#This Row],[SPY]:[PE]])</f>
        <v>1</v>
      </c>
      <c r="N130" s="71" t="b">
        <f>Scenarios2[[#This Row],[SPY]]&gt;=SpyMin</f>
        <v>1</v>
      </c>
      <c r="O130" s="71" t="b">
        <f>Scenarios2[[#This Row],[AGG]]&gt;=AGGMin</f>
        <v>1</v>
      </c>
      <c r="P130" s="71" t="b">
        <f>AND(Scenarios2[[#This Row],[GLD]]&gt;=GLDMin,Scenarios2[[#This Row],[GLD]]&lt;=GLDMax)</f>
        <v>1</v>
      </c>
      <c r="Q130" s="71" t="b">
        <f>Scenarios2[[#This Row],[VNQ]]&gt;=VNQMin</f>
        <v>1</v>
      </c>
      <c r="R130" s="71" t="b">
        <f>AND(Scenarios2[[#This Row],[PE]]&gt;=PEMin,Scenarios2[[#This Row],[PE]]&lt;=PEMax)</f>
        <v>1</v>
      </c>
      <c r="S130" s="71" t="b">
        <f>Scenarios2[[#This Row],[Liquid Assets]]&gt;=LiquidMin</f>
        <v>1</v>
      </c>
      <c r="T130" s="71" t="b">
        <f>AND(Scenarios2[[#This Row],[Expected Return]]&gt;=ExpectedReturnMin,Scenarios2[[#This Row],[Expected Return]]&lt;=ExpectedReturnMax)</f>
        <v>1</v>
      </c>
      <c r="U130" s="71" t="b">
        <f>Scenarios2[[#This Row],[Max Drawdown]]&gt;=DrawdownMax</f>
        <v>1</v>
      </c>
      <c r="V13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30" s="46">
        <f>_xlfn.XLOOKUP(Scenarios2[[#This Row],[Reference '#]],ScenariosCombined[Reference '#],ScenariosCombined[Sharpe Rank])</f>
        <v>69</v>
      </c>
      <c r="X130" s="44">
        <f>IF(Scenarios2[[#This Row],[Eligible]],COUNTIFS(Scenarios2[Sharpe],"&gt;"&amp;Scenarios2[[#This Row],[Sharpe]],Scenarios2[Eligible],TRUE())+COUNTIFS(Scenarios2[Sharpe],Scenarios2[[#This Row],[Sharpe]],Scenarios2[Eligible],TRUE()),"")</f>
        <v>74</v>
      </c>
      <c r="Y13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25/25/15/15/20</v>
      </c>
      <c r="Z130">
        <f>_xlfn.XLOOKUP(Scenarios2[[#This Row],[Reference '#]],Scenarios1[Reference '#],Scenarios1[Sharpe Rank])</f>
        <v>79</v>
      </c>
      <c r="AA130">
        <f>Scenarios2[[#This Row],[Sharpe Rank]]</f>
        <v>74</v>
      </c>
      <c r="AB130">
        <f>_xlfn.XLOOKUP(Scenarios2[[#This Row],[Reference '#]],Scenarios3[Reference '#],Scenarios3[Sharpe Rank])</f>
        <v>56</v>
      </c>
      <c r="AC130"/>
      <c r="AD130"/>
      <c r="AE130"/>
      <c r="AF130"/>
      <c r="AG130"/>
    </row>
    <row r="131" spans="2:37" s="15" customFormat="1" x14ac:dyDescent="0.2">
      <c r="B131" s="44">
        <v>121</v>
      </c>
      <c r="C131" s="68">
        <v>0.25</v>
      </c>
      <c r="D131" s="69">
        <v>0.25</v>
      </c>
      <c r="E131" s="69">
        <v>0.1</v>
      </c>
      <c r="F131" s="69">
        <v>0.3</v>
      </c>
      <c r="G131" s="69">
        <v>0.1</v>
      </c>
      <c r="H131" s="69">
        <f>SUMPRODUCT(Scenarios2[[#This Row],[SPY]:[PE]],_xlfn.TOROW(AssetSpecsScenario2[Annualized Return]))</f>
        <v>7.4051294706611981E-2</v>
      </c>
      <c r="I131" s="69" cm="1">
        <f t="array" ref="I131">SQRT(MMULT(MMULT(Scenarios2[[#This Row],[SPY]:[PE]], 'Corr_Cov 36- Month'!$J$13:$N$17), TRANSPOSE(Scenarios2[[#This Row],[SPY]:[PE]])))</f>
        <v>9.389218580066401E-2</v>
      </c>
      <c r="J131" s="70">
        <f>(Scenarios2[[#This Row],[Expected Return]]-RiskFree)/Scenarios2[[#This Row],[36M Vol]]</f>
        <v>0.28805101213082168</v>
      </c>
      <c r="K131" s="69" cm="1">
        <f t="array" ref="K131">MIN(_xlfn._xlws.FILTER(PortfolioFrontier[#Data],(PortfolioFrontier[#Headers]="P"&amp;Scenarios2[[#This Row],[Reference '#]]&amp;" DD")))</f>
        <v>-0.19449665540918404</v>
      </c>
      <c r="L131" s="69">
        <f>SUM(Scenarios2[[#This Row],[SPY]:[VNQ]])</f>
        <v>0.89999999999999991</v>
      </c>
      <c r="M131" s="69">
        <f>SUM(Scenarios2[[#This Row],[SPY]:[PE]])</f>
        <v>0.99999999999999989</v>
      </c>
      <c r="N131" s="71" t="b">
        <f>Scenarios2[[#This Row],[SPY]]&gt;=SpyMin</f>
        <v>1</v>
      </c>
      <c r="O131" s="71" t="b">
        <f>Scenarios2[[#This Row],[AGG]]&gt;=AGGMin</f>
        <v>1</v>
      </c>
      <c r="P131" s="71" t="b">
        <f>AND(Scenarios2[[#This Row],[GLD]]&gt;=GLDMin,Scenarios2[[#This Row],[GLD]]&lt;=GLDMax)</f>
        <v>1</v>
      </c>
      <c r="Q131" s="71" t="b">
        <f>Scenarios2[[#This Row],[VNQ]]&gt;=VNQMin</f>
        <v>1</v>
      </c>
      <c r="R131" s="71" t="b">
        <f>AND(Scenarios2[[#This Row],[PE]]&gt;=PEMin,Scenarios2[[#This Row],[PE]]&lt;=PEMax)</f>
        <v>1</v>
      </c>
      <c r="S131" s="71" t="b">
        <f>Scenarios2[[#This Row],[Liquid Assets]]&gt;=LiquidMin</f>
        <v>1</v>
      </c>
      <c r="T131" s="71" t="b">
        <f>AND(Scenarios2[[#This Row],[Expected Return]]&gt;=ExpectedReturnMin,Scenarios2[[#This Row],[Expected Return]]&lt;=ExpectedReturnMax)</f>
        <v>0</v>
      </c>
      <c r="U131" s="71" t="b">
        <f>Scenarios2[[#This Row],[Max Drawdown]]&gt;=DrawdownMax</f>
        <v>1</v>
      </c>
      <c r="V13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31" s="46" t="str">
        <f>_xlfn.XLOOKUP(Scenarios2[[#This Row],[Reference '#]],ScenariosCombined[Reference '#],ScenariosCombined[Sharpe Rank])</f>
        <v/>
      </c>
      <c r="X131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3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25/25/10/30/10</v>
      </c>
      <c r="Z131" t="str">
        <f>_xlfn.XLOOKUP(Scenarios2[[#This Row],[Reference '#]],Scenarios1[Reference '#],Scenarios1[Sharpe Rank])</f>
        <v/>
      </c>
      <c r="AA131" t="str">
        <f>Scenarios2[[#This Row],[Sharpe Rank]]</f>
        <v/>
      </c>
      <c r="AB131">
        <f>_xlfn.XLOOKUP(Scenarios2[[#This Row],[Reference '#]],Scenarios3[Reference '#],Scenarios3[Sharpe Rank])</f>
        <v>113</v>
      </c>
      <c r="AC131"/>
      <c r="AD131"/>
      <c r="AE131"/>
      <c r="AF131"/>
      <c r="AG131"/>
    </row>
    <row r="132" spans="2:37" s="15" customFormat="1" x14ac:dyDescent="0.2">
      <c r="B132" s="44">
        <v>122</v>
      </c>
      <c r="C132" s="68">
        <v>0.25</v>
      </c>
      <c r="D132" s="69">
        <v>0.25</v>
      </c>
      <c r="E132" s="69">
        <v>0.1</v>
      </c>
      <c r="F132" s="69">
        <v>0.25</v>
      </c>
      <c r="G132" s="69">
        <v>0.15</v>
      </c>
      <c r="H132" s="69">
        <f>SUMPRODUCT(Scenarios2[[#This Row],[SPY]:[PE]],_xlfn.TOROW(AssetSpecsScenario2[Annualized Return]))</f>
        <v>7.4188001225558464E-2</v>
      </c>
      <c r="I132" s="69" cm="1">
        <f t="array" ref="I132">SQRT(MMULT(MMULT(Scenarios2[[#This Row],[SPY]:[PE]], 'Corr_Cov 36- Month'!$J$13:$N$17), TRANSPOSE(Scenarios2[[#This Row],[SPY]:[PE]])))</f>
        <v>8.573351327486739E-2</v>
      </c>
      <c r="J132" s="70">
        <f>(Scenarios2[[#This Row],[Expected Return]]-RiskFree)/Scenarios2[[#This Row],[36M Vol]]</f>
        <v>0.31705741001018084</v>
      </c>
      <c r="K132" s="69" cm="1">
        <f t="array" ref="K132">MIN(_xlfn._xlws.FILTER(PortfolioFrontier[#Data],(PortfolioFrontier[#Headers]="P"&amp;Scenarios2[[#This Row],[Reference '#]]&amp;" DD")))</f>
        <v>-0.18015492357456253</v>
      </c>
      <c r="L132" s="69">
        <f>SUM(Scenarios2[[#This Row],[SPY]:[VNQ]])</f>
        <v>0.85</v>
      </c>
      <c r="M132" s="69">
        <f>SUM(Scenarios2[[#This Row],[SPY]:[PE]])</f>
        <v>1</v>
      </c>
      <c r="N132" s="71" t="b">
        <f>Scenarios2[[#This Row],[SPY]]&gt;=SpyMin</f>
        <v>1</v>
      </c>
      <c r="O132" s="71" t="b">
        <f>Scenarios2[[#This Row],[AGG]]&gt;=AGGMin</f>
        <v>1</v>
      </c>
      <c r="P132" s="71" t="b">
        <f>AND(Scenarios2[[#This Row],[GLD]]&gt;=GLDMin,Scenarios2[[#This Row],[GLD]]&lt;=GLDMax)</f>
        <v>1</v>
      </c>
      <c r="Q132" s="71" t="b">
        <f>Scenarios2[[#This Row],[VNQ]]&gt;=VNQMin</f>
        <v>1</v>
      </c>
      <c r="R132" s="71" t="b">
        <f>AND(Scenarios2[[#This Row],[PE]]&gt;=PEMin,Scenarios2[[#This Row],[PE]]&lt;=PEMax)</f>
        <v>1</v>
      </c>
      <c r="S132" s="71" t="b">
        <f>Scenarios2[[#This Row],[Liquid Assets]]&gt;=LiquidMin</f>
        <v>1</v>
      </c>
      <c r="T132" s="71" t="b">
        <f>AND(Scenarios2[[#This Row],[Expected Return]]&gt;=ExpectedReturnMin,Scenarios2[[#This Row],[Expected Return]]&lt;=ExpectedReturnMax)</f>
        <v>0</v>
      </c>
      <c r="U132" s="71" t="b">
        <f>Scenarios2[[#This Row],[Max Drawdown]]&gt;=DrawdownMax</f>
        <v>1</v>
      </c>
      <c r="V13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32" s="46">
        <f>_xlfn.XLOOKUP(Scenarios2[[#This Row],[Reference '#]],ScenariosCombined[Reference '#],ScenariosCombined[Sharpe Rank])</f>
        <v>112</v>
      </c>
      <c r="X132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3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25/25/10/25/15</v>
      </c>
      <c r="Z132" t="str">
        <f>_xlfn.XLOOKUP(Scenarios2[[#This Row],[Reference '#]],Scenarios1[Reference '#],Scenarios1[Sharpe Rank])</f>
        <v/>
      </c>
      <c r="AA132" t="str">
        <f>Scenarios2[[#This Row],[Sharpe Rank]]</f>
        <v/>
      </c>
      <c r="AB132">
        <f>_xlfn.XLOOKUP(Scenarios2[[#This Row],[Reference '#]],Scenarios3[Reference '#],Scenarios3[Sharpe Rank])</f>
        <v>109</v>
      </c>
      <c r="AC132"/>
      <c r="AD132"/>
      <c r="AE132"/>
      <c r="AF132"/>
      <c r="AG132"/>
    </row>
    <row r="133" spans="2:37" s="15" customFormat="1" x14ac:dyDescent="0.2">
      <c r="B133" s="44">
        <v>123</v>
      </c>
      <c r="C133" s="68">
        <v>0.25</v>
      </c>
      <c r="D133" s="69">
        <v>0.25</v>
      </c>
      <c r="E133" s="69">
        <v>0.1</v>
      </c>
      <c r="F133" s="69">
        <v>0.2</v>
      </c>
      <c r="G133" s="69">
        <v>0.2</v>
      </c>
      <c r="H133" s="69">
        <f>SUMPRODUCT(Scenarios2[[#This Row],[SPY]:[PE]],_xlfn.TOROW(AssetSpecsScenario2[Annualized Return]))</f>
        <v>7.4324707744504975E-2</v>
      </c>
      <c r="I133" s="69" cm="1">
        <f t="array" ref="I133">SQRT(MMULT(MMULT(Scenarios2[[#This Row],[SPY]:[PE]], 'Corr_Cov 36- Month'!$J$13:$N$17), TRANSPOSE(Scenarios2[[#This Row],[SPY]:[PE]])))</f>
        <v>7.7902708449639882E-2</v>
      </c>
      <c r="J133" s="70">
        <f>(Scenarios2[[#This Row],[Expected Return]]-RiskFree)/Scenarios2[[#This Row],[36M Vol]]</f>
        <v>0.35068295740461786</v>
      </c>
      <c r="K133" s="69" cm="1">
        <f t="array" ref="K133">MIN(_xlfn._xlws.FILTER(PortfolioFrontier[#Data],(PortfolioFrontier[#Headers]="P"&amp;Scenarios2[[#This Row],[Reference '#]]&amp;" DD")))</f>
        <v>-0.16569663106198762</v>
      </c>
      <c r="L133" s="69">
        <f>SUM(Scenarios2[[#This Row],[SPY]:[VNQ]])</f>
        <v>0.8</v>
      </c>
      <c r="M133" s="69">
        <f>SUM(Scenarios2[[#This Row],[SPY]:[PE]])</f>
        <v>1</v>
      </c>
      <c r="N133" s="71" t="b">
        <f>Scenarios2[[#This Row],[SPY]]&gt;=SpyMin</f>
        <v>1</v>
      </c>
      <c r="O133" s="71" t="b">
        <f>Scenarios2[[#This Row],[AGG]]&gt;=AGGMin</f>
        <v>1</v>
      </c>
      <c r="P133" s="71" t="b">
        <f>AND(Scenarios2[[#This Row],[GLD]]&gt;=GLDMin,Scenarios2[[#This Row],[GLD]]&lt;=GLDMax)</f>
        <v>1</v>
      </c>
      <c r="Q133" s="71" t="b">
        <f>Scenarios2[[#This Row],[VNQ]]&gt;=VNQMin</f>
        <v>1</v>
      </c>
      <c r="R133" s="71" t="b">
        <f>AND(Scenarios2[[#This Row],[PE]]&gt;=PEMin,Scenarios2[[#This Row],[PE]]&lt;=PEMax)</f>
        <v>1</v>
      </c>
      <c r="S133" s="71" t="b">
        <f>Scenarios2[[#This Row],[Liquid Assets]]&gt;=LiquidMin</f>
        <v>1</v>
      </c>
      <c r="T133" s="71" t="b">
        <f>AND(Scenarios2[[#This Row],[Expected Return]]&gt;=ExpectedReturnMin,Scenarios2[[#This Row],[Expected Return]]&lt;=ExpectedReturnMax)</f>
        <v>0</v>
      </c>
      <c r="U133" s="71" t="b">
        <f>Scenarios2[[#This Row],[Max Drawdown]]&gt;=DrawdownMax</f>
        <v>1</v>
      </c>
      <c r="V13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33" s="46">
        <f>_xlfn.XLOOKUP(Scenarios2[[#This Row],[Reference '#]],ScenariosCombined[Reference '#],ScenariosCombined[Sharpe Rank])</f>
        <v>101</v>
      </c>
      <c r="X133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3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25/25/10/20/20</v>
      </c>
      <c r="Z133" t="str">
        <f>_xlfn.XLOOKUP(Scenarios2[[#This Row],[Reference '#]],Scenarios1[Reference '#],Scenarios1[Sharpe Rank])</f>
        <v/>
      </c>
      <c r="AA133" t="str">
        <f>Scenarios2[[#This Row],[Sharpe Rank]]</f>
        <v/>
      </c>
      <c r="AB133">
        <f>_xlfn.XLOOKUP(Scenarios2[[#This Row],[Reference '#]],Scenarios3[Reference '#],Scenarios3[Sharpe Rank])</f>
        <v>92</v>
      </c>
      <c r="AC133"/>
      <c r="AD133"/>
      <c r="AE133"/>
      <c r="AF133"/>
      <c r="AG133"/>
    </row>
    <row r="134" spans="2:37" s="15" customFormat="1" x14ac:dyDescent="0.2">
      <c r="B134" s="44">
        <v>124</v>
      </c>
      <c r="C134" s="68">
        <v>0.25</v>
      </c>
      <c r="D134" s="69">
        <v>0.2</v>
      </c>
      <c r="E134" s="69">
        <v>0.2</v>
      </c>
      <c r="F134" s="69">
        <v>0.25</v>
      </c>
      <c r="G134" s="69">
        <v>0.1</v>
      </c>
      <c r="H134" s="69">
        <f>SUMPRODUCT(Scenarios2[[#This Row],[SPY]:[PE]],_xlfn.TOROW(AssetSpecsScenario2[Annualized Return]))</f>
        <v>8.361847185492749E-2</v>
      </c>
      <c r="I134" s="69" cm="1">
        <f t="array" ref="I134">SQRT(MMULT(MMULT(Scenarios2[[#This Row],[SPY]:[PE]], 'Corr_Cov 36- Month'!$J$13:$N$17), TRANSPOSE(Scenarios2[[#This Row],[SPY]:[PE]])))</f>
        <v>8.8221131984307727E-2</v>
      </c>
      <c r="J134" s="70">
        <f>(Scenarios2[[#This Row],[Expected Return]]-RiskFree)/Scenarios2[[#This Row],[36M Vol]]</f>
        <v>0.415012996045941</v>
      </c>
      <c r="K134" s="69" cm="1">
        <f t="array" ref="K134">MIN(_xlfn._xlws.FILTER(PortfolioFrontier[#Data],(PortfolioFrontier[#Headers]="P"&amp;Scenarios2[[#This Row],[Reference '#]]&amp;" DD")))</f>
        <v>-0.18195764054702612</v>
      </c>
      <c r="L134" s="69">
        <f>SUM(Scenarios2[[#This Row],[SPY]:[VNQ]])</f>
        <v>0.9</v>
      </c>
      <c r="M134" s="69">
        <f>SUM(Scenarios2[[#This Row],[SPY]:[PE]])</f>
        <v>1</v>
      </c>
      <c r="N134" s="71" t="b">
        <f>Scenarios2[[#This Row],[SPY]]&gt;=SpyMin</f>
        <v>1</v>
      </c>
      <c r="O134" s="71" t="b">
        <f>Scenarios2[[#This Row],[AGG]]&gt;=AGGMin</f>
        <v>1</v>
      </c>
      <c r="P134" s="71" t="b">
        <f>AND(Scenarios2[[#This Row],[GLD]]&gt;=GLDMin,Scenarios2[[#This Row],[GLD]]&lt;=GLDMax)</f>
        <v>1</v>
      </c>
      <c r="Q134" s="71" t="b">
        <f>Scenarios2[[#This Row],[VNQ]]&gt;=VNQMin</f>
        <v>1</v>
      </c>
      <c r="R134" s="71" t="b">
        <f>AND(Scenarios2[[#This Row],[PE]]&gt;=PEMin,Scenarios2[[#This Row],[PE]]&lt;=PEMax)</f>
        <v>1</v>
      </c>
      <c r="S134" s="71" t="b">
        <f>Scenarios2[[#This Row],[Liquid Assets]]&gt;=LiquidMin</f>
        <v>1</v>
      </c>
      <c r="T134" s="71" t="b">
        <f>AND(Scenarios2[[#This Row],[Expected Return]]&gt;=ExpectedReturnMin,Scenarios2[[#This Row],[Expected Return]]&lt;=ExpectedReturnMax)</f>
        <v>1</v>
      </c>
      <c r="U134" s="71" t="b">
        <f>Scenarios2[[#This Row],[Max Drawdown]]&gt;=DrawdownMax</f>
        <v>1</v>
      </c>
      <c r="V13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34" s="46">
        <f>_xlfn.XLOOKUP(Scenarios2[[#This Row],[Reference '#]],ScenariosCombined[Reference '#],ScenariosCombined[Sharpe Rank])</f>
        <v>86</v>
      </c>
      <c r="X134" s="44">
        <f>IF(Scenarios2[[#This Row],[Eligible]],COUNTIFS(Scenarios2[Sharpe],"&gt;"&amp;Scenarios2[[#This Row],[Sharpe]],Scenarios2[Eligible],TRUE())+COUNTIFS(Scenarios2[Sharpe],Scenarios2[[#This Row],[Sharpe]],Scenarios2[Eligible],TRUE()),"")</f>
        <v>85</v>
      </c>
      <c r="Y13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25/20/20/25/10</v>
      </c>
      <c r="Z134">
        <f>_xlfn.XLOOKUP(Scenarios2[[#This Row],[Reference '#]],Scenarios1[Reference '#],Scenarios1[Sharpe Rank])</f>
        <v>86</v>
      </c>
      <c r="AA134">
        <f>Scenarios2[[#This Row],[Sharpe Rank]]</f>
        <v>85</v>
      </c>
      <c r="AB134">
        <f>_xlfn.XLOOKUP(Scenarios2[[#This Row],[Reference '#]],Scenarios3[Reference '#],Scenarios3[Sharpe Rank])</f>
        <v>81</v>
      </c>
      <c r="AC134"/>
      <c r="AD134"/>
      <c r="AE134"/>
      <c r="AF134"/>
      <c r="AG134"/>
    </row>
    <row r="135" spans="2:37" s="15" customFormat="1" x14ac:dyDescent="0.2">
      <c r="B135" s="44">
        <v>125</v>
      </c>
      <c r="C135" s="68">
        <v>0.25</v>
      </c>
      <c r="D135" s="69">
        <v>0.2</v>
      </c>
      <c r="E135" s="69">
        <v>0.2</v>
      </c>
      <c r="F135" s="69">
        <v>0.2</v>
      </c>
      <c r="G135" s="69">
        <v>0.15</v>
      </c>
      <c r="H135" s="69">
        <f>SUMPRODUCT(Scenarios2[[#This Row],[SPY]:[PE]],_xlfn.TOROW(AssetSpecsScenario2[Annualized Return]))</f>
        <v>8.3755178373873987E-2</v>
      </c>
      <c r="I135" s="69" cm="1">
        <f t="array" ref="I135">SQRT(MMULT(MMULT(Scenarios2[[#This Row],[SPY]:[PE]], 'Corr_Cov 36- Month'!$J$13:$N$17), TRANSPOSE(Scenarios2[[#This Row],[SPY]:[PE]])))</f>
        <v>8.0394552377853243E-2</v>
      </c>
      <c r="J135" s="70">
        <f>(Scenarios2[[#This Row],[Expected Return]]-RiskFree)/Scenarios2[[#This Row],[36M Vol]]</f>
        <v>0.45711583349075363</v>
      </c>
      <c r="K135" s="69" cm="1">
        <f t="array" ref="K135">MIN(_xlfn._xlws.FILTER(PortfolioFrontier[#Data],(PortfolioFrontier[#Headers]="P"&amp;Scenarios2[[#This Row],[Reference '#]]&amp;" DD")))</f>
        <v>-0.16751350913162655</v>
      </c>
      <c r="L135" s="69">
        <f>SUM(Scenarios2[[#This Row],[SPY]:[VNQ]])</f>
        <v>0.85000000000000009</v>
      </c>
      <c r="M135" s="69">
        <f>SUM(Scenarios2[[#This Row],[SPY]:[PE]])</f>
        <v>1</v>
      </c>
      <c r="N135" s="71" t="b">
        <f>Scenarios2[[#This Row],[SPY]]&gt;=SpyMin</f>
        <v>1</v>
      </c>
      <c r="O135" s="71" t="b">
        <f>Scenarios2[[#This Row],[AGG]]&gt;=AGGMin</f>
        <v>1</v>
      </c>
      <c r="P135" s="71" t="b">
        <f>AND(Scenarios2[[#This Row],[GLD]]&gt;=GLDMin,Scenarios2[[#This Row],[GLD]]&lt;=GLDMax)</f>
        <v>1</v>
      </c>
      <c r="Q135" s="71" t="b">
        <f>Scenarios2[[#This Row],[VNQ]]&gt;=VNQMin</f>
        <v>1</v>
      </c>
      <c r="R135" s="71" t="b">
        <f>AND(Scenarios2[[#This Row],[PE]]&gt;=PEMin,Scenarios2[[#This Row],[PE]]&lt;=PEMax)</f>
        <v>1</v>
      </c>
      <c r="S135" s="71" t="b">
        <f>Scenarios2[[#This Row],[Liquid Assets]]&gt;=LiquidMin</f>
        <v>1</v>
      </c>
      <c r="T135" s="71" t="b">
        <f>AND(Scenarios2[[#This Row],[Expected Return]]&gt;=ExpectedReturnMin,Scenarios2[[#This Row],[Expected Return]]&lt;=ExpectedReturnMax)</f>
        <v>1</v>
      </c>
      <c r="U135" s="71" t="b">
        <f>Scenarios2[[#This Row],[Max Drawdown]]&gt;=DrawdownMax</f>
        <v>1</v>
      </c>
      <c r="V13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35" s="46">
        <f>_xlfn.XLOOKUP(Scenarios2[[#This Row],[Reference '#]],ScenariosCombined[Reference '#],ScenariosCombined[Sharpe Rank])</f>
        <v>62</v>
      </c>
      <c r="X135" s="44">
        <f>IF(Scenarios2[[#This Row],[Eligible]],COUNTIFS(Scenarios2[Sharpe],"&gt;"&amp;Scenarios2[[#This Row],[Sharpe]],Scenarios2[Eligible],TRUE())+COUNTIFS(Scenarios2[Sharpe],Scenarios2[[#This Row],[Sharpe]],Scenarios2[Eligible],TRUE()),"")</f>
        <v>62</v>
      </c>
      <c r="Y13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25/20/20/20/15</v>
      </c>
      <c r="Z135">
        <f>_xlfn.XLOOKUP(Scenarios2[[#This Row],[Reference '#]],Scenarios1[Reference '#],Scenarios1[Sharpe Rank])</f>
        <v>64</v>
      </c>
      <c r="AA135">
        <f>Scenarios2[[#This Row],[Sharpe Rank]]</f>
        <v>62</v>
      </c>
      <c r="AB135">
        <f>_xlfn.XLOOKUP(Scenarios2[[#This Row],[Reference '#]],Scenarios3[Reference '#],Scenarios3[Sharpe Rank])</f>
        <v>55</v>
      </c>
      <c r="AC135"/>
      <c r="AD135"/>
      <c r="AE135"/>
      <c r="AF135"/>
      <c r="AG135"/>
    </row>
    <row r="136" spans="2:37" s="15" customFormat="1" x14ac:dyDescent="0.2">
      <c r="B136" s="44">
        <v>126</v>
      </c>
      <c r="C136" s="68">
        <v>0.25</v>
      </c>
      <c r="D136" s="69">
        <v>0.2</v>
      </c>
      <c r="E136" s="69">
        <v>0.2</v>
      </c>
      <c r="F136" s="69">
        <v>0.15</v>
      </c>
      <c r="G136" s="69">
        <v>0.2</v>
      </c>
      <c r="H136" s="69">
        <f>SUMPRODUCT(Scenarios2[[#This Row],[SPY]:[PE]],_xlfn.TOROW(AssetSpecsScenario2[Annualized Return]))</f>
        <v>8.3891884892820498E-2</v>
      </c>
      <c r="I136" s="69" cm="1">
        <f t="array" ref="I136">SQRT(MMULT(MMULT(Scenarios2[[#This Row],[SPY]:[PE]], 'Corr_Cov 36- Month'!$J$13:$N$17), TRANSPOSE(Scenarios2[[#This Row],[SPY]:[PE]])))</f>
        <v>7.2991122177908818E-2</v>
      </c>
      <c r="J136" s="70">
        <f>(Scenarios2[[#This Row],[Expected Return]]-RiskFree)/Scenarios2[[#This Row],[36M Vol]]</f>
        <v>0.50535364078056066</v>
      </c>
      <c r="K136" s="69" cm="1">
        <f t="array" ref="K136">MIN(_xlfn._xlws.FILTER(PortfolioFrontier[#Data],(PortfolioFrontier[#Headers]="P"&amp;Scenarios2[[#This Row],[Reference '#]]&amp;" DD")))</f>
        <v>-0.15295446198227591</v>
      </c>
      <c r="L136" s="69">
        <f>SUM(Scenarios2[[#This Row],[SPY]:[VNQ]])</f>
        <v>0.8</v>
      </c>
      <c r="M136" s="69">
        <f>SUM(Scenarios2[[#This Row],[SPY]:[PE]])</f>
        <v>1</v>
      </c>
      <c r="N136" s="71" t="b">
        <f>Scenarios2[[#This Row],[SPY]]&gt;=SpyMin</f>
        <v>1</v>
      </c>
      <c r="O136" s="71" t="b">
        <f>Scenarios2[[#This Row],[AGG]]&gt;=AGGMin</f>
        <v>1</v>
      </c>
      <c r="P136" s="71" t="b">
        <f>AND(Scenarios2[[#This Row],[GLD]]&gt;=GLDMin,Scenarios2[[#This Row],[GLD]]&lt;=GLDMax)</f>
        <v>1</v>
      </c>
      <c r="Q136" s="71" t="b">
        <f>Scenarios2[[#This Row],[VNQ]]&gt;=VNQMin</f>
        <v>1</v>
      </c>
      <c r="R136" s="71" t="b">
        <f>AND(Scenarios2[[#This Row],[PE]]&gt;=PEMin,Scenarios2[[#This Row],[PE]]&lt;=PEMax)</f>
        <v>1</v>
      </c>
      <c r="S136" s="71" t="b">
        <f>Scenarios2[[#This Row],[Liquid Assets]]&gt;=LiquidMin</f>
        <v>1</v>
      </c>
      <c r="T136" s="71" t="b">
        <f>AND(Scenarios2[[#This Row],[Expected Return]]&gt;=ExpectedReturnMin,Scenarios2[[#This Row],[Expected Return]]&lt;=ExpectedReturnMax)</f>
        <v>1</v>
      </c>
      <c r="U136" s="71" t="b">
        <f>Scenarios2[[#This Row],[Max Drawdown]]&gt;=DrawdownMax</f>
        <v>1</v>
      </c>
      <c r="V13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36" s="46">
        <f>_xlfn.XLOOKUP(Scenarios2[[#This Row],[Reference '#]],ScenariosCombined[Reference '#],ScenariosCombined[Sharpe Rank])</f>
        <v>39</v>
      </c>
      <c r="X136" s="44">
        <f>IF(Scenarios2[[#This Row],[Eligible]],COUNTIFS(Scenarios2[Sharpe],"&gt;"&amp;Scenarios2[[#This Row],[Sharpe]],Scenarios2[Eligible],TRUE())+COUNTIFS(Scenarios2[Sharpe],Scenarios2[[#This Row],[Sharpe]],Scenarios2[Eligible],TRUE()),"")</f>
        <v>42</v>
      </c>
      <c r="Y13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25/20/20/15/20</v>
      </c>
      <c r="Z136">
        <f>_xlfn.XLOOKUP(Scenarios2[[#This Row],[Reference '#]],Scenarios1[Reference '#],Scenarios1[Sharpe Rank])</f>
        <v>46</v>
      </c>
      <c r="AA136">
        <f>Scenarios2[[#This Row],[Sharpe Rank]]</f>
        <v>42</v>
      </c>
      <c r="AB136">
        <f>_xlfn.XLOOKUP(Scenarios2[[#This Row],[Reference '#]],Scenarios3[Reference '#],Scenarios3[Sharpe Rank])</f>
        <v>25</v>
      </c>
      <c r="AC136"/>
      <c r="AD136"/>
      <c r="AE136"/>
      <c r="AF136"/>
      <c r="AG136"/>
    </row>
    <row r="137" spans="2:37" s="15" customFormat="1" x14ac:dyDescent="0.2">
      <c r="B137" s="44">
        <v>127</v>
      </c>
      <c r="C137" s="68">
        <v>0.25</v>
      </c>
      <c r="D137" s="69">
        <v>0.2</v>
      </c>
      <c r="E137" s="69">
        <v>0.15</v>
      </c>
      <c r="F137" s="69">
        <v>0.3</v>
      </c>
      <c r="G137" s="69">
        <v>0.1</v>
      </c>
      <c r="H137" s="69">
        <f>SUMPRODUCT(Scenarios2[[#This Row],[SPY]:[PE]],_xlfn.TOROW(AssetSpecsScenario2[Annualized Return]))</f>
        <v>7.9626752953851465E-2</v>
      </c>
      <c r="I137" s="69" cm="1">
        <f t="array" ref="I137">SQRT(MMULT(MMULT(Scenarios2[[#This Row],[SPY]:[PE]], 'Corr_Cov 36- Month'!$J$13:$N$17), TRANSPOSE(Scenarios2[[#This Row],[SPY]:[PE]])))</f>
        <v>9.3554842778208525E-2</v>
      </c>
      <c r="J137" s="70">
        <f>(Scenarios2[[#This Row],[Expected Return]]-RiskFree)/Scenarios2[[#This Row],[36M Vol]]</f>
        <v>0.34868528907297014</v>
      </c>
      <c r="K137" s="69" cm="1">
        <f t="array" ref="K137">MIN(_xlfn._xlws.FILTER(PortfolioFrontier[#Data],(PortfolioFrontier[#Headers]="P"&amp;Scenarios2[[#This Row],[Reference '#]]&amp;" DD")))</f>
        <v>-0.19209090006663587</v>
      </c>
      <c r="L137" s="69">
        <f>SUM(Scenarios2[[#This Row],[SPY]:[VNQ]])</f>
        <v>0.89999999999999991</v>
      </c>
      <c r="M137" s="69">
        <f>SUM(Scenarios2[[#This Row],[SPY]:[PE]])</f>
        <v>0.99999999999999989</v>
      </c>
      <c r="N137" s="71" t="b">
        <f>Scenarios2[[#This Row],[SPY]]&gt;=SpyMin</f>
        <v>1</v>
      </c>
      <c r="O137" s="71" t="b">
        <f>Scenarios2[[#This Row],[AGG]]&gt;=AGGMin</f>
        <v>1</v>
      </c>
      <c r="P137" s="71" t="b">
        <f>AND(Scenarios2[[#This Row],[GLD]]&gt;=GLDMin,Scenarios2[[#This Row],[GLD]]&lt;=GLDMax)</f>
        <v>1</v>
      </c>
      <c r="Q137" s="71" t="b">
        <f>Scenarios2[[#This Row],[VNQ]]&gt;=VNQMin</f>
        <v>1</v>
      </c>
      <c r="R137" s="71" t="b">
        <f>AND(Scenarios2[[#This Row],[PE]]&gt;=PEMin,Scenarios2[[#This Row],[PE]]&lt;=PEMax)</f>
        <v>1</v>
      </c>
      <c r="S137" s="71" t="b">
        <f>Scenarios2[[#This Row],[Liquid Assets]]&gt;=LiquidMin</f>
        <v>1</v>
      </c>
      <c r="T137" s="71" t="b">
        <f>AND(Scenarios2[[#This Row],[Expected Return]]&gt;=ExpectedReturnMin,Scenarios2[[#This Row],[Expected Return]]&lt;=ExpectedReturnMax)</f>
        <v>1</v>
      </c>
      <c r="U137" s="71" t="b">
        <f>Scenarios2[[#This Row],[Max Drawdown]]&gt;=DrawdownMax</f>
        <v>1</v>
      </c>
      <c r="V13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37" s="46">
        <f>_xlfn.XLOOKUP(Scenarios2[[#This Row],[Reference '#]],ScenariosCombined[Reference '#],ScenariosCombined[Sharpe Rank])</f>
        <v>110</v>
      </c>
      <c r="X137" s="44">
        <f>IF(Scenarios2[[#This Row],[Eligible]],COUNTIFS(Scenarios2[Sharpe],"&gt;"&amp;Scenarios2[[#This Row],[Sharpe]],Scenarios2[Eligible],TRUE())+COUNTIFS(Scenarios2[Sharpe],Scenarios2[[#This Row],[Sharpe]],Scenarios2[Eligible],TRUE()),"")</f>
        <v>105</v>
      </c>
      <c r="Y13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25/20/15/30/10</v>
      </c>
      <c r="Z137">
        <f>_xlfn.XLOOKUP(Scenarios2[[#This Row],[Reference '#]],Scenarios1[Reference '#],Scenarios1[Sharpe Rank])</f>
        <v>106</v>
      </c>
      <c r="AA137">
        <f>Scenarios2[[#This Row],[Sharpe Rank]]</f>
        <v>105</v>
      </c>
      <c r="AB137">
        <f>_xlfn.XLOOKUP(Scenarios2[[#This Row],[Reference '#]],Scenarios3[Reference '#],Scenarios3[Sharpe Rank])</f>
        <v>105</v>
      </c>
      <c r="AC137"/>
      <c r="AD137"/>
      <c r="AE137"/>
      <c r="AF137"/>
      <c r="AG137"/>
    </row>
    <row r="138" spans="2:37" s="15" customFormat="1" x14ac:dyDescent="0.2">
      <c r="B138" s="44">
        <v>128</v>
      </c>
      <c r="C138" s="68">
        <v>0.25</v>
      </c>
      <c r="D138" s="69">
        <v>0.2</v>
      </c>
      <c r="E138" s="69">
        <v>0.15</v>
      </c>
      <c r="F138" s="69">
        <v>0.25</v>
      </c>
      <c r="G138" s="69">
        <v>0.15</v>
      </c>
      <c r="H138" s="69">
        <f>SUMPRODUCT(Scenarios2[[#This Row],[SPY]:[PE]],_xlfn.TOROW(AssetSpecsScenario2[Annualized Return]))</f>
        <v>7.9763459472797962E-2</v>
      </c>
      <c r="I138" s="69" cm="1">
        <f t="array" ref="I138">SQRT(MMULT(MMULT(Scenarios2[[#This Row],[SPY]:[PE]], 'Corr_Cov 36- Month'!$J$13:$N$17), TRANSPOSE(Scenarios2[[#This Row],[SPY]:[PE]])))</f>
        <v>8.5453208050162058E-2</v>
      </c>
      <c r="J138" s="70">
        <f>(Scenarios2[[#This Row],[Expected Return]]-RiskFree)/Scenarios2[[#This Row],[36M Vol]]</f>
        <v>0.38334317300309112</v>
      </c>
      <c r="K138" s="69" cm="1">
        <f t="array" ref="K138">MIN(_xlfn._xlws.FILTER(PortfolioFrontier[#Data],(PortfolioFrontier[#Headers]="P"&amp;Scenarios2[[#This Row],[Reference '#]]&amp;" DD")))</f>
        <v>-0.17771921926106304</v>
      </c>
      <c r="L138" s="69">
        <f>SUM(Scenarios2[[#This Row],[SPY]:[VNQ]])</f>
        <v>0.85</v>
      </c>
      <c r="M138" s="69">
        <f>SUM(Scenarios2[[#This Row],[SPY]:[PE]])</f>
        <v>1</v>
      </c>
      <c r="N138" s="71" t="b">
        <f>Scenarios2[[#This Row],[SPY]]&gt;=SpyMin</f>
        <v>1</v>
      </c>
      <c r="O138" s="71" t="b">
        <f>Scenarios2[[#This Row],[AGG]]&gt;=AGGMin</f>
        <v>1</v>
      </c>
      <c r="P138" s="71" t="b">
        <f>AND(Scenarios2[[#This Row],[GLD]]&gt;=GLDMin,Scenarios2[[#This Row],[GLD]]&lt;=GLDMax)</f>
        <v>1</v>
      </c>
      <c r="Q138" s="71" t="b">
        <f>Scenarios2[[#This Row],[VNQ]]&gt;=VNQMin</f>
        <v>1</v>
      </c>
      <c r="R138" s="71" t="b">
        <f>AND(Scenarios2[[#This Row],[PE]]&gt;=PEMin,Scenarios2[[#This Row],[PE]]&lt;=PEMax)</f>
        <v>1</v>
      </c>
      <c r="S138" s="71" t="b">
        <f>Scenarios2[[#This Row],[Liquid Assets]]&gt;=LiquidMin</f>
        <v>1</v>
      </c>
      <c r="T138" s="71" t="b">
        <f>AND(Scenarios2[[#This Row],[Expected Return]]&gt;=ExpectedReturnMin,Scenarios2[[#This Row],[Expected Return]]&lt;=ExpectedReturnMax)</f>
        <v>1</v>
      </c>
      <c r="U138" s="71" t="b">
        <f>Scenarios2[[#This Row],[Max Drawdown]]&gt;=DrawdownMax</f>
        <v>1</v>
      </c>
      <c r="V13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38" s="46">
        <f>_xlfn.XLOOKUP(Scenarios2[[#This Row],[Reference '#]],ScenariosCombined[Reference '#],ScenariosCombined[Sharpe Rank])</f>
        <v>95</v>
      </c>
      <c r="X138" s="44">
        <f>IF(Scenarios2[[#This Row],[Eligible]],COUNTIFS(Scenarios2[Sharpe],"&gt;"&amp;Scenarios2[[#This Row],[Sharpe]],Scenarios2[Eligible],TRUE())+COUNTIFS(Scenarios2[Sharpe],Scenarios2[[#This Row],[Sharpe]],Scenarios2[Eligible],TRUE()),"")</f>
        <v>96</v>
      </c>
      <c r="Y13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25/20/15/25/15</v>
      </c>
      <c r="Z138">
        <f>_xlfn.XLOOKUP(Scenarios2[[#This Row],[Reference '#]],Scenarios1[Reference '#],Scenarios1[Sharpe Rank])</f>
        <v>97</v>
      </c>
      <c r="AA138">
        <f>Scenarios2[[#This Row],[Sharpe Rank]]</f>
        <v>96</v>
      </c>
      <c r="AB138">
        <f>_xlfn.XLOOKUP(Scenarios2[[#This Row],[Reference '#]],Scenarios3[Reference '#],Scenarios3[Sharpe Rank])</f>
        <v>88</v>
      </c>
      <c r="AC138"/>
      <c r="AD138"/>
      <c r="AE138"/>
      <c r="AF138"/>
      <c r="AG138"/>
    </row>
    <row r="139" spans="2:37" s="15" customFormat="1" x14ac:dyDescent="0.2">
      <c r="B139" s="44">
        <v>129</v>
      </c>
      <c r="C139" s="68">
        <v>0.25</v>
      </c>
      <c r="D139" s="69">
        <v>0.2</v>
      </c>
      <c r="E139" s="69">
        <v>0.15</v>
      </c>
      <c r="F139" s="69">
        <v>0.2</v>
      </c>
      <c r="G139" s="69">
        <v>0.2</v>
      </c>
      <c r="H139" s="69">
        <f>SUMPRODUCT(Scenarios2[[#This Row],[SPY]:[PE]],_xlfn.TOROW(AssetSpecsScenario2[Annualized Return]))</f>
        <v>7.9900165991744473E-2</v>
      </c>
      <c r="I139" s="69" cm="1">
        <f t="array" ref="I139">SQRT(MMULT(MMULT(Scenarios2[[#This Row],[SPY]:[PE]], 'Corr_Cov 36- Month'!$J$13:$N$17), TRANSPOSE(Scenarios2[[#This Row],[SPY]:[PE]])))</f>
        <v>7.7692321796851524E-2</v>
      </c>
      <c r="J139" s="70">
        <f>(Scenarios2[[#This Row],[Expected Return]]-RiskFree)/Scenarios2[[#This Row],[36M Vol]]</f>
        <v>0.42339589904651265</v>
      </c>
      <c r="K139" s="69" cm="1">
        <f t="array" ref="K139">MIN(_xlfn._xlws.FILTER(PortfolioFrontier[#Data],(PortfolioFrontier[#Headers]="P"&amp;Scenarios2[[#This Row],[Reference '#]]&amp;" DD")))</f>
        <v>-0.16323092705506337</v>
      </c>
      <c r="L139" s="69">
        <f>SUM(Scenarios2[[#This Row],[SPY]:[VNQ]])</f>
        <v>0.8</v>
      </c>
      <c r="M139" s="69">
        <f>SUM(Scenarios2[[#This Row],[SPY]:[PE]])</f>
        <v>1</v>
      </c>
      <c r="N139" s="71" t="b">
        <f>Scenarios2[[#This Row],[SPY]]&gt;=SpyMin</f>
        <v>1</v>
      </c>
      <c r="O139" s="71" t="b">
        <f>Scenarios2[[#This Row],[AGG]]&gt;=AGGMin</f>
        <v>1</v>
      </c>
      <c r="P139" s="71" t="b">
        <f>AND(Scenarios2[[#This Row],[GLD]]&gt;=GLDMin,Scenarios2[[#This Row],[GLD]]&lt;=GLDMax)</f>
        <v>1</v>
      </c>
      <c r="Q139" s="71" t="b">
        <f>Scenarios2[[#This Row],[VNQ]]&gt;=VNQMin</f>
        <v>1</v>
      </c>
      <c r="R139" s="71" t="b">
        <f>AND(Scenarios2[[#This Row],[PE]]&gt;=PEMin,Scenarios2[[#This Row],[PE]]&lt;=PEMax)</f>
        <v>1</v>
      </c>
      <c r="S139" s="71" t="b">
        <f>Scenarios2[[#This Row],[Liquid Assets]]&gt;=LiquidMin</f>
        <v>1</v>
      </c>
      <c r="T139" s="71" t="b">
        <f>AND(Scenarios2[[#This Row],[Expected Return]]&gt;=ExpectedReturnMin,Scenarios2[[#This Row],[Expected Return]]&lt;=ExpectedReturnMax)</f>
        <v>1</v>
      </c>
      <c r="U139" s="71" t="b">
        <f>Scenarios2[[#This Row],[Max Drawdown]]&gt;=DrawdownMax</f>
        <v>1</v>
      </c>
      <c r="V13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39" s="46">
        <f>_xlfn.XLOOKUP(Scenarios2[[#This Row],[Reference '#]],ScenariosCombined[Reference '#],ScenariosCombined[Sharpe Rank])</f>
        <v>75</v>
      </c>
      <c r="X139" s="44">
        <f>IF(Scenarios2[[#This Row],[Eligible]],COUNTIFS(Scenarios2[Sharpe],"&gt;"&amp;Scenarios2[[#This Row],[Sharpe]],Scenarios2[Eligible],TRUE())+COUNTIFS(Scenarios2[Sharpe],Scenarios2[[#This Row],[Sharpe]],Scenarios2[Eligible],TRUE()),"")</f>
        <v>79</v>
      </c>
      <c r="Y13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25/20/15/20/20</v>
      </c>
      <c r="Z139">
        <f>_xlfn.XLOOKUP(Scenarios2[[#This Row],[Reference '#]],Scenarios1[Reference '#],Scenarios1[Sharpe Rank])</f>
        <v>84</v>
      </c>
      <c r="AA139">
        <f>Scenarios2[[#This Row],[Sharpe Rank]]</f>
        <v>79</v>
      </c>
      <c r="AB139">
        <f>_xlfn.XLOOKUP(Scenarios2[[#This Row],[Reference '#]],Scenarios3[Reference '#],Scenarios3[Sharpe Rank])</f>
        <v>62</v>
      </c>
      <c r="AC139"/>
      <c r="AD139"/>
      <c r="AE139"/>
      <c r="AF139"/>
      <c r="AG139"/>
    </row>
    <row r="140" spans="2:37" s="15" customFormat="1" x14ac:dyDescent="0.2">
      <c r="B140" s="44">
        <v>130</v>
      </c>
      <c r="C140" s="68">
        <v>0.25</v>
      </c>
      <c r="D140" s="69">
        <v>0.2</v>
      </c>
      <c r="E140" s="69">
        <v>0.1</v>
      </c>
      <c r="F140" s="69">
        <v>0.35</v>
      </c>
      <c r="G140" s="69">
        <v>0.1</v>
      </c>
      <c r="H140" s="69">
        <f>SUMPRODUCT(Scenarios2[[#This Row],[SPY]:[PE]],_xlfn.TOROW(AssetSpecsScenario2[Annualized Return]))</f>
        <v>7.5635034052775441E-2</v>
      </c>
      <c r="I140" s="69" cm="1">
        <f t="array" ref="I140">SQRT(MMULT(MMULT(Scenarios2[[#This Row],[SPY]:[PE]], 'Corr_Cov 36- Month'!$J$13:$N$17), TRANSPOSE(Scenarios2[[#This Row],[SPY]:[PE]])))</f>
        <v>9.96317956413382E-2</v>
      </c>
      <c r="J140" s="70">
        <f>(Scenarios2[[#This Row],[Expected Return]]-RiskFree)/Scenarios2[[#This Row],[36M Vol]]</f>
        <v>0.28735283061927713</v>
      </c>
      <c r="K140" s="69" cm="1">
        <f t="array" ref="K140">MIN(_xlfn._xlws.FILTER(PortfolioFrontier[#Data],(PortfolioFrontier[#Headers]="P"&amp;Scenarios2[[#This Row],[Reference '#]]&amp;" DD")))</f>
        <v>-0.20219415117514361</v>
      </c>
      <c r="L140" s="69">
        <f>SUM(Scenarios2[[#This Row],[SPY]:[VNQ]])</f>
        <v>0.9</v>
      </c>
      <c r="M140" s="69">
        <f>SUM(Scenarios2[[#This Row],[SPY]:[PE]])</f>
        <v>1</v>
      </c>
      <c r="N140" s="71" t="b">
        <f>Scenarios2[[#This Row],[SPY]]&gt;=SpyMin</f>
        <v>1</v>
      </c>
      <c r="O140" s="71" t="b">
        <f>Scenarios2[[#This Row],[AGG]]&gt;=AGGMin</f>
        <v>1</v>
      </c>
      <c r="P140" s="71" t="b">
        <f>AND(Scenarios2[[#This Row],[GLD]]&gt;=GLDMin,Scenarios2[[#This Row],[GLD]]&lt;=GLDMax)</f>
        <v>1</v>
      </c>
      <c r="Q140" s="71" t="b">
        <f>Scenarios2[[#This Row],[VNQ]]&gt;=VNQMin</f>
        <v>1</v>
      </c>
      <c r="R140" s="71" t="b">
        <f>AND(Scenarios2[[#This Row],[PE]]&gt;=PEMin,Scenarios2[[#This Row],[PE]]&lt;=PEMax)</f>
        <v>1</v>
      </c>
      <c r="S140" s="71" t="b">
        <f>Scenarios2[[#This Row],[Liquid Assets]]&gt;=LiquidMin</f>
        <v>1</v>
      </c>
      <c r="T140" s="71" t="b">
        <f>AND(Scenarios2[[#This Row],[Expected Return]]&gt;=ExpectedReturnMin,Scenarios2[[#This Row],[Expected Return]]&lt;=ExpectedReturnMax)</f>
        <v>1</v>
      </c>
      <c r="U140" s="71" t="b">
        <f>Scenarios2[[#This Row],[Max Drawdown]]&gt;=DrawdownMax</f>
        <v>0</v>
      </c>
      <c r="V14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40" s="46" t="str">
        <f>_xlfn.XLOOKUP(Scenarios2[[#This Row],[Reference '#]],ScenariosCombined[Reference '#],ScenariosCombined[Sharpe Rank])</f>
        <v/>
      </c>
      <c r="X140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4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25/20/10/35/10</v>
      </c>
      <c r="Z140" t="str">
        <f>_xlfn.XLOOKUP(Scenarios2[[#This Row],[Reference '#]],Scenarios1[Reference '#],Scenarios1[Sharpe Rank])</f>
        <v/>
      </c>
      <c r="AA140" t="str">
        <f>Scenarios2[[#This Row],[Sharpe Rank]]</f>
        <v/>
      </c>
      <c r="AB140" t="str">
        <f>_xlfn.XLOOKUP(Scenarios2[[#This Row],[Reference '#]],Scenarios3[Reference '#],Scenarios3[Sharpe Rank])</f>
        <v/>
      </c>
      <c r="AC140"/>
      <c r="AD140"/>
      <c r="AE140"/>
      <c r="AF140"/>
      <c r="AG140"/>
    </row>
    <row r="141" spans="2:37" s="15" customFormat="1" x14ac:dyDescent="0.2">
      <c r="B141" s="44">
        <v>131</v>
      </c>
      <c r="C141" s="68">
        <v>0.25</v>
      </c>
      <c r="D141" s="69">
        <v>0.2</v>
      </c>
      <c r="E141" s="69">
        <v>0.1</v>
      </c>
      <c r="F141" s="69">
        <v>0.3</v>
      </c>
      <c r="G141" s="69">
        <v>0.15</v>
      </c>
      <c r="H141" s="69">
        <f>SUMPRODUCT(Scenarios2[[#This Row],[SPY]:[PE]],_xlfn.TOROW(AssetSpecsScenario2[Annualized Return]))</f>
        <v>7.5771740571721938E-2</v>
      </c>
      <c r="I141" s="69" cm="1">
        <f t="array" ref="I141">SQRT(MMULT(MMULT(Scenarios2[[#This Row],[SPY]:[PE]], 'Corr_Cov 36- Month'!$J$13:$N$17), TRANSPOSE(Scenarios2[[#This Row],[SPY]:[PE]])))</f>
        <v>9.1354600852352072E-2</v>
      </c>
      <c r="J141" s="70">
        <f>(Scenarios2[[#This Row],[Expected Return]]-RiskFree)/Scenarios2[[#This Row],[36M Vol]]</f>
        <v>0.31488490724904478</v>
      </c>
      <c r="K141" s="69" cm="1">
        <f t="array" ref="K141">MIN(_xlfn._xlws.FILTER(PortfolioFrontier[#Data],(PortfolioFrontier[#Headers]="P"&amp;Scenarios2[[#This Row],[Reference '#]]&amp;" DD")))</f>
        <v>-0.18789657190822107</v>
      </c>
      <c r="L141" s="69">
        <f>SUM(Scenarios2[[#This Row],[SPY]:[VNQ]])</f>
        <v>0.85000000000000009</v>
      </c>
      <c r="M141" s="69">
        <f>SUM(Scenarios2[[#This Row],[SPY]:[PE]])</f>
        <v>1</v>
      </c>
      <c r="N141" s="71" t="b">
        <f>Scenarios2[[#This Row],[SPY]]&gt;=SpyMin</f>
        <v>1</v>
      </c>
      <c r="O141" s="71" t="b">
        <f>Scenarios2[[#This Row],[AGG]]&gt;=AGGMin</f>
        <v>1</v>
      </c>
      <c r="P141" s="71" t="b">
        <f>AND(Scenarios2[[#This Row],[GLD]]&gt;=GLDMin,Scenarios2[[#This Row],[GLD]]&lt;=GLDMax)</f>
        <v>1</v>
      </c>
      <c r="Q141" s="71" t="b">
        <f>Scenarios2[[#This Row],[VNQ]]&gt;=VNQMin</f>
        <v>1</v>
      </c>
      <c r="R141" s="71" t="b">
        <f>AND(Scenarios2[[#This Row],[PE]]&gt;=PEMin,Scenarios2[[#This Row],[PE]]&lt;=PEMax)</f>
        <v>1</v>
      </c>
      <c r="S141" s="71" t="b">
        <f>Scenarios2[[#This Row],[Liquid Assets]]&gt;=LiquidMin</f>
        <v>1</v>
      </c>
      <c r="T141" s="71" t="b">
        <f>AND(Scenarios2[[#This Row],[Expected Return]]&gt;=ExpectedReturnMin,Scenarios2[[#This Row],[Expected Return]]&lt;=ExpectedReturnMax)</f>
        <v>1</v>
      </c>
      <c r="U141" s="71" t="b">
        <f>Scenarios2[[#This Row],[Max Drawdown]]&gt;=DrawdownMax</f>
        <v>1</v>
      </c>
      <c r="V141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1" s="46">
        <f>_xlfn.XLOOKUP(Scenarios2[[#This Row],[Reference '#]],ScenariosCombined[Reference '#],ScenariosCombined[Sharpe Rank])</f>
        <v>113</v>
      </c>
      <c r="X141" s="44">
        <f>IF(Scenarios2[[#This Row],[Eligible]],COUNTIFS(Scenarios2[Sharpe],"&gt;"&amp;Scenarios2[[#This Row],[Sharpe]],Scenarios2[Eligible],TRUE())+COUNTIFS(Scenarios2[Sharpe],Scenarios2[[#This Row],[Sharpe]],Scenarios2[Eligible],TRUE()),"")</f>
        <v>109</v>
      </c>
      <c r="Y141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25/20/10/30/15</v>
      </c>
      <c r="Z141">
        <f>_xlfn.XLOOKUP(Scenarios2[[#This Row],[Reference '#]],Scenarios1[Reference '#],Scenarios1[Sharpe Rank])</f>
        <v>109</v>
      </c>
      <c r="AA141">
        <f>Scenarios2[[#This Row],[Sharpe Rank]]</f>
        <v>109</v>
      </c>
      <c r="AB141">
        <f>_xlfn.XLOOKUP(Scenarios2[[#This Row],[Reference '#]],Scenarios3[Reference '#],Scenarios3[Sharpe Rank])</f>
        <v>110</v>
      </c>
      <c r="AC141"/>
      <c r="AD141"/>
      <c r="AE141"/>
      <c r="AF141"/>
      <c r="AG141"/>
    </row>
    <row r="142" spans="2:37" s="15" customFormat="1" x14ac:dyDescent="0.2">
      <c r="B142" s="44">
        <v>132</v>
      </c>
      <c r="C142" s="68">
        <v>0.25</v>
      </c>
      <c r="D142" s="69">
        <v>0.2</v>
      </c>
      <c r="E142" s="69">
        <v>0.1</v>
      </c>
      <c r="F142" s="69">
        <v>0.25</v>
      </c>
      <c r="G142" s="69">
        <v>0.2</v>
      </c>
      <c r="H142" s="69">
        <f>SUMPRODUCT(Scenarios2[[#This Row],[SPY]:[PE]],_xlfn.TOROW(AssetSpecsScenario2[Annualized Return]))</f>
        <v>7.5908447090668449E-2</v>
      </c>
      <c r="I142" s="69" cm="1">
        <f t="array" ref="I142">SQRT(MMULT(MMULT(Scenarios2[[#This Row],[SPY]:[PE]], 'Corr_Cov 36- Month'!$J$13:$N$17), TRANSPOSE(Scenarios2[[#This Row],[SPY]:[PE]])))</f>
        <v>8.3360274905856888E-2</v>
      </c>
      <c r="J142" s="70">
        <f>(Scenarios2[[#This Row],[Expected Return]]-RiskFree)/Scenarios2[[#This Row],[36M Vol]]</f>
        <v>0.34672260339537558</v>
      </c>
      <c r="K142" s="69" cm="1">
        <f t="array" ref="K142">MIN(_xlfn._xlws.FILTER(PortfolioFrontier[#Data],(PortfolioFrontier[#Headers]="P"&amp;Scenarios2[[#This Row],[Reference '#]]&amp;" DD")))</f>
        <v>-0.17348073118349583</v>
      </c>
      <c r="L142" s="69">
        <f>SUM(Scenarios2[[#This Row],[SPY]:[VNQ]])</f>
        <v>0.8</v>
      </c>
      <c r="M142" s="69">
        <f>SUM(Scenarios2[[#This Row],[SPY]:[PE]])</f>
        <v>1</v>
      </c>
      <c r="N142" s="71" t="b">
        <f>Scenarios2[[#This Row],[SPY]]&gt;=SpyMin</f>
        <v>1</v>
      </c>
      <c r="O142" s="71" t="b">
        <f>Scenarios2[[#This Row],[AGG]]&gt;=AGGMin</f>
        <v>1</v>
      </c>
      <c r="P142" s="71" t="b">
        <f>AND(Scenarios2[[#This Row],[GLD]]&gt;=GLDMin,Scenarios2[[#This Row],[GLD]]&lt;=GLDMax)</f>
        <v>1</v>
      </c>
      <c r="Q142" s="71" t="b">
        <f>Scenarios2[[#This Row],[VNQ]]&gt;=VNQMin</f>
        <v>1</v>
      </c>
      <c r="R142" s="71" t="b">
        <f>AND(Scenarios2[[#This Row],[PE]]&gt;=PEMin,Scenarios2[[#This Row],[PE]]&lt;=PEMax)</f>
        <v>1</v>
      </c>
      <c r="S142" s="71" t="b">
        <f>Scenarios2[[#This Row],[Liquid Assets]]&gt;=LiquidMin</f>
        <v>1</v>
      </c>
      <c r="T142" s="71" t="b">
        <f>AND(Scenarios2[[#This Row],[Expected Return]]&gt;=ExpectedReturnMin,Scenarios2[[#This Row],[Expected Return]]&lt;=ExpectedReturnMax)</f>
        <v>1</v>
      </c>
      <c r="U142" s="71" t="b">
        <f>Scenarios2[[#This Row],[Max Drawdown]]&gt;=DrawdownMax</f>
        <v>1</v>
      </c>
      <c r="V142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2" s="46">
        <f>_xlfn.XLOOKUP(Scenarios2[[#This Row],[Reference '#]],ScenariosCombined[Reference '#],ScenariosCombined[Sharpe Rank])</f>
        <v>105</v>
      </c>
      <c r="X142" s="44">
        <f>IF(Scenarios2[[#This Row],[Eligible]],COUNTIFS(Scenarios2[Sharpe],"&gt;"&amp;Scenarios2[[#This Row],[Sharpe]],Scenarios2[Eligible],TRUE())+COUNTIFS(Scenarios2[Sharpe],Scenarios2[[#This Row],[Sharpe]],Scenarios2[Eligible],TRUE()),"")</f>
        <v>106</v>
      </c>
      <c r="Y142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25/20/10/25/20</v>
      </c>
      <c r="Z142" t="str">
        <f>_xlfn.XLOOKUP(Scenarios2[[#This Row],[Reference '#]],Scenarios1[Reference '#],Scenarios1[Sharpe Rank])</f>
        <v/>
      </c>
      <c r="AA142">
        <f>Scenarios2[[#This Row],[Sharpe Rank]]</f>
        <v>106</v>
      </c>
      <c r="AB142">
        <f>_xlfn.XLOOKUP(Scenarios2[[#This Row],[Reference '#]],Scenarios3[Reference '#],Scenarios3[Sharpe Rank])</f>
        <v>94</v>
      </c>
      <c r="AC142"/>
      <c r="AD142"/>
      <c r="AE142"/>
      <c r="AF142"/>
      <c r="AG142"/>
    </row>
    <row r="143" spans="2:37" s="15" customFormat="1" x14ac:dyDescent="0.2">
      <c r="B143" s="44">
        <v>133</v>
      </c>
      <c r="C143" s="68">
        <v>0.25</v>
      </c>
      <c r="D143" s="69">
        <v>0.15</v>
      </c>
      <c r="E143" s="69">
        <v>0.2</v>
      </c>
      <c r="F143" s="69">
        <v>0.3</v>
      </c>
      <c r="G143" s="69">
        <v>0.1</v>
      </c>
      <c r="H143" s="69">
        <f>SUMPRODUCT(Scenarios2[[#This Row],[SPY]:[PE]],_xlfn.TOROW(AssetSpecsScenario2[Annualized Return]))</f>
        <v>8.5202211201090963E-2</v>
      </c>
      <c r="I143" s="69" cm="1">
        <f t="array" ref="I143">SQRT(MMULT(MMULT(Scenarios2[[#This Row],[SPY]:[PE]], 'Corr_Cov 36- Month'!$J$13:$N$17), TRANSPOSE(Scenarios2[[#This Row],[SPY]:[PE]])))</f>
        <v>9.366381439993085E-2</v>
      </c>
      <c r="J143" s="70">
        <f>(Scenarios2[[#This Row],[Expected Return]]-RiskFree)/Scenarios2[[#This Row],[36M Vol]]</f>
        <v>0.40780589484046909</v>
      </c>
      <c r="K143" s="69" cm="1">
        <f t="array" ref="K143">MIN(_xlfn._xlws.FILTER(PortfolioFrontier[#Data],(PortfolioFrontier[#Headers]="P"&amp;Scenarios2[[#This Row],[Reference '#]]&amp;" DD")))</f>
        <v>-0.18970169674832826</v>
      </c>
      <c r="L143" s="69">
        <f>SUM(Scenarios2[[#This Row],[SPY]:[VNQ]])</f>
        <v>0.90000000000000013</v>
      </c>
      <c r="M143" s="69">
        <f>SUM(Scenarios2[[#This Row],[SPY]:[PE]])</f>
        <v>1.0000000000000002</v>
      </c>
      <c r="N143" s="71" t="b">
        <f>Scenarios2[[#This Row],[SPY]]&gt;=SpyMin</f>
        <v>1</v>
      </c>
      <c r="O143" s="71" t="b">
        <f>Scenarios2[[#This Row],[AGG]]&gt;=AGGMin</f>
        <v>1</v>
      </c>
      <c r="P143" s="71" t="b">
        <f>AND(Scenarios2[[#This Row],[GLD]]&gt;=GLDMin,Scenarios2[[#This Row],[GLD]]&lt;=GLDMax)</f>
        <v>1</v>
      </c>
      <c r="Q143" s="71" t="b">
        <f>Scenarios2[[#This Row],[VNQ]]&gt;=VNQMin</f>
        <v>1</v>
      </c>
      <c r="R143" s="71" t="b">
        <f>AND(Scenarios2[[#This Row],[PE]]&gt;=PEMin,Scenarios2[[#This Row],[PE]]&lt;=PEMax)</f>
        <v>1</v>
      </c>
      <c r="S143" s="71" t="b">
        <f>Scenarios2[[#This Row],[Liquid Assets]]&gt;=LiquidMin</f>
        <v>1</v>
      </c>
      <c r="T143" s="71" t="b">
        <f>AND(Scenarios2[[#This Row],[Expected Return]]&gt;=ExpectedReturnMin,Scenarios2[[#This Row],[Expected Return]]&lt;=ExpectedReturnMax)</f>
        <v>1</v>
      </c>
      <c r="U143" s="71" t="b">
        <f>Scenarios2[[#This Row],[Max Drawdown]]&gt;=DrawdownMax</f>
        <v>1</v>
      </c>
      <c r="V143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3" s="46">
        <f>_xlfn.XLOOKUP(Scenarios2[[#This Row],[Reference '#]],ScenariosCombined[Reference '#],ScenariosCombined[Sharpe Rank])</f>
        <v>90</v>
      </c>
      <c r="X143" s="44">
        <f>IF(Scenarios2[[#This Row],[Eligible]],COUNTIFS(Scenarios2[Sharpe],"&gt;"&amp;Scenarios2[[#This Row],[Sharpe]],Scenarios2[Eligible],TRUE())+COUNTIFS(Scenarios2[Sharpe],Scenarios2[[#This Row],[Sharpe]],Scenarios2[Eligible],TRUE()),"")</f>
        <v>88</v>
      </c>
      <c r="Y143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25/15/20/30/10</v>
      </c>
      <c r="Z143">
        <f>_xlfn.XLOOKUP(Scenarios2[[#This Row],[Reference '#]],Scenarios1[Reference '#],Scenarios1[Sharpe Rank])</f>
        <v>89</v>
      </c>
      <c r="AA143">
        <f>Scenarios2[[#This Row],[Sharpe Rank]]</f>
        <v>88</v>
      </c>
      <c r="AB143">
        <f>_xlfn.XLOOKUP(Scenarios2[[#This Row],[Reference '#]],Scenarios3[Reference '#],Scenarios3[Sharpe Rank])</f>
        <v>87</v>
      </c>
      <c r="AC143"/>
      <c r="AD143"/>
      <c r="AE143"/>
      <c r="AF143"/>
      <c r="AG143"/>
    </row>
    <row r="144" spans="2:37" x14ac:dyDescent="0.2">
      <c r="B144" s="44">
        <v>134</v>
      </c>
      <c r="C144" s="68">
        <v>0.25</v>
      </c>
      <c r="D144" s="69">
        <v>0.15</v>
      </c>
      <c r="E144" s="69">
        <v>0.2</v>
      </c>
      <c r="F144" s="69">
        <v>0.25</v>
      </c>
      <c r="G144" s="69">
        <v>0.15</v>
      </c>
      <c r="H144" s="69">
        <f>SUMPRODUCT(Scenarios2[[#This Row],[SPY]:[PE]],_xlfn.TOROW(AssetSpecsScenario2[Annualized Return]))</f>
        <v>8.533891772003746E-2</v>
      </c>
      <c r="I144" s="69" cm="1">
        <f t="array" ref="I144">SQRT(MMULT(MMULT(Scenarios2[[#This Row],[SPY]:[PE]], 'Corr_Cov 36- Month'!$J$13:$N$17), TRANSPOSE(Scenarios2[[#This Row],[SPY]:[PE]])))</f>
        <v>8.5661553228605275E-2</v>
      </c>
      <c r="J144" s="70">
        <f>(Scenarios2[[#This Row],[Expected Return]]-RiskFree)/Scenarios2[[#This Row],[36M Vol]]</f>
        <v>0.44749786479100534</v>
      </c>
      <c r="K144" s="69" cm="1">
        <f t="array" ref="K144">MIN(_xlfn._xlws.FILTER(PortfolioFrontier[#Data],(PortfolioFrontier[#Headers]="P"&amp;Scenarios2[[#This Row],[Reference '#]]&amp;" DD")))</f>
        <v>-0.17530039956612353</v>
      </c>
      <c r="L144" s="69">
        <f>SUM(Scenarios2[[#This Row],[SPY]:[VNQ]])</f>
        <v>0.85000000000000009</v>
      </c>
      <c r="M144" s="69">
        <f>SUM(Scenarios2[[#This Row],[SPY]:[PE]])</f>
        <v>1</v>
      </c>
      <c r="N144" s="71" t="b">
        <f>Scenarios2[[#This Row],[SPY]]&gt;=SpyMin</f>
        <v>1</v>
      </c>
      <c r="O144" s="71" t="b">
        <f>Scenarios2[[#This Row],[AGG]]&gt;=AGGMin</f>
        <v>1</v>
      </c>
      <c r="P144" s="71" t="b">
        <f>AND(Scenarios2[[#This Row],[GLD]]&gt;=GLDMin,Scenarios2[[#This Row],[GLD]]&lt;=GLDMax)</f>
        <v>1</v>
      </c>
      <c r="Q144" s="71" t="b">
        <f>Scenarios2[[#This Row],[VNQ]]&gt;=VNQMin</f>
        <v>1</v>
      </c>
      <c r="R144" s="71" t="b">
        <f>AND(Scenarios2[[#This Row],[PE]]&gt;=PEMin,Scenarios2[[#This Row],[PE]]&lt;=PEMax)</f>
        <v>1</v>
      </c>
      <c r="S144" s="71" t="b">
        <f>Scenarios2[[#This Row],[Liquid Assets]]&gt;=LiquidMin</f>
        <v>1</v>
      </c>
      <c r="T144" s="71" t="b">
        <f>AND(Scenarios2[[#This Row],[Expected Return]]&gt;=ExpectedReturnMin,Scenarios2[[#This Row],[Expected Return]]&lt;=ExpectedReturnMax)</f>
        <v>1</v>
      </c>
      <c r="U144" s="71" t="b">
        <f>Scenarios2[[#This Row],[Max Drawdown]]&gt;=DrawdownMax</f>
        <v>1</v>
      </c>
      <c r="V144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4" s="46">
        <f>_xlfn.XLOOKUP(Scenarios2[[#This Row],[Reference '#]],ScenariosCombined[Reference '#],ScenariosCombined[Sharpe Rank])</f>
        <v>67</v>
      </c>
      <c r="X144" s="44">
        <f>IF(Scenarios2[[#This Row],[Eligible]],COUNTIFS(Scenarios2[Sharpe],"&gt;"&amp;Scenarios2[[#This Row],[Sharpe]],Scenarios2[Eligible],TRUE())+COUNTIFS(Scenarios2[Sharpe],Scenarios2[[#This Row],[Sharpe]],Scenarios2[Eligible],TRUE()),"")</f>
        <v>65</v>
      </c>
      <c r="Y144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25/15/20/25/15</v>
      </c>
      <c r="Z144">
        <f>_xlfn.XLOOKUP(Scenarios2[[#This Row],[Reference '#]],Scenarios1[Reference '#],Scenarios1[Sharpe Rank])</f>
        <v>67</v>
      </c>
      <c r="AA144">
        <f>Scenarios2[[#This Row],[Sharpe Rank]]</f>
        <v>65</v>
      </c>
      <c r="AB144">
        <f>_xlfn.XLOOKUP(Scenarios2[[#This Row],[Reference '#]],Scenarios3[Reference '#],Scenarios3[Sharpe Rank])</f>
        <v>61</v>
      </c>
      <c r="AG144"/>
      <c r="AK144" s="15"/>
    </row>
    <row r="145" spans="2:37" x14ac:dyDescent="0.2">
      <c r="B145" s="44">
        <v>135</v>
      </c>
      <c r="C145" s="68">
        <v>0.25</v>
      </c>
      <c r="D145" s="69">
        <v>0.15</v>
      </c>
      <c r="E145" s="69">
        <v>0.2</v>
      </c>
      <c r="F145" s="69">
        <v>0.2</v>
      </c>
      <c r="G145" s="69">
        <v>0.2</v>
      </c>
      <c r="H145" s="69">
        <f>SUMPRODUCT(Scenarios2[[#This Row],[SPY]:[PE]],_xlfn.TOROW(AssetSpecsScenario2[Annualized Return]))</f>
        <v>8.5475624238983972E-2</v>
      </c>
      <c r="I145" s="69" cm="1">
        <f t="array" ref="I145">SQRT(MMULT(MMULT(Scenarios2[[#This Row],[SPY]:[PE]], 'Corr_Cov 36- Month'!$J$13:$N$17), TRANSPOSE(Scenarios2[[#This Row],[SPY]:[PE]])))</f>
        <v>7.8019210560232755E-2</v>
      </c>
      <c r="J145" s="70">
        <f>(Scenarios2[[#This Row],[Expected Return]]-RiskFree)/Scenarios2[[#This Row],[36M Vol]]</f>
        <v>0.49308456734163669</v>
      </c>
      <c r="K145" s="69" cm="1">
        <f t="array" ref="K145">MIN(_xlfn._xlws.FILTER(PortfolioFrontier[#Data],(PortfolioFrontier[#Headers]="P"&amp;Scenarios2[[#This Row],[Reference '#]]&amp;" DD")))</f>
        <v>-0.16078244493257399</v>
      </c>
      <c r="L145" s="69">
        <f>SUM(Scenarios2[[#This Row],[SPY]:[VNQ]])</f>
        <v>0.8</v>
      </c>
      <c r="M145" s="69">
        <f>SUM(Scenarios2[[#This Row],[SPY]:[PE]])</f>
        <v>1</v>
      </c>
      <c r="N145" s="71" t="b">
        <f>Scenarios2[[#This Row],[SPY]]&gt;=SpyMin</f>
        <v>1</v>
      </c>
      <c r="O145" s="71" t="b">
        <f>Scenarios2[[#This Row],[AGG]]&gt;=AGGMin</f>
        <v>1</v>
      </c>
      <c r="P145" s="71" t="b">
        <f>AND(Scenarios2[[#This Row],[GLD]]&gt;=GLDMin,Scenarios2[[#This Row],[GLD]]&lt;=GLDMax)</f>
        <v>1</v>
      </c>
      <c r="Q145" s="71" t="b">
        <f>Scenarios2[[#This Row],[VNQ]]&gt;=VNQMin</f>
        <v>1</v>
      </c>
      <c r="R145" s="71" t="b">
        <f>AND(Scenarios2[[#This Row],[PE]]&gt;=PEMin,Scenarios2[[#This Row],[PE]]&lt;=PEMax)</f>
        <v>1</v>
      </c>
      <c r="S145" s="71" t="b">
        <f>Scenarios2[[#This Row],[Liquid Assets]]&gt;=LiquidMin</f>
        <v>1</v>
      </c>
      <c r="T145" s="71" t="b">
        <f>AND(Scenarios2[[#This Row],[Expected Return]]&gt;=ExpectedReturnMin,Scenarios2[[#This Row],[Expected Return]]&lt;=ExpectedReturnMax)</f>
        <v>1</v>
      </c>
      <c r="U145" s="71" t="b">
        <f>Scenarios2[[#This Row],[Max Drawdown]]&gt;=DrawdownMax</f>
        <v>1</v>
      </c>
      <c r="V145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5" s="46">
        <f>_xlfn.XLOOKUP(Scenarios2[[#This Row],[Reference '#]],ScenariosCombined[Reference '#],ScenariosCombined[Sharpe Rank])</f>
        <v>44</v>
      </c>
      <c r="X145" s="44">
        <f>IF(Scenarios2[[#This Row],[Eligible]],COUNTIFS(Scenarios2[Sharpe],"&gt;"&amp;Scenarios2[[#This Row],[Sharpe]],Scenarios2[Eligible],TRUE())+COUNTIFS(Scenarios2[Sharpe],Scenarios2[[#This Row],[Sharpe]],Scenarios2[Eligible],TRUE()),"")</f>
        <v>48</v>
      </c>
      <c r="Y145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25/15/20/20/20</v>
      </c>
      <c r="Z145">
        <f>_xlfn.XLOOKUP(Scenarios2[[#This Row],[Reference '#]],Scenarios1[Reference '#],Scenarios1[Sharpe Rank])</f>
        <v>52</v>
      </c>
      <c r="AA145">
        <f>Scenarios2[[#This Row],[Sharpe Rank]]</f>
        <v>48</v>
      </c>
      <c r="AB145">
        <f>_xlfn.XLOOKUP(Scenarios2[[#This Row],[Reference '#]],Scenarios3[Reference '#],Scenarios3[Sharpe Rank])</f>
        <v>32</v>
      </c>
      <c r="AG145"/>
      <c r="AK145" s="15"/>
    </row>
    <row r="146" spans="2:37" x14ac:dyDescent="0.2">
      <c r="B146" s="44">
        <v>136</v>
      </c>
      <c r="C146" s="68">
        <v>0.25</v>
      </c>
      <c r="D146" s="69">
        <v>0.15</v>
      </c>
      <c r="E146" s="69">
        <v>0.15</v>
      </c>
      <c r="F146" s="69">
        <v>0.35</v>
      </c>
      <c r="G146" s="69">
        <v>0.1</v>
      </c>
      <c r="H146" s="69">
        <f>SUMPRODUCT(Scenarios2[[#This Row],[SPY]:[PE]],_xlfn.TOROW(AssetSpecsScenario2[Annualized Return]))</f>
        <v>8.1210492300014939E-2</v>
      </c>
      <c r="I146" s="69" cm="1">
        <f t="array" ref="I146">SQRT(MMULT(MMULT(Scenarios2[[#This Row],[SPY]:[PE]], 'Corr_Cov 36- Month'!$J$13:$N$17), TRANSPOSE(Scenarios2[[#This Row],[SPY]:[PE]])))</f>
        <v>9.9228577762732639E-2</v>
      </c>
      <c r="J146" s="70">
        <f>(Scenarios2[[#This Row],[Expected Return]]-RiskFree)/Scenarios2[[#This Row],[36M Vol]]</f>
        <v>0.34470852566533272</v>
      </c>
      <c r="K146" s="69" cm="1">
        <f t="array" ref="K146">MIN(_xlfn._xlws.FILTER(PortfolioFrontier[#Data],(PortfolioFrontier[#Headers]="P"&amp;Scenarios2[[#This Row],[Reference '#]]&amp;" DD")))</f>
        <v>-0.19981007336081691</v>
      </c>
      <c r="L146" s="69">
        <f>SUM(Scenarios2[[#This Row],[SPY]:[VNQ]])</f>
        <v>0.9</v>
      </c>
      <c r="M146" s="69">
        <f>SUM(Scenarios2[[#This Row],[SPY]:[PE]])</f>
        <v>1</v>
      </c>
      <c r="N146" s="71" t="b">
        <f>Scenarios2[[#This Row],[SPY]]&gt;=SpyMin</f>
        <v>1</v>
      </c>
      <c r="O146" s="71" t="b">
        <f>Scenarios2[[#This Row],[AGG]]&gt;=AGGMin</f>
        <v>1</v>
      </c>
      <c r="P146" s="71" t="b">
        <f>AND(Scenarios2[[#This Row],[GLD]]&gt;=GLDMin,Scenarios2[[#This Row],[GLD]]&lt;=GLDMax)</f>
        <v>1</v>
      </c>
      <c r="Q146" s="71" t="b">
        <f>Scenarios2[[#This Row],[VNQ]]&gt;=VNQMin</f>
        <v>1</v>
      </c>
      <c r="R146" s="71" t="b">
        <f>AND(Scenarios2[[#This Row],[PE]]&gt;=PEMin,Scenarios2[[#This Row],[PE]]&lt;=PEMax)</f>
        <v>1</v>
      </c>
      <c r="S146" s="71" t="b">
        <f>Scenarios2[[#This Row],[Liquid Assets]]&gt;=LiquidMin</f>
        <v>1</v>
      </c>
      <c r="T146" s="71" t="b">
        <f>AND(Scenarios2[[#This Row],[Expected Return]]&gt;=ExpectedReturnMin,Scenarios2[[#This Row],[Expected Return]]&lt;=ExpectedReturnMax)</f>
        <v>1</v>
      </c>
      <c r="U146" s="71" t="b">
        <f>Scenarios2[[#This Row],[Max Drawdown]]&gt;=DrawdownMax</f>
        <v>1</v>
      </c>
      <c r="V146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6" s="46">
        <f>_xlfn.XLOOKUP(Scenarios2[[#This Row],[Reference '#]],ScenariosCombined[Reference '#],ScenariosCombined[Sharpe Rank])</f>
        <v>111</v>
      </c>
      <c r="X146" s="44">
        <f>IF(Scenarios2[[#This Row],[Eligible]],COUNTIFS(Scenarios2[Sharpe],"&gt;"&amp;Scenarios2[[#This Row],[Sharpe]],Scenarios2[Eligible],TRUE())+COUNTIFS(Scenarios2[Sharpe],Scenarios2[[#This Row],[Sharpe]],Scenarios2[Eligible],TRUE()),"")</f>
        <v>107</v>
      </c>
      <c r="Y146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25/15/15/35/10</v>
      </c>
      <c r="Z146">
        <f>_xlfn.XLOOKUP(Scenarios2[[#This Row],[Reference '#]],Scenarios1[Reference '#],Scenarios1[Sharpe Rank])</f>
        <v>107</v>
      </c>
      <c r="AA146">
        <f>Scenarios2[[#This Row],[Sharpe Rank]]</f>
        <v>107</v>
      </c>
      <c r="AB146">
        <f>_xlfn.XLOOKUP(Scenarios2[[#This Row],[Reference '#]],Scenarios3[Reference '#],Scenarios3[Sharpe Rank])</f>
        <v>107</v>
      </c>
      <c r="AG146"/>
      <c r="AK146" s="15"/>
    </row>
    <row r="147" spans="2:37" x14ac:dyDescent="0.2">
      <c r="B147" s="44">
        <v>137</v>
      </c>
      <c r="C147" s="68">
        <v>0.25</v>
      </c>
      <c r="D147" s="69">
        <v>0.15</v>
      </c>
      <c r="E147" s="69">
        <v>0.15</v>
      </c>
      <c r="F147" s="69">
        <v>0.3</v>
      </c>
      <c r="G147" s="69">
        <v>0.15</v>
      </c>
      <c r="H147" s="69">
        <f>SUMPRODUCT(Scenarios2[[#This Row],[SPY]:[PE]],_xlfn.TOROW(AssetSpecsScenario2[Annualized Return]))</f>
        <v>8.1347198818961436E-2</v>
      </c>
      <c r="I147" s="69" cm="1">
        <f t="array" ref="I147">SQRT(MMULT(MMULT(Scenarios2[[#This Row],[SPY]:[PE]], 'Corr_Cov 36- Month'!$J$13:$N$17), TRANSPOSE(Scenarios2[[#This Row],[SPY]:[PE]])))</f>
        <v>9.0998507975534298E-2</v>
      </c>
      <c r="J147" s="70">
        <f>(Scenarios2[[#This Row],[Expected Return]]-RiskFree)/Scenarios2[[#This Row],[36M Vol]]</f>
        <v>0.37738688278975874</v>
      </c>
      <c r="K147" s="69" cm="1">
        <f t="array" ref="K147">MIN(_xlfn._xlws.FILTER(PortfolioFrontier[#Data],(PortfolioFrontier[#Headers]="P"&amp;Scenarios2[[#This Row],[Reference '#]]&amp;" DD")))</f>
        <v>-0.18548259409266865</v>
      </c>
      <c r="L147" s="69">
        <f>SUM(Scenarios2[[#This Row],[SPY]:[VNQ]])</f>
        <v>0.85000000000000009</v>
      </c>
      <c r="M147" s="69">
        <f>SUM(Scenarios2[[#This Row],[SPY]:[PE]])</f>
        <v>1</v>
      </c>
      <c r="N147" s="71" t="b">
        <f>Scenarios2[[#This Row],[SPY]]&gt;=SpyMin</f>
        <v>1</v>
      </c>
      <c r="O147" s="71" t="b">
        <f>Scenarios2[[#This Row],[AGG]]&gt;=AGGMin</f>
        <v>1</v>
      </c>
      <c r="P147" s="71" t="b">
        <f>AND(Scenarios2[[#This Row],[GLD]]&gt;=GLDMin,Scenarios2[[#This Row],[GLD]]&lt;=GLDMax)</f>
        <v>1</v>
      </c>
      <c r="Q147" s="71" t="b">
        <f>Scenarios2[[#This Row],[VNQ]]&gt;=VNQMin</f>
        <v>1</v>
      </c>
      <c r="R147" s="71" t="b">
        <f>AND(Scenarios2[[#This Row],[PE]]&gt;=PEMin,Scenarios2[[#This Row],[PE]]&lt;=PEMax)</f>
        <v>1</v>
      </c>
      <c r="S147" s="71" t="b">
        <f>Scenarios2[[#This Row],[Liquid Assets]]&gt;=LiquidMin</f>
        <v>1</v>
      </c>
      <c r="T147" s="71" t="b">
        <f>AND(Scenarios2[[#This Row],[Expected Return]]&gt;=ExpectedReturnMin,Scenarios2[[#This Row],[Expected Return]]&lt;=ExpectedReturnMax)</f>
        <v>1</v>
      </c>
      <c r="U147" s="71" t="b">
        <f>Scenarios2[[#This Row],[Max Drawdown]]&gt;=DrawdownMax</f>
        <v>1</v>
      </c>
      <c r="V147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7" s="46">
        <f>_xlfn.XLOOKUP(Scenarios2[[#This Row],[Reference '#]],ScenariosCombined[Reference '#],ScenariosCombined[Sharpe Rank])</f>
        <v>97</v>
      </c>
      <c r="X147" s="44">
        <f>IF(Scenarios2[[#This Row],[Eligible]],COUNTIFS(Scenarios2[Sharpe],"&gt;"&amp;Scenarios2[[#This Row],[Sharpe]],Scenarios2[Eligible],TRUE())+COUNTIFS(Scenarios2[Sharpe],Scenarios2[[#This Row],[Sharpe]],Scenarios2[Eligible],TRUE()),"")</f>
        <v>98</v>
      </c>
      <c r="Y147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25/15/15/30/15</v>
      </c>
      <c r="Z147">
        <f>_xlfn.XLOOKUP(Scenarios2[[#This Row],[Reference '#]],Scenarios1[Reference '#],Scenarios1[Sharpe Rank])</f>
        <v>99</v>
      </c>
      <c r="AA147">
        <f>Scenarios2[[#This Row],[Sharpe Rank]]</f>
        <v>98</v>
      </c>
      <c r="AB147">
        <f>_xlfn.XLOOKUP(Scenarios2[[#This Row],[Reference '#]],Scenarios3[Reference '#],Scenarios3[Sharpe Rank])</f>
        <v>91</v>
      </c>
      <c r="AG147"/>
      <c r="AK147" s="15"/>
    </row>
    <row r="148" spans="2:37" x14ac:dyDescent="0.2">
      <c r="B148" s="44">
        <v>138</v>
      </c>
      <c r="C148" s="68">
        <v>0.25</v>
      </c>
      <c r="D148" s="69">
        <v>0.15</v>
      </c>
      <c r="E148" s="69">
        <v>0.15</v>
      </c>
      <c r="F148" s="69">
        <v>0.25</v>
      </c>
      <c r="G148" s="69">
        <v>0.2</v>
      </c>
      <c r="H148" s="69">
        <f>SUMPRODUCT(Scenarios2[[#This Row],[SPY]:[PE]],_xlfn.TOROW(AssetSpecsScenario2[Annualized Return]))</f>
        <v>8.1483905337907933E-2</v>
      </c>
      <c r="I148" s="69" cm="1">
        <f t="array" ref="I148">SQRT(MMULT(MMULT(Scenarios2[[#This Row],[SPY]:[PE]], 'Corr_Cov 36- Month'!$J$13:$N$17), TRANSPOSE(Scenarios2[[#This Row],[SPY]:[PE]])))</f>
        <v>8.3061725265277039E-2</v>
      </c>
      <c r="J148" s="70">
        <f>(Scenarios2[[#This Row],[Expected Return]]-RiskFree)/Scenarios2[[#This Row],[36M Vol]]</f>
        <v>0.41509310903713731</v>
      </c>
      <c r="K148" s="69" cm="1">
        <f t="array" ref="K148">MIN(_xlfn._xlws.FILTER(PortfolioFrontier[#Data],(PortfolioFrontier[#Headers]="P"&amp;Scenarios2[[#This Row],[Reference '#]]&amp;" DD")))</f>
        <v>-0.17103679909467062</v>
      </c>
      <c r="L148" s="69">
        <f>SUM(Scenarios2[[#This Row],[SPY]:[VNQ]])</f>
        <v>0.8</v>
      </c>
      <c r="M148" s="69">
        <f>SUM(Scenarios2[[#This Row],[SPY]:[PE]])</f>
        <v>1</v>
      </c>
      <c r="N148" s="71" t="b">
        <f>Scenarios2[[#This Row],[SPY]]&gt;=SpyMin</f>
        <v>1</v>
      </c>
      <c r="O148" s="71" t="b">
        <f>Scenarios2[[#This Row],[AGG]]&gt;=AGGMin</f>
        <v>1</v>
      </c>
      <c r="P148" s="71" t="b">
        <f>AND(Scenarios2[[#This Row],[GLD]]&gt;=GLDMin,Scenarios2[[#This Row],[GLD]]&lt;=GLDMax)</f>
        <v>1</v>
      </c>
      <c r="Q148" s="71" t="b">
        <f>Scenarios2[[#This Row],[VNQ]]&gt;=VNQMin</f>
        <v>1</v>
      </c>
      <c r="R148" s="71" t="b">
        <f>AND(Scenarios2[[#This Row],[PE]]&gt;=PEMin,Scenarios2[[#This Row],[PE]]&lt;=PEMax)</f>
        <v>1</v>
      </c>
      <c r="S148" s="71" t="b">
        <f>Scenarios2[[#This Row],[Liquid Assets]]&gt;=LiquidMin</f>
        <v>1</v>
      </c>
      <c r="T148" s="71" t="b">
        <f>AND(Scenarios2[[#This Row],[Expected Return]]&gt;=ExpectedReturnMin,Scenarios2[[#This Row],[Expected Return]]&lt;=ExpectedReturnMax)</f>
        <v>1</v>
      </c>
      <c r="U148" s="71" t="b">
        <f>Scenarios2[[#This Row],[Max Drawdown]]&gt;=DrawdownMax</f>
        <v>1</v>
      </c>
      <c r="V148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48" s="46">
        <f>_xlfn.XLOOKUP(Scenarios2[[#This Row],[Reference '#]],ScenariosCombined[Reference '#],ScenariosCombined[Sharpe Rank])</f>
        <v>80</v>
      </c>
      <c r="X148" s="44">
        <f>IF(Scenarios2[[#This Row],[Eligible]],COUNTIFS(Scenarios2[Sharpe],"&gt;"&amp;Scenarios2[[#This Row],[Sharpe]],Scenarios2[Eligible],TRUE())+COUNTIFS(Scenarios2[Sharpe],Scenarios2[[#This Row],[Sharpe]],Scenarios2[Eligible],TRUE()),"")</f>
        <v>84</v>
      </c>
      <c r="Y148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25/15/15/25/20</v>
      </c>
      <c r="Z148">
        <f>_xlfn.XLOOKUP(Scenarios2[[#This Row],[Reference '#]],Scenarios1[Reference '#],Scenarios1[Sharpe Rank])</f>
        <v>88</v>
      </c>
      <c r="AA148">
        <f>Scenarios2[[#This Row],[Sharpe Rank]]</f>
        <v>84</v>
      </c>
      <c r="AB148">
        <f>_xlfn.XLOOKUP(Scenarios2[[#This Row],[Reference '#]],Scenarios3[Reference '#],Scenarios3[Sharpe Rank])</f>
        <v>65</v>
      </c>
      <c r="AG148"/>
      <c r="AK148" s="15"/>
    </row>
    <row r="149" spans="2:37" x14ac:dyDescent="0.2">
      <c r="B149" s="44">
        <v>139</v>
      </c>
      <c r="C149" s="68">
        <v>0.25</v>
      </c>
      <c r="D149" s="69">
        <v>0.15</v>
      </c>
      <c r="E149" s="69">
        <v>0.1</v>
      </c>
      <c r="F149" s="69">
        <v>0.4</v>
      </c>
      <c r="G149" s="69">
        <v>0.1</v>
      </c>
      <c r="H149" s="69">
        <f>SUMPRODUCT(Scenarios2[[#This Row],[SPY]:[PE]],_xlfn.TOROW(AssetSpecsScenario2[Annualized Return]))</f>
        <v>7.7218773398938914E-2</v>
      </c>
      <c r="I149" s="69" cm="1">
        <f t="array" ref="I149">SQRT(MMULT(MMULT(Scenarios2[[#This Row],[SPY]:[PE]], 'Corr_Cov 36- Month'!$J$13:$N$17), TRANSPOSE(Scenarios2[[#This Row],[SPY]:[PE]])))</f>
        <v>0.10547111821955832</v>
      </c>
      <c r="J149" s="70">
        <f>(Scenarios2[[#This Row],[Expected Return]]-RiskFree)/Scenarios2[[#This Row],[36M Vol]]</f>
        <v>0.28645963324754714</v>
      </c>
      <c r="K149" s="69" cm="1">
        <f t="array" ref="K149">MIN(_xlfn._xlws.FILTER(PortfolioFrontier[#Data],(PortfolioFrontier[#Headers]="P"&amp;Scenarios2[[#This Row],[Reference '#]]&amp;" DD")))</f>
        <v>-0.20988720039690845</v>
      </c>
      <c r="L149" s="69">
        <f>SUM(Scenarios2[[#This Row],[SPY]:[VNQ]])</f>
        <v>0.9</v>
      </c>
      <c r="M149" s="69">
        <f>SUM(Scenarios2[[#This Row],[SPY]:[PE]])</f>
        <v>1</v>
      </c>
      <c r="N149" s="71" t="b">
        <f>Scenarios2[[#This Row],[SPY]]&gt;=SpyMin</f>
        <v>1</v>
      </c>
      <c r="O149" s="71" t="b">
        <f>Scenarios2[[#This Row],[AGG]]&gt;=AGGMin</f>
        <v>1</v>
      </c>
      <c r="P149" s="71" t="b">
        <f>AND(Scenarios2[[#This Row],[GLD]]&gt;=GLDMin,Scenarios2[[#This Row],[GLD]]&lt;=GLDMax)</f>
        <v>1</v>
      </c>
      <c r="Q149" s="71" t="b">
        <f>Scenarios2[[#This Row],[VNQ]]&gt;=VNQMin</f>
        <v>1</v>
      </c>
      <c r="R149" s="71" t="b">
        <f>AND(Scenarios2[[#This Row],[PE]]&gt;=PEMin,Scenarios2[[#This Row],[PE]]&lt;=PEMax)</f>
        <v>1</v>
      </c>
      <c r="S149" s="71" t="b">
        <f>Scenarios2[[#This Row],[Liquid Assets]]&gt;=LiquidMin</f>
        <v>1</v>
      </c>
      <c r="T149" s="71" t="b">
        <f>AND(Scenarios2[[#This Row],[Expected Return]]&gt;=ExpectedReturnMin,Scenarios2[[#This Row],[Expected Return]]&lt;=ExpectedReturnMax)</f>
        <v>1</v>
      </c>
      <c r="U149" s="71" t="b">
        <f>Scenarios2[[#This Row],[Max Drawdown]]&gt;=DrawdownMax</f>
        <v>0</v>
      </c>
      <c r="V149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0</v>
      </c>
      <c r="W149" s="46" t="str">
        <f>_xlfn.XLOOKUP(Scenarios2[[#This Row],[Reference '#]],ScenariosCombined[Reference '#],ScenariosCombined[Sharpe Rank])</f>
        <v/>
      </c>
      <c r="X149" s="44" t="str">
        <f>IF(Scenarios2[[#This Row],[Eligible]],COUNTIFS(Scenarios2[Sharpe],"&gt;"&amp;Scenarios2[[#This Row],[Sharpe]],Scenarios2[Eligible],TRUE())+COUNTIFS(Scenarios2[Sharpe],Scenarios2[[#This Row],[Sharpe]],Scenarios2[Eligible],TRUE()),"")</f>
        <v/>
      </c>
      <c r="Y149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25/15/10/40/10</v>
      </c>
      <c r="Z149" t="str">
        <f>_xlfn.XLOOKUP(Scenarios2[[#This Row],[Reference '#]],Scenarios1[Reference '#],Scenarios1[Sharpe Rank])</f>
        <v/>
      </c>
      <c r="AA149" t="str">
        <f>Scenarios2[[#This Row],[Sharpe Rank]]</f>
        <v/>
      </c>
      <c r="AB149" t="str">
        <f>_xlfn.XLOOKUP(Scenarios2[[#This Row],[Reference '#]],Scenarios3[Reference '#],Scenarios3[Sharpe Rank])</f>
        <v/>
      </c>
      <c r="AG149"/>
      <c r="AK149" s="15"/>
    </row>
    <row r="150" spans="2:37" x14ac:dyDescent="0.2">
      <c r="B150" s="44">
        <v>140</v>
      </c>
      <c r="C150" s="68">
        <v>0.25</v>
      </c>
      <c r="D150" s="69">
        <v>0.15</v>
      </c>
      <c r="E150" s="69">
        <v>0.1</v>
      </c>
      <c r="F150" s="69">
        <v>0.35</v>
      </c>
      <c r="G150" s="69">
        <v>0.15</v>
      </c>
      <c r="H150" s="69">
        <f>SUMPRODUCT(Scenarios2[[#This Row],[SPY]:[PE]],_xlfn.TOROW(AssetSpecsScenario2[Annualized Return]))</f>
        <v>7.7355479917885411E-2</v>
      </c>
      <c r="I150" s="69" cm="1">
        <f t="array" ref="I150">SQRT(MMULT(MMULT(Scenarios2[[#This Row],[SPY]:[PE]], 'Corr_Cov 36- Month'!$J$13:$N$17), TRANSPOSE(Scenarios2[[#This Row],[SPY]:[PE]])))</f>
        <v>9.7097892988514276E-2</v>
      </c>
      <c r="J150" s="70">
        <f>(Scenarios2[[#This Row],[Expected Return]]-RiskFree)/Scenarios2[[#This Row],[36M Vol]]</f>
        <v>0.31257037025427481</v>
      </c>
      <c r="K150" s="69" cm="1">
        <f t="array" ref="K150">MIN(_xlfn._xlws.FILTER(PortfolioFrontier[#Data],(PortfolioFrontier[#Headers]="P"&amp;Scenarios2[[#This Row],[Reference '#]]&amp;" DD")))</f>
        <v>-0.19563516063567976</v>
      </c>
      <c r="L150" s="69">
        <f>SUM(Scenarios2[[#This Row],[SPY]:[VNQ]])</f>
        <v>0.85</v>
      </c>
      <c r="M150" s="69">
        <f>SUM(Scenarios2[[#This Row],[SPY]:[PE]])</f>
        <v>1</v>
      </c>
      <c r="N150" s="71" t="b">
        <f>Scenarios2[[#This Row],[SPY]]&gt;=SpyMin</f>
        <v>1</v>
      </c>
      <c r="O150" s="71" t="b">
        <f>Scenarios2[[#This Row],[AGG]]&gt;=AGGMin</f>
        <v>1</v>
      </c>
      <c r="P150" s="71" t="b">
        <f>AND(Scenarios2[[#This Row],[GLD]]&gt;=GLDMin,Scenarios2[[#This Row],[GLD]]&lt;=GLDMax)</f>
        <v>1</v>
      </c>
      <c r="Q150" s="71" t="b">
        <f>Scenarios2[[#This Row],[VNQ]]&gt;=VNQMin</f>
        <v>1</v>
      </c>
      <c r="R150" s="71" t="b">
        <f>AND(Scenarios2[[#This Row],[PE]]&gt;=PEMin,Scenarios2[[#This Row],[PE]]&lt;=PEMax)</f>
        <v>1</v>
      </c>
      <c r="S150" s="71" t="b">
        <f>Scenarios2[[#This Row],[Liquid Assets]]&gt;=LiquidMin</f>
        <v>1</v>
      </c>
      <c r="T150" s="71" t="b">
        <f>AND(Scenarios2[[#This Row],[Expected Return]]&gt;=ExpectedReturnMin,Scenarios2[[#This Row],[Expected Return]]&lt;=ExpectedReturnMax)</f>
        <v>1</v>
      </c>
      <c r="U150" s="71" t="b">
        <f>Scenarios2[[#This Row],[Max Drawdown]]&gt;=DrawdownMax</f>
        <v>1</v>
      </c>
      <c r="V150" s="72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50" s="46">
        <f>_xlfn.XLOOKUP(Scenarios2[[#This Row],[Reference '#]],ScenariosCombined[Reference '#],ScenariosCombined[Sharpe Rank])</f>
        <v>114</v>
      </c>
      <c r="X150" s="44">
        <f>IF(Scenarios2[[#This Row],[Eligible]],COUNTIFS(Scenarios2[Sharpe],"&gt;"&amp;Scenarios2[[#This Row],[Sharpe]],Scenarios2[Eligible],TRUE())+COUNTIFS(Scenarios2[Sharpe],Scenarios2[[#This Row],[Sharpe]],Scenarios2[Eligible],TRUE()),"")</f>
        <v>110</v>
      </c>
      <c r="Y150" s="47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25/15/10/35/15</v>
      </c>
      <c r="Z150">
        <f>_xlfn.XLOOKUP(Scenarios2[[#This Row],[Reference '#]],Scenarios1[Reference '#],Scenarios1[Sharpe Rank])</f>
        <v>110</v>
      </c>
      <c r="AA150">
        <f>Scenarios2[[#This Row],[Sharpe Rank]]</f>
        <v>110</v>
      </c>
      <c r="AB150">
        <f>_xlfn.XLOOKUP(Scenarios2[[#This Row],[Reference '#]],Scenarios3[Reference '#],Scenarios3[Sharpe Rank])</f>
        <v>111</v>
      </c>
      <c r="AG150"/>
      <c r="AK150" s="15"/>
    </row>
    <row r="151" spans="2:37" x14ac:dyDescent="0.2">
      <c r="B151" s="44">
        <v>141</v>
      </c>
      <c r="C151" s="77">
        <v>0.25</v>
      </c>
      <c r="D151" s="78">
        <v>0.15</v>
      </c>
      <c r="E151" s="78">
        <v>0.1</v>
      </c>
      <c r="F151" s="78">
        <v>0.3</v>
      </c>
      <c r="G151" s="78">
        <v>0.2</v>
      </c>
      <c r="H151" s="78">
        <f>SUMPRODUCT(Scenarios2[[#This Row],[SPY]:[PE]],_xlfn.TOROW(AssetSpecsScenario2[Annualized Return]))</f>
        <v>7.7492186436831922E-2</v>
      </c>
      <c r="I151" s="78" cm="1">
        <f t="array" ref="I151">SQRT(MMULT(MMULT(Scenarios2[[#This Row],[SPY]:[PE]], 'Corr_Cov 36- Month'!$J$13:$N$17), TRANSPOSE(Scenarios2[[#This Row],[SPY]:[PE]])))</f>
        <v>8.8971617993864618E-2</v>
      </c>
      <c r="J151" s="70">
        <f>(Scenarios2[[#This Row],[Expected Return]]-RiskFree)/Scenarios2[[#This Row],[36M Vol]]</f>
        <v>0.34265568693354204</v>
      </c>
      <c r="K151" s="78" cm="1">
        <f t="array" ref="K151">MIN(_xlfn._xlws.FILTER(PortfolioFrontier[#Data],(PortfolioFrontier[#Headers]="P"&amp;Scenarios2[[#This Row],[Reference '#]]&amp;" DD")))</f>
        <v>-0.18126319236251531</v>
      </c>
      <c r="L151" s="78">
        <f>SUM(Scenarios2[[#This Row],[SPY]:[VNQ]])</f>
        <v>0.8</v>
      </c>
      <c r="M151" s="78">
        <f>SUM(Scenarios2[[#This Row],[SPY]:[PE]])</f>
        <v>1</v>
      </c>
      <c r="N151" s="71" t="b">
        <f>Scenarios2[[#This Row],[SPY]]&gt;=SpyMin</f>
        <v>1</v>
      </c>
      <c r="O151" s="71" t="b">
        <f>Scenarios2[[#This Row],[AGG]]&gt;=AGGMin</f>
        <v>1</v>
      </c>
      <c r="P151" s="71" t="b">
        <f>AND(Scenarios2[[#This Row],[GLD]]&gt;=GLDMin,Scenarios2[[#This Row],[GLD]]&lt;=GLDMax)</f>
        <v>1</v>
      </c>
      <c r="Q151" s="71" t="b">
        <f>Scenarios2[[#This Row],[VNQ]]&gt;=VNQMin</f>
        <v>1</v>
      </c>
      <c r="R151" s="71" t="b">
        <f>AND(Scenarios2[[#This Row],[PE]]&gt;=PEMin,Scenarios2[[#This Row],[PE]]&lt;=PEMax)</f>
        <v>1</v>
      </c>
      <c r="S151" s="71" t="b">
        <f>Scenarios2[[#This Row],[Liquid Assets]]&gt;=LiquidMin</f>
        <v>1</v>
      </c>
      <c r="T151" s="71" t="b">
        <f>AND(Scenarios2[[#This Row],[Expected Return]]&gt;=ExpectedReturnMin,Scenarios2[[#This Row],[Expected Return]]&lt;=ExpectedReturnMax)</f>
        <v>1</v>
      </c>
      <c r="U151" s="71" t="b">
        <f>Scenarios2[[#This Row],[Max Drawdown]]&gt;=DrawdownMax</f>
        <v>1</v>
      </c>
      <c r="V151" s="79" t="b">
        <f>AND(Scenarios2[[#This Row],[Weight Sum]]=100%,Scenarios2[[#This Row],[SPY&gt;=25%]],Scenarios2[[#This Row],[AGG&gt;=15%]],Scenarios2[[#This Row],[GLD 10%-20%]],Scenarios2[[#This Row],[VNQ&gt;=10%]],Scenarios2[[#This Row],[PE 10%-20%]],Scenarios2[[#This Row],[Liquid&gt;=80%]],Scenarios2[[#This Row],[Return 7.5%-10%]],Scenarios2[[#This Row],[MDD&gt;=-20%]])</f>
        <v>1</v>
      </c>
      <c r="W151" s="48">
        <f>_xlfn.XLOOKUP(Scenarios2[[#This Row],[Reference '#]],ScenariosCombined[Reference '#],ScenariosCombined[Sharpe Rank])</f>
        <v>108</v>
      </c>
      <c r="X151" s="44">
        <f>IF(Scenarios2[[#This Row],[Eligible]],COUNTIFS(Scenarios2[Sharpe],"&gt;"&amp;Scenarios2[[#This Row],[Sharpe]],Scenarios2[Eligible],TRUE())+COUNTIFS(Scenarios2[Sharpe],Scenarios2[[#This Row],[Sharpe]],Scenarios2[Eligible],TRUE()),"")</f>
        <v>108</v>
      </c>
      <c r="Y151" s="49" t="str">
        <f>TEXT(Scenarios2[[#This Row],[SPY]]*100,"##")&amp;"/"&amp;TEXT(Scenarios2[[#This Row],[AGG]]*100,"##")&amp;"/"&amp;TEXT(Scenarios2[[#This Row],[GLD]]*100,"##")&amp;"/"&amp;TEXT(Scenarios2[[#This Row],[VNQ]]*100,"##")&amp;"/"&amp;TEXT(Scenarios2[[#This Row],[PE]]*100,"##")</f>
        <v>25/15/10/30/20</v>
      </c>
      <c r="Z151">
        <f>_xlfn.XLOOKUP(Scenarios2[[#This Row],[Reference '#]],Scenarios1[Reference '#],Scenarios1[Sharpe Rank])</f>
        <v>108</v>
      </c>
      <c r="AA151">
        <f>Scenarios2[[#This Row],[Sharpe Rank]]</f>
        <v>108</v>
      </c>
      <c r="AB151">
        <f>_xlfn.XLOOKUP(Scenarios2[[#This Row],[Reference '#]],Scenarios3[Reference '#],Scenarios3[Sharpe Rank])</f>
        <v>95</v>
      </c>
      <c r="AG151"/>
      <c r="AK151" s="15"/>
    </row>
  </sheetData>
  <conditionalFormatting sqref="V11:V151">
    <cfRule type="containsText" dxfId="5" priority="1" operator="containsText" text="TRUE">
      <formula>NOT(ISERROR(SEARCH("TRUE",V11)))</formula>
    </cfRule>
    <cfRule type="containsText" dxfId="4" priority="2" operator="containsText" text="FALSE">
      <formula>NOT(ISERROR(SEARCH("FALSE",V11)))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974D-A088-4C68-83C5-59789D2BDFAD}">
  <dimension ref="B1:AK151"/>
  <sheetViews>
    <sheetView topLeftCell="O110" zoomScale="85" zoomScaleNormal="85" workbookViewId="0"/>
  </sheetViews>
  <sheetFormatPr baseColWidth="10" defaultColWidth="8.83203125" defaultRowHeight="15" x14ac:dyDescent="0.2"/>
  <cols>
    <col min="1" max="1" width="3.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bestFit="1" customWidth="1"/>
    <col min="14" max="14" width="12.6640625" customWidth="1"/>
    <col min="15" max="15" width="13.83203125" customWidth="1"/>
    <col min="16" max="18" width="12.6640625" customWidth="1"/>
    <col min="19" max="19" width="16.5" customWidth="1"/>
    <col min="20" max="21" width="12.6640625" customWidth="1"/>
    <col min="25" max="25" width="16.5" bestFit="1" customWidth="1"/>
    <col min="26" max="26" width="8.6640625" customWidth="1"/>
    <col min="27" max="28" width="8.5" bestFit="1" customWidth="1"/>
    <col min="31" max="32" width="9.83203125" bestFit="1" customWidth="1"/>
    <col min="33" max="33" width="18.5" style="15" bestFit="1" customWidth="1"/>
    <col min="34" max="34" width="18.1640625" style="15" customWidth="1"/>
    <col min="35" max="35" width="16.1640625" style="15" customWidth="1"/>
    <col min="36" max="36" width="14.5" style="15" customWidth="1"/>
    <col min="37" max="37" width="18.5" bestFit="1" customWidth="1"/>
    <col min="38" max="38" width="18.1640625" customWidth="1"/>
    <col min="39" max="39" width="16.1640625" customWidth="1"/>
    <col min="40" max="40" width="14.5" customWidth="1"/>
    <col min="41" max="41" width="14.83203125" customWidth="1"/>
    <col min="42" max="42" width="18.1640625" customWidth="1"/>
    <col min="43" max="43" width="16.1640625" customWidth="1"/>
    <col min="44" max="44" width="14.5" customWidth="1"/>
    <col min="45" max="45" width="14.83203125" customWidth="1"/>
    <col min="46" max="46" width="18.1640625" customWidth="1"/>
    <col min="47" max="47" width="16.1640625" customWidth="1"/>
    <col min="48" max="48" width="14.5" customWidth="1"/>
    <col min="49" max="49" width="14.83203125" customWidth="1"/>
    <col min="50" max="50" width="18.1640625" customWidth="1"/>
    <col min="51" max="51" width="16.1640625" customWidth="1"/>
    <col min="52" max="52" width="14.5" customWidth="1"/>
    <col min="53" max="53" width="14.83203125" customWidth="1"/>
    <col min="54" max="54" width="18.1640625" customWidth="1"/>
    <col min="55" max="55" width="16.1640625" customWidth="1"/>
    <col min="56" max="56" width="14.5" customWidth="1"/>
    <col min="57" max="57" width="14.83203125" customWidth="1"/>
    <col min="58" max="58" width="18.1640625" customWidth="1"/>
    <col min="59" max="59" width="16.1640625" customWidth="1"/>
    <col min="60" max="60" width="14.5" customWidth="1"/>
    <col min="61" max="61" width="14.83203125" customWidth="1"/>
    <col min="62" max="62" width="18.1640625" customWidth="1"/>
    <col min="63" max="63" width="16.1640625" customWidth="1"/>
    <col min="64" max="64" width="14.5" customWidth="1"/>
    <col min="65" max="65" width="14.83203125" customWidth="1"/>
    <col min="66" max="66" width="18.1640625" customWidth="1"/>
    <col min="67" max="67" width="16.1640625" customWidth="1"/>
    <col min="68" max="68" width="14.5" customWidth="1"/>
    <col min="69" max="69" width="15.83203125" customWidth="1"/>
    <col min="70" max="70" width="19.1640625" customWidth="1"/>
    <col min="71" max="71" width="17.1640625" customWidth="1"/>
    <col min="72" max="72" width="15.5" customWidth="1"/>
    <col min="73" max="73" width="15.83203125" customWidth="1"/>
    <col min="74" max="74" width="19.1640625" customWidth="1"/>
    <col min="75" max="75" width="17.1640625" customWidth="1"/>
    <col min="76" max="76" width="15.5" customWidth="1"/>
    <col min="77" max="77" width="15.83203125" customWidth="1"/>
    <col min="78" max="78" width="19.1640625" customWidth="1"/>
    <col min="79" max="79" width="17.1640625" customWidth="1"/>
    <col min="80" max="80" width="15.5" customWidth="1"/>
    <col min="81" max="81" width="15.83203125" customWidth="1"/>
    <col min="82" max="82" width="19.1640625" customWidth="1"/>
    <col min="83" max="83" width="17.1640625" customWidth="1"/>
    <col min="84" max="84" width="15.5" customWidth="1"/>
    <col min="85" max="85" width="15.83203125" customWidth="1"/>
    <col min="86" max="86" width="19.1640625" customWidth="1"/>
    <col min="87" max="87" width="17.1640625" customWidth="1"/>
    <col min="88" max="88" width="15.5" customWidth="1"/>
    <col min="89" max="89" width="15.83203125" customWidth="1"/>
    <col min="90" max="90" width="19.1640625" customWidth="1"/>
    <col min="91" max="91" width="17.1640625" customWidth="1"/>
    <col min="92" max="92" width="15.5" customWidth="1"/>
    <col min="93" max="93" width="15.83203125" customWidth="1"/>
    <col min="94" max="94" width="19.1640625" customWidth="1"/>
    <col min="95" max="95" width="17.1640625" customWidth="1"/>
    <col min="96" max="96" width="15.5" customWidth="1"/>
    <col min="97" max="97" width="15.83203125" customWidth="1"/>
    <col min="98" max="98" width="19.1640625" customWidth="1"/>
    <col min="99" max="99" width="17.1640625" customWidth="1"/>
    <col min="100" max="100" width="15.5" customWidth="1"/>
    <col min="101" max="101" width="15.83203125" customWidth="1"/>
    <col min="102" max="102" width="19.1640625" customWidth="1"/>
    <col min="103" max="103" width="17.1640625" customWidth="1"/>
    <col min="104" max="104" width="15.5" customWidth="1"/>
    <col min="105" max="105" width="15.83203125" customWidth="1"/>
    <col min="106" max="106" width="19.1640625" customWidth="1"/>
    <col min="107" max="107" width="17.1640625" customWidth="1"/>
    <col min="108" max="108" width="15.5" customWidth="1"/>
    <col min="109" max="109" width="15.83203125" customWidth="1"/>
    <col min="110" max="110" width="19.1640625" customWidth="1"/>
    <col min="111" max="111" width="17.1640625" customWidth="1"/>
    <col min="112" max="112" width="15.5" customWidth="1"/>
    <col min="113" max="113" width="15.83203125" customWidth="1"/>
    <col min="114" max="114" width="19.1640625" customWidth="1"/>
    <col min="115" max="115" width="17.1640625" customWidth="1"/>
    <col min="116" max="116" width="15.5" customWidth="1"/>
    <col min="117" max="117" width="15.83203125" customWidth="1"/>
    <col min="118" max="118" width="19.1640625" customWidth="1"/>
    <col min="119" max="119" width="17.1640625" customWidth="1"/>
    <col min="120" max="120" width="15.5" customWidth="1"/>
    <col min="121" max="121" width="15.83203125" customWidth="1"/>
    <col min="122" max="122" width="19.1640625" customWidth="1"/>
    <col min="123" max="123" width="17.1640625" customWidth="1"/>
    <col min="124" max="124" width="15.5" customWidth="1"/>
    <col min="125" max="125" width="15.83203125" customWidth="1"/>
    <col min="126" max="126" width="19.1640625" customWidth="1"/>
    <col min="127" max="127" width="17.1640625" customWidth="1"/>
    <col min="128" max="128" width="15.5" customWidth="1"/>
    <col min="129" max="129" width="15.83203125" customWidth="1"/>
    <col min="130" max="130" width="19.1640625" customWidth="1"/>
    <col min="131" max="131" width="17.1640625" customWidth="1"/>
    <col min="132" max="132" width="15.5" customWidth="1"/>
    <col min="133" max="133" width="15.83203125" customWidth="1"/>
    <col min="134" max="134" width="19.1640625" customWidth="1"/>
    <col min="135" max="135" width="17.1640625" customWidth="1"/>
    <col min="136" max="136" width="15.5" customWidth="1"/>
    <col min="137" max="137" width="15.83203125" customWidth="1"/>
    <col min="138" max="138" width="19.1640625" customWidth="1"/>
    <col min="139" max="139" width="17.1640625" customWidth="1"/>
    <col min="140" max="140" width="15.5" customWidth="1"/>
    <col min="141" max="141" width="15.83203125" customWidth="1"/>
    <col min="142" max="142" width="19.1640625" customWidth="1"/>
    <col min="143" max="143" width="17.1640625" customWidth="1"/>
    <col min="144" max="144" width="15.5" customWidth="1"/>
    <col min="145" max="145" width="15.83203125" customWidth="1"/>
    <col min="146" max="146" width="19.1640625" customWidth="1"/>
    <col min="147" max="147" width="17.1640625" customWidth="1"/>
    <col min="148" max="148" width="15.5" customWidth="1"/>
    <col min="149" max="149" width="15.83203125" customWidth="1"/>
    <col min="150" max="150" width="19.1640625" customWidth="1"/>
    <col min="151" max="151" width="17.1640625" customWidth="1"/>
    <col min="152" max="152" width="15.5" customWidth="1"/>
    <col min="153" max="153" width="15.83203125" customWidth="1"/>
    <col min="154" max="154" width="19.1640625" customWidth="1"/>
    <col min="155" max="155" width="17.1640625" customWidth="1"/>
    <col min="156" max="156" width="15.5" customWidth="1"/>
    <col min="157" max="157" width="15.83203125" customWidth="1"/>
    <col min="158" max="158" width="19.1640625" customWidth="1"/>
    <col min="159" max="159" width="17.1640625" customWidth="1"/>
    <col min="160" max="160" width="15.5" customWidth="1"/>
    <col min="161" max="161" width="15.83203125" customWidth="1"/>
    <col min="162" max="162" width="19.1640625" customWidth="1"/>
    <col min="163" max="163" width="17.1640625" customWidth="1"/>
    <col min="164" max="164" width="15.5" customWidth="1"/>
    <col min="165" max="165" width="15.83203125" customWidth="1"/>
    <col min="166" max="166" width="19.1640625" customWidth="1"/>
    <col min="167" max="167" width="17.1640625" customWidth="1"/>
    <col min="168" max="168" width="15.5" customWidth="1"/>
    <col min="169" max="169" width="15.83203125" customWidth="1"/>
    <col min="170" max="170" width="19.1640625" customWidth="1"/>
    <col min="171" max="171" width="17.1640625" customWidth="1"/>
    <col min="172" max="172" width="15.5" customWidth="1"/>
    <col min="173" max="173" width="15.83203125" customWidth="1"/>
    <col min="174" max="174" width="19.1640625" customWidth="1"/>
    <col min="175" max="175" width="17.1640625" customWidth="1"/>
    <col min="176" max="176" width="15.5" customWidth="1"/>
    <col min="177" max="177" width="15.83203125" customWidth="1"/>
    <col min="178" max="178" width="19.1640625" customWidth="1"/>
    <col min="179" max="179" width="17.1640625" customWidth="1"/>
    <col min="180" max="180" width="15.5" customWidth="1"/>
    <col min="181" max="181" width="15.83203125" customWidth="1"/>
    <col min="182" max="182" width="19.1640625" customWidth="1"/>
    <col min="183" max="183" width="17.1640625" customWidth="1"/>
    <col min="184" max="184" width="15.5" customWidth="1"/>
    <col min="185" max="185" width="15.83203125" customWidth="1"/>
    <col min="186" max="186" width="19.1640625" customWidth="1"/>
    <col min="187" max="187" width="17.1640625" customWidth="1"/>
    <col min="188" max="188" width="15.5" customWidth="1"/>
    <col min="189" max="189" width="15.83203125" customWidth="1"/>
    <col min="190" max="190" width="19.1640625" customWidth="1"/>
    <col min="191" max="191" width="17.1640625" customWidth="1"/>
    <col min="192" max="192" width="15.5" customWidth="1"/>
    <col min="193" max="193" width="15.83203125" customWidth="1"/>
    <col min="194" max="194" width="19.1640625" customWidth="1"/>
    <col min="195" max="195" width="17.1640625" customWidth="1"/>
    <col min="196" max="196" width="15.5" customWidth="1"/>
    <col min="197" max="197" width="15.83203125" customWidth="1"/>
    <col min="198" max="198" width="19.1640625" customWidth="1"/>
    <col min="199" max="199" width="17.1640625" customWidth="1"/>
    <col min="200" max="200" width="15.5" customWidth="1"/>
    <col min="201" max="201" width="15.83203125" customWidth="1"/>
    <col min="202" max="202" width="19.1640625" customWidth="1"/>
    <col min="203" max="203" width="17.1640625" customWidth="1"/>
    <col min="204" max="204" width="15.5" customWidth="1"/>
    <col min="205" max="205" width="15.83203125" customWidth="1"/>
    <col min="206" max="206" width="19.1640625" customWidth="1"/>
    <col min="207" max="207" width="17.1640625" customWidth="1"/>
    <col min="208" max="208" width="15.5" customWidth="1"/>
    <col min="209" max="209" width="15.83203125" customWidth="1"/>
    <col min="210" max="210" width="19.1640625" customWidth="1"/>
    <col min="211" max="211" width="17.1640625" customWidth="1"/>
    <col min="212" max="212" width="15.5" customWidth="1"/>
    <col min="213" max="213" width="15.83203125" customWidth="1"/>
    <col min="214" max="214" width="19.1640625" customWidth="1"/>
    <col min="215" max="215" width="17.1640625" customWidth="1"/>
    <col min="216" max="216" width="15.5" customWidth="1"/>
    <col min="217" max="217" width="15.83203125" customWidth="1"/>
    <col min="218" max="218" width="19.1640625" customWidth="1"/>
    <col min="219" max="219" width="17.1640625" customWidth="1"/>
    <col min="220" max="220" width="15.5" customWidth="1"/>
    <col min="221" max="221" width="15.83203125" customWidth="1"/>
    <col min="222" max="222" width="19.1640625" customWidth="1"/>
    <col min="223" max="223" width="17.1640625" customWidth="1"/>
    <col min="224" max="224" width="15.5" customWidth="1"/>
    <col min="225" max="225" width="15.83203125" customWidth="1"/>
    <col min="226" max="226" width="19.1640625" customWidth="1"/>
    <col min="227" max="227" width="17.1640625" customWidth="1"/>
    <col min="228" max="228" width="15.5" customWidth="1"/>
    <col min="229" max="229" width="15.83203125" customWidth="1"/>
    <col min="230" max="230" width="19.1640625" customWidth="1"/>
    <col min="231" max="231" width="17.1640625" customWidth="1"/>
    <col min="232" max="232" width="15.5" customWidth="1"/>
    <col min="233" max="233" width="15.83203125" customWidth="1"/>
    <col min="234" max="234" width="19.1640625" customWidth="1"/>
    <col min="235" max="235" width="17.1640625" customWidth="1"/>
    <col min="236" max="236" width="15.5" customWidth="1"/>
    <col min="237" max="237" width="15.83203125" customWidth="1"/>
    <col min="238" max="238" width="19.1640625" customWidth="1"/>
    <col min="239" max="239" width="17.1640625" customWidth="1"/>
    <col min="240" max="240" width="15.5" customWidth="1"/>
    <col min="241" max="241" width="15.83203125" customWidth="1"/>
    <col min="242" max="242" width="19.1640625" customWidth="1"/>
    <col min="243" max="243" width="17.1640625" customWidth="1"/>
    <col min="244" max="244" width="15.5" customWidth="1"/>
    <col min="245" max="245" width="15.83203125" customWidth="1"/>
    <col min="246" max="246" width="19.1640625" customWidth="1"/>
    <col min="247" max="247" width="17.1640625" customWidth="1"/>
    <col min="248" max="248" width="15.5" customWidth="1"/>
    <col min="249" max="249" width="15.83203125" customWidth="1"/>
    <col min="250" max="250" width="19.1640625" customWidth="1"/>
    <col min="251" max="251" width="17.1640625" customWidth="1"/>
    <col min="252" max="252" width="15.5" customWidth="1"/>
    <col min="253" max="253" width="15.83203125" customWidth="1"/>
    <col min="254" max="254" width="19.1640625" customWidth="1"/>
    <col min="255" max="255" width="17.1640625" customWidth="1"/>
    <col min="256" max="256" width="15.5" customWidth="1"/>
    <col min="257" max="257" width="15.83203125" customWidth="1"/>
    <col min="258" max="258" width="19.1640625" customWidth="1"/>
    <col min="259" max="259" width="17.1640625" customWidth="1"/>
    <col min="260" max="260" width="15.5" customWidth="1"/>
    <col min="261" max="261" width="15.83203125" customWidth="1"/>
    <col min="262" max="262" width="19.1640625" customWidth="1"/>
    <col min="263" max="263" width="17.1640625" customWidth="1"/>
    <col min="264" max="264" width="15.5" customWidth="1"/>
    <col min="265" max="265" width="15.83203125" customWidth="1"/>
    <col min="266" max="266" width="19.1640625" customWidth="1"/>
    <col min="267" max="267" width="17.1640625" customWidth="1"/>
    <col min="268" max="268" width="15.5" customWidth="1"/>
    <col min="269" max="269" width="15.83203125" customWidth="1"/>
    <col min="270" max="270" width="19.1640625" customWidth="1"/>
    <col min="271" max="271" width="17.1640625" customWidth="1"/>
    <col min="272" max="272" width="15.5" customWidth="1"/>
    <col min="273" max="273" width="15.83203125" customWidth="1"/>
    <col min="274" max="274" width="19.1640625" customWidth="1"/>
    <col min="275" max="275" width="17.1640625" customWidth="1"/>
    <col min="276" max="276" width="15.5" customWidth="1"/>
    <col min="277" max="277" width="15.83203125" customWidth="1"/>
    <col min="278" max="278" width="19.1640625" customWidth="1"/>
    <col min="279" max="279" width="17.1640625" customWidth="1"/>
    <col min="280" max="280" width="15.5" customWidth="1"/>
    <col min="281" max="281" width="15.83203125" customWidth="1"/>
    <col min="282" max="282" width="19.1640625" customWidth="1"/>
    <col min="283" max="283" width="17.1640625" customWidth="1"/>
    <col min="284" max="284" width="15.5" customWidth="1"/>
    <col min="285" max="285" width="15.83203125" customWidth="1"/>
    <col min="286" max="286" width="19.1640625" customWidth="1"/>
    <col min="287" max="287" width="17.1640625" customWidth="1"/>
    <col min="288" max="288" width="15.5" customWidth="1"/>
    <col min="289" max="289" width="15.83203125" customWidth="1"/>
    <col min="290" max="290" width="19.1640625" customWidth="1"/>
    <col min="291" max="291" width="17.1640625" customWidth="1"/>
    <col min="292" max="292" width="15.5" customWidth="1"/>
    <col min="293" max="293" width="15.83203125" customWidth="1"/>
    <col min="294" max="294" width="19.1640625" customWidth="1"/>
    <col min="295" max="295" width="17.1640625" customWidth="1"/>
    <col min="296" max="296" width="15.5" customWidth="1"/>
    <col min="297" max="297" width="15.83203125" customWidth="1"/>
    <col min="298" max="298" width="19.1640625" customWidth="1"/>
    <col min="299" max="299" width="17.1640625" customWidth="1"/>
    <col min="300" max="300" width="15.5" customWidth="1"/>
    <col min="301" max="301" width="15.83203125" customWidth="1"/>
    <col min="302" max="302" width="19.1640625" customWidth="1"/>
    <col min="303" max="303" width="17.1640625" customWidth="1"/>
    <col min="304" max="304" width="15.5" customWidth="1"/>
    <col min="305" max="305" width="15.83203125" customWidth="1"/>
    <col min="306" max="306" width="19.1640625" customWidth="1"/>
    <col min="307" max="307" width="17.1640625" customWidth="1"/>
    <col min="308" max="308" width="15.5" customWidth="1"/>
    <col min="309" max="309" width="15.83203125" customWidth="1"/>
    <col min="310" max="310" width="19.1640625" customWidth="1"/>
    <col min="311" max="311" width="17.1640625" customWidth="1"/>
    <col min="312" max="312" width="15.5" customWidth="1"/>
    <col min="313" max="313" width="15.83203125" customWidth="1"/>
    <col min="314" max="314" width="19.1640625" customWidth="1"/>
    <col min="315" max="315" width="17.1640625" customWidth="1"/>
    <col min="316" max="316" width="15.5" customWidth="1"/>
    <col min="317" max="317" width="15.83203125" customWidth="1"/>
    <col min="318" max="318" width="19.1640625" customWidth="1"/>
    <col min="319" max="319" width="17.1640625" customWidth="1"/>
    <col min="320" max="320" width="15.5" customWidth="1"/>
    <col min="321" max="321" width="15.83203125" customWidth="1"/>
    <col min="322" max="322" width="19.1640625" customWidth="1"/>
    <col min="323" max="323" width="17.1640625" customWidth="1"/>
    <col min="324" max="324" width="15.5" customWidth="1"/>
    <col min="325" max="325" width="15.83203125" customWidth="1"/>
    <col min="326" max="326" width="19.1640625" customWidth="1"/>
    <col min="327" max="327" width="17.1640625" customWidth="1"/>
    <col min="328" max="328" width="15.5" customWidth="1"/>
    <col min="329" max="329" width="15.83203125" customWidth="1"/>
    <col min="330" max="330" width="19.1640625" customWidth="1"/>
    <col min="331" max="331" width="17.1640625" customWidth="1"/>
    <col min="332" max="332" width="15.5" customWidth="1"/>
    <col min="333" max="333" width="15.83203125" customWidth="1"/>
    <col min="334" max="334" width="19.1640625" customWidth="1"/>
    <col min="335" max="335" width="17.1640625" customWidth="1"/>
    <col min="336" max="336" width="15.5" customWidth="1"/>
    <col min="337" max="337" width="15.83203125" customWidth="1"/>
    <col min="338" max="338" width="19.1640625" customWidth="1"/>
    <col min="339" max="339" width="17.1640625" customWidth="1"/>
    <col min="340" max="340" width="15.5" customWidth="1"/>
    <col min="341" max="341" width="15.83203125" customWidth="1"/>
    <col min="342" max="342" width="19.1640625" customWidth="1"/>
    <col min="343" max="343" width="17.1640625" customWidth="1"/>
    <col min="344" max="344" width="15.5" customWidth="1"/>
    <col min="345" max="345" width="15.83203125" customWidth="1"/>
    <col min="346" max="346" width="19.1640625" customWidth="1"/>
    <col min="347" max="347" width="17.1640625" customWidth="1"/>
    <col min="348" max="348" width="15.5" customWidth="1"/>
    <col min="349" max="349" width="15.83203125" customWidth="1"/>
    <col min="350" max="350" width="19.1640625" customWidth="1"/>
    <col min="351" max="351" width="17.1640625" customWidth="1"/>
    <col min="352" max="352" width="15.5" customWidth="1"/>
    <col min="353" max="353" width="15.83203125" customWidth="1"/>
    <col min="354" max="354" width="19.1640625" customWidth="1"/>
    <col min="355" max="355" width="17.1640625" customWidth="1"/>
    <col min="356" max="356" width="15.5" customWidth="1"/>
    <col min="357" max="357" width="15.83203125" customWidth="1"/>
    <col min="358" max="358" width="19.1640625" customWidth="1"/>
    <col min="359" max="359" width="17.1640625" customWidth="1"/>
    <col min="360" max="360" width="15.5" customWidth="1"/>
    <col min="361" max="361" width="15.83203125" customWidth="1"/>
    <col min="362" max="362" width="19.1640625" customWidth="1"/>
    <col min="363" max="363" width="17.1640625" customWidth="1"/>
    <col min="364" max="364" width="15.5" customWidth="1"/>
    <col min="365" max="365" width="15.83203125" customWidth="1"/>
    <col min="366" max="366" width="19.1640625" customWidth="1"/>
    <col min="367" max="367" width="17.1640625" customWidth="1"/>
    <col min="368" max="368" width="15.5" customWidth="1"/>
    <col min="369" max="369" width="15.83203125" customWidth="1"/>
    <col min="370" max="370" width="19.1640625" customWidth="1"/>
    <col min="371" max="371" width="17.1640625" customWidth="1"/>
    <col min="372" max="372" width="15.5" customWidth="1"/>
    <col min="373" max="373" width="15.83203125" customWidth="1"/>
    <col min="374" max="374" width="19.1640625" customWidth="1"/>
    <col min="375" max="375" width="17.1640625" customWidth="1"/>
    <col min="376" max="376" width="15.5" customWidth="1"/>
    <col min="377" max="377" width="15.83203125" customWidth="1"/>
    <col min="378" max="378" width="19.1640625" customWidth="1"/>
    <col min="379" max="379" width="17.1640625" customWidth="1"/>
    <col min="380" max="380" width="15.5" customWidth="1"/>
    <col min="381" max="381" width="15.83203125" customWidth="1"/>
    <col min="382" max="382" width="19.1640625" customWidth="1"/>
    <col min="383" max="383" width="17.1640625" customWidth="1"/>
    <col min="384" max="384" width="15.5" customWidth="1"/>
    <col min="385" max="385" width="15.83203125" customWidth="1"/>
    <col min="386" max="386" width="19.1640625" customWidth="1"/>
    <col min="387" max="387" width="17.1640625" customWidth="1"/>
    <col min="388" max="388" width="15.5" customWidth="1"/>
    <col min="389" max="389" width="15.83203125" customWidth="1"/>
    <col min="390" max="390" width="19.1640625" customWidth="1"/>
    <col min="391" max="391" width="17.1640625" customWidth="1"/>
    <col min="392" max="392" width="15.5" customWidth="1"/>
    <col min="393" max="393" width="15.83203125" customWidth="1"/>
    <col min="394" max="394" width="19.1640625" customWidth="1"/>
    <col min="395" max="395" width="17.1640625" customWidth="1"/>
    <col min="396" max="396" width="15.5" customWidth="1"/>
    <col min="397" max="397" width="15.83203125" customWidth="1"/>
    <col min="398" max="398" width="19.1640625" customWidth="1"/>
    <col min="399" max="399" width="17.1640625" customWidth="1"/>
    <col min="400" max="400" width="15.5" customWidth="1"/>
    <col min="401" max="401" width="15.83203125" customWidth="1"/>
    <col min="402" max="402" width="19.1640625" customWidth="1"/>
    <col min="403" max="403" width="17.1640625" customWidth="1"/>
    <col min="404" max="404" width="15.5" customWidth="1"/>
    <col min="405" max="405" width="15.83203125" customWidth="1"/>
    <col min="406" max="406" width="19.1640625" customWidth="1"/>
    <col min="407" max="407" width="17.1640625" customWidth="1"/>
    <col min="408" max="408" width="15.5" customWidth="1"/>
    <col min="409" max="409" width="15.83203125" customWidth="1"/>
    <col min="410" max="410" width="19.1640625" customWidth="1"/>
    <col min="411" max="411" width="17.1640625" customWidth="1"/>
    <col min="412" max="412" width="15.5" customWidth="1"/>
    <col min="413" max="413" width="15.83203125" customWidth="1"/>
    <col min="414" max="414" width="19.1640625" customWidth="1"/>
    <col min="415" max="415" width="17.1640625" customWidth="1"/>
    <col min="416" max="416" width="15.5" customWidth="1"/>
    <col min="417" max="417" width="15.83203125" customWidth="1"/>
    <col min="418" max="418" width="19.1640625" customWidth="1"/>
    <col min="419" max="419" width="17.1640625" customWidth="1"/>
    <col min="420" max="420" width="15.5" customWidth="1"/>
    <col min="421" max="421" width="15.83203125" customWidth="1"/>
    <col min="422" max="422" width="19.1640625" customWidth="1"/>
    <col min="423" max="423" width="17.1640625" customWidth="1"/>
    <col min="424" max="424" width="15.5" customWidth="1"/>
    <col min="425" max="425" width="15.83203125" customWidth="1"/>
    <col min="426" max="426" width="19.1640625" customWidth="1"/>
    <col min="427" max="427" width="17.1640625" customWidth="1"/>
    <col min="428" max="428" width="15.5" customWidth="1"/>
    <col min="429" max="429" width="16.83203125" customWidth="1"/>
    <col min="430" max="430" width="20.1640625" customWidth="1"/>
    <col min="431" max="431" width="18.1640625" customWidth="1"/>
    <col min="432" max="432" width="16.5" customWidth="1"/>
    <col min="433" max="433" width="16.83203125" customWidth="1"/>
    <col min="434" max="434" width="20.1640625" customWidth="1"/>
    <col min="435" max="435" width="18.1640625" customWidth="1"/>
    <col min="436" max="436" width="16.5" customWidth="1"/>
    <col min="437" max="437" width="16.83203125" customWidth="1"/>
    <col min="438" max="438" width="20.1640625" customWidth="1"/>
    <col min="439" max="439" width="18.1640625" customWidth="1"/>
    <col min="440" max="440" width="16.5" customWidth="1"/>
    <col min="441" max="441" width="16.83203125" customWidth="1"/>
    <col min="442" max="442" width="20.1640625" customWidth="1"/>
    <col min="443" max="443" width="18.1640625" customWidth="1"/>
    <col min="444" max="444" width="16.5" customWidth="1"/>
    <col min="445" max="445" width="16.83203125" customWidth="1"/>
    <col min="446" max="446" width="20.1640625" customWidth="1"/>
    <col min="447" max="447" width="18.1640625" customWidth="1"/>
    <col min="448" max="448" width="16.5" customWidth="1"/>
    <col min="449" max="449" width="16.83203125" customWidth="1"/>
    <col min="450" max="450" width="20.1640625" customWidth="1"/>
    <col min="451" max="451" width="18.1640625" customWidth="1"/>
    <col min="452" max="452" width="16.5" customWidth="1"/>
    <col min="453" max="453" width="16.83203125" customWidth="1"/>
    <col min="454" max="454" width="20.1640625" customWidth="1"/>
    <col min="455" max="455" width="18.1640625" customWidth="1"/>
    <col min="456" max="456" width="16.5" customWidth="1"/>
    <col min="457" max="457" width="16.83203125" customWidth="1"/>
    <col min="458" max="458" width="20.1640625" customWidth="1"/>
    <col min="459" max="459" width="18.1640625" customWidth="1"/>
    <col min="460" max="460" width="16.5" customWidth="1"/>
    <col min="461" max="461" width="16.83203125" customWidth="1"/>
    <col min="462" max="462" width="20.1640625" customWidth="1"/>
    <col min="463" max="463" width="18.1640625" customWidth="1"/>
    <col min="464" max="464" width="16.5" customWidth="1"/>
    <col min="465" max="465" width="16.83203125" customWidth="1"/>
    <col min="466" max="466" width="20.1640625" customWidth="1"/>
    <col min="467" max="467" width="18.1640625" customWidth="1"/>
    <col min="468" max="468" width="16.5" customWidth="1"/>
    <col min="469" max="469" width="16.83203125" customWidth="1"/>
    <col min="470" max="470" width="20.1640625" customWidth="1"/>
    <col min="471" max="471" width="18.1640625" customWidth="1"/>
    <col min="472" max="472" width="16.5" customWidth="1"/>
    <col min="473" max="473" width="16.83203125" customWidth="1"/>
    <col min="474" max="474" width="20.1640625" customWidth="1"/>
    <col min="475" max="475" width="18.1640625" customWidth="1"/>
    <col min="476" max="476" width="16.5" customWidth="1"/>
    <col min="477" max="477" width="16.83203125" customWidth="1"/>
    <col min="478" max="478" width="20.1640625" customWidth="1"/>
    <col min="479" max="479" width="18.1640625" customWidth="1"/>
    <col min="480" max="480" width="16.5" customWidth="1"/>
    <col min="481" max="481" width="16.83203125" customWidth="1"/>
    <col min="482" max="482" width="20.1640625" customWidth="1"/>
    <col min="483" max="483" width="18.1640625" customWidth="1"/>
    <col min="484" max="484" width="16.5" customWidth="1"/>
    <col min="485" max="485" width="16.83203125" customWidth="1"/>
    <col min="486" max="486" width="20.1640625" customWidth="1"/>
    <col min="487" max="487" width="18.1640625" customWidth="1"/>
    <col min="488" max="488" width="16.5" customWidth="1"/>
    <col min="489" max="489" width="16.83203125" customWidth="1"/>
    <col min="490" max="490" width="20.1640625" customWidth="1"/>
    <col min="491" max="491" width="18.1640625" customWidth="1"/>
    <col min="492" max="492" width="16.5" customWidth="1"/>
    <col min="493" max="493" width="16.83203125" customWidth="1"/>
    <col min="494" max="494" width="20.1640625" customWidth="1"/>
    <col min="495" max="495" width="18.1640625" customWidth="1"/>
    <col min="496" max="496" width="16.5" customWidth="1"/>
    <col min="497" max="497" width="16.83203125" customWidth="1"/>
    <col min="498" max="498" width="20.1640625" customWidth="1"/>
    <col min="499" max="499" width="18.1640625" customWidth="1"/>
    <col min="500" max="500" width="16.5" customWidth="1"/>
    <col min="501" max="501" width="16.83203125" customWidth="1"/>
    <col min="502" max="502" width="20.1640625" customWidth="1"/>
    <col min="503" max="503" width="18.1640625" customWidth="1"/>
    <col min="504" max="504" width="16.5" customWidth="1"/>
    <col min="505" max="505" width="16.83203125" customWidth="1"/>
    <col min="506" max="506" width="20.1640625" customWidth="1"/>
    <col min="507" max="507" width="18.1640625" customWidth="1"/>
    <col min="508" max="508" width="16.5" customWidth="1"/>
    <col min="509" max="509" width="16.83203125" customWidth="1"/>
    <col min="510" max="510" width="20.1640625" customWidth="1"/>
    <col min="511" max="511" width="18.1640625" customWidth="1"/>
    <col min="512" max="512" width="16.5" customWidth="1"/>
    <col min="513" max="513" width="16.83203125" customWidth="1"/>
    <col min="514" max="514" width="20.1640625" customWidth="1"/>
    <col min="515" max="515" width="18.1640625" customWidth="1"/>
    <col min="516" max="516" width="16.5" customWidth="1"/>
    <col min="517" max="517" width="16.83203125" customWidth="1"/>
    <col min="518" max="518" width="20.1640625" customWidth="1"/>
    <col min="519" max="519" width="18.1640625" customWidth="1"/>
    <col min="520" max="520" width="16.5" customWidth="1"/>
    <col min="521" max="521" width="16.83203125" customWidth="1"/>
    <col min="522" max="522" width="20.1640625" customWidth="1"/>
    <col min="523" max="523" width="18.1640625" customWidth="1"/>
    <col min="524" max="524" width="16.5" customWidth="1"/>
    <col min="525" max="525" width="16.83203125" customWidth="1"/>
    <col min="526" max="526" width="20.1640625" customWidth="1"/>
    <col min="527" max="527" width="18.1640625" customWidth="1"/>
    <col min="528" max="528" width="16.5" customWidth="1"/>
    <col min="529" max="529" width="16.83203125" customWidth="1"/>
    <col min="530" max="530" width="20.1640625" customWidth="1"/>
    <col min="531" max="531" width="18.1640625" customWidth="1"/>
    <col min="532" max="532" width="16.5" customWidth="1"/>
    <col min="533" max="533" width="16.83203125" customWidth="1"/>
    <col min="534" max="534" width="20.1640625" customWidth="1"/>
    <col min="535" max="535" width="18.1640625" customWidth="1"/>
    <col min="536" max="536" width="16.5" customWidth="1"/>
    <col min="537" max="537" width="16.83203125" customWidth="1"/>
    <col min="538" max="538" width="20.1640625" customWidth="1"/>
    <col min="539" max="539" width="18.1640625" customWidth="1"/>
    <col min="540" max="540" width="16.5" customWidth="1"/>
    <col min="541" max="541" width="16.83203125" customWidth="1"/>
    <col min="542" max="542" width="20.1640625" customWidth="1"/>
    <col min="543" max="543" width="18.1640625" customWidth="1"/>
    <col min="544" max="544" width="16.5" customWidth="1"/>
    <col min="545" max="545" width="16.83203125" customWidth="1"/>
    <col min="546" max="546" width="20.1640625" customWidth="1"/>
    <col min="547" max="547" width="18.1640625" customWidth="1"/>
    <col min="548" max="548" width="16.5" customWidth="1"/>
    <col min="549" max="549" width="16.83203125" customWidth="1"/>
    <col min="550" max="550" width="20.1640625" customWidth="1"/>
    <col min="551" max="551" width="18.1640625" customWidth="1"/>
    <col min="552" max="552" width="16.5" customWidth="1"/>
    <col min="553" max="553" width="16.83203125" customWidth="1"/>
    <col min="554" max="554" width="20.1640625" customWidth="1"/>
    <col min="555" max="555" width="18.1640625" customWidth="1"/>
    <col min="556" max="556" width="16.5" customWidth="1"/>
    <col min="557" max="557" width="16.83203125" customWidth="1"/>
    <col min="558" max="558" width="20.1640625" customWidth="1"/>
    <col min="559" max="559" width="18.1640625" customWidth="1"/>
    <col min="560" max="560" width="16.5" customWidth="1"/>
    <col min="561" max="561" width="16.83203125" customWidth="1"/>
    <col min="562" max="562" width="20.1640625" customWidth="1"/>
    <col min="563" max="563" width="18.1640625" customWidth="1"/>
    <col min="564" max="564" width="16.5" customWidth="1"/>
    <col min="565" max="565" width="16.83203125" customWidth="1"/>
    <col min="566" max="566" width="20.1640625" customWidth="1"/>
    <col min="567" max="567" width="18.1640625" customWidth="1"/>
    <col min="568" max="568" width="16.5" customWidth="1"/>
    <col min="569" max="569" width="16.83203125" customWidth="1"/>
    <col min="570" max="570" width="20.1640625" customWidth="1"/>
    <col min="571" max="571" width="18.1640625" customWidth="1"/>
    <col min="572" max="572" width="16.5" customWidth="1"/>
    <col min="573" max="573" width="16.83203125" customWidth="1"/>
    <col min="574" max="574" width="20.1640625" customWidth="1"/>
    <col min="575" max="575" width="18.1640625" customWidth="1"/>
    <col min="576" max="576" width="16.5" customWidth="1"/>
    <col min="577" max="577" width="16.83203125" customWidth="1"/>
    <col min="578" max="578" width="20.1640625" customWidth="1"/>
    <col min="579" max="579" width="18.1640625" customWidth="1"/>
    <col min="580" max="580" width="16.5" customWidth="1"/>
    <col min="581" max="581" width="16.83203125" customWidth="1"/>
    <col min="582" max="582" width="20.1640625" customWidth="1"/>
    <col min="583" max="583" width="18.1640625" customWidth="1"/>
    <col min="584" max="584" width="16.5" customWidth="1"/>
    <col min="585" max="585" width="16.83203125" customWidth="1"/>
    <col min="586" max="586" width="20.1640625" customWidth="1"/>
    <col min="587" max="587" width="18.1640625" customWidth="1"/>
    <col min="588" max="588" width="16.5" customWidth="1"/>
    <col min="589" max="589" width="16.83203125" customWidth="1"/>
    <col min="590" max="590" width="20.1640625" customWidth="1"/>
    <col min="591" max="591" width="18.1640625" customWidth="1"/>
    <col min="592" max="592" width="16.5" customWidth="1"/>
    <col min="593" max="593" width="16.83203125" customWidth="1"/>
    <col min="594" max="594" width="20.1640625" customWidth="1"/>
    <col min="595" max="595" width="18.1640625" customWidth="1"/>
    <col min="596" max="596" width="16.5" customWidth="1"/>
  </cols>
  <sheetData>
    <row r="1" spans="2:37" s="15" customFormat="1" ht="19" x14ac:dyDescent="0.25">
      <c r="B1" s="39" t="s">
        <v>641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K1"/>
    </row>
    <row r="3" spans="2:37" s="15" customFormat="1" ht="16" x14ac:dyDescent="0.2">
      <c r="B3" s="17" t="s">
        <v>16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17</v>
      </c>
      <c r="I3" s="18" t="s">
        <v>14</v>
      </c>
      <c r="J3" s="18" t="s">
        <v>18</v>
      </c>
      <c r="K3" s="18" t="s">
        <v>19</v>
      </c>
      <c r="L3" s="19" t="s">
        <v>20</v>
      </c>
      <c r="M3" s="18" t="s">
        <v>662</v>
      </c>
      <c r="N3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K3"/>
    </row>
    <row r="4" spans="2:37" s="15" customFormat="1" x14ac:dyDescent="0.2">
      <c r="B4" s="61">
        <v>1</v>
      </c>
      <c r="C4" s="53">
        <f t="shared" ref="C4:L8" si="0">_xlfn.XLOOKUP($B4,$AB$10:$AB$149,C$10:C$149)</f>
        <v>0.35</v>
      </c>
      <c r="D4" s="53">
        <f t="shared" si="0"/>
        <v>0.2</v>
      </c>
      <c r="E4" s="53">
        <f t="shared" si="0"/>
        <v>0.2</v>
      </c>
      <c r="F4" s="53">
        <f t="shared" si="0"/>
        <v>0.1</v>
      </c>
      <c r="G4" s="53">
        <f t="shared" si="0"/>
        <v>0.15</v>
      </c>
      <c r="H4" s="53">
        <f t="shared" si="0"/>
        <v>9.8128627147206382E-2</v>
      </c>
      <c r="I4" s="53">
        <f t="shared" si="0"/>
        <v>7.5127128613537944E-2</v>
      </c>
      <c r="J4" s="85">
        <f t="shared" si="0"/>
        <v>0.68048749546430065</v>
      </c>
      <c r="K4" s="53">
        <f t="shared" si="0"/>
        <v>-0.16162825703486428</v>
      </c>
      <c r="L4" s="56">
        <f>_xlfn.XLOOKUP($B4,$AB$10:$AB$149,L$10:L$149)</f>
        <v>0.85</v>
      </c>
      <c r="M4" s="137" t="str">
        <f>_xlfn.XLOOKUP(Scenario3Rank[[#This Row],[Rank]],$X$10:$X$149,Y$10:Y$149)</f>
        <v>35/20/20/10/15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K4"/>
    </row>
    <row r="5" spans="2:37" s="15" customFormat="1" x14ac:dyDescent="0.2">
      <c r="B5" s="61">
        <v>2</v>
      </c>
      <c r="C5" s="53">
        <f t="shared" si="0"/>
        <v>0.3</v>
      </c>
      <c r="D5" s="53">
        <f t="shared" si="0"/>
        <v>0.2</v>
      </c>
      <c r="E5" s="53">
        <f t="shared" si="0"/>
        <v>0.2</v>
      </c>
      <c r="F5" s="53">
        <f t="shared" si="0"/>
        <v>0.1</v>
      </c>
      <c r="G5" s="53">
        <f t="shared" si="0"/>
        <v>0.2</v>
      </c>
      <c r="H5" s="53">
        <f t="shared" si="0"/>
        <v>9.4557327132521726E-2</v>
      </c>
      <c r="I5" s="53">
        <f t="shared" si="0"/>
        <v>7.0515905232183831E-2</v>
      </c>
      <c r="J5" s="85">
        <f t="shared" si="0"/>
        <v>0.67434107837650359</v>
      </c>
      <c r="K5" s="53">
        <f t="shared" si="0"/>
        <v>-0.14997953387901686</v>
      </c>
      <c r="L5" s="56">
        <f t="shared" si="0"/>
        <v>0.79999999999999993</v>
      </c>
      <c r="M5" s="137" t="str">
        <f>_xlfn.XLOOKUP(Scenario3Rank[[#This Row],[Rank]],$X$10:$X$149,Y$10:Y$149)</f>
        <v>30/20/20/10/20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K5"/>
    </row>
    <row r="6" spans="2:37" s="15" customFormat="1" x14ac:dyDescent="0.2">
      <c r="B6" s="61">
        <v>3</v>
      </c>
      <c r="C6" s="53">
        <f t="shared" si="0"/>
        <v>0.4</v>
      </c>
      <c r="D6" s="53">
        <f t="shared" si="0"/>
        <v>0.2</v>
      </c>
      <c r="E6" s="53">
        <f t="shared" si="0"/>
        <v>0.15</v>
      </c>
      <c r="F6" s="53">
        <f t="shared" si="0"/>
        <v>0.1</v>
      </c>
      <c r="G6" s="53">
        <f t="shared" si="0"/>
        <v>0.15</v>
      </c>
      <c r="H6" s="53">
        <f t="shared" si="0"/>
        <v>9.9236401920975534E-2</v>
      </c>
      <c r="I6" s="53">
        <f t="shared" si="0"/>
        <v>7.7569309378944171E-2</v>
      </c>
      <c r="J6" s="85">
        <f t="shared" si="0"/>
        <v>0.67334422316769782</v>
      </c>
      <c r="K6" s="53">
        <f t="shared" si="0"/>
        <v>-0.16896122731263008</v>
      </c>
      <c r="L6" s="56">
        <f t="shared" si="0"/>
        <v>0.85000000000000009</v>
      </c>
      <c r="M6" s="137" t="str">
        <f>_xlfn.XLOOKUP(Scenario3Rank[[#This Row],[Rank]],$X$10:$X$149,Y$10:Y$149)</f>
        <v>40/20/15/10/15</v>
      </c>
      <c r="N6" s="20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K6"/>
    </row>
    <row r="7" spans="2:37" s="15" customFormat="1" x14ac:dyDescent="0.2">
      <c r="B7" s="61">
        <v>4</v>
      </c>
      <c r="C7" s="53">
        <f t="shared" si="0"/>
        <v>0.35</v>
      </c>
      <c r="D7" s="53">
        <f t="shared" si="0"/>
        <v>0.2</v>
      </c>
      <c r="E7" s="53">
        <f t="shared" si="0"/>
        <v>0.15</v>
      </c>
      <c r="F7" s="53">
        <f t="shared" si="0"/>
        <v>0.1</v>
      </c>
      <c r="G7" s="53">
        <f t="shared" si="0"/>
        <v>0.2</v>
      </c>
      <c r="H7" s="53">
        <f t="shared" si="0"/>
        <v>9.5665101906290878E-2</v>
      </c>
      <c r="I7" s="53">
        <f t="shared" si="0"/>
        <v>7.2718897635541749E-2</v>
      </c>
      <c r="J7" s="85">
        <f t="shared" si="0"/>
        <v>0.66914581948988061</v>
      </c>
      <c r="K7" s="53">
        <f t="shared" si="0"/>
        <v>-0.15732759310777245</v>
      </c>
      <c r="L7" s="56">
        <f t="shared" si="0"/>
        <v>0.8</v>
      </c>
      <c r="M7" s="137" t="str">
        <f>_xlfn.XLOOKUP(Scenario3Rank[[#This Row],[Rank]],$X$10:$X$149,Y$10:Y$149)</f>
        <v>35/20/15/10/20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K7"/>
    </row>
    <row r="8" spans="2:37" s="15" customFormat="1" x14ac:dyDescent="0.2">
      <c r="B8" s="63">
        <v>5</v>
      </c>
      <c r="C8" s="58">
        <f t="shared" si="0"/>
        <v>0.35</v>
      </c>
      <c r="D8" s="58">
        <f t="shared" si="0"/>
        <v>0.15</v>
      </c>
      <c r="E8" s="58">
        <f t="shared" si="0"/>
        <v>0.2</v>
      </c>
      <c r="F8" s="58">
        <f t="shared" si="0"/>
        <v>0.15</v>
      </c>
      <c r="G8" s="58">
        <f t="shared" si="0"/>
        <v>0.15</v>
      </c>
      <c r="H8" s="58">
        <f t="shared" si="0"/>
        <v>9.9712366493369856E-2</v>
      </c>
      <c r="I8" s="58">
        <f t="shared" si="0"/>
        <v>8.0027720134087321E-2</v>
      </c>
      <c r="J8" s="108">
        <f t="shared" si="0"/>
        <v>0.65860692831813106</v>
      </c>
      <c r="K8" s="58">
        <f t="shared" si="0"/>
        <v>-0.16942426563268254</v>
      </c>
      <c r="L8" s="109">
        <f t="shared" si="0"/>
        <v>0.85</v>
      </c>
      <c r="M8" s="137" t="str">
        <f>_xlfn.XLOOKUP(Scenario3Rank[[#This Row],[Rank]],$X$10:$X$149,Y$10:Y$149)</f>
        <v>35/15/20/15/15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K8"/>
    </row>
    <row r="10" spans="2:37" s="15" customFormat="1" ht="32" x14ac:dyDescent="0.2">
      <c r="B10" s="11" t="s">
        <v>46</v>
      </c>
      <c r="C10" s="10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17</v>
      </c>
      <c r="I10" s="11" t="s">
        <v>21</v>
      </c>
      <c r="J10" s="11" t="s">
        <v>22</v>
      </c>
      <c r="K10" s="11" t="s">
        <v>19</v>
      </c>
      <c r="L10" s="11" t="s">
        <v>20</v>
      </c>
      <c r="M10" s="11" t="s">
        <v>23</v>
      </c>
      <c r="N10" s="11" t="s">
        <v>24</v>
      </c>
      <c r="O10" s="11" t="s">
        <v>25</v>
      </c>
      <c r="P10" s="11" t="s">
        <v>26</v>
      </c>
      <c r="Q10" s="11" t="s">
        <v>27</v>
      </c>
      <c r="R10" s="11" t="s">
        <v>28</v>
      </c>
      <c r="S10" s="11" t="s">
        <v>29</v>
      </c>
      <c r="T10" s="11" t="s">
        <v>30</v>
      </c>
      <c r="U10" s="11" t="s">
        <v>31</v>
      </c>
      <c r="V10" s="12" t="s">
        <v>32</v>
      </c>
      <c r="W10" s="11" t="s">
        <v>635</v>
      </c>
      <c r="X10" s="11" t="s">
        <v>636</v>
      </c>
      <c r="Y10" s="60" t="s">
        <v>662</v>
      </c>
      <c r="Z10" s="11" t="s">
        <v>642</v>
      </c>
      <c r="AA10" s="11" t="s">
        <v>643</v>
      </c>
      <c r="AB10" s="11" t="s">
        <v>644</v>
      </c>
      <c r="AC10"/>
      <c r="AD10"/>
      <c r="AE10"/>
      <c r="AF10"/>
      <c r="AG10"/>
    </row>
    <row r="11" spans="2:37" s="15" customFormat="1" x14ac:dyDescent="0.2">
      <c r="B11" s="71">
        <v>27</v>
      </c>
      <c r="C11" s="69">
        <v>0.4</v>
      </c>
      <c r="D11" s="69">
        <v>0.15</v>
      </c>
      <c r="E11" s="69">
        <v>0.2</v>
      </c>
      <c r="F11" s="69">
        <v>0.1</v>
      </c>
      <c r="G11" s="69">
        <v>0.15</v>
      </c>
      <c r="H11" s="69">
        <f>SUMPRODUCT(Scenarios3[[#This Row],[SPY]:[PE]],_xlfn.TOROW(AssetSpecsScenario3[Annualized Return]))</f>
        <v>0.10481186016821505</v>
      </c>
      <c r="I11" s="69" cm="1">
        <f t="array" ref="I11">SQRT(MMULT(MMULT(Scenarios3[[#This Row],[SPY]:[PE]], 'Corr_Cov 36- Month'!$J$13:$N$17), TRANSPOSE(Scenarios3[[#This Row],[SPY]:[PE]])))</f>
        <v>7.7747942072710019E-2</v>
      </c>
      <c r="J11" s="70">
        <f>(Scenarios3[[#This Row],[Expected Return]]-RiskFree)/Scenarios3[[#This Row],[36M Vol]]</f>
        <v>0.74350912797921942</v>
      </c>
      <c r="K11" s="107" cm="1">
        <f t="array" ref="K11">MIN(_xlfn._xlws.FILTER(PortfolioFrontier[#Data],(PortfolioFrontier[#Headers]="P"&amp;Scenarios3[[#This Row],[Reference '#]]&amp;" DD")))</f>
        <v>-0.1664981537878889</v>
      </c>
      <c r="L11" s="69">
        <f>SUM(Scenarios3[[#This Row],[SPY]:[VNQ]])</f>
        <v>0.85</v>
      </c>
      <c r="M11" s="69">
        <f>SUM(Scenarios3[[#This Row],[SPY]:[PE]])</f>
        <v>1</v>
      </c>
      <c r="N11" s="71" t="b">
        <f>Scenarios3[[#This Row],[SPY]]&gt;=SpyMin</f>
        <v>1</v>
      </c>
      <c r="O11" s="71" t="b">
        <f>Scenarios3[[#This Row],[AGG]]&gt;=AGGMin</f>
        <v>1</v>
      </c>
      <c r="P11" s="71" t="b">
        <f>AND(Scenarios3[[#This Row],[GLD]]&gt;=GLDMin,Scenarios3[[#This Row],[GLD]]&lt;=GLDMax)</f>
        <v>1</v>
      </c>
      <c r="Q11" s="71" t="b">
        <f>Scenarios3[[#This Row],[VNQ]]&gt;=VNQMin</f>
        <v>1</v>
      </c>
      <c r="R11" s="71" t="b">
        <f>AND(Scenarios3[[#This Row],[PE]]&gt;=PEMin,Scenarios3[[#This Row],[PE]]&lt;=PEMax)</f>
        <v>1</v>
      </c>
      <c r="S11" s="71" t="b">
        <f>Scenarios3[[#This Row],[Liquid Assets]]&gt;=LiquidMin</f>
        <v>1</v>
      </c>
      <c r="T11" s="71" t="b">
        <f>AND(Scenarios3[[#This Row],[Expected Return]]&gt;=ExpectedReturnMin,Scenarios3[[#This Row],[Expected Return]]&lt;=ExpectedReturnMax)</f>
        <v>0</v>
      </c>
      <c r="U11" s="71" t="b">
        <f>Scenarios3[[#This Row],[Max Drawdown]]&gt;=DrawdownMax</f>
        <v>1</v>
      </c>
      <c r="V1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1" s="43" t="str">
        <f>_xlfn.XLOOKUP(Scenarios3[[#This Row],[Reference '#]],ScenariosCombined[Reference '#],ScenariosCombined[Sharpe Rank])</f>
        <v/>
      </c>
      <c r="X11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1" s="45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40/15/20/10/15</v>
      </c>
      <c r="Z11" s="139">
        <f>_xlfn.XLOOKUP(Scenarios3[[#This Row],[Reference '#]],Scenarios1[Reference '#],Scenarios1[Sharpe Rank])</f>
        <v>1</v>
      </c>
      <c r="AA11" s="139" t="str">
        <f>_xlfn.XLOOKUP(Scenarios3[[#This Row],[Reference '#]],Scenarios2[Reference '#],Scenarios2[Sharpe Rank])</f>
        <v/>
      </c>
      <c r="AB11" s="139" t="str">
        <f>Scenarios3[[#This Row],[Sharpe Rank]]</f>
        <v/>
      </c>
      <c r="AC11"/>
      <c r="AD11"/>
      <c r="AE11"/>
      <c r="AF11"/>
      <c r="AG11"/>
    </row>
    <row r="12" spans="2:37" s="15" customFormat="1" x14ac:dyDescent="0.2">
      <c r="B12" s="71">
        <v>54</v>
      </c>
      <c r="C12" s="69">
        <v>0.35</v>
      </c>
      <c r="D12" s="69">
        <v>0.15</v>
      </c>
      <c r="E12" s="69">
        <v>0.2</v>
      </c>
      <c r="F12" s="69">
        <v>0.1</v>
      </c>
      <c r="G12" s="69">
        <v>0.2</v>
      </c>
      <c r="H12" s="69">
        <f>SUMPRODUCT(Scenarios3[[#This Row],[SPY]:[PE]],_xlfn.TOROW(AssetSpecsScenario3[Annualized Return]))</f>
        <v>0.10124056015353036</v>
      </c>
      <c r="I12" s="69" cm="1">
        <f t="array" ref="I12">SQRT(MMULT(MMULT(Scenarios3[[#This Row],[SPY]:[PE]], 'Corr_Cov 36- Month'!$J$13:$N$17), TRANSPOSE(Scenarios3[[#This Row],[SPY]:[PE]])))</f>
        <v>7.3031963043220252E-2</v>
      </c>
      <c r="J12" s="70">
        <f>(Scenarios3[[#This Row],[Expected Return]]-RiskFree)/Scenarios3[[#This Row],[36M Vol]]</f>
        <v>0.74262011231819935</v>
      </c>
      <c r="K12" s="107" cm="1">
        <f t="array" ref="K12">MIN(_xlfn._xlws.FILTER(PortfolioFrontier[#Data],(PortfolioFrontier[#Headers]="P"&amp;Scenarios3[[#This Row],[Reference '#]]&amp;" DD")))</f>
        <v>-0.15484931096251686</v>
      </c>
      <c r="L12" s="69">
        <f>SUM(Scenarios3[[#This Row],[SPY]:[VNQ]])</f>
        <v>0.79999999999999993</v>
      </c>
      <c r="M12" s="69">
        <f>SUM(Scenarios3[[#This Row],[SPY]:[PE]])</f>
        <v>1</v>
      </c>
      <c r="N12" s="71" t="b">
        <f>Scenarios3[[#This Row],[SPY]]&gt;=SpyMin</f>
        <v>1</v>
      </c>
      <c r="O12" s="71" t="b">
        <f>Scenarios3[[#This Row],[AGG]]&gt;=AGGMin</f>
        <v>1</v>
      </c>
      <c r="P12" s="71" t="b">
        <f>AND(Scenarios3[[#This Row],[GLD]]&gt;=GLDMin,Scenarios3[[#This Row],[GLD]]&lt;=GLDMax)</f>
        <v>1</v>
      </c>
      <c r="Q12" s="71" t="b">
        <f>Scenarios3[[#This Row],[VNQ]]&gt;=VNQMin</f>
        <v>1</v>
      </c>
      <c r="R12" s="71" t="b">
        <f>AND(Scenarios3[[#This Row],[PE]]&gt;=PEMin,Scenarios3[[#This Row],[PE]]&lt;=PEMax)</f>
        <v>1</v>
      </c>
      <c r="S12" s="71" t="b">
        <f>Scenarios3[[#This Row],[Liquid Assets]]&gt;=LiquidMin</f>
        <v>1</v>
      </c>
      <c r="T12" s="71" t="b">
        <f>AND(Scenarios3[[#This Row],[Expected Return]]&gt;=ExpectedReturnMin,Scenarios3[[#This Row],[Expected Return]]&lt;=ExpectedReturnMax)</f>
        <v>0</v>
      </c>
      <c r="U12" s="71" t="b">
        <f>Scenarios3[[#This Row],[Max Drawdown]]&gt;=DrawdownMax</f>
        <v>1</v>
      </c>
      <c r="V1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2" s="46">
        <f>_xlfn.XLOOKUP(Scenarios3[[#This Row],[Reference '#]],ScenariosCombined[Reference '#],ScenariosCombined[Sharpe Rank])</f>
        <v>1</v>
      </c>
      <c r="X12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35/15/20/10/20</v>
      </c>
      <c r="Z12" s="139">
        <f>_xlfn.XLOOKUP(Scenarios3[[#This Row],[Reference '#]],Scenarios1[Reference '#],Scenarios1[Sharpe Rank])</f>
        <v>2</v>
      </c>
      <c r="AA12" s="139">
        <f>_xlfn.XLOOKUP(Scenarios3[[#This Row],[Reference '#]],Scenarios2[Reference '#],Scenarios2[Sharpe Rank])</f>
        <v>1</v>
      </c>
      <c r="AB12" s="139" t="str">
        <f>Scenarios3[[#This Row],[Sharpe Rank]]</f>
        <v/>
      </c>
      <c r="AC12"/>
      <c r="AD12"/>
      <c r="AE12"/>
      <c r="AF12"/>
      <c r="AG12"/>
    </row>
    <row r="13" spans="2:37" s="15" customFormat="1" x14ac:dyDescent="0.2">
      <c r="B13" s="71">
        <v>10</v>
      </c>
      <c r="C13" s="69">
        <v>0.45</v>
      </c>
      <c r="D13" s="69">
        <v>0.15</v>
      </c>
      <c r="E13" s="69">
        <v>0.2</v>
      </c>
      <c r="F13" s="69">
        <v>0.1</v>
      </c>
      <c r="G13" s="69">
        <v>0.1</v>
      </c>
      <c r="H13" s="69">
        <f>SUMPRODUCT(Scenarios3[[#This Row],[SPY]:[PE]],_xlfn.TOROW(AssetSpecsScenario3[Annualized Return]))</f>
        <v>0.1083831601828997</v>
      </c>
      <c r="I13" s="69" cm="1">
        <f t="array" ref="I13">SQRT(MMULT(MMULT(Scenarios3[[#This Row],[SPY]:[PE]], 'Corr_Cov 36- Month'!$J$13:$N$17), TRANSPOSE(Scenarios3[[#This Row],[SPY]:[PE]])))</f>
        <v>8.2650739635412737E-2</v>
      </c>
      <c r="J13" s="70">
        <f>(Scenarios3[[#This Row],[Expected Return]]-RiskFree)/Scenarios3[[#This Row],[36M Vol]]</f>
        <v>0.74261409998376049</v>
      </c>
      <c r="K13" s="107" cm="1">
        <f t="array" ref="K13">MIN(_xlfn._xlws.FILTER(PortfolioFrontier[#Data],(PortfolioFrontier[#Headers]="P"&amp;Scenarios3[[#This Row],[Reference '#]]&amp;" DD")))</f>
        <v>-0.17809556533929027</v>
      </c>
      <c r="L13" s="69">
        <f>SUM(Scenarios3[[#This Row],[SPY]:[VNQ]])</f>
        <v>0.9</v>
      </c>
      <c r="M13" s="69">
        <f>SUM(Scenarios3[[#This Row],[SPY]:[PE]])</f>
        <v>1</v>
      </c>
      <c r="N13" s="71" t="b">
        <f>Scenarios3[[#This Row],[SPY]]&gt;=SpyMin</f>
        <v>1</v>
      </c>
      <c r="O13" s="71" t="b">
        <f>Scenarios3[[#This Row],[AGG]]&gt;=AGGMin</f>
        <v>1</v>
      </c>
      <c r="P13" s="71" t="b">
        <f>AND(Scenarios3[[#This Row],[GLD]]&gt;=GLDMin,Scenarios3[[#This Row],[GLD]]&lt;=GLDMax)</f>
        <v>1</v>
      </c>
      <c r="Q13" s="71" t="b">
        <f>Scenarios3[[#This Row],[VNQ]]&gt;=VNQMin</f>
        <v>1</v>
      </c>
      <c r="R13" s="71" t="b">
        <f>AND(Scenarios3[[#This Row],[PE]]&gt;=PEMin,Scenarios3[[#This Row],[PE]]&lt;=PEMax)</f>
        <v>1</v>
      </c>
      <c r="S13" s="71" t="b">
        <f>Scenarios3[[#This Row],[Liquid Assets]]&gt;=LiquidMin</f>
        <v>1</v>
      </c>
      <c r="T13" s="71" t="b">
        <f>AND(Scenarios3[[#This Row],[Expected Return]]&gt;=ExpectedReturnMin,Scenarios3[[#This Row],[Expected Return]]&lt;=ExpectedReturnMax)</f>
        <v>0</v>
      </c>
      <c r="U13" s="71" t="b">
        <f>Scenarios3[[#This Row],[Max Drawdown]]&gt;=DrawdownMax</f>
        <v>1</v>
      </c>
      <c r="V1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3" s="46" t="str">
        <f>_xlfn.XLOOKUP(Scenarios3[[#This Row],[Reference '#]],ScenariosCombined[Reference '#],ScenariosCombined[Sharpe Rank])</f>
        <v/>
      </c>
      <c r="X13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45/15/20/10/10</v>
      </c>
      <c r="Z13" s="139" t="str">
        <f>_xlfn.XLOOKUP(Scenarios3[[#This Row],[Reference '#]],Scenarios1[Reference '#],Scenarios1[Sharpe Rank])</f>
        <v/>
      </c>
      <c r="AA13" s="139" t="str">
        <f>_xlfn.XLOOKUP(Scenarios3[[#This Row],[Reference '#]],Scenarios2[Reference '#],Scenarios2[Sharpe Rank])</f>
        <v/>
      </c>
      <c r="AB13" s="139" t="str">
        <f>Scenarios3[[#This Row],[Sharpe Rank]]</f>
        <v/>
      </c>
      <c r="AC13"/>
      <c r="AD13"/>
      <c r="AE13"/>
      <c r="AF13" s="34"/>
      <c r="AG13" s="34"/>
    </row>
    <row r="14" spans="2:37" s="15" customFormat="1" x14ac:dyDescent="0.2">
      <c r="B14" s="71">
        <v>30</v>
      </c>
      <c r="C14" s="69">
        <v>0.4</v>
      </c>
      <c r="D14" s="69">
        <v>0.15</v>
      </c>
      <c r="E14" s="69">
        <v>0.15</v>
      </c>
      <c r="F14" s="69">
        <v>0.1</v>
      </c>
      <c r="G14" s="69">
        <v>0.2</v>
      </c>
      <c r="H14" s="69">
        <f>SUMPRODUCT(Scenarios3[[#This Row],[SPY]:[PE]],_xlfn.TOROW(AssetSpecsScenario3[Annualized Return]))</f>
        <v>0.10234833492729953</v>
      </c>
      <c r="I14" s="69" cm="1">
        <f t="array" ref="I14">SQRT(MMULT(MMULT(Scenarios3[[#This Row],[SPY]:[PE]], 'Corr_Cov 36- Month'!$J$13:$N$17), TRANSPOSE(Scenarios3[[#This Row],[SPY]:[PE]])))</f>
        <v>7.5583071565287943E-2</v>
      </c>
      <c r="J14" s="70">
        <f>(Scenarios3[[#This Row],[Expected Return]]-RiskFree)/Scenarios3[[#This Row],[36M Vol]]</f>
        <v>0.73221130374331778</v>
      </c>
      <c r="K14" s="107" cm="1">
        <f t="array" ref="K14">MIN(_xlfn._xlws.FILTER(PortfolioFrontier[#Data],(PortfolioFrontier[#Headers]="P"&amp;Scenarios3[[#This Row],[Reference '#]]&amp;" DD")))</f>
        <v>-0.16220725630038224</v>
      </c>
      <c r="L14" s="69">
        <f>SUM(Scenarios3[[#This Row],[SPY]:[VNQ]])</f>
        <v>0.8</v>
      </c>
      <c r="M14" s="69">
        <f>SUM(Scenarios3[[#This Row],[SPY]:[PE]])</f>
        <v>1</v>
      </c>
      <c r="N14" s="71" t="b">
        <f>Scenarios3[[#This Row],[SPY]]&gt;=SpyMin</f>
        <v>1</v>
      </c>
      <c r="O14" s="71" t="b">
        <f>Scenarios3[[#This Row],[AGG]]&gt;=AGGMin</f>
        <v>1</v>
      </c>
      <c r="P14" s="71" t="b">
        <f>AND(Scenarios3[[#This Row],[GLD]]&gt;=GLDMin,Scenarios3[[#This Row],[GLD]]&lt;=GLDMax)</f>
        <v>1</v>
      </c>
      <c r="Q14" s="71" t="b">
        <f>Scenarios3[[#This Row],[VNQ]]&gt;=VNQMin</f>
        <v>1</v>
      </c>
      <c r="R14" s="71" t="b">
        <f>AND(Scenarios3[[#This Row],[PE]]&gt;=PEMin,Scenarios3[[#This Row],[PE]]&lt;=PEMax)</f>
        <v>1</v>
      </c>
      <c r="S14" s="71" t="b">
        <f>Scenarios3[[#This Row],[Liquid Assets]]&gt;=LiquidMin</f>
        <v>1</v>
      </c>
      <c r="T14" s="71" t="b">
        <f>AND(Scenarios3[[#This Row],[Expected Return]]&gt;=ExpectedReturnMin,Scenarios3[[#This Row],[Expected Return]]&lt;=ExpectedReturnMax)</f>
        <v>0</v>
      </c>
      <c r="U14" s="71" t="b">
        <f>Scenarios3[[#This Row],[Max Drawdown]]&gt;=DrawdownMax</f>
        <v>1</v>
      </c>
      <c r="V1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4" s="46">
        <f>_xlfn.XLOOKUP(Scenarios3[[#This Row],[Reference '#]],ScenariosCombined[Reference '#],ScenariosCombined[Sharpe Rank])</f>
        <v>2</v>
      </c>
      <c r="X14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40/15/15/10/20</v>
      </c>
      <c r="Z14" s="139">
        <f>_xlfn.XLOOKUP(Scenarios3[[#This Row],[Reference '#]],Scenarios1[Reference '#],Scenarios1[Sharpe Rank])</f>
        <v>3</v>
      </c>
      <c r="AA14" s="139">
        <f>_xlfn.XLOOKUP(Scenarios3[[#This Row],[Reference '#]],Scenarios2[Reference '#],Scenarios2[Sharpe Rank])</f>
        <v>2</v>
      </c>
      <c r="AB14" s="139" t="str">
        <f>Scenarios3[[#This Row],[Sharpe Rank]]</f>
        <v/>
      </c>
      <c r="AC14"/>
      <c r="AD14"/>
      <c r="AE14"/>
      <c r="AF14" s="34"/>
      <c r="AG14" s="34"/>
    </row>
    <row r="15" spans="2:37" s="15" customFormat="1" x14ac:dyDescent="0.2">
      <c r="B15" s="71">
        <v>12</v>
      </c>
      <c r="C15" s="69">
        <v>0.45</v>
      </c>
      <c r="D15" s="69">
        <v>0.15</v>
      </c>
      <c r="E15" s="69">
        <v>0.15</v>
      </c>
      <c r="F15" s="69">
        <v>0.1</v>
      </c>
      <c r="G15" s="69">
        <v>0.15</v>
      </c>
      <c r="H15" s="69">
        <f>SUMPRODUCT(Scenarios3[[#This Row],[SPY]:[PE]],_xlfn.TOROW(AssetSpecsScenario3[Annualized Return]))</f>
        <v>0.10591963494198418</v>
      </c>
      <c r="I15" s="69" cm="1">
        <f t="array" ref="I15">SQRT(MMULT(MMULT(Scenarios3[[#This Row],[SPY]:[PE]], 'Corr_Cov 36- Month'!$J$13:$N$17), TRANSPOSE(Scenarios3[[#This Row],[SPY]:[PE]])))</f>
        <v>8.0506165596405346E-2</v>
      </c>
      <c r="J15" s="70">
        <f>(Scenarios3[[#This Row],[Expected Return]]-RiskFree)/Scenarios3[[#This Row],[36M Vol]]</f>
        <v>0.73179586867641333</v>
      </c>
      <c r="K15" s="107" cm="1">
        <f t="array" ref="K15">MIN(_xlfn._xlws.FILTER(PortfolioFrontier[#Data],(PortfolioFrontier[#Headers]="P"&amp;Scenarios3[[#This Row],[Reference '#]]&amp;" DD")))</f>
        <v>-0.17383993004821174</v>
      </c>
      <c r="L15" s="69">
        <f>SUM(Scenarios3[[#This Row],[SPY]:[VNQ]])</f>
        <v>0.85</v>
      </c>
      <c r="M15" s="69">
        <f>SUM(Scenarios3[[#This Row],[SPY]:[PE]])</f>
        <v>1</v>
      </c>
      <c r="N15" s="71" t="b">
        <f>Scenarios3[[#This Row],[SPY]]&gt;=SpyMin</f>
        <v>1</v>
      </c>
      <c r="O15" s="71" t="b">
        <f>Scenarios3[[#This Row],[AGG]]&gt;=AGGMin</f>
        <v>1</v>
      </c>
      <c r="P15" s="71" t="b">
        <f>AND(Scenarios3[[#This Row],[GLD]]&gt;=GLDMin,Scenarios3[[#This Row],[GLD]]&lt;=GLDMax)</f>
        <v>1</v>
      </c>
      <c r="Q15" s="71" t="b">
        <f>Scenarios3[[#This Row],[VNQ]]&gt;=VNQMin</f>
        <v>1</v>
      </c>
      <c r="R15" s="71" t="b">
        <f>AND(Scenarios3[[#This Row],[PE]]&gt;=PEMin,Scenarios3[[#This Row],[PE]]&lt;=PEMax)</f>
        <v>1</v>
      </c>
      <c r="S15" s="71" t="b">
        <f>Scenarios3[[#This Row],[Liquid Assets]]&gt;=LiquidMin</f>
        <v>1</v>
      </c>
      <c r="T15" s="71" t="b">
        <f>AND(Scenarios3[[#This Row],[Expected Return]]&gt;=ExpectedReturnMin,Scenarios3[[#This Row],[Expected Return]]&lt;=ExpectedReturnMax)</f>
        <v>0</v>
      </c>
      <c r="U15" s="71" t="b">
        <f>Scenarios3[[#This Row],[Max Drawdown]]&gt;=DrawdownMax</f>
        <v>1</v>
      </c>
      <c r="V1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5" s="46" t="str">
        <f>_xlfn.XLOOKUP(Scenarios3[[#This Row],[Reference '#]],ScenariosCombined[Reference '#],ScenariosCombined[Sharpe Rank])</f>
        <v/>
      </c>
      <c r="X15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45/15/15/10/15</v>
      </c>
      <c r="Z15" s="139" t="str">
        <f>_xlfn.XLOOKUP(Scenarios3[[#This Row],[Reference '#]],Scenarios1[Reference '#],Scenarios1[Sharpe Rank])</f>
        <v/>
      </c>
      <c r="AA15" s="139" t="str">
        <f>_xlfn.XLOOKUP(Scenarios3[[#This Row],[Reference '#]],Scenarios2[Reference '#],Scenarios2[Sharpe Rank])</f>
        <v/>
      </c>
      <c r="AB15" s="139" t="str">
        <f>Scenarios3[[#This Row],[Sharpe Rank]]</f>
        <v/>
      </c>
      <c r="AC15"/>
      <c r="AD15"/>
      <c r="AE15"/>
      <c r="AF15" s="34"/>
      <c r="AG15" s="34"/>
    </row>
    <row r="16" spans="2:37" x14ac:dyDescent="0.2">
      <c r="B16" s="71">
        <v>3</v>
      </c>
      <c r="C16" s="69">
        <v>0.5</v>
      </c>
      <c r="D16" s="69">
        <v>0.15</v>
      </c>
      <c r="E16" s="69">
        <v>0.15</v>
      </c>
      <c r="F16" s="69">
        <v>0.1</v>
      </c>
      <c r="G16" s="69">
        <v>0.1</v>
      </c>
      <c r="H16" s="69">
        <f>SUMPRODUCT(Scenarios3[[#This Row],[SPY]:[PE]],_xlfn.TOROW(AssetSpecsScenario3[Annualized Return]))</f>
        <v>0.10949093495666884</v>
      </c>
      <c r="I16" s="69" cm="1">
        <f t="array" ref="I16">SQRT(MMULT(MMULT(Scenarios3[[#This Row],[SPY]:[PE]], 'Corr_Cov 36- Month'!$J$13:$N$17), TRANSPOSE(Scenarios3[[#This Row],[SPY]:[PE]])))</f>
        <v>8.5586284450093794E-2</v>
      </c>
      <c r="J16" s="70">
        <f>(Scenarios3[[#This Row],[Expected Return]]-RiskFree)/Scenarios3[[#This Row],[36M Vol]]</f>
        <v>0.73008636608765431</v>
      </c>
      <c r="K16" s="107" cm="1">
        <f t="array" ref="K16">MIN(_xlfn._xlws.FILTER(PortfolioFrontier[#Data],(PortfolioFrontier[#Headers]="P"&amp;Scenarios3[[#This Row],[Reference '#]]&amp;" DD")))</f>
        <v>-0.18541960554388814</v>
      </c>
      <c r="L16" s="69">
        <f>SUM(Scenarios3[[#This Row],[SPY]:[VNQ]])</f>
        <v>0.9</v>
      </c>
      <c r="M16" s="69">
        <f>SUM(Scenarios3[[#This Row],[SPY]:[PE]])</f>
        <v>1</v>
      </c>
      <c r="N16" s="71" t="b">
        <f>Scenarios3[[#This Row],[SPY]]&gt;=SpyMin</f>
        <v>1</v>
      </c>
      <c r="O16" s="71" t="b">
        <f>Scenarios3[[#This Row],[AGG]]&gt;=AGGMin</f>
        <v>1</v>
      </c>
      <c r="P16" s="71" t="b">
        <f>AND(Scenarios3[[#This Row],[GLD]]&gt;=GLDMin,Scenarios3[[#This Row],[GLD]]&lt;=GLDMax)</f>
        <v>1</v>
      </c>
      <c r="Q16" s="71" t="b">
        <f>Scenarios3[[#This Row],[VNQ]]&gt;=VNQMin</f>
        <v>1</v>
      </c>
      <c r="R16" s="71" t="b">
        <f>AND(Scenarios3[[#This Row],[PE]]&gt;=PEMin,Scenarios3[[#This Row],[PE]]&lt;=PEMax)</f>
        <v>1</v>
      </c>
      <c r="S16" s="71" t="b">
        <f>Scenarios3[[#This Row],[Liquid Assets]]&gt;=LiquidMin</f>
        <v>1</v>
      </c>
      <c r="T16" s="71" t="b">
        <f>AND(Scenarios3[[#This Row],[Expected Return]]&gt;=ExpectedReturnMin,Scenarios3[[#This Row],[Expected Return]]&lt;=ExpectedReturnMax)</f>
        <v>0</v>
      </c>
      <c r="U16" s="71" t="b">
        <f>Scenarios3[[#This Row],[Max Drawdown]]&gt;=DrawdownMax</f>
        <v>1</v>
      </c>
      <c r="V1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6" s="46" t="str">
        <f>_xlfn.XLOOKUP(Scenarios3[[#This Row],[Reference '#]],ScenariosCombined[Reference '#],ScenariosCombined[Sharpe Rank])</f>
        <v/>
      </c>
      <c r="X16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50/15/15/10/10</v>
      </c>
      <c r="Z16" s="139" t="str">
        <f>_xlfn.XLOOKUP(Scenarios3[[#This Row],[Reference '#]],Scenarios1[Reference '#],Scenarios1[Sharpe Rank])</f>
        <v/>
      </c>
      <c r="AA16" s="139" t="str">
        <f>_xlfn.XLOOKUP(Scenarios3[[#This Row],[Reference '#]],Scenarios2[Reference '#],Scenarios2[Sharpe Rank])</f>
        <v/>
      </c>
      <c r="AB16" s="139" t="str">
        <f>Scenarios3[[#This Row],[Sharpe Rank]]</f>
        <v/>
      </c>
      <c r="AF16" s="34"/>
      <c r="AG16" s="34"/>
      <c r="AK16" s="15"/>
    </row>
    <row r="17" spans="2:37" x14ac:dyDescent="0.2">
      <c r="B17" s="71">
        <v>15</v>
      </c>
      <c r="C17" s="69">
        <v>0.45</v>
      </c>
      <c r="D17" s="69">
        <v>0.15</v>
      </c>
      <c r="E17" s="69">
        <v>0.1</v>
      </c>
      <c r="F17" s="69">
        <v>0.1</v>
      </c>
      <c r="G17" s="69">
        <v>0.2</v>
      </c>
      <c r="H17" s="69">
        <f>SUMPRODUCT(Scenarios3[[#This Row],[SPY]:[PE]],_xlfn.TOROW(AssetSpecsScenario3[Annualized Return]))</f>
        <v>0.10345610970106869</v>
      </c>
      <c r="I17" s="69" cm="1">
        <f t="array" ref="I17">SQRT(MMULT(MMULT(Scenarios3[[#This Row],[SPY]:[PE]], 'Corr_Cov 36- Month'!$J$13:$N$17), TRANSPOSE(Scenarios3[[#This Row],[SPY]:[PE]])))</f>
        <v>7.911221564736387E-2</v>
      </c>
      <c r="J17" s="70">
        <f>(Scenarios3[[#This Row],[Expected Return]]-RiskFree)/Scenarios3[[#This Row],[36M Vol]]</f>
        <v>0.71355041296197286</v>
      </c>
      <c r="K17" s="107" cm="1">
        <f t="array" ref="K17">MIN(_xlfn._xlws.FILTER(PortfolioFrontier[#Data],(PortfolioFrontier[#Headers]="P"&amp;Scenarios3[[#This Row],[Reference '#]]&amp;" DD")))</f>
        <v>-0.16958426219189504</v>
      </c>
      <c r="L17" s="69">
        <f>SUM(Scenarios3[[#This Row],[SPY]:[VNQ]])</f>
        <v>0.79999999999999993</v>
      </c>
      <c r="M17" s="69">
        <f>SUM(Scenarios3[[#This Row],[SPY]:[PE]])</f>
        <v>1</v>
      </c>
      <c r="N17" s="71" t="b">
        <f>Scenarios3[[#This Row],[SPY]]&gt;=SpyMin</f>
        <v>1</v>
      </c>
      <c r="O17" s="71" t="b">
        <f>Scenarios3[[#This Row],[AGG]]&gt;=AGGMin</f>
        <v>1</v>
      </c>
      <c r="P17" s="71" t="b">
        <f>AND(Scenarios3[[#This Row],[GLD]]&gt;=GLDMin,Scenarios3[[#This Row],[GLD]]&lt;=GLDMax)</f>
        <v>1</v>
      </c>
      <c r="Q17" s="71" t="b">
        <f>Scenarios3[[#This Row],[VNQ]]&gt;=VNQMin</f>
        <v>1</v>
      </c>
      <c r="R17" s="71" t="b">
        <f>AND(Scenarios3[[#This Row],[PE]]&gt;=PEMin,Scenarios3[[#This Row],[PE]]&lt;=PEMax)</f>
        <v>1</v>
      </c>
      <c r="S17" s="71" t="b">
        <f>Scenarios3[[#This Row],[Liquid Assets]]&gt;=LiquidMin</f>
        <v>1</v>
      </c>
      <c r="T17" s="71" t="b">
        <f>AND(Scenarios3[[#This Row],[Expected Return]]&gt;=ExpectedReturnMin,Scenarios3[[#This Row],[Expected Return]]&lt;=ExpectedReturnMax)</f>
        <v>0</v>
      </c>
      <c r="U17" s="71" t="b">
        <f>Scenarios3[[#This Row],[Max Drawdown]]&gt;=DrawdownMax</f>
        <v>1</v>
      </c>
      <c r="V1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7" s="46">
        <f>_xlfn.XLOOKUP(Scenarios3[[#This Row],[Reference '#]],ScenariosCombined[Reference '#],ScenariosCombined[Sharpe Rank])</f>
        <v>3</v>
      </c>
      <c r="X17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45/15/10/10/20</v>
      </c>
      <c r="Z17" s="139">
        <f>_xlfn.XLOOKUP(Scenarios3[[#This Row],[Reference '#]],Scenarios1[Reference '#],Scenarios1[Sharpe Rank])</f>
        <v>6</v>
      </c>
      <c r="AA17" s="139">
        <f>_xlfn.XLOOKUP(Scenarios3[[#This Row],[Reference '#]],Scenarios2[Reference '#],Scenarios2[Sharpe Rank])</f>
        <v>4</v>
      </c>
      <c r="AB17" s="139" t="str">
        <f>Scenarios3[[#This Row],[Sharpe Rank]]</f>
        <v/>
      </c>
      <c r="AF17" s="34"/>
      <c r="AG17" s="34"/>
      <c r="AK17" s="15"/>
    </row>
    <row r="18" spans="2:37" x14ac:dyDescent="0.2">
      <c r="B18" s="126">
        <v>5</v>
      </c>
      <c r="C18" s="124">
        <v>0.5</v>
      </c>
      <c r="D18" s="124">
        <v>0.15</v>
      </c>
      <c r="E18" s="124">
        <v>0.1</v>
      </c>
      <c r="F18" s="124">
        <v>0.1</v>
      </c>
      <c r="G18" s="124">
        <v>0.15</v>
      </c>
      <c r="H18" s="124">
        <f>SUMPRODUCT(Scenarios3[[#This Row],[SPY]:[PE]],_xlfn.TOROW(AssetSpecsScenario3[Annualized Return]))</f>
        <v>0.10702740971575335</v>
      </c>
      <c r="I18" s="124" cm="1">
        <f t="array" ref="I18">SQRT(MMULT(MMULT(Scenarios3[[#This Row],[SPY]:[PE]], 'Corr_Cov 36- Month'!$J$13:$N$17), TRANSPOSE(Scenarios3[[#This Row],[SPY]:[PE]])))</f>
        <v>8.416977947948194E-2</v>
      </c>
      <c r="J18" s="125">
        <f>(Scenarios3[[#This Row],[Expected Return]]-RiskFree)/Scenarios3[[#This Row],[36M Vol]]</f>
        <v>0.71310456711876402</v>
      </c>
      <c r="K18" s="124" cm="1">
        <f t="array" ref="K18">MIN(_xlfn._xlws.FILTER(PortfolioFrontier[#Data],(PortfolioFrontier[#Headers]="P"&amp;Scenarios3[[#This Row],[Reference '#]]&amp;" DD")))</f>
        <v>-0.1811991970700908</v>
      </c>
      <c r="L18" s="124">
        <f>SUM(Scenarios3[[#This Row],[SPY]:[VNQ]])</f>
        <v>0.85</v>
      </c>
      <c r="M18" s="124">
        <f>SUM(Scenarios3[[#This Row],[SPY]:[PE]])</f>
        <v>1</v>
      </c>
      <c r="N18" s="126" t="b">
        <f>Scenarios3[[#This Row],[SPY]]&gt;=SpyMin</f>
        <v>1</v>
      </c>
      <c r="O18" s="126" t="b">
        <f>Scenarios3[[#This Row],[AGG]]&gt;=AGGMin</f>
        <v>1</v>
      </c>
      <c r="P18" s="126" t="b">
        <f>AND(Scenarios3[[#This Row],[GLD]]&gt;=GLDMin,Scenarios3[[#This Row],[GLD]]&lt;=GLDMax)</f>
        <v>1</v>
      </c>
      <c r="Q18" s="126" t="b">
        <f>Scenarios3[[#This Row],[VNQ]]&gt;=VNQMin</f>
        <v>1</v>
      </c>
      <c r="R18" s="126" t="b">
        <f>AND(Scenarios3[[#This Row],[PE]]&gt;=PEMin,Scenarios3[[#This Row],[PE]]&lt;=PEMax)</f>
        <v>1</v>
      </c>
      <c r="S18" s="126" t="b">
        <f>Scenarios3[[#This Row],[Liquid Assets]]&gt;=LiquidMin</f>
        <v>1</v>
      </c>
      <c r="T18" s="126" t="b">
        <f>AND(Scenarios3[[#This Row],[Expected Return]]&gt;=ExpectedReturnMin,Scenarios3[[#This Row],[Expected Return]]&lt;=ExpectedReturnMax)</f>
        <v>0</v>
      </c>
      <c r="U18" s="126" t="b">
        <f>Scenarios3[[#This Row],[Max Drawdown]]&gt;=DrawdownMax</f>
        <v>1</v>
      </c>
      <c r="V18" s="182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8" s="149" t="str">
        <f>_xlfn.XLOOKUP(Scenarios3[[#This Row],[Reference '#]],ScenariosCombined[Reference '#],ScenariosCombined[Sharpe Rank])</f>
        <v/>
      </c>
      <c r="X18" s="122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8" s="150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50/15/10/10/15</v>
      </c>
      <c r="Z18" s="151" t="str">
        <f>_xlfn.XLOOKUP(Scenarios3[[#This Row],[Reference '#]],Scenarios1[Reference '#],Scenarios1[Sharpe Rank])</f>
        <v/>
      </c>
      <c r="AA18" s="151" t="str">
        <f>_xlfn.XLOOKUP(Scenarios3[[#This Row],[Reference '#]],Scenarios2[Reference '#],Scenarios2[Sharpe Rank])</f>
        <v/>
      </c>
      <c r="AB18" s="151" t="str">
        <f>Scenarios3[[#This Row],[Sharpe Rank]]</f>
        <v/>
      </c>
      <c r="AF18" s="34"/>
      <c r="AG18" s="34"/>
      <c r="AK18" s="15"/>
    </row>
    <row r="19" spans="2:37" x14ac:dyDescent="0.2">
      <c r="B19" s="71">
        <v>1</v>
      </c>
      <c r="C19" s="69">
        <v>0.55000000000000004</v>
      </c>
      <c r="D19" s="69">
        <v>0.15</v>
      </c>
      <c r="E19" s="69">
        <v>0.1</v>
      </c>
      <c r="F19" s="69">
        <v>0.1</v>
      </c>
      <c r="G19" s="69">
        <v>0.1</v>
      </c>
      <c r="H19" s="69">
        <f>SUMPRODUCT(Scenarios3[[#This Row],[SPY]:[PE]],_xlfn.TOROW(AssetSpecsScenario3[Annualized Return]))</f>
        <v>0.11059870973043801</v>
      </c>
      <c r="I19" s="69" cm="1">
        <f t="array" ref="I19">SQRT(MMULT(MMULT(Scenarios3[[#This Row],[SPY]:[PE]], 'Corr_Cov 36- Month'!$J$13:$N$17), TRANSPOSE(Scenarios3[[#This Row],[SPY]:[PE]])))</f>
        <v>8.9362678371669044E-2</v>
      </c>
      <c r="J19" s="70">
        <f>(Scenarios3[[#This Row],[Expected Return]]-RiskFree)/Scenarios3[[#This Row],[36M Vol]]</f>
        <v>0.71162990337410936</v>
      </c>
      <c r="K19" s="107" cm="1">
        <f t="array" ref="K19">MIN(_xlfn._xlws.FILTER(PortfolioFrontier[#Data],(PortfolioFrontier[#Headers]="P"&amp;Scenarios3[[#This Row],[Reference '#]]&amp;" DD")))</f>
        <v>-0.19275958966564344</v>
      </c>
      <c r="L19" s="69">
        <f>SUM(Scenarios3[[#This Row],[SPY]:[VNQ]])</f>
        <v>0.9</v>
      </c>
      <c r="M19" s="69">
        <f>SUM(Scenarios3[[#This Row],[SPY]:[PE]])</f>
        <v>1</v>
      </c>
      <c r="N19" s="71" t="b">
        <f>Scenarios3[[#This Row],[SPY]]&gt;=SpyMin</f>
        <v>1</v>
      </c>
      <c r="O19" s="71" t="b">
        <f>Scenarios3[[#This Row],[AGG]]&gt;=AGGMin</f>
        <v>1</v>
      </c>
      <c r="P19" s="71" t="b">
        <f>AND(Scenarios3[[#This Row],[GLD]]&gt;=GLDMin,Scenarios3[[#This Row],[GLD]]&lt;=GLDMax)</f>
        <v>1</v>
      </c>
      <c r="Q19" s="71" t="b">
        <f>Scenarios3[[#This Row],[VNQ]]&gt;=VNQMin</f>
        <v>1</v>
      </c>
      <c r="R19" s="71" t="b">
        <f>AND(Scenarios3[[#This Row],[PE]]&gt;=PEMin,Scenarios3[[#This Row],[PE]]&lt;=PEMax)</f>
        <v>1</v>
      </c>
      <c r="S19" s="71" t="b">
        <f>Scenarios3[[#This Row],[Liquid Assets]]&gt;=LiquidMin</f>
        <v>1</v>
      </c>
      <c r="T19" s="71" t="b">
        <f>AND(Scenarios3[[#This Row],[Expected Return]]&gt;=ExpectedReturnMin,Scenarios3[[#This Row],[Expected Return]]&lt;=ExpectedReturnMax)</f>
        <v>0</v>
      </c>
      <c r="U19" s="71" t="b">
        <f>Scenarios3[[#This Row],[Max Drawdown]]&gt;=DrawdownMax</f>
        <v>1</v>
      </c>
      <c r="V1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9" s="46" t="str">
        <f>_xlfn.XLOOKUP(Scenarios3[[#This Row],[Reference '#]],ScenariosCombined[Reference '#],ScenariosCombined[Sharpe Rank])</f>
        <v/>
      </c>
      <c r="X19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55/15/10/10/10</v>
      </c>
      <c r="Z19" s="139" t="str">
        <f>_xlfn.XLOOKUP(Scenarios3[[#This Row],[Reference '#]],Scenarios1[Reference '#],Scenarios1[Sharpe Rank])</f>
        <v/>
      </c>
      <c r="AA19" s="139" t="str">
        <f>_xlfn.XLOOKUP(Scenarios3[[#This Row],[Reference '#]],Scenarios2[Reference '#],Scenarios2[Sharpe Rank])</f>
        <v/>
      </c>
      <c r="AB19" s="139" t="str">
        <f>Scenarios3[[#This Row],[Sharpe Rank]]</f>
        <v/>
      </c>
      <c r="AF19" s="34"/>
      <c r="AG19" s="34"/>
      <c r="AK19" s="15"/>
    </row>
    <row r="20" spans="2:37" x14ac:dyDescent="0.2">
      <c r="B20" s="71">
        <v>20</v>
      </c>
      <c r="C20" s="69">
        <v>0.4</v>
      </c>
      <c r="D20" s="69">
        <v>0.2</v>
      </c>
      <c r="E20" s="69">
        <v>0.2</v>
      </c>
      <c r="F20" s="69">
        <v>0.1</v>
      </c>
      <c r="G20" s="69">
        <v>0.1</v>
      </c>
      <c r="H20" s="69">
        <f>SUMPRODUCT(Scenarios3[[#This Row],[SPY]:[PE]],_xlfn.TOROW(AssetSpecsScenario3[Annualized Return]))</f>
        <v>0.10169992716189105</v>
      </c>
      <c r="I20" s="69" cm="1">
        <f t="array" ref="I20">SQRT(MMULT(MMULT(Scenarios3[[#This Row],[SPY]:[PE]], 'Corr_Cov 36- Month'!$J$13:$N$17), TRANSPOSE(Scenarios3[[#This Row],[SPY]:[PE]])))</f>
        <v>7.9943764058617736E-2</v>
      </c>
      <c r="J20" s="70">
        <f>(Scenarios3[[#This Row],[Expected Return]]-RiskFree)/Scenarios3[[#This Row],[36M Vol]]</f>
        <v>0.68416057525426943</v>
      </c>
      <c r="K20" s="107" cm="1">
        <f t="array" ref="K20">MIN(_xlfn._xlws.FILTER(PortfolioFrontier[#Data],(PortfolioFrontier[#Headers]="P"&amp;Scenarios3[[#This Row],[Reference '#]]&amp;" DD")))</f>
        <v>-0.17322688100654049</v>
      </c>
      <c r="L20" s="69">
        <f>SUM(Scenarios3[[#This Row],[SPY]:[VNQ]])</f>
        <v>0.9</v>
      </c>
      <c r="M20" s="69">
        <f>SUM(Scenarios3[[#This Row],[SPY]:[PE]])</f>
        <v>1</v>
      </c>
      <c r="N20" s="71" t="b">
        <f>Scenarios3[[#This Row],[SPY]]&gt;=SpyMin</f>
        <v>1</v>
      </c>
      <c r="O20" s="71" t="b">
        <f>Scenarios3[[#This Row],[AGG]]&gt;=AGGMin</f>
        <v>1</v>
      </c>
      <c r="P20" s="71" t="b">
        <f>AND(Scenarios3[[#This Row],[GLD]]&gt;=GLDMin,Scenarios3[[#This Row],[GLD]]&lt;=GLDMax)</f>
        <v>1</v>
      </c>
      <c r="Q20" s="71" t="b">
        <f>Scenarios3[[#This Row],[VNQ]]&gt;=VNQMin</f>
        <v>1</v>
      </c>
      <c r="R20" s="71" t="b">
        <f>AND(Scenarios3[[#This Row],[PE]]&gt;=PEMin,Scenarios3[[#This Row],[PE]]&lt;=PEMax)</f>
        <v>1</v>
      </c>
      <c r="S20" s="71" t="b">
        <f>Scenarios3[[#This Row],[Liquid Assets]]&gt;=LiquidMin</f>
        <v>1</v>
      </c>
      <c r="T20" s="71" t="b">
        <f>AND(Scenarios3[[#This Row],[Expected Return]]&gt;=ExpectedReturnMin,Scenarios3[[#This Row],[Expected Return]]&lt;=ExpectedReturnMax)</f>
        <v>0</v>
      </c>
      <c r="U20" s="71" t="b">
        <f>Scenarios3[[#This Row],[Max Drawdown]]&gt;=DrawdownMax</f>
        <v>1</v>
      </c>
      <c r="V2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20" s="46">
        <f>_xlfn.XLOOKUP(Scenarios3[[#This Row],[Reference '#]],ScenariosCombined[Reference '#],ScenariosCombined[Sharpe Rank])</f>
        <v>4</v>
      </c>
      <c r="X20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2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40/20/20/10/10</v>
      </c>
      <c r="Z20" s="139">
        <f>_xlfn.XLOOKUP(Scenarios3[[#This Row],[Reference '#]],Scenarios1[Reference '#],Scenarios1[Sharpe Rank])</f>
        <v>4</v>
      </c>
      <c r="AA20" s="139">
        <f>_xlfn.XLOOKUP(Scenarios3[[#This Row],[Reference '#]],Scenarios2[Reference '#],Scenarios2[Sharpe Rank])</f>
        <v>3</v>
      </c>
      <c r="AB20" s="139" t="str">
        <f>Scenarios3[[#This Row],[Sharpe Rank]]</f>
        <v/>
      </c>
      <c r="AF20" s="34"/>
      <c r="AG20" s="34"/>
      <c r="AK20" s="15"/>
    </row>
    <row r="21" spans="2:37" x14ac:dyDescent="0.2">
      <c r="B21" s="170">
        <v>45</v>
      </c>
      <c r="C21" s="171">
        <v>0.35</v>
      </c>
      <c r="D21" s="171">
        <v>0.2</v>
      </c>
      <c r="E21" s="171">
        <v>0.2</v>
      </c>
      <c r="F21" s="171">
        <v>0.1</v>
      </c>
      <c r="G21" s="171">
        <v>0.15</v>
      </c>
      <c r="H21" s="171">
        <f>SUMPRODUCT(Scenarios3[[#This Row],[SPY]:[PE]],_xlfn.TOROW(AssetSpecsScenario3[Annualized Return]))</f>
        <v>9.8128627147206382E-2</v>
      </c>
      <c r="I21" s="171" cm="1">
        <f t="array" ref="I21">SQRT(MMULT(MMULT(Scenarios3[[#This Row],[SPY]:[PE]], 'Corr_Cov 36- Month'!$J$13:$N$17), TRANSPOSE(Scenarios3[[#This Row],[SPY]:[PE]])))</f>
        <v>7.5127128613537944E-2</v>
      </c>
      <c r="J21" s="172">
        <f>(Scenarios3[[#This Row],[Expected Return]]-RiskFree)/Scenarios3[[#This Row],[36M Vol]]</f>
        <v>0.68048749546430065</v>
      </c>
      <c r="K21" s="171" cm="1">
        <f t="array" ref="K21">MIN(_xlfn._xlws.FILTER(PortfolioFrontier[#Data],(PortfolioFrontier[#Headers]="P"&amp;Scenarios3[[#This Row],[Reference '#]]&amp;" DD")))</f>
        <v>-0.16162825703486428</v>
      </c>
      <c r="L21" s="171">
        <f>SUM(Scenarios3[[#This Row],[SPY]:[VNQ]])</f>
        <v>0.85</v>
      </c>
      <c r="M21" s="171">
        <f>SUM(Scenarios3[[#This Row],[SPY]:[PE]])</f>
        <v>1</v>
      </c>
      <c r="N21" s="170" t="b">
        <f>Scenarios3[[#This Row],[SPY]]&gt;=SpyMin</f>
        <v>1</v>
      </c>
      <c r="O21" s="170" t="b">
        <f>Scenarios3[[#This Row],[AGG]]&gt;=AGGMin</f>
        <v>1</v>
      </c>
      <c r="P21" s="170" t="b">
        <f>AND(Scenarios3[[#This Row],[GLD]]&gt;=GLDMin,Scenarios3[[#This Row],[GLD]]&lt;=GLDMax)</f>
        <v>1</v>
      </c>
      <c r="Q21" s="170" t="b">
        <f>Scenarios3[[#This Row],[VNQ]]&gt;=VNQMin</f>
        <v>1</v>
      </c>
      <c r="R21" s="170" t="b">
        <f>AND(Scenarios3[[#This Row],[PE]]&gt;=PEMin,Scenarios3[[#This Row],[PE]]&lt;=PEMax)</f>
        <v>1</v>
      </c>
      <c r="S21" s="170" t="b">
        <f>Scenarios3[[#This Row],[Liquid Assets]]&gt;=LiquidMin</f>
        <v>1</v>
      </c>
      <c r="T21" s="170" t="b">
        <f>AND(Scenarios3[[#This Row],[Expected Return]]&gt;=ExpectedReturnMin,Scenarios3[[#This Row],[Expected Return]]&lt;=ExpectedReturnMax)</f>
        <v>1</v>
      </c>
      <c r="U21" s="170" t="b">
        <f>Scenarios3[[#This Row],[Max Drawdown]]&gt;=DrawdownMax</f>
        <v>1</v>
      </c>
      <c r="V21" s="183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21" s="178">
        <f>_xlfn.XLOOKUP(Scenarios3[[#This Row],[Reference '#]],ScenariosCombined[Reference '#],ScenariosCombined[Sharpe Rank])</f>
        <v>5</v>
      </c>
      <c r="X21" s="175">
        <f>IF(Scenarios3[[#This Row],[Eligible]],COUNTIFS(Scenarios3[Sharpe],"&gt;"&amp;Scenarios3[[#This Row],[Sharpe]],Scenarios3[Eligible],TRUE())+COUNTIFS(Scenarios3[Sharpe],Scenarios3[[#This Row],[Sharpe]],Scenarios3[Eligible],TRUE()),"")</f>
        <v>1</v>
      </c>
      <c r="Y21" s="179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35/20/20/10/15</v>
      </c>
      <c r="Z21" s="180">
        <f>_xlfn.XLOOKUP(Scenarios3[[#This Row],[Reference '#]],Scenarios1[Reference '#],Scenarios1[Sharpe Rank])</f>
        <v>7</v>
      </c>
      <c r="AA21" s="180">
        <f>_xlfn.XLOOKUP(Scenarios3[[#This Row],[Reference '#]],Scenarios2[Reference '#],Scenarios2[Sharpe Rank])</f>
        <v>5</v>
      </c>
      <c r="AB21" s="180">
        <f>Scenarios3[[#This Row],[Sharpe Rank]]</f>
        <v>1</v>
      </c>
      <c r="AF21" s="34"/>
      <c r="AG21" s="34"/>
      <c r="AK21" s="15"/>
    </row>
    <row r="22" spans="2:37" x14ac:dyDescent="0.2">
      <c r="B22" s="126">
        <v>7</v>
      </c>
      <c r="C22" s="124">
        <v>0.45</v>
      </c>
      <c r="D22" s="124">
        <v>0.2</v>
      </c>
      <c r="E22" s="124">
        <v>0.15</v>
      </c>
      <c r="F22" s="124">
        <v>0.1</v>
      </c>
      <c r="G22" s="124">
        <v>0.1</v>
      </c>
      <c r="H22" s="124">
        <f>SUMPRODUCT(Scenarios3[[#This Row],[SPY]:[PE]],_xlfn.TOROW(AssetSpecsScenario3[Annualized Return]))</f>
        <v>0.10280770193566022</v>
      </c>
      <c r="I22" s="124" cm="1">
        <f t="array" ref="I22">SQRT(MMULT(MMULT(Scenarios3[[#This Row],[SPY]:[PE]], 'Corr_Cov 36- Month'!$J$13:$N$17), TRANSPOSE(Scenarios3[[#This Row],[SPY]:[PE]])))</f>
        <v>8.2591069958370428E-2</v>
      </c>
      <c r="J22" s="125">
        <f>(Scenarios3[[#This Row],[Expected Return]]-RiskFree)/Scenarios3[[#This Row],[36M Vol]]</f>
        <v>0.67564382454702954</v>
      </c>
      <c r="K22" s="124" cm="1">
        <f t="array" ref="K22">MIN(_xlfn._xlws.FILTER(PortfolioFrontier[#Data],(PortfolioFrontier[#Headers]="P"&amp;Scenarios3[[#This Row],[Reference '#]]&amp;" DD")))</f>
        <v>-0.18054317991848512</v>
      </c>
      <c r="L22" s="124">
        <f>SUM(Scenarios3[[#This Row],[SPY]:[VNQ]])</f>
        <v>0.9</v>
      </c>
      <c r="M22" s="124">
        <f>SUM(Scenarios3[[#This Row],[SPY]:[PE]])</f>
        <v>1</v>
      </c>
      <c r="N22" s="126" t="b">
        <f>Scenarios3[[#This Row],[SPY]]&gt;=SpyMin</f>
        <v>1</v>
      </c>
      <c r="O22" s="126" t="b">
        <f>Scenarios3[[#This Row],[AGG]]&gt;=AGGMin</f>
        <v>1</v>
      </c>
      <c r="P22" s="126" t="b">
        <f>AND(Scenarios3[[#This Row],[GLD]]&gt;=GLDMin,Scenarios3[[#This Row],[GLD]]&lt;=GLDMax)</f>
        <v>1</v>
      </c>
      <c r="Q22" s="126" t="b">
        <f>Scenarios3[[#This Row],[VNQ]]&gt;=VNQMin</f>
        <v>1</v>
      </c>
      <c r="R22" s="126" t="b">
        <f>AND(Scenarios3[[#This Row],[PE]]&gt;=PEMin,Scenarios3[[#This Row],[PE]]&lt;=PEMax)</f>
        <v>1</v>
      </c>
      <c r="S22" s="126" t="b">
        <f>Scenarios3[[#This Row],[Liquid Assets]]&gt;=LiquidMin</f>
        <v>1</v>
      </c>
      <c r="T22" s="126" t="b">
        <f>AND(Scenarios3[[#This Row],[Expected Return]]&gt;=ExpectedReturnMin,Scenarios3[[#This Row],[Expected Return]]&lt;=ExpectedReturnMax)</f>
        <v>0</v>
      </c>
      <c r="U22" s="126" t="b">
        <f>Scenarios3[[#This Row],[Max Drawdown]]&gt;=DrawdownMax</f>
        <v>1</v>
      </c>
      <c r="V22" s="182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22" s="149" t="str">
        <f>_xlfn.XLOOKUP(Scenarios3[[#This Row],[Reference '#]],ScenariosCombined[Reference '#],ScenariosCombined[Sharpe Rank])</f>
        <v/>
      </c>
      <c r="X22" s="122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22" s="150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45/20/15/10/10</v>
      </c>
      <c r="Z22" s="151">
        <f>_xlfn.XLOOKUP(Scenarios3[[#This Row],[Reference '#]],Scenarios1[Reference '#],Scenarios1[Sharpe Rank])</f>
        <v>5</v>
      </c>
      <c r="AA22" s="151" t="str">
        <f>_xlfn.XLOOKUP(Scenarios3[[#This Row],[Reference '#]],Scenarios2[Reference '#],Scenarios2[Sharpe Rank])</f>
        <v/>
      </c>
      <c r="AB22" s="151" t="str">
        <f>Scenarios3[[#This Row],[Sharpe Rank]]</f>
        <v/>
      </c>
      <c r="AF22" s="34"/>
      <c r="AG22" s="34"/>
      <c r="AK22" s="15"/>
    </row>
    <row r="23" spans="2:37" x14ac:dyDescent="0.2">
      <c r="B23" s="170">
        <v>81</v>
      </c>
      <c r="C23" s="171">
        <v>0.3</v>
      </c>
      <c r="D23" s="171">
        <v>0.2</v>
      </c>
      <c r="E23" s="171">
        <v>0.2</v>
      </c>
      <c r="F23" s="171">
        <v>0.1</v>
      </c>
      <c r="G23" s="171">
        <v>0.2</v>
      </c>
      <c r="H23" s="171">
        <f>SUMPRODUCT(Scenarios3[[#This Row],[SPY]:[PE]],_xlfn.TOROW(AssetSpecsScenario3[Annualized Return]))</f>
        <v>9.4557327132521726E-2</v>
      </c>
      <c r="I23" s="171" cm="1">
        <f t="array" ref="I23">SQRT(MMULT(MMULT(Scenarios3[[#This Row],[SPY]:[PE]], 'Corr_Cov 36- Month'!$J$13:$N$17), TRANSPOSE(Scenarios3[[#This Row],[SPY]:[PE]])))</f>
        <v>7.0515905232183831E-2</v>
      </c>
      <c r="J23" s="172">
        <f>(Scenarios3[[#This Row],[Expected Return]]-RiskFree)/Scenarios3[[#This Row],[36M Vol]]</f>
        <v>0.67434107837650359</v>
      </c>
      <c r="K23" s="171" cm="1">
        <f t="array" ref="K23">MIN(_xlfn._xlws.FILTER(PortfolioFrontier[#Data],(PortfolioFrontier[#Headers]="P"&amp;Scenarios3[[#This Row],[Reference '#]]&amp;" DD")))</f>
        <v>-0.14997953387901686</v>
      </c>
      <c r="L23" s="171">
        <f>SUM(Scenarios3[[#This Row],[SPY]:[VNQ]])</f>
        <v>0.79999999999999993</v>
      </c>
      <c r="M23" s="171">
        <f>SUM(Scenarios3[[#This Row],[SPY]:[PE]])</f>
        <v>1</v>
      </c>
      <c r="N23" s="170" t="b">
        <f>Scenarios3[[#This Row],[SPY]]&gt;=SpyMin</f>
        <v>1</v>
      </c>
      <c r="O23" s="170" t="b">
        <f>Scenarios3[[#This Row],[AGG]]&gt;=AGGMin</f>
        <v>1</v>
      </c>
      <c r="P23" s="170" t="b">
        <f>AND(Scenarios3[[#This Row],[GLD]]&gt;=GLDMin,Scenarios3[[#This Row],[GLD]]&lt;=GLDMax)</f>
        <v>1</v>
      </c>
      <c r="Q23" s="170" t="b">
        <f>Scenarios3[[#This Row],[VNQ]]&gt;=VNQMin</f>
        <v>1</v>
      </c>
      <c r="R23" s="170" t="b">
        <f>AND(Scenarios3[[#This Row],[PE]]&gt;=PEMin,Scenarios3[[#This Row],[PE]]&lt;=PEMax)</f>
        <v>1</v>
      </c>
      <c r="S23" s="170" t="b">
        <f>Scenarios3[[#This Row],[Liquid Assets]]&gt;=LiquidMin</f>
        <v>1</v>
      </c>
      <c r="T23" s="170" t="b">
        <f>AND(Scenarios3[[#This Row],[Expected Return]]&gt;=ExpectedReturnMin,Scenarios3[[#This Row],[Expected Return]]&lt;=ExpectedReturnMax)</f>
        <v>1</v>
      </c>
      <c r="U23" s="170" t="b">
        <f>Scenarios3[[#This Row],[Max Drawdown]]&gt;=DrawdownMax</f>
        <v>1</v>
      </c>
      <c r="V23" s="183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23" s="178">
        <f>_xlfn.XLOOKUP(Scenarios3[[#This Row],[Reference '#]],ScenariosCombined[Reference '#],ScenariosCombined[Sharpe Rank])</f>
        <v>9</v>
      </c>
      <c r="X23" s="175">
        <f>IF(Scenarios3[[#This Row],[Eligible]],COUNTIFS(Scenarios3[Sharpe],"&gt;"&amp;Scenarios3[[#This Row],[Sharpe]],Scenarios3[Eligible],TRUE())+COUNTIFS(Scenarios3[Sharpe],Scenarios3[[#This Row],[Sharpe]],Scenarios3[Eligible],TRUE()),"")</f>
        <v>2</v>
      </c>
      <c r="Y23" s="179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30/20/20/10/20</v>
      </c>
      <c r="Z23" s="180">
        <f>_xlfn.XLOOKUP(Scenarios3[[#This Row],[Reference '#]],Scenarios1[Reference '#],Scenarios1[Sharpe Rank])</f>
        <v>12</v>
      </c>
      <c r="AA23" s="180">
        <f>_xlfn.XLOOKUP(Scenarios3[[#This Row],[Reference '#]],Scenarios2[Reference '#],Scenarios2[Sharpe Rank])</f>
        <v>10</v>
      </c>
      <c r="AB23" s="180">
        <f>Scenarios3[[#This Row],[Sharpe Rank]]</f>
        <v>2</v>
      </c>
      <c r="AF23" s="34"/>
      <c r="AG23" s="34"/>
      <c r="AK23" s="15"/>
    </row>
    <row r="24" spans="2:37" x14ac:dyDescent="0.2">
      <c r="B24" s="170">
        <v>22</v>
      </c>
      <c r="C24" s="171">
        <v>0.4</v>
      </c>
      <c r="D24" s="171">
        <v>0.2</v>
      </c>
      <c r="E24" s="171">
        <v>0.15</v>
      </c>
      <c r="F24" s="171">
        <v>0.1</v>
      </c>
      <c r="G24" s="171">
        <v>0.15</v>
      </c>
      <c r="H24" s="171">
        <f>SUMPRODUCT(Scenarios3[[#This Row],[SPY]:[PE]],_xlfn.TOROW(AssetSpecsScenario3[Annualized Return]))</f>
        <v>9.9236401920975534E-2</v>
      </c>
      <c r="I24" s="171" cm="1">
        <f t="array" ref="I24">SQRT(MMULT(MMULT(Scenarios3[[#This Row],[SPY]:[PE]], 'Corr_Cov 36- Month'!$J$13:$N$17), TRANSPOSE(Scenarios3[[#This Row],[SPY]:[PE]])))</f>
        <v>7.7569309378944171E-2</v>
      </c>
      <c r="J24" s="172">
        <f>(Scenarios3[[#This Row],[Expected Return]]-RiskFree)/Scenarios3[[#This Row],[36M Vol]]</f>
        <v>0.67334422316769782</v>
      </c>
      <c r="K24" s="171" cm="1">
        <f t="array" ref="K24">MIN(_xlfn._xlws.FILTER(PortfolioFrontier[#Data],(PortfolioFrontier[#Headers]="P"&amp;Scenarios3[[#This Row],[Reference '#]]&amp;" DD")))</f>
        <v>-0.16896122731263008</v>
      </c>
      <c r="L24" s="171">
        <f>SUM(Scenarios3[[#This Row],[SPY]:[VNQ]])</f>
        <v>0.85000000000000009</v>
      </c>
      <c r="M24" s="171">
        <f>SUM(Scenarios3[[#This Row],[SPY]:[PE]])</f>
        <v>1</v>
      </c>
      <c r="N24" s="170" t="b">
        <f>Scenarios3[[#This Row],[SPY]]&gt;=SpyMin</f>
        <v>1</v>
      </c>
      <c r="O24" s="170" t="b">
        <f>Scenarios3[[#This Row],[AGG]]&gt;=AGGMin</f>
        <v>1</v>
      </c>
      <c r="P24" s="170" t="b">
        <f>AND(Scenarios3[[#This Row],[GLD]]&gt;=GLDMin,Scenarios3[[#This Row],[GLD]]&lt;=GLDMax)</f>
        <v>1</v>
      </c>
      <c r="Q24" s="170" t="b">
        <f>Scenarios3[[#This Row],[VNQ]]&gt;=VNQMin</f>
        <v>1</v>
      </c>
      <c r="R24" s="170" t="b">
        <f>AND(Scenarios3[[#This Row],[PE]]&gt;=PEMin,Scenarios3[[#This Row],[PE]]&lt;=PEMax)</f>
        <v>1</v>
      </c>
      <c r="S24" s="170" t="b">
        <f>Scenarios3[[#This Row],[Liquid Assets]]&gt;=LiquidMin</f>
        <v>1</v>
      </c>
      <c r="T24" s="170" t="b">
        <f>AND(Scenarios3[[#This Row],[Expected Return]]&gt;=ExpectedReturnMin,Scenarios3[[#This Row],[Expected Return]]&lt;=ExpectedReturnMax)</f>
        <v>1</v>
      </c>
      <c r="U24" s="170" t="b">
        <f>Scenarios3[[#This Row],[Max Drawdown]]&gt;=DrawdownMax</f>
        <v>1</v>
      </c>
      <c r="V24" s="183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24" s="178">
        <f>_xlfn.XLOOKUP(Scenarios3[[#This Row],[Reference '#]],ScenariosCombined[Reference '#],ScenariosCombined[Sharpe Rank])</f>
        <v>6</v>
      </c>
      <c r="X24" s="175">
        <f>IF(Scenarios3[[#This Row],[Eligible]],COUNTIFS(Scenarios3[Sharpe],"&gt;"&amp;Scenarios3[[#This Row],[Sharpe]],Scenarios3[Eligible],TRUE())+COUNTIFS(Scenarios3[Sharpe],Scenarios3[[#This Row],[Sharpe]],Scenarios3[Eligible],TRUE()),"")</f>
        <v>3</v>
      </c>
      <c r="Y24" s="179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40/20/15/10/15</v>
      </c>
      <c r="Z24" s="180">
        <f>_xlfn.XLOOKUP(Scenarios3[[#This Row],[Reference '#]],Scenarios1[Reference '#],Scenarios1[Sharpe Rank])</f>
        <v>8</v>
      </c>
      <c r="AA24" s="180">
        <f>_xlfn.XLOOKUP(Scenarios3[[#This Row],[Reference '#]],Scenarios2[Reference '#],Scenarios2[Sharpe Rank])</f>
        <v>6</v>
      </c>
      <c r="AB24" s="180">
        <f>Scenarios3[[#This Row],[Sharpe Rank]]</f>
        <v>3</v>
      </c>
      <c r="AF24" s="34"/>
      <c r="AG24" s="34"/>
      <c r="AK24" s="15"/>
    </row>
    <row r="25" spans="2:37" x14ac:dyDescent="0.2">
      <c r="B25" s="170">
        <v>48</v>
      </c>
      <c r="C25" s="171">
        <v>0.35</v>
      </c>
      <c r="D25" s="171">
        <v>0.2</v>
      </c>
      <c r="E25" s="171">
        <v>0.15</v>
      </c>
      <c r="F25" s="171">
        <v>0.1</v>
      </c>
      <c r="G25" s="171">
        <v>0.2</v>
      </c>
      <c r="H25" s="171">
        <f>SUMPRODUCT(Scenarios3[[#This Row],[SPY]:[PE]],_xlfn.TOROW(AssetSpecsScenario3[Annualized Return]))</f>
        <v>9.5665101906290878E-2</v>
      </c>
      <c r="I25" s="171" cm="1">
        <f t="array" ref="I25">SQRT(MMULT(MMULT(Scenarios3[[#This Row],[SPY]:[PE]], 'Corr_Cov 36- Month'!$J$13:$N$17), TRANSPOSE(Scenarios3[[#This Row],[SPY]:[PE]])))</f>
        <v>7.2718897635541749E-2</v>
      </c>
      <c r="J25" s="172">
        <f>(Scenarios3[[#This Row],[Expected Return]]-RiskFree)/Scenarios3[[#This Row],[36M Vol]]</f>
        <v>0.66914581948988061</v>
      </c>
      <c r="K25" s="171" cm="1">
        <f t="array" ref="K25">MIN(_xlfn._xlws.FILTER(PortfolioFrontier[#Data],(PortfolioFrontier[#Headers]="P"&amp;Scenarios3[[#This Row],[Reference '#]]&amp;" DD")))</f>
        <v>-0.15732759310777245</v>
      </c>
      <c r="L25" s="171">
        <f>SUM(Scenarios3[[#This Row],[SPY]:[VNQ]])</f>
        <v>0.8</v>
      </c>
      <c r="M25" s="171">
        <f>SUM(Scenarios3[[#This Row],[SPY]:[PE]])</f>
        <v>1</v>
      </c>
      <c r="N25" s="170" t="b">
        <f>Scenarios3[[#This Row],[SPY]]&gt;=SpyMin</f>
        <v>1</v>
      </c>
      <c r="O25" s="170" t="b">
        <f>Scenarios3[[#This Row],[AGG]]&gt;=AGGMin</f>
        <v>1</v>
      </c>
      <c r="P25" s="170" t="b">
        <f>AND(Scenarios3[[#This Row],[GLD]]&gt;=GLDMin,Scenarios3[[#This Row],[GLD]]&lt;=GLDMax)</f>
        <v>1</v>
      </c>
      <c r="Q25" s="170" t="b">
        <f>Scenarios3[[#This Row],[VNQ]]&gt;=VNQMin</f>
        <v>1</v>
      </c>
      <c r="R25" s="170" t="b">
        <f>AND(Scenarios3[[#This Row],[PE]]&gt;=PEMin,Scenarios3[[#This Row],[PE]]&lt;=PEMax)</f>
        <v>1</v>
      </c>
      <c r="S25" s="170" t="b">
        <f>Scenarios3[[#This Row],[Liquid Assets]]&gt;=LiquidMin</f>
        <v>1</v>
      </c>
      <c r="T25" s="170" t="b">
        <f>AND(Scenarios3[[#This Row],[Expected Return]]&gt;=ExpectedReturnMin,Scenarios3[[#This Row],[Expected Return]]&lt;=ExpectedReturnMax)</f>
        <v>1</v>
      </c>
      <c r="U25" s="170" t="b">
        <f>Scenarios3[[#This Row],[Max Drawdown]]&gt;=DrawdownMax</f>
        <v>1</v>
      </c>
      <c r="V25" s="183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25" s="178">
        <f>_xlfn.XLOOKUP(Scenarios3[[#This Row],[Reference '#]],ScenariosCombined[Reference '#],ScenariosCombined[Sharpe Rank])</f>
        <v>11</v>
      </c>
      <c r="X25" s="175">
        <f>IF(Scenarios3[[#This Row],[Eligible]],COUNTIFS(Scenarios3[Sharpe],"&gt;"&amp;Scenarios3[[#This Row],[Sharpe]],Scenarios3[Eligible],TRUE())+COUNTIFS(Scenarios3[Sharpe],Scenarios3[[#This Row],[Sharpe]],Scenarios3[Eligible],TRUE()),"")</f>
        <v>4</v>
      </c>
      <c r="Y25" s="179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35/20/15/10/20</v>
      </c>
      <c r="Z25" s="180">
        <f>_xlfn.XLOOKUP(Scenarios3[[#This Row],[Reference '#]],Scenarios1[Reference '#],Scenarios1[Sharpe Rank])</f>
        <v>14</v>
      </c>
      <c r="AA25" s="180">
        <f>_xlfn.XLOOKUP(Scenarios3[[#This Row],[Reference '#]],Scenarios2[Reference '#],Scenarios2[Sharpe Rank])</f>
        <v>11</v>
      </c>
      <c r="AB25" s="180">
        <f>Scenarios3[[#This Row],[Sharpe Rank]]</f>
        <v>4</v>
      </c>
      <c r="AF25" s="34"/>
      <c r="AG25" s="34"/>
      <c r="AK25" s="15"/>
    </row>
    <row r="26" spans="2:37" x14ac:dyDescent="0.2">
      <c r="B26" s="71">
        <v>26</v>
      </c>
      <c r="C26" s="69">
        <v>0.4</v>
      </c>
      <c r="D26" s="69">
        <v>0.15</v>
      </c>
      <c r="E26" s="69">
        <v>0.2</v>
      </c>
      <c r="F26" s="69">
        <v>0.15</v>
      </c>
      <c r="G26" s="69">
        <v>0.1</v>
      </c>
      <c r="H26" s="69">
        <f>SUMPRODUCT(Scenarios3[[#This Row],[SPY]:[PE]],_xlfn.TOROW(AssetSpecsScenario3[Annualized Return]))</f>
        <v>0.10328366650805454</v>
      </c>
      <c r="I26" s="69" cm="1">
        <f t="array" ref="I26">SQRT(MMULT(MMULT(Scenarios3[[#This Row],[SPY]:[PE]], 'Corr_Cov 36- Month'!$J$13:$N$17), TRANSPOSE(Scenarios3[[#This Row],[SPY]:[PE]])))</f>
        <v>8.4909049819064705E-2</v>
      </c>
      <c r="J26" s="70">
        <f>(Scenarios3[[#This Row],[Expected Return]]-RiskFree)/Scenarios3[[#This Row],[36M Vol]]</f>
        <v>0.6628046253305595</v>
      </c>
      <c r="K26" s="107" cm="1">
        <f t="array" ref="K26">MIN(_xlfn._xlws.FILTER(PortfolioFrontier[#Data],(PortfolioFrontier[#Headers]="P"&amp;Scenarios3[[#This Row],[Reference '#]]&amp;" DD")))</f>
        <v>-0.18098526063032661</v>
      </c>
      <c r="L26" s="69">
        <f>SUM(Scenarios3[[#This Row],[SPY]:[VNQ]])</f>
        <v>0.9</v>
      </c>
      <c r="M26" s="69">
        <f>SUM(Scenarios3[[#This Row],[SPY]:[PE]])</f>
        <v>1</v>
      </c>
      <c r="N26" s="71" t="b">
        <f>Scenarios3[[#This Row],[SPY]]&gt;=SpyMin</f>
        <v>1</v>
      </c>
      <c r="O26" s="71" t="b">
        <f>Scenarios3[[#This Row],[AGG]]&gt;=AGGMin</f>
        <v>1</v>
      </c>
      <c r="P26" s="71" t="b">
        <f>AND(Scenarios3[[#This Row],[GLD]]&gt;=GLDMin,Scenarios3[[#This Row],[GLD]]&lt;=GLDMax)</f>
        <v>1</v>
      </c>
      <c r="Q26" s="71" t="b">
        <f>Scenarios3[[#This Row],[VNQ]]&gt;=VNQMin</f>
        <v>1</v>
      </c>
      <c r="R26" s="71" t="b">
        <f>AND(Scenarios3[[#This Row],[PE]]&gt;=PEMin,Scenarios3[[#This Row],[PE]]&lt;=PEMax)</f>
        <v>1</v>
      </c>
      <c r="S26" s="71" t="b">
        <f>Scenarios3[[#This Row],[Liquid Assets]]&gt;=LiquidMin</f>
        <v>1</v>
      </c>
      <c r="T26" s="71" t="b">
        <f>AND(Scenarios3[[#This Row],[Expected Return]]&gt;=ExpectedReturnMin,Scenarios3[[#This Row],[Expected Return]]&lt;=ExpectedReturnMax)</f>
        <v>0</v>
      </c>
      <c r="U26" s="71" t="b">
        <f>Scenarios3[[#This Row],[Max Drawdown]]&gt;=DrawdownMax</f>
        <v>1</v>
      </c>
      <c r="V2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26" s="46" t="str">
        <f>_xlfn.XLOOKUP(Scenarios3[[#This Row],[Reference '#]],ScenariosCombined[Reference '#],ScenariosCombined[Sharpe Rank])</f>
        <v/>
      </c>
      <c r="X26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2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40/15/20/15/10</v>
      </c>
      <c r="Z26" s="139" t="str">
        <f>_xlfn.XLOOKUP(Scenarios3[[#This Row],[Reference '#]],Scenarios1[Reference '#],Scenarios1[Sharpe Rank])</f>
        <v/>
      </c>
      <c r="AA26" s="139" t="str">
        <f>_xlfn.XLOOKUP(Scenarios3[[#This Row],[Reference '#]],Scenarios2[Reference '#],Scenarios2[Sharpe Rank])</f>
        <v/>
      </c>
      <c r="AB26" s="139" t="str">
        <f>Scenarios3[[#This Row],[Sharpe Rank]]</f>
        <v/>
      </c>
      <c r="AF26" s="34"/>
      <c r="AG26" s="34"/>
      <c r="AK26" s="15"/>
    </row>
    <row r="27" spans="2:37" x14ac:dyDescent="0.2">
      <c r="B27" s="71">
        <v>2</v>
      </c>
      <c r="C27" s="69">
        <v>0.5</v>
      </c>
      <c r="D27" s="69">
        <v>0.2</v>
      </c>
      <c r="E27" s="69">
        <v>0.1</v>
      </c>
      <c r="F27" s="69">
        <v>0.1</v>
      </c>
      <c r="G27" s="69">
        <v>0.1</v>
      </c>
      <c r="H27" s="69">
        <f>SUMPRODUCT(Scenarios3[[#This Row],[SPY]:[PE]],_xlfn.TOROW(AssetSpecsScenario3[Annualized Return]))</f>
        <v>0.10391547670942936</v>
      </c>
      <c r="I27" s="69" cm="1">
        <f t="array" ref="I27">SQRT(MMULT(MMULT(Scenarios3[[#This Row],[SPY]:[PE]], 'Corr_Cov 36- Month'!$J$13:$N$17), TRANSPOSE(Scenarios3[[#This Row],[SPY]:[PE]])))</f>
        <v>8.6129978160750478E-2</v>
      </c>
      <c r="J27" s="70">
        <f>(Scenarios3[[#This Row],[Expected Return]]-RiskFree)/Scenarios3[[#This Row],[36M Vol]]</f>
        <v>0.66074463699106933</v>
      </c>
      <c r="K27" s="107" cm="1">
        <f t="array" ref="K27">MIN(_xlfn._xlws.FILTER(PortfolioFrontier[#Data],(PortfolioFrontier[#Headers]="P"&amp;Scenarios3[[#This Row],[Reference '#]]&amp;" DD")))</f>
        <v>-0.18787639492969854</v>
      </c>
      <c r="L27" s="69">
        <f>SUM(Scenarios3[[#This Row],[SPY]:[VNQ]])</f>
        <v>0.89999999999999991</v>
      </c>
      <c r="M27" s="69">
        <f>SUM(Scenarios3[[#This Row],[SPY]:[PE]])</f>
        <v>0.99999999999999989</v>
      </c>
      <c r="N27" s="71" t="b">
        <f>Scenarios3[[#This Row],[SPY]]&gt;=SpyMin</f>
        <v>1</v>
      </c>
      <c r="O27" s="71" t="b">
        <f>Scenarios3[[#This Row],[AGG]]&gt;=AGGMin</f>
        <v>1</v>
      </c>
      <c r="P27" s="71" t="b">
        <f>AND(Scenarios3[[#This Row],[GLD]]&gt;=GLDMin,Scenarios3[[#This Row],[GLD]]&lt;=GLDMax)</f>
        <v>1</v>
      </c>
      <c r="Q27" s="71" t="b">
        <f>Scenarios3[[#This Row],[VNQ]]&gt;=VNQMin</f>
        <v>1</v>
      </c>
      <c r="R27" s="71" t="b">
        <f>AND(Scenarios3[[#This Row],[PE]]&gt;=PEMin,Scenarios3[[#This Row],[PE]]&lt;=PEMax)</f>
        <v>1</v>
      </c>
      <c r="S27" s="71" t="b">
        <f>Scenarios3[[#This Row],[Liquid Assets]]&gt;=LiquidMin</f>
        <v>1</v>
      </c>
      <c r="T27" s="71" t="b">
        <f>AND(Scenarios3[[#This Row],[Expected Return]]&gt;=ExpectedReturnMin,Scenarios3[[#This Row],[Expected Return]]&lt;=ExpectedReturnMax)</f>
        <v>0</v>
      </c>
      <c r="U27" s="71" t="b">
        <f>Scenarios3[[#This Row],[Max Drawdown]]&gt;=DrawdownMax</f>
        <v>1</v>
      </c>
      <c r="V2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27" s="46" t="str">
        <f>_xlfn.XLOOKUP(Scenarios3[[#This Row],[Reference '#]],ScenariosCombined[Reference '#],ScenariosCombined[Sharpe Rank])</f>
        <v/>
      </c>
      <c r="X27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2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50/20/10/10/10</v>
      </c>
      <c r="Z27" s="139" t="str">
        <f>_xlfn.XLOOKUP(Scenarios3[[#This Row],[Reference '#]],Scenarios1[Reference '#],Scenarios1[Sharpe Rank])</f>
        <v/>
      </c>
      <c r="AA27" s="139" t="str">
        <f>_xlfn.XLOOKUP(Scenarios3[[#This Row],[Reference '#]],Scenarios2[Reference '#],Scenarios2[Sharpe Rank])</f>
        <v/>
      </c>
      <c r="AB27" s="139" t="str">
        <f>Scenarios3[[#This Row],[Sharpe Rank]]</f>
        <v/>
      </c>
      <c r="AF27" s="34"/>
      <c r="AG27" s="34"/>
      <c r="AK27" s="15"/>
    </row>
    <row r="28" spans="2:37" x14ac:dyDescent="0.2">
      <c r="B28" s="126">
        <v>9</v>
      </c>
      <c r="C28" s="124">
        <v>0.45</v>
      </c>
      <c r="D28" s="124">
        <v>0.2</v>
      </c>
      <c r="E28" s="124">
        <v>0.1</v>
      </c>
      <c r="F28" s="124">
        <v>0.1</v>
      </c>
      <c r="G28" s="124">
        <v>0.15</v>
      </c>
      <c r="H28" s="124">
        <f>SUMPRODUCT(Scenarios3[[#This Row],[SPY]:[PE]],_xlfn.TOROW(AssetSpecsScenario3[Annualized Return]))</f>
        <v>0.1003441766947447</v>
      </c>
      <c r="I28" s="124" cm="1">
        <f t="array" ref="I28">SQRT(MMULT(MMULT(Scenarios3[[#This Row],[SPY]:[PE]], 'Corr_Cov 36- Month'!$J$13:$N$17), TRANSPOSE(Scenarios3[[#This Row],[SPY]:[PE]])))</f>
        <v>8.0973569375642915E-2</v>
      </c>
      <c r="J28" s="125">
        <f>(Scenarios3[[#This Row],[Expected Return]]-RiskFree)/Scenarios3[[#This Row],[36M Vol]]</f>
        <v>0.65871643735682428</v>
      </c>
      <c r="K28" s="124" cm="1">
        <f t="array" ref="K28">MIN(_xlfn._xlws.FILTER(PortfolioFrontier[#Data],(PortfolioFrontier[#Headers]="P"&amp;Scenarios3[[#This Row],[Reference '#]]&amp;" DD")))</f>
        <v>-0.17631267316325527</v>
      </c>
      <c r="L28" s="124">
        <f>SUM(Scenarios3[[#This Row],[SPY]:[VNQ]])</f>
        <v>0.85</v>
      </c>
      <c r="M28" s="124">
        <f>SUM(Scenarios3[[#This Row],[SPY]:[PE]])</f>
        <v>1</v>
      </c>
      <c r="N28" s="126" t="b">
        <f>Scenarios3[[#This Row],[SPY]]&gt;=SpyMin</f>
        <v>1</v>
      </c>
      <c r="O28" s="126" t="b">
        <f>Scenarios3[[#This Row],[AGG]]&gt;=AGGMin</f>
        <v>1</v>
      </c>
      <c r="P28" s="126" t="b">
        <f>AND(Scenarios3[[#This Row],[GLD]]&gt;=GLDMin,Scenarios3[[#This Row],[GLD]]&lt;=GLDMax)</f>
        <v>1</v>
      </c>
      <c r="Q28" s="126" t="b">
        <f>Scenarios3[[#This Row],[VNQ]]&gt;=VNQMin</f>
        <v>1</v>
      </c>
      <c r="R28" s="126" t="b">
        <f>AND(Scenarios3[[#This Row],[PE]]&gt;=PEMin,Scenarios3[[#This Row],[PE]]&lt;=PEMax)</f>
        <v>1</v>
      </c>
      <c r="S28" s="126" t="b">
        <f>Scenarios3[[#This Row],[Liquid Assets]]&gt;=LiquidMin</f>
        <v>1</v>
      </c>
      <c r="T28" s="126" t="b">
        <f>AND(Scenarios3[[#This Row],[Expected Return]]&gt;=ExpectedReturnMin,Scenarios3[[#This Row],[Expected Return]]&lt;=ExpectedReturnMax)</f>
        <v>0</v>
      </c>
      <c r="U28" s="126" t="b">
        <f>Scenarios3[[#This Row],[Max Drawdown]]&gt;=DrawdownMax</f>
        <v>1</v>
      </c>
      <c r="V28" s="182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28" s="149">
        <f>_xlfn.XLOOKUP(Scenarios3[[#This Row],[Reference '#]],ScenariosCombined[Reference '#],ScenariosCombined[Sharpe Rank])</f>
        <v>7</v>
      </c>
      <c r="X28" s="122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28" s="150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45/20/10/10/15</v>
      </c>
      <c r="Z28" s="151">
        <f>_xlfn.XLOOKUP(Scenarios3[[#This Row],[Reference '#]],Scenarios1[Reference '#],Scenarios1[Sharpe Rank])</f>
        <v>9</v>
      </c>
      <c r="AA28" s="151">
        <f>_xlfn.XLOOKUP(Scenarios3[[#This Row],[Reference '#]],Scenarios2[Reference '#],Scenarios2[Sharpe Rank])</f>
        <v>7</v>
      </c>
      <c r="AB28" s="151" t="str">
        <f>Scenarios3[[#This Row],[Sharpe Rank]]</f>
        <v/>
      </c>
      <c r="AF28" s="34"/>
      <c r="AG28" s="34"/>
      <c r="AK28" s="15"/>
    </row>
    <row r="29" spans="2:37" x14ac:dyDescent="0.2">
      <c r="B29" s="170">
        <v>53</v>
      </c>
      <c r="C29" s="171">
        <v>0.35</v>
      </c>
      <c r="D29" s="171">
        <v>0.15</v>
      </c>
      <c r="E29" s="171">
        <v>0.2</v>
      </c>
      <c r="F29" s="171">
        <v>0.15</v>
      </c>
      <c r="G29" s="171">
        <v>0.15</v>
      </c>
      <c r="H29" s="171">
        <f>SUMPRODUCT(Scenarios3[[#This Row],[SPY]:[PE]],_xlfn.TOROW(AssetSpecsScenario3[Annualized Return]))</f>
        <v>9.9712366493369856E-2</v>
      </c>
      <c r="I29" s="171" cm="1">
        <f t="array" ref="I29">SQRT(MMULT(MMULT(Scenarios3[[#This Row],[SPY]:[PE]], 'Corr_Cov 36- Month'!$J$13:$N$17), TRANSPOSE(Scenarios3[[#This Row],[SPY]:[PE]])))</f>
        <v>8.0027720134087321E-2</v>
      </c>
      <c r="J29" s="172">
        <f>(Scenarios3[[#This Row],[Expected Return]]-RiskFree)/Scenarios3[[#This Row],[36M Vol]]</f>
        <v>0.65860692831813106</v>
      </c>
      <c r="K29" s="171" cm="1">
        <f t="array" ref="K29">MIN(_xlfn._xlws.FILTER(PortfolioFrontier[#Data],(PortfolioFrontier[#Headers]="P"&amp;Scenarios3[[#This Row],[Reference '#]]&amp;" DD")))</f>
        <v>-0.16942426563268254</v>
      </c>
      <c r="L29" s="171">
        <f>SUM(Scenarios3[[#This Row],[SPY]:[VNQ]])</f>
        <v>0.85</v>
      </c>
      <c r="M29" s="171">
        <f>SUM(Scenarios3[[#This Row],[SPY]:[PE]])</f>
        <v>1</v>
      </c>
      <c r="N29" s="170" t="b">
        <f>Scenarios3[[#This Row],[SPY]]&gt;=SpyMin</f>
        <v>1</v>
      </c>
      <c r="O29" s="170" t="b">
        <f>Scenarios3[[#This Row],[AGG]]&gt;=AGGMin</f>
        <v>1</v>
      </c>
      <c r="P29" s="170" t="b">
        <f>AND(Scenarios3[[#This Row],[GLD]]&gt;=GLDMin,Scenarios3[[#This Row],[GLD]]&lt;=GLDMax)</f>
        <v>1</v>
      </c>
      <c r="Q29" s="170" t="b">
        <f>Scenarios3[[#This Row],[VNQ]]&gt;=VNQMin</f>
        <v>1</v>
      </c>
      <c r="R29" s="170" t="b">
        <f>AND(Scenarios3[[#This Row],[PE]]&gt;=PEMin,Scenarios3[[#This Row],[PE]]&lt;=PEMax)</f>
        <v>1</v>
      </c>
      <c r="S29" s="170" t="b">
        <f>Scenarios3[[#This Row],[Liquid Assets]]&gt;=LiquidMin</f>
        <v>1</v>
      </c>
      <c r="T29" s="170" t="b">
        <f>AND(Scenarios3[[#This Row],[Expected Return]]&gt;=ExpectedReturnMin,Scenarios3[[#This Row],[Expected Return]]&lt;=ExpectedReturnMax)</f>
        <v>1</v>
      </c>
      <c r="U29" s="170" t="b">
        <f>Scenarios3[[#This Row],[Max Drawdown]]&gt;=DrawdownMax</f>
        <v>1</v>
      </c>
      <c r="V29" s="183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29" s="178">
        <f>_xlfn.XLOOKUP(Scenarios3[[#This Row],[Reference '#]],ScenariosCombined[Reference '#],ScenariosCombined[Sharpe Rank])</f>
        <v>8</v>
      </c>
      <c r="X29" s="175">
        <f>IF(Scenarios3[[#This Row],[Eligible]],COUNTIFS(Scenarios3[Sharpe],"&gt;"&amp;Scenarios3[[#This Row],[Sharpe]],Scenarios3[Eligible],TRUE())+COUNTIFS(Scenarios3[Sharpe],Scenarios3[[#This Row],[Sharpe]],Scenarios3[Eligible],TRUE()),"")</f>
        <v>5</v>
      </c>
      <c r="Y29" s="179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35/15/20/15/15</v>
      </c>
      <c r="Z29" s="180">
        <f>_xlfn.XLOOKUP(Scenarios3[[#This Row],[Reference '#]],Scenarios1[Reference '#],Scenarios1[Sharpe Rank])</f>
        <v>10</v>
      </c>
      <c r="AA29" s="180">
        <f>_xlfn.XLOOKUP(Scenarios3[[#This Row],[Reference '#]],Scenarios2[Reference '#],Scenarios2[Sharpe Rank])</f>
        <v>8</v>
      </c>
      <c r="AB29" s="180">
        <f>Scenarios3[[#This Row],[Sharpe Rank]]</f>
        <v>5</v>
      </c>
      <c r="AF29" s="34"/>
      <c r="AG29" s="34"/>
      <c r="AK29" s="15"/>
    </row>
    <row r="30" spans="2:37" x14ac:dyDescent="0.2">
      <c r="B30" s="71">
        <v>25</v>
      </c>
      <c r="C30" s="69">
        <v>0.4</v>
      </c>
      <c r="D30" s="69">
        <v>0.2</v>
      </c>
      <c r="E30" s="69">
        <v>0.1</v>
      </c>
      <c r="F30" s="69">
        <v>0.1</v>
      </c>
      <c r="G30" s="69">
        <v>0.2</v>
      </c>
      <c r="H30" s="69">
        <f>SUMPRODUCT(Scenarios3[[#This Row],[SPY]:[PE]],_xlfn.TOROW(AssetSpecsScenario3[Annualized Return]))</f>
        <v>9.6772876680060044E-2</v>
      </c>
      <c r="I30" s="69" cm="1">
        <f t="array" ref="I30">SQRT(MMULT(MMULT(Scenarios3[[#This Row],[SPY]:[PE]], 'Corr_Cov 36- Month'!$J$13:$N$17), TRANSPOSE(Scenarios3[[#This Row],[SPY]:[PE]])))</f>
        <v>7.5963097172488184E-2</v>
      </c>
      <c r="J30" s="70">
        <f>(Scenarios3[[#This Row],[Expected Return]]-RiskFree)/Scenarios3[[#This Row],[36M Vol]]</f>
        <v>0.65515129025740793</v>
      </c>
      <c r="K30" s="107" cm="1">
        <f t="array" ref="K30">MIN(_xlfn._xlws.FILTER(PortfolioFrontier[#Data],(PortfolioFrontier[#Headers]="P"&amp;Scenarios3[[#This Row],[Reference '#]]&amp;" DD")))</f>
        <v>-0.16469571026556495</v>
      </c>
      <c r="L30" s="69">
        <f>SUM(Scenarios3[[#This Row],[SPY]:[VNQ]])</f>
        <v>0.8</v>
      </c>
      <c r="M30" s="69">
        <f>SUM(Scenarios3[[#This Row],[SPY]:[PE]])</f>
        <v>1</v>
      </c>
      <c r="N30" s="71" t="b">
        <f>Scenarios3[[#This Row],[SPY]]&gt;=SpyMin</f>
        <v>1</v>
      </c>
      <c r="O30" s="71" t="b">
        <f>Scenarios3[[#This Row],[AGG]]&gt;=AGGMin</f>
        <v>1</v>
      </c>
      <c r="P30" s="71" t="b">
        <f>AND(Scenarios3[[#This Row],[GLD]]&gt;=GLDMin,Scenarios3[[#This Row],[GLD]]&lt;=GLDMax)</f>
        <v>1</v>
      </c>
      <c r="Q30" s="71" t="b">
        <f>Scenarios3[[#This Row],[VNQ]]&gt;=VNQMin</f>
        <v>1</v>
      </c>
      <c r="R30" s="71" t="b">
        <f>AND(Scenarios3[[#This Row],[PE]]&gt;=PEMin,Scenarios3[[#This Row],[PE]]&lt;=PEMax)</f>
        <v>1</v>
      </c>
      <c r="S30" s="71" t="b">
        <f>Scenarios3[[#This Row],[Liquid Assets]]&gt;=LiquidMin</f>
        <v>1</v>
      </c>
      <c r="T30" s="71" t="b">
        <f>AND(Scenarios3[[#This Row],[Expected Return]]&gt;=ExpectedReturnMin,Scenarios3[[#This Row],[Expected Return]]&lt;=ExpectedReturnMax)</f>
        <v>1</v>
      </c>
      <c r="U30" s="71" t="b">
        <f>Scenarios3[[#This Row],[Max Drawdown]]&gt;=DrawdownMax</f>
        <v>1</v>
      </c>
      <c r="V3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30" s="46">
        <f>_xlfn.XLOOKUP(Scenarios3[[#This Row],[Reference '#]],ScenariosCombined[Reference '#],ScenariosCombined[Sharpe Rank])</f>
        <v>13</v>
      </c>
      <c r="X30" s="44">
        <f>IF(Scenarios3[[#This Row],[Eligible]],COUNTIFS(Scenarios3[Sharpe],"&gt;"&amp;Scenarios3[[#This Row],[Sharpe]],Scenarios3[Eligible],TRUE())+COUNTIFS(Scenarios3[Sharpe],Scenarios3[[#This Row],[Sharpe]],Scenarios3[Eligible],TRUE()),"")</f>
        <v>6</v>
      </c>
      <c r="Y3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40/20/10/10/20</v>
      </c>
      <c r="Z30" s="139">
        <f>_xlfn.XLOOKUP(Scenarios3[[#This Row],[Reference '#]],Scenarios1[Reference '#],Scenarios1[Sharpe Rank])</f>
        <v>17</v>
      </c>
      <c r="AA30" s="139">
        <f>_xlfn.XLOOKUP(Scenarios3[[#This Row],[Reference '#]],Scenarios2[Reference '#],Scenarios2[Sharpe Rank])</f>
        <v>14</v>
      </c>
      <c r="AB30" s="139">
        <f>Scenarios3[[#This Row],[Sharpe Rank]]</f>
        <v>6</v>
      </c>
      <c r="AF30" s="34"/>
      <c r="AG30" s="34"/>
      <c r="AK30" s="15"/>
    </row>
    <row r="31" spans="2:37" x14ac:dyDescent="0.2">
      <c r="B31" s="71">
        <v>11</v>
      </c>
      <c r="C31" s="69">
        <v>0.45</v>
      </c>
      <c r="D31" s="69">
        <v>0.15</v>
      </c>
      <c r="E31" s="69">
        <v>0.15</v>
      </c>
      <c r="F31" s="69">
        <v>0.15</v>
      </c>
      <c r="G31" s="69">
        <v>0.1</v>
      </c>
      <c r="H31" s="69">
        <f>SUMPRODUCT(Scenarios3[[#This Row],[SPY]:[PE]],_xlfn.TOROW(AssetSpecsScenario3[Annualized Return]))</f>
        <v>0.10439144128182368</v>
      </c>
      <c r="I31" s="69" cm="1">
        <f t="array" ref="I31">SQRT(MMULT(MMULT(Scenarios3[[#This Row],[SPY]:[PE]], 'Corr_Cov 36- Month'!$J$13:$N$17), TRANSPOSE(Scenarios3[[#This Row],[SPY]:[PE]])))</f>
        <v>8.7672986989800306E-2</v>
      </c>
      <c r="J31" s="70">
        <f>(Scenarios3[[#This Row],[Expected Return]]-RiskFree)/Scenarios3[[#This Row],[36M Vol]]</f>
        <v>0.65454466303223224</v>
      </c>
      <c r="K31" s="107" cm="1">
        <f t="array" ref="K31">MIN(_xlfn._xlws.FILTER(PortfolioFrontier[#Data],(PortfolioFrontier[#Headers]="P"&amp;Scenarios3[[#This Row],[Reference '#]]&amp;" DD")))</f>
        <v>-0.18828201909404418</v>
      </c>
      <c r="L31" s="69">
        <f>SUM(Scenarios3[[#This Row],[SPY]:[VNQ]])</f>
        <v>0.9</v>
      </c>
      <c r="M31" s="69">
        <f>SUM(Scenarios3[[#This Row],[SPY]:[PE]])</f>
        <v>1</v>
      </c>
      <c r="N31" s="71" t="b">
        <f>Scenarios3[[#This Row],[SPY]]&gt;=SpyMin</f>
        <v>1</v>
      </c>
      <c r="O31" s="71" t="b">
        <f>Scenarios3[[#This Row],[AGG]]&gt;=AGGMin</f>
        <v>1</v>
      </c>
      <c r="P31" s="71" t="b">
        <f>AND(Scenarios3[[#This Row],[GLD]]&gt;=GLDMin,Scenarios3[[#This Row],[GLD]]&lt;=GLDMax)</f>
        <v>1</v>
      </c>
      <c r="Q31" s="71" t="b">
        <f>Scenarios3[[#This Row],[VNQ]]&gt;=VNQMin</f>
        <v>1</v>
      </c>
      <c r="R31" s="71" t="b">
        <f>AND(Scenarios3[[#This Row],[PE]]&gt;=PEMin,Scenarios3[[#This Row],[PE]]&lt;=PEMax)</f>
        <v>1</v>
      </c>
      <c r="S31" s="71" t="b">
        <f>Scenarios3[[#This Row],[Liquid Assets]]&gt;=LiquidMin</f>
        <v>1</v>
      </c>
      <c r="T31" s="71" t="b">
        <f>AND(Scenarios3[[#This Row],[Expected Return]]&gt;=ExpectedReturnMin,Scenarios3[[#This Row],[Expected Return]]&lt;=ExpectedReturnMax)</f>
        <v>0</v>
      </c>
      <c r="U31" s="71" t="b">
        <f>Scenarios3[[#This Row],[Max Drawdown]]&gt;=DrawdownMax</f>
        <v>1</v>
      </c>
      <c r="V3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31" s="46" t="str">
        <f>_xlfn.XLOOKUP(Scenarios3[[#This Row],[Reference '#]],ScenariosCombined[Reference '#],ScenariosCombined[Sharpe Rank])</f>
        <v/>
      </c>
      <c r="X31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3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45/15/15/15/10</v>
      </c>
      <c r="Z31" s="139" t="str">
        <f>_xlfn.XLOOKUP(Scenarios3[[#This Row],[Reference '#]],Scenarios1[Reference '#],Scenarios1[Sharpe Rank])</f>
        <v/>
      </c>
      <c r="AA31" s="139" t="str">
        <f>_xlfn.XLOOKUP(Scenarios3[[#This Row],[Reference '#]],Scenarios2[Reference '#],Scenarios2[Sharpe Rank])</f>
        <v/>
      </c>
      <c r="AB31" s="139" t="str">
        <f>Scenarios3[[#This Row],[Sharpe Rank]]</f>
        <v/>
      </c>
      <c r="AF31" s="34"/>
      <c r="AG31" s="34"/>
      <c r="AK31" s="15"/>
    </row>
    <row r="32" spans="2:37" s="15" customFormat="1" x14ac:dyDescent="0.2">
      <c r="B32" s="71">
        <v>90</v>
      </c>
      <c r="C32" s="69">
        <v>0.3</v>
      </c>
      <c r="D32" s="69">
        <v>0.15</v>
      </c>
      <c r="E32" s="69">
        <v>0.2</v>
      </c>
      <c r="F32" s="69">
        <v>0.15</v>
      </c>
      <c r="G32" s="69">
        <v>0.2</v>
      </c>
      <c r="H32" s="69">
        <f>SUMPRODUCT(Scenarios3[[#This Row],[SPY]:[PE]],_xlfn.TOROW(AssetSpecsScenario3[Annualized Return]))</f>
        <v>9.61410664786852E-2</v>
      </c>
      <c r="I32" s="69" cm="1">
        <f t="array" ref="I32">SQRT(MMULT(MMULT(Scenarios3[[#This Row],[SPY]:[PE]], 'Corr_Cov 36- Month'!$J$13:$N$17), TRANSPOSE(Scenarios3[[#This Row],[SPY]:[PE]])))</f>
        <v>7.533029028012124E-2</v>
      </c>
      <c r="J32" s="70">
        <f>(Scenarios3[[#This Row],[Expected Return]]-RiskFree)/Scenarios3[[#This Row],[36M Vol]]</f>
        <v>0.65226764347270705</v>
      </c>
      <c r="K32" s="107" cm="1">
        <f t="array" ref="K32">MIN(_xlfn._xlws.FILTER(PortfolioFrontier[#Data],(PortfolioFrontier[#Headers]="P"&amp;Scenarios3[[#This Row],[Reference '#]]&amp;" DD")))</f>
        <v>-0.15781185327852942</v>
      </c>
      <c r="L32" s="69">
        <f>SUM(Scenarios3[[#This Row],[SPY]:[VNQ]])</f>
        <v>0.79999999999999993</v>
      </c>
      <c r="M32" s="69">
        <f>SUM(Scenarios3[[#This Row],[SPY]:[PE]])</f>
        <v>1</v>
      </c>
      <c r="N32" s="71" t="b">
        <f>Scenarios3[[#This Row],[SPY]]&gt;=SpyMin</f>
        <v>1</v>
      </c>
      <c r="O32" s="71" t="b">
        <f>Scenarios3[[#This Row],[AGG]]&gt;=AGGMin</f>
        <v>1</v>
      </c>
      <c r="P32" s="71" t="b">
        <f>AND(Scenarios3[[#This Row],[GLD]]&gt;=GLDMin,Scenarios3[[#This Row],[GLD]]&lt;=GLDMax)</f>
        <v>1</v>
      </c>
      <c r="Q32" s="71" t="b">
        <f>Scenarios3[[#This Row],[VNQ]]&gt;=VNQMin</f>
        <v>1</v>
      </c>
      <c r="R32" s="71" t="b">
        <f>AND(Scenarios3[[#This Row],[PE]]&gt;=PEMin,Scenarios3[[#This Row],[PE]]&lt;=PEMax)</f>
        <v>1</v>
      </c>
      <c r="S32" s="71" t="b">
        <f>Scenarios3[[#This Row],[Liquid Assets]]&gt;=LiquidMin</f>
        <v>1</v>
      </c>
      <c r="T32" s="71" t="b">
        <f>AND(Scenarios3[[#This Row],[Expected Return]]&gt;=ExpectedReturnMin,Scenarios3[[#This Row],[Expected Return]]&lt;=ExpectedReturnMax)</f>
        <v>1</v>
      </c>
      <c r="U32" s="71" t="b">
        <f>Scenarios3[[#This Row],[Max Drawdown]]&gt;=DrawdownMax</f>
        <v>1</v>
      </c>
      <c r="V3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32" s="46">
        <f>_xlfn.XLOOKUP(Scenarios3[[#This Row],[Reference '#]],ScenariosCombined[Reference '#],ScenariosCombined[Sharpe Rank])</f>
        <v>14</v>
      </c>
      <c r="X32" s="44">
        <f>IF(Scenarios3[[#This Row],[Eligible]],COUNTIFS(Scenarios3[Sharpe],"&gt;"&amp;Scenarios3[[#This Row],[Sharpe]],Scenarios3[Eligible],TRUE())+COUNTIFS(Scenarios3[Sharpe],Scenarios3[[#This Row],[Sharpe]],Scenarios3[Eligible],TRUE()),"")</f>
        <v>7</v>
      </c>
      <c r="Y3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30/15/20/15/20</v>
      </c>
      <c r="Z32" s="139">
        <f>_xlfn.XLOOKUP(Scenarios3[[#This Row],[Reference '#]],Scenarios1[Reference '#],Scenarios1[Sharpe Rank])</f>
        <v>19</v>
      </c>
      <c r="AA32" s="139">
        <f>_xlfn.XLOOKUP(Scenarios3[[#This Row],[Reference '#]],Scenarios2[Reference '#],Scenarios2[Sharpe Rank])</f>
        <v>16</v>
      </c>
      <c r="AB32" s="139">
        <f>Scenarios3[[#This Row],[Sharpe Rank]]</f>
        <v>7</v>
      </c>
      <c r="AC32"/>
      <c r="AD32"/>
      <c r="AE32"/>
      <c r="AF32" s="34"/>
      <c r="AG32" s="34"/>
    </row>
    <row r="33" spans="2:33" s="15" customFormat="1" x14ac:dyDescent="0.2">
      <c r="B33" s="71">
        <v>29</v>
      </c>
      <c r="C33" s="69">
        <v>0.4</v>
      </c>
      <c r="D33" s="69">
        <v>0.15</v>
      </c>
      <c r="E33" s="69">
        <v>0.15</v>
      </c>
      <c r="F33" s="69">
        <v>0.15</v>
      </c>
      <c r="G33" s="69">
        <v>0.15</v>
      </c>
      <c r="H33" s="69">
        <f>SUMPRODUCT(Scenarios3[[#This Row],[SPY]:[PE]],_xlfn.TOROW(AssetSpecsScenario3[Annualized Return]))</f>
        <v>0.10082014126713902</v>
      </c>
      <c r="I33" s="69" cm="1">
        <f t="array" ref="I33">SQRT(MMULT(MMULT(Scenarios3[[#This Row],[SPY]:[PE]], 'Corr_Cov 36- Month'!$J$13:$N$17), TRANSPOSE(Scenarios3[[#This Row],[SPY]:[PE]])))</f>
        <v>8.2607958304269175E-2</v>
      </c>
      <c r="J33" s="70">
        <f>(Scenarios3[[#This Row],[Expected Return]]-RiskFree)/Scenarios3[[#This Row],[36M Vol]]</f>
        <v>0.65144553643813197</v>
      </c>
      <c r="K33" s="107" cm="1">
        <f t="array" ref="K33">MIN(_xlfn._xlws.FILTER(PortfolioFrontier[#Data],(PortfolioFrontier[#Headers]="P"&amp;Scenarios3[[#This Row],[Reference '#]]&amp;" DD")))</f>
        <v>-0.17673871875174951</v>
      </c>
      <c r="L33" s="69">
        <f>SUM(Scenarios3[[#This Row],[SPY]:[VNQ]])</f>
        <v>0.85000000000000009</v>
      </c>
      <c r="M33" s="69">
        <f>SUM(Scenarios3[[#This Row],[SPY]:[PE]])</f>
        <v>1</v>
      </c>
      <c r="N33" s="71" t="b">
        <f>Scenarios3[[#This Row],[SPY]]&gt;=SpyMin</f>
        <v>1</v>
      </c>
      <c r="O33" s="71" t="b">
        <f>Scenarios3[[#This Row],[AGG]]&gt;=AGGMin</f>
        <v>1</v>
      </c>
      <c r="P33" s="71" t="b">
        <f>AND(Scenarios3[[#This Row],[GLD]]&gt;=GLDMin,Scenarios3[[#This Row],[GLD]]&lt;=GLDMax)</f>
        <v>1</v>
      </c>
      <c r="Q33" s="71" t="b">
        <f>Scenarios3[[#This Row],[VNQ]]&gt;=VNQMin</f>
        <v>1</v>
      </c>
      <c r="R33" s="71" t="b">
        <f>AND(Scenarios3[[#This Row],[PE]]&gt;=PEMin,Scenarios3[[#This Row],[PE]]&lt;=PEMax)</f>
        <v>1</v>
      </c>
      <c r="S33" s="71" t="b">
        <f>Scenarios3[[#This Row],[Liquid Assets]]&gt;=LiquidMin</f>
        <v>1</v>
      </c>
      <c r="T33" s="71" t="b">
        <f>AND(Scenarios3[[#This Row],[Expected Return]]&gt;=ExpectedReturnMin,Scenarios3[[#This Row],[Expected Return]]&lt;=ExpectedReturnMax)</f>
        <v>0</v>
      </c>
      <c r="U33" s="71" t="b">
        <f>Scenarios3[[#This Row],[Max Drawdown]]&gt;=DrawdownMax</f>
        <v>1</v>
      </c>
      <c r="V3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33" s="46">
        <f>_xlfn.XLOOKUP(Scenarios3[[#This Row],[Reference '#]],ScenariosCombined[Reference '#],ScenariosCombined[Sharpe Rank])</f>
        <v>10</v>
      </c>
      <c r="X33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3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40/15/15/15/15</v>
      </c>
      <c r="Z33" s="139">
        <f>_xlfn.XLOOKUP(Scenarios3[[#This Row],[Reference '#]],Scenarios1[Reference '#],Scenarios1[Sharpe Rank])</f>
        <v>11</v>
      </c>
      <c r="AA33" s="139">
        <f>_xlfn.XLOOKUP(Scenarios3[[#This Row],[Reference '#]],Scenarios2[Reference '#],Scenarios2[Sharpe Rank])</f>
        <v>9</v>
      </c>
      <c r="AB33" s="139" t="str">
        <f>Scenarios3[[#This Row],[Sharpe Rank]]</f>
        <v/>
      </c>
      <c r="AC33"/>
      <c r="AD33"/>
      <c r="AE33"/>
      <c r="AF33" s="34"/>
      <c r="AG33" s="34"/>
    </row>
    <row r="34" spans="2:33" s="15" customFormat="1" x14ac:dyDescent="0.2">
      <c r="B34" s="71">
        <v>57</v>
      </c>
      <c r="C34" s="69">
        <v>0.35</v>
      </c>
      <c r="D34" s="69">
        <v>0.15</v>
      </c>
      <c r="E34" s="69">
        <v>0.15</v>
      </c>
      <c r="F34" s="69">
        <v>0.15</v>
      </c>
      <c r="G34" s="69">
        <v>0.2</v>
      </c>
      <c r="H34" s="69">
        <f>SUMPRODUCT(Scenarios3[[#This Row],[SPY]:[PE]],_xlfn.TOROW(AssetSpecsScenario3[Annualized Return]))</f>
        <v>9.7248841252454352E-2</v>
      </c>
      <c r="I34" s="69" cm="1">
        <f t="array" ref="I34">SQRT(MMULT(MMULT(Scenarios3[[#This Row],[SPY]:[PE]], 'Corr_Cov 36- Month'!$J$13:$N$17), TRANSPOSE(Scenarios3[[#This Row],[SPY]:[PE]])))</f>
        <v>7.7697646668545756E-2</v>
      </c>
      <c r="J34" s="70">
        <f>(Scenarios3[[#This Row],[Expected Return]]-RiskFree)/Scenarios3[[#This Row],[36M Vol]]</f>
        <v>0.64665131894192529</v>
      </c>
      <c r="K34" s="107" cm="1">
        <f t="array" ref="K34">MIN(_xlfn._xlws.FILTER(PortfolioFrontier[#Data],(PortfolioFrontier[#Headers]="P"&amp;Scenarios3[[#This Row],[Reference '#]]&amp;" DD")))</f>
        <v>-0.1651424399457585</v>
      </c>
      <c r="L34" s="69">
        <f>SUM(Scenarios3[[#This Row],[SPY]:[VNQ]])</f>
        <v>0.8</v>
      </c>
      <c r="M34" s="69">
        <f>SUM(Scenarios3[[#This Row],[SPY]:[PE]])</f>
        <v>1</v>
      </c>
      <c r="N34" s="71" t="b">
        <f>Scenarios3[[#This Row],[SPY]]&gt;=SpyMin</f>
        <v>1</v>
      </c>
      <c r="O34" s="71" t="b">
        <f>Scenarios3[[#This Row],[AGG]]&gt;=AGGMin</f>
        <v>1</v>
      </c>
      <c r="P34" s="71" t="b">
        <f>AND(Scenarios3[[#This Row],[GLD]]&gt;=GLDMin,Scenarios3[[#This Row],[GLD]]&lt;=GLDMax)</f>
        <v>1</v>
      </c>
      <c r="Q34" s="71" t="b">
        <f>Scenarios3[[#This Row],[VNQ]]&gt;=VNQMin</f>
        <v>1</v>
      </c>
      <c r="R34" s="71" t="b">
        <f>AND(Scenarios3[[#This Row],[PE]]&gt;=PEMin,Scenarios3[[#This Row],[PE]]&lt;=PEMax)</f>
        <v>1</v>
      </c>
      <c r="S34" s="71" t="b">
        <f>Scenarios3[[#This Row],[Liquid Assets]]&gt;=LiquidMin</f>
        <v>1</v>
      </c>
      <c r="T34" s="71" t="b">
        <f>AND(Scenarios3[[#This Row],[Expected Return]]&gt;=ExpectedReturnMin,Scenarios3[[#This Row],[Expected Return]]&lt;=ExpectedReturnMax)</f>
        <v>1</v>
      </c>
      <c r="U34" s="71" t="b">
        <f>Scenarios3[[#This Row],[Max Drawdown]]&gt;=DrawdownMax</f>
        <v>1</v>
      </c>
      <c r="V3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34" s="46">
        <f>_xlfn.XLOOKUP(Scenarios3[[#This Row],[Reference '#]],ScenariosCombined[Reference '#],ScenariosCombined[Sharpe Rank])</f>
        <v>15</v>
      </c>
      <c r="X34" s="44">
        <f>IF(Scenarios3[[#This Row],[Eligible]],COUNTIFS(Scenarios3[Sharpe],"&gt;"&amp;Scenarios3[[#This Row],[Sharpe]],Scenarios3[Eligible],TRUE())+COUNTIFS(Scenarios3[Sharpe],Scenarios3[[#This Row],[Sharpe]],Scenarios3[Eligible],TRUE()),"")</f>
        <v>8</v>
      </c>
      <c r="Y3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35/15/15/15/20</v>
      </c>
      <c r="Z34" s="139">
        <f>_xlfn.XLOOKUP(Scenarios3[[#This Row],[Reference '#]],Scenarios1[Reference '#],Scenarios1[Sharpe Rank])</f>
        <v>21</v>
      </c>
      <c r="AA34" s="139">
        <f>_xlfn.XLOOKUP(Scenarios3[[#This Row],[Reference '#]],Scenarios2[Reference '#],Scenarios2[Sharpe Rank])</f>
        <v>17</v>
      </c>
      <c r="AB34" s="139">
        <f>Scenarios3[[#This Row],[Sharpe Rank]]</f>
        <v>8</v>
      </c>
      <c r="AC34"/>
      <c r="AD34"/>
      <c r="AE34"/>
      <c r="AF34" s="34"/>
      <c r="AG34" s="34"/>
    </row>
    <row r="35" spans="2:33" s="15" customFormat="1" x14ac:dyDescent="0.2">
      <c r="B35" s="71">
        <v>4</v>
      </c>
      <c r="C35" s="69">
        <v>0.5</v>
      </c>
      <c r="D35" s="69">
        <v>0.15</v>
      </c>
      <c r="E35" s="69">
        <v>0.1</v>
      </c>
      <c r="F35" s="69">
        <v>0.15</v>
      </c>
      <c r="G35" s="69">
        <v>0.1</v>
      </c>
      <c r="H35" s="69">
        <f>SUMPRODUCT(Scenarios3[[#This Row],[SPY]:[PE]],_xlfn.TOROW(AssetSpecsScenario3[Annualized Return]))</f>
        <v>0.10549921605559284</v>
      </c>
      <c r="I35" s="69" cm="1">
        <f t="array" ref="I35">SQRT(MMULT(MMULT(Scenarios3[[#This Row],[SPY]:[PE]], 'Corr_Cov 36- Month'!$J$13:$N$17), TRANSPOSE(Scenarios3[[#This Row],[SPY]:[PE]])))</f>
        <v>9.1270846552146068E-2</v>
      </c>
      <c r="J35" s="70">
        <f>(Scenarios3[[#This Row],[Expected Return]]-RiskFree)/Scenarios3[[#This Row],[36M Vol]]</f>
        <v>0.64088000396290745</v>
      </c>
      <c r="K35" s="107" cm="1">
        <f t="array" ref="K35">MIN(_xlfn._xlws.FILTER(PortfolioFrontier[#Data],(PortfolioFrontier[#Headers]="P"&amp;Scenarios3[[#This Row],[Reference '#]]&amp;" DD")))</f>
        <v>-0.19559472139226264</v>
      </c>
      <c r="L35" s="69">
        <f>SUM(Scenarios3[[#This Row],[SPY]:[VNQ]])</f>
        <v>0.9</v>
      </c>
      <c r="M35" s="69">
        <f>SUM(Scenarios3[[#This Row],[SPY]:[PE]])</f>
        <v>1</v>
      </c>
      <c r="N35" s="71" t="b">
        <f>Scenarios3[[#This Row],[SPY]]&gt;=SpyMin</f>
        <v>1</v>
      </c>
      <c r="O35" s="71" t="b">
        <f>Scenarios3[[#This Row],[AGG]]&gt;=AGGMin</f>
        <v>1</v>
      </c>
      <c r="P35" s="71" t="b">
        <f>AND(Scenarios3[[#This Row],[GLD]]&gt;=GLDMin,Scenarios3[[#This Row],[GLD]]&lt;=GLDMax)</f>
        <v>1</v>
      </c>
      <c r="Q35" s="71" t="b">
        <f>Scenarios3[[#This Row],[VNQ]]&gt;=VNQMin</f>
        <v>1</v>
      </c>
      <c r="R35" s="71" t="b">
        <f>AND(Scenarios3[[#This Row],[PE]]&gt;=PEMin,Scenarios3[[#This Row],[PE]]&lt;=PEMax)</f>
        <v>1</v>
      </c>
      <c r="S35" s="71" t="b">
        <f>Scenarios3[[#This Row],[Liquid Assets]]&gt;=LiquidMin</f>
        <v>1</v>
      </c>
      <c r="T35" s="71" t="b">
        <f>AND(Scenarios3[[#This Row],[Expected Return]]&gt;=ExpectedReturnMin,Scenarios3[[#This Row],[Expected Return]]&lt;=ExpectedReturnMax)</f>
        <v>0</v>
      </c>
      <c r="U35" s="71" t="b">
        <f>Scenarios3[[#This Row],[Max Drawdown]]&gt;=DrawdownMax</f>
        <v>1</v>
      </c>
      <c r="V3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35" s="46" t="str">
        <f>_xlfn.XLOOKUP(Scenarios3[[#This Row],[Reference '#]],ScenariosCombined[Reference '#],ScenariosCombined[Sharpe Rank])</f>
        <v/>
      </c>
      <c r="X35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3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50/15/10/15/10</v>
      </c>
      <c r="Z35" s="139" t="str">
        <f>_xlfn.XLOOKUP(Scenarios3[[#This Row],[Reference '#]],Scenarios1[Reference '#],Scenarios1[Sharpe Rank])</f>
        <v/>
      </c>
      <c r="AA35" s="139" t="str">
        <f>_xlfn.XLOOKUP(Scenarios3[[#This Row],[Reference '#]],Scenarios2[Reference '#],Scenarios2[Sharpe Rank])</f>
        <v/>
      </c>
      <c r="AB35" s="139" t="str">
        <f>Scenarios3[[#This Row],[Sharpe Rank]]</f>
        <v/>
      </c>
      <c r="AC35"/>
      <c r="AD35"/>
      <c r="AE35"/>
      <c r="AF35" s="34"/>
      <c r="AG35" s="34"/>
    </row>
    <row r="36" spans="2:33" s="15" customFormat="1" x14ac:dyDescent="0.2">
      <c r="B36" s="71">
        <v>14</v>
      </c>
      <c r="C36" s="69">
        <v>0.45</v>
      </c>
      <c r="D36" s="69">
        <v>0.15</v>
      </c>
      <c r="E36" s="69">
        <v>0.1</v>
      </c>
      <c r="F36" s="69">
        <v>0.15</v>
      </c>
      <c r="G36" s="69">
        <v>0.15</v>
      </c>
      <c r="H36" s="69">
        <f>SUMPRODUCT(Scenarios3[[#This Row],[SPY]:[PE]],_xlfn.TOROW(AssetSpecsScenario3[Annualized Return]))</f>
        <v>0.10192791604090819</v>
      </c>
      <c r="I36" s="69" cm="1">
        <f t="array" ref="I36">SQRT(MMULT(MMULT(Scenarios3[[#This Row],[SPY]:[PE]], 'Corr_Cov 36- Month'!$J$13:$N$17), TRANSPOSE(Scenarios3[[#This Row],[SPY]:[PE]])))</f>
        <v>8.6084391364720458E-2</v>
      </c>
      <c r="J36" s="70">
        <f>(Scenarios3[[#This Row],[Expected Return]]-RiskFree)/Scenarios3[[#This Row],[36M Vol]]</f>
        <v>0.63800602658220329</v>
      </c>
      <c r="K36" s="107" cm="1">
        <f t="array" ref="K36">MIN(_xlfn._xlws.FILTER(PortfolioFrontier[#Data],(PortfolioFrontier[#Headers]="P"&amp;Scenarios3[[#This Row],[Reference '#]]&amp;" DD")))</f>
        <v>-0.18407065770152886</v>
      </c>
      <c r="L36" s="69">
        <f>SUM(Scenarios3[[#This Row],[SPY]:[VNQ]])</f>
        <v>0.85</v>
      </c>
      <c r="M36" s="69">
        <f>SUM(Scenarios3[[#This Row],[SPY]:[PE]])</f>
        <v>1</v>
      </c>
      <c r="N36" s="71" t="b">
        <f>Scenarios3[[#This Row],[SPY]]&gt;=SpyMin</f>
        <v>1</v>
      </c>
      <c r="O36" s="71" t="b">
        <f>Scenarios3[[#This Row],[AGG]]&gt;=AGGMin</f>
        <v>1</v>
      </c>
      <c r="P36" s="71" t="b">
        <f>AND(Scenarios3[[#This Row],[GLD]]&gt;=GLDMin,Scenarios3[[#This Row],[GLD]]&lt;=GLDMax)</f>
        <v>1</v>
      </c>
      <c r="Q36" s="71" t="b">
        <f>Scenarios3[[#This Row],[VNQ]]&gt;=VNQMin</f>
        <v>1</v>
      </c>
      <c r="R36" s="71" t="b">
        <f>AND(Scenarios3[[#This Row],[PE]]&gt;=PEMin,Scenarios3[[#This Row],[PE]]&lt;=PEMax)</f>
        <v>1</v>
      </c>
      <c r="S36" s="71" t="b">
        <f>Scenarios3[[#This Row],[Liquid Assets]]&gt;=LiquidMin</f>
        <v>1</v>
      </c>
      <c r="T36" s="71" t="b">
        <f>AND(Scenarios3[[#This Row],[Expected Return]]&gt;=ExpectedReturnMin,Scenarios3[[#This Row],[Expected Return]]&lt;=ExpectedReturnMax)</f>
        <v>0</v>
      </c>
      <c r="U36" s="71" t="b">
        <f>Scenarios3[[#This Row],[Max Drawdown]]&gt;=DrawdownMax</f>
        <v>1</v>
      </c>
      <c r="V3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36" s="46">
        <f>_xlfn.XLOOKUP(Scenarios3[[#This Row],[Reference '#]],ScenariosCombined[Reference '#],ScenariosCombined[Sharpe Rank])</f>
        <v>12</v>
      </c>
      <c r="X36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3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45/15/10/15/15</v>
      </c>
      <c r="Z36" s="139">
        <f>_xlfn.XLOOKUP(Scenarios3[[#This Row],[Reference '#]],Scenarios1[Reference '#],Scenarios1[Sharpe Rank])</f>
        <v>13</v>
      </c>
      <c r="AA36" s="139">
        <f>_xlfn.XLOOKUP(Scenarios3[[#This Row],[Reference '#]],Scenarios2[Reference '#],Scenarios2[Sharpe Rank])</f>
        <v>12</v>
      </c>
      <c r="AB36" s="139" t="str">
        <f>Scenarios3[[#This Row],[Sharpe Rank]]</f>
        <v/>
      </c>
      <c r="AC36"/>
      <c r="AD36"/>
      <c r="AE36"/>
      <c r="AF36" s="34"/>
      <c r="AG36" s="34"/>
    </row>
    <row r="37" spans="2:33" s="15" customFormat="1" x14ac:dyDescent="0.2">
      <c r="B37" s="71">
        <v>33</v>
      </c>
      <c r="C37" s="69">
        <v>0.4</v>
      </c>
      <c r="D37" s="69">
        <v>0.15</v>
      </c>
      <c r="E37" s="69">
        <v>0.1</v>
      </c>
      <c r="F37" s="69">
        <v>0.15</v>
      </c>
      <c r="G37" s="69">
        <v>0.2</v>
      </c>
      <c r="H37" s="69">
        <f>SUMPRODUCT(Scenarios3[[#This Row],[SPY]:[PE]],_xlfn.TOROW(AssetSpecsScenario3[Annualized Return]))</f>
        <v>9.8356616026223531E-2</v>
      </c>
      <c r="I37" s="69" cm="1">
        <f t="array" ref="I37">SQRT(MMULT(MMULT(Scenarios3[[#This Row],[SPY]:[PE]], 'Corr_Cov 36- Month'!$J$13:$N$17), TRANSPOSE(Scenarios3[[#This Row],[SPY]:[PE]])))</f>
        <v>8.1030888172766852E-2</v>
      </c>
      <c r="J37" s="70">
        <f>(Scenarios3[[#This Row],[Expected Return]]-RiskFree)/Scenarios3[[#This Row],[36M Vol]]</f>
        <v>0.63372204882145455</v>
      </c>
      <c r="K37" s="107" cm="1">
        <f t="array" ref="K37">MIN(_xlfn._xlws.FILTER(PortfolioFrontier[#Data],(PortfolioFrontier[#Headers]="P"&amp;Scenarios3[[#This Row],[Reference '#]]&amp;" DD")))</f>
        <v>-0.17249207732612581</v>
      </c>
      <c r="L37" s="69">
        <f>SUM(Scenarios3[[#This Row],[SPY]:[VNQ]])</f>
        <v>0.8</v>
      </c>
      <c r="M37" s="69">
        <f>SUM(Scenarios3[[#This Row],[SPY]:[PE]])</f>
        <v>1</v>
      </c>
      <c r="N37" s="71" t="b">
        <f>Scenarios3[[#This Row],[SPY]]&gt;=SpyMin</f>
        <v>1</v>
      </c>
      <c r="O37" s="71" t="b">
        <f>Scenarios3[[#This Row],[AGG]]&gt;=AGGMin</f>
        <v>1</v>
      </c>
      <c r="P37" s="71" t="b">
        <f>AND(Scenarios3[[#This Row],[GLD]]&gt;=GLDMin,Scenarios3[[#This Row],[GLD]]&lt;=GLDMax)</f>
        <v>1</v>
      </c>
      <c r="Q37" s="71" t="b">
        <f>Scenarios3[[#This Row],[VNQ]]&gt;=VNQMin</f>
        <v>1</v>
      </c>
      <c r="R37" s="71" t="b">
        <f>AND(Scenarios3[[#This Row],[PE]]&gt;=PEMin,Scenarios3[[#This Row],[PE]]&lt;=PEMax)</f>
        <v>1</v>
      </c>
      <c r="S37" s="71" t="b">
        <f>Scenarios3[[#This Row],[Liquid Assets]]&gt;=LiquidMin</f>
        <v>1</v>
      </c>
      <c r="T37" s="71" t="b">
        <f>AND(Scenarios3[[#This Row],[Expected Return]]&gt;=ExpectedReturnMin,Scenarios3[[#This Row],[Expected Return]]&lt;=ExpectedReturnMax)</f>
        <v>1</v>
      </c>
      <c r="U37" s="71" t="b">
        <f>Scenarios3[[#This Row],[Max Drawdown]]&gt;=DrawdownMax</f>
        <v>1</v>
      </c>
      <c r="V3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37" s="46">
        <f>_xlfn.XLOOKUP(Scenarios3[[#This Row],[Reference '#]],ScenariosCombined[Reference '#],ScenariosCombined[Sharpe Rank])</f>
        <v>18</v>
      </c>
      <c r="X37" s="44">
        <f>IF(Scenarios3[[#This Row],[Eligible]],COUNTIFS(Scenarios3[Sharpe],"&gt;"&amp;Scenarios3[[#This Row],[Sharpe]],Scenarios3[Eligible],TRUE())+COUNTIFS(Scenarios3[Sharpe],Scenarios3[[#This Row],[Sharpe]],Scenarios3[Eligible],TRUE()),"")</f>
        <v>9</v>
      </c>
      <c r="Y3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40/15/10/15/20</v>
      </c>
      <c r="Z37" s="139">
        <f>_xlfn.XLOOKUP(Scenarios3[[#This Row],[Reference '#]],Scenarios1[Reference '#],Scenarios1[Sharpe Rank])</f>
        <v>23</v>
      </c>
      <c r="AA37" s="139">
        <f>_xlfn.XLOOKUP(Scenarios3[[#This Row],[Reference '#]],Scenarios2[Reference '#],Scenarios2[Sharpe Rank])</f>
        <v>20</v>
      </c>
      <c r="AB37" s="139">
        <f>Scenarios3[[#This Row],[Sharpe Rank]]</f>
        <v>9</v>
      </c>
      <c r="AC37"/>
      <c r="AD37"/>
      <c r="AE37"/>
      <c r="AF37" s="34"/>
      <c r="AG37" s="34"/>
    </row>
    <row r="38" spans="2:33" s="15" customFormat="1" x14ac:dyDescent="0.2">
      <c r="B38" s="71">
        <v>38</v>
      </c>
      <c r="C38" s="69">
        <v>0.35</v>
      </c>
      <c r="D38" s="69">
        <v>0.25</v>
      </c>
      <c r="E38" s="69">
        <v>0.2</v>
      </c>
      <c r="F38" s="69">
        <v>0.1</v>
      </c>
      <c r="G38" s="69">
        <v>0.1</v>
      </c>
      <c r="H38" s="69">
        <f>SUMPRODUCT(Scenarios3[[#This Row],[SPY]:[PE]],_xlfn.TOROW(AssetSpecsScenario3[Annualized Return]))</f>
        <v>9.5016694140882402E-2</v>
      </c>
      <c r="I38" s="69" cm="1">
        <f t="array" ref="I38">SQRT(MMULT(MMULT(Scenarios3[[#This Row],[SPY]:[PE]], 'Corr_Cov 36- Month'!$J$13:$N$17), TRANSPOSE(Scenarios3[[#This Row],[SPY]:[PE]])))</f>
        <v>7.7426535829593413E-2</v>
      </c>
      <c r="J38" s="70">
        <f>(Scenarios3[[#This Row],[Expected Return]]-RiskFree)/Scenarios3[[#This Row],[36M Vol]]</f>
        <v>0.62008635761509012</v>
      </c>
      <c r="K38" s="107" cm="1">
        <f t="array" ref="K38">MIN(_xlfn._xlws.FILTER(PortfolioFrontier[#Data],(PortfolioFrontier[#Headers]="P"&amp;Scenarios3[[#This Row],[Reference '#]]&amp;" DD")))</f>
        <v>-0.16837374068860644</v>
      </c>
      <c r="L38" s="69">
        <f>SUM(Scenarios3[[#This Row],[SPY]:[VNQ]])</f>
        <v>0.9</v>
      </c>
      <c r="M38" s="69">
        <f>SUM(Scenarios3[[#This Row],[SPY]:[PE]])</f>
        <v>1</v>
      </c>
      <c r="N38" s="71" t="b">
        <f>Scenarios3[[#This Row],[SPY]]&gt;=SpyMin</f>
        <v>1</v>
      </c>
      <c r="O38" s="71" t="b">
        <f>Scenarios3[[#This Row],[AGG]]&gt;=AGGMin</f>
        <v>1</v>
      </c>
      <c r="P38" s="71" t="b">
        <f>AND(Scenarios3[[#This Row],[GLD]]&gt;=GLDMin,Scenarios3[[#This Row],[GLD]]&lt;=GLDMax)</f>
        <v>1</v>
      </c>
      <c r="Q38" s="71" t="b">
        <f>Scenarios3[[#This Row],[VNQ]]&gt;=VNQMin</f>
        <v>1</v>
      </c>
      <c r="R38" s="71" t="b">
        <f>AND(Scenarios3[[#This Row],[PE]]&gt;=PEMin,Scenarios3[[#This Row],[PE]]&lt;=PEMax)</f>
        <v>1</v>
      </c>
      <c r="S38" s="71" t="b">
        <f>Scenarios3[[#This Row],[Liquid Assets]]&gt;=LiquidMin</f>
        <v>1</v>
      </c>
      <c r="T38" s="71" t="b">
        <f>AND(Scenarios3[[#This Row],[Expected Return]]&gt;=ExpectedReturnMin,Scenarios3[[#This Row],[Expected Return]]&lt;=ExpectedReturnMax)</f>
        <v>1</v>
      </c>
      <c r="U38" s="71" t="b">
        <f>Scenarios3[[#This Row],[Max Drawdown]]&gt;=DrawdownMax</f>
        <v>1</v>
      </c>
      <c r="V3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38" s="46">
        <f>_xlfn.XLOOKUP(Scenarios3[[#This Row],[Reference '#]],ScenariosCombined[Reference '#],ScenariosCombined[Sharpe Rank])</f>
        <v>16</v>
      </c>
      <c r="X38" s="44">
        <f>IF(Scenarios3[[#This Row],[Eligible]],COUNTIFS(Scenarios3[Sharpe],"&gt;"&amp;Scenarios3[[#This Row],[Sharpe]],Scenarios3[Eligible],TRUE())+COUNTIFS(Scenarios3[Sharpe],Scenarios3[[#This Row],[Sharpe]],Scenarios3[Eligible],TRUE()),"")</f>
        <v>10</v>
      </c>
      <c r="Y3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35/25/20/10/10</v>
      </c>
      <c r="Z38" s="139">
        <f>_xlfn.XLOOKUP(Scenarios3[[#This Row],[Reference '#]],Scenarios1[Reference '#],Scenarios1[Sharpe Rank])</f>
        <v>15</v>
      </c>
      <c r="AA38" s="139">
        <f>_xlfn.XLOOKUP(Scenarios3[[#This Row],[Reference '#]],Scenarios2[Reference '#],Scenarios2[Sharpe Rank])</f>
        <v>13</v>
      </c>
      <c r="AB38" s="139">
        <f>Scenarios3[[#This Row],[Sharpe Rank]]</f>
        <v>10</v>
      </c>
      <c r="AC38"/>
      <c r="AD38"/>
      <c r="AE38"/>
      <c r="AF38" s="34"/>
      <c r="AG38" s="34"/>
    </row>
    <row r="39" spans="2:33" s="15" customFormat="1" x14ac:dyDescent="0.2">
      <c r="B39" s="71">
        <v>17</v>
      </c>
      <c r="C39" s="69">
        <v>0.4</v>
      </c>
      <c r="D39" s="69">
        <v>0.25</v>
      </c>
      <c r="E39" s="69">
        <v>0.15</v>
      </c>
      <c r="F39" s="69">
        <v>0.1</v>
      </c>
      <c r="G39" s="69">
        <v>0.1</v>
      </c>
      <c r="H39" s="69">
        <f>SUMPRODUCT(Scenarios3[[#This Row],[SPY]:[PE]],_xlfn.TOROW(AssetSpecsScenario3[Annualized Return]))</f>
        <v>9.6124468914651567E-2</v>
      </c>
      <c r="I39" s="69" cm="1">
        <f t="array" ref="I39">SQRT(MMULT(MMULT(Scenarios3[[#This Row],[SPY]:[PE]], 'Corr_Cov 36- Month'!$J$13:$N$17), TRANSPOSE(Scenarios3[[#This Row],[SPY]:[PE]])))</f>
        <v>7.9759388017315733E-2</v>
      </c>
      <c r="J39" s="70">
        <f>(Scenarios3[[#This Row],[Expected Return]]-RiskFree)/Scenarios3[[#This Row],[36M Vol]]</f>
        <v>0.6158386439528889</v>
      </c>
      <c r="K39" s="107" cm="1">
        <f t="array" ref="K39">MIN(_xlfn._xlws.FILTER(PortfolioFrontier[#Data],(PortfolioFrontier[#Headers]="P"&amp;Scenarios3[[#This Row],[Reference '#]]&amp;" DD")))</f>
        <v>-0.17568161179238972</v>
      </c>
      <c r="L39" s="69">
        <f>SUM(Scenarios3[[#This Row],[SPY]:[VNQ]])</f>
        <v>0.9</v>
      </c>
      <c r="M39" s="69">
        <f>SUM(Scenarios3[[#This Row],[SPY]:[PE]])</f>
        <v>1</v>
      </c>
      <c r="N39" s="71" t="b">
        <f>Scenarios3[[#This Row],[SPY]]&gt;=SpyMin</f>
        <v>1</v>
      </c>
      <c r="O39" s="71" t="b">
        <f>Scenarios3[[#This Row],[AGG]]&gt;=AGGMin</f>
        <v>1</v>
      </c>
      <c r="P39" s="71" t="b">
        <f>AND(Scenarios3[[#This Row],[GLD]]&gt;=GLDMin,Scenarios3[[#This Row],[GLD]]&lt;=GLDMax)</f>
        <v>1</v>
      </c>
      <c r="Q39" s="71" t="b">
        <f>Scenarios3[[#This Row],[VNQ]]&gt;=VNQMin</f>
        <v>1</v>
      </c>
      <c r="R39" s="71" t="b">
        <f>AND(Scenarios3[[#This Row],[PE]]&gt;=PEMin,Scenarios3[[#This Row],[PE]]&lt;=PEMax)</f>
        <v>1</v>
      </c>
      <c r="S39" s="71" t="b">
        <f>Scenarios3[[#This Row],[Liquid Assets]]&gt;=LiquidMin</f>
        <v>1</v>
      </c>
      <c r="T39" s="71" t="b">
        <f>AND(Scenarios3[[#This Row],[Expected Return]]&gt;=ExpectedReturnMin,Scenarios3[[#This Row],[Expected Return]]&lt;=ExpectedReturnMax)</f>
        <v>1</v>
      </c>
      <c r="U39" s="71" t="b">
        <f>Scenarios3[[#This Row],[Max Drawdown]]&gt;=DrawdownMax</f>
        <v>1</v>
      </c>
      <c r="V3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39" s="46">
        <f>_xlfn.XLOOKUP(Scenarios3[[#This Row],[Reference '#]],ScenariosCombined[Reference '#],ScenariosCombined[Sharpe Rank])</f>
        <v>17</v>
      </c>
      <c r="X39" s="44">
        <f>IF(Scenarios3[[#This Row],[Eligible]],COUNTIFS(Scenarios3[Sharpe],"&gt;"&amp;Scenarios3[[#This Row],[Sharpe]],Scenarios3[Eligible],TRUE())+COUNTIFS(Scenarios3[Sharpe],Scenarios3[[#This Row],[Sharpe]],Scenarios3[Eligible],TRUE()),"")</f>
        <v>11</v>
      </c>
      <c r="Y3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40/25/15/10/10</v>
      </c>
      <c r="Z39" s="139">
        <f>_xlfn.XLOOKUP(Scenarios3[[#This Row],[Reference '#]],Scenarios1[Reference '#],Scenarios1[Sharpe Rank])</f>
        <v>16</v>
      </c>
      <c r="AA39" s="139">
        <f>_xlfn.XLOOKUP(Scenarios3[[#This Row],[Reference '#]],Scenarios2[Reference '#],Scenarios2[Sharpe Rank])</f>
        <v>15</v>
      </c>
      <c r="AB39" s="139">
        <f>Scenarios3[[#This Row],[Sharpe Rank]]</f>
        <v>11</v>
      </c>
      <c r="AC39"/>
      <c r="AD39"/>
      <c r="AE39"/>
      <c r="AF39" s="34"/>
      <c r="AG39" s="34"/>
    </row>
    <row r="40" spans="2:33" s="15" customFormat="1" x14ac:dyDescent="0.2">
      <c r="B40" s="71">
        <v>72</v>
      </c>
      <c r="C40" s="69">
        <v>0.3</v>
      </c>
      <c r="D40" s="69">
        <v>0.25</v>
      </c>
      <c r="E40" s="69">
        <v>0.2</v>
      </c>
      <c r="F40" s="69">
        <v>0.1</v>
      </c>
      <c r="G40" s="69">
        <v>0.15</v>
      </c>
      <c r="H40" s="69">
        <f>SUMPRODUCT(Scenarios3[[#This Row],[SPY]:[PE]],_xlfn.TOROW(AssetSpecsScenario3[Annualized Return]))</f>
        <v>9.1445394126197746E-2</v>
      </c>
      <c r="I40" s="69" cm="1">
        <f t="array" ref="I40">SQRT(MMULT(MMULT(Scenarios3[[#This Row],[SPY]:[PE]], 'Corr_Cov 36- Month'!$J$13:$N$17), TRANSPOSE(Scenarios3[[#This Row],[SPY]:[PE]])))</f>
        <v>7.2714722030830112E-2</v>
      </c>
      <c r="J40" s="70">
        <f>(Scenarios3[[#This Row],[Expected Return]]-RiskFree)/Scenarios3[[#This Row],[36M Vol]]</f>
        <v>0.61115324833120144</v>
      </c>
      <c r="K40" s="107" cm="1">
        <f t="array" ref="K40">MIN(_xlfn._xlws.FILTER(PortfolioFrontier[#Data],(PortfolioFrontier[#Headers]="P"&amp;Scenarios3[[#This Row],[Reference '#]]&amp;" DD")))</f>
        <v>-0.15677480431751634</v>
      </c>
      <c r="L40" s="69">
        <f>SUM(Scenarios3[[#This Row],[SPY]:[VNQ]])</f>
        <v>0.85</v>
      </c>
      <c r="M40" s="69">
        <f>SUM(Scenarios3[[#This Row],[SPY]:[PE]])</f>
        <v>1</v>
      </c>
      <c r="N40" s="71" t="b">
        <f>Scenarios3[[#This Row],[SPY]]&gt;=SpyMin</f>
        <v>1</v>
      </c>
      <c r="O40" s="71" t="b">
        <f>Scenarios3[[#This Row],[AGG]]&gt;=AGGMin</f>
        <v>1</v>
      </c>
      <c r="P40" s="71" t="b">
        <f>AND(Scenarios3[[#This Row],[GLD]]&gt;=GLDMin,Scenarios3[[#This Row],[GLD]]&lt;=GLDMax)</f>
        <v>1</v>
      </c>
      <c r="Q40" s="71" t="b">
        <f>Scenarios3[[#This Row],[VNQ]]&gt;=VNQMin</f>
        <v>1</v>
      </c>
      <c r="R40" s="71" t="b">
        <f>AND(Scenarios3[[#This Row],[PE]]&gt;=PEMin,Scenarios3[[#This Row],[PE]]&lt;=PEMax)</f>
        <v>1</v>
      </c>
      <c r="S40" s="71" t="b">
        <f>Scenarios3[[#This Row],[Liquid Assets]]&gt;=LiquidMin</f>
        <v>1</v>
      </c>
      <c r="T40" s="71" t="b">
        <f>AND(Scenarios3[[#This Row],[Expected Return]]&gt;=ExpectedReturnMin,Scenarios3[[#This Row],[Expected Return]]&lt;=ExpectedReturnMax)</f>
        <v>1</v>
      </c>
      <c r="U40" s="71" t="b">
        <f>Scenarios3[[#This Row],[Max Drawdown]]&gt;=DrawdownMax</f>
        <v>1</v>
      </c>
      <c r="V4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0" s="46">
        <f>_xlfn.XLOOKUP(Scenarios3[[#This Row],[Reference '#]],ScenariosCombined[Reference '#],ScenariosCombined[Sharpe Rank])</f>
        <v>22</v>
      </c>
      <c r="X40" s="44">
        <f>IF(Scenarios3[[#This Row],[Eligible]],COUNTIFS(Scenarios3[Sharpe],"&gt;"&amp;Scenarios3[[#This Row],[Sharpe]],Scenarios3[Eligible],TRUE())+COUNTIFS(Scenarios3[Sharpe],Scenarios3[[#This Row],[Sharpe]],Scenarios3[Eligible],TRUE()),"")</f>
        <v>12</v>
      </c>
      <c r="Y4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30/25/20/10/15</v>
      </c>
      <c r="Z40" s="139">
        <f>_xlfn.XLOOKUP(Scenarios3[[#This Row],[Reference '#]],Scenarios1[Reference '#],Scenarios1[Sharpe Rank])</f>
        <v>27</v>
      </c>
      <c r="AA40" s="139">
        <f>_xlfn.XLOOKUP(Scenarios3[[#This Row],[Reference '#]],Scenarios2[Reference '#],Scenarios2[Sharpe Rank])</f>
        <v>23</v>
      </c>
      <c r="AB40" s="139">
        <f>Scenarios3[[#This Row],[Sharpe Rank]]</f>
        <v>12</v>
      </c>
      <c r="AC40"/>
      <c r="AD40"/>
      <c r="AE40"/>
      <c r="AF40" s="34"/>
      <c r="AG40" s="34"/>
    </row>
    <row r="41" spans="2:33" s="15" customFormat="1" x14ac:dyDescent="0.2">
      <c r="B41" s="71">
        <v>40</v>
      </c>
      <c r="C41" s="69">
        <v>0.35</v>
      </c>
      <c r="D41" s="69">
        <v>0.25</v>
      </c>
      <c r="E41" s="69">
        <v>0.15</v>
      </c>
      <c r="F41" s="69">
        <v>0.1</v>
      </c>
      <c r="G41" s="69">
        <v>0.15</v>
      </c>
      <c r="H41" s="69">
        <f>SUMPRODUCT(Scenarios3[[#This Row],[SPY]:[PE]],_xlfn.TOROW(AssetSpecsScenario3[Annualized Return]))</f>
        <v>9.2553168899966884E-2</v>
      </c>
      <c r="I41" s="69" cm="1">
        <f t="array" ref="I41">SQRT(MMULT(MMULT(Scenarios3[[#This Row],[SPY]:[PE]], 'Corr_Cov 36- Month'!$J$13:$N$17), TRANSPOSE(Scenarios3[[#This Row],[SPY]:[PE]])))</f>
        <v>7.481146439650202E-2</v>
      </c>
      <c r="J41" s="70">
        <f>(Scenarios3[[#This Row],[Expected Return]]-RiskFree)/Scenarios3[[#This Row],[36M Vol]]</f>
        <v>0.6088319980345287</v>
      </c>
      <c r="K41" s="107" cm="1">
        <f t="array" ref="K41">MIN(_xlfn._xlws.FILTER(PortfolioFrontier[#Data],(PortfolioFrontier[#Headers]="P"&amp;Scenarios3[[#This Row],[Reference '#]]&amp;" DD")))</f>
        <v>-0.16409827380704267</v>
      </c>
      <c r="L41" s="69">
        <f>SUM(Scenarios3[[#This Row],[SPY]:[VNQ]])</f>
        <v>0.85</v>
      </c>
      <c r="M41" s="69">
        <f>SUM(Scenarios3[[#This Row],[SPY]:[PE]])</f>
        <v>1</v>
      </c>
      <c r="N41" s="71" t="b">
        <f>Scenarios3[[#This Row],[SPY]]&gt;=SpyMin</f>
        <v>1</v>
      </c>
      <c r="O41" s="71" t="b">
        <f>Scenarios3[[#This Row],[AGG]]&gt;=AGGMin</f>
        <v>1</v>
      </c>
      <c r="P41" s="71" t="b">
        <f>AND(Scenarios3[[#This Row],[GLD]]&gt;=GLDMin,Scenarios3[[#This Row],[GLD]]&lt;=GLDMax)</f>
        <v>1</v>
      </c>
      <c r="Q41" s="71" t="b">
        <f>Scenarios3[[#This Row],[VNQ]]&gt;=VNQMin</f>
        <v>1</v>
      </c>
      <c r="R41" s="71" t="b">
        <f>AND(Scenarios3[[#This Row],[PE]]&gt;=PEMin,Scenarios3[[#This Row],[PE]]&lt;=PEMax)</f>
        <v>1</v>
      </c>
      <c r="S41" s="71" t="b">
        <f>Scenarios3[[#This Row],[Liquid Assets]]&gt;=LiquidMin</f>
        <v>1</v>
      </c>
      <c r="T41" s="71" t="b">
        <f>AND(Scenarios3[[#This Row],[Expected Return]]&gt;=ExpectedReturnMin,Scenarios3[[#This Row],[Expected Return]]&lt;=ExpectedReturnMax)</f>
        <v>1</v>
      </c>
      <c r="U41" s="71" t="b">
        <f>Scenarios3[[#This Row],[Max Drawdown]]&gt;=DrawdownMax</f>
        <v>1</v>
      </c>
      <c r="V4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1" s="46">
        <f>_xlfn.XLOOKUP(Scenarios3[[#This Row],[Reference '#]],ScenariosCombined[Reference '#],ScenariosCombined[Sharpe Rank])</f>
        <v>23</v>
      </c>
      <c r="X41" s="44">
        <f>IF(Scenarios3[[#This Row],[Eligible]],COUNTIFS(Scenarios3[Sharpe],"&gt;"&amp;Scenarios3[[#This Row],[Sharpe]],Scenarios3[Eligible],TRUE())+COUNTIFS(Scenarios3[Sharpe],Scenarios3[[#This Row],[Sharpe]],Scenarios3[Eligible],TRUE()),"")</f>
        <v>13</v>
      </c>
      <c r="Y4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35/25/15/10/15</v>
      </c>
      <c r="Z41" s="139">
        <f>_xlfn.XLOOKUP(Scenarios3[[#This Row],[Reference '#]],Scenarios1[Reference '#],Scenarios1[Sharpe Rank])</f>
        <v>28</v>
      </c>
      <c r="AA41" s="139">
        <f>_xlfn.XLOOKUP(Scenarios3[[#This Row],[Reference '#]],Scenarios2[Reference '#],Scenarios2[Sharpe Rank])</f>
        <v>24</v>
      </c>
      <c r="AB41" s="139">
        <f>Scenarios3[[#This Row],[Sharpe Rank]]</f>
        <v>13</v>
      </c>
      <c r="AC41"/>
      <c r="AD41"/>
      <c r="AE41"/>
      <c r="AF41" s="34"/>
      <c r="AG41" s="34"/>
    </row>
    <row r="42" spans="2:33" s="15" customFormat="1" x14ac:dyDescent="0.2">
      <c r="B42" s="126">
        <v>6</v>
      </c>
      <c r="C42" s="124">
        <v>0.45</v>
      </c>
      <c r="D42" s="124">
        <v>0.25</v>
      </c>
      <c r="E42" s="124">
        <v>0.1</v>
      </c>
      <c r="F42" s="124">
        <v>0.1</v>
      </c>
      <c r="G42" s="124">
        <v>0.1</v>
      </c>
      <c r="H42" s="124">
        <f>SUMPRODUCT(Scenarios3[[#This Row],[SPY]:[PE]],_xlfn.TOROW(AssetSpecsScenario3[Annualized Return]))</f>
        <v>9.7232243688420705E-2</v>
      </c>
      <c r="I42" s="124" cm="1">
        <f t="array" ref="I42">SQRT(MMULT(MMULT(Scenarios3[[#This Row],[SPY]:[PE]], 'Corr_Cov 36- Month'!$J$13:$N$17), TRANSPOSE(Scenarios3[[#This Row],[SPY]:[PE]])))</f>
        <v>8.3036500283408879E-2</v>
      </c>
      <c r="J42" s="125">
        <f>(Scenarios3[[#This Row],[Expected Return]]-RiskFree)/Scenarios3[[#This Row],[36M Vol]]</f>
        <v>0.60487481964483403</v>
      </c>
      <c r="K42" s="124" cm="1">
        <f t="array" ref="K42">MIN(_xlfn._xlws.FILTER(PortfolioFrontier[#Data],(PortfolioFrontier[#Headers]="P"&amp;Scenarios3[[#This Row],[Reference '#]]&amp;" DD")))</f>
        <v>-0.18300737779652643</v>
      </c>
      <c r="L42" s="124">
        <f>SUM(Scenarios3[[#This Row],[SPY]:[VNQ]])</f>
        <v>0.89999999999999991</v>
      </c>
      <c r="M42" s="124">
        <f>SUM(Scenarios3[[#This Row],[SPY]:[PE]])</f>
        <v>0.99999999999999989</v>
      </c>
      <c r="N42" s="126" t="b">
        <f>Scenarios3[[#This Row],[SPY]]&gt;=SpyMin</f>
        <v>1</v>
      </c>
      <c r="O42" s="126" t="b">
        <f>Scenarios3[[#This Row],[AGG]]&gt;=AGGMin</f>
        <v>1</v>
      </c>
      <c r="P42" s="126" t="b">
        <f>AND(Scenarios3[[#This Row],[GLD]]&gt;=GLDMin,Scenarios3[[#This Row],[GLD]]&lt;=GLDMax)</f>
        <v>1</v>
      </c>
      <c r="Q42" s="126" t="b">
        <f>Scenarios3[[#This Row],[VNQ]]&gt;=VNQMin</f>
        <v>1</v>
      </c>
      <c r="R42" s="126" t="b">
        <f>AND(Scenarios3[[#This Row],[PE]]&gt;=PEMin,Scenarios3[[#This Row],[PE]]&lt;=PEMax)</f>
        <v>1</v>
      </c>
      <c r="S42" s="126" t="b">
        <f>Scenarios3[[#This Row],[Liquid Assets]]&gt;=LiquidMin</f>
        <v>1</v>
      </c>
      <c r="T42" s="126" t="b">
        <f>AND(Scenarios3[[#This Row],[Expected Return]]&gt;=ExpectedReturnMin,Scenarios3[[#This Row],[Expected Return]]&lt;=ExpectedReturnMax)</f>
        <v>1</v>
      </c>
      <c r="U42" s="126" t="b">
        <f>Scenarios3[[#This Row],[Max Drawdown]]&gt;=DrawdownMax</f>
        <v>1</v>
      </c>
      <c r="V42" s="182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2" s="149">
        <f>_xlfn.XLOOKUP(Scenarios3[[#This Row],[Reference '#]],ScenariosCombined[Reference '#],ScenariosCombined[Sharpe Rank])</f>
        <v>19</v>
      </c>
      <c r="X42" s="122">
        <f>IF(Scenarios3[[#This Row],[Eligible]],COUNTIFS(Scenarios3[Sharpe],"&gt;"&amp;Scenarios3[[#This Row],[Sharpe]],Scenarios3[Eligible],TRUE())+COUNTIFS(Scenarios3[Sharpe],Scenarios3[[#This Row],[Sharpe]],Scenarios3[Eligible],TRUE()),"")</f>
        <v>14</v>
      </c>
      <c r="Y42" s="150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45/25/10/10/10</v>
      </c>
      <c r="Z42" s="151">
        <f>_xlfn.XLOOKUP(Scenarios3[[#This Row],[Reference '#]],Scenarios1[Reference '#],Scenarios1[Sharpe Rank])</f>
        <v>18</v>
      </c>
      <c r="AA42" s="151">
        <f>_xlfn.XLOOKUP(Scenarios3[[#This Row],[Reference '#]],Scenarios2[Reference '#],Scenarios2[Sharpe Rank])</f>
        <v>18</v>
      </c>
      <c r="AB42" s="151">
        <f>Scenarios3[[#This Row],[Sharpe Rank]]</f>
        <v>14</v>
      </c>
      <c r="AC42"/>
      <c r="AD42"/>
      <c r="AE42"/>
      <c r="AF42" s="34"/>
      <c r="AG42" s="34"/>
    </row>
    <row r="43" spans="2:33" s="15" customFormat="1" x14ac:dyDescent="0.2">
      <c r="B43" s="71">
        <v>44</v>
      </c>
      <c r="C43" s="69">
        <v>0.35</v>
      </c>
      <c r="D43" s="69">
        <v>0.2</v>
      </c>
      <c r="E43" s="69">
        <v>0.2</v>
      </c>
      <c r="F43" s="69">
        <v>0.15</v>
      </c>
      <c r="G43" s="69">
        <v>0.1</v>
      </c>
      <c r="H43" s="69">
        <f>SUMPRODUCT(Scenarios3[[#This Row],[SPY]:[PE]],_xlfn.TOROW(AssetSpecsScenario3[Annualized Return]))</f>
        <v>9.6600433487045875E-2</v>
      </c>
      <c r="I43" s="69" cm="1">
        <f t="array" ref="I43">SQRT(MMULT(MMULT(Scenarios3[[#This Row],[SPY]:[PE]], 'Corr_Cov 36- Month'!$J$13:$N$17), TRANSPOSE(Scenarios3[[#This Row],[SPY]:[PE]])))</f>
        <v>8.2362815694284067E-2</v>
      </c>
      <c r="J43" s="70">
        <f>(Scenarios3[[#This Row],[Expected Return]]-RiskFree)/Scenarios3[[#This Row],[36M Vol]]</f>
        <v>0.6021513168706808</v>
      </c>
      <c r="K43" s="107" cm="1">
        <f t="array" ref="K43">MIN(_xlfn._xlws.FILTER(PortfolioFrontier[#Data],(PortfolioFrontier[#Headers]="P"&amp;Scenarios3[[#This Row],[Reference '#]]&amp;" DD")))</f>
        <v>-0.17612917157273245</v>
      </c>
      <c r="L43" s="69">
        <f>SUM(Scenarios3[[#This Row],[SPY]:[VNQ]])</f>
        <v>0.9</v>
      </c>
      <c r="M43" s="69">
        <f>SUM(Scenarios3[[#This Row],[SPY]:[PE]])</f>
        <v>1</v>
      </c>
      <c r="N43" s="71" t="b">
        <f>Scenarios3[[#This Row],[SPY]]&gt;=SpyMin</f>
        <v>1</v>
      </c>
      <c r="O43" s="71" t="b">
        <f>Scenarios3[[#This Row],[AGG]]&gt;=AGGMin</f>
        <v>1</v>
      </c>
      <c r="P43" s="71" t="b">
        <f>AND(Scenarios3[[#This Row],[GLD]]&gt;=GLDMin,Scenarios3[[#This Row],[GLD]]&lt;=GLDMax)</f>
        <v>1</v>
      </c>
      <c r="Q43" s="71" t="b">
        <f>Scenarios3[[#This Row],[VNQ]]&gt;=VNQMin</f>
        <v>1</v>
      </c>
      <c r="R43" s="71" t="b">
        <f>AND(Scenarios3[[#This Row],[PE]]&gt;=PEMin,Scenarios3[[#This Row],[PE]]&lt;=PEMax)</f>
        <v>1</v>
      </c>
      <c r="S43" s="71" t="b">
        <f>Scenarios3[[#This Row],[Liquid Assets]]&gt;=LiquidMin</f>
        <v>1</v>
      </c>
      <c r="T43" s="71" t="b">
        <f>AND(Scenarios3[[#This Row],[Expected Return]]&gt;=ExpectedReturnMin,Scenarios3[[#This Row],[Expected Return]]&lt;=ExpectedReturnMax)</f>
        <v>1</v>
      </c>
      <c r="U43" s="71" t="b">
        <f>Scenarios3[[#This Row],[Max Drawdown]]&gt;=DrawdownMax</f>
        <v>1</v>
      </c>
      <c r="V4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3" s="46">
        <f>_xlfn.XLOOKUP(Scenarios3[[#This Row],[Reference '#]],ScenariosCombined[Reference '#],ScenariosCombined[Sharpe Rank])</f>
        <v>20</v>
      </c>
      <c r="X43" s="44">
        <f>IF(Scenarios3[[#This Row],[Eligible]],COUNTIFS(Scenarios3[Sharpe],"&gt;"&amp;Scenarios3[[#This Row],[Sharpe]],Scenarios3[Eligible],TRUE())+COUNTIFS(Scenarios3[Sharpe],Scenarios3[[#This Row],[Sharpe]],Scenarios3[Eligible],TRUE()),"")</f>
        <v>15</v>
      </c>
      <c r="Y4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35/20/20/15/10</v>
      </c>
      <c r="Z43" s="139">
        <f>_xlfn.XLOOKUP(Scenarios3[[#This Row],[Reference '#]],Scenarios1[Reference '#],Scenarios1[Sharpe Rank])</f>
        <v>20</v>
      </c>
      <c r="AA43" s="139">
        <f>_xlfn.XLOOKUP(Scenarios3[[#This Row],[Reference '#]],Scenarios2[Reference '#],Scenarios2[Sharpe Rank])</f>
        <v>19</v>
      </c>
      <c r="AB43" s="139">
        <f>Scenarios3[[#This Row],[Sharpe Rank]]</f>
        <v>15</v>
      </c>
      <c r="AC43"/>
      <c r="AD43"/>
      <c r="AE43"/>
      <c r="AF43" s="34"/>
      <c r="AG43" s="34"/>
    </row>
    <row r="44" spans="2:33" s="15" customFormat="1" x14ac:dyDescent="0.2">
      <c r="B44" s="71">
        <v>75</v>
      </c>
      <c r="C44" s="69">
        <v>0.3</v>
      </c>
      <c r="D44" s="69">
        <v>0.25</v>
      </c>
      <c r="E44" s="69">
        <v>0.15</v>
      </c>
      <c r="F44" s="69">
        <v>0.1</v>
      </c>
      <c r="G44" s="69">
        <v>0.2</v>
      </c>
      <c r="H44" s="69">
        <f>SUMPRODUCT(Scenarios3[[#This Row],[SPY]:[PE]],_xlfn.TOROW(AssetSpecsScenario3[Annualized Return]))</f>
        <v>8.8981868885282228E-2</v>
      </c>
      <c r="I44" s="69" cm="1">
        <f t="array" ref="I44">SQRT(MMULT(MMULT(Scenarios3[[#This Row],[SPY]:[PE]], 'Corr_Cov 36- Month'!$J$13:$N$17), TRANSPOSE(Scenarios3[[#This Row],[SPY]:[PE]])))</f>
        <v>7.0051965201167465E-2</v>
      </c>
      <c r="J44" s="70">
        <f>(Scenarios3[[#This Row],[Expected Return]]-RiskFree)/Scenarios3[[#This Row],[36M Vol]]</f>
        <v>0.59921678441402404</v>
      </c>
      <c r="K44" s="107" cm="1">
        <f t="array" ref="K44">MIN(_xlfn._xlws.FILTER(PortfolioFrontier[#Data],(PortfolioFrontier[#Headers]="P"&amp;Scenarios3[[#This Row],[Reference '#]]&amp;" DD")))</f>
        <v>-0.15246458266521146</v>
      </c>
      <c r="L44" s="69">
        <f>SUM(Scenarios3[[#This Row],[SPY]:[VNQ]])</f>
        <v>0.8</v>
      </c>
      <c r="M44" s="69">
        <f>SUM(Scenarios3[[#This Row],[SPY]:[PE]])</f>
        <v>1</v>
      </c>
      <c r="N44" s="71" t="b">
        <f>Scenarios3[[#This Row],[SPY]]&gt;=SpyMin</f>
        <v>1</v>
      </c>
      <c r="O44" s="71" t="b">
        <f>Scenarios3[[#This Row],[AGG]]&gt;=AGGMin</f>
        <v>1</v>
      </c>
      <c r="P44" s="71" t="b">
        <f>AND(Scenarios3[[#This Row],[GLD]]&gt;=GLDMin,Scenarios3[[#This Row],[GLD]]&lt;=GLDMax)</f>
        <v>1</v>
      </c>
      <c r="Q44" s="71" t="b">
        <f>Scenarios3[[#This Row],[VNQ]]&gt;=VNQMin</f>
        <v>1</v>
      </c>
      <c r="R44" s="71" t="b">
        <f>AND(Scenarios3[[#This Row],[PE]]&gt;=PEMin,Scenarios3[[#This Row],[PE]]&lt;=PEMax)</f>
        <v>1</v>
      </c>
      <c r="S44" s="71" t="b">
        <f>Scenarios3[[#This Row],[Liquid Assets]]&gt;=LiquidMin</f>
        <v>1</v>
      </c>
      <c r="T44" s="71" t="b">
        <f>AND(Scenarios3[[#This Row],[Expected Return]]&gt;=ExpectedReturnMin,Scenarios3[[#This Row],[Expected Return]]&lt;=ExpectedReturnMax)</f>
        <v>1</v>
      </c>
      <c r="U44" s="71" t="b">
        <f>Scenarios3[[#This Row],[Max Drawdown]]&gt;=DrawdownMax</f>
        <v>1</v>
      </c>
      <c r="V4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4" s="46">
        <f>_xlfn.XLOOKUP(Scenarios3[[#This Row],[Reference '#]],ScenariosCombined[Reference '#],ScenariosCombined[Sharpe Rank])</f>
        <v>32</v>
      </c>
      <c r="X44" s="44">
        <f>IF(Scenarios3[[#This Row],[Eligible]],COUNTIFS(Scenarios3[Sharpe],"&gt;"&amp;Scenarios3[[#This Row],[Sharpe]],Scenarios3[Eligible],TRUE())+COUNTIFS(Scenarios3[Sharpe],Scenarios3[[#This Row],[Sharpe]],Scenarios3[Eligible],TRUE()),"")</f>
        <v>16</v>
      </c>
      <c r="Y4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30/25/15/10/20</v>
      </c>
      <c r="Z44" s="139">
        <f>_xlfn.XLOOKUP(Scenarios3[[#This Row],[Reference '#]],Scenarios1[Reference '#],Scenarios1[Sharpe Rank])</f>
        <v>39</v>
      </c>
      <c r="AA44" s="139">
        <f>_xlfn.XLOOKUP(Scenarios3[[#This Row],[Reference '#]],Scenarios2[Reference '#],Scenarios2[Sharpe Rank])</f>
        <v>34</v>
      </c>
      <c r="AB44" s="139">
        <f>Scenarios3[[#This Row],[Sharpe Rank]]</f>
        <v>16</v>
      </c>
      <c r="AC44"/>
      <c r="AD44"/>
      <c r="AE44"/>
      <c r="AF44" s="34"/>
      <c r="AG44" s="34"/>
    </row>
    <row r="45" spans="2:33" s="15" customFormat="1" x14ac:dyDescent="0.2">
      <c r="B45" s="71">
        <v>117</v>
      </c>
      <c r="C45" s="69">
        <v>0.25</v>
      </c>
      <c r="D45" s="69">
        <v>0.25</v>
      </c>
      <c r="E45" s="69">
        <v>0.2</v>
      </c>
      <c r="F45" s="69">
        <v>0.1</v>
      </c>
      <c r="G45" s="69">
        <v>0.2</v>
      </c>
      <c r="H45" s="69">
        <f>SUMPRODUCT(Scenarios3[[#This Row],[SPY]:[PE]],_xlfn.TOROW(AssetSpecsScenario3[Annualized Return]))</f>
        <v>8.7874094111513076E-2</v>
      </c>
      <c r="I45" s="69" cm="1">
        <f t="array" ref="I45">SQRT(MMULT(MMULT(Scenarios3[[#This Row],[SPY]:[PE]], 'Corr_Cov 36- Month'!$J$13:$N$17), TRANSPOSE(Scenarios3[[#This Row],[SPY]:[PE]])))</f>
        <v>6.8229909457763416E-2</v>
      </c>
      <c r="J45" s="70">
        <f>(Scenarios3[[#This Row],[Expected Return]]-RiskFree)/Scenarios3[[#This Row],[36M Vol]]</f>
        <v>0.59898274643404759</v>
      </c>
      <c r="K45" s="107" cm="1">
        <f t="array" ref="K45">MIN(_xlfn._xlws.FILTER(PortfolioFrontier[#Data],(PortfolioFrontier[#Headers]="P"&amp;Scenarios3[[#This Row],[Reference '#]]&amp;" DD")))</f>
        <v>-0.14512711256852973</v>
      </c>
      <c r="L45" s="69">
        <f>SUM(Scenarios3[[#This Row],[SPY]:[VNQ]])</f>
        <v>0.79999999999999993</v>
      </c>
      <c r="M45" s="69">
        <f>SUM(Scenarios3[[#This Row],[SPY]:[PE]])</f>
        <v>1</v>
      </c>
      <c r="N45" s="71" t="b">
        <f>Scenarios3[[#This Row],[SPY]]&gt;=SpyMin</f>
        <v>1</v>
      </c>
      <c r="O45" s="71" t="b">
        <f>Scenarios3[[#This Row],[AGG]]&gt;=AGGMin</f>
        <v>1</v>
      </c>
      <c r="P45" s="71" t="b">
        <f>AND(Scenarios3[[#This Row],[GLD]]&gt;=GLDMin,Scenarios3[[#This Row],[GLD]]&lt;=GLDMax)</f>
        <v>1</v>
      </c>
      <c r="Q45" s="71" t="b">
        <f>Scenarios3[[#This Row],[VNQ]]&gt;=VNQMin</f>
        <v>1</v>
      </c>
      <c r="R45" s="71" t="b">
        <f>AND(Scenarios3[[#This Row],[PE]]&gt;=PEMin,Scenarios3[[#This Row],[PE]]&lt;=PEMax)</f>
        <v>1</v>
      </c>
      <c r="S45" s="71" t="b">
        <f>Scenarios3[[#This Row],[Liquid Assets]]&gt;=LiquidMin</f>
        <v>1</v>
      </c>
      <c r="T45" s="71" t="b">
        <f>AND(Scenarios3[[#This Row],[Expected Return]]&gt;=ExpectedReturnMin,Scenarios3[[#This Row],[Expected Return]]&lt;=ExpectedReturnMax)</f>
        <v>1</v>
      </c>
      <c r="U45" s="71" t="b">
        <f>Scenarios3[[#This Row],[Max Drawdown]]&gt;=DrawdownMax</f>
        <v>1</v>
      </c>
      <c r="V4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5" s="46">
        <f>_xlfn.XLOOKUP(Scenarios3[[#This Row],[Reference '#]],ScenariosCombined[Reference '#],ScenariosCombined[Sharpe Rank])</f>
        <v>33</v>
      </c>
      <c r="X45" s="44">
        <f>IF(Scenarios3[[#This Row],[Eligible]],COUNTIFS(Scenarios3[Sharpe],"&gt;"&amp;Scenarios3[[#This Row],[Sharpe]],Scenarios3[Eligible],TRUE())+COUNTIFS(Scenarios3[Sharpe],Scenarios3[[#This Row],[Sharpe]],Scenarios3[Eligible],TRUE()),"")</f>
        <v>17</v>
      </c>
      <c r="Y4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25/25/20/10/20</v>
      </c>
      <c r="Z45" s="139">
        <f>_xlfn.XLOOKUP(Scenarios3[[#This Row],[Reference '#]],Scenarios1[Reference '#],Scenarios1[Sharpe Rank])</f>
        <v>40</v>
      </c>
      <c r="AA45" s="139">
        <f>_xlfn.XLOOKUP(Scenarios3[[#This Row],[Reference '#]],Scenarios2[Reference '#],Scenarios2[Sharpe Rank])</f>
        <v>35</v>
      </c>
      <c r="AB45" s="139">
        <f>Scenarios3[[#This Row],[Sharpe Rank]]</f>
        <v>17</v>
      </c>
      <c r="AC45"/>
      <c r="AD45"/>
      <c r="AE45"/>
      <c r="AF45" s="34"/>
      <c r="AG45" s="34"/>
    </row>
    <row r="46" spans="2:33" s="15" customFormat="1" x14ac:dyDescent="0.2">
      <c r="B46" s="71">
        <v>19</v>
      </c>
      <c r="C46" s="69">
        <v>0.4</v>
      </c>
      <c r="D46" s="69">
        <v>0.25</v>
      </c>
      <c r="E46" s="69">
        <v>0.1</v>
      </c>
      <c r="F46" s="69">
        <v>0.1</v>
      </c>
      <c r="G46" s="69">
        <v>0.15</v>
      </c>
      <c r="H46" s="69">
        <f>SUMPRODUCT(Scenarios3[[#This Row],[SPY]:[PE]],_xlfn.TOROW(AssetSpecsScenario3[Annualized Return]))</f>
        <v>9.366094367373605E-2</v>
      </c>
      <c r="I46" s="69" cm="1">
        <f t="array" ref="I46">SQRT(MMULT(MMULT(Scenarios3[[#This Row],[SPY]:[PE]], 'Corr_Cov 36- Month'!$J$13:$N$17), TRANSPOSE(Scenarios3[[#This Row],[SPY]:[PE]])))</f>
        <v>7.7928739797148691E-2</v>
      </c>
      <c r="J46" s="70">
        <f>(Scenarios3[[#This Row],[Expected Return]]-RiskFree)/Scenarios3[[#This Row],[36M Vol]]</f>
        <v>0.59869296282252416</v>
      </c>
      <c r="K46" s="107" cm="1">
        <f t="array" ref="K46">MIN(_xlfn._xlws.FILTER(PortfolioFrontier[#Data],(PortfolioFrontier[#Headers]="P"&amp;Scenarios3[[#This Row],[Reference '#]]&amp;" DD")))</f>
        <v>-0.17144121024298842</v>
      </c>
      <c r="L46" s="69">
        <f>SUM(Scenarios3[[#This Row],[SPY]:[VNQ]])</f>
        <v>0.85</v>
      </c>
      <c r="M46" s="69">
        <f>SUM(Scenarios3[[#This Row],[SPY]:[PE]])</f>
        <v>1</v>
      </c>
      <c r="N46" s="71" t="b">
        <f>Scenarios3[[#This Row],[SPY]]&gt;=SpyMin</f>
        <v>1</v>
      </c>
      <c r="O46" s="71" t="b">
        <f>Scenarios3[[#This Row],[AGG]]&gt;=AGGMin</f>
        <v>1</v>
      </c>
      <c r="P46" s="71" t="b">
        <f>AND(Scenarios3[[#This Row],[GLD]]&gt;=GLDMin,Scenarios3[[#This Row],[GLD]]&lt;=GLDMax)</f>
        <v>1</v>
      </c>
      <c r="Q46" s="71" t="b">
        <f>Scenarios3[[#This Row],[VNQ]]&gt;=VNQMin</f>
        <v>1</v>
      </c>
      <c r="R46" s="71" t="b">
        <f>AND(Scenarios3[[#This Row],[PE]]&gt;=PEMin,Scenarios3[[#This Row],[PE]]&lt;=PEMax)</f>
        <v>1</v>
      </c>
      <c r="S46" s="71" t="b">
        <f>Scenarios3[[#This Row],[Liquid Assets]]&gt;=LiquidMin</f>
        <v>1</v>
      </c>
      <c r="T46" s="71" t="b">
        <f>AND(Scenarios3[[#This Row],[Expected Return]]&gt;=ExpectedReturnMin,Scenarios3[[#This Row],[Expected Return]]&lt;=ExpectedReturnMax)</f>
        <v>1</v>
      </c>
      <c r="U46" s="71" t="b">
        <f>Scenarios3[[#This Row],[Max Drawdown]]&gt;=DrawdownMax</f>
        <v>1</v>
      </c>
      <c r="V4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6" s="46">
        <f>_xlfn.XLOOKUP(Scenarios3[[#This Row],[Reference '#]],ScenariosCombined[Reference '#],ScenariosCombined[Sharpe Rank])</f>
        <v>26</v>
      </c>
      <c r="X46" s="44">
        <f>IF(Scenarios3[[#This Row],[Eligible]],COUNTIFS(Scenarios3[Sharpe],"&gt;"&amp;Scenarios3[[#This Row],[Sharpe]],Scenarios3[Eligible],TRUE())+COUNTIFS(Scenarios3[Sharpe],Scenarios3[[#This Row],[Sharpe]],Scenarios3[Eligible],TRUE()),"")</f>
        <v>18</v>
      </c>
      <c r="Y4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40/25/10/10/15</v>
      </c>
      <c r="Z46" s="139">
        <f>_xlfn.XLOOKUP(Scenarios3[[#This Row],[Reference '#]],Scenarios1[Reference '#],Scenarios1[Sharpe Rank])</f>
        <v>30</v>
      </c>
      <c r="AA46" s="139">
        <f>_xlfn.XLOOKUP(Scenarios3[[#This Row],[Reference '#]],Scenarios2[Reference '#],Scenarios2[Sharpe Rank])</f>
        <v>27</v>
      </c>
      <c r="AB46" s="139">
        <f>Scenarios3[[#This Row],[Sharpe Rank]]</f>
        <v>18</v>
      </c>
      <c r="AC46"/>
      <c r="AD46"/>
      <c r="AE46"/>
      <c r="AF46" s="34"/>
      <c r="AG46" s="34"/>
    </row>
    <row r="47" spans="2:33" s="15" customFormat="1" x14ac:dyDescent="0.2">
      <c r="B47" s="71">
        <v>21</v>
      </c>
      <c r="C47" s="69">
        <v>0.4</v>
      </c>
      <c r="D47" s="69">
        <v>0.2</v>
      </c>
      <c r="E47" s="69">
        <v>0.15</v>
      </c>
      <c r="F47" s="69">
        <v>0.15</v>
      </c>
      <c r="G47" s="69">
        <v>0.1</v>
      </c>
      <c r="H47" s="69">
        <f>SUMPRODUCT(Scenarios3[[#This Row],[SPY]:[PE]],_xlfn.TOROW(AssetSpecsScenario3[Annualized Return]))</f>
        <v>9.7708208260815027E-2</v>
      </c>
      <c r="I47" s="69" cm="1">
        <f t="array" ref="I47">SQRT(MMULT(MMULT(Scenarios3[[#This Row],[SPY]:[PE]], 'Corr_Cov 36- Month'!$J$13:$N$17), TRANSPOSE(Scenarios3[[#This Row],[SPY]:[PE]])))</f>
        <v>8.4835437270899997E-2</v>
      </c>
      <c r="J47" s="70">
        <f>(Scenarios3[[#This Row],[Expected Return]]-RiskFree)/Scenarios3[[#This Row],[36M Vol]]</f>
        <v>0.59765888331964023</v>
      </c>
      <c r="K47" s="107" cm="1">
        <f t="array" ref="K47">MIN(_xlfn._xlws.FILTER(PortfolioFrontier[#Data],(PortfolioFrontier[#Headers]="P"&amp;Scenarios3[[#This Row],[Reference '#]]&amp;" DD")))</f>
        <v>-0.18341824386731309</v>
      </c>
      <c r="L47" s="69">
        <f>SUM(Scenarios3[[#This Row],[SPY]:[VNQ]])</f>
        <v>0.90000000000000013</v>
      </c>
      <c r="M47" s="69">
        <f>SUM(Scenarios3[[#This Row],[SPY]:[PE]])</f>
        <v>1.0000000000000002</v>
      </c>
      <c r="N47" s="71" t="b">
        <f>Scenarios3[[#This Row],[SPY]]&gt;=SpyMin</f>
        <v>1</v>
      </c>
      <c r="O47" s="71" t="b">
        <f>Scenarios3[[#This Row],[AGG]]&gt;=AGGMin</f>
        <v>1</v>
      </c>
      <c r="P47" s="71" t="b">
        <f>AND(Scenarios3[[#This Row],[GLD]]&gt;=GLDMin,Scenarios3[[#This Row],[GLD]]&lt;=GLDMax)</f>
        <v>1</v>
      </c>
      <c r="Q47" s="71" t="b">
        <f>Scenarios3[[#This Row],[VNQ]]&gt;=VNQMin</f>
        <v>1</v>
      </c>
      <c r="R47" s="71" t="b">
        <f>AND(Scenarios3[[#This Row],[PE]]&gt;=PEMin,Scenarios3[[#This Row],[PE]]&lt;=PEMax)</f>
        <v>1</v>
      </c>
      <c r="S47" s="71" t="b">
        <f>Scenarios3[[#This Row],[Liquid Assets]]&gt;=LiquidMin</f>
        <v>1</v>
      </c>
      <c r="T47" s="71" t="b">
        <f>AND(Scenarios3[[#This Row],[Expected Return]]&gt;=ExpectedReturnMin,Scenarios3[[#This Row],[Expected Return]]&lt;=ExpectedReturnMax)</f>
        <v>1</v>
      </c>
      <c r="U47" s="71" t="b">
        <f>Scenarios3[[#This Row],[Max Drawdown]]&gt;=DrawdownMax</f>
        <v>1</v>
      </c>
      <c r="V4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7" s="46">
        <f>_xlfn.XLOOKUP(Scenarios3[[#This Row],[Reference '#]],ScenariosCombined[Reference '#],ScenariosCombined[Sharpe Rank])</f>
        <v>21</v>
      </c>
      <c r="X47" s="44">
        <f>IF(Scenarios3[[#This Row],[Eligible]],COUNTIFS(Scenarios3[Sharpe],"&gt;"&amp;Scenarios3[[#This Row],[Sharpe]],Scenarios3[Eligible],TRUE())+COUNTIFS(Scenarios3[Sharpe],Scenarios3[[#This Row],[Sharpe]],Scenarios3[Eligible],TRUE()),"")</f>
        <v>19</v>
      </c>
      <c r="Y4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40/20/15/15/10</v>
      </c>
      <c r="Z47" s="139">
        <f>_xlfn.XLOOKUP(Scenarios3[[#This Row],[Reference '#]],Scenarios1[Reference '#],Scenarios1[Sharpe Rank])</f>
        <v>22</v>
      </c>
      <c r="AA47" s="139">
        <f>_xlfn.XLOOKUP(Scenarios3[[#This Row],[Reference '#]],Scenarios2[Reference '#],Scenarios2[Sharpe Rank])</f>
        <v>21</v>
      </c>
      <c r="AB47" s="139">
        <f>Scenarios3[[#This Row],[Sharpe Rank]]</f>
        <v>19</v>
      </c>
      <c r="AC47"/>
      <c r="AD47"/>
      <c r="AE47"/>
      <c r="AF47" s="34"/>
      <c r="AG47" s="34"/>
    </row>
    <row r="48" spans="2:33" s="15" customFormat="1" x14ac:dyDescent="0.2">
      <c r="B48" s="71">
        <v>80</v>
      </c>
      <c r="C48" s="69">
        <v>0.3</v>
      </c>
      <c r="D48" s="69">
        <v>0.2</v>
      </c>
      <c r="E48" s="69">
        <v>0.2</v>
      </c>
      <c r="F48" s="69">
        <v>0.15</v>
      </c>
      <c r="G48" s="69">
        <v>0.15</v>
      </c>
      <c r="H48" s="69">
        <f>SUMPRODUCT(Scenarios3[[#This Row],[SPY]:[PE]],_xlfn.TOROW(AssetSpecsScenario3[Annualized Return]))</f>
        <v>9.302913347236122E-2</v>
      </c>
      <c r="I48" s="69" cm="1">
        <f t="array" ref="I48">SQRT(MMULT(MMULT(Scenarios3[[#This Row],[SPY]:[PE]], 'Corr_Cov 36- Month'!$J$13:$N$17), TRANSPOSE(Scenarios3[[#This Row],[SPY]:[PE]])))</f>
        <v>7.7575801416217713E-2</v>
      </c>
      <c r="J48" s="70">
        <f>(Scenarios3[[#This Row],[Expected Return]]-RiskFree)/Scenarios3[[#This Row],[36M Vol]]</f>
        <v>0.59327234880726798</v>
      </c>
      <c r="K48" s="107" cm="1">
        <f t="array" ref="K48">MIN(_xlfn._xlws.FILTER(PortfolioFrontier[#Data],(PortfolioFrontier[#Headers]="P"&amp;Scenarios3[[#This Row],[Reference '#]]&amp;" DD")))</f>
        <v>-0.16456686231062201</v>
      </c>
      <c r="L48" s="69">
        <f>SUM(Scenarios3[[#This Row],[SPY]:[VNQ]])</f>
        <v>0.85</v>
      </c>
      <c r="M48" s="69">
        <f>SUM(Scenarios3[[#This Row],[SPY]:[PE]])</f>
        <v>1</v>
      </c>
      <c r="N48" s="71" t="b">
        <f>Scenarios3[[#This Row],[SPY]]&gt;=SpyMin</f>
        <v>1</v>
      </c>
      <c r="O48" s="71" t="b">
        <f>Scenarios3[[#This Row],[AGG]]&gt;=AGGMin</f>
        <v>1</v>
      </c>
      <c r="P48" s="71" t="b">
        <f>AND(Scenarios3[[#This Row],[GLD]]&gt;=GLDMin,Scenarios3[[#This Row],[GLD]]&lt;=GLDMax)</f>
        <v>1</v>
      </c>
      <c r="Q48" s="71" t="b">
        <f>Scenarios3[[#This Row],[VNQ]]&gt;=VNQMin</f>
        <v>1</v>
      </c>
      <c r="R48" s="71" t="b">
        <f>AND(Scenarios3[[#This Row],[PE]]&gt;=PEMin,Scenarios3[[#This Row],[PE]]&lt;=PEMax)</f>
        <v>1</v>
      </c>
      <c r="S48" s="71" t="b">
        <f>Scenarios3[[#This Row],[Liquid Assets]]&gt;=LiquidMin</f>
        <v>1</v>
      </c>
      <c r="T48" s="71" t="b">
        <f>AND(Scenarios3[[#This Row],[Expected Return]]&gt;=ExpectedReturnMin,Scenarios3[[#This Row],[Expected Return]]&lt;=ExpectedReturnMax)</f>
        <v>1</v>
      </c>
      <c r="U48" s="71" t="b">
        <f>Scenarios3[[#This Row],[Max Drawdown]]&gt;=DrawdownMax</f>
        <v>1</v>
      </c>
      <c r="V4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8" s="46">
        <f>_xlfn.XLOOKUP(Scenarios3[[#This Row],[Reference '#]],ScenariosCombined[Reference '#],ScenariosCombined[Sharpe Rank])</f>
        <v>28</v>
      </c>
      <c r="X48" s="44">
        <f>IF(Scenarios3[[#This Row],[Eligible]],COUNTIFS(Scenarios3[Sharpe],"&gt;"&amp;Scenarios3[[#This Row],[Sharpe]],Scenarios3[Eligible],TRUE())+COUNTIFS(Scenarios3[Sharpe],Scenarios3[[#This Row],[Sharpe]],Scenarios3[Eligible],TRUE()),"")</f>
        <v>20</v>
      </c>
      <c r="Y4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30/20/20/15/15</v>
      </c>
      <c r="Z48" s="139">
        <f>_xlfn.XLOOKUP(Scenarios3[[#This Row],[Reference '#]],Scenarios1[Reference '#],Scenarios1[Sharpe Rank])</f>
        <v>31</v>
      </c>
      <c r="AA48" s="139">
        <f>_xlfn.XLOOKUP(Scenarios3[[#This Row],[Reference '#]],Scenarios2[Reference '#],Scenarios2[Sharpe Rank])</f>
        <v>29</v>
      </c>
      <c r="AB48" s="139">
        <f>Scenarios3[[#This Row],[Sharpe Rank]]</f>
        <v>20</v>
      </c>
      <c r="AC48"/>
      <c r="AD48"/>
      <c r="AE48"/>
      <c r="AF48" s="34"/>
      <c r="AG48" s="34"/>
    </row>
    <row r="49" spans="2:33" s="15" customFormat="1" x14ac:dyDescent="0.2">
      <c r="B49" s="71">
        <v>43</v>
      </c>
      <c r="C49" s="69">
        <v>0.35</v>
      </c>
      <c r="D49" s="69">
        <v>0.25</v>
      </c>
      <c r="E49" s="69">
        <v>0.1</v>
      </c>
      <c r="F49" s="69">
        <v>0.1</v>
      </c>
      <c r="G49" s="69">
        <v>0.2</v>
      </c>
      <c r="H49" s="69">
        <f>SUMPRODUCT(Scenarios3[[#This Row],[SPY]:[PE]],_xlfn.TOROW(AssetSpecsScenario3[Annualized Return]))</f>
        <v>9.008964365905138E-2</v>
      </c>
      <c r="I49" s="69" cm="1">
        <f t="array" ref="I49">SQRT(MMULT(MMULT(Scenarios3[[#This Row],[SPY]:[PE]], 'Corr_Cov 36- Month'!$J$13:$N$17), TRANSPOSE(Scenarios3[[#This Row],[SPY]:[PE]])))</f>
        <v>7.2979750537878502E-2</v>
      </c>
      <c r="J49" s="70">
        <f>(Scenarios3[[#This Row],[Expected Return]]-RiskFree)/Scenarios3[[#This Row],[36M Vol]]</f>
        <v>0.59035674671337768</v>
      </c>
      <c r="K49" s="107" cm="1">
        <f t="array" ref="K49">MIN(_xlfn._xlws.FILTER(PortfolioFrontier[#Data],(PortfolioFrontier[#Headers]="P"&amp;Scenarios3[[#This Row],[Reference '#]]&amp;" DD")))</f>
        <v>-0.15982311456934162</v>
      </c>
      <c r="L49" s="69">
        <f>SUM(Scenarios3[[#This Row],[SPY]:[VNQ]])</f>
        <v>0.79999999999999993</v>
      </c>
      <c r="M49" s="69">
        <f>SUM(Scenarios3[[#This Row],[SPY]:[PE]])</f>
        <v>1</v>
      </c>
      <c r="N49" s="71" t="b">
        <f>Scenarios3[[#This Row],[SPY]]&gt;=SpyMin</f>
        <v>1</v>
      </c>
      <c r="O49" s="71" t="b">
        <f>Scenarios3[[#This Row],[AGG]]&gt;=AGGMin</f>
        <v>1</v>
      </c>
      <c r="P49" s="71" t="b">
        <f>AND(Scenarios3[[#This Row],[GLD]]&gt;=GLDMin,Scenarios3[[#This Row],[GLD]]&lt;=GLDMax)</f>
        <v>1</v>
      </c>
      <c r="Q49" s="71" t="b">
        <f>Scenarios3[[#This Row],[VNQ]]&gt;=VNQMin</f>
        <v>1</v>
      </c>
      <c r="R49" s="71" t="b">
        <f>AND(Scenarios3[[#This Row],[PE]]&gt;=PEMin,Scenarios3[[#This Row],[PE]]&lt;=PEMax)</f>
        <v>1</v>
      </c>
      <c r="S49" s="71" t="b">
        <f>Scenarios3[[#This Row],[Liquid Assets]]&gt;=LiquidMin</f>
        <v>1</v>
      </c>
      <c r="T49" s="71" t="b">
        <f>AND(Scenarios3[[#This Row],[Expected Return]]&gt;=ExpectedReturnMin,Scenarios3[[#This Row],[Expected Return]]&lt;=ExpectedReturnMax)</f>
        <v>1</v>
      </c>
      <c r="U49" s="71" t="b">
        <f>Scenarios3[[#This Row],[Max Drawdown]]&gt;=DrawdownMax</f>
        <v>1</v>
      </c>
      <c r="V4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49" s="46">
        <f>_xlfn.XLOOKUP(Scenarios3[[#This Row],[Reference '#]],ScenariosCombined[Reference '#],ScenariosCombined[Sharpe Rank])</f>
        <v>36</v>
      </c>
      <c r="X49" s="44">
        <f>IF(Scenarios3[[#This Row],[Eligible]],COUNTIFS(Scenarios3[Sharpe],"&gt;"&amp;Scenarios3[[#This Row],[Sharpe]],Scenarios3[Eligible],TRUE())+COUNTIFS(Scenarios3[Sharpe],Scenarios3[[#This Row],[Sharpe]],Scenarios3[Eligible],TRUE()),"")</f>
        <v>21</v>
      </c>
      <c r="Y4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35/25/10/10/20</v>
      </c>
      <c r="Z49" s="139">
        <f>_xlfn.XLOOKUP(Scenarios3[[#This Row],[Reference '#]],Scenarios1[Reference '#],Scenarios1[Sharpe Rank])</f>
        <v>42</v>
      </c>
      <c r="AA49" s="139">
        <f>_xlfn.XLOOKUP(Scenarios3[[#This Row],[Reference '#]],Scenarios2[Reference '#],Scenarios2[Sharpe Rank])</f>
        <v>38</v>
      </c>
      <c r="AB49" s="139">
        <f>Scenarios3[[#This Row],[Sharpe Rank]]</f>
        <v>21</v>
      </c>
      <c r="AC49"/>
      <c r="AD49"/>
      <c r="AE49"/>
      <c r="AF49" s="34"/>
      <c r="AG49" s="34"/>
    </row>
    <row r="50" spans="2:33" s="15" customFormat="1" x14ac:dyDescent="0.2">
      <c r="B50" s="71">
        <v>47</v>
      </c>
      <c r="C50" s="69">
        <v>0.35</v>
      </c>
      <c r="D50" s="69">
        <v>0.2</v>
      </c>
      <c r="E50" s="69">
        <v>0.15</v>
      </c>
      <c r="F50" s="69">
        <v>0.15</v>
      </c>
      <c r="G50" s="69">
        <v>0.15</v>
      </c>
      <c r="H50" s="69">
        <f>SUMPRODUCT(Scenarios3[[#This Row],[SPY]:[PE]],_xlfn.TOROW(AssetSpecsScenario3[Annualized Return]))</f>
        <v>9.4136908246130371E-2</v>
      </c>
      <c r="I50" s="69" cm="1">
        <f t="array" ref="I50">SQRT(MMULT(MMULT(Scenarios3[[#This Row],[SPY]:[PE]], 'Corr_Cov 36- Month'!$J$13:$N$17), TRANSPOSE(Scenarios3[[#This Row],[SPY]:[PE]])))</f>
        <v>7.9837684410467652E-2</v>
      </c>
      <c r="J50" s="70">
        <f>(Scenarios3[[#This Row],[Expected Return]]-RiskFree)/Scenarios3[[#This Row],[36M Vol]]</f>
        <v>0.59033967528741793</v>
      </c>
      <c r="K50" s="107" cm="1">
        <f t="array" ref="K50">MIN(_xlfn._xlws.FILTER(PortfolioFrontier[#Data],(PortfolioFrontier[#Headers]="P"&amp;Scenarios3[[#This Row],[Reference '#]]&amp;" DD")))</f>
        <v>-0.17187256847840193</v>
      </c>
      <c r="L50" s="69">
        <f>SUM(Scenarios3[[#This Row],[SPY]:[VNQ]])</f>
        <v>0.85000000000000009</v>
      </c>
      <c r="M50" s="69">
        <f>SUM(Scenarios3[[#This Row],[SPY]:[PE]])</f>
        <v>1</v>
      </c>
      <c r="N50" s="71" t="b">
        <f>Scenarios3[[#This Row],[SPY]]&gt;=SpyMin</f>
        <v>1</v>
      </c>
      <c r="O50" s="71" t="b">
        <f>Scenarios3[[#This Row],[AGG]]&gt;=AGGMin</f>
        <v>1</v>
      </c>
      <c r="P50" s="71" t="b">
        <f>AND(Scenarios3[[#This Row],[GLD]]&gt;=GLDMin,Scenarios3[[#This Row],[GLD]]&lt;=GLDMax)</f>
        <v>1</v>
      </c>
      <c r="Q50" s="71" t="b">
        <f>Scenarios3[[#This Row],[VNQ]]&gt;=VNQMin</f>
        <v>1</v>
      </c>
      <c r="R50" s="71" t="b">
        <f>AND(Scenarios3[[#This Row],[PE]]&gt;=PEMin,Scenarios3[[#This Row],[PE]]&lt;=PEMax)</f>
        <v>1</v>
      </c>
      <c r="S50" s="71" t="b">
        <f>Scenarios3[[#This Row],[Liquid Assets]]&gt;=LiquidMin</f>
        <v>1</v>
      </c>
      <c r="T50" s="71" t="b">
        <f>AND(Scenarios3[[#This Row],[Expected Return]]&gt;=ExpectedReturnMin,Scenarios3[[#This Row],[Expected Return]]&lt;=ExpectedReturnMax)</f>
        <v>1</v>
      </c>
      <c r="U50" s="71" t="b">
        <f>Scenarios3[[#This Row],[Max Drawdown]]&gt;=DrawdownMax</f>
        <v>1</v>
      </c>
      <c r="V5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0" s="46">
        <f>_xlfn.XLOOKUP(Scenarios3[[#This Row],[Reference '#]],ScenariosCombined[Reference '#],ScenariosCombined[Sharpe Rank])</f>
        <v>29</v>
      </c>
      <c r="X50" s="44">
        <f>IF(Scenarios3[[#This Row],[Eligible]],COUNTIFS(Scenarios3[Sharpe],"&gt;"&amp;Scenarios3[[#This Row],[Sharpe]],Scenarios3[Eligible],TRUE())+COUNTIFS(Scenarios3[Sharpe],Scenarios3[[#This Row],[Sharpe]],Scenarios3[Eligible],TRUE()),"")</f>
        <v>22</v>
      </c>
      <c r="Y5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35/20/15/15/15</v>
      </c>
      <c r="Z50" s="139">
        <f>_xlfn.XLOOKUP(Scenarios3[[#This Row],[Reference '#]],Scenarios1[Reference '#],Scenarios1[Sharpe Rank])</f>
        <v>32</v>
      </c>
      <c r="AA50" s="139">
        <f>_xlfn.XLOOKUP(Scenarios3[[#This Row],[Reference '#]],Scenarios2[Reference '#],Scenarios2[Sharpe Rank])</f>
        <v>30</v>
      </c>
      <c r="AB50" s="139">
        <f>Scenarios3[[#This Row],[Sharpe Rank]]</f>
        <v>22</v>
      </c>
      <c r="AC50"/>
      <c r="AD50"/>
      <c r="AE50"/>
      <c r="AF50" s="34"/>
      <c r="AG50" s="34"/>
    </row>
    <row r="51" spans="2:33" s="15" customFormat="1" x14ac:dyDescent="0.2">
      <c r="B51" s="126">
        <v>8</v>
      </c>
      <c r="C51" s="124">
        <v>0.45</v>
      </c>
      <c r="D51" s="124">
        <v>0.2</v>
      </c>
      <c r="E51" s="124">
        <v>0.1</v>
      </c>
      <c r="F51" s="124">
        <v>0.15</v>
      </c>
      <c r="G51" s="124">
        <v>0.1</v>
      </c>
      <c r="H51" s="124">
        <f>SUMPRODUCT(Scenarios3[[#This Row],[SPY]:[PE]],_xlfn.TOROW(AssetSpecsScenario3[Annualized Return]))</f>
        <v>9.8815983034584193E-2</v>
      </c>
      <c r="I51" s="124" cm="1">
        <f t="array" ref="I51">SQRT(MMULT(MMULT(Scenarios3[[#This Row],[SPY]:[PE]], 'Corr_Cov 36- Month'!$J$13:$N$17), TRANSPOSE(Scenarios3[[#This Row],[SPY]:[PE]])))</f>
        <v>8.8188878555594666E-2</v>
      </c>
      <c r="J51" s="125">
        <f>(Scenarios3[[#This Row],[Expected Return]]-RiskFree)/Scenarios3[[#This Row],[36M Vol]]</f>
        <v>0.58749389183316481</v>
      </c>
      <c r="K51" s="124" cm="1">
        <f t="array" ref="K51">MIN(_xlfn._xlws.FILTER(PortfolioFrontier[#Data],(PortfolioFrontier[#Headers]="P"&amp;Scenarios3[[#This Row],[Reference '#]]&amp;" DD")))</f>
        <v>-0.19072422907983366</v>
      </c>
      <c r="L51" s="124">
        <f>SUM(Scenarios3[[#This Row],[SPY]:[VNQ]])</f>
        <v>0.9</v>
      </c>
      <c r="M51" s="124">
        <f>SUM(Scenarios3[[#This Row],[SPY]:[PE]])</f>
        <v>1</v>
      </c>
      <c r="N51" s="126" t="b">
        <f>Scenarios3[[#This Row],[SPY]]&gt;=SpyMin</f>
        <v>1</v>
      </c>
      <c r="O51" s="126" t="b">
        <f>Scenarios3[[#This Row],[AGG]]&gt;=AGGMin</f>
        <v>1</v>
      </c>
      <c r="P51" s="126" t="b">
        <f>AND(Scenarios3[[#This Row],[GLD]]&gt;=GLDMin,Scenarios3[[#This Row],[GLD]]&lt;=GLDMax)</f>
        <v>1</v>
      </c>
      <c r="Q51" s="126" t="b">
        <f>Scenarios3[[#This Row],[VNQ]]&gt;=VNQMin</f>
        <v>1</v>
      </c>
      <c r="R51" s="126" t="b">
        <f>AND(Scenarios3[[#This Row],[PE]]&gt;=PEMin,Scenarios3[[#This Row],[PE]]&lt;=PEMax)</f>
        <v>1</v>
      </c>
      <c r="S51" s="126" t="b">
        <f>Scenarios3[[#This Row],[Liquid Assets]]&gt;=LiquidMin</f>
        <v>1</v>
      </c>
      <c r="T51" s="126" t="b">
        <f>AND(Scenarios3[[#This Row],[Expected Return]]&gt;=ExpectedReturnMin,Scenarios3[[#This Row],[Expected Return]]&lt;=ExpectedReturnMax)</f>
        <v>1</v>
      </c>
      <c r="U51" s="126" t="b">
        <f>Scenarios3[[#This Row],[Max Drawdown]]&gt;=DrawdownMax</f>
        <v>1</v>
      </c>
      <c r="V51" s="182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1" s="149">
        <f>_xlfn.XLOOKUP(Scenarios3[[#This Row],[Reference '#]],ScenariosCombined[Reference '#],ScenariosCombined[Sharpe Rank])</f>
        <v>24</v>
      </c>
      <c r="X51" s="122">
        <f>IF(Scenarios3[[#This Row],[Eligible]],COUNTIFS(Scenarios3[Sharpe],"&gt;"&amp;Scenarios3[[#This Row],[Sharpe]],Scenarios3[Eligible],TRUE())+COUNTIFS(Scenarios3[Sharpe],Scenarios3[[#This Row],[Sharpe]],Scenarios3[Eligible],TRUE()),"")</f>
        <v>23</v>
      </c>
      <c r="Y51" s="150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45/20/10/15/10</v>
      </c>
      <c r="Z51" s="151">
        <f>_xlfn.XLOOKUP(Scenarios3[[#This Row],[Reference '#]],Scenarios1[Reference '#],Scenarios1[Sharpe Rank])</f>
        <v>24</v>
      </c>
      <c r="AA51" s="151">
        <f>_xlfn.XLOOKUP(Scenarios3[[#This Row],[Reference '#]],Scenarios2[Reference '#],Scenarios2[Sharpe Rank])</f>
        <v>22</v>
      </c>
      <c r="AB51" s="151">
        <f>Scenarios3[[#This Row],[Sharpe Rank]]</f>
        <v>23</v>
      </c>
      <c r="AC51"/>
      <c r="AD51"/>
      <c r="AE51"/>
      <c r="AF51" s="34"/>
      <c r="AG51" s="34"/>
    </row>
    <row r="52" spans="2:33" s="15" customFormat="1" x14ac:dyDescent="0.2">
      <c r="B52" s="71">
        <v>52</v>
      </c>
      <c r="C52" s="69">
        <v>0.35</v>
      </c>
      <c r="D52" s="69">
        <v>0.15</v>
      </c>
      <c r="E52" s="69">
        <v>0.2</v>
      </c>
      <c r="F52" s="69">
        <v>0.2</v>
      </c>
      <c r="G52" s="69">
        <v>0.1</v>
      </c>
      <c r="H52" s="69">
        <f>SUMPRODUCT(Scenarios3[[#This Row],[SPY]:[PE]],_xlfn.TOROW(AssetSpecsScenario3[Annualized Return]))</f>
        <v>9.8184172833209335E-2</v>
      </c>
      <c r="I52" s="69" cm="1">
        <f t="array" ref="I52">SQRT(MMULT(MMULT(Scenarios3[[#This Row],[SPY]:[PE]], 'Corr_Cov 36- Month'!$J$13:$N$17), TRANSPOSE(Scenarios3[[#This Row],[SPY]:[PE]])))</f>
        <v>8.7517474227068542E-2</v>
      </c>
      <c r="J52" s="70">
        <f>(Scenarios3[[#This Row],[Expected Return]]-RiskFree)/Scenarios3[[#This Row],[36M Vol]]</f>
        <v>0.58478169907952615</v>
      </c>
      <c r="K52" s="107" cm="1">
        <f t="array" ref="K52">MIN(_xlfn._xlws.FILTER(PortfolioFrontier[#Data],(PortfolioFrontier[#Headers]="P"&amp;Scenarios3[[#This Row],[Reference '#]]&amp;" DD")))</f>
        <v>-0.18388293935893474</v>
      </c>
      <c r="L52" s="69">
        <f>SUM(Scenarios3[[#This Row],[SPY]:[VNQ]])</f>
        <v>0.89999999999999991</v>
      </c>
      <c r="M52" s="69">
        <f>SUM(Scenarios3[[#This Row],[SPY]:[PE]])</f>
        <v>0.99999999999999989</v>
      </c>
      <c r="N52" s="71" t="b">
        <f>Scenarios3[[#This Row],[SPY]]&gt;=SpyMin</f>
        <v>1</v>
      </c>
      <c r="O52" s="71" t="b">
        <f>Scenarios3[[#This Row],[AGG]]&gt;=AGGMin</f>
        <v>1</v>
      </c>
      <c r="P52" s="71" t="b">
        <f>AND(Scenarios3[[#This Row],[GLD]]&gt;=GLDMin,Scenarios3[[#This Row],[GLD]]&lt;=GLDMax)</f>
        <v>1</v>
      </c>
      <c r="Q52" s="71" t="b">
        <f>Scenarios3[[#This Row],[VNQ]]&gt;=VNQMin</f>
        <v>1</v>
      </c>
      <c r="R52" s="71" t="b">
        <f>AND(Scenarios3[[#This Row],[PE]]&gt;=PEMin,Scenarios3[[#This Row],[PE]]&lt;=PEMax)</f>
        <v>1</v>
      </c>
      <c r="S52" s="71" t="b">
        <f>Scenarios3[[#This Row],[Liquid Assets]]&gt;=LiquidMin</f>
        <v>1</v>
      </c>
      <c r="T52" s="71" t="b">
        <f>AND(Scenarios3[[#This Row],[Expected Return]]&gt;=ExpectedReturnMin,Scenarios3[[#This Row],[Expected Return]]&lt;=ExpectedReturnMax)</f>
        <v>1</v>
      </c>
      <c r="U52" s="71" t="b">
        <f>Scenarios3[[#This Row],[Max Drawdown]]&gt;=DrawdownMax</f>
        <v>1</v>
      </c>
      <c r="V5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2" s="46">
        <f>_xlfn.XLOOKUP(Scenarios3[[#This Row],[Reference '#]],ScenariosCombined[Reference '#],ScenariosCombined[Sharpe Rank])</f>
        <v>25</v>
      </c>
      <c r="X52" s="44">
        <f>IF(Scenarios3[[#This Row],[Eligible]],COUNTIFS(Scenarios3[Sharpe],"&gt;"&amp;Scenarios3[[#This Row],[Sharpe]],Scenarios3[Eligible],TRUE())+COUNTIFS(Scenarios3[Sharpe],Scenarios3[[#This Row],[Sharpe]],Scenarios3[Eligible],TRUE()),"")</f>
        <v>24</v>
      </c>
      <c r="Y5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35/15/20/20/10</v>
      </c>
      <c r="Z52" s="139">
        <f>_xlfn.XLOOKUP(Scenarios3[[#This Row],[Reference '#]],Scenarios1[Reference '#],Scenarios1[Sharpe Rank])</f>
        <v>25</v>
      </c>
      <c r="AA52" s="139">
        <f>_xlfn.XLOOKUP(Scenarios3[[#This Row],[Reference '#]],Scenarios2[Reference '#],Scenarios2[Sharpe Rank])</f>
        <v>25</v>
      </c>
      <c r="AB52" s="139">
        <f>Scenarios3[[#This Row],[Sharpe Rank]]</f>
        <v>24</v>
      </c>
      <c r="AC52"/>
      <c r="AD52"/>
      <c r="AE52"/>
      <c r="AF52" s="34"/>
      <c r="AG52" s="34"/>
    </row>
    <row r="53" spans="2:33" s="15" customFormat="1" x14ac:dyDescent="0.2">
      <c r="B53" s="71">
        <v>126</v>
      </c>
      <c r="C53" s="69">
        <v>0.25</v>
      </c>
      <c r="D53" s="69">
        <v>0.2</v>
      </c>
      <c r="E53" s="69">
        <v>0.2</v>
      </c>
      <c r="F53" s="69">
        <v>0.15</v>
      </c>
      <c r="G53" s="69">
        <v>0.2</v>
      </c>
      <c r="H53" s="69">
        <f>SUMPRODUCT(Scenarios3[[#This Row],[SPY]:[PE]],_xlfn.TOROW(AssetSpecsScenario3[Annualized Return]))</f>
        <v>8.945783345767655E-2</v>
      </c>
      <c r="I53" s="69" cm="1">
        <f t="array" ref="I53">SQRT(MMULT(MMULT(Scenarios3[[#This Row],[SPY]:[PE]], 'Corr_Cov 36- Month'!$J$13:$N$17), TRANSPOSE(Scenarios3[[#This Row],[SPY]:[PE]])))</f>
        <v>7.2991122177908818E-2</v>
      </c>
      <c r="J53" s="70">
        <f>(Scenarios3[[#This Row],[Expected Return]]-RiskFree)/Scenarios3[[#This Row],[36M Vol]]</f>
        <v>0.58160878522524517</v>
      </c>
      <c r="K53" s="107" cm="1">
        <f t="array" ref="K53">MIN(_xlfn._xlws.FILTER(PortfolioFrontier[#Data],(PortfolioFrontier[#Headers]="P"&amp;Scenarios3[[#This Row],[Reference '#]]&amp;" DD")))</f>
        <v>-0.15295446198227591</v>
      </c>
      <c r="L53" s="69">
        <f>SUM(Scenarios3[[#This Row],[SPY]:[VNQ]])</f>
        <v>0.8</v>
      </c>
      <c r="M53" s="69">
        <f>SUM(Scenarios3[[#This Row],[SPY]:[PE]])</f>
        <v>1</v>
      </c>
      <c r="N53" s="71" t="b">
        <f>Scenarios3[[#This Row],[SPY]]&gt;=SpyMin</f>
        <v>1</v>
      </c>
      <c r="O53" s="71" t="b">
        <f>Scenarios3[[#This Row],[AGG]]&gt;=AGGMin</f>
        <v>1</v>
      </c>
      <c r="P53" s="71" t="b">
        <f>AND(Scenarios3[[#This Row],[GLD]]&gt;=GLDMin,Scenarios3[[#This Row],[GLD]]&lt;=GLDMax)</f>
        <v>1</v>
      </c>
      <c r="Q53" s="71" t="b">
        <f>Scenarios3[[#This Row],[VNQ]]&gt;=VNQMin</f>
        <v>1</v>
      </c>
      <c r="R53" s="71" t="b">
        <f>AND(Scenarios3[[#This Row],[PE]]&gt;=PEMin,Scenarios3[[#This Row],[PE]]&lt;=PEMax)</f>
        <v>1</v>
      </c>
      <c r="S53" s="71" t="b">
        <f>Scenarios3[[#This Row],[Liquid Assets]]&gt;=LiquidMin</f>
        <v>1</v>
      </c>
      <c r="T53" s="71" t="b">
        <f>AND(Scenarios3[[#This Row],[Expected Return]]&gt;=ExpectedReturnMin,Scenarios3[[#This Row],[Expected Return]]&lt;=ExpectedReturnMax)</f>
        <v>1</v>
      </c>
      <c r="U53" s="71" t="b">
        <f>Scenarios3[[#This Row],[Max Drawdown]]&gt;=DrawdownMax</f>
        <v>1</v>
      </c>
      <c r="V5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3" s="46">
        <f>_xlfn.XLOOKUP(Scenarios3[[#This Row],[Reference '#]],ScenariosCombined[Reference '#],ScenariosCombined[Sharpe Rank])</f>
        <v>39</v>
      </c>
      <c r="X53" s="44">
        <f>IF(Scenarios3[[#This Row],[Eligible]],COUNTIFS(Scenarios3[Sharpe],"&gt;"&amp;Scenarios3[[#This Row],[Sharpe]],Scenarios3[Eligible],TRUE())+COUNTIFS(Scenarios3[Sharpe],Scenarios3[[#This Row],[Sharpe]],Scenarios3[Eligible],TRUE()),"")</f>
        <v>25</v>
      </c>
      <c r="Y5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25/20/20/15/20</v>
      </c>
      <c r="Z53" s="139">
        <f>_xlfn.XLOOKUP(Scenarios3[[#This Row],[Reference '#]],Scenarios1[Reference '#],Scenarios1[Sharpe Rank])</f>
        <v>46</v>
      </c>
      <c r="AA53" s="139">
        <f>_xlfn.XLOOKUP(Scenarios3[[#This Row],[Reference '#]],Scenarios2[Reference '#],Scenarios2[Sharpe Rank])</f>
        <v>42</v>
      </c>
      <c r="AB53" s="139">
        <f>Scenarios3[[#This Row],[Sharpe Rank]]</f>
        <v>25</v>
      </c>
      <c r="AC53"/>
      <c r="AD53"/>
      <c r="AE53"/>
      <c r="AF53" s="34"/>
      <c r="AG53" s="34"/>
    </row>
    <row r="54" spans="2:33" s="15" customFormat="1" x14ac:dyDescent="0.2">
      <c r="B54" s="71">
        <v>24</v>
      </c>
      <c r="C54" s="69">
        <v>0.4</v>
      </c>
      <c r="D54" s="69">
        <v>0.2</v>
      </c>
      <c r="E54" s="69">
        <v>0.1</v>
      </c>
      <c r="F54" s="69">
        <v>0.15</v>
      </c>
      <c r="G54" s="69">
        <v>0.15</v>
      </c>
      <c r="H54" s="69">
        <f>SUMPRODUCT(Scenarios3[[#This Row],[SPY]:[PE]],_xlfn.TOROW(AssetSpecsScenario3[Annualized Return]))</f>
        <v>9.5244683019899537E-2</v>
      </c>
      <c r="I54" s="69" cm="1">
        <f t="array" ref="I54">SQRT(MMULT(MMULT(Scenarios3[[#This Row],[SPY]:[PE]], 'Corr_Cov 36- Month'!$J$13:$N$17), TRANSPOSE(Scenarios3[[#This Row],[SPY]:[PE]])))</f>
        <v>8.3047670736612664E-2</v>
      </c>
      <c r="J54" s="70">
        <f>(Scenarios3[[#This Row],[Expected Return]]-RiskFree)/Scenarios3[[#This Row],[36M Vol]]</f>
        <v>0.58086069165425891</v>
      </c>
      <c r="K54" s="107" cm="1">
        <f t="array" ref="K54">MIN(_xlfn._xlws.FILTER(PortfolioFrontier[#Data],(PortfolioFrontier[#Headers]="P"&amp;Scenarios3[[#This Row],[Reference '#]]&amp;" DD")))</f>
        <v>-0.17919674215818437</v>
      </c>
      <c r="L54" s="69">
        <f>SUM(Scenarios3[[#This Row],[SPY]:[VNQ]])</f>
        <v>0.85000000000000009</v>
      </c>
      <c r="M54" s="69">
        <f>SUM(Scenarios3[[#This Row],[SPY]:[PE]])</f>
        <v>1</v>
      </c>
      <c r="N54" s="71" t="b">
        <f>Scenarios3[[#This Row],[SPY]]&gt;=SpyMin</f>
        <v>1</v>
      </c>
      <c r="O54" s="71" t="b">
        <f>Scenarios3[[#This Row],[AGG]]&gt;=AGGMin</f>
        <v>1</v>
      </c>
      <c r="P54" s="71" t="b">
        <f>AND(Scenarios3[[#This Row],[GLD]]&gt;=GLDMin,Scenarios3[[#This Row],[GLD]]&lt;=GLDMax)</f>
        <v>1</v>
      </c>
      <c r="Q54" s="71" t="b">
        <f>Scenarios3[[#This Row],[VNQ]]&gt;=VNQMin</f>
        <v>1</v>
      </c>
      <c r="R54" s="71" t="b">
        <f>AND(Scenarios3[[#This Row],[PE]]&gt;=PEMin,Scenarios3[[#This Row],[PE]]&lt;=PEMax)</f>
        <v>1</v>
      </c>
      <c r="S54" s="71" t="b">
        <f>Scenarios3[[#This Row],[Liquid Assets]]&gt;=LiquidMin</f>
        <v>1</v>
      </c>
      <c r="T54" s="71" t="b">
        <f>AND(Scenarios3[[#This Row],[Expected Return]]&gt;=ExpectedReturnMin,Scenarios3[[#This Row],[Expected Return]]&lt;=ExpectedReturnMax)</f>
        <v>1</v>
      </c>
      <c r="U54" s="71" t="b">
        <f>Scenarios3[[#This Row],[Max Drawdown]]&gt;=DrawdownMax</f>
        <v>1</v>
      </c>
      <c r="V5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4" s="46">
        <f>_xlfn.XLOOKUP(Scenarios3[[#This Row],[Reference '#]],ScenariosCombined[Reference '#],ScenariosCombined[Sharpe Rank])</f>
        <v>31</v>
      </c>
      <c r="X54" s="44">
        <f>IF(Scenarios3[[#This Row],[Eligible]],COUNTIFS(Scenarios3[Sharpe],"&gt;"&amp;Scenarios3[[#This Row],[Sharpe]],Scenarios3[Eligible],TRUE())+COUNTIFS(Scenarios3[Sharpe],Scenarios3[[#This Row],[Sharpe]],Scenarios3[Eligible],TRUE()),"")</f>
        <v>26</v>
      </c>
      <c r="Y5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40/20/10/15/15</v>
      </c>
      <c r="Z54" s="139">
        <f>_xlfn.XLOOKUP(Scenarios3[[#This Row],[Reference '#]],Scenarios1[Reference '#],Scenarios1[Sharpe Rank])</f>
        <v>33</v>
      </c>
      <c r="AA54" s="139">
        <f>_xlfn.XLOOKUP(Scenarios3[[#This Row],[Reference '#]],Scenarios2[Reference '#],Scenarios2[Sharpe Rank])</f>
        <v>31</v>
      </c>
      <c r="AB54" s="139">
        <f>Scenarios3[[#This Row],[Sharpe Rank]]</f>
        <v>26</v>
      </c>
      <c r="AC54"/>
      <c r="AD54"/>
      <c r="AE54"/>
      <c r="AF54" s="34"/>
      <c r="AG54" s="34"/>
    </row>
    <row r="55" spans="2:33" s="15" customFormat="1" x14ac:dyDescent="0.2">
      <c r="B55" s="71">
        <v>84</v>
      </c>
      <c r="C55" s="69">
        <v>0.3</v>
      </c>
      <c r="D55" s="69">
        <v>0.2</v>
      </c>
      <c r="E55" s="69">
        <v>0.15</v>
      </c>
      <c r="F55" s="69">
        <v>0.15</v>
      </c>
      <c r="G55" s="69">
        <v>0.2</v>
      </c>
      <c r="H55" s="69">
        <f>SUMPRODUCT(Scenarios3[[#This Row],[SPY]:[PE]],_xlfn.TOROW(AssetSpecsScenario3[Annualized Return]))</f>
        <v>9.0565608231445716E-2</v>
      </c>
      <c r="I55" s="69" cm="1">
        <f t="array" ref="I55">SQRT(MMULT(MMULT(Scenarios3[[#This Row],[SPY]:[PE]], 'Corr_Cov 36- Month'!$J$13:$N$17), TRANSPOSE(Scenarios3[[#This Row],[SPY]:[PE]])))</f>
        <v>7.5009250644505046E-2</v>
      </c>
      <c r="J55" s="70">
        <f>(Scenarios3[[#This Row],[Expected Return]]-RiskFree)/Scenarios3[[#This Row],[36M Vol]]</f>
        <v>0.58072907410229202</v>
      </c>
      <c r="K55" s="107" cm="1">
        <f t="array" ref="K55">MIN(_xlfn._xlws.FILTER(PortfolioFrontier[#Data],(PortfolioFrontier[#Headers]="P"&amp;Scenarios3[[#This Row],[Reference '#]]&amp;" DD")))</f>
        <v>-0.16027522551679685</v>
      </c>
      <c r="L55" s="69">
        <f>SUM(Scenarios3[[#This Row],[SPY]:[VNQ]])</f>
        <v>0.8</v>
      </c>
      <c r="M55" s="69">
        <f>SUM(Scenarios3[[#This Row],[SPY]:[PE]])</f>
        <v>1</v>
      </c>
      <c r="N55" s="71" t="b">
        <f>Scenarios3[[#This Row],[SPY]]&gt;=SpyMin</f>
        <v>1</v>
      </c>
      <c r="O55" s="71" t="b">
        <f>Scenarios3[[#This Row],[AGG]]&gt;=AGGMin</f>
        <v>1</v>
      </c>
      <c r="P55" s="71" t="b">
        <f>AND(Scenarios3[[#This Row],[GLD]]&gt;=GLDMin,Scenarios3[[#This Row],[GLD]]&lt;=GLDMax)</f>
        <v>1</v>
      </c>
      <c r="Q55" s="71" t="b">
        <f>Scenarios3[[#This Row],[VNQ]]&gt;=VNQMin</f>
        <v>1</v>
      </c>
      <c r="R55" s="71" t="b">
        <f>AND(Scenarios3[[#This Row],[PE]]&gt;=PEMin,Scenarios3[[#This Row],[PE]]&lt;=PEMax)</f>
        <v>1</v>
      </c>
      <c r="S55" s="71" t="b">
        <f>Scenarios3[[#This Row],[Liquid Assets]]&gt;=LiquidMin</f>
        <v>1</v>
      </c>
      <c r="T55" s="71" t="b">
        <f>AND(Scenarios3[[#This Row],[Expected Return]]&gt;=ExpectedReturnMin,Scenarios3[[#This Row],[Expected Return]]&lt;=ExpectedReturnMax)</f>
        <v>1</v>
      </c>
      <c r="U55" s="71" t="b">
        <f>Scenarios3[[#This Row],[Max Drawdown]]&gt;=DrawdownMax</f>
        <v>1</v>
      </c>
      <c r="V5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5" s="46">
        <f>_xlfn.XLOOKUP(Scenarios3[[#This Row],[Reference '#]],ScenariosCombined[Reference '#],ScenariosCombined[Sharpe Rank])</f>
        <v>38</v>
      </c>
      <c r="X55" s="44">
        <f>IF(Scenarios3[[#This Row],[Eligible]],COUNTIFS(Scenarios3[Sharpe],"&gt;"&amp;Scenarios3[[#This Row],[Sharpe]],Scenarios3[Eligible],TRUE())+COUNTIFS(Scenarios3[Sharpe],Scenarios3[[#This Row],[Sharpe]],Scenarios3[Eligible],TRUE()),"")</f>
        <v>27</v>
      </c>
      <c r="Y5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30/20/15/15/20</v>
      </c>
      <c r="Z55" s="139">
        <f>_xlfn.XLOOKUP(Scenarios3[[#This Row],[Reference '#]],Scenarios1[Reference '#],Scenarios1[Sharpe Rank])</f>
        <v>45</v>
      </c>
      <c r="AA55" s="139">
        <f>_xlfn.XLOOKUP(Scenarios3[[#This Row],[Reference '#]],Scenarios2[Reference '#],Scenarios2[Sharpe Rank])</f>
        <v>41</v>
      </c>
      <c r="AB55" s="139">
        <f>Scenarios3[[#This Row],[Sharpe Rank]]</f>
        <v>27</v>
      </c>
      <c r="AC55"/>
      <c r="AD55"/>
      <c r="AE55"/>
      <c r="AF55" s="34"/>
      <c r="AG55" s="34"/>
    </row>
    <row r="56" spans="2:33" s="15" customFormat="1" x14ac:dyDescent="0.2">
      <c r="B56" s="71">
        <v>28</v>
      </c>
      <c r="C56" s="69">
        <v>0.4</v>
      </c>
      <c r="D56" s="69">
        <v>0.15</v>
      </c>
      <c r="E56" s="69">
        <v>0.15</v>
      </c>
      <c r="F56" s="69">
        <v>0.2</v>
      </c>
      <c r="G56" s="69">
        <v>0.1</v>
      </c>
      <c r="H56" s="69">
        <f>SUMPRODUCT(Scenarios3[[#This Row],[SPY]:[PE]],_xlfn.TOROW(AssetSpecsScenario3[Annualized Return]))</f>
        <v>9.9291947606978501E-2</v>
      </c>
      <c r="I56" s="69" cm="1">
        <f t="array" ref="I56">SQRT(MMULT(MMULT(Scenarios3[[#This Row],[SPY]:[PE]], 'Corr_Cov 36- Month'!$J$13:$N$17), TRANSPOSE(Scenarios3[[#This Row],[SPY]:[PE]])))</f>
        <v>9.010800621736445E-2</v>
      </c>
      <c r="J56" s="70">
        <f>(Scenarios3[[#This Row],[Expected Return]]-RiskFree)/Scenarios3[[#This Row],[36M Vol]]</f>
        <v>0.58026355533041407</v>
      </c>
      <c r="K56" s="107" cm="1">
        <f t="array" ref="K56">MIN(_xlfn._xlws.FILTER(PortfolioFrontier[#Data],(PortfolioFrontier[#Headers]="P"&amp;Scenarios3[[#This Row],[Reference '#]]&amp;" DD")))</f>
        <v>-0.1911524096507079</v>
      </c>
      <c r="L56" s="69">
        <f>SUM(Scenarios3[[#This Row],[SPY]:[VNQ]])</f>
        <v>0.90000000000000013</v>
      </c>
      <c r="M56" s="69">
        <f>SUM(Scenarios3[[#This Row],[SPY]:[PE]])</f>
        <v>1.0000000000000002</v>
      </c>
      <c r="N56" s="71" t="b">
        <f>Scenarios3[[#This Row],[SPY]]&gt;=SpyMin</f>
        <v>1</v>
      </c>
      <c r="O56" s="71" t="b">
        <f>Scenarios3[[#This Row],[AGG]]&gt;=AGGMin</f>
        <v>1</v>
      </c>
      <c r="P56" s="71" t="b">
        <f>AND(Scenarios3[[#This Row],[GLD]]&gt;=GLDMin,Scenarios3[[#This Row],[GLD]]&lt;=GLDMax)</f>
        <v>1</v>
      </c>
      <c r="Q56" s="71" t="b">
        <f>Scenarios3[[#This Row],[VNQ]]&gt;=VNQMin</f>
        <v>1</v>
      </c>
      <c r="R56" s="71" t="b">
        <f>AND(Scenarios3[[#This Row],[PE]]&gt;=PEMin,Scenarios3[[#This Row],[PE]]&lt;=PEMax)</f>
        <v>1</v>
      </c>
      <c r="S56" s="71" t="b">
        <f>Scenarios3[[#This Row],[Liquid Assets]]&gt;=LiquidMin</f>
        <v>1</v>
      </c>
      <c r="T56" s="71" t="b">
        <f>AND(Scenarios3[[#This Row],[Expected Return]]&gt;=ExpectedReturnMin,Scenarios3[[#This Row],[Expected Return]]&lt;=ExpectedReturnMax)</f>
        <v>1</v>
      </c>
      <c r="U56" s="71" t="b">
        <f>Scenarios3[[#This Row],[Max Drawdown]]&gt;=DrawdownMax</f>
        <v>1</v>
      </c>
      <c r="V5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6" s="46">
        <f>_xlfn.XLOOKUP(Scenarios3[[#This Row],[Reference '#]],ScenariosCombined[Reference '#],ScenariosCombined[Sharpe Rank])</f>
        <v>27</v>
      </c>
      <c r="X56" s="44">
        <f>IF(Scenarios3[[#This Row],[Eligible]],COUNTIFS(Scenarios3[Sharpe],"&gt;"&amp;Scenarios3[[#This Row],[Sharpe]],Scenarios3[Eligible],TRUE())+COUNTIFS(Scenarios3[Sharpe],Scenarios3[[#This Row],[Sharpe]],Scenarios3[Eligible],TRUE()),"")</f>
        <v>28</v>
      </c>
      <c r="Y5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40/15/15/20/10</v>
      </c>
      <c r="Z56" s="139">
        <f>_xlfn.XLOOKUP(Scenarios3[[#This Row],[Reference '#]],Scenarios1[Reference '#],Scenarios1[Sharpe Rank])</f>
        <v>26</v>
      </c>
      <c r="AA56" s="139">
        <f>_xlfn.XLOOKUP(Scenarios3[[#This Row],[Reference '#]],Scenarios2[Reference '#],Scenarios2[Sharpe Rank])</f>
        <v>26</v>
      </c>
      <c r="AB56" s="139">
        <f>Scenarios3[[#This Row],[Sharpe Rank]]</f>
        <v>28</v>
      </c>
      <c r="AC56"/>
      <c r="AD56"/>
      <c r="AE56"/>
      <c r="AF56" s="34"/>
      <c r="AG56" s="34"/>
    </row>
    <row r="57" spans="2:33" s="15" customFormat="1" x14ac:dyDescent="0.2">
      <c r="B57" s="71">
        <v>89</v>
      </c>
      <c r="C57" s="69">
        <v>0.3</v>
      </c>
      <c r="D57" s="69">
        <v>0.15</v>
      </c>
      <c r="E57" s="69">
        <v>0.2</v>
      </c>
      <c r="F57" s="69">
        <v>0.2</v>
      </c>
      <c r="G57" s="69">
        <v>0.15</v>
      </c>
      <c r="H57" s="69">
        <f>SUMPRODUCT(Scenarios3[[#This Row],[SPY]:[PE]],_xlfn.TOROW(AssetSpecsScenario3[Annualized Return]))</f>
        <v>9.4612872818524679E-2</v>
      </c>
      <c r="I57" s="69" cm="1">
        <f t="array" ref="I57">SQRT(MMULT(MMULT(Scenarios3[[#This Row],[SPY]:[PE]], 'Corr_Cov 36- Month'!$J$13:$N$17), TRANSPOSE(Scenarios3[[#This Row],[SPY]:[PE]])))</f>
        <v>8.2677016505143114E-2</v>
      </c>
      <c r="J57" s="70">
        <f>(Scenarios3[[#This Row],[Expected Return]]-RiskFree)/Scenarios3[[#This Row],[36M Vol]]</f>
        <v>0.57582287406328458</v>
      </c>
      <c r="K57" s="107" cm="1">
        <f t="array" ref="K57">MIN(_xlfn._xlws.FILTER(PortfolioFrontier[#Data],(PortfolioFrontier[#Headers]="P"&amp;Scenarios3[[#This Row],[Reference '#]]&amp;" DD")))</f>
        <v>-0.17235839363109051</v>
      </c>
      <c r="L57" s="69">
        <f>SUM(Scenarios3[[#This Row],[SPY]:[VNQ]])</f>
        <v>0.84999999999999987</v>
      </c>
      <c r="M57" s="69">
        <f>SUM(Scenarios3[[#This Row],[SPY]:[PE]])</f>
        <v>0.99999999999999989</v>
      </c>
      <c r="N57" s="71" t="b">
        <f>Scenarios3[[#This Row],[SPY]]&gt;=SpyMin</f>
        <v>1</v>
      </c>
      <c r="O57" s="71" t="b">
        <f>Scenarios3[[#This Row],[AGG]]&gt;=AGGMin</f>
        <v>1</v>
      </c>
      <c r="P57" s="71" t="b">
        <f>AND(Scenarios3[[#This Row],[GLD]]&gt;=GLDMin,Scenarios3[[#This Row],[GLD]]&lt;=GLDMax)</f>
        <v>1</v>
      </c>
      <c r="Q57" s="71" t="b">
        <f>Scenarios3[[#This Row],[VNQ]]&gt;=VNQMin</f>
        <v>1</v>
      </c>
      <c r="R57" s="71" t="b">
        <f>AND(Scenarios3[[#This Row],[PE]]&gt;=PEMin,Scenarios3[[#This Row],[PE]]&lt;=PEMax)</f>
        <v>1</v>
      </c>
      <c r="S57" s="71" t="b">
        <f>Scenarios3[[#This Row],[Liquid Assets]]&gt;=LiquidMin</f>
        <v>1</v>
      </c>
      <c r="T57" s="71" t="b">
        <f>AND(Scenarios3[[#This Row],[Expected Return]]&gt;=ExpectedReturnMin,Scenarios3[[#This Row],[Expected Return]]&lt;=ExpectedReturnMax)</f>
        <v>1</v>
      </c>
      <c r="U57" s="71" t="b">
        <f>Scenarios3[[#This Row],[Max Drawdown]]&gt;=DrawdownMax</f>
        <v>1</v>
      </c>
      <c r="V5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7" s="46">
        <f>_xlfn.XLOOKUP(Scenarios3[[#This Row],[Reference '#]],ScenariosCombined[Reference '#],ScenariosCombined[Sharpe Rank])</f>
        <v>34</v>
      </c>
      <c r="X57" s="44">
        <f>IF(Scenarios3[[#This Row],[Eligible]],COUNTIFS(Scenarios3[Sharpe],"&gt;"&amp;Scenarios3[[#This Row],[Sharpe]],Scenarios3[Eligible],TRUE())+COUNTIFS(Scenarios3[Sharpe],Scenarios3[[#This Row],[Sharpe]],Scenarios3[Eligible],TRUE()),"")</f>
        <v>29</v>
      </c>
      <c r="Y5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30/15/20/20/15</v>
      </c>
      <c r="Z57" s="139">
        <f>_xlfn.XLOOKUP(Scenarios3[[#This Row],[Reference '#]],Scenarios1[Reference '#],Scenarios1[Sharpe Rank])</f>
        <v>34</v>
      </c>
      <c r="AA57" s="139">
        <f>_xlfn.XLOOKUP(Scenarios3[[#This Row],[Reference '#]],Scenarios2[Reference '#],Scenarios2[Sharpe Rank])</f>
        <v>32</v>
      </c>
      <c r="AB57" s="139">
        <f>Scenarios3[[#This Row],[Sharpe Rank]]</f>
        <v>29</v>
      </c>
      <c r="AC57"/>
      <c r="AD57"/>
      <c r="AE57"/>
      <c r="AF57" s="34"/>
      <c r="AG57" s="34"/>
    </row>
    <row r="58" spans="2:33" s="15" customFormat="1" x14ac:dyDescent="0.2">
      <c r="B58" s="71">
        <v>56</v>
      </c>
      <c r="C58" s="69">
        <v>0.35</v>
      </c>
      <c r="D58" s="69">
        <v>0.15</v>
      </c>
      <c r="E58" s="69">
        <v>0.15</v>
      </c>
      <c r="F58" s="69">
        <v>0.2</v>
      </c>
      <c r="G58" s="69">
        <v>0.15</v>
      </c>
      <c r="H58" s="69">
        <f>SUMPRODUCT(Scenarios3[[#This Row],[SPY]:[PE]],_xlfn.TOROW(AssetSpecsScenario3[Annualized Return]))</f>
        <v>9.5720647592293831E-2</v>
      </c>
      <c r="I58" s="69" cm="1">
        <f t="array" ref="I58">SQRT(MMULT(MMULT(Scenarios3[[#This Row],[SPY]:[PE]], 'Corr_Cov 36- Month'!$J$13:$N$17), TRANSPOSE(Scenarios3[[#This Row],[SPY]:[PE]])))</f>
        <v>8.5078002012138693E-2</v>
      </c>
      <c r="J58" s="70">
        <f>(Scenarios3[[#This Row],[Expected Return]]-RiskFree)/Scenarios3[[#This Row],[36M Vol]]</f>
        <v>0.57259327775219437</v>
      </c>
      <c r="K58" s="107" cm="1">
        <f t="array" ref="K58">MIN(_xlfn._xlws.FILTER(PortfolioFrontier[#Data],(PortfolioFrontier[#Headers]="P"&amp;Scenarios3[[#This Row],[Reference '#]]&amp;" DD")))</f>
        <v>-0.17964551741147883</v>
      </c>
      <c r="L58" s="69">
        <f>SUM(Scenarios3[[#This Row],[SPY]:[VNQ]])</f>
        <v>0.85000000000000009</v>
      </c>
      <c r="M58" s="69">
        <f>SUM(Scenarios3[[#This Row],[SPY]:[PE]])</f>
        <v>1</v>
      </c>
      <c r="N58" s="71" t="b">
        <f>Scenarios3[[#This Row],[SPY]]&gt;=SpyMin</f>
        <v>1</v>
      </c>
      <c r="O58" s="71" t="b">
        <f>Scenarios3[[#This Row],[AGG]]&gt;=AGGMin</f>
        <v>1</v>
      </c>
      <c r="P58" s="71" t="b">
        <f>AND(Scenarios3[[#This Row],[GLD]]&gt;=GLDMin,Scenarios3[[#This Row],[GLD]]&lt;=GLDMax)</f>
        <v>1</v>
      </c>
      <c r="Q58" s="71" t="b">
        <f>Scenarios3[[#This Row],[VNQ]]&gt;=VNQMin</f>
        <v>1</v>
      </c>
      <c r="R58" s="71" t="b">
        <f>AND(Scenarios3[[#This Row],[PE]]&gt;=PEMin,Scenarios3[[#This Row],[PE]]&lt;=PEMax)</f>
        <v>1</v>
      </c>
      <c r="S58" s="71" t="b">
        <f>Scenarios3[[#This Row],[Liquid Assets]]&gt;=LiquidMin</f>
        <v>1</v>
      </c>
      <c r="T58" s="71" t="b">
        <f>AND(Scenarios3[[#This Row],[Expected Return]]&gt;=ExpectedReturnMin,Scenarios3[[#This Row],[Expected Return]]&lt;=ExpectedReturnMax)</f>
        <v>1</v>
      </c>
      <c r="U58" s="71" t="b">
        <f>Scenarios3[[#This Row],[Max Drawdown]]&gt;=DrawdownMax</f>
        <v>1</v>
      </c>
      <c r="V5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8" s="46">
        <f>_xlfn.XLOOKUP(Scenarios3[[#This Row],[Reference '#]],ScenariosCombined[Reference '#],ScenariosCombined[Sharpe Rank])</f>
        <v>35</v>
      </c>
      <c r="X58" s="44">
        <f>IF(Scenarios3[[#This Row],[Eligible]],COUNTIFS(Scenarios3[Sharpe],"&gt;"&amp;Scenarios3[[#This Row],[Sharpe]],Scenarios3[Eligible],TRUE())+COUNTIFS(Scenarios3[Sharpe],Scenarios3[[#This Row],[Sharpe]],Scenarios3[Eligible],TRUE()),"")</f>
        <v>30</v>
      </c>
      <c r="Y5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35/15/15/20/15</v>
      </c>
      <c r="Z58" s="139">
        <f>_xlfn.XLOOKUP(Scenarios3[[#This Row],[Reference '#]],Scenarios1[Reference '#],Scenarios1[Sharpe Rank])</f>
        <v>35</v>
      </c>
      <c r="AA58" s="139">
        <f>_xlfn.XLOOKUP(Scenarios3[[#This Row],[Reference '#]],Scenarios2[Reference '#],Scenarios2[Sharpe Rank])</f>
        <v>33</v>
      </c>
      <c r="AB58" s="139">
        <f>Scenarios3[[#This Row],[Sharpe Rank]]</f>
        <v>30</v>
      </c>
      <c r="AC58"/>
      <c r="AD58"/>
      <c r="AE58"/>
      <c r="AF58" s="34"/>
      <c r="AG58" s="34"/>
    </row>
    <row r="59" spans="2:33" s="15" customFormat="1" x14ac:dyDescent="0.2">
      <c r="B59" s="71">
        <v>51</v>
      </c>
      <c r="C59" s="69">
        <v>0.35</v>
      </c>
      <c r="D59" s="69">
        <v>0.2</v>
      </c>
      <c r="E59" s="69">
        <v>0.1</v>
      </c>
      <c r="F59" s="69">
        <v>0.15</v>
      </c>
      <c r="G59" s="69">
        <v>0.2</v>
      </c>
      <c r="H59" s="69">
        <f>SUMPRODUCT(Scenarios3[[#This Row],[SPY]:[PE]],_xlfn.TOROW(AssetSpecsScenario3[Annualized Return]))</f>
        <v>9.1673383005214854E-2</v>
      </c>
      <c r="I59" s="69" cm="1">
        <f t="array" ref="I59">SQRT(MMULT(MMULT(Scenarios3[[#This Row],[SPY]:[PE]], 'Corr_Cov 36- Month'!$J$13:$N$17), TRANSPOSE(Scenarios3[[#This Row],[SPY]:[PE]])))</f>
        <v>7.8050498549364591E-2</v>
      </c>
      <c r="J59" s="70">
        <f>(Scenarios3[[#This Row],[Expected Return]]-RiskFree)/Scenarios3[[#This Row],[36M Vol]]</f>
        <v>0.57229394148466906</v>
      </c>
      <c r="K59" s="107" cm="1">
        <f t="array" ref="K59">MIN(_xlfn._xlws.FILTER(PortfolioFrontier[#Data],(PortfolioFrontier[#Headers]="P"&amp;Scenarios3[[#This Row],[Reference '#]]&amp;" DD")))</f>
        <v>-0.16761603397906266</v>
      </c>
      <c r="L59" s="69">
        <f>SUM(Scenarios3[[#This Row],[SPY]:[VNQ]])</f>
        <v>0.8</v>
      </c>
      <c r="M59" s="69">
        <f>SUM(Scenarios3[[#This Row],[SPY]:[PE]])</f>
        <v>1</v>
      </c>
      <c r="N59" s="71" t="b">
        <f>Scenarios3[[#This Row],[SPY]]&gt;=SpyMin</f>
        <v>1</v>
      </c>
      <c r="O59" s="71" t="b">
        <f>Scenarios3[[#This Row],[AGG]]&gt;=AGGMin</f>
        <v>1</v>
      </c>
      <c r="P59" s="71" t="b">
        <f>AND(Scenarios3[[#This Row],[GLD]]&gt;=GLDMin,Scenarios3[[#This Row],[GLD]]&lt;=GLDMax)</f>
        <v>1</v>
      </c>
      <c r="Q59" s="71" t="b">
        <f>Scenarios3[[#This Row],[VNQ]]&gt;=VNQMin</f>
        <v>1</v>
      </c>
      <c r="R59" s="71" t="b">
        <f>AND(Scenarios3[[#This Row],[PE]]&gt;=PEMin,Scenarios3[[#This Row],[PE]]&lt;=PEMax)</f>
        <v>1</v>
      </c>
      <c r="S59" s="71" t="b">
        <f>Scenarios3[[#This Row],[Liquid Assets]]&gt;=LiquidMin</f>
        <v>1</v>
      </c>
      <c r="T59" s="71" t="b">
        <f>AND(Scenarios3[[#This Row],[Expected Return]]&gt;=ExpectedReturnMin,Scenarios3[[#This Row],[Expected Return]]&lt;=ExpectedReturnMax)</f>
        <v>1</v>
      </c>
      <c r="U59" s="71" t="b">
        <f>Scenarios3[[#This Row],[Max Drawdown]]&gt;=DrawdownMax</f>
        <v>1</v>
      </c>
      <c r="V5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59" s="46">
        <f>_xlfn.XLOOKUP(Scenarios3[[#This Row],[Reference '#]],ScenariosCombined[Reference '#],ScenariosCombined[Sharpe Rank])</f>
        <v>42</v>
      </c>
      <c r="X59" s="44">
        <f>IF(Scenarios3[[#This Row],[Eligible]],COUNTIFS(Scenarios3[Sharpe],"&gt;"&amp;Scenarios3[[#This Row],[Sharpe]],Scenarios3[Eligible],TRUE())+COUNTIFS(Scenarios3[Sharpe],Scenarios3[[#This Row],[Sharpe]],Scenarios3[Eligible],TRUE()),"")</f>
        <v>31</v>
      </c>
      <c r="Y5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35/20/10/15/20</v>
      </c>
      <c r="Z59" s="139">
        <f>_xlfn.XLOOKUP(Scenarios3[[#This Row],[Reference '#]],Scenarios1[Reference '#],Scenarios1[Sharpe Rank])</f>
        <v>48</v>
      </c>
      <c r="AA59" s="139">
        <f>_xlfn.XLOOKUP(Scenarios3[[#This Row],[Reference '#]],Scenarios2[Reference '#],Scenarios2[Sharpe Rank])</f>
        <v>45</v>
      </c>
      <c r="AB59" s="139">
        <f>Scenarios3[[#This Row],[Sharpe Rank]]</f>
        <v>31</v>
      </c>
      <c r="AC59"/>
      <c r="AD59"/>
      <c r="AE59"/>
      <c r="AF59" s="34"/>
      <c r="AG59" s="34"/>
    </row>
    <row r="60" spans="2:33" s="15" customFormat="1" x14ac:dyDescent="0.2">
      <c r="B60" s="71">
        <v>13</v>
      </c>
      <c r="C60" s="69">
        <v>0.45</v>
      </c>
      <c r="D60" s="69">
        <v>0.15</v>
      </c>
      <c r="E60" s="69">
        <v>0.1</v>
      </c>
      <c r="F60" s="69">
        <v>0.2</v>
      </c>
      <c r="G60" s="69">
        <v>0.1</v>
      </c>
      <c r="H60" s="69">
        <f>SUMPRODUCT(Scenarios3[[#This Row],[SPY]:[PE]],_xlfn.TOROW(AssetSpecsScenario3[Annualized Return]))</f>
        <v>0.10039972238074767</v>
      </c>
      <c r="I60" s="69" cm="1">
        <f t="array" ref="I60">SQRT(MMULT(MMULT(Scenarios3[[#This Row],[SPY]:[PE]], 'Corr_Cov 36- Month'!$J$13:$N$17), TRANSPOSE(Scenarios3[[#This Row],[SPY]:[PE]])))</f>
        <v>9.3522222759865978E-2</v>
      </c>
      <c r="J60" s="70">
        <f>(Scenarios3[[#This Row],[Expected Return]]-RiskFree)/Scenarios3[[#This Row],[36M Vol]]</f>
        <v>0.57092491227770126</v>
      </c>
      <c r="K60" s="107" cm="1">
        <f t="array" ref="K60">MIN(_xlfn._xlws.FILTER(PortfolioFrontier[#Data],(PortfolioFrontier[#Headers]="P"&amp;Scenarios3[[#This Row],[Reference '#]]&amp;" DD")))</f>
        <v>-0.1984378230080508</v>
      </c>
      <c r="L60" s="69">
        <f>SUM(Scenarios3[[#This Row],[SPY]:[VNQ]])</f>
        <v>0.89999999999999991</v>
      </c>
      <c r="M60" s="69">
        <f>SUM(Scenarios3[[#This Row],[SPY]:[PE]])</f>
        <v>0.99999999999999989</v>
      </c>
      <c r="N60" s="71" t="b">
        <f>Scenarios3[[#This Row],[SPY]]&gt;=SpyMin</f>
        <v>1</v>
      </c>
      <c r="O60" s="71" t="b">
        <f>Scenarios3[[#This Row],[AGG]]&gt;=AGGMin</f>
        <v>1</v>
      </c>
      <c r="P60" s="71" t="b">
        <f>AND(Scenarios3[[#This Row],[GLD]]&gt;=GLDMin,Scenarios3[[#This Row],[GLD]]&lt;=GLDMax)</f>
        <v>1</v>
      </c>
      <c r="Q60" s="71" t="b">
        <f>Scenarios3[[#This Row],[VNQ]]&gt;=VNQMin</f>
        <v>1</v>
      </c>
      <c r="R60" s="71" t="b">
        <f>AND(Scenarios3[[#This Row],[PE]]&gt;=PEMin,Scenarios3[[#This Row],[PE]]&lt;=PEMax)</f>
        <v>1</v>
      </c>
      <c r="S60" s="71" t="b">
        <f>Scenarios3[[#This Row],[Liquid Assets]]&gt;=LiquidMin</f>
        <v>1</v>
      </c>
      <c r="T60" s="71" t="b">
        <f>AND(Scenarios3[[#This Row],[Expected Return]]&gt;=ExpectedReturnMin,Scenarios3[[#This Row],[Expected Return]]&lt;=ExpectedReturnMax)</f>
        <v>0</v>
      </c>
      <c r="U60" s="71" t="b">
        <f>Scenarios3[[#This Row],[Max Drawdown]]&gt;=DrawdownMax</f>
        <v>1</v>
      </c>
      <c r="V6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60" s="46">
        <f>_xlfn.XLOOKUP(Scenarios3[[#This Row],[Reference '#]],ScenariosCombined[Reference '#],ScenariosCombined[Sharpe Rank])</f>
        <v>30</v>
      </c>
      <c r="X60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6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45/15/10/20/10</v>
      </c>
      <c r="Z60" s="139">
        <f>_xlfn.XLOOKUP(Scenarios3[[#This Row],[Reference '#]],Scenarios1[Reference '#],Scenarios1[Sharpe Rank])</f>
        <v>29</v>
      </c>
      <c r="AA60" s="139">
        <f>_xlfn.XLOOKUP(Scenarios3[[#This Row],[Reference '#]],Scenarios2[Reference '#],Scenarios2[Sharpe Rank])</f>
        <v>28</v>
      </c>
      <c r="AB60" s="139" t="str">
        <f>Scenarios3[[#This Row],[Sharpe Rank]]</f>
        <v/>
      </c>
      <c r="AC60"/>
      <c r="AD60"/>
      <c r="AE60"/>
      <c r="AF60" s="34"/>
      <c r="AG60" s="34"/>
    </row>
    <row r="61" spans="2:33" s="15" customFormat="1" x14ac:dyDescent="0.2">
      <c r="B61" s="71">
        <v>135</v>
      </c>
      <c r="C61" s="69">
        <v>0.25</v>
      </c>
      <c r="D61" s="69">
        <v>0.15</v>
      </c>
      <c r="E61" s="69">
        <v>0.2</v>
      </c>
      <c r="F61" s="69">
        <v>0.2</v>
      </c>
      <c r="G61" s="69">
        <v>0.2</v>
      </c>
      <c r="H61" s="69">
        <f>SUMPRODUCT(Scenarios3[[#This Row],[SPY]:[PE]],_xlfn.TOROW(AssetSpecsScenario3[Annualized Return]))</f>
        <v>9.1041572803840023E-2</v>
      </c>
      <c r="I61" s="69" cm="1">
        <f t="array" ref="I61">SQRT(MMULT(MMULT(Scenarios3[[#This Row],[SPY]:[PE]], 'Corr_Cov 36- Month'!$J$13:$N$17), TRANSPOSE(Scenarios3[[#This Row],[SPY]:[PE]])))</f>
        <v>7.8019210560232755E-2</v>
      </c>
      <c r="J61" s="70">
        <f>(Scenarios3[[#This Row],[Expected Return]]-RiskFree)/Scenarios3[[#This Row],[36M Vol]]</f>
        <v>0.56442531181839606</v>
      </c>
      <c r="K61" s="107" cm="1">
        <f t="array" ref="K61">MIN(_xlfn._xlws.FILTER(PortfolioFrontier[#Data],(PortfolioFrontier[#Headers]="P"&amp;Scenarios3[[#This Row],[Reference '#]]&amp;" DD")))</f>
        <v>-0.16078244493257399</v>
      </c>
      <c r="L61" s="69">
        <f>SUM(Scenarios3[[#This Row],[SPY]:[VNQ]])</f>
        <v>0.8</v>
      </c>
      <c r="M61" s="69">
        <f>SUM(Scenarios3[[#This Row],[SPY]:[PE]])</f>
        <v>1</v>
      </c>
      <c r="N61" s="71" t="b">
        <f>Scenarios3[[#This Row],[SPY]]&gt;=SpyMin</f>
        <v>1</v>
      </c>
      <c r="O61" s="71" t="b">
        <f>Scenarios3[[#This Row],[AGG]]&gt;=AGGMin</f>
        <v>1</v>
      </c>
      <c r="P61" s="71" t="b">
        <f>AND(Scenarios3[[#This Row],[GLD]]&gt;=GLDMin,Scenarios3[[#This Row],[GLD]]&lt;=GLDMax)</f>
        <v>1</v>
      </c>
      <c r="Q61" s="71" t="b">
        <f>Scenarios3[[#This Row],[VNQ]]&gt;=VNQMin</f>
        <v>1</v>
      </c>
      <c r="R61" s="71" t="b">
        <f>AND(Scenarios3[[#This Row],[PE]]&gt;=PEMin,Scenarios3[[#This Row],[PE]]&lt;=PEMax)</f>
        <v>1</v>
      </c>
      <c r="S61" s="71" t="b">
        <f>Scenarios3[[#This Row],[Liquid Assets]]&gt;=LiquidMin</f>
        <v>1</v>
      </c>
      <c r="T61" s="71" t="b">
        <f>AND(Scenarios3[[#This Row],[Expected Return]]&gt;=ExpectedReturnMin,Scenarios3[[#This Row],[Expected Return]]&lt;=ExpectedReturnMax)</f>
        <v>1</v>
      </c>
      <c r="U61" s="71" t="b">
        <f>Scenarios3[[#This Row],[Max Drawdown]]&gt;=DrawdownMax</f>
        <v>1</v>
      </c>
      <c r="V6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1" s="46">
        <f>_xlfn.XLOOKUP(Scenarios3[[#This Row],[Reference '#]],ScenariosCombined[Reference '#],ScenariosCombined[Sharpe Rank])</f>
        <v>44</v>
      </c>
      <c r="X61" s="44">
        <f>IF(Scenarios3[[#This Row],[Eligible]],COUNTIFS(Scenarios3[Sharpe],"&gt;"&amp;Scenarios3[[#This Row],[Sharpe]],Scenarios3[Eligible],TRUE())+COUNTIFS(Scenarios3[Sharpe],Scenarios3[[#This Row],[Sharpe]],Scenarios3[Eligible],TRUE()),"")</f>
        <v>32</v>
      </c>
      <c r="Y6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25/15/20/20/20</v>
      </c>
      <c r="Z61" s="139">
        <f>_xlfn.XLOOKUP(Scenarios3[[#This Row],[Reference '#]],Scenarios1[Reference '#],Scenarios1[Sharpe Rank])</f>
        <v>52</v>
      </c>
      <c r="AA61" s="139">
        <f>_xlfn.XLOOKUP(Scenarios3[[#This Row],[Reference '#]],Scenarios2[Reference '#],Scenarios2[Sharpe Rank])</f>
        <v>48</v>
      </c>
      <c r="AB61" s="139">
        <f>Scenarios3[[#This Row],[Sharpe Rank]]</f>
        <v>32</v>
      </c>
      <c r="AC61"/>
      <c r="AD61"/>
      <c r="AE61"/>
      <c r="AF61" s="34"/>
      <c r="AG61" s="34"/>
    </row>
    <row r="62" spans="2:33" s="15" customFormat="1" x14ac:dyDescent="0.2">
      <c r="B62" s="71">
        <v>32</v>
      </c>
      <c r="C62" s="69">
        <v>0.4</v>
      </c>
      <c r="D62" s="69">
        <v>0.15</v>
      </c>
      <c r="E62" s="69">
        <v>0.1</v>
      </c>
      <c r="F62" s="69">
        <v>0.2</v>
      </c>
      <c r="G62" s="69">
        <v>0.15</v>
      </c>
      <c r="H62" s="69">
        <f>SUMPRODUCT(Scenarios3[[#This Row],[SPY]:[PE]],_xlfn.TOROW(AssetSpecsScenario3[Annualized Return]))</f>
        <v>9.6828422366063011E-2</v>
      </c>
      <c r="I62" s="69" cm="1">
        <f t="array" ref="I62">SQRT(MMULT(MMULT(Scenarios3[[#This Row],[SPY]:[PE]], 'Corr_Cov 36- Month'!$J$13:$N$17), TRANSPOSE(Scenarios3[[#This Row],[SPY]:[PE]])))</f>
        <v>8.8362054472820292E-2</v>
      </c>
      <c r="J62" s="70">
        <f>(Scenarios3[[#This Row],[Expected Return]]-RiskFree)/Scenarios3[[#This Row],[36M Vol]]</f>
        <v>0.56384912174979718</v>
      </c>
      <c r="K62" s="107" cm="1">
        <f t="array" ref="K62">MIN(_xlfn._xlws.FILTER(PortfolioFrontier[#Data],(PortfolioFrontier[#Headers]="P"&amp;Scenarios3[[#This Row],[Reference '#]]&amp;" DD")))</f>
        <v>-0.18695012140380352</v>
      </c>
      <c r="L62" s="69">
        <f>SUM(Scenarios3[[#This Row],[SPY]:[VNQ]])</f>
        <v>0.85000000000000009</v>
      </c>
      <c r="M62" s="69">
        <f>SUM(Scenarios3[[#This Row],[SPY]:[PE]])</f>
        <v>1</v>
      </c>
      <c r="N62" s="71" t="b">
        <f>Scenarios3[[#This Row],[SPY]]&gt;=SpyMin</f>
        <v>1</v>
      </c>
      <c r="O62" s="71" t="b">
        <f>Scenarios3[[#This Row],[AGG]]&gt;=AGGMin</f>
        <v>1</v>
      </c>
      <c r="P62" s="71" t="b">
        <f>AND(Scenarios3[[#This Row],[GLD]]&gt;=GLDMin,Scenarios3[[#This Row],[GLD]]&lt;=GLDMax)</f>
        <v>1</v>
      </c>
      <c r="Q62" s="71" t="b">
        <f>Scenarios3[[#This Row],[VNQ]]&gt;=VNQMin</f>
        <v>1</v>
      </c>
      <c r="R62" s="71" t="b">
        <f>AND(Scenarios3[[#This Row],[PE]]&gt;=PEMin,Scenarios3[[#This Row],[PE]]&lt;=PEMax)</f>
        <v>1</v>
      </c>
      <c r="S62" s="71" t="b">
        <f>Scenarios3[[#This Row],[Liquid Assets]]&gt;=LiquidMin</f>
        <v>1</v>
      </c>
      <c r="T62" s="71" t="b">
        <f>AND(Scenarios3[[#This Row],[Expected Return]]&gt;=ExpectedReturnMin,Scenarios3[[#This Row],[Expected Return]]&lt;=ExpectedReturnMax)</f>
        <v>1</v>
      </c>
      <c r="U62" s="71" t="b">
        <f>Scenarios3[[#This Row],[Max Drawdown]]&gt;=DrawdownMax</f>
        <v>1</v>
      </c>
      <c r="V6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2" s="46">
        <f>_xlfn.XLOOKUP(Scenarios3[[#This Row],[Reference '#]],ScenariosCombined[Reference '#],ScenariosCombined[Sharpe Rank])</f>
        <v>37</v>
      </c>
      <c r="X62" s="44">
        <f>IF(Scenarios3[[#This Row],[Eligible]],COUNTIFS(Scenarios3[Sharpe],"&gt;"&amp;Scenarios3[[#This Row],[Sharpe]],Scenarios3[Eligible],TRUE())+COUNTIFS(Scenarios3[Sharpe],Scenarios3[[#This Row],[Sharpe]],Scenarios3[Eligible],TRUE()),"")</f>
        <v>33</v>
      </c>
      <c r="Y6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40/15/10/20/15</v>
      </c>
      <c r="Z62" s="139">
        <f>_xlfn.XLOOKUP(Scenarios3[[#This Row],[Reference '#]],Scenarios1[Reference '#],Scenarios1[Sharpe Rank])</f>
        <v>36</v>
      </c>
      <c r="AA62" s="139">
        <f>_xlfn.XLOOKUP(Scenarios3[[#This Row],[Reference '#]],Scenarios2[Reference '#],Scenarios2[Sharpe Rank])</f>
        <v>36</v>
      </c>
      <c r="AB62" s="139">
        <f>Scenarios3[[#This Row],[Sharpe Rank]]</f>
        <v>33</v>
      </c>
      <c r="AC62"/>
      <c r="AD62"/>
      <c r="AE62"/>
      <c r="AF62" s="34"/>
      <c r="AG62" s="34"/>
    </row>
    <row r="63" spans="2:33" s="15" customFormat="1" x14ac:dyDescent="0.2">
      <c r="B63" s="71">
        <v>93</v>
      </c>
      <c r="C63" s="69">
        <v>0.3</v>
      </c>
      <c r="D63" s="69">
        <v>0.15</v>
      </c>
      <c r="E63" s="69">
        <v>0.15</v>
      </c>
      <c r="F63" s="69">
        <v>0.2</v>
      </c>
      <c r="G63" s="69">
        <v>0.2</v>
      </c>
      <c r="H63" s="69">
        <f>SUMPRODUCT(Scenarios3[[#This Row],[SPY]:[PE]],_xlfn.TOROW(AssetSpecsScenario3[Annualized Return]))</f>
        <v>9.2149347577609175E-2</v>
      </c>
      <c r="I63" s="69" cm="1">
        <f t="array" ref="I63">SQRT(MMULT(MMULT(Scenarios3[[#This Row],[SPY]:[PE]], 'Corr_Cov 36- Month'!$J$13:$N$17), TRANSPOSE(Scenarios3[[#This Row],[SPY]:[PE]])))</f>
        <v>8.0202290886423486E-2</v>
      </c>
      <c r="J63" s="70">
        <f>(Scenarios3[[#This Row],[Expected Return]]-RiskFree)/Scenarios3[[#This Row],[36M Vol]]</f>
        <v>0.56287409652653064</v>
      </c>
      <c r="K63" s="107" cm="1">
        <f t="array" ref="K63">MIN(_xlfn._xlws.FILTER(PortfolioFrontier[#Data],(PortfolioFrontier[#Headers]="P"&amp;Scenarios3[[#This Row],[Reference '#]]&amp;" DD")))</f>
        <v>-0.1680856669601688</v>
      </c>
      <c r="L63" s="69">
        <f>SUM(Scenarios3[[#This Row],[SPY]:[VNQ]])</f>
        <v>0.8</v>
      </c>
      <c r="M63" s="69">
        <f>SUM(Scenarios3[[#This Row],[SPY]:[PE]])</f>
        <v>1</v>
      </c>
      <c r="N63" s="71" t="b">
        <f>Scenarios3[[#This Row],[SPY]]&gt;=SpyMin</f>
        <v>1</v>
      </c>
      <c r="O63" s="71" t="b">
        <f>Scenarios3[[#This Row],[AGG]]&gt;=AGGMin</f>
        <v>1</v>
      </c>
      <c r="P63" s="71" t="b">
        <f>AND(Scenarios3[[#This Row],[GLD]]&gt;=GLDMin,Scenarios3[[#This Row],[GLD]]&lt;=GLDMax)</f>
        <v>1</v>
      </c>
      <c r="Q63" s="71" t="b">
        <f>Scenarios3[[#This Row],[VNQ]]&gt;=VNQMin</f>
        <v>1</v>
      </c>
      <c r="R63" s="71" t="b">
        <f>AND(Scenarios3[[#This Row],[PE]]&gt;=PEMin,Scenarios3[[#This Row],[PE]]&lt;=PEMax)</f>
        <v>1</v>
      </c>
      <c r="S63" s="71" t="b">
        <f>Scenarios3[[#This Row],[Liquid Assets]]&gt;=LiquidMin</f>
        <v>1</v>
      </c>
      <c r="T63" s="71" t="b">
        <f>AND(Scenarios3[[#This Row],[Expected Return]]&gt;=ExpectedReturnMin,Scenarios3[[#This Row],[Expected Return]]&lt;=ExpectedReturnMax)</f>
        <v>1</v>
      </c>
      <c r="U63" s="71" t="b">
        <f>Scenarios3[[#This Row],[Max Drawdown]]&gt;=DrawdownMax</f>
        <v>1</v>
      </c>
      <c r="V6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3" s="46">
        <f>_xlfn.XLOOKUP(Scenarios3[[#This Row],[Reference '#]],ScenariosCombined[Reference '#],ScenariosCombined[Sharpe Rank])</f>
        <v>45</v>
      </c>
      <c r="X63" s="44">
        <f>IF(Scenarios3[[#This Row],[Eligible]],COUNTIFS(Scenarios3[Sharpe],"&gt;"&amp;Scenarios3[[#This Row],[Sharpe]],Scenarios3[Eligible],TRUE())+COUNTIFS(Scenarios3[Sharpe],Scenarios3[[#This Row],[Sharpe]],Scenarios3[Eligible],TRUE()),"")</f>
        <v>34</v>
      </c>
      <c r="Y6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30/15/15/20/20</v>
      </c>
      <c r="Z63" s="139">
        <f>_xlfn.XLOOKUP(Scenarios3[[#This Row],[Reference '#]],Scenarios1[Reference '#],Scenarios1[Sharpe Rank])</f>
        <v>51</v>
      </c>
      <c r="AA63" s="139">
        <f>_xlfn.XLOOKUP(Scenarios3[[#This Row],[Reference '#]],Scenarios2[Reference '#],Scenarios2[Sharpe Rank])</f>
        <v>47</v>
      </c>
      <c r="AB63" s="139">
        <f>Scenarios3[[#This Row],[Sharpe Rank]]</f>
        <v>34</v>
      </c>
      <c r="AC63"/>
      <c r="AD63"/>
      <c r="AE63"/>
      <c r="AF63" s="34"/>
      <c r="AG63" s="34"/>
    </row>
    <row r="64" spans="2:33" s="15" customFormat="1" x14ac:dyDescent="0.2">
      <c r="B64" s="71">
        <v>60</v>
      </c>
      <c r="C64" s="69">
        <v>0.35</v>
      </c>
      <c r="D64" s="69">
        <v>0.15</v>
      </c>
      <c r="E64" s="69">
        <v>0.1</v>
      </c>
      <c r="F64" s="69">
        <v>0.2</v>
      </c>
      <c r="G64" s="69">
        <v>0.2</v>
      </c>
      <c r="H64" s="69">
        <f>SUMPRODUCT(Scenarios3[[#This Row],[SPY]:[PE]],_xlfn.TOROW(AssetSpecsScenario3[Annualized Return]))</f>
        <v>9.3257122351378327E-2</v>
      </c>
      <c r="I64" s="69" cm="1">
        <f t="array" ref="I64">SQRT(MMULT(MMULT(Scenarios3[[#This Row],[SPY]:[PE]], 'Corr_Cov 36- Month'!$J$13:$N$17), TRANSPOSE(Scenarios3[[#This Row],[SPY]:[PE]])))</f>
        <v>8.3334426178581542E-2</v>
      </c>
      <c r="J64" s="70">
        <f>(Scenarios3[[#This Row],[Expected Return]]-RiskFree)/Scenarios3[[#This Row],[36M Vol]]</f>
        <v>0.55501152304940538</v>
      </c>
      <c r="K64" s="107" cm="1">
        <f t="array" ref="K64">MIN(_xlfn._xlws.FILTER(PortfolioFrontier[#Data],(PortfolioFrontier[#Headers]="P"&amp;Scenarios3[[#This Row],[Reference '#]]&amp;" DD")))</f>
        <v>-0.17540792917075321</v>
      </c>
      <c r="L64" s="69">
        <f>SUM(Scenarios3[[#This Row],[SPY]:[VNQ]])</f>
        <v>0.8</v>
      </c>
      <c r="M64" s="69">
        <f>SUM(Scenarios3[[#This Row],[SPY]:[PE]])</f>
        <v>1</v>
      </c>
      <c r="N64" s="71" t="b">
        <f>Scenarios3[[#This Row],[SPY]]&gt;=SpyMin</f>
        <v>1</v>
      </c>
      <c r="O64" s="71" t="b">
        <f>Scenarios3[[#This Row],[AGG]]&gt;=AGGMin</f>
        <v>1</v>
      </c>
      <c r="P64" s="71" t="b">
        <f>AND(Scenarios3[[#This Row],[GLD]]&gt;=GLDMin,Scenarios3[[#This Row],[GLD]]&lt;=GLDMax)</f>
        <v>1</v>
      </c>
      <c r="Q64" s="71" t="b">
        <f>Scenarios3[[#This Row],[VNQ]]&gt;=VNQMin</f>
        <v>1</v>
      </c>
      <c r="R64" s="71" t="b">
        <f>AND(Scenarios3[[#This Row],[PE]]&gt;=PEMin,Scenarios3[[#This Row],[PE]]&lt;=PEMax)</f>
        <v>1</v>
      </c>
      <c r="S64" s="71" t="b">
        <f>Scenarios3[[#This Row],[Liquid Assets]]&gt;=LiquidMin</f>
        <v>1</v>
      </c>
      <c r="T64" s="71" t="b">
        <f>AND(Scenarios3[[#This Row],[Expected Return]]&gt;=ExpectedReturnMin,Scenarios3[[#This Row],[Expected Return]]&lt;=ExpectedReturnMax)</f>
        <v>1</v>
      </c>
      <c r="U64" s="71" t="b">
        <f>Scenarios3[[#This Row],[Max Drawdown]]&gt;=DrawdownMax</f>
        <v>1</v>
      </c>
      <c r="V6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4" s="46">
        <f>_xlfn.XLOOKUP(Scenarios3[[#This Row],[Reference '#]],ScenariosCombined[Reference '#],ScenariosCombined[Sharpe Rank])</f>
        <v>48</v>
      </c>
      <c r="X64" s="44">
        <f>IF(Scenarios3[[#This Row],[Eligible]],COUNTIFS(Scenarios3[Sharpe],"&gt;"&amp;Scenarios3[[#This Row],[Sharpe]],Scenarios3[Eligible],TRUE())+COUNTIFS(Scenarios3[Sharpe],Scenarios3[[#This Row],[Sharpe]],Scenarios3[Eligible],TRUE()),"")</f>
        <v>35</v>
      </c>
      <c r="Y6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35/15/10/20/20</v>
      </c>
      <c r="Z64" s="139">
        <f>_xlfn.XLOOKUP(Scenarios3[[#This Row],[Reference '#]],Scenarios1[Reference '#],Scenarios1[Sharpe Rank])</f>
        <v>54</v>
      </c>
      <c r="AA64" s="139">
        <f>_xlfn.XLOOKUP(Scenarios3[[#This Row],[Reference '#]],Scenarios2[Reference '#],Scenarios2[Sharpe Rank])</f>
        <v>51</v>
      </c>
      <c r="AB64" s="139">
        <f>Scenarios3[[#This Row],[Sharpe Rank]]</f>
        <v>35</v>
      </c>
      <c r="AC64"/>
      <c r="AD64"/>
      <c r="AE64"/>
      <c r="AF64" s="34"/>
      <c r="AG64" s="34"/>
    </row>
    <row r="65" spans="2:33" s="15" customFormat="1" x14ac:dyDescent="0.2">
      <c r="B65" s="71">
        <v>35</v>
      </c>
      <c r="C65" s="69">
        <v>0.35</v>
      </c>
      <c r="D65" s="69">
        <v>0.3</v>
      </c>
      <c r="E65" s="69">
        <v>0.15</v>
      </c>
      <c r="F65" s="69">
        <v>0.1</v>
      </c>
      <c r="G65" s="69">
        <v>0.1</v>
      </c>
      <c r="H65" s="69">
        <f>SUMPRODUCT(Scenarios3[[#This Row],[SPY]:[PE]],_xlfn.TOROW(AssetSpecsScenario3[Annualized Return]))</f>
        <v>8.944123589364289E-2</v>
      </c>
      <c r="I65" s="69" cm="1">
        <f t="array" ref="I65">SQRT(MMULT(MMULT(Scenarios3[[#This Row],[SPY]:[PE]], 'Corr_Cov 36- Month'!$J$13:$N$17), TRANSPOSE(Scenarios3[[#This Row],[SPY]:[PE]])))</f>
        <v>7.710925694141553E-2</v>
      </c>
      <c r="J65" s="70">
        <f>(Scenarios3[[#This Row],[Expected Return]]-RiskFree)/Scenarios3[[#This Row],[36M Vol]]</f>
        <v>0.55033185406426932</v>
      </c>
      <c r="K65" s="107" cm="1">
        <f t="array" ref="K65">MIN(_xlfn._xlws.FILTER(PortfolioFrontier[#Data],(PortfolioFrontier[#Headers]="P"&amp;Scenarios3[[#This Row],[Reference '#]]&amp;" DD")))</f>
        <v>-0.17083546284768747</v>
      </c>
      <c r="L65" s="69">
        <f>SUM(Scenarios3[[#This Row],[SPY]:[VNQ]])</f>
        <v>0.89999999999999991</v>
      </c>
      <c r="M65" s="69">
        <f>SUM(Scenarios3[[#This Row],[SPY]:[PE]])</f>
        <v>0.99999999999999989</v>
      </c>
      <c r="N65" s="71" t="b">
        <f>Scenarios3[[#This Row],[SPY]]&gt;=SpyMin</f>
        <v>1</v>
      </c>
      <c r="O65" s="71" t="b">
        <f>Scenarios3[[#This Row],[AGG]]&gt;=AGGMin</f>
        <v>1</v>
      </c>
      <c r="P65" s="71" t="b">
        <f>AND(Scenarios3[[#This Row],[GLD]]&gt;=GLDMin,Scenarios3[[#This Row],[GLD]]&lt;=GLDMax)</f>
        <v>1</v>
      </c>
      <c r="Q65" s="71" t="b">
        <f>Scenarios3[[#This Row],[VNQ]]&gt;=VNQMin</f>
        <v>1</v>
      </c>
      <c r="R65" s="71" t="b">
        <f>AND(Scenarios3[[#This Row],[PE]]&gt;=PEMin,Scenarios3[[#This Row],[PE]]&lt;=PEMax)</f>
        <v>1</v>
      </c>
      <c r="S65" s="71" t="b">
        <f>Scenarios3[[#This Row],[Liquid Assets]]&gt;=LiquidMin</f>
        <v>1</v>
      </c>
      <c r="T65" s="71" t="b">
        <f>AND(Scenarios3[[#This Row],[Expected Return]]&gt;=ExpectedReturnMin,Scenarios3[[#This Row],[Expected Return]]&lt;=ExpectedReturnMax)</f>
        <v>1</v>
      </c>
      <c r="U65" s="71" t="b">
        <f>Scenarios3[[#This Row],[Max Drawdown]]&gt;=DrawdownMax</f>
        <v>1</v>
      </c>
      <c r="V6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5" s="46">
        <f>_xlfn.XLOOKUP(Scenarios3[[#This Row],[Reference '#]],ScenariosCombined[Reference '#],ScenariosCombined[Sharpe Rank])</f>
        <v>40</v>
      </c>
      <c r="X65" s="44">
        <f>IF(Scenarios3[[#This Row],[Eligible]],COUNTIFS(Scenarios3[Sharpe],"&gt;"&amp;Scenarios3[[#This Row],[Sharpe]],Scenarios3[Eligible],TRUE())+COUNTIFS(Scenarios3[Sharpe],Scenarios3[[#This Row],[Sharpe]],Scenarios3[Eligible],TRUE()),"")</f>
        <v>36</v>
      </c>
      <c r="Y6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35/30/15/10/10</v>
      </c>
      <c r="Z65" s="139">
        <f>_xlfn.XLOOKUP(Scenarios3[[#This Row],[Reference '#]],Scenarios1[Reference '#],Scenarios1[Sharpe Rank])</f>
        <v>37</v>
      </c>
      <c r="AA65" s="139">
        <f>_xlfn.XLOOKUP(Scenarios3[[#This Row],[Reference '#]],Scenarios2[Reference '#],Scenarios2[Sharpe Rank])</f>
        <v>37</v>
      </c>
      <c r="AB65" s="139">
        <f>Scenarios3[[#This Row],[Sharpe Rank]]</f>
        <v>36</v>
      </c>
      <c r="AC65"/>
      <c r="AD65"/>
      <c r="AE65"/>
      <c r="AF65" s="34"/>
      <c r="AG65" s="34"/>
    </row>
    <row r="66" spans="2:33" s="15" customFormat="1" x14ac:dyDescent="0.2">
      <c r="B66" s="71">
        <v>65</v>
      </c>
      <c r="C66" s="69">
        <v>0.3</v>
      </c>
      <c r="D66" s="69">
        <v>0.3</v>
      </c>
      <c r="E66" s="69">
        <v>0.2</v>
      </c>
      <c r="F66" s="69">
        <v>0.1</v>
      </c>
      <c r="G66" s="69">
        <v>0.1</v>
      </c>
      <c r="H66" s="69">
        <f>SUMPRODUCT(Scenarios3[[#This Row],[SPY]:[PE]],_xlfn.TOROW(AssetSpecsScenario3[Annualized Return]))</f>
        <v>8.8333461119873752E-2</v>
      </c>
      <c r="I66" s="69" cm="1">
        <f t="array" ref="I66">SQRT(MMULT(MMULT(Scenarios3[[#This Row],[SPY]:[PE]], 'Corr_Cov 36- Month'!$J$13:$N$17), TRANSPOSE(Scenarios3[[#This Row],[SPY]:[PE]])))</f>
        <v>7.5118132820344422E-2</v>
      </c>
      <c r="J66" s="70">
        <f>(Scenarios3[[#This Row],[Expected Return]]-RiskFree)/Scenarios3[[#This Row],[36M Vol]]</f>
        <v>0.55017216233475474</v>
      </c>
      <c r="K66" s="107" cm="1">
        <f t="array" ref="K66">MIN(_xlfn._xlws.FILTER(PortfolioFrontier[#Data],(PortfolioFrontier[#Headers]="P"&amp;Scenarios3[[#This Row],[Reference '#]]&amp;" DD")))</f>
        <v>-0.16353671020713034</v>
      </c>
      <c r="L66" s="69">
        <f>SUM(Scenarios3[[#This Row],[SPY]:[VNQ]])</f>
        <v>0.9</v>
      </c>
      <c r="M66" s="69">
        <f>SUM(Scenarios3[[#This Row],[SPY]:[PE]])</f>
        <v>1</v>
      </c>
      <c r="N66" s="71" t="b">
        <f>Scenarios3[[#This Row],[SPY]]&gt;=SpyMin</f>
        <v>1</v>
      </c>
      <c r="O66" s="71" t="b">
        <f>Scenarios3[[#This Row],[AGG]]&gt;=AGGMin</f>
        <v>1</v>
      </c>
      <c r="P66" s="71" t="b">
        <f>AND(Scenarios3[[#This Row],[GLD]]&gt;=GLDMin,Scenarios3[[#This Row],[GLD]]&lt;=GLDMax)</f>
        <v>1</v>
      </c>
      <c r="Q66" s="71" t="b">
        <f>Scenarios3[[#This Row],[VNQ]]&gt;=VNQMin</f>
        <v>1</v>
      </c>
      <c r="R66" s="71" t="b">
        <f>AND(Scenarios3[[#This Row],[PE]]&gt;=PEMin,Scenarios3[[#This Row],[PE]]&lt;=PEMax)</f>
        <v>1</v>
      </c>
      <c r="S66" s="71" t="b">
        <f>Scenarios3[[#This Row],[Liquid Assets]]&gt;=LiquidMin</f>
        <v>1</v>
      </c>
      <c r="T66" s="71" t="b">
        <f>AND(Scenarios3[[#This Row],[Expected Return]]&gt;=ExpectedReturnMin,Scenarios3[[#This Row],[Expected Return]]&lt;=ExpectedReturnMax)</f>
        <v>1</v>
      </c>
      <c r="U66" s="71" t="b">
        <f>Scenarios3[[#This Row],[Max Drawdown]]&gt;=DrawdownMax</f>
        <v>1</v>
      </c>
      <c r="V6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6" s="46">
        <f>_xlfn.XLOOKUP(Scenarios3[[#This Row],[Reference '#]],ScenariosCombined[Reference '#],ScenariosCombined[Sharpe Rank])</f>
        <v>41</v>
      </c>
      <c r="X66" s="44">
        <f>IF(Scenarios3[[#This Row],[Eligible]],COUNTIFS(Scenarios3[Sharpe],"&gt;"&amp;Scenarios3[[#This Row],[Sharpe]],Scenarios3[Eligible],TRUE())+COUNTIFS(Scenarios3[Sharpe],Scenarios3[[#This Row],[Sharpe]],Scenarios3[Eligible],TRUE()),"")</f>
        <v>37</v>
      </c>
      <c r="Y6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30/30/20/10/10</v>
      </c>
      <c r="Z66" s="139">
        <f>_xlfn.XLOOKUP(Scenarios3[[#This Row],[Reference '#]],Scenarios1[Reference '#],Scenarios1[Sharpe Rank])</f>
        <v>38</v>
      </c>
      <c r="AA66" s="139">
        <f>_xlfn.XLOOKUP(Scenarios3[[#This Row],[Reference '#]],Scenarios2[Reference '#],Scenarios2[Sharpe Rank])</f>
        <v>39</v>
      </c>
      <c r="AB66" s="139">
        <f>Scenarios3[[#This Row],[Sharpe Rank]]</f>
        <v>37</v>
      </c>
      <c r="AC66"/>
      <c r="AD66"/>
      <c r="AE66"/>
      <c r="AF66" s="34"/>
      <c r="AG66" s="34"/>
    </row>
    <row r="67" spans="2:33" s="15" customFormat="1" x14ac:dyDescent="0.2">
      <c r="B67" s="71">
        <v>16</v>
      </c>
      <c r="C67" s="69">
        <v>0.4</v>
      </c>
      <c r="D67" s="69">
        <v>0.3</v>
      </c>
      <c r="E67" s="69">
        <v>0.1</v>
      </c>
      <c r="F67" s="69">
        <v>0.1</v>
      </c>
      <c r="G67" s="69">
        <v>0.1</v>
      </c>
      <c r="H67" s="69">
        <f>SUMPRODUCT(Scenarios3[[#This Row],[SPY]:[PE]],_xlfn.TOROW(AssetSpecsScenario3[Annualized Return]))</f>
        <v>9.0549010667412055E-2</v>
      </c>
      <c r="I67" s="69" cm="1">
        <f t="array" ref="I67">SQRT(MMULT(MMULT(Scenarios3[[#This Row],[SPY]:[PE]], 'Corr_Cov 36- Month'!$J$13:$N$17), TRANSPOSE(Scenarios3[[#This Row],[SPY]:[PE]])))</f>
        <v>8.0098377073408847E-2</v>
      </c>
      <c r="J67" s="70">
        <f>(Scenarios3[[#This Row],[Expected Return]]-RiskFree)/Scenarios3[[#This Row],[36M Vol]]</f>
        <v>0.54362468632728533</v>
      </c>
      <c r="K67" s="107" cm="1">
        <f t="array" ref="K67">MIN(_xlfn._xlws.FILTER(PortfolioFrontier[#Data],(PortfolioFrontier[#Headers]="P"&amp;Scenarios3[[#This Row],[Reference '#]]&amp;" DD")))</f>
        <v>-0.17815309576344351</v>
      </c>
      <c r="L67" s="69">
        <f>SUM(Scenarios3[[#This Row],[SPY]:[VNQ]])</f>
        <v>0.89999999999999991</v>
      </c>
      <c r="M67" s="69">
        <f>SUM(Scenarios3[[#This Row],[SPY]:[PE]])</f>
        <v>0.99999999999999989</v>
      </c>
      <c r="N67" s="71" t="b">
        <f>Scenarios3[[#This Row],[SPY]]&gt;=SpyMin</f>
        <v>1</v>
      </c>
      <c r="O67" s="71" t="b">
        <f>Scenarios3[[#This Row],[AGG]]&gt;=AGGMin</f>
        <v>1</v>
      </c>
      <c r="P67" s="71" t="b">
        <f>AND(Scenarios3[[#This Row],[GLD]]&gt;=GLDMin,Scenarios3[[#This Row],[GLD]]&lt;=GLDMax)</f>
        <v>1</v>
      </c>
      <c r="Q67" s="71" t="b">
        <f>Scenarios3[[#This Row],[VNQ]]&gt;=VNQMin</f>
        <v>1</v>
      </c>
      <c r="R67" s="71" t="b">
        <f>AND(Scenarios3[[#This Row],[PE]]&gt;=PEMin,Scenarios3[[#This Row],[PE]]&lt;=PEMax)</f>
        <v>1</v>
      </c>
      <c r="S67" s="71" t="b">
        <f>Scenarios3[[#This Row],[Liquid Assets]]&gt;=LiquidMin</f>
        <v>1</v>
      </c>
      <c r="T67" s="71" t="b">
        <f>AND(Scenarios3[[#This Row],[Expected Return]]&gt;=ExpectedReturnMin,Scenarios3[[#This Row],[Expected Return]]&lt;=ExpectedReturnMax)</f>
        <v>1</v>
      </c>
      <c r="U67" s="71" t="b">
        <f>Scenarios3[[#This Row],[Max Drawdown]]&gt;=DrawdownMax</f>
        <v>1</v>
      </c>
      <c r="V6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7" s="46">
        <f>_xlfn.XLOOKUP(Scenarios3[[#This Row],[Reference '#]],ScenariosCombined[Reference '#],ScenariosCombined[Sharpe Rank])</f>
        <v>43</v>
      </c>
      <c r="X67" s="44">
        <f>IF(Scenarios3[[#This Row],[Eligible]],COUNTIFS(Scenarios3[Sharpe],"&gt;"&amp;Scenarios3[[#This Row],[Sharpe]],Scenarios3[Eligible],TRUE())+COUNTIFS(Scenarios3[Sharpe],Scenarios3[[#This Row],[Sharpe]],Scenarios3[Eligible],TRUE()),"")</f>
        <v>38</v>
      </c>
      <c r="Y6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40/30/10/10/10</v>
      </c>
      <c r="Z67" s="139">
        <f>_xlfn.XLOOKUP(Scenarios3[[#This Row],[Reference '#]],Scenarios1[Reference '#],Scenarios1[Sharpe Rank])</f>
        <v>41</v>
      </c>
      <c r="AA67" s="139">
        <f>_xlfn.XLOOKUP(Scenarios3[[#This Row],[Reference '#]],Scenarios2[Reference '#],Scenarios2[Sharpe Rank])</f>
        <v>40</v>
      </c>
      <c r="AB67" s="139">
        <f>Scenarios3[[#This Row],[Sharpe Rank]]</f>
        <v>38</v>
      </c>
      <c r="AC67"/>
      <c r="AD67"/>
      <c r="AE67"/>
      <c r="AF67" s="34"/>
      <c r="AG67" s="34"/>
    </row>
    <row r="68" spans="2:33" s="15" customFormat="1" x14ac:dyDescent="0.2">
      <c r="B68" s="71">
        <v>67</v>
      </c>
      <c r="C68" s="69">
        <v>0.3</v>
      </c>
      <c r="D68" s="69">
        <v>0.3</v>
      </c>
      <c r="E68" s="69">
        <v>0.15</v>
      </c>
      <c r="F68" s="69">
        <v>0.1</v>
      </c>
      <c r="G68" s="69">
        <v>0.15</v>
      </c>
      <c r="H68" s="69">
        <f>SUMPRODUCT(Scenarios3[[#This Row],[SPY]:[PE]],_xlfn.TOROW(AssetSpecsScenario3[Annualized Return]))</f>
        <v>8.5869935878958234E-2</v>
      </c>
      <c r="I68" s="69" cm="1">
        <f t="array" ref="I68">SQRT(MMULT(MMULT(Scenarios3[[#This Row],[SPY]:[PE]], 'Corr_Cov 36- Month'!$J$13:$N$17), TRANSPOSE(Scenarios3[[#This Row],[SPY]:[PE]])))</f>
        <v>7.2253131710009952E-2</v>
      </c>
      <c r="J68" s="70">
        <f>(Scenarios3[[#This Row],[Expected Return]]-RiskFree)/Scenarios3[[#This Row],[36M Vol]]</f>
        <v>0.5378919834144491</v>
      </c>
      <c r="K68" s="107" cm="1">
        <f t="array" ref="K68">MIN(_xlfn._xlws.FILTER(PortfolioFrontier[#Data],(PortfolioFrontier[#Headers]="P"&amp;Scenarios3[[#This Row],[Reference '#]]&amp;" DD")))</f>
        <v>-0.15925163718743796</v>
      </c>
      <c r="L68" s="69">
        <f>SUM(Scenarios3[[#This Row],[SPY]:[VNQ]])</f>
        <v>0.85</v>
      </c>
      <c r="M68" s="69">
        <f>SUM(Scenarios3[[#This Row],[SPY]:[PE]])</f>
        <v>1</v>
      </c>
      <c r="N68" s="71" t="b">
        <f>Scenarios3[[#This Row],[SPY]]&gt;=SpyMin</f>
        <v>1</v>
      </c>
      <c r="O68" s="71" t="b">
        <f>Scenarios3[[#This Row],[AGG]]&gt;=AGGMin</f>
        <v>1</v>
      </c>
      <c r="P68" s="71" t="b">
        <f>AND(Scenarios3[[#This Row],[GLD]]&gt;=GLDMin,Scenarios3[[#This Row],[GLD]]&lt;=GLDMax)</f>
        <v>1</v>
      </c>
      <c r="Q68" s="71" t="b">
        <f>Scenarios3[[#This Row],[VNQ]]&gt;=VNQMin</f>
        <v>1</v>
      </c>
      <c r="R68" s="71" t="b">
        <f>AND(Scenarios3[[#This Row],[PE]]&gt;=PEMin,Scenarios3[[#This Row],[PE]]&lt;=PEMax)</f>
        <v>1</v>
      </c>
      <c r="S68" s="71" t="b">
        <f>Scenarios3[[#This Row],[Liquid Assets]]&gt;=LiquidMin</f>
        <v>1</v>
      </c>
      <c r="T68" s="71" t="b">
        <f>AND(Scenarios3[[#This Row],[Expected Return]]&gt;=ExpectedReturnMin,Scenarios3[[#This Row],[Expected Return]]&lt;=ExpectedReturnMax)</f>
        <v>1</v>
      </c>
      <c r="U68" s="71" t="b">
        <f>Scenarios3[[#This Row],[Max Drawdown]]&gt;=DrawdownMax</f>
        <v>1</v>
      </c>
      <c r="V6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8" s="46">
        <f>_xlfn.XLOOKUP(Scenarios3[[#This Row],[Reference '#]],ScenariosCombined[Reference '#],ScenariosCombined[Sharpe Rank])</f>
        <v>52</v>
      </c>
      <c r="X68" s="44">
        <f>IF(Scenarios3[[#This Row],[Eligible]],COUNTIFS(Scenarios3[Sharpe],"&gt;"&amp;Scenarios3[[#This Row],[Sharpe]],Scenarios3[Eligible],TRUE())+COUNTIFS(Scenarios3[Sharpe],Scenarios3[[#This Row],[Sharpe]],Scenarios3[Eligible],TRUE()),"")</f>
        <v>39</v>
      </c>
      <c r="Y6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30/30/15/10/15</v>
      </c>
      <c r="Z68" s="139">
        <f>_xlfn.XLOOKUP(Scenarios3[[#This Row],[Reference '#]],Scenarios1[Reference '#],Scenarios1[Sharpe Rank])</f>
        <v>57</v>
      </c>
      <c r="AA68" s="139">
        <f>_xlfn.XLOOKUP(Scenarios3[[#This Row],[Reference '#]],Scenarios2[Reference '#],Scenarios2[Sharpe Rank])</f>
        <v>53</v>
      </c>
      <c r="AB68" s="139">
        <f>Scenarios3[[#This Row],[Sharpe Rank]]</f>
        <v>39</v>
      </c>
      <c r="AC68"/>
      <c r="AD68"/>
      <c r="AE68"/>
      <c r="AF68" s="34"/>
      <c r="AG68" s="34"/>
    </row>
    <row r="69" spans="2:33" s="15" customFormat="1" x14ac:dyDescent="0.2">
      <c r="B69" s="71">
        <v>71</v>
      </c>
      <c r="C69" s="69">
        <v>0.3</v>
      </c>
      <c r="D69" s="69">
        <v>0.25</v>
      </c>
      <c r="E69" s="69">
        <v>0.2</v>
      </c>
      <c r="F69" s="69">
        <v>0.15</v>
      </c>
      <c r="G69" s="69">
        <v>0.1</v>
      </c>
      <c r="H69" s="69">
        <f>SUMPRODUCT(Scenarios3[[#This Row],[SPY]:[PE]],_xlfn.TOROW(AssetSpecsScenario3[Annualized Return]))</f>
        <v>8.9917200466037239E-2</v>
      </c>
      <c r="I69" s="69" cm="1">
        <f t="array" ref="I69">SQRT(MMULT(MMULT(Scenarios3[[#This Row],[SPY]:[PE]], 'Corr_Cov 36- Month'!$J$13:$N$17), TRANSPOSE(Scenarios3[[#This Row],[SPY]:[PE]])))</f>
        <v>8.0010764689115568E-2</v>
      </c>
      <c r="J69" s="70">
        <f>(Scenarios3[[#This Row],[Expected Return]]-RiskFree)/Scenarios3[[#This Row],[36M Vol]]</f>
        <v>0.53632339444843802</v>
      </c>
      <c r="K69" s="107" cm="1">
        <f t="array" ref="K69">MIN(_xlfn._xlws.FILTER(PortfolioFrontier[#Data],(PortfolioFrontier[#Headers]="P"&amp;Scenarios3[[#This Row],[Reference '#]]&amp;" DD")))</f>
        <v>-0.17128851054404948</v>
      </c>
      <c r="L69" s="69">
        <f>SUM(Scenarios3[[#This Row],[SPY]:[VNQ]])</f>
        <v>0.9</v>
      </c>
      <c r="M69" s="69">
        <f>SUM(Scenarios3[[#This Row],[SPY]:[PE]])</f>
        <v>1</v>
      </c>
      <c r="N69" s="71" t="b">
        <f>Scenarios3[[#This Row],[SPY]]&gt;=SpyMin</f>
        <v>1</v>
      </c>
      <c r="O69" s="71" t="b">
        <f>Scenarios3[[#This Row],[AGG]]&gt;=AGGMin</f>
        <v>1</v>
      </c>
      <c r="P69" s="71" t="b">
        <f>AND(Scenarios3[[#This Row],[GLD]]&gt;=GLDMin,Scenarios3[[#This Row],[GLD]]&lt;=GLDMax)</f>
        <v>1</v>
      </c>
      <c r="Q69" s="71" t="b">
        <f>Scenarios3[[#This Row],[VNQ]]&gt;=VNQMin</f>
        <v>1</v>
      </c>
      <c r="R69" s="71" t="b">
        <f>AND(Scenarios3[[#This Row],[PE]]&gt;=PEMin,Scenarios3[[#This Row],[PE]]&lt;=PEMax)</f>
        <v>1</v>
      </c>
      <c r="S69" s="71" t="b">
        <f>Scenarios3[[#This Row],[Liquid Assets]]&gt;=LiquidMin</f>
        <v>1</v>
      </c>
      <c r="T69" s="71" t="b">
        <f>AND(Scenarios3[[#This Row],[Expected Return]]&gt;=ExpectedReturnMin,Scenarios3[[#This Row],[Expected Return]]&lt;=ExpectedReturnMax)</f>
        <v>1</v>
      </c>
      <c r="U69" s="71" t="b">
        <f>Scenarios3[[#This Row],[Max Drawdown]]&gt;=DrawdownMax</f>
        <v>1</v>
      </c>
      <c r="V6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69" s="46">
        <f>_xlfn.XLOOKUP(Scenarios3[[#This Row],[Reference '#]],ScenariosCombined[Reference '#],ScenariosCombined[Sharpe Rank])</f>
        <v>47</v>
      </c>
      <c r="X69" s="44">
        <f>IF(Scenarios3[[#This Row],[Eligible]],COUNTIFS(Scenarios3[Sharpe],"&gt;"&amp;Scenarios3[[#This Row],[Sharpe]],Scenarios3[Eligible],TRUE())+COUNTIFS(Scenarios3[Sharpe],Scenarios3[[#This Row],[Sharpe]],Scenarios3[Eligible],TRUE()),"")</f>
        <v>40</v>
      </c>
      <c r="Y6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30/25/20/15/10</v>
      </c>
      <c r="Z69" s="139">
        <f>_xlfn.XLOOKUP(Scenarios3[[#This Row],[Reference '#]],Scenarios1[Reference '#],Scenarios1[Sharpe Rank])</f>
        <v>44</v>
      </c>
      <c r="AA69" s="139">
        <f>_xlfn.XLOOKUP(Scenarios3[[#This Row],[Reference '#]],Scenarios2[Reference '#],Scenarios2[Sharpe Rank])</f>
        <v>44</v>
      </c>
      <c r="AB69" s="139">
        <f>Scenarios3[[#This Row],[Sharpe Rank]]</f>
        <v>40</v>
      </c>
      <c r="AC69"/>
      <c r="AD69"/>
      <c r="AE69"/>
      <c r="AF69" s="34"/>
      <c r="AG69" s="34"/>
    </row>
    <row r="70" spans="2:33" s="15" customFormat="1" x14ac:dyDescent="0.2">
      <c r="B70" s="71">
        <v>39</v>
      </c>
      <c r="C70" s="69">
        <v>0.35</v>
      </c>
      <c r="D70" s="69">
        <v>0.25</v>
      </c>
      <c r="E70" s="69">
        <v>0.15</v>
      </c>
      <c r="F70" s="69">
        <v>0.15</v>
      </c>
      <c r="G70" s="69">
        <v>0.1</v>
      </c>
      <c r="H70" s="69">
        <f>SUMPRODUCT(Scenarios3[[#This Row],[SPY]:[PE]],_xlfn.TOROW(AssetSpecsScenario3[Annualized Return]))</f>
        <v>9.1024975239806377E-2</v>
      </c>
      <c r="I70" s="69" cm="1">
        <f t="array" ref="I70">SQRT(MMULT(MMULT(Scenarios3[[#This Row],[SPY]:[PE]], 'Corr_Cov 36- Month'!$J$13:$N$17), TRANSPOSE(Scenarios3[[#This Row],[SPY]:[PE]])))</f>
        <v>8.2167831754940079E-2</v>
      </c>
      <c r="J70" s="70">
        <f>(Scenarios3[[#This Row],[Expected Return]]-RiskFree)/Scenarios3[[#This Row],[36M Vol]]</f>
        <v>0.53572570608332137</v>
      </c>
      <c r="K70" s="107" cm="1">
        <f t="array" ref="K70">MIN(_xlfn._xlws.FILTER(PortfolioFrontier[#Data],(PortfolioFrontier[#Headers]="P"&amp;Scenarios3[[#This Row],[Reference '#]]&amp;" DD")))</f>
        <v>-0.17856921257489966</v>
      </c>
      <c r="L70" s="69">
        <f>SUM(Scenarios3[[#This Row],[SPY]:[VNQ]])</f>
        <v>0.9</v>
      </c>
      <c r="M70" s="69">
        <f>SUM(Scenarios3[[#This Row],[SPY]:[PE]])</f>
        <v>1</v>
      </c>
      <c r="N70" s="71" t="b">
        <f>Scenarios3[[#This Row],[SPY]]&gt;=SpyMin</f>
        <v>1</v>
      </c>
      <c r="O70" s="71" t="b">
        <f>Scenarios3[[#This Row],[AGG]]&gt;=AGGMin</f>
        <v>1</v>
      </c>
      <c r="P70" s="71" t="b">
        <f>AND(Scenarios3[[#This Row],[GLD]]&gt;=GLDMin,Scenarios3[[#This Row],[GLD]]&lt;=GLDMax)</f>
        <v>1</v>
      </c>
      <c r="Q70" s="71" t="b">
        <f>Scenarios3[[#This Row],[VNQ]]&gt;=VNQMin</f>
        <v>1</v>
      </c>
      <c r="R70" s="71" t="b">
        <f>AND(Scenarios3[[#This Row],[PE]]&gt;=PEMin,Scenarios3[[#This Row],[PE]]&lt;=PEMax)</f>
        <v>1</v>
      </c>
      <c r="S70" s="71" t="b">
        <f>Scenarios3[[#This Row],[Liquid Assets]]&gt;=LiquidMin</f>
        <v>1</v>
      </c>
      <c r="T70" s="71" t="b">
        <f>AND(Scenarios3[[#This Row],[Expected Return]]&gt;=ExpectedReturnMin,Scenarios3[[#This Row],[Expected Return]]&lt;=ExpectedReturnMax)</f>
        <v>1</v>
      </c>
      <c r="U70" s="71" t="b">
        <f>Scenarios3[[#This Row],[Max Drawdown]]&gt;=DrawdownMax</f>
        <v>1</v>
      </c>
      <c r="V7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0" s="46">
        <f>_xlfn.XLOOKUP(Scenarios3[[#This Row],[Reference '#]],ScenariosCombined[Reference '#],ScenariosCombined[Sharpe Rank])</f>
        <v>46</v>
      </c>
      <c r="X70" s="44">
        <f>IF(Scenarios3[[#This Row],[Eligible]],COUNTIFS(Scenarios3[Sharpe],"&gt;"&amp;Scenarios3[[#This Row],[Sharpe]],Scenarios3[Eligible],TRUE())+COUNTIFS(Scenarios3[Sharpe],Scenarios3[[#This Row],[Sharpe]],Scenarios3[Eligible],TRUE()),"")</f>
        <v>41</v>
      </c>
      <c r="Y7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35/25/15/15/10</v>
      </c>
      <c r="Z70" s="139">
        <f>_xlfn.XLOOKUP(Scenarios3[[#This Row],[Reference '#]],Scenarios1[Reference '#],Scenarios1[Sharpe Rank])</f>
        <v>43</v>
      </c>
      <c r="AA70" s="139">
        <f>_xlfn.XLOOKUP(Scenarios3[[#This Row],[Reference '#]],Scenarios2[Reference '#],Scenarios2[Sharpe Rank])</f>
        <v>43</v>
      </c>
      <c r="AB70" s="139">
        <f>Scenarios3[[#This Row],[Sharpe Rank]]</f>
        <v>41</v>
      </c>
      <c r="AC70"/>
      <c r="AD70"/>
      <c r="AE70"/>
      <c r="AF70" s="34"/>
      <c r="AG70" s="34"/>
    </row>
    <row r="71" spans="2:33" s="15" customFormat="1" x14ac:dyDescent="0.2">
      <c r="B71" s="71">
        <v>108</v>
      </c>
      <c r="C71" s="69">
        <v>0.25</v>
      </c>
      <c r="D71" s="69">
        <v>0.3</v>
      </c>
      <c r="E71" s="69">
        <v>0.2</v>
      </c>
      <c r="F71" s="69">
        <v>0.1</v>
      </c>
      <c r="G71" s="69">
        <v>0.15</v>
      </c>
      <c r="H71" s="69">
        <f>SUMPRODUCT(Scenarios3[[#This Row],[SPY]:[PE]],_xlfn.TOROW(AssetSpecsScenario3[Annualized Return]))</f>
        <v>8.4762161105189096E-2</v>
      </c>
      <c r="I71" s="69" cm="1">
        <f t="array" ref="I71">SQRT(MMULT(MMULT(Scenarios3[[#This Row],[SPY]:[PE]], 'Corr_Cov 36- Month'!$J$13:$N$17), TRANSPOSE(Scenarios3[[#This Row],[SPY]:[PE]])))</f>
        <v>7.053210996035017E-2</v>
      </c>
      <c r="J71" s="70">
        <f>(Scenarios3[[#This Row],[Expected Return]]-RiskFree)/Scenarios3[[#This Row],[36M Vol]]</f>
        <v>0.53531087572537572</v>
      </c>
      <c r="K71" s="107" cm="1">
        <f t="array" ref="K71">MIN(_xlfn._xlws.FILTER(PortfolioFrontier[#Data],(PortfolioFrontier[#Headers]="P"&amp;Scenarios3[[#This Row],[Reference '#]]&amp;" DD")))</f>
        <v>-0.15193836737204758</v>
      </c>
      <c r="L71" s="69">
        <f>SUM(Scenarios3[[#This Row],[SPY]:[VNQ]])</f>
        <v>0.85</v>
      </c>
      <c r="M71" s="69">
        <f>SUM(Scenarios3[[#This Row],[SPY]:[PE]])</f>
        <v>1</v>
      </c>
      <c r="N71" s="71" t="b">
        <f>Scenarios3[[#This Row],[SPY]]&gt;=SpyMin</f>
        <v>1</v>
      </c>
      <c r="O71" s="71" t="b">
        <f>Scenarios3[[#This Row],[AGG]]&gt;=AGGMin</f>
        <v>1</v>
      </c>
      <c r="P71" s="71" t="b">
        <f>AND(Scenarios3[[#This Row],[GLD]]&gt;=GLDMin,Scenarios3[[#This Row],[GLD]]&lt;=GLDMax)</f>
        <v>1</v>
      </c>
      <c r="Q71" s="71" t="b">
        <f>Scenarios3[[#This Row],[VNQ]]&gt;=VNQMin</f>
        <v>1</v>
      </c>
      <c r="R71" s="71" t="b">
        <f>AND(Scenarios3[[#This Row],[PE]]&gt;=PEMin,Scenarios3[[#This Row],[PE]]&lt;=PEMax)</f>
        <v>1</v>
      </c>
      <c r="S71" s="71" t="b">
        <f>Scenarios3[[#This Row],[Liquid Assets]]&gt;=LiquidMin</f>
        <v>1</v>
      </c>
      <c r="T71" s="71" t="b">
        <f>AND(Scenarios3[[#This Row],[Expected Return]]&gt;=ExpectedReturnMin,Scenarios3[[#This Row],[Expected Return]]&lt;=ExpectedReturnMax)</f>
        <v>1</v>
      </c>
      <c r="U71" s="71" t="b">
        <f>Scenarios3[[#This Row],[Max Drawdown]]&gt;=DrawdownMax</f>
        <v>1</v>
      </c>
      <c r="V7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1" s="46">
        <f>_xlfn.XLOOKUP(Scenarios3[[#This Row],[Reference '#]],ScenariosCombined[Reference '#],ScenariosCombined[Sharpe Rank])</f>
        <v>54</v>
      </c>
      <c r="X71" s="44">
        <f>IF(Scenarios3[[#This Row],[Eligible]],COUNTIFS(Scenarios3[Sharpe],"&gt;"&amp;Scenarios3[[#This Row],[Sharpe]],Scenarios3[Eligible],TRUE())+COUNTIFS(Scenarios3[Sharpe],Scenarios3[[#This Row],[Sharpe]],Scenarios3[Eligible],TRUE()),"")</f>
        <v>42</v>
      </c>
      <c r="Y7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25/30/20/10/15</v>
      </c>
      <c r="Z71" s="139">
        <f>_xlfn.XLOOKUP(Scenarios3[[#This Row],[Reference '#]],Scenarios1[Reference '#],Scenarios1[Sharpe Rank])</f>
        <v>59</v>
      </c>
      <c r="AA71" s="139">
        <f>_xlfn.XLOOKUP(Scenarios3[[#This Row],[Reference '#]],Scenarios2[Reference '#],Scenarios2[Sharpe Rank])</f>
        <v>57</v>
      </c>
      <c r="AB71" s="139">
        <f>Scenarios3[[#This Row],[Sharpe Rank]]</f>
        <v>42</v>
      </c>
      <c r="AC71"/>
      <c r="AD71"/>
      <c r="AE71"/>
      <c r="AF71" s="34"/>
      <c r="AG71" s="34"/>
    </row>
    <row r="72" spans="2:33" s="15" customFormat="1" x14ac:dyDescent="0.2">
      <c r="B72" s="71">
        <v>37</v>
      </c>
      <c r="C72" s="69">
        <v>0.35</v>
      </c>
      <c r="D72" s="69">
        <v>0.3</v>
      </c>
      <c r="E72" s="69">
        <v>0.1</v>
      </c>
      <c r="F72" s="69">
        <v>0.1</v>
      </c>
      <c r="G72" s="69">
        <v>0.15</v>
      </c>
      <c r="H72" s="69">
        <f>SUMPRODUCT(Scenarios3[[#This Row],[SPY]:[PE]],_xlfn.TOROW(AssetSpecsScenario3[Annualized Return]))</f>
        <v>8.69777106527274E-2</v>
      </c>
      <c r="I72" s="69" cm="1">
        <f t="array" ref="I72">SQRT(MMULT(MMULT(Scenarios3[[#This Row],[SPY]:[PE]], 'Corr_Cov 36- Month'!$J$13:$N$17), TRANSPOSE(Scenarios3[[#This Row],[SPY]:[PE]])))</f>
        <v>7.505371692623608E-2</v>
      </c>
      <c r="J72" s="70">
        <f>(Scenarios3[[#This Row],[Expected Return]]-RiskFree)/Scenarios3[[#This Row],[36M Vol]]</f>
        <v>0.53258062004386919</v>
      </c>
      <c r="K72" s="107" cm="1">
        <f t="array" ref="K72">MIN(_xlfn._xlws.FILTER(PortfolioFrontier[#Data],(PortfolioFrontier[#Headers]="P"&amp;Scenarios3[[#This Row],[Reference '#]]&amp;" DD")))</f>
        <v>-0.16658537183824618</v>
      </c>
      <c r="L72" s="69">
        <f>SUM(Scenarios3[[#This Row],[SPY]:[VNQ]])</f>
        <v>0.84999999999999987</v>
      </c>
      <c r="M72" s="69">
        <f>SUM(Scenarios3[[#This Row],[SPY]:[PE]])</f>
        <v>0.99999999999999989</v>
      </c>
      <c r="N72" s="71" t="b">
        <f>Scenarios3[[#This Row],[SPY]]&gt;=SpyMin</f>
        <v>1</v>
      </c>
      <c r="O72" s="71" t="b">
        <f>Scenarios3[[#This Row],[AGG]]&gt;=AGGMin</f>
        <v>1</v>
      </c>
      <c r="P72" s="71" t="b">
        <f>AND(Scenarios3[[#This Row],[GLD]]&gt;=GLDMin,Scenarios3[[#This Row],[GLD]]&lt;=GLDMax)</f>
        <v>1</v>
      </c>
      <c r="Q72" s="71" t="b">
        <f>Scenarios3[[#This Row],[VNQ]]&gt;=VNQMin</f>
        <v>1</v>
      </c>
      <c r="R72" s="71" t="b">
        <f>AND(Scenarios3[[#This Row],[PE]]&gt;=PEMin,Scenarios3[[#This Row],[PE]]&lt;=PEMax)</f>
        <v>1</v>
      </c>
      <c r="S72" s="71" t="b">
        <f>Scenarios3[[#This Row],[Liquid Assets]]&gt;=LiquidMin</f>
        <v>1</v>
      </c>
      <c r="T72" s="71" t="b">
        <f>AND(Scenarios3[[#This Row],[Expected Return]]&gt;=ExpectedReturnMin,Scenarios3[[#This Row],[Expected Return]]&lt;=ExpectedReturnMax)</f>
        <v>1</v>
      </c>
      <c r="U72" s="71" t="b">
        <f>Scenarios3[[#This Row],[Max Drawdown]]&gt;=DrawdownMax</f>
        <v>1</v>
      </c>
      <c r="V7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2" s="46">
        <f>_xlfn.XLOOKUP(Scenarios3[[#This Row],[Reference '#]],ScenariosCombined[Reference '#],ScenariosCombined[Sharpe Rank])</f>
        <v>55</v>
      </c>
      <c r="X72" s="44">
        <f>IF(Scenarios3[[#This Row],[Eligible]],COUNTIFS(Scenarios3[Sharpe],"&gt;"&amp;Scenarios3[[#This Row],[Sharpe]],Scenarios3[Eligible],TRUE())+COUNTIFS(Scenarios3[Sharpe],Scenarios3[[#This Row],[Sharpe]],Scenarios3[Eligible],TRUE()),"")</f>
        <v>43</v>
      </c>
      <c r="Y7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35/30/10/10/15</v>
      </c>
      <c r="Z72" s="139">
        <f>_xlfn.XLOOKUP(Scenarios3[[#This Row],[Reference '#]],Scenarios1[Reference '#],Scenarios1[Sharpe Rank])</f>
        <v>58</v>
      </c>
      <c r="AA72" s="139">
        <f>_xlfn.XLOOKUP(Scenarios3[[#This Row],[Reference '#]],Scenarios2[Reference '#],Scenarios2[Sharpe Rank])</f>
        <v>56</v>
      </c>
      <c r="AB72" s="139">
        <f>Scenarios3[[#This Row],[Sharpe Rank]]</f>
        <v>43</v>
      </c>
      <c r="AC72"/>
      <c r="AD72"/>
      <c r="AE72"/>
      <c r="AF72" s="34"/>
      <c r="AG72" s="34"/>
    </row>
    <row r="73" spans="2:33" s="15" customFormat="1" x14ac:dyDescent="0.2">
      <c r="B73" s="71">
        <v>18</v>
      </c>
      <c r="C73" s="69">
        <v>0.4</v>
      </c>
      <c r="D73" s="69">
        <v>0.25</v>
      </c>
      <c r="E73" s="69">
        <v>0.1</v>
      </c>
      <c r="F73" s="69">
        <v>0.15</v>
      </c>
      <c r="G73" s="69">
        <v>0.1</v>
      </c>
      <c r="H73" s="69">
        <f>SUMPRODUCT(Scenarios3[[#This Row],[SPY]:[PE]],_xlfn.TOROW(AssetSpecsScenario3[Annualized Return]))</f>
        <v>9.2132750013575543E-2</v>
      </c>
      <c r="I73" s="69" cm="1">
        <f t="array" ref="I73">SQRT(MMULT(MMULT(Scenarios3[[#This Row],[SPY]:[PE]], 'Corr_Cov 36- Month'!$J$13:$N$17), TRANSPOSE(Scenarios3[[#This Row],[SPY]:[PE]])))</f>
        <v>8.525368942499599E-2</v>
      </c>
      <c r="J73" s="70">
        <f>(Scenarios3[[#This Row],[Expected Return]]-RiskFree)/Scenarios3[[#This Row],[36M Vol]]</f>
        <v>0.52932834651949867</v>
      </c>
      <c r="K73" s="107" cm="1">
        <f t="array" ref="K73">MIN(_xlfn._xlws.FILTER(PortfolioFrontier[#Data],(PortfolioFrontier[#Headers]="P"&amp;Scenarios3[[#This Row],[Reference '#]]&amp;" DD")))</f>
        <v>-0.18586780321194241</v>
      </c>
      <c r="L73" s="69">
        <f>SUM(Scenarios3[[#This Row],[SPY]:[VNQ]])</f>
        <v>0.9</v>
      </c>
      <c r="M73" s="69">
        <f>SUM(Scenarios3[[#This Row],[SPY]:[PE]])</f>
        <v>1</v>
      </c>
      <c r="N73" s="71" t="b">
        <f>Scenarios3[[#This Row],[SPY]]&gt;=SpyMin</f>
        <v>1</v>
      </c>
      <c r="O73" s="71" t="b">
        <f>Scenarios3[[#This Row],[AGG]]&gt;=AGGMin</f>
        <v>1</v>
      </c>
      <c r="P73" s="71" t="b">
        <f>AND(Scenarios3[[#This Row],[GLD]]&gt;=GLDMin,Scenarios3[[#This Row],[GLD]]&lt;=GLDMax)</f>
        <v>1</v>
      </c>
      <c r="Q73" s="71" t="b">
        <f>Scenarios3[[#This Row],[VNQ]]&gt;=VNQMin</f>
        <v>1</v>
      </c>
      <c r="R73" s="71" t="b">
        <f>AND(Scenarios3[[#This Row],[PE]]&gt;=PEMin,Scenarios3[[#This Row],[PE]]&lt;=PEMax)</f>
        <v>1</v>
      </c>
      <c r="S73" s="71" t="b">
        <f>Scenarios3[[#This Row],[Liquid Assets]]&gt;=LiquidMin</f>
        <v>1</v>
      </c>
      <c r="T73" s="71" t="b">
        <f>AND(Scenarios3[[#This Row],[Expected Return]]&gt;=ExpectedReturnMin,Scenarios3[[#This Row],[Expected Return]]&lt;=ExpectedReturnMax)</f>
        <v>1</v>
      </c>
      <c r="U73" s="71" t="b">
        <f>Scenarios3[[#This Row],[Max Drawdown]]&gt;=DrawdownMax</f>
        <v>1</v>
      </c>
      <c r="V7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3" s="46">
        <f>_xlfn.XLOOKUP(Scenarios3[[#This Row],[Reference '#]],ScenariosCombined[Reference '#],ScenariosCombined[Sharpe Rank])</f>
        <v>49</v>
      </c>
      <c r="X73" s="44">
        <f>IF(Scenarios3[[#This Row],[Eligible]],COUNTIFS(Scenarios3[Sharpe],"&gt;"&amp;Scenarios3[[#This Row],[Sharpe]],Scenarios3[Eligible],TRUE())+COUNTIFS(Scenarios3[Sharpe],Scenarios3[[#This Row],[Sharpe]],Scenarios3[Eligible],TRUE()),"")</f>
        <v>44</v>
      </c>
      <c r="Y7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40/25/10/15/10</v>
      </c>
      <c r="Z73" s="139">
        <f>_xlfn.XLOOKUP(Scenarios3[[#This Row],[Reference '#]],Scenarios1[Reference '#],Scenarios1[Sharpe Rank])</f>
        <v>47</v>
      </c>
      <c r="AA73" s="139">
        <f>_xlfn.XLOOKUP(Scenarios3[[#This Row],[Reference '#]],Scenarios2[Reference '#],Scenarios2[Sharpe Rank])</f>
        <v>46</v>
      </c>
      <c r="AB73" s="139">
        <f>Scenarios3[[#This Row],[Sharpe Rank]]</f>
        <v>44</v>
      </c>
      <c r="AC73"/>
      <c r="AD73"/>
      <c r="AE73"/>
      <c r="AF73" s="34"/>
      <c r="AG73" s="34"/>
    </row>
    <row r="74" spans="2:33" s="15" customFormat="1" x14ac:dyDescent="0.2">
      <c r="B74" s="71">
        <v>74</v>
      </c>
      <c r="C74" s="69">
        <v>0.3</v>
      </c>
      <c r="D74" s="69">
        <v>0.25</v>
      </c>
      <c r="E74" s="69">
        <v>0.15</v>
      </c>
      <c r="F74" s="69">
        <v>0.15</v>
      </c>
      <c r="G74" s="69">
        <v>0.15</v>
      </c>
      <c r="H74" s="69">
        <f>SUMPRODUCT(Scenarios3[[#This Row],[SPY]:[PE]],_xlfn.TOROW(AssetSpecsScenario3[Annualized Return]))</f>
        <v>8.7453675225121721E-2</v>
      </c>
      <c r="I74" s="69" cm="1">
        <f t="array" ref="I74">SQRT(MMULT(MMULT(Scenarios3[[#This Row],[SPY]:[PE]], 'Corr_Cov 36- Month'!$J$13:$N$17), TRANSPOSE(Scenarios3[[#This Row],[SPY]:[PE]])))</f>
        <v>7.7253086138892896E-2</v>
      </c>
      <c r="J74" s="70">
        <f>(Scenarios3[[#This Row],[Expected Return]]-RiskFree)/Scenarios3[[#This Row],[36M Vol]]</f>
        <v>0.52357933761823727</v>
      </c>
      <c r="K74" s="107" cm="1">
        <f t="array" ref="K74">MIN(_xlfn._xlws.FILTER(PortfolioFrontier[#Data],(PortfolioFrontier[#Headers]="P"&amp;Scenarios3[[#This Row],[Reference '#]]&amp;" DD")))</f>
        <v>-0.16702205029844652</v>
      </c>
      <c r="L74" s="69">
        <f>SUM(Scenarios3[[#This Row],[SPY]:[VNQ]])</f>
        <v>0.85000000000000009</v>
      </c>
      <c r="M74" s="69">
        <f>SUM(Scenarios3[[#This Row],[SPY]:[PE]])</f>
        <v>1</v>
      </c>
      <c r="N74" s="71" t="b">
        <f>Scenarios3[[#This Row],[SPY]]&gt;=SpyMin</f>
        <v>1</v>
      </c>
      <c r="O74" s="71" t="b">
        <f>Scenarios3[[#This Row],[AGG]]&gt;=AGGMin</f>
        <v>1</v>
      </c>
      <c r="P74" s="71" t="b">
        <f>AND(Scenarios3[[#This Row],[GLD]]&gt;=GLDMin,Scenarios3[[#This Row],[GLD]]&lt;=GLDMax)</f>
        <v>1</v>
      </c>
      <c r="Q74" s="71" t="b">
        <f>Scenarios3[[#This Row],[VNQ]]&gt;=VNQMin</f>
        <v>1</v>
      </c>
      <c r="R74" s="71" t="b">
        <f>AND(Scenarios3[[#This Row],[PE]]&gt;=PEMin,Scenarios3[[#This Row],[PE]]&lt;=PEMax)</f>
        <v>1</v>
      </c>
      <c r="S74" s="71" t="b">
        <f>Scenarios3[[#This Row],[Liquid Assets]]&gt;=LiquidMin</f>
        <v>1</v>
      </c>
      <c r="T74" s="71" t="b">
        <f>AND(Scenarios3[[#This Row],[Expected Return]]&gt;=ExpectedReturnMin,Scenarios3[[#This Row],[Expected Return]]&lt;=ExpectedReturnMax)</f>
        <v>1</v>
      </c>
      <c r="U74" s="71" t="b">
        <f>Scenarios3[[#This Row],[Max Drawdown]]&gt;=DrawdownMax</f>
        <v>1</v>
      </c>
      <c r="V7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4" s="46">
        <f>_xlfn.XLOOKUP(Scenarios3[[#This Row],[Reference '#]],ScenariosCombined[Reference '#],ScenariosCombined[Sharpe Rank])</f>
        <v>58</v>
      </c>
      <c r="X74" s="44">
        <f>IF(Scenarios3[[#This Row],[Eligible]],COUNTIFS(Scenarios3[Sharpe],"&gt;"&amp;Scenarios3[[#This Row],[Sharpe]],Scenarios3[Eligible],TRUE())+COUNTIFS(Scenarios3[Sharpe],Scenarios3[[#This Row],[Sharpe]],Scenarios3[Eligible],TRUE()),"")</f>
        <v>45</v>
      </c>
      <c r="Y7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30/25/15/15/15</v>
      </c>
      <c r="Z74" s="139">
        <f>_xlfn.XLOOKUP(Scenarios3[[#This Row],[Reference '#]],Scenarios1[Reference '#],Scenarios1[Sharpe Rank])</f>
        <v>60</v>
      </c>
      <c r="AA74" s="139">
        <f>_xlfn.XLOOKUP(Scenarios3[[#This Row],[Reference '#]],Scenarios2[Reference '#],Scenarios2[Sharpe Rank])</f>
        <v>58</v>
      </c>
      <c r="AB74" s="139">
        <f>Scenarios3[[#This Row],[Sharpe Rank]]</f>
        <v>45</v>
      </c>
      <c r="AC74"/>
      <c r="AD74"/>
      <c r="AE74"/>
      <c r="AF74" s="34"/>
      <c r="AG74" s="34"/>
    </row>
    <row r="75" spans="2:33" s="15" customFormat="1" x14ac:dyDescent="0.2">
      <c r="B75" s="71">
        <v>79</v>
      </c>
      <c r="C75" s="69">
        <v>0.3</v>
      </c>
      <c r="D75" s="69">
        <v>0.2</v>
      </c>
      <c r="E75" s="69">
        <v>0.2</v>
      </c>
      <c r="F75" s="69">
        <v>0.2</v>
      </c>
      <c r="G75" s="69">
        <v>0.1</v>
      </c>
      <c r="H75" s="69">
        <f>SUMPRODUCT(Scenarios3[[#This Row],[SPY]:[PE]],_xlfn.TOROW(AssetSpecsScenario3[Annualized Return]))</f>
        <v>9.1500939812200699E-2</v>
      </c>
      <c r="I75" s="69" cm="1">
        <f t="array" ref="I75">SQRT(MMULT(MMULT(Scenarios3[[#This Row],[SPY]:[PE]], 'Corr_Cov 36- Month'!$J$13:$N$17), TRANSPOSE(Scenarios3[[#This Row],[SPY]:[PE]])))</f>
        <v>8.5132960604778929E-2</v>
      </c>
      <c r="J75" s="70">
        <f>(Scenarios3[[#This Row],[Expected Return]]-RiskFree)/Scenarios3[[#This Row],[36M Vol]]</f>
        <v>0.52265754580309287</v>
      </c>
      <c r="K75" s="107" cm="1">
        <f t="array" ref="K75">MIN(_xlfn._xlws.FILTER(PortfolioFrontier[#Data],(PortfolioFrontier[#Headers]="P"&amp;Scenarios3[[#This Row],[Reference '#]]&amp;" DD")))</f>
        <v>-0.17903947068730142</v>
      </c>
      <c r="L75" s="69">
        <f>SUM(Scenarios3[[#This Row],[SPY]:[VNQ]])</f>
        <v>0.89999999999999991</v>
      </c>
      <c r="M75" s="69">
        <f>SUM(Scenarios3[[#This Row],[SPY]:[PE]])</f>
        <v>0.99999999999999989</v>
      </c>
      <c r="N75" s="71" t="b">
        <f>Scenarios3[[#This Row],[SPY]]&gt;=SpyMin</f>
        <v>1</v>
      </c>
      <c r="O75" s="71" t="b">
        <f>Scenarios3[[#This Row],[AGG]]&gt;=AGGMin</f>
        <v>1</v>
      </c>
      <c r="P75" s="71" t="b">
        <f>AND(Scenarios3[[#This Row],[GLD]]&gt;=GLDMin,Scenarios3[[#This Row],[GLD]]&lt;=GLDMax)</f>
        <v>1</v>
      </c>
      <c r="Q75" s="71" t="b">
        <f>Scenarios3[[#This Row],[VNQ]]&gt;=VNQMin</f>
        <v>1</v>
      </c>
      <c r="R75" s="71" t="b">
        <f>AND(Scenarios3[[#This Row],[PE]]&gt;=PEMin,Scenarios3[[#This Row],[PE]]&lt;=PEMax)</f>
        <v>1</v>
      </c>
      <c r="S75" s="71" t="b">
        <f>Scenarios3[[#This Row],[Liquid Assets]]&gt;=LiquidMin</f>
        <v>1</v>
      </c>
      <c r="T75" s="71" t="b">
        <f>AND(Scenarios3[[#This Row],[Expected Return]]&gt;=ExpectedReturnMin,Scenarios3[[#This Row],[Expected Return]]&lt;=ExpectedReturnMax)</f>
        <v>1</v>
      </c>
      <c r="U75" s="71" t="b">
        <f>Scenarios3[[#This Row],[Max Drawdown]]&gt;=DrawdownMax</f>
        <v>1</v>
      </c>
      <c r="V7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5" s="46">
        <f>_xlfn.XLOOKUP(Scenarios3[[#This Row],[Reference '#]],ScenariosCombined[Reference '#],ScenariosCombined[Sharpe Rank])</f>
        <v>50</v>
      </c>
      <c r="X75" s="44">
        <f>IF(Scenarios3[[#This Row],[Eligible]],COUNTIFS(Scenarios3[Sharpe],"&gt;"&amp;Scenarios3[[#This Row],[Sharpe]],Scenarios3[Eligible],TRUE())+COUNTIFS(Scenarios3[Sharpe],Scenarios3[[#This Row],[Sharpe]],Scenarios3[Eligible],TRUE()),"")</f>
        <v>46</v>
      </c>
      <c r="Y7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30/20/20/20/10</v>
      </c>
      <c r="Z75" s="139">
        <f>_xlfn.XLOOKUP(Scenarios3[[#This Row],[Reference '#]],Scenarios1[Reference '#],Scenarios1[Sharpe Rank])</f>
        <v>49</v>
      </c>
      <c r="AA75" s="139">
        <f>_xlfn.XLOOKUP(Scenarios3[[#This Row],[Reference '#]],Scenarios2[Reference '#],Scenarios2[Sharpe Rank])</f>
        <v>49</v>
      </c>
      <c r="AB75" s="139">
        <f>Scenarios3[[#This Row],[Sharpe Rank]]</f>
        <v>46</v>
      </c>
      <c r="AC75"/>
      <c r="AD75"/>
      <c r="AE75"/>
      <c r="AF75" s="34"/>
      <c r="AG75" s="34"/>
    </row>
    <row r="76" spans="2:33" s="15" customFormat="1" x14ac:dyDescent="0.2">
      <c r="B76" s="71">
        <v>116</v>
      </c>
      <c r="C76" s="69">
        <v>0.25</v>
      </c>
      <c r="D76" s="69">
        <v>0.25</v>
      </c>
      <c r="E76" s="69">
        <v>0.2</v>
      </c>
      <c r="F76" s="69">
        <v>0.15</v>
      </c>
      <c r="G76" s="69">
        <v>0.15</v>
      </c>
      <c r="H76" s="69">
        <f>SUMPRODUCT(Scenarios3[[#This Row],[SPY]:[PE]],_xlfn.TOROW(AssetSpecsScenario3[Annualized Return]))</f>
        <v>8.634590045135257E-2</v>
      </c>
      <c r="I76" s="69" cm="1">
        <f t="array" ref="I76">SQRT(MMULT(MMULT(Scenarios3[[#This Row],[SPY]:[PE]], 'Corr_Cov 36- Month'!$J$13:$N$17), TRANSPOSE(Scenarios3[[#This Row],[SPY]:[PE]])))</f>
        <v>7.5336421006106366E-2</v>
      </c>
      <c r="J76" s="70">
        <f>(Scenarios3[[#This Row],[Expected Return]]-RiskFree)/Scenarios3[[#This Row],[36M Vol]]</f>
        <v>0.52219556451464955</v>
      </c>
      <c r="K76" s="107" cm="1">
        <f t="array" ref="K76">MIN(_xlfn._xlws.FILTER(PortfolioFrontier[#Data],(PortfolioFrontier[#Headers]="P"&amp;Scenarios3[[#This Row],[Reference '#]]&amp;" DD")))</f>
        <v>-0.15972578344997812</v>
      </c>
      <c r="L76" s="69">
        <f>SUM(Scenarios3[[#This Row],[SPY]:[VNQ]])</f>
        <v>0.85</v>
      </c>
      <c r="M76" s="69">
        <f>SUM(Scenarios3[[#This Row],[SPY]:[PE]])</f>
        <v>1</v>
      </c>
      <c r="N76" s="71" t="b">
        <f>Scenarios3[[#This Row],[SPY]]&gt;=SpyMin</f>
        <v>1</v>
      </c>
      <c r="O76" s="71" t="b">
        <f>Scenarios3[[#This Row],[AGG]]&gt;=AGGMin</f>
        <v>1</v>
      </c>
      <c r="P76" s="71" t="b">
        <f>AND(Scenarios3[[#This Row],[GLD]]&gt;=GLDMin,Scenarios3[[#This Row],[GLD]]&lt;=GLDMax)</f>
        <v>1</v>
      </c>
      <c r="Q76" s="71" t="b">
        <f>Scenarios3[[#This Row],[VNQ]]&gt;=VNQMin</f>
        <v>1</v>
      </c>
      <c r="R76" s="71" t="b">
        <f>AND(Scenarios3[[#This Row],[PE]]&gt;=PEMin,Scenarios3[[#This Row],[PE]]&lt;=PEMax)</f>
        <v>1</v>
      </c>
      <c r="S76" s="71" t="b">
        <f>Scenarios3[[#This Row],[Liquid Assets]]&gt;=LiquidMin</f>
        <v>1</v>
      </c>
      <c r="T76" s="71" t="b">
        <f>AND(Scenarios3[[#This Row],[Expected Return]]&gt;=ExpectedReturnMin,Scenarios3[[#This Row],[Expected Return]]&lt;=ExpectedReturnMax)</f>
        <v>1</v>
      </c>
      <c r="U76" s="71" t="b">
        <f>Scenarios3[[#This Row],[Max Drawdown]]&gt;=DrawdownMax</f>
        <v>1</v>
      </c>
      <c r="V7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6" s="46">
        <f>_xlfn.XLOOKUP(Scenarios3[[#This Row],[Reference '#]],ScenariosCombined[Reference '#],ScenariosCombined[Sharpe Rank])</f>
        <v>59</v>
      </c>
      <c r="X76" s="44">
        <f>IF(Scenarios3[[#This Row],[Eligible]],COUNTIFS(Scenarios3[Sharpe],"&gt;"&amp;Scenarios3[[#This Row],[Sharpe]],Scenarios3[Eligible],TRUE())+COUNTIFS(Scenarios3[Sharpe],Scenarios3[[#This Row],[Sharpe]],Scenarios3[Eligible],TRUE()),"")</f>
        <v>47</v>
      </c>
      <c r="Y7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25/25/20/15/15</v>
      </c>
      <c r="Z76" s="139">
        <f>_xlfn.XLOOKUP(Scenarios3[[#This Row],[Reference '#]],Scenarios1[Reference '#],Scenarios1[Sharpe Rank])</f>
        <v>62</v>
      </c>
      <c r="AA76" s="139">
        <f>_xlfn.XLOOKUP(Scenarios3[[#This Row],[Reference '#]],Scenarios2[Reference '#],Scenarios2[Sharpe Rank])</f>
        <v>59</v>
      </c>
      <c r="AB76" s="139">
        <f>Scenarios3[[#This Row],[Sharpe Rank]]</f>
        <v>47</v>
      </c>
      <c r="AC76"/>
      <c r="AD76"/>
      <c r="AE76"/>
      <c r="AF76" s="34"/>
      <c r="AG76" s="34"/>
    </row>
    <row r="77" spans="2:33" s="15" customFormat="1" x14ac:dyDescent="0.2">
      <c r="B77" s="71">
        <v>111</v>
      </c>
      <c r="C77" s="69">
        <v>0.25</v>
      </c>
      <c r="D77" s="69">
        <v>0.3</v>
      </c>
      <c r="E77" s="69">
        <v>0.15</v>
      </c>
      <c r="F77" s="69">
        <v>0.1</v>
      </c>
      <c r="G77" s="69">
        <v>0.2</v>
      </c>
      <c r="H77" s="69">
        <f>SUMPRODUCT(Scenarios3[[#This Row],[SPY]:[PE]],_xlfn.TOROW(AssetSpecsScenario3[Annualized Return]))</f>
        <v>8.2298635864273578E-2</v>
      </c>
      <c r="I77" s="69" cm="1">
        <f t="array" ref="I77">SQRT(MMULT(MMULT(Scenarios3[[#This Row],[SPY]:[PE]], 'Corr_Cov 36- Month'!$J$13:$N$17), TRANSPOSE(Scenarios3[[#This Row],[SPY]:[PE]])))</f>
        <v>6.7605620867609642E-2</v>
      </c>
      <c r="J77" s="70">
        <f>(Scenarios3[[#This Row],[Expected Return]]-RiskFree)/Scenarios3[[#This Row],[36M Vol]]</f>
        <v>0.52204357945076141</v>
      </c>
      <c r="K77" s="107" cm="1">
        <f t="array" ref="K77">MIN(_xlfn._xlws.FILTER(PortfolioFrontier[#Data],(PortfolioFrontier[#Headers]="P"&amp;Scenarios3[[#This Row],[Reference '#]]&amp;" DD")))</f>
        <v>-0.14761879853353232</v>
      </c>
      <c r="L77" s="69">
        <f>SUM(Scenarios3[[#This Row],[SPY]:[VNQ]])</f>
        <v>0.8</v>
      </c>
      <c r="M77" s="69">
        <f>SUM(Scenarios3[[#This Row],[SPY]:[PE]])</f>
        <v>1</v>
      </c>
      <c r="N77" s="71" t="b">
        <f>Scenarios3[[#This Row],[SPY]]&gt;=SpyMin</f>
        <v>1</v>
      </c>
      <c r="O77" s="71" t="b">
        <f>Scenarios3[[#This Row],[AGG]]&gt;=AGGMin</f>
        <v>1</v>
      </c>
      <c r="P77" s="71" t="b">
        <f>AND(Scenarios3[[#This Row],[GLD]]&gt;=GLDMin,Scenarios3[[#This Row],[GLD]]&lt;=GLDMax)</f>
        <v>1</v>
      </c>
      <c r="Q77" s="71" t="b">
        <f>Scenarios3[[#This Row],[VNQ]]&gt;=VNQMin</f>
        <v>1</v>
      </c>
      <c r="R77" s="71" t="b">
        <f>AND(Scenarios3[[#This Row],[PE]]&gt;=PEMin,Scenarios3[[#This Row],[PE]]&lt;=PEMax)</f>
        <v>1</v>
      </c>
      <c r="S77" s="71" t="b">
        <f>Scenarios3[[#This Row],[Liquid Assets]]&gt;=LiquidMin</f>
        <v>1</v>
      </c>
      <c r="T77" s="71" t="b">
        <f>AND(Scenarios3[[#This Row],[Expected Return]]&gt;=ExpectedReturnMin,Scenarios3[[#This Row],[Expected Return]]&lt;=ExpectedReturnMax)</f>
        <v>1</v>
      </c>
      <c r="U77" s="71" t="b">
        <f>Scenarios3[[#This Row],[Max Drawdown]]&gt;=DrawdownMax</f>
        <v>1</v>
      </c>
      <c r="V7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7" s="46">
        <f>_xlfn.XLOOKUP(Scenarios3[[#This Row],[Reference '#]],ScenariosCombined[Reference '#],ScenariosCombined[Sharpe Rank])</f>
        <v>64</v>
      </c>
      <c r="X77" s="44">
        <f>IF(Scenarios3[[#This Row],[Eligible]],COUNTIFS(Scenarios3[Sharpe],"&gt;"&amp;Scenarios3[[#This Row],[Sharpe]],Scenarios3[Eligible],TRUE())+COUNTIFS(Scenarios3[Sharpe],Scenarios3[[#This Row],[Sharpe]],Scenarios3[Eligible],TRUE()),"")</f>
        <v>48</v>
      </c>
      <c r="Y7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25/30/15/10/20</v>
      </c>
      <c r="Z77" s="139">
        <f>_xlfn.XLOOKUP(Scenarios3[[#This Row],[Reference '#]],Scenarios1[Reference '#],Scenarios1[Sharpe Rank])</f>
        <v>75</v>
      </c>
      <c r="AA77" s="139">
        <f>_xlfn.XLOOKUP(Scenarios3[[#This Row],[Reference '#]],Scenarios2[Reference '#],Scenarios2[Sharpe Rank])</f>
        <v>69</v>
      </c>
      <c r="AB77" s="139">
        <f>Scenarios3[[#This Row],[Sharpe Rank]]</f>
        <v>48</v>
      </c>
      <c r="AC77"/>
      <c r="AD77"/>
      <c r="AE77"/>
      <c r="AF77" s="34"/>
      <c r="AG77" s="34"/>
    </row>
    <row r="78" spans="2:33" s="15" customFormat="1" x14ac:dyDescent="0.2">
      <c r="B78" s="71">
        <v>46</v>
      </c>
      <c r="C78" s="69">
        <v>0.35</v>
      </c>
      <c r="D78" s="69">
        <v>0.2</v>
      </c>
      <c r="E78" s="69">
        <v>0.15</v>
      </c>
      <c r="F78" s="69">
        <v>0.2</v>
      </c>
      <c r="G78" s="69">
        <v>0.1</v>
      </c>
      <c r="H78" s="69">
        <f>SUMPRODUCT(Scenarios3[[#This Row],[SPY]:[PE]],_xlfn.TOROW(AssetSpecsScenario3[Annualized Return]))</f>
        <v>9.2608714585969851E-2</v>
      </c>
      <c r="I78" s="69" cm="1">
        <f t="array" ref="I78">SQRT(MMULT(MMULT(Scenarios3[[#This Row],[SPY]:[PE]], 'Corr_Cov 36- Month'!$J$13:$N$17), TRANSPOSE(Scenarios3[[#This Row],[SPY]:[PE]])))</f>
        <v>8.7430987481754693E-2</v>
      </c>
      <c r="J78" s="70">
        <f>(Scenarios3[[#This Row],[Expected Return]]-RiskFree)/Scenarios3[[#This Row],[36M Vol]]</f>
        <v>0.52159034621370226</v>
      </c>
      <c r="K78" s="107" cm="1">
        <f t="array" ref="K78">MIN(_xlfn._xlws.FILTER(PortfolioFrontier[#Data],(PortfolioFrontier[#Headers]="P"&amp;Scenarios3[[#This Row],[Reference '#]]&amp;" DD")))</f>
        <v>-0.18630131001666095</v>
      </c>
      <c r="L78" s="69">
        <f>SUM(Scenarios3[[#This Row],[SPY]:[VNQ]])</f>
        <v>0.90000000000000013</v>
      </c>
      <c r="M78" s="69">
        <f>SUM(Scenarios3[[#This Row],[SPY]:[PE]])</f>
        <v>1.0000000000000002</v>
      </c>
      <c r="N78" s="71" t="b">
        <f>Scenarios3[[#This Row],[SPY]]&gt;=SpyMin</f>
        <v>1</v>
      </c>
      <c r="O78" s="71" t="b">
        <f>Scenarios3[[#This Row],[AGG]]&gt;=AGGMin</f>
        <v>1</v>
      </c>
      <c r="P78" s="71" t="b">
        <f>AND(Scenarios3[[#This Row],[GLD]]&gt;=GLDMin,Scenarios3[[#This Row],[GLD]]&lt;=GLDMax)</f>
        <v>1</v>
      </c>
      <c r="Q78" s="71" t="b">
        <f>Scenarios3[[#This Row],[VNQ]]&gt;=VNQMin</f>
        <v>1</v>
      </c>
      <c r="R78" s="71" t="b">
        <f>AND(Scenarios3[[#This Row],[PE]]&gt;=PEMin,Scenarios3[[#This Row],[PE]]&lt;=PEMax)</f>
        <v>1</v>
      </c>
      <c r="S78" s="71" t="b">
        <f>Scenarios3[[#This Row],[Liquid Assets]]&gt;=LiquidMin</f>
        <v>1</v>
      </c>
      <c r="T78" s="71" t="b">
        <f>AND(Scenarios3[[#This Row],[Expected Return]]&gt;=ExpectedReturnMin,Scenarios3[[#This Row],[Expected Return]]&lt;=ExpectedReturnMax)</f>
        <v>1</v>
      </c>
      <c r="U78" s="71" t="b">
        <f>Scenarios3[[#This Row],[Max Drawdown]]&gt;=DrawdownMax</f>
        <v>1</v>
      </c>
      <c r="V7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8" s="46">
        <f>_xlfn.XLOOKUP(Scenarios3[[#This Row],[Reference '#]],ScenariosCombined[Reference '#],ScenariosCombined[Sharpe Rank])</f>
        <v>51</v>
      </c>
      <c r="X78" s="44">
        <f>IF(Scenarios3[[#This Row],[Eligible]],COUNTIFS(Scenarios3[Sharpe],"&gt;"&amp;Scenarios3[[#This Row],[Sharpe]],Scenarios3[Eligible],TRUE())+COUNTIFS(Scenarios3[Sharpe],Scenarios3[[#This Row],[Sharpe]],Scenarios3[Eligible],TRUE()),"")</f>
        <v>49</v>
      </c>
      <c r="Y7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35/20/15/20/10</v>
      </c>
      <c r="Z78" s="139">
        <f>_xlfn.XLOOKUP(Scenarios3[[#This Row],[Reference '#]],Scenarios1[Reference '#],Scenarios1[Sharpe Rank])</f>
        <v>50</v>
      </c>
      <c r="AA78" s="139">
        <f>_xlfn.XLOOKUP(Scenarios3[[#This Row],[Reference '#]],Scenarios2[Reference '#],Scenarios2[Sharpe Rank])</f>
        <v>50</v>
      </c>
      <c r="AB78" s="139">
        <f>Scenarios3[[#This Row],[Sharpe Rank]]</f>
        <v>49</v>
      </c>
      <c r="AC78"/>
      <c r="AD78"/>
      <c r="AE78"/>
      <c r="AF78" s="34"/>
      <c r="AG78" s="34"/>
    </row>
    <row r="79" spans="2:33" s="15" customFormat="1" x14ac:dyDescent="0.2">
      <c r="B79" s="71">
        <v>70</v>
      </c>
      <c r="C79" s="69">
        <v>0.3</v>
      </c>
      <c r="D79" s="69">
        <v>0.3</v>
      </c>
      <c r="E79" s="69">
        <v>0.1</v>
      </c>
      <c r="F79" s="69">
        <v>0.1</v>
      </c>
      <c r="G79" s="69">
        <v>0.2</v>
      </c>
      <c r="H79" s="69">
        <f>SUMPRODUCT(Scenarios3[[#This Row],[SPY]:[PE]],_xlfn.TOROW(AssetSpecsScenario3[Annualized Return]))</f>
        <v>8.3406410638042744E-2</v>
      </c>
      <c r="I79" s="69" cm="1">
        <f t="array" ref="I79">SQRT(MMULT(MMULT(Scenarios3[[#This Row],[SPY]:[PE]], 'Corr_Cov 36- Month'!$J$13:$N$17), TRANSPOSE(Scenarios3[[#This Row],[SPY]:[PE]])))</f>
        <v>7.0183318774743708E-2</v>
      </c>
      <c r="J79" s="70">
        <f>(Scenarios3[[#This Row],[Expected Return]]-RiskFree)/Scenarios3[[#This Row],[36M Vol]]</f>
        <v>0.51865394395664388</v>
      </c>
      <c r="K79" s="107" cm="1">
        <f t="array" ref="K79">MIN(_xlfn._xlws.FILTER(PortfolioFrontier[#Data],(PortfolioFrontier[#Headers]="P"&amp;Scenarios3[[#This Row],[Reference '#]]&amp;" DD")))</f>
        <v>-0.15496704459696842</v>
      </c>
      <c r="L79" s="69">
        <f>SUM(Scenarios3[[#This Row],[SPY]:[VNQ]])</f>
        <v>0.79999999999999993</v>
      </c>
      <c r="M79" s="69">
        <f>SUM(Scenarios3[[#This Row],[SPY]:[PE]])</f>
        <v>1</v>
      </c>
      <c r="N79" s="71" t="b">
        <f>Scenarios3[[#This Row],[SPY]]&gt;=SpyMin</f>
        <v>1</v>
      </c>
      <c r="O79" s="71" t="b">
        <f>Scenarios3[[#This Row],[AGG]]&gt;=AGGMin</f>
        <v>1</v>
      </c>
      <c r="P79" s="71" t="b">
        <f>AND(Scenarios3[[#This Row],[GLD]]&gt;=GLDMin,Scenarios3[[#This Row],[GLD]]&lt;=GLDMax)</f>
        <v>1</v>
      </c>
      <c r="Q79" s="71" t="b">
        <f>Scenarios3[[#This Row],[VNQ]]&gt;=VNQMin</f>
        <v>1</v>
      </c>
      <c r="R79" s="71" t="b">
        <f>AND(Scenarios3[[#This Row],[PE]]&gt;=PEMin,Scenarios3[[#This Row],[PE]]&lt;=PEMax)</f>
        <v>1</v>
      </c>
      <c r="S79" s="71" t="b">
        <f>Scenarios3[[#This Row],[Liquid Assets]]&gt;=LiquidMin</f>
        <v>1</v>
      </c>
      <c r="T79" s="71" t="b">
        <f>AND(Scenarios3[[#This Row],[Expected Return]]&gt;=ExpectedReturnMin,Scenarios3[[#This Row],[Expected Return]]&lt;=ExpectedReturnMax)</f>
        <v>1</v>
      </c>
      <c r="U79" s="71" t="b">
        <f>Scenarios3[[#This Row],[Max Drawdown]]&gt;=DrawdownMax</f>
        <v>1</v>
      </c>
      <c r="V7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79" s="46">
        <f>_xlfn.XLOOKUP(Scenarios3[[#This Row],[Reference '#]],ScenariosCombined[Reference '#],ScenariosCombined[Sharpe Rank])</f>
        <v>66</v>
      </c>
      <c r="X79" s="44">
        <f>IF(Scenarios3[[#This Row],[Eligible]],COUNTIFS(Scenarios3[Sharpe],"&gt;"&amp;Scenarios3[[#This Row],[Sharpe]],Scenarios3[Eligible],TRUE())+COUNTIFS(Scenarios3[Sharpe],Scenarios3[[#This Row],[Sharpe]],Scenarios3[Eligible],TRUE()),"")</f>
        <v>50</v>
      </c>
      <c r="Y7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30/30/10/10/20</v>
      </c>
      <c r="Z79" s="139">
        <f>_xlfn.XLOOKUP(Scenarios3[[#This Row],[Reference '#]],Scenarios1[Reference '#],Scenarios1[Sharpe Rank])</f>
        <v>74</v>
      </c>
      <c r="AA79" s="139">
        <f>_xlfn.XLOOKUP(Scenarios3[[#This Row],[Reference '#]],Scenarios2[Reference '#],Scenarios2[Sharpe Rank])</f>
        <v>70</v>
      </c>
      <c r="AB79" s="139">
        <f>Scenarios3[[#This Row],[Sharpe Rank]]</f>
        <v>50</v>
      </c>
      <c r="AC79"/>
      <c r="AD79"/>
      <c r="AE79"/>
      <c r="AF79" s="34"/>
      <c r="AG79" s="34"/>
    </row>
    <row r="80" spans="2:33" s="15" customFormat="1" x14ac:dyDescent="0.2">
      <c r="B80" s="71">
        <v>42</v>
      </c>
      <c r="C80" s="69">
        <v>0.35</v>
      </c>
      <c r="D80" s="69">
        <v>0.25</v>
      </c>
      <c r="E80" s="69">
        <v>0.1</v>
      </c>
      <c r="F80" s="69">
        <v>0.15</v>
      </c>
      <c r="G80" s="69">
        <v>0.15</v>
      </c>
      <c r="H80" s="69">
        <f>SUMPRODUCT(Scenarios3[[#This Row],[SPY]:[PE]],_xlfn.TOROW(AssetSpecsScenario3[Annualized Return]))</f>
        <v>8.8561449998890873E-2</v>
      </c>
      <c r="I80" s="69" cm="1">
        <f t="array" ref="I80">SQRT(MMULT(MMULT(Scenarios3[[#This Row],[SPY]:[PE]], 'Corr_Cov 36- Month'!$J$13:$N$17), TRANSPOSE(Scenarios3[[#This Row],[SPY]:[PE]])))</f>
        <v>8.0170513170688407E-2</v>
      </c>
      <c r="J80" s="70">
        <f>(Scenarios3[[#This Row],[Expected Return]]-RiskFree)/Scenarios3[[#This Row],[36M Vol]]</f>
        <v>0.51834387482165711</v>
      </c>
      <c r="K80" s="107" cm="1">
        <f t="array" ref="K80">MIN(_xlfn._xlws.FILTER(PortfolioFrontier[#Data],(PortfolioFrontier[#Headers]="P"&amp;Scenarios3[[#This Row],[Reference '#]]&amp;" DD")))</f>
        <v>-0.17433777288872498</v>
      </c>
      <c r="L80" s="69">
        <f>SUM(Scenarios3[[#This Row],[SPY]:[VNQ]])</f>
        <v>0.85</v>
      </c>
      <c r="M80" s="69">
        <f>SUM(Scenarios3[[#This Row],[SPY]:[PE]])</f>
        <v>1</v>
      </c>
      <c r="N80" s="71" t="b">
        <f>Scenarios3[[#This Row],[SPY]]&gt;=SpyMin</f>
        <v>1</v>
      </c>
      <c r="O80" s="71" t="b">
        <f>Scenarios3[[#This Row],[AGG]]&gt;=AGGMin</f>
        <v>1</v>
      </c>
      <c r="P80" s="71" t="b">
        <f>AND(Scenarios3[[#This Row],[GLD]]&gt;=GLDMin,Scenarios3[[#This Row],[GLD]]&lt;=GLDMax)</f>
        <v>1</v>
      </c>
      <c r="Q80" s="71" t="b">
        <f>Scenarios3[[#This Row],[VNQ]]&gt;=VNQMin</f>
        <v>1</v>
      </c>
      <c r="R80" s="71" t="b">
        <f>AND(Scenarios3[[#This Row],[PE]]&gt;=PEMin,Scenarios3[[#This Row],[PE]]&lt;=PEMax)</f>
        <v>1</v>
      </c>
      <c r="S80" s="71" t="b">
        <f>Scenarios3[[#This Row],[Liquid Assets]]&gt;=LiquidMin</f>
        <v>1</v>
      </c>
      <c r="T80" s="71" t="b">
        <f>AND(Scenarios3[[#This Row],[Expected Return]]&gt;=ExpectedReturnMin,Scenarios3[[#This Row],[Expected Return]]&lt;=ExpectedReturnMax)</f>
        <v>1</v>
      </c>
      <c r="U80" s="71" t="b">
        <f>Scenarios3[[#This Row],[Max Drawdown]]&gt;=DrawdownMax</f>
        <v>1</v>
      </c>
      <c r="V8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0" s="46">
        <f>_xlfn.XLOOKUP(Scenarios3[[#This Row],[Reference '#]],ScenariosCombined[Reference '#],ScenariosCombined[Sharpe Rank])</f>
        <v>60</v>
      </c>
      <c r="X80" s="44">
        <f>IF(Scenarios3[[#This Row],[Eligible]],COUNTIFS(Scenarios3[Sharpe],"&gt;"&amp;Scenarios3[[#This Row],[Sharpe]],Scenarios3[Eligible],TRUE())+COUNTIFS(Scenarios3[Sharpe],Scenarios3[[#This Row],[Sharpe]],Scenarios3[Eligible],TRUE()),"")</f>
        <v>51</v>
      </c>
      <c r="Y8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35/25/10/15/15</v>
      </c>
      <c r="Z80" s="139">
        <f>_xlfn.XLOOKUP(Scenarios3[[#This Row],[Reference '#]],Scenarios1[Reference '#],Scenarios1[Sharpe Rank])</f>
        <v>61</v>
      </c>
      <c r="AA80" s="139">
        <f>_xlfn.XLOOKUP(Scenarios3[[#This Row],[Reference '#]],Scenarios2[Reference '#],Scenarios2[Sharpe Rank])</f>
        <v>60</v>
      </c>
      <c r="AB80" s="139">
        <f>Scenarios3[[#This Row],[Sharpe Rank]]</f>
        <v>51</v>
      </c>
      <c r="AC80"/>
      <c r="AD80"/>
      <c r="AE80"/>
      <c r="AF80" s="34"/>
      <c r="AG80" s="34"/>
    </row>
    <row r="81" spans="2:33" s="15" customFormat="1" x14ac:dyDescent="0.2">
      <c r="B81" s="71">
        <v>23</v>
      </c>
      <c r="C81" s="69">
        <v>0.4</v>
      </c>
      <c r="D81" s="69">
        <v>0.2</v>
      </c>
      <c r="E81" s="69">
        <v>0.1</v>
      </c>
      <c r="F81" s="69">
        <v>0.2</v>
      </c>
      <c r="G81" s="69">
        <v>0.1</v>
      </c>
      <c r="H81" s="69">
        <f>SUMPRODUCT(Scenarios3[[#This Row],[SPY]:[PE]],_xlfn.TOROW(AssetSpecsScenario3[Annualized Return]))</f>
        <v>9.3716489359739016E-2</v>
      </c>
      <c r="I81" s="69" cm="1">
        <f t="array" ref="I81">SQRT(MMULT(MMULT(Scenarios3[[#This Row],[SPY]:[PE]], 'Corr_Cov 36- Month'!$J$13:$N$17), TRANSPOSE(Scenarios3[[#This Row],[SPY]:[PE]])))</f>
        <v>9.0595491272077472E-2</v>
      </c>
      <c r="J81" s="70">
        <f>(Scenarios3[[#This Row],[Expected Return]]-RiskFree)/Scenarios3[[#This Row],[36M Vol]]</f>
        <v>0.51559887968266127</v>
      </c>
      <c r="K81" s="107" cm="1">
        <f t="array" ref="K81">MIN(_xlfn._xlws.FILTER(PortfolioFrontier[#Data],(PortfolioFrontier[#Headers]="P"&amp;Scenarios3[[#This Row],[Reference '#]]&amp;" DD")))</f>
        <v>-0.19358005839495529</v>
      </c>
      <c r="L81" s="69">
        <f>SUM(Scenarios3[[#This Row],[SPY]:[VNQ]])</f>
        <v>0.90000000000000013</v>
      </c>
      <c r="M81" s="69">
        <f>SUM(Scenarios3[[#This Row],[SPY]:[PE]])</f>
        <v>1.0000000000000002</v>
      </c>
      <c r="N81" s="71" t="b">
        <f>Scenarios3[[#This Row],[SPY]]&gt;=SpyMin</f>
        <v>1</v>
      </c>
      <c r="O81" s="71" t="b">
        <f>Scenarios3[[#This Row],[AGG]]&gt;=AGGMin</f>
        <v>1</v>
      </c>
      <c r="P81" s="71" t="b">
        <f>AND(Scenarios3[[#This Row],[GLD]]&gt;=GLDMin,Scenarios3[[#This Row],[GLD]]&lt;=GLDMax)</f>
        <v>1</v>
      </c>
      <c r="Q81" s="71" t="b">
        <f>Scenarios3[[#This Row],[VNQ]]&gt;=VNQMin</f>
        <v>1</v>
      </c>
      <c r="R81" s="71" t="b">
        <f>AND(Scenarios3[[#This Row],[PE]]&gt;=PEMin,Scenarios3[[#This Row],[PE]]&lt;=PEMax)</f>
        <v>1</v>
      </c>
      <c r="S81" s="71" t="b">
        <f>Scenarios3[[#This Row],[Liquid Assets]]&gt;=LiquidMin</f>
        <v>1</v>
      </c>
      <c r="T81" s="71" t="b">
        <f>AND(Scenarios3[[#This Row],[Expected Return]]&gt;=ExpectedReturnMin,Scenarios3[[#This Row],[Expected Return]]&lt;=ExpectedReturnMax)</f>
        <v>1</v>
      </c>
      <c r="U81" s="71" t="b">
        <f>Scenarios3[[#This Row],[Max Drawdown]]&gt;=DrawdownMax</f>
        <v>1</v>
      </c>
      <c r="V8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1" s="46">
        <f>_xlfn.XLOOKUP(Scenarios3[[#This Row],[Reference '#]],ScenariosCombined[Reference '#],ScenariosCombined[Sharpe Rank])</f>
        <v>53</v>
      </c>
      <c r="X81" s="44">
        <f>IF(Scenarios3[[#This Row],[Eligible]],COUNTIFS(Scenarios3[Sharpe],"&gt;"&amp;Scenarios3[[#This Row],[Sharpe]],Scenarios3[Eligible],TRUE())+COUNTIFS(Scenarios3[Sharpe],Scenarios3[[#This Row],[Sharpe]],Scenarios3[Eligible],TRUE()),"")</f>
        <v>52</v>
      </c>
      <c r="Y8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40/20/10/20/10</v>
      </c>
      <c r="Z81" s="139">
        <f>_xlfn.XLOOKUP(Scenarios3[[#This Row],[Reference '#]],Scenarios1[Reference '#],Scenarios1[Sharpe Rank])</f>
        <v>53</v>
      </c>
      <c r="AA81" s="139">
        <f>_xlfn.XLOOKUP(Scenarios3[[#This Row],[Reference '#]],Scenarios2[Reference '#],Scenarios2[Sharpe Rank])</f>
        <v>52</v>
      </c>
      <c r="AB81" s="139">
        <f>Scenarios3[[#This Row],[Sharpe Rank]]</f>
        <v>52</v>
      </c>
      <c r="AC81"/>
      <c r="AD81"/>
      <c r="AE81"/>
      <c r="AF81" s="34"/>
      <c r="AG81" s="34"/>
    </row>
    <row r="82" spans="2:33" s="15" customFormat="1" x14ac:dyDescent="0.2">
      <c r="B82" s="71">
        <v>83</v>
      </c>
      <c r="C82" s="69">
        <v>0.3</v>
      </c>
      <c r="D82" s="69">
        <v>0.2</v>
      </c>
      <c r="E82" s="69">
        <v>0.15</v>
      </c>
      <c r="F82" s="69">
        <v>0.2</v>
      </c>
      <c r="G82" s="69">
        <v>0.15</v>
      </c>
      <c r="H82" s="69">
        <f>SUMPRODUCT(Scenarios3[[#This Row],[SPY]:[PE]],_xlfn.TOROW(AssetSpecsScenario3[Annualized Return]))</f>
        <v>8.9037414571285195E-2</v>
      </c>
      <c r="I82" s="69" cm="1">
        <f t="array" ref="I82">SQRT(MMULT(MMULT(Scenarios3[[#This Row],[SPY]:[PE]], 'Corr_Cov 36- Month'!$J$13:$N$17), TRANSPOSE(Scenarios3[[#This Row],[SPY]:[PE]])))</f>
        <v>8.2477109076022251E-2</v>
      </c>
      <c r="J82" s="70">
        <f>(Scenarios3[[#This Row],[Expected Return]]-RiskFree)/Scenarios3[[#This Row],[36M Vol]]</f>
        <v>0.50961848065003468</v>
      </c>
      <c r="K82" s="107" cm="1">
        <f t="array" ref="K82">MIN(_xlfn._xlws.FILTER(PortfolioFrontier[#Data],(PortfolioFrontier[#Headers]="P"&amp;Scenarios3[[#This Row],[Reference '#]]&amp;" DD")))</f>
        <v>-0.17479194507259455</v>
      </c>
      <c r="L82" s="69">
        <f>SUM(Scenarios3[[#This Row],[SPY]:[VNQ]])</f>
        <v>0.85000000000000009</v>
      </c>
      <c r="M82" s="69">
        <f>SUM(Scenarios3[[#This Row],[SPY]:[PE]])</f>
        <v>1</v>
      </c>
      <c r="N82" s="71" t="b">
        <f>Scenarios3[[#This Row],[SPY]]&gt;=SpyMin</f>
        <v>1</v>
      </c>
      <c r="O82" s="71" t="b">
        <f>Scenarios3[[#This Row],[AGG]]&gt;=AGGMin</f>
        <v>1</v>
      </c>
      <c r="P82" s="71" t="b">
        <f>AND(Scenarios3[[#This Row],[GLD]]&gt;=GLDMin,Scenarios3[[#This Row],[GLD]]&lt;=GLDMax)</f>
        <v>1</v>
      </c>
      <c r="Q82" s="71" t="b">
        <f>Scenarios3[[#This Row],[VNQ]]&gt;=VNQMin</f>
        <v>1</v>
      </c>
      <c r="R82" s="71" t="b">
        <f>AND(Scenarios3[[#This Row],[PE]]&gt;=PEMin,Scenarios3[[#This Row],[PE]]&lt;=PEMax)</f>
        <v>1</v>
      </c>
      <c r="S82" s="71" t="b">
        <f>Scenarios3[[#This Row],[Liquid Assets]]&gt;=LiquidMin</f>
        <v>1</v>
      </c>
      <c r="T82" s="71" t="b">
        <f>AND(Scenarios3[[#This Row],[Expected Return]]&gt;=ExpectedReturnMin,Scenarios3[[#This Row],[Expected Return]]&lt;=ExpectedReturnMax)</f>
        <v>1</v>
      </c>
      <c r="U82" s="71" t="b">
        <f>Scenarios3[[#This Row],[Max Drawdown]]&gt;=DrawdownMax</f>
        <v>1</v>
      </c>
      <c r="V8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2" s="46">
        <f>_xlfn.XLOOKUP(Scenarios3[[#This Row],[Reference '#]],ScenariosCombined[Reference '#],ScenariosCombined[Sharpe Rank])</f>
        <v>61</v>
      </c>
      <c r="X82" s="44">
        <f>IF(Scenarios3[[#This Row],[Eligible]],COUNTIFS(Scenarios3[Sharpe],"&gt;"&amp;Scenarios3[[#This Row],[Sharpe]],Scenarios3[Eligible],TRUE())+COUNTIFS(Scenarios3[Sharpe],Scenarios3[[#This Row],[Sharpe]],Scenarios3[Eligible],TRUE()),"")</f>
        <v>53</v>
      </c>
      <c r="Y8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30/20/15/20/15</v>
      </c>
      <c r="Z82" s="139">
        <f>_xlfn.XLOOKUP(Scenarios3[[#This Row],[Reference '#]],Scenarios1[Reference '#],Scenarios1[Sharpe Rank])</f>
        <v>63</v>
      </c>
      <c r="AA82" s="139">
        <f>_xlfn.XLOOKUP(Scenarios3[[#This Row],[Reference '#]],Scenarios2[Reference '#],Scenarios2[Sharpe Rank])</f>
        <v>61</v>
      </c>
      <c r="AB82" s="139">
        <f>Scenarios3[[#This Row],[Sharpe Rank]]</f>
        <v>53</v>
      </c>
      <c r="AC82"/>
      <c r="AD82"/>
      <c r="AE82"/>
      <c r="AF82" s="34"/>
      <c r="AG82" s="34"/>
    </row>
    <row r="83" spans="2:33" s="15" customFormat="1" x14ac:dyDescent="0.2">
      <c r="B83" s="71">
        <v>88</v>
      </c>
      <c r="C83" s="69">
        <v>0.3</v>
      </c>
      <c r="D83" s="69">
        <v>0.15</v>
      </c>
      <c r="E83" s="69">
        <v>0.2</v>
      </c>
      <c r="F83" s="69">
        <v>0.25</v>
      </c>
      <c r="G83" s="69">
        <v>0.1</v>
      </c>
      <c r="H83" s="69">
        <f>SUMPRODUCT(Scenarios3[[#This Row],[SPY]:[PE]],_xlfn.TOROW(AssetSpecsScenario3[Annualized Return]))</f>
        <v>9.3084679158364159E-2</v>
      </c>
      <c r="I83" s="69" cm="1">
        <f t="array" ref="I83">SQRT(MMULT(MMULT(Scenarios3[[#This Row],[SPY]:[PE]], 'Corr_Cov 36- Month'!$J$13:$N$17), TRANSPOSE(Scenarios3[[#This Row],[SPY]:[PE]])))</f>
        <v>9.044572639991548E-2</v>
      </c>
      <c r="J83" s="70">
        <f>(Scenarios3[[#This Row],[Expected Return]]-RiskFree)/Scenarios3[[#This Row],[36M Vol]]</f>
        <v>0.50946711842486425</v>
      </c>
      <c r="K83" s="107" cm="1">
        <f t="array" ref="K83">MIN(_xlfn._xlws.FILTER(PortfolioFrontier[#Data],(PortfolioFrontier[#Headers]="P"&amp;Scenarios3[[#This Row],[Reference '#]]&amp;" DD")))</f>
        <v>-0.18678846385025705</v>
      </c>
      <c r="L83" s="69">
        <f>SUM(Scenarios3[[#This Row],[SPY]:[VNQ]])</f>
        <v>0.89999999999999991</v>
      </c>
      <c r="M83" s="69">
        <f>SUM(Scenarios3[[#This Row],[SPY]:[PE]])</f>
        <v>0.99999999999999989</v>
      </c>
      <c r="N83" s="71" t="b">
        <f>Scenarios3[[#This Row],[SPY]]&gt;=SpyMin</f>
        <v>1</v>
      </c>
      <c r="O83" s="71" t="b">
        <f>Scenarios3[[#This Row],[AGG]]&gt;=AGGMin</f>
        <v>1</v>
      </c>
      <c r="P83" s="71" t="b">
        <f>AND(Scenarios3[[#This Row],[GLD]]&gt;=GLDMin,Scenarios3[[#This Row],[GLD]]&lt;=GLDMax)</f>
        <v>1</v>
      </c>
      <c r="Q83" s="71" t="b">
        <f>Scenarios3[[#This Row],[VNQ]]&gt;=VNQMin</f>
        <v>1</v>
      </c>
      <c r="R83" s="71" t="b">
        <f>AND(Scenarios3[[#This Row],[PE]]&gt;=PEMin,Scenarios3[[#This Row],[PE]]&lt;=PEMax)</f>
        <v>1</v>
      </c>
      <c r="S83" s="71" t="b">
        <f>Scenarios3[[#This Row],[Liquid Assets]]&gt;=LiquidMin</f>
        <v>1</v>
      </c>
      <c r="T83" s="71" t="b">
        <f>AND(Scenarios3[[#This Row],[Expected Return]]&gt;=ExpectedReturnMin,Scenarios3[[#This Row],[Expected Return]]&lt;=ExpectedReturnMax)</f>
        <v>1</v>
      </c>
      <c r="U83" s="71" t="b">
        <f>Scenarios3[[#This Row],[Max Drawdown]]&gt;=DrawdownMax</f>
        <v>1</v>
      </c>
      <c r="V8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3" s="46">
        <f>_xlfn.XLOOKUP(Scenarios3[[#This Row],[Reference '#]],ScenariosCombined[Reference '#],ScenariosCombined[Sharpe Rank])</f>
        <v>56</v>
      </c>
      <c r="X83" s="44">
        <f>IF(Scenarios3[[#This Row],[Eligible]],COUNTIFS(Scenarios3[Sharpe],"&gt;"&amp;Scenarios3[[#This Row],[Sharpe]],Scenarios3[Eligible],TRUE())+COUNTIFS(Scenarios3[Sharpe],Scenarios3[[#This Row],[Sharpe]],Scenarios3[Eligible],TRUE()),"")</f>
        <v>54</v>
      </c>
      <c r="Y8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30/15/20/25/10</v>
      </c>
      <c r="Z83" s="139">
        <f>_xlfn.XLOOKUP(Scenarios3[[#This Row],[Reference '#]],Scenarios1[Reference '#],Scenarios1[Sharpe Rank])</f>
        <v>55</v>
      </c>
      <c r="AA83" s="139">
        <f>_xlfn.XLOOKUP(Scenarios3[[#This Row],[Reference '#]],Scenarios2[Reference '#],Scenarios2[Sharpe Rank])</f>
        <v>54</v>
      </c>
      <c r="AB83" s="139">
        <f>Scenarios3[[#This Row],[Sharpe Rank]]</f>
        <v>54</v>
      </c>
      <c r="AC83"/>
      <c r="AD83"/>
      <c r="AE83"/>
      <c r="AF83" s="34"/>
      <c r="AG83" s="34"/>
    </row>
    <row r="84" spans="2:33" s="15" customFormat="1" x14ac:dyDescent="0.2">
      <c r="B84" s="71">
        <v>125</v>
      </c>
      <c r="C84" s="69">
        <v>0.25</v>
      </c>
      <c r="D84" s="69">
        <v>0.2</v>
      </c>
      <c r="E84" s="69">
        <v>0.2</v>
      </c>
      <c r="F84" s="69">
        <v>0.2</v>
      </c>
      <c r="G84" s="69">
        <v>0.15</v>
      </c>
      <c r="H84" s="69">
        <f>SUMPRODUCT(Scenarios3[[#This Row],[SPY]:[PE]],_xlfn.TOROW(AssetSpecsScenario3[Annualized Return]))</f>
        <v>8.7929639797516029E-2</v>
      </c>
      <c r="I84" s="69" cm="1">
        <f t="array" ref="I84">SQRT(MMULT(MMULT(Scenarios3[[#This Row],[SPY]:[PE]], 'Corr_Cov 36- Month'!$J$13:$N$17), TRANSPOSE(Scenarios3[[#This Row],[SPY]:[PE]])))</f>
        <v>8.0394552377853243E-2</v>
      </c>
      <c r="J84" s="70">
        <f>(Scenarios3[[#This Row],[Expected Return]]-RiskFree)/Scenarios3[[#This Row],[36M Vol]]</f>
        <v>0.50904051371065384</v>
      </c>
      <c r="K84" s="107" cm="1">
        <f t="array" ref="K84">MIN(_xlfn._xlws.FILTER(PortfolioFrontier[#Data],(PortfolioFrontier[#Headers]="P"&amp;Scenarios3[[#This Row],[Reference '#]]&amp;" DD")))</f>
        <v>-0.16751350913162655</v>
      </c>
      <c r="L84" s="69">
        <f>SUM(Scenarios3[[#This Row],[SPY]:[VNQ]])</f>
        <v>0.85000000000000009</v>
      </c>
      <c r="M84" s="69">
        <f>SUM(Scenarios3[[#This Row],[SPY]:[PE]])</f>
        <v>1</v>
      </c>
      <c r="N84" s="71" t="b">
        <f>Scenarios3[[#This Row],[SPY]]&gt;=SpyMin</f>
        <v>1</v>
      </c>
      <c r="O84" s="71" t="b">
        <f>Scenarios3[[#This Row],[AGG]]&gt;=AGGMin</f>
        <v>1</v>
      </c>
      <c r="P84" s="71" t="b">
        <f>AND(Scenarios3[[#This Row],[GLD]]&gt;=GLDMin,Scenarios3[[#This Row],[GLD]]&lt;=GLDMax)</f>
        <v>1</v>
      </c>
      <c r="Q84" s="71" t="b">
        <f>Scenarios3[[#This Row],[VNQ]]&gt;=VNQMin</f>
        <v>1</v>
      </c>
      <c r="R84" s="71" t="b">
        <f>AND(Scenarios3[[#This Row],[PE]]&gt;=PEMin,Scenarios3[[#This Row],[PE]]&lt;=PEMax)</f>
        <v>1</v>
      </c>
      <c r="S84" s="71" t="b">
        <f>Scenarios3[[#This Row],[Liquid Assets]]&gt;=LiquidMin</f>
        <v>1</v>
      </c>
      <c r="T84" s="71" t="b">
        <f>AND(Scenarios3[[#This Row],[Expected Return]]&gt;=ExpectedReturnMin,Scenarios3[[#This Row],[Expected Return]]&lt;=ExpectedReturnMax)</f>
        <v>1</v>
      </c>
      <c r="U84" s="71" t="b">
        <f>Scenarios3[[#This Row],[Max Drawdown]]&gt;=DrawdownMax</f>
        <v>1</v>
      </c>
      <c r="V8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4" s="46">
        <f>_xlfn.XLOOKUP(Scenarios3[[#This Row],[Reference '#]],ScenariosCombined[Reference '#],ScenariosCombined[Sharpe Rank])</f>
        <v>62</v>
      </c>
      <c r="X84" s="44">
        <f>IF(Scenarios3[[#This Row],[Eligible]],COUNTIFS(Scenarios3[Sharpe],"&gt;"&amp;Scenarios3[[#This Row],[Sharpe]],Scenarios3[Eligible],TRUE())+COUNTIFS(Scenarios3[Sharpe],Scenarios3[[#This Row],[Sharpe]],Scenarios3[Eligible],TRUE()),"")</f>
        <v>55</v>
      </c>
      <c r="Y8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25/20/20/20/15</v>
      </c>
      <c r="Z84" s="139">
        <f>_xlfn.XLOOKUP(Scenarios3[[#This Row],[Reference '#]],Scenarios1[Reference '#],Scenarios1[Sharpe Rank])</f>
        <v>64</v>
      </c>
      <c r="AA84" s="139">
        <f>_xlfn.XLOOKUP(Scenarios3[[#This Row],[Reference '#]],Scenarios2[Reference '#],Scenarios2[Sharpe Rank])</f>
        <v>62</v>
      </c>
      <c r="AB84" s="139">
        <f>Scenarios3[[#This Row],[Sharpe Rank]]</f>
        <v>55</v>
      </c>
      <c r="AC84"/>
      <c r="AD84"/>
      <c r="AE84"/>
      <c r="AF84" s="34"/>
      <c r="AG84" s="34"/>
    </row>
    <row r="85" spans="2:33" s="15" customFormat="1" x14ac:dyDescent="0.2">
      <c r="B85" s="71">
        <v>120</v>
      </c>
      <c r="C85" s="69">
        <v>0.25</v>
      </c>
      <c r="D85" s="69">
        <v>0.25</v>
      </c>
      <c r="E85" s="69">
        <v>0.15</v>
      </c>
      <c r="F85" s="69">
        <v>0.15</v>
      </c>
      <c r="G85" s="69">
        <v>0.2</v>
      </c>
      <c r="H85" s="69">
        <f>SUMPRODUCT(Scenarios3[[#This Row],[SPY]:[PE]],_xlfn.TOROW(AssetSpecsScenario3[Annualized Return]))</f>
        <v>8.3882375210437052E-2</v>
      </c>
      <c r="I85" s="69" cm="1">
        <f t="array" ref="I85">SQRT(MMULT(MMULT(Scenarios3[[#This Row],[SPY]:[PE]], 'Corr_Cov 36- Month'!$J$13:$N$17), TRANSPOSE(Scenarios3[[#This Row],[SPY]:[PE]])))</f>
        <v>7.2524847161523895E-2</v>
      </c>
      <c r="J85" s="70">
        <f>(Scenarios3[[#This Row],[Expected Return]]-RiskFree)/Scenarios3[[#This Row],[36M Vol]]</f>
        <v>0.50847152525190709</v>
      </c>
      <c r="K85" s="107" cm="1">
        <f t="array" ref="K85">MIN(_xlfn._xlws.FILTER(PortfolioFrontier[#Data],(PortfolioFrontier[#Headers]="P"&amp;Scenarios3[[#This Row],[Reference '#]]&amp;" DD")))</f>
        <v>-0.15542454310291398</v>
      </c>
      <c r="L85" s="69">
        <f>SUM(Scenarios3[[#This Row],[SPY]:[VNQ]])</f>
        <v>0.8</v>
      </c>
      <c r="M85" s="69">
        <f>SUM(Scenarios3[[#This Row],[SPY]:[PE]])</f>
        <v>1</v>
      </c>
      <c r="N85" s="71" t="b">
        <f>Scenarios3[[#This Row],[SPY]]&gt;=SpyMin</f>
        <v>1</v>
      </c>
      <c r="O85" s="71" t="b">
        <f>Scenarios3[[#This Row],[AGG]]&gt;=AGGMin</f>
        <v>1</v>
      </c>
      <c r="P85" s="71" t="b">
        <f>AND(Scenarios3[[#This Row],[GLD]]&gt;=GLDMin,Scenarios3[[#This Row],[GLD]]&lt;=GLDMax)</f>
        <v>1</v>
      </c>
      <c r="Q85" s="71" t="b">
        <f>Scenarios3[[#This Row],[VNQ]]&gt;=VNQMin</f>
        <v>1</v>
      </c>
      <c r="R85" s="71" t="b">
        <f>AND(Scenarios3[[#This Row],[PE]]&gt;=PEMin,Scenarios3[[#This Row],[PE]]&lt;=PEMax)</f>
        <v>1</v>
      </c>
      <c r="S85" s="71" t="b">
        <f>Scenarios3[[#This Row],[Liquid Assets]]&gt;=LiquidMin</f>
        <v>1</v>
      </c>
      <c r="T85" s="71" t="b">
        <f>AND(Scenarios3[[#This Row],[Expected Return]]&gt;=ExpectedReturnMin,Scenarios3[[#This Row],[Expected Return]]&lt;=ExpectedReturnMax)</f>
        <v>1</v>
      </c>
      <c r="U85" s="71" t="b">
        <f>Scenarios3[[#This Row],[Max Drawdown]]&gt;=DrawdownMax</f>
        <v>1</v>
      </c>
      <c r="V8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5" s="46">
        <f>_xlfn.XLOOKUP(Scenarios3[[#This Row],[Reference '#]],ScenariosCombined[Reference '#],ScenariosCombined[Sharpe Rank])</f>
        <v>69</v>
      </c>
      <c r="X85" s="44">
        <f>IF(Scenarios3[[#This Row],[Eligible]],COUNTIFS(Scenarios3[Sharpe],"&gt;"&amp;Scenarios3[[#This Row],[Sharpe]],Scenarios3[Eligible],TRUE())+COUNTIFS(Scenarios3[Sharpe],Scenarios3[[#This Row],[Sharpe]],Scenarios3[Eligible],TRUE()),"")</f>
        <v>56</v>
      </c>
      <c r="Y8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25/25/15/15/20</v>
      </c>
      <c r="Z85" s="139">
        <f>_xlfn.XLOOKUP(Scenarios3[[#This Row],[Reference '#]],Scenarios1[Reference '#],Scenarios1[Sharpe Rank])</f>
        <v>79</v>
      </c>
      <c r="AA85" s="139">
        <f>_xlfn.XLOOKUP(Scenarios3[[#This Row],[Reference '#]],Scenarios2[Reference '#],Scenarios2[Sharpe Rank])</f>
        <v>74</v>
      </c>
      <c r="AB85" s="139">
        <f>Scenarios3[[#This Row],[Sharpe Rank]]</f>
        <v>56</v>
      </c>
      <c r="AC85"/>
      <c r="AD85"/>
      <c r="AE85"/>
      <c r="AF85" s="34"/>
      <c r="AG85" s="34"/>
    </row>
    <row r="86" spans="2:33" s="15" customFormat="1" x14ac:dyDescent="0.2">
      <c r="B86" s="71">
        <v>55</v>
      </c>
      <c r="C86" s="69">
        <v>0.35</v>
      </c>
      <c r="D86" s="69">
        <v>0.15</v>
      </c>
      <c r="E86" s="69">
        <v>0.15</v>
      </c>
      <c r="F86" s="69">
        <v>0.25</v>
      </c>
      <c r="G86" s="69">
        <v>0.1</v>
      </c>
      <c r="H86" s="69">
        <f>SUMPRODUCT(Scenarios3[[#This Row],[SPY]:[PE]],_xlfn.TOROW(AssetSpecsScenario3[Annualized Return]))</f>
        <v>9.419245393213331E-2</v>
      </c>
      <c r="I86" s="69" cm="1">
        <f t="array" ref="I86">SQRT(MMULT(MMULT(Scenarios3[[#This Row],[SPY]:[PE]], 'Corr_Cov 36- Month'!$J$13:$N$17), TRANSPOSE(Scenarios3[[#This Row],[SPY]:[PE]])))</f>
        <v>9.2863946159082916E-2</v>
      </c>
      <c r="J86" s="70">
        <f>(Scenarios3[[#This Row],[Expected Return]]-RiskFree)/Scenarios3[[#This Row],[36M Vol]]</f>
        <v>0.50812936912828433</v>
      </c>
      <c r="K86" s="107" cm="1">
        <f t="array" ref="K86">MIN(_xlfn._xlws.FILTER(PortfolioFrontier[#Data],(PortfolioFrontier[#Headers]="P"&amp;Scenarios3[[#This Row],[Reference '#]]&amp;" DD")))</f>
        <v>-0.1940306400546703</v>
      </c>
      <c r="L86" s="69">
        <f>SUM(Scenarios3[[#This Row],[SPY]:[VNQ]])</f>
        <v>0.9</v>
      </c>
      <c r="M86" s="69">
        <f>SUM(Scenarios3[[#This Row],[SPY]:[PE]])</f>
        <v>1</v>
      </c>
      <c r="N86" s="71" t="b">
        <f>Scenarios3[[#This Row],[SPY]]&gt;=SpyMin</f>
        <v>1</v>
      </c>
      <c r="O86" s="71" t="b">
        <f>Scenarios3[[#This Row],[AGG]]&gt;=AGGMin</f>
        <v>1</v>
      </c>
      <c r="P86" s="71" t="b">
        <f>AND(Scenarios3[[#This Row],[GLD]]&gt;=GLDMin,Scenarios3[[#This Row],[GLD]]&lt;=GLDMax)</f>
        <v>1</v>
      </c>
      <c r="Q86" s="71" t="b">
        <f>Scenarios3[[#This Row],[VNQ]]&gt;=VNQMin</f>
        <v>1</v>
      </c>
      <c r="R86" s="71" t="b">
        <f>AND(Scenarios3[[#This Row],[PE]]&gt;=PEMin,Scenarios3[[#This Row],[PE]]&lt;=PEMax)</f>
        <v>1</v>
      </c>
      <c r="S86" s="71" t="b">
        <f>Scenarios3[[#This Row],[Liquid Assets]]&gt;=LiquidMin</f>
        <v>1</v>
      </c>
      <c r="T86" s="71" t="b">
        <f>AND(Scenarios3[[#This Row],[Expected Return]]&gt;=ExpectedReturnMin,Scenarios3[[#This Row],[Expected Return]]&lt;=ExpectedReturnMax)</f>
        <v>1</v>
      </c>
      <c r="U86" s="71" t="b">
        <f>Scenarios3[[#This Row],[Max Drawdown]]&gt;=DrawdownMax</f>
        <v>1</v>
      </c>
      <c r="V8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6" s="46">
        <f>_xlfn.XLOOKUP(Scenarios3[[#This Row],[Reference '#]],ScenariosCombined[Reference '#],ScenariosCombined[Sharpe Rank])</f>
        <v>57</v>
      </c>
      <c r="X86" s="44">
        <f>IF(Scenarios3[[#This Row],[Eligible]],COUNTIFS(Scenarios3[Sharpe],"&gt;"&amp;Scenarios3[[#This Row],[Sharpe]],Scenarios3[Eligible],TRUE())+COUNTIFS(Scenarios3[Sharpe],Scenarios3[[#This Row],[Sharpe]],Scenarios3[Eligible],TRUE()),"")</f>
        <v>57</v>
      </c>
      <c r="Y8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35/15/15/25/10</v>
      </c>
      <c r="Z86" s="139">
        <f>_xlfn.XLOOKUP(Scenarios3[[#This Row],[Reference '#]],Scenarios1[Reference '#],Scenarios1[Sharpe Rank])</f>
        <v>56</v>
      </c>
      <c r="AA86" s="139">
        <f>_xlfn.XLOOKUP(Scenarios3[[#This Row],[Reference '#]],Scenarios2[Reference '#],Scenarios2[Sharpe Rank])</f>
        <v>55</v>
      </c>
      <c r="AB86" s="139">
        <f>Scenarios3[[#This Row],[Sharpe Rank]]</f>
        <v>57</v>
      </c>
      <c r="AC86"/>
      <c r="AD86"/>
      <c r="AE86"/>
      <c r="AF86" s="34"/>
      <c r="AG86" s="34"/>
    </row>
    <row r="87" spans="2:33" s="15" customFormat="1" x14ac:dyDescent="0.2">
      <c r="B87" s="71">
        <v>78</v>
      </c>
      <c r="C87" s="69">
        <v>0.3</v>
      </c>
      <c r="D87" s="69">
        <v>0.25</v>
      </c>
      <c r="E87" s="69">
        <v>0.1</v>
      </c>
      <c r="F87" s="69">
        <v>0.15</v>
      </c>
      <c r="G87" s="69">
        <v>0.2</v>
      </c>
      <c r="H87" s="69">
        <f>SUMPRODUCT(Scenarios3[[#This Row],[SPY]:[PE]],_xlfn.TOROW(AssetSpecsScenario3[Annualized Return]))</f>
        <v>8.4990149984206217E-2</v>
      </c>
      <c r="I87" s="69" cm="1">
        <f t="array" ref="I87">SQRT(MMULT(MMULT(Scenarios3[[#This Row],[SPY]:[PE]], 'Corr_Cov 36- Month'!$J$13:$N$17), TRANSPOSE(Scenarios3[[#This Row],[SPY]:[PE]])))</f>
        <v>7.5244655615355843E-2</v>
      </c>
      <c r="J87" s="70">
        <f>(Scenarios3[[#This Row],[Expected Return]]-RiskFree)/Scenarios3[[#This Row],[36M Vol]]</f>
        <v>0.50481451630032859</v>
      </c>
      <c r="K87" s="107" cm="1">
        <f t="array" ref="K87">MIN(_xlfn._xlws.FILTER(PortfolioFrontier[#Data],(PortfolioFrontier[#Headers]="P"&amp;Scenarios3[[#This Row],[Reference '#]]&amp;" DD")))</f>
        <v>-0.1627558285676346</v>
      </c>
      <c r="L87" s="69">
        <f>SUM(Scenarios3[[#This Row],[SPY]:[VNQ]])</f>
        <v>0.8</v>
      </c>
      <c r="M87" s="69">
        <f>SUM(Scenarios3[[#This Row],[SPY]:[PE]])</f>
        <v>1</v>
      </c>
      <c r="N87" s="71" t="b">
        <f>Scenarios3[[#This Row],[SPY]]&gt;=SpyMin</f>
        <v>1</v>
      </c>
      <c r="O87" s="71" t="b">
        <f>Scenarios3[[#This Row],[AGG]]&gt;=AGGMin</f>
        <v>1</v>
      </c>
      <c r="P87" s="71" t="b">
        <f>AND(Scenarios3[[#This Row],[GLD]]&gt;=GLDMin,Scenarios3[[#This Row],[GLD]]&lt;=GLDMax)</f>
        <v>1</v>
      </c>
      <c r="Q87" s="71" t="b">
        <f>Scenarios3[[#This Row],[VNQ]]&gt;=VNQMin</f>
        <v>1</v>
      </c>
      <c r="R87" s="71" t="b">
        <f>AND(Scenarios3[[#This Row],[PE]]&gt;=PEMin,Scenarios3[[#This Row],[PE]]&lt;=PEMax)</f>
        <v>1</v>
      </c>
      <c r="S87" s="71" t="b">
        <f>Scenarios3[[#This Row],[Liquid Assets]]&gt;=LiquidMin</f>
        <v>1</v>
      </c>
      <c r="T87" s="71" t="b">
        <f>AND(Scenarios3[[#This Row],[Expected Return]]&gt;=ExpectedReturnMin,Scenarios3[[#This Row],[Expected Return]]&lt;=ExpectedReturnMax)</f>
        <v>1</v>
      </c>
      <c r="U87" s="71" t="b">
        <f>Scenarios3[[#This Row],[Max Drawdown]]&gt;=DrawdownMax</f>
        <v>1</v>
      </c>
      <c r="V8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7" s="46">
        <f>_xlfn.XLOOKUP(Scenarios3[[#This Row],[Reference '#]],ScenariosCombined[Reference '#],ScenariosCombined[Sharpe Rank])</f>
        <v>71</v>
      </c>
      <c r="X87" s="44">
        <f>IF(Scenarios3[[#This Row],[Eligible]],COUNTIFS(Scenarios3[Sharpe],"&gt;"&amp;Scenarios3[[#This Row],[Sharpe]],Scenarios3[Eligible],TRUE())+COUNTIFS(Scenarios3[Sharpe],Scenarios3[[#This Row],[Sharpe]],Scenarios3[Eligible],TRUE()),"")</f>
        <v>58</v>
      </c>
      <c r="Y8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30/25/10/15/20</v>
      </c>
      <c r="Z87" s="139">
        <f>_xlfn.XLOOKUP(Scenarios3[[#This Row],[Reference '#]],Scenarios1[Reference '#],Scenarios1[Sharpe Rank])</f>
        <v>80</v>
      </c>
      <c r="AA87" s="139">
        <f>_xlfn.XLOOKUP(Scenarios3[[#This Row],[Reference '#]],Scenarios2[Reference '#],Scenarios2[Sharpe Rank])</f>
        <v>75</v>
      </c>
      <c r="AB87" s="139">
        <f>Scenarios3[[#This Row],[Sharpe Rank]]</f>
        <v>58</v>
      </c>
      <c r="AC87"/>
      <c r="AD87"/>
      <c r="AE87"/>
      <c r="AF87" s="34"/>
      <c r="AG87" s="34"/>
    </row>
    <row r="88" spans="2:33" s="15" customFormat="1" x14ac:dyDescent="0.2">
      <c r="B88" s="71">
        <v>50</v>
      </c>
      <c r="C88" s="69">
        <v>0.35</v>
      </c>
      <c r="D88" s="69">
        <v>0.2</v>
      </c>
      <c r="E88" s="69">
        <v>0.1</v>
      </c>
      <c r="F88" s="69">
        <v>0.2</v>
      </c>
      <c r="G88" s="69">
        <v>0.15</v>
      </c>
      <c r="H88" s="69">
        <f>SUMPRODUCT(Scenarios3[[#This Row],[SPY]:[PE]],_xlfn.TOROW(AssetSpecsScenario3[Annualized Return]))</f>
        <v>9.0145189345054333E-2</v>
      </c>
      <c r="I88" s="69" cm="1">
        <f t="array" ref="I88">SQRT(MMULT(MMULT(Scenarios3[[#This Row],[SPY]:[PE]], 'Corr_Cov 36- Month'!$J$13:$N$17), TRANSPOSE(Scenarios3[[#This Row],[SPY]:[PE]])))</f>
        <v>8.5489600929792478E-2</v>
      </c>
      <c r="J88" s="70">
        <f>(Scenarios3[[#This Row],[Expected Return]]-RiskFree)/Scenarios3[[#This Row],[36M Vol]]</f>
        <v>0.50461849535274816</v>
      </c>
      <c r="K88" s="107" cm="1">
        <f t="array" ref="K88">MIN(_xlfn._xlws.FILTER(PortfolioFrontier[#Data],(PortfolioFrontier[#Headers]="P"&amp;Scenarios3[[#This Row],[Reference '#]]&amp;" DD")))</f>
        <v>-0.18208883977532875</v>
      </c>
      <c r="L88" s="69">
        <f>SUM(Scenarios3[[#This Row],[SPY]:[VNQ]])</f>
        <v>0.85000000000000009</v>
      </c>
      <c r="M88" s="69">
        <f>SUM(Scenarios3[[#This Row],[SPY]:[PE]])</f>
        <v>1</v>
      </c>
      <c r="N88" s="71" t="b">
        <f>Scenarios3[[#This Row],[SPY]]&gt;=SpyMin</f>
        <v>1</v>
      </c>
      <c r="O88" s="71" t="b">
        <f>Scenarios3[[#This Row],[AGG]]&gt;=AGGMin</f>
        <v>1</v>
      </c>
      <c r="P88" s="71" t="b">
        <f>AND(Scenarios3[[#This Row],[GLD]]&gt;=GLDMin,Scenarios3[[#This Row],[GLD]]&lt;=GLDMax)</f>
        <v>1</v>
      </c>
      <c r="Q88" s="71" t="b">
        <f>Scenarios3[[#This Row],[VNQ]]&gt;=VNQMin</f>
        <v>1</v>
      </c>
      <c r="R88" s="71" t="b">
        <f>AND(Scenarios3[[#This Row],[PE]]&gt;=PEMin,Scenarios3[[#This Row],[PE]]&lt;=PEMax)</f>
        <v>1</v>
      </c>
      <c r="S88" s="71" t="b">
        <f>Scenarios3[[#This Row],[Liquid Assets]]&gt;=LiquidMin</f>
        <v>1</v>
      </c>
      <c r="T88" s="71" t="b">
        <f>AND(Scenarios3[[#This Row],[Expected Return]]&gt;=ExpectedReturnMin,Scenarios3[[#This Row],[Expected Return]]&lt;=ExpectedReturnMax)</f>
        <v>1</v>
      </c>
      <c r="U88" s="71" t="b">
        <f>Scenarios3[[#This Row],[Max Drawdown]]&gt;=DrawdownMax</f>
        <v>1</v>
      </c>
      <c r="V8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88" s="46">
        <f>_xlfn.XLOOKUP(Scenarios3[[#This Row],[Reference '#]],ScenariosCombined[Reference '#],ScenariosCombined[Sharpe Rank])</f>
        <v>63</v>
      </c>
      <c r="X88" s="44">
        <f>IF(Scenarios3[[#This Row],[Eligible]],COUNTIFS(Scenarios3[Sharpe],"&gt;"&amp;Scenarios3[[#This Row],[Sharpe]],Scenarios3[Eligible],TRUE())+COUNTIFS(Scenarios3[Sharpe],Scenarios3[[#This Row],[Sharpe]],Scenarios3[Eligible],TRUE()),"")</f>
        <v>59</v>
      </c>
      <c r="Y8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35/20/10/20/15</v>
      </c>
      <c r="Z88" s="139">
        <f>_xlfn.XLOOKUP(Scenarios3[[#This Row],[Reference '#]],Scenarios1[Reference '#],Scenarios1[Sharpe Rank])</f>
        <v>65</v>
      </c>
      <c r="AA88" s="139">
        <f>_xlfn.XLOOKUP(Scenarios3[[#This Row],[Reference '#]],Scenarios2[Reference '#],Scenarios2[Sharpe Rank])</f>
        <v>63</v>
      </c>
      <c r="AB88" s="139">
        <f>Scenarios3[[#This Row],[Sharpe Rank]]</f>
        <v>59</v>
      </c>
      <c r="AC88"/>
      <c r="AD88"/>
      <c r="AE88"/>
      <c r="AF88" s="34"/>
      <c r="AG88" s="34"/>
    </row>
    <row r="89" spans="2:33" s="15" customFormat="1" x14ac:dyDescent="0.2">
      <c r="B89" s="71">
        <v>31</v>
      </c>
      <c r="C89" s="69">
        <v>0.4</v>
      </c>
      <c r="D89" s="69">
        <v>0.15</v>
      </c>
      <c r="E89" s="69">
        <v>0.1</v>
      </c>
      <c r="F89" s="69">
        <v>0.25</v>
      </c>
      <c r="G89" s="69">
        <v>0.1</v>
      </c>
      <c r="H89" s="69">
        <f>SUMPRODUCT(Scenarios3[[#This Row],[SPY]:[PE]],_xlfn.TOROW(AssetSpecsScenario3[Annualized Return]))</f>
        <v>9.530022870590249E-2</v>
      </c>
      <c r="I89" s="69" cm="1">
        <f t="array" ref="I89">SQRT(MMULT(MMULT(Scenarios3[[#This Row],[SPY]:[PE]], 'Corr_Cov 36- Month'!$J$13:$N$17), TRANSPOSE(Scenarios3[[#This Row],[SPY]:[PE]])))</f>
        <v>9.6092686738170438E-2</v>
      </c>
      <c r="J89" s="70">
        <f>(Scenarios3[[#This Row],[Expected Return]]-RiskFree)/Scenarios3[[#This Row],[36M Vol]]</f>
        <v>0.50258427347273948</v>
      </c>
      <c r="K89" s="107" cm="1">
        <f t="array" ref="K89">MIN(_xlfn._xlws.FILTER(PortfolioFrontier[#Data],(PortfolioFrontier[#Headers]="P"&amp;Scenarios3[[#This Row],[Reference '#]]&amp;" DD")))</f>
        <v>-0.20128875787594014</v>
      </c>
      <c r="L89" s="69">
        <f>SUM(Scenarios3[[#This Row],[SPY]:[VNQ]])</f>
        <v>0.9</v>
      </c>
      <c r="M89" s="69">
        <f>SUM(Scenarios3[[#This Row],[SPY]:[PE]])</f>
        <v>1</v>
      </c>
      <c r="N89" s="71" t="b">
        <f>Scenarios3[[#This Row],[SPY]]&gt;=SpyMin</f>
        <v>1</v>
      </c>
      <c r="O89" s="71" t="b">
        <f>Scenarios3[[#This Row],[AGG]]&gt;=AGGMin</f>
        <v>1</v>
      </c>
      <c r="P89" s="71" t="b">
        <f>AND(Scenarios3[[#This Row],[GLD]]&gt;=GLDMin,Scenarios3[[#This Row],[GLD]]&lt;=GLDMax)</f>
        <v>1</v>
      </c>
      <c r="Q89" s="71" t="b">
        <f>Scenarios3[[#This Row],[VNQ]]&gt;=VNQMin</f>
        <v>1</v>
      </c>
      <c r="R89" s="71" t="b">
        <f>AND(Scenarios3[[#This Row],[PE]]&gt;=PEMin,Scenarios3[[#This Row],[PE]]&lt;=PEMax)</f>
        <v>1</v>
      </c>
      <c r="S89" s="71" t="b">
        <f>Scenarios3[[#This Row],[Liquid Assets]]&gt;=LiquidMin</f>
        <v>1</v>
      </c>
      <c r="T89" s="71" t="b">
        <f>AND(Scenarios3[[#This Row],[Expected Return]]&gt;=ExpectedReturnMin,Scenarios3[[#This Row],[Expected Return]]&lt;=ExpectedReturnMax)</f>
        <v>1</v>
      </c>
      <c r="U89" s="71" t="b">
        <f>Scenarios3[[#This Row],[Max Drawdown]]&gt;=DrawdownMax</f>
        <v>0</v>
      </c>
      <c r="V8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89" s="46" t="str">
        <f>_xlfn.XLOOKUP(Scenarios3[[#This Row],[Reference '#]],ScenariosCombined[Reference '#],ScenariosCombined[Sharpe Rank])</f>
        <v/>
      </c>
      <c r="X89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8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40/15/10/25/10</v>
      </c>
      <c r="Z89" s="139" t="str">
        <f>_xlfn.XLOOKUP(Scenarios3[[#This Row],[Reference '#]],Scenarios1[Reference '#],Scenarios1[Sharpe Rank])</f>
        <v/>
      </c>
      <c r="AA89" s="139" t="str">
        <f>_xlfn.XLOOKUP(Scenarios3[[#This Row],[Reference '#]],Scenarios2[Reference '#],Scenarios2[Sharpe Rank])</f>
        <v/>
      </c>
      <c r="AB89" s="139" t="str">
        <f>Scenarios3[[#This Row],[Sharpe Rank]]</f>
        <v/>
      </c>
      <c r="AC89"/>
      <c r="AD89"/>
      <c r="AE89"/>
      <c r="AF89" s="34"/>
      <c r="AG89" s="34"/>
    </row>
    <row r="90" spans="2:33" s="15" customFormat="1" x14ac:dyDescent="0.2">
      <c r="B90" s="71">
        <v>92</v>
      </c>
      <c r="C90" s="69">
        <v>0.3</v>
      </c>
      <c r="D90" s="69">
        <v>0.15</v>
      </c>
      <c r="E90" s="69">
        <v>0.15</v>
      </c>
      <c r="F90" s="69">
        <v>0.25</v>
      </c>
      <c r="G90" s="69">
        <v>0.15</v>
      </c>
      <c r="H90" s="69">
        <f>SUMPRODUCT(Scenarios3[[#This Row],[SPY]:[PE]],_xlfn.TOROW(AssetSpecsScenario3[Annualized Return]))</f>
        <v>9.0621153917448655E-2</v>
      </c>
      <c r="I90" s="69" cm="1">
        <f t="array" ref="I90">SQRT(MMULT(MMULT(Scenarios3[[#This Row],[SPY]:[PE]], 'Corr_Cov 36- Month'!$J$13:$N$17), TRANSPOSE(Scenarios3[[#This Row],[SPY]:[PE]])))</f>
        <v>8.7885252759314761E-2</v>
      </c>
      <c r="J90" s="70">
        <f>(Scenarios3[[#This Row],[Expected Return]]-RiskFree)/Scenarios3[[#This Row],[36M Vol]]</f>
        <v>0.49627892043890587</v>
      </c>
      <c r="K90" s="107" cm="1">
        <f t="array" ref="K90">MIN(_xlfn._xlws.FILTER(PortfolioFrontier[#Data],(PortfolioFrontier[#Headers]="P"&amp;Scenarios3[[#This Row],[Reference '#]]&amp;" DD")))</f>
        <v>-0.18256018832149878</v>
      </c>
      <c r="L90" s="69">
        <f>SUM(Scenarios3[[#This Row],[SPY]:[VNQ]])</f>
        <v>0.85</v>
      </c>
      <c r="M90" s="69">
        <f>SUM(Scenarios3[[#This Row],[SPY]:[PE]])</f>
        <v>1</v>
      </c>
      <c r="N90" s="71" t="b">
        <f>Scenarios3[[#This Row],[SPY]]&gt;=SpyMin</f>
        <v>1</v>
      </c>
      <c r="O90" s="71" t="b">
        <f>Scenarios3[[#This Row],[AGG]]&gt;=AGGMin</f>
        <v>1</v>
      </c>
      <c r="P90" s="71" t="b">
        <f>AND(Scenarios3[[#This Row],[GLD]]&gt;=GLDMin,Scenarios3[[#This Row],[GLD]]&lt;=GLDMax)</f>
        <v>1</v>
      </c>
      <c r="Q90" s="71" t="b">
        <f>Scenarios3[[#This Row],[VNQ]]&gt;=VNQMin</f>
        <v>1</v>
      </c>
      <c r="R90" s="71" t="b">
        <f>AND(Scenarios3[[#This Row],[PE]]&gt;=PEMin,Scenarios3[[#This Row],[PE]]&lt;=PEMax)</f>
        <v>1</v>
      </c>
      <c r="S90" s="71" t="b">
        <f>Scenarios3[[#This Row],[Liquid Assets]]&gt;=LiquidMin</f>
        <v>1</v>
      </c>
      <c r="T90" s="71" t="b">
        <f>AND(Scenarios3[[#This Row],[Expected Return]]&gt;=ExpectedReturnMin,Scenarios3[[#This Row],[Expected Return]]&lt;=ExpectedReturnMax)</f>
        <v>1</v>
      </c>
      <c r="U90" s="71" t="b">
        <f>Scenarios3[[#This Row],[Max Drawdown]]&gt;=DrawdownMax</f>
        <v>1</v>
      </c>
      <c r="V9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0" s="46">
        <f>_xlfn.XLOOKUP(Scenarios3[[#This Row],[Reference '#]],ScenariosCombined[Reference '#],ScenariosCombined[Sharpe Rank])</f>
        <v>65</v>
      </c>
      <c r="X90" s="44">
        <f>IF(Scenarios3[[#This Row],[Eligible]],COUNTIFS(Scenarios3[Sharpe],"&gt;"&amp;Scenarios3[[#This Row],[Sharpe]],Scenarios3[Eligible],TRUE())+COUNTIFS(Scenarios3[Sharpe],Scenarios3[[#This Row],[Sharpe]],Scenarios3[Eligible],TRUE()),"")</f>
        <v>60</v>
      </c>
      <c r="Y9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30/15/15/25/15</v>
      </c>
      <c r="Z90" s="139">
        <f>_xlfn.XLOOKUP(Scenarios3[[#This Row],[Reference '#]],Scenarios1[Reference '#],Scenarios1[Sharpe Rank])</f>
        <v>66</v>
      </c>
      <c r="AA90" s="139">
        <f>_xlfn.XLOOKUP(Scenarios3[[#This Row],[Reference '#]],Scenarios2[Reference '#],Scenarios2[Sharpe Rank])</f>
        <v>64</v>
      </c>
      <c r="AB90" s="139">
        <f>Scenarios3[[#This Row],[Sharpe Rank]]</f>
        <v>60</v>
      </c>
      <c r="AC90"/>
      <c r="AD90"/>
      <c r="AE90"/>
      <c r="AF90" s="34"/>
      <c r="AG90" s="34"/>
    </row>
    <row r="91" spans="2:33" s="15" customFormat="1" x14ac:dyDescent="0.2">
      <c r="B91" s="71">
        <v>134</v>
      </c>
      <c r="C91" s="69">
        <v>0.25</v>
      </c>
      <c r="D91" s="69">
        <v>0.15</v>
      </c>
      <c r="E91" s="69">
        <v>0.2</v>
      </c>
      <c r="F91" s="69">
        <v>0.25</v>
      </c>
      <c r="G91" s="69">
        <v>0.15</v>
      </c>
      <c r="H91" s="69">
        <f>SUMPRODUCT(Scenarios3[[#This Row],[SPY]:[PE]],_xlfn.TOROW(AssetSpecsScenario3[Annualized Return]))</f>
        <v>8.9513379143679503E-2</v>
      </c>
      <c r="I91" s="69" cm="1">
        <f t="array" ref="I91">SQRT(MMULT(MMULT(Scenarios3[[#This Row],[SPY]:[PE]], 'Corr_Cov 36- Month'!$J$13:$N$17), TRANSPOSE(Scenarios3[[#This Row],[SPY]:[PE]])))</f>
        <v>8.5661553228605275E-2</v>
      </c>
      <c r="J91" s="70">
        <f>(Scenarios3[[#This Row],[Expected Return]]-RiskFree)/Scenarios3[[#This Row],[36M Vol]]</f>
        <v>0.4962298952796616</v>
      </c>
      <c r="K91" s="107" cm="1">
        <f t="array" ref="K91">MIN(_xlfn._xlws.FILTER(PortfolioFrontier[#Data],(PortfolioFrontier[#Headers]="P"&amp;Scenarios3[[#This Row],[Reference '#]]&amp;" DD")))</f>
        <v>-0.17530039956612353</v>
      </c>
      <c r="L91" s="69">
        <f>SUM(Scenarios3[[#This Row],[SPY]:[VNQ]])</f>
        <v>0.85000000000000009</v>
      </c>
      <c r="M91" s="69">
        <f>SUM(Scenarios3[[#This Row],[SPY]:[PE]])</f>
        <v>1</v>
      </c>
      <c r="N91" s="71" t="b">
        <f>Scenarios3[[#This Row],[SPY]]&gt;=SpyMin</f>
        <v>1</v>
      </c>
      <c r="O91" s="71" t="b">
        <f>Scenarios3[[#This Row],[AGG]]&gt;=AGGMin</f>
        <v>1</v>
      </c>
      <c r="P91" s="71" t="b">
        <f>AND(Scenarios3[[#This Row],[GLD]]&gt;=GLDMin,Scenarios3[[#This Row],[GLD]]&lt;=GLDMax)</f>
        <v>1</v>
      </c>
      <c r="Q91" s="71" t="b">
        <f>Scenarios3[[#This Row],[VNQ]]&gt;=VNQMin</f>
        <v>1</v>
      </c>
      <c r="R91" s="71" t="b">
        <f>AND(Scenarios3[[#This Row],[PE]]&gt;=PEMin,Scenarios3[[#This Row],[PE]]&lt;=PEMax)</f>
        <v>1</v>
      </c>
      <c r="S91" s="71" t="b">
        <f>Scenarios3[[#This Row],[Liquid Assets]]&gt;=LiquidMin</f>
        <v>1</v>
      </c>
      <c r="T91" s="71" t="b">
        <f>AND(Scenarios3[[#This Row],[Expected Return]]&gt;=ExpectedReturnMin,Scenarios3[[#This Row],[Expected Return]]&lt;=ExpectedReturnMax)</f>
        <v>1</v>
      </c>
      <c r="U91" s="71" t="b">
        <f>Scenarios3[[#This Row],[Max Drawdown]]&gt;=DrawdownMax</f>
        <v>1</v>
      </c>
      <c r="V9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1" s="46">
        <f>_xlfn.XLOOKUP(Scenarios3[[#This Row],[Reference '#]],ScenariosCombined[Reference '#],ScenariosCombined[Sharpe Rank])</f>
        <v>67</v>
      </c>
      <c r="X91" s="44">
        <f>IF(Scenarios3[[#This Row],[Eligible]],COUNTIFS(Scenarios3[Sharpe],"&gt;"&amp;Scenarios3[[#This Row],[Sharpe]],Scenarios3[Eligible],TRUE())+COUNTIFS(Scenarios3[Sharpe],Scenarios3[[#This Row],[Sharpe]],Scenarios3[Eligible],TRUE()),"")</f>
        <v>61</v>
      </c>
      <c r="Y9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25/15/20/25/15</v>
      </c>
      <c r="Z91" s="139">
        <f>_xlfn.XLOOKUP(Scenarios3[[#This Row],[Reference '#]],Scenarios1[Reference '#],Scenarios1[Sharpe Rank])</f>
        <v>67</v>
      </c>
      <c r="AA91" s="139">
        <f>_xlfn.XLOOKUP(Scenarios3[[#This Row],[Reference '#]],Scenarios2[Reference '#],Scenarios2[Sharpe Rank])</f>
        <v>65</v>
      </c>
      <c r="AB91" s="139">
        <f>Scenarios3[[#This Row],[Sharpe Rank]]</f>
        <v>61</v>
      </c>
      <c r="AC91"/>
      <c r="AD91"/>
      <c r="AE91"/>
      <c r="AF91" s="34"/>
      <c r="AG91" s="34"/>
    </row>
    <row r="92" spans="2:33" s="15" customFormat="1" x14ac:dyDescent="0.2">
      <c r="B92" s="71">
        <v>129</v>
      </c>
      <c r="C92" s="69">
        <v>0.25</v>
      </c>
      <c r="D92" s="69">
        <v>0.2</v>
      </c>
      <c r="E92" s="69">
        <v>0.15</v>
      </c>
      <c r="F92" s="69">
        <v>0.2</v>
      </c>
      <c r="G92" s="69">
        <v>0.2</v>
      </c>
      <c r="H92" s="69">
        <f>SUMPRODUCT(Scenarios3[[#This Row],[SPY]:[PE]],_xlfn.TOROW(AssetSpecsScenario3[Annualized Return]))</f>
        <v>8.5466114556600525E-2</v>
      </c>
      <c r="I92" s="69" cm="1">
        <f t="array" ref="I92">SQRT(MMULT(MMULT(Scenarios3[[#This Row],[SPY]:[PE]], 'Corr_Cov 36- Month'!$J$13:$N$17), TRANSPOSE(Scenarios3[[#This Row],[SPY]:[PE]])))</f>
        <v>7.7692321796851524E-2</v>
      </c>
      <c r="J92" s="70">
        <f>(Scenarios3[[#This Row],[Expected Return]]-RiskFree)/Scenarios3[[#This Row],[36M Vol]]</f>
        <v>0.49503680816247131</v>
      </c>
      <c r="K92" s="107" cm="1">
        <f t="array" ref="K92">MIN(_xlfn._xlws.FILTER(PortfolioFrontier[#Data],(PortfolioFrontier[#Headers]="P"&amp;Scenarios3[[#This Row],[Reference '#]]&amp;" DD")))</f>
        <v>-0.16323092705506337</v>
      </c>
      <c r="L92" s="69">
        <f>SUM(Scenarios3[[#This Row],[SPY]:[VNQ]])</f>
        <v>0.8</v>
      </c>
      <c r="M92" s="69">
        <f>SUM(Scenarios3[[#This Row],[SPY]:[PE]])</f>
        <v>1</v>
      </c>
      <c r="N92" s="71" t="b">
        <f>Scenarios3[[#This Row],[SPY]]&gt;=SpyMin</f>
        <v>1</v>
      </c>
      <c r="O92" s="71" t="b">
        <f>Scenarios3[[#This Row],[AGG]]&gt;=AGGMin</f>
        <v>1</v>
      </c>
      <c r="P92" s="71" t="b">
        <f>AND(Scenarios3[[#This Row],[GLD]]&gt;=GLDMin,Scenarios3[[#This Row],[GLD]]&lt;=GLDMax)</f>
        <v>1</v>
      </c>
      <c r="Q92" s="71" t="b">
        <f>Scenarios3[[#This Row],[VNQ]]&gt;=VNQMin</f>
        <v>1</v>
      </c>
      <c r="R92" s="71" t="b">
        <f>AND(Scenarios3[[#This Row],[PE]]&gt;=PEMin,Scenarios3[[#This Row],[PE]]&lt;=PEMax)</f>
        <v>1</v>
      </c>
      <c r="S92" s="71" t="b">
        <f>Scenarios3[[#This Row],[Liquid Assets]]&gt;=LiquidMin</f>
        <v>1</v>
      </c>
      <c r="T92" s="71" t="b">
        <f>AND(Scenarios3[[#This Row],[Expected Return]]&gt;=ExpectedReturnMin,Scenarios3[[#This Row],[Expected Return]]&lt;=ExpectedReturnMax)</f>
        <v>1</v>
      </c>
      <c r="U92" s="71" t="b">
        <f>Scenarios3[[#This Row],[Max Drawdown]]&gt;=DrawdownMax</f>
        <v>1</v>
      </c>
      <c r="V9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2" s="46">
        <f>_xlfn.XLOOKUP(Scenarios3[[#This Row],[Reference '#]],ScenariosCombined[Reference '#],ScenariosCombined[Sharpe Rank])</f>
        <v>75</v>
      </c>
      <c r="X92" s="44">
        <f>IF(Scenarios3[[#This Row],[Eligible]],COUNTIFS(Scenarios3[Sharpe],"&gt;"&amp;Scenarios3[[#This Row],[Sharpe]],Scenarios3[Eligible],TRUE())+COUNTIFS(Scenarios3[Sharpe],Scenarios3[[#This Row],[Sharpe]],Scenarios3[Eligible],TRUE()),"")</f>
        <v>62</v>
      </c>
      <c r="Y9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25/20/15/20/20</v>
      </c>
      <c r="Z92" s="139">
        <f>_xlfn.XLOOKUP(Scenarios3[[#This Row],[Reference '#]],Scenarios1[Reference '#],Scenarios1[Sharpe Rank])</f>
        <v>84</v>
      </c>
      <c r="AA92" s="139">
        <f>_xlfn.XLOOKUP(Scenarios3[[#This Row],[Reference '#]],Scenarios2[Reference '#],Scenarios2[Sharpe Rank])</f>
        <v>79</v>
      </c>
      <c r="AB92" s="139">
        <f>Scenarios3[[#This Row],[Sharpe Rank]]</f>
        <v>62</v>
      </c>
      <c r="AC92"/>
      <c r="AD92"/>
      <c r="AE92"/>
      <c r="AF92" s="34"/>
      <c r="AG92" s="34"/>
    </row>
    <row r="93" spans="2:33" s="15" customFormat="1" x14ac:dyDescent="0.2">
      <c r="B93" s="71">
        <v>59</v>
      </c>
      <c r="C93" s="69">
        <v>0.35</v>
      </c>
      <c r="D93" s="69">
        <v>0.15</v>
      </c>
      <c r="E93" s="69">
        <v>0.1</v>
      </c>
      <c r="F93" s="69">
        <v>0.25</v>
      </c>
      <c r="G93" s="69">
        <v>0.15</v>
      </c>
      <c r="H93" s="69">
        <f>SUMPRODUCT(Scenarios3[[#This Row],[SPY]:[PE]],_xlfn.TOROW(AssetSpecsScenario3[Annualized Return]))</f>
        <v>9.1728928691217806E-2</v>
      </c>
      <c r="I93" s="69" cm="1">
        <f t="array" ref="I93">SQRT(MMULT(MMULT(Scenarios3[[#This Row],[SPY]:[PE]], 'Corr_Cov 36- Month'!$J$13:$N$17), TRANSPOSE(Scenarios3[[#This Row],[SPY]:[PE]])))</f>
        <v>9.0975504833413975E-2</v>
      </c>
      <c r="J93" s="70">
        <f>(Scenarios3[[#This Row],[Expected Return]]-RiskFree)/Scenarios3[[#This Row],[36M Vol]]</f>
        <v>0.49159796604103057</v>
      </c>
      <c r="K93" s="107" cm="1">
        <f t="array" ref="K93">MIN(_xlfn._xlws.FILTER(PortfolioFrontier[#Data],(PortfolioFrontier[#Headers]="P"&amp;Scenarios3[[#This Row],[Reference '#]]&amp;" DD")))</f>
        <v>-0.18983745098866178</v>
      </c>
      <c r="L93" s="69">
        <f>SUM(Scenarios3[[#This Row],[SPY]:[VNQ]])</f>
        <v>0.85</v>
      </c>
      <c r="M93" s="69">
        <f>SUM(Scenarios3[[#This Row],[SPY]:[PE]])</f>
        <v>1</v>
      </c>
      <c r="N93" s="71" t="b">
        <f>Scenarios3[[#This Row],[SPY]]&gt;=SpyMin</f>
        <v>1</v>
      </c>
      <c r="O93" s="71" t="b">
        <f>Scenarios3[[#This Row],[AGG]]&gt;=AGGMin</f>
        <v>1</v>
      </c>
      <c r="P93" s="71" t="b">
        <f>AND(Scenarios3[[#This Row],[GLD]]&gt;=GLDMin,Scenarios3[[#This Row],[GLD]]&lt;=GLDMax)</f>
        <v>1</v>
      </c>
      <c r="Q93" s="71" t="b">
        <f>Scenarios3[[#This Row],[VNQ]]&gt;=VNQMin</f>
        <v>1</v>
      </c>
      <c r="R93" s="71" t="b">
        <f>AND(Scenarios3[[#This Row],[PE]]&gt;=PEMin,Scenarios3[[#This Row],[PE]]&lt;=PEMax)</f>
        <v>1</v>
      </c>
      <c r="S93" s="71" t="b">
        <f>Scenarios3[[#This Row],[Liquid Assets]]&gt;=LiquidMin</f>
        <v>1</v>
      </c>
      <c r="T93" s="71" t="b">
        <f>AND(Scenarios3[[#This Row],[Expected Return]]&gt;=ExpectedReturnMin,Scenarios3[[#This Row],[Expected Return]]&lt;=ExpectedReturnMax)</f>
        <v>1</v>
      </c>
      <c r="U93" s="71" t="b">
        <f>Scenarios3[[#This Row],[Max Drawdown]]&gt;=DrawdownMax</f>
        <v>1</v>
      </c>
      <c r="V9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3" s="46">
        <f>_xlfn.XLOOKUP(Scenarios3[[#This Row],[Reference '#]],ScenariosCombined[Reference '#],ScenariosCombined[Sharpe Rank])</f>
        <v>68</v>
      </c>
      <c r="X93" s="44">
        <f>IF(Scenarios3[[#This Row],[Eligible]],COUNTIFS(Scenarios3[Sharpe],"&gt;"&amp;Scenarios3[[#This Row],[Sharpe]],Scenarios3[Eligible],TRUE())+COUNTIFS(Scenarios3[Sharpe],Scenarios3[[#This Row],[Sharpe]],Scenarios3[Eligible],TRUE()),"")</f>
        <v>63</v>
      </c>
      <c r="Y9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35/15/10/25/15</v>
      </c>
      <c r="Z93" s="139">
        <f>_xlfn.XLOOKUP(Scenarios3[[#This Row],[Reference '#]],Scenarios1[Reference '#],Scenarios1[Sharpe Rank])</f>
        <v>68</v>
      </c>
      <c r="AA93" s="139">
        <f>_xlfn.XLOOKUP(Scenarios3[[#This Row],[Reference '#]],Scenarios2[Reference '#],Scenarios2[Sharpe Rank])</f>
        <v>66</v>
      </c>
      <c r="AB93" s="139">
        <f>Scenarios3[[#This Row],[Sharpe Rank]]</f>
        <v>63</v>
      </c>
      <c r="AC93"/>
      <c r="AD93"/>
      <c r="AE93"/>
      <c r="AF93" s="34"/>
      <c r="AG93" s="34"/>
    </row>
    <row r="94" spans="2:33" s="15" customFormat="1" x14ac:dyDescent="0.2">
      <c r="B94" s="71">
        <v>87</v>
      </c>
      <c r="C94" s="69">
        <v>0.3</v>
      </c>
      <c r="D94" s="69">
        <v>0.2</v>
      </c>
      <c r="E94" s="69">
        <v>0.1</v>
      </c>
      <c r="F94" s="69">
        <v>0.2</v>
      </c>
      <c r="G94" s="69">
        <v>0.2</v>
      </c>
      <c r="H94" s="69">
        <f>SUMPRODUCT(Scenarios3[[#This Row],[SPY]:[PE]],_xlfn.TOROW(AssetSpecsScenario3[Annualized Return]))</f>
        <v>8.6573889330369677E-2</v>
      </c>
      <c r="I94" s="69" cm="1">
        <f t="array" ref="I94">SQRT(MMULT(MMULT(Scenarios3[[#This Row],[SPY]:[PE]], 'Corr_Cov 36- Month'!$J$13:$N$17), TRANSPOSE(Scenarios3[[#This Row],[SPY]:[PE]])))</f>
        <v>8.0527809423735205E-2</v>
      </c>
      <c r="J94" s="70">
        <f>(Scenarios3[[#This Row],[Expected Return]]-RiskFree)/Scenarios3[[#This Row],[36M Vol]]</f>
        <v>0.49136235119232663</v>
      </c>
      <c r="K94" s="107" cm="1">
        <f t="array" ref="K94">MIN(_xlfn._xlws.FILTER(PortfolioFrontier[#Data],(PortfolioFrontier[#Headers]="P"&amp;Scenarios3[[#This Row],[Reference '#]]&amp;" DD")))</f>
        <v>-0.17054442023968874</v>
      </c>
      <c r="L94" s="69">
        <f>SUM(Scenarios3[[#This Row],[SPY]:[VNQ]])</f>
        <v>0.8</v>
      </c>
      <c r="M94" s="69">
        <f>SUM(Scenarios3[[#This Row],[SPY]:[PE]])</f>
        <v>1</v>
      </c>
      <c r="N94" s="71" t="b">
        <f>Scenarios3[[#This Row],[SPY]]&gt;=SpyMin</f>
        <v>1</v>
      </c>
      <c r="O94" s="71" t="b">
        <f>Scenarios3[[#This Row],[AGG]]&gt;=AGGMin</f>
        <v>1</v>
      </c>
      <c r="P94" s="71" t="b">
        <f>AND(Scenarios3[[#This Row],[GLD]]&gt;=GLDMin,Scenarios3[[#This Row],[GLD]]&lt;=GLDMax)</f>
        <v>1</v>
      </c>
      <c r="Q94" s="71" t="b">
        <f>Scenarios3[[#This Row],[VNQ]]&gt;=VNQMin</f>
        <v>1</v>
      </c>
      <c r="R94" s="71" t="b">
        <f>AND(Scenarios3[[#This Row],[PE]]&gt;=PEMin,Scenarios3[[#This Row],[PE]]&lt;=PEMax)</f>
        <v>1</v>
      </c>
      <c r="S94" s="71" t="b">
        <f>Scenarios3[[#This Row],[Liquid Assets]]&gt;=LiquidMin</f>
        <v>1</v>
      </c>
      <c r="T94" s="71" t="b">
        <f>AND(Scenarios3[[#This Row],[Expected Return]]&gt;=ExpectedReturnMin,Scenarios3[[#This Row],[Expected Return]]&lt;=ExpectedReturnMax)</f>
        <v>1</v>
      </c>
      <c r="U94" s="71" t="b">
        <f>Scenarios3[[#This Row],[Max Drawdown]]&gt;=DrawdownMax</f>
        <v>1</v>
      </c>
      <c r="V9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4" s="46">
        <f>_xlfn.XLOOKUP(Scenarios3[[#This Row],[Reference '#]],ScenariosCombined[Reference '#],ScenariosCombined[Sharpe Rank])</f>
        <v>77</v>
      </c>
      <c r="X94" s="44">
        <f>IF(Scenarios3[[#This Row],[Eligible]],COUNTIFS(Scenarios3[Sharpe],"&gt;"&amp;Scenarios3[[#This Row],[Sharpe]],Scenarios3[Eligible],TRUE())+COUNTIFS(Scenarios3[Sharpe],Scenarios3[[#This Row],[Sharpe]],Scenarios3[Eligible],TRUE()),"")</f>
        <v>64</v>
      </c>
      <c r="Y9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30/20/10/20/20</v>
      </c>
      <c r="Z94" s="139">
        <f>_xlfn.XLOOKUP(Scenarios3[[#This Row],[Reference '#]],Scenarios1[Reference '#],Scenarios1[Sharpe Rank])</f>
        <v>85</v>
      </c>
      <c r="AA94" s="139">
        <f>_xlfn.XLOOKUP(Scenarios3[[#This Row],[Reference '#]],Scenarios2[Reference '#],Scenarios2[Sharpe Rank])</f>
        <v>81</v>
      </c>
      <c r="AB94" s="139">
        <f>Scenarios3[[#This Row],[Sharpe Rank]]</f>
        <v>64</v>
      </c>
      <c r="AC94"/>
      <c r="AD94"/>
      <c r="AE94"/>
      <c r="AF94" s="34"/>
      <c r="AG94" s="34"/>
    </row>
    <row r="95" spans="2:33" s="15" customFormat="1" x14ac:dyDescent="0.2">
      <c r="B95" s="71">
        <v>138</v>
      </c>
      <c r="C95" s="69">
        <v>0.25</v>
      </c>
      <c r="D95" s="69">
        <v>0.15</v>
      </c>
      <c r="E95" s="69">
        <v>0.15</v>
      </c>
      <c r="F95" s="69">
        <v>0.25</v>
      </c>
      <c r="G95" s="69">
        <v>0.2</v>
      </c>
      <c r="H95" s="69">
        <f>SUMPRODUCT(Scenarios3[[#This Row],[SPY]:[PE]],_xlfn.TOROW(AssetSpecsScenario3[Annualized Return]))</f>
        <v>8.7049853902763985E-2</v>
      </c>
      <c r="I95" s="69" cm="1">
        <f t="array" ref="I95">SQRT(MMULT(MMULT(Scenarios3[[#This Row],[SPY]:[PE]], 'Corr_Cov 36- Month'!$J$13:$N$17), TRANSPOSE(Scenarios3[[#This Row],[SPY]:[PE]])))</f>
        <v>8.3061725265277039E-2</v>
      </c>
      <c r="J95" s="70">
        <f>(Scenarios3[[#This Row],[Expected Return]]-RiskFree)/Scenarios3[[#This Row],[36M Vol]]</f>
        <v>0.4821028966027085</v>
      </c>
      <c r="K95" s="107" cm="1">
        <f t="array" ref="K95">MIN(_xlfn._xlws.FILTER(PortfolioFrontier[#Data],(PortfolioFrontier[#Headers]="P"&amp;Scenarios3[[#This Row],[Reference '#]]&amp;" DD")))</f>
        <v>-0.17103679909467062</v>
      </c>
      <c r="L95" s="69">
        <f>SUM(Scenarios3[[#This Row],[SPY]:[VNQ]])</f>
        <v>0.8</v>
      </c>
      <c r="M95" s="69">
        <f>SUM(Scenarios3[[#This Row],[SPY]:[PE]])</f>
        <v>1</v>
      </c>
      <c r="N95" s="71" t="b">
        <f>Scenarios3[[#This Row],[SPY]]&gt;=SpyMin</f>
        <v>1</v>
      </c>
      <c r="O95" s="71" t="b">
        <f>Scenarios3[[#This Row],[AGG]]&gt;=AGGMin</f>
        <v>1</v>
      </c>
      <c r="P95" s="71" t="b">
        <f>AND(Scenarios3[[#This Row],[GLD]]&gt;=GLDMin,Scenarios3[[#This Row],[GLD]]&lt;=GLDMax)</f>
        <v>1</v>
      </c>
      <c r="Q95" s="71" t="b">
        <f>Scenarios3[[#This Row],[VNQ]]&gt;=VNQMin</f>
        <v>1</v>
      </c>
      <c r="R95" s="71" t="b">
        <f>AND(Scenarios3[[#This Row],[PE]]&gt;=PEMin,Scenarios3[[#This Row],[PE]]&lt;=PEMax)</f>
        <v>1</v>
      </c>
      <c r="S95" s="71" t="b">
        <f>Scenarios3[[#This Row],[Liquid Assets]]&gt;=LiquidMin</f>
        <v>1</v>
      </c>
      <c r="T95" s="71" t="b">
        <f>AND(Scenarios3[[#This Row],[Expected Return]]&gt;=ExpectedReturnMin,Scenarios3[[#This Row],[Expected Return]]&lt;=ExpectedReturnMax)</f>
        <v>1</v>
      </c>
      <c r="U95" s="71" t="b">
        <f>Scenarios3[[#This Row],[Max Drawdown]]&gt;=DrawdownMax</f>
        <v>1</v>
      </c>
      <c r="V9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5" s="46">
        <f>_xlfn.XLOOKUP(Scenarios3[[#This Row],[Reference '#]],ScenariosCombined[Reference '#],ScenariosCombined[Sharpe Rank])</f>
        <v>80</v>
      </c>
      <c r="X95" s="44">
        <f>IF(Scenarios3[[#This Row],[Eligible]],COUNTIFS(Scenarios3[Sharpe],"&gt;"&amp;Scenarios3[[#This Row],[Sharpe]],Scenarios3[Eligible],TRUE())+COUNTIFS(Scenarios3[Sharpe],Scenarios3[[#This Row],[Sharpe]],Scenarios3[Eligible],TRUE()),"")</f>
        <v>65</v>
      </c>
      <c r="Y9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25/15/15/25/20</v>
      </c>
      <c r="Z95" s="139">
        <f>_xlfn.XLOOKUP(Scenarios3[[#This Row],[Reference '#]],Scenarios1[Reference '#],Scenarios1[Sharpe Rank])</f>
        <v>88</v>
      </c>
      <c r="AA95" s="139">
        <f>_xlfn.XLOOKUP(Scenarios3[[#This Row],[Reference '#]],Scenarios2[Reference '#],Scenarios2[Sharpe Rank])</f>
        <v>84</v>
      </c>
      <c r="AB95" s="139">
        <f>Scenarios3[[#This Row],[Sharpe Rank]]</f>
        <v>65</v>
      </c>
      <c r="AC95"/>
      <c r="AD95"/>
      <c r="AE95"/>
      <c r="AF95" s="34"/>
      <c r="AG95" s="34"/>
    </row>
    <row r="96" spans="2:33" s="15" customFormat="1" x14ac:dyDescent="0.2">
      <c r="B96" s="71">
        <v>62</v>
      </c>
      <c r="C96" s="69">
        <v>0.3</v>
      </c>
      <c r="D96" s="69">
        <v>0.35</v>
      </c>
      <c r="E96" s="69">
        <v>0.15</v>
      </c>
      <c r="F96" s="69">
        <v>0.1</v>
      </c>
      <c r="G96" s="69">
        <v>0.1</v>
      </c>
      <c r="H96" s="69">
        <f>SUMPRODUCT(Scenarios3[[#This Row],[SPY]:[PE]],_xlfn.TOROW(AssetSpecsScenario3[Annualized Return]))</f>
        <v>8.275800287263424E-2</v>
      </c>
      <c r="I96" s="69" cm="1">
        <f t="array" ref="I96">SQRT(MMULT(MMULT(Scenarios3[[#This Row],[SPY]:[PE]], 'Corr_Cov 36- Month'!$J$13:$N$17), TRANSPOSE(Scenarios3[[#This Row],[SPY]:[PE]])))</f>
        <v>7.4660012217719132E-2</v>
      </c>
      <c r="J96" s="70">
        <f>(Scenarios3[[#This Row],[Expected Return]]-RiskFree)/Scenarios3[[#This Row],[36M Vol]]</f>
        <v>0.4788700973262569</v>
      </c>
      <c r="K96" s="107" cm="1">
        <f t="array" ref="K96">MIN(_xlfn._xlws.FILTER(PortfolioFrontier[#Data],(PortfolioFrontier[#Headers]="P"&amp;Scenarios3[[#This Row],[Reference '#]]&amp;" DD")))</f>
        <v>-0.16600529744900194</v>
      </c>
      <c r="L96" s="69">
        <f>SUM(Scenarios3[[#This Row],[SPY]:[VNQ]])</f>
        <v>0.89999999999999991</v>
      </c>
      <c r="M96" s="69">
        <f>SUM(Scenarios3[[#This Row],[SPY]:[PE]])</f>
        <v>0.99999999999999989</v>
      </c>
      <c r="N96" s="71" t="b">
        <f>Scenarios3[[#This Row],[SPY]]&gt;=SpyMin</f>
        <v>1</v>
      </c>
      <c r="O96" s="71" t="b">
        <f>Scenarios3[[#This Row],[AGG]]&gt;=AGGMin</f>
        <v>1</v>
      </c>
      <c r="P96" s="71" t="b">
        <f>AND(Scenarios3[[#This Row],[GLD]]&gt;=GLDMin,Scenarios3[[#This Row],[GLD]]&lt;=GLDMax)</f>
        <v>1</v>
      </c>
      <c r="Q96" s="71" t="b">
        <f>Scenarios3[[#This Row],[VNQ]]&gt;=VNQMin</f>
        <v>1</v>
      </c>
      <c r="R96" s="71" t="b">
        <f>AND(Scenarios3[[#This Row],[PE]]&gt;=PEMin,Scenarios3[[#This Row],[PE]]&lt;=PEMax)</f>
        <v>1</v>
      </c>
      <c r="S96" s="71" t="b">
        <f>Scenarios3[[#This Row],[Liquid Assets]]&gt;=LiquidMin</f>
        <v>1</v>
      </c>
      <c r="T96" s="71" t="b">
        <f>AND(Scenarios3[[#This Row],[Expected Return]]&gt;=ExpectedReturnMin,Scenarios3[[#This Row],[Expected Return]]&lt;=ExpectedReturnMax)</f>
        <v>1</v>
      </c>
      <c r="U96" s="71" t="b">
        <f>Scenarios3[[#This Row],[Max Drawdown]]&gt;=DrawdownMax</f>
        <v>1</v>
      </c>
      <c r="V9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6" s="46">
        <f>_xlfn.XLOOKUP(Scenarios3[[#This Row],[Reference '#]],ScenariosCombined[Reference '#],ScenariosCombined[Sharpe Rank])</f>
        <v>70</v>
      </c>
      <c r="X96" s="44">
        <f>IF(Scenarios3[[#This Row],[Eligible]],COUNTIFS(Scenarios3[Sharpe],"&gt;"&amp;Scenarios3[[#This Row],[Sharpe]],Scenarios3[Eligible],TRUE())+COUNTIFS(Scenarios3[Sharpe],Scenarios3[[#This Row],[Sharpe]],Scenarios3[Eligible],TRUE()),"")</f>
        <v>66</v>
      </c>
      <c r="Y9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30/35/15/10/10</v>
      </c>
      <c r="Z96" s="139">
        <f>_xlfn.XLOOKUP(Scenarios3[[#This Row],[Reference '#]],Scenarios1[Reference '#],Scenarios1[Sharpe Rank])</f>
        <v>69</v>
      </c>
      <c r="AA96" s="139">
        <f>_xlfn.XLOOKUP(Scenarios3[[#This Row],[Reference '#]],Scenarios2[Reference '#],Scenarios2[Sharpe Rank])</f>
        <v>67</v>
      </c>
      <c r="AB96" s="139">
        <f>Scenarios3[[#This Row],[Sharpe Rank]]</f>
        <v>66</v>
      </c>
      <c r="AC96"/>
      <c r="AD96"/>
      <c r="AE96"/>
      <c r="AF96" s="34"/>
      <c r="AG96" s="34"/>
    </row>
    <row r="97" spans="2:33" s="15" customFormat="1" x14ac:dyDescent="0.2">
      <c r="B97" s="71">
        <v>96</v>
      </c>
      <c r="C97" s="69">
        <v>0.3</v>
      </c>
      <c r="D97" s="69">
        <v>0.15</v>
      </c>
      <c r="E97" s="69">
        <v>0.1</v>
      </c>
      <c r="F97" s="69">
        <v>0.25</v>
      </c>
      <c r="G97" s="69">
        <v>0.2</v>
      </c>
      <c r="H97" s="69">
        <f>SUMPRODUCT(Scenarios3[[#This Row],[SPY]:[PE]],_xlfn.TOROW(AssetSpecsScenario3[Annualized Return]))</f>
        <v>8.8157628676533151E-2</v>
      </c>
      <c r="I97" s="69" cm="1">
        <f t="array" ref="I97">SQRT(MMULT(MMULT(Scenarios3[[#This Row],[SPY]:[PE]], 'Corr_Cov 36- Month'!$J$13:$N$17), TRANSPOSE(Scenarios3[[#This Row],[SPY]:[PE]])))</f>
        <v>8.5991906072449817E-2</v>
      </c>
      <c r="J97" s="70">
        <f>(Scenarios3[[#This Row],[Expected Return]]-RiskFree)/Scenarios3[[#This Row],[36M Vol]]</f>
        <v>0.47855751780064271</v>
      </c>
      <c r="K97" s="107" cm="1">
        <f t="array" ref="K97">MIN(_xlfn._xlws.FILTER(PortfolioFrontier[#Data],(PortfolioFrontier[#Headers]="P"&amp;Scenarios3[[#This Row],[Reference '#]]&amp;" DD")))</f>
        <v>-0.17833167998995136</v>
      </c>
      <c r="L97" s="69">
        <f>SUM(Scenarios3[[#This Row],[SPY]:[VNQ]])</f>
        <v>0.79999999999999993</v>
      </c>
      <c r="M97" s="69">
        <f>SUM(Scenarios3[[#This Row],[SPY]:[PE]])</f>
        <v>1</v>
      </c>
      <c r="N97" s="71" t="b">
        <f>Scenarios3[[#This Row],[SPY]]&gt;=SpyMin</f>
        <v>1</v>
      </c>
      <c r="O97" s="71" t="b">
        <f>Scenarios3[[#This Row],[AGG]]&gt;=AGGMin</f>
        <v>1</v>
      </c>
      <c r="P97" s="71" t="b">
        <f>AND(Scenarios3[[#This Row],[GLD]]&gt;=GLDMin,Scenarios3[[#This Row],[GLD]]&lt;=GLDMax)</f>
        <v>1</v>
      </c>
      <c r="Q97" s="71" t="b">
        <f>Scenarios3[[#This Row],[VNQ]]&gt;=VNQMin</f>
        <v>1</v>
      </c>
      <c r="R97" s="71" t="b">
        <f>AND(Scenarios3[[#This Row],[PE]]&gt;=PEMin,Scenarios3[[#This Row],[PE]]&lt;=PEMax)</f>
        <v>1</v>
      </c>
      <c r="S97" s="71" t="b">
        <f>Scenarios3[[#This Row],[Liquid Assets]]&gt;=LiquidMin</f>
        <v>1</v>
      </c>
      <c r="T97" s="71" t="b">
        <f>AND(Scenarios3[[#This Row],[Expected Return]]&gt;=ExpectedReturnMin,Scenarios3[[#This Row],[Expected Return]]&lt;=ExpectedReturnMax)</f>
        <v>1</v>
      </c>
      <c r="U97" s="71" t="b">
        <f>Scenarios3[[#This Row],[Max Drawdown]]&gt;=DrawdownMax</f>
        <v>1</v>
      </c>
      <c r="V9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7" s="46">
        <f>_xlfn.XLOOKUP(Scenarios3[[#This Row],[Reference '#]],ScenariosCombined[Reference '#],ScenariosCombined[Sharpe Rank])</f>
        <v>82</v>
      </c>
      <c r="X97" s="44">
        <f>IF(Scenarios3[[#This Row],[Eligible]],COUNTIFS(Scenarios3[Sharpe],"&gt;"&amp;Scenarios3[[#This Row],[Sharpe]],Scenarios3[Eligible],TRUE())+COUNTIFS(Scenarios3[Sharpe],Scenarios3[[#This Row],[Sharpe]],Scenarios3[Eligible],TRUE()),"")</f>
        <v>67</v>
      </c>
      <c r="Y9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30/15/10/25/20</v>
      </c>
      <c r="Z97" s="139">
        <f>_xlfn.XLOOKUP(Scenarios3[[#This Row],[Reference '#]],Scenarios1[Reference '#],Scenarios1[Sharpe Rank])</f>
        <v>90</v>
      </c>
      <c r="AA97" s="139">
        <f>_xlfn.XLOOKUP(Scenarios3[[#This Row],[Reference '#]],Scenarios2[Reference '#],Scenarios2[Sharpe Rank])</f>
        <v>86</v>
      </c>
      <c r="AB97" s="139">
        <f>Scenarios3[[#This Row],[Sharpe Rank]]</f>
        <v>67</v>
      </c>
      <c r="AC97"/>
      <c r="AD97"/>
      <c r="AE97"/>
      <c r="AF97" s="34"/>
      <c r="AG97" s="34"/>
    </row>
    <row r="98" spans="2:33" s="15" customFormat="1" x14ac:dyDescent="0.2">
      <c r="B98" s="71">
        <v>34</v>
      </c>
      <c r="C98" s="69">
        <v>0.35</v>
      </c>
      <c r="D98" s="69">
        <v>0.35</v>
      </c>
      <c r="E98" s="69">
        <v>0.1</v>
      </c>
      <c r="F98" s="69">
        <v>0.1</v>
      </c>
      <c r="G98" s="69">
        <v>0.1</v>
      </c>
      <c r="H98" s="69">
        <f>SUMPRODUCT(Scenarios3[[#This Row],[SPY]:[PE]],_xlfn.TOROW(AssetSpecsScenario3[Annualized Return]))</f>
        <v>8.3865777646403405E-2</v>
      </c>
      <c r="I98" s="69" cm="1">
        <f t="array" ref="I98">SQRT(MMULT(MMULT(Scenarios3[[#This Row],[SPY]:[PE]], 'Corr_Cov 36- Month'!$J$13:$N$17), TRANSPOSE(Scenarios3[[#This Row],[SPY]:[PE]])))</f>
        <v>7.7333317718843761E-2</v>
      </c>
      <c r="J98" s="70">
        <f>(Scenarios3[[#This Row],[Expected Return]]-RiskFree)/Scenarios3[[#This Row],[36M Vol]]</f>
        <v>0.47664089913817503</v>
      </c>
      <c r="K98" s="107" cm="1">
        <f t="array" ref="K98">MIN(_xlfn._xlws.FILTER(PortfolioFrontier[#Data],(PortfolioFrontier[#Headers]="P"&amp;Scenarios3[[#This Row],[Reference '#]]&amp;" DD")))</f>
        <v>-0.17331410905464495</v>
      </c>
      <c r="L98" s="69">
        <f>SUM(Scenarios3[[#This Row],[SPY]:[VNQ]])</f>
        <v>0.89999999999999991</v>
      </c>
      <c r="M98" s="69">
        <f>SUM(Scenarios3[[#This Row],[SPY]:[PE]])</f>
        <v>0.99999999999999989</v>
      </c>
      <c r="N98" s="71" t="b">
        <f>Scenarios3[[#This Row],[SPY]]&gt;=SpyMin</f>
        <v>1</v>
      </c>
      <c r="O98" s="71" t="b">
        <f>Scenarios3[[#This Row],[AGG]]&gt;=AGGMin</f>
        <v>1</v>
      </c>
      <c r="P98" s="71" t="b">
        <f>AND(Scenarios3[[#This Row],[GLD]]&gt;=GLDMin,Scenarios3[[#This Row],[GLD]]&lt;=GLDMax)</f>
        <v>1</v>
      </c>
      <c r="Q98" s="71" t="b">
        <f>Scenarios3[[#This Row],[VNQ]]&gt;=VNQMin</f>
        <v>1</v>
      </c>
      <c r="R98" s="71" t="b">
        <f>AND(Scenarios3[[#This Row],[PE]]&gt;=PEMin,Scenarios3[[#This Row],[PE]]&lt;=PEMax)</f>
        <v>1</v>
      </c>
      <c r="S98" s="71" t="b">
        <f>Scenarios3[[#This Row],[Liquid Assets]]&gt;=LiquidMin</f>
        <v>1</v>
      </c>
      <c r="T98" s="71" t="b">
        <f>AND(Scenarios3[[#This Row],[Expected Return]]&gt;=ExpectedReturnMin,Scenarios3[[#This Row],[Expected Return]]&lt;=ExpectedReturnMax)</f>
        <v>1</v>
      </c>
      <c r="U98" s="71" t="b">
        <f>Scenarios3[[#This Row],[Max Drawdown]]&gt;=DrawdownMax</f>
        <v>1</v>
      </c>
      <c r="V9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8" s="46">
        <f>_xlfn.XLOOKUP(Scenarios3[[#This Row],[Reference '#]],ScenariosCombined[Reference '#],ScenariosCombined[Sharpe Rank])</f>
        <v>72</v>
      </c>
      <c r="X98" s="44">
        <f>IF(Scenarios3[[#This Row],[Eligible]],COUNTIFS(Scenarios3[Sharpe],"&gt;"&amp;Scenarios3[[#This Row],[Sharpe]],Scenarios3[Eligible],TRUE())+COUNTIFS(Scenarios3[Sharpe],Scenarios3[[#This Row],[Sharpe]],Scenarios3[Eligible],TRUE()),"")</f>
        <v>68</v>
      </c>
      <c r="Y9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35/35/10/10/10</v>
      </c>
      <c r="Z98" s="139">
        <f>_xlfn.XLOOKUP(Scenarios3[[#This Row],[Reference '#]],Scenarios1[Reference '#],Scenarios1[Sharpe Rank])</f>
        <v>70</v>
      </c>
      <c r="AA98" s="139">
        <f>_xlfn.XLOOKUP(Scenarios3[[#This Row],[Reference '#]],Scenarios2[Reference '#],Scenarios2[Sharpe Rank])</f>
        <v>68</v>
      </c>
      <c r="AB98" s="139">
        <f>Scenarios3[[#This Row],[Sharpe Rank]]</f>
        <v>68</v>
      </c>
      <c r="AC98"/>
      <c r="AD98"/>
      <c r="AE98"/>
      <c r="AF98" s="34"/>
      <c r="AG98" s="34"/>
    </row>
    <row r="99" spans="2:33" s="15" customFormat="1" x14ac:dyDescent="0.2">
      <c r="B99" s="71">
        <v>101</v>
      </c>
      <c r="C99" s="69">
        <v>0.25</v>
      </c>
      <c r="D99" s="69">
        <v>0.35</v>
      </c>
      <c r="E99" s="69">
        <v>0.2</v>
      </c>
      <c r="F99" s="69">
        <v>0.1</v>
      </c>
      <c r="G99" s="69">
        <v>0.1</v>
      </c>
      <c r="H99" s="69">
        <f>SUMPRODUCT(Scenarios3[[#This Row],[SPY]:[PE]],_xlfn.TOROW(AssetSpecsScenario3[Annualized Return]))</f>
        <v>8.1650228098865102E-2</v>
      </c>
      <c r="I99" s="69" cm="1">
        <f t="array" ref="I99">SQRT(MMULT(MMULT(Scenarios3[[#This Row],[SPY]:[PE]], 'Corr_Cov 36- Month'!$J$13:$N$17), TRANSPOSE(Scenarios3[[#This Row],[SPY]:[PE]])))</f>
        <v>7.3038357699161879E-2</v>
      </c>
      <c r="J99" s="70">
        <f>(Scenarios3[[#This Row],[Expected Return]]-RiskFree)/Scenarios3[[#This Row],[36M Vol]]</f>
        <v>0.47433531687565728</v>
      </c>
      <c r="K99" s="107" cm="1">
        <f t="array" ref="K99">MIN(_xlfn._xlws.FILTER(PortfolioFrontier[#Data],(PortfolioFrontier[#Headers]="P"&amp;Scenarios3[[#This Row],[Reference '#]]&amp;" DD")))</f>
        <v>-0.1587163580209372</v>
      </c>
      <c r="L99" s="69">
        <f>SUM(Scenarios3[[#This Row],[SPY]:[VNQ]])</f>
        <v>0.9</v>
      </c>
      <c r="M99" s="69">
        <f>SUM(Scenarios3[[#This Row],[SPY]:[PE]])</f>
        <v>1</v>
      </c>
      <c r="N99" s="71" t="b">
        <f>Scenarios3[[#This Row],[SPY]]&gt;=SpyMin</f>
        <v>1</v>
      </c>
      <c r="O99" s="71" t="b">
        <f>Scenarios3[[#This Row],[AGG]]&gt;=AGGMin</f>
        <v>1</v>
      </c>
      <c r="P99" s="71" t="b">
        <f>AND(Scenarios3[[#This Row],[GLD]]&gt;=GLDMin,Scenarios3[[#This Row],[GLD]]&lt;=GLDMax)</f>
        <v>1</v>
      </c>
      <c r="Q99" s="71" t="b">
        <f>Scenarios3[[#This Row],[VNQ]]&gt;=VNQMin</f>
        <v>1</v>
      </c>
      <c r="R99" s="71" t="b">
        <f>AND(Scenarios3[[#This Row],[PE]]&gt;=PEMin,Scenarios3[[#This Row],[PE]]&lt;=PEMax)</f>
        <v>1</v>
      </c>
      <c r="S99" s="71" t="b">
        <f>Scenarios3[[#This Row],[Liquid Assets]]&gt;=LiquidMin</f>
        <v>1</v>
      </c>
      <c r="T99" s="71" t="b">
        <f>AND(Scenarios3[[#This Row],[Expected Return]]&gt;=ExpectedReturnMin,Scenarios3[[#This Row],[Expected Return]]&lt;=ExpectedReturnMax)</f>
        <v>1</v>
      </c>
      <c r="U99" s="71" t="b">
        <f>Scenarios3[[#This Row],[Max Drawdown]]&gt;=DrawdownMax</f>
        <v>1</v>
      </c>
      <c r="V9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99" s="46">
        <f>_xlfn.XLOOKUP(Scenarios3[[#This Row],[Reference '#]],ScenariosCombined[Reference '#],ScenariosCombined[Sharpe Rank])</f>
        <v>73</v>
      </c>
      <c r="X99" s="44">
        <f>IF(Scenarios3[[#This Row],[Eligible]],COUNTIFS(Scenarios3[Sharpe],"&gt;"&amp;Scenarios3[[#This Row],[Sharpe]],Scenarios3[Eligible],TRUE())+COUNTIFS(Scenarios3[Sharpe],Scenarios3[[#This Row],[Sharpe]],Scenarios3[Eligible],TRUE()),"")</f>
        <v>69</v>
      </c>
      <c r="Y9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25/35/20/10/10</v>
      </c>
      <c r="Z99" s="139">
        <f>_xlfn.XLOOKUP(Scenarios3[[#This Row],[Reference '#]],Scenarios1[Reference '#],Scenarios1[Sharpe Rank])</f>
        <v>71</v>
      </c>
      <c r="AA99" s="139">
        <f>_xlfn.XLOOKUP(Scenarios3[[#This Row],[Reference '#]],Scenarios2[Reference '#],Scenarios2[Sharpe Rank])</f>
        <v>71</v>
      </c>
      <c r="AB99" s="139">
        <f>Scenarios3[[#This Row],[Sharpe Rank]]</f>
        <v>69</v>
      </c>
      <c r="AC99"/>
      <c r="AD99"/>
      <c r="AE99"/>
      <c r="AF99" s="34"/>
      <c r="AG99" s="34"/>
    </row>
    <row r="100" spans="2:33" s="15" customFormat="1" x14ac:dyDescent="0.2">
      <c r="B100" s="71">
        <v>66</v>
      </c>
      <c r="C100" s="69">
        <v>0.3</v>
      </c>
      <c r="D100" s="69">
        <v>0.3</v>
      </c>
      <c r="E100" s="69">
        <v>0.15</v>
      </c>
      <c r="F100" s="69">
        <v>0.15</v>
      </c>
      <c r="G100" s="69">
        <v>0.1</v>
      </c>
      <c r="H100" s="69">
        <f>SUMPRODUCT(Scenarios3[[#This Row],[SPY]:[PE]],_xlfn.TOROW(AssetSpecsScenario3[Annualized Return]))</f>
        <v>8.4341742218797727E-2</v>
      </c>
      <c r="I100" s="69" cm="1">
        <f t="array" ref="I100">SQRT(MMULT(MMULT(Scenarios3[[#This Row],[SPY]:[PE]], 'Corr_Cov 36- Month'!$J$13:$N$17), TRANSPOSE(Scenarios3[[#This Row],[SPY]:[PE]])))</f>
        <v>7.9687239397557827E-2</v>
      </c>
      <c r="J100" s="70">
        <f>(Scenarios3[[#This Row],[Expected Return]]-RiskFree)/Scenarios3[[#This Row],[36M Vol]]</f>
        <v>0.46853407076850523</v>
      </c>
      <c r="K100" s="107" cm="1">
        <f t="array" ref="K100">MIN(_xlfn._xlws.FILTER(PortfolioFrontier[#Data],(PortfolioFrontier[#Headers]="P"&amp;Scenarios3[[#This Row],[Reference '#]]&amp;" DD")))</f>
        <v>-0.17373548486634538</v>
      </c>
      <c r="L100" s="69">
        <f>SUM(Scenarios3[[#This Row],[SPY]:[VNQ]])</f>
        <v>0.9</v>
      </c>
      <c r="M100" s="69">
        <f>SUM(Scenarios3[[#This Row],[SPY]:[PE]])</f>
        <v>1</v>
      </c>
      <c r="N100" s="71" t="b">
        <f>Scenarios3[[#This Row],[SPY]]&gt;=SpyMin</f>
        <v>1</v>
      </c>
      <c r="O100" s="71" t="b">
        <f>Scenarios3[[#This Row],[AGG]]&gt;=AGGMin</f>
        <v>1</v>
      </c>
      <c r="P100" s="71" t="b">
        <f>AND(Scenarios3[[#This Row],[GLD]]&gt;=GLDMin,Scenarios3[[#This Row],[GLD]]&lt;=GLDMax)</f>
        <v>1</v>
      </c>
      <c r="Q100" s="71" t="b">
        <f>Scenarios3[[#This Row],[VNQ]]&gt;=VNQMin</f>
        <v>1</v>
      </c>
      <c r="R100" s="71" t="b">
        <f>AND(Scenarios3[[#This Row],[PE]]&gt;=PEMin,Scenarios3[[#This Row],[PE]]&lt;=PEMax)</f>
        <v>1</v>
      </c>
      <c r="S100" s="71" t="b">
        <f>Scenarios3[[#This Row],[Liquid Assets]]&gt;=LiquidMin</f>
        <v>1</v>
      </c>
      <c r="T100" s="71" t="b">
        <f>AND(Scenarios3[[#This Row],[Expected Return]]&gt;=ExpectedReturnMin,Scenarios3[[#This Row],[Expected Return]]&lt;=ExpectedReturnMax)</f>
        <v>1</v>
      </c>
      <c r="U100" s="71" t="b">
        <f>Scenarios3[[#This Row],[Max Drawdown]]&gt;=DrawdownMax</f>
        <v>1</v>
      </c>
      <c r="V10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0" s="46">
        <f>_xlfn.XLOOKUP(Scenarios3[[#This Row],[Reference '#]],ScenariosCombined[Reference '#],ScenariosCombined[Sharpe Rank])</f>
        <v>74</v>
      </c>
      <c r="X100" s="44">
        <f>IF(Scenarios3[[#This Row],[Eligible]],COUNTIFS(Scenarios3[Sharpe],"&gt;"&amp;Scenarios3[[#This Row],[Sharpe]],Scenarios3[Eligible],TRUE())+COUNTIFS(Scenarios3[Sharpe],Scenarios3[[#This Row],[Sharpe]],Scenarios3[Eligible],TRUE()),"")</f>
        <v>70</v>
      </c>
      <c r="Y10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30/30/15/15/10</v>
      </c>
      <c r="Z100" s="139">
        <f>_xlfn.XLOOKUP(Scenarios3[[#This Row],[Reference '#]],Scenarios1[Reference '#],Scenarios1[Sharpe Rank])</f>
        <v>72</v>
      </c>
      <c r="AA100" s="139">
        <f>_xlfn.XLOOKUP(Scenarios3[[#This Row],[Reference '#]],Scenarios2[Reference '#],Scenarios2[Sharpe Rank])</f>
        <v>72</v>
      </c>
      <c r="AB100" s="139">
        <f>Scenarios3[[#This Row],[Sharpe Rank]]</f>
        <v>70</v>
      </c>
      <c r="AC100"/>
      <c r="AD100"/>
      <c r="AE100"/>
      <c r="AF100" s="34"/>
      <c r="AG100" s="34"/>
    </row>
    <row r="101" spans="2:33" s="15" customFormat="1" x14ac:dyDescent="0.2">
      <c r="B101" s="71">
        <v>36</v>
      </c>
      <c r="C101" s="69">
        <v>0.35</v>
      </c>
      <c r="D101" s="69">
        <v>0.3</v>
      </c>
      <c r="E101" s="69">
        <v>0.1</v>
      </c>
      <c r="F101" s="69">
        <v>0.15</v>
      </c>
      <c r="G101" s="69">
        <v>0.1</v>
      </c>
      <c r="H101" s="69">
        <f>SUMPRODUCT(Scenarios3[[#This Row],[SPY]:[PE]],_xlfn.TOROW(AssetSpecsScenario3[Annualized Return]))</f>
        <v>8.5449516992566893E-2</v>
      </c>
      <c r="I101" s="69" cm="1">
        <f t="array" ref="I101">SQRT(MMULT(MMULT(Scenarios3[[#This Row],[SPY]:[PE]], 'Corr_Cov 36- Month'!$J$13:$N$17), TRANSPOSE(Scenarios3[[#This Row],[SPY]:[PE]])))</f>
        <v>8.2480950584884388E-2</v>
      </c>
      <c r="J101" s="70">
        <f>(Scenarios3[[#This Row],[Expected Return]]-RiskFree)/Scenarios3[[#This Row],[36M Vol]]</f>
        <v>0.46609503363382254</v>
      </c>
      <c r="K101" s="107" cm="1">
        <f t="array" ref="K101">MIN(_xlfn._xlws.FILTER(PortfolioFrontier[#Data],(PortfolioFrontier[#Headers]="P"&amp;Scenarios3[[#This Row],[Reference '#]]&amp;" DD")))</f>
        <v>-0.18102599925931473</v>
      </c>
      <c r="L101" s="69">
        <f>SUM(Scenarios3[[#This Row],[SPY]:[VNQ]])</f>
        <v>0.89999999999999991</v>
      </c>
      <c r="M101" s="69">
        <f>SUM(Scenarios3[[#This Row],[SPY]:[PE]])</f>
        <v>0.99999999999999989</v>
      </c>
      <c r="N101" s="71" t="b">
        <f>Scenarios3[[#This Row],[SPY]]&gt;=SpyMin</f>
        <v>1</v>
      </c>
      <c r="O101" s="71" t="b">
        <f>Scenarios3[[#This Row],[AGG]]&gt;=AGGMin</f>
        <v>1</v>
      </c>
      <c r="P101" s="71" t="b">
        <f>AND(Scenarios3[[#This Row],[GLD]]&gt;=GLDMin,Scenarios3[[#This Row],[GLD]]&lt;=GLDMax)</f>
        <v>1</v>
      </c>
      <c r="Q101" s="71" t="b">
        <f>Scenarios3[[#This Row],[VNQ]]&gt;=VNQMin</f>
        <v>1</v>
      </c>
      <c r="R101" s="71" t="b">
        <f>AND(Scenarios3[[#This Row],[PE]]&gt;=PEMin,Scenarios3[[#This Row],[PE]]&lt;=PEMax)</f>
        <v>1</v>
      </c>
      <c r="S101" s="71" t="b">
        <f>Scenarios3[[#This Row],[Liquid Assets]]&gt;=LiquidMin</f>
        <v>1</v>
      </c>
      <c r="T101" s="71" t="b">
        <f>AND(Scenarios3[[#This Row],[Expected Return]]&gt;=ExpectedReturnMin,Scenarios3[[#This Row],[Expected Return]]&lt;=ExpectedReturnMax)</f>
        <v>1</v>
      </c>
      <c r="U101" s="71" t="b">
        <f>Scenarios3[[#This Row],[Max Drawdown]]&gt;=DrawdownMax</f>
        <v>1</v>
      </c>
      <c r="V10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1" s="46">
        <f>_xlfn.XLOOKUP(Scenarios3[[#This Row],[Reference '#]],ScenariosCombined[Reference '#],ScenariosCombined[Sharpe Rank])</f>
        <v>76</v>
      </c>
      <c r="X101" s="44">
        <f>IF(Scenarios3[[#This Row],[Eligible]],COUNTIFS(Scenarios3[Sharpe],"&gt;"&amp;Scenarios3[[#This Row],[Sharpe]],Scenarios3[Eligible],TRUE())+COUNTIFS(Scenarios3[Sharpe],Scenarios3[[#This Row],[Sharpe]],Scenarios3[Eligible],TRUE()),"")</f>
        <v>71</v>
      </c>
      <c r="Y10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35/30/10/15/10</v>
      </c>
      <c r="Z101" s="139">
        <f>_xlfn.XLOOKUP(Scenarios3[[#This Row],[Reference '#]],Scenarios1[Reference '#],Scenarios1[Sharpe Rank])</f>
        <v>73</v>
      </c>
      <c r="AA101" s="139">
        <f>_xlfn.XLOOKUP(Scenarios3[[#This Row],[Reference '#]],Scenarios2[Reference '#],Scenarios2[Sharpe Rank])</f>
        <v>73</v>
      </c>
      <c r="AB101" s="139">
        <f>Scenarios3[[#This Row],[Sharpe Rank]]</f>
        <v>71</v>
      </c>
      <c r="AC101"/>
      <c r="AD101"/>
      <c r="AE101"/>
      <c r="AF101" s="34"/>
      <c r="AG101" s="34"/>
    </row>
    <row r="102" spans="2:33" s="15" customFormat="1" x14ac:dyDescent="0.2">
      <c r="B102" s="71">
        <v>107</v>
      </c>
      <c r="C102" s="69">
        <v>0.25</v>
      </c>
      <c r="D102" s="69">
        <v>0.3</v>
      </c>
      <c r="E102" s="69">
        <v>0.2</v>
      </c>
      <c r="F102" s="69">
        <v>0.15</v>
      </c>
      <c r="G102" s="69">
        <v>0.1</v>
      </c>
      <c r="H102" s="69">
        <f>SUMPRODUCT(Scenarios3[[#This Row],[SPY]:[PE]],_xlfn.TOROW(AssetSpecsScenario3[Annualized Return]))</f>
        <v>8.3233967445028589E-2</v>
      </c>
      <c r="I102" s="69" cm="1">
        <f t="array" ref="I102">SQRT(MMULT(MMULT(Scenarios3[[#This Row],[SPY]:[PE]], 'Corr_Cov 36- Month'!$J$13:$N$17), TRANSPOSE(Scenarios3[[#This Row],[SPY]:[PE]])))</f>
        <v>7.7870494491274769E-2</v>
      </c>
      <c r="J102" s="70">
        <f>(Scenarios3[[#This Row],[Expected Return]]-RiskFree)/Scenarios3[[#This Row],[36M Vol]]</f>
        <v>0.46523926843089919</v>
      </c>
      <c r="K102" s="107" cm="1">
        <f t="array" ref="K102">MIN(_xlfn._xlws.FILTER(PortfolioFrontier[#Data],(PortfolioFrontier[#Headers]="P"&amp;Scenarios3[[#This Row],[Reference '#]]&amp;" DD")))</f>
        <v>-0.16646384132772141</v>
      </c>
      <c r="L102" s="69">
        <f>SUM(Scenarios3[[#This Row],[SPY]:[VNQ]])</f>
        <v>0.9</v>
      </c>
      <c r="M102" s="69">
        <f>SUM(Scenarios3[[#This Row],[SPY]:[PE]])</f>
        <v>1</v>
      </c>
      <c r="N102" s="71" t="b">
        <f>Scenarios3[[#This Row],[SPY]]&gt;=SpyMin</f>
        <v>1</v>
      </c>
      <c r="O102" s="71" t="b">
        <f>Scenarios3[[#This Row],[AGG]]&gt;=AGGMin</f>
        <v>1</v>
      </c>
      <c r="P102" s="71" t="b">
        <f>AND(Scenarios3[[#This Row],[GLD]]&gt;=GLDMin,Scenarios3[[#This Row],[GLD]]&lt;=GLDMax)</f>
        <v>1</v>
      </c>
      <c r="Q102" s="71" t="b">
        <f>Scenarios3[[#This Row],[VNQ]]&gt;=VNQMin</f>
        <v>1</v>
      </c>
      <c r="R102" s="71" t="b">
        <f>AND(Scenarios3[[#This Row],[PE]]&gt;=PEMin,Scenarios3[[#This Row],[PE]]&lt;=PEMax)</f>
        <v>1</v>
      </c>
      <c r="S102" s="71" t="b">
        <f>Scenarios3[[#This Row],[Liquid Assets]]&gt;=LiquidMin</f>
        <v>1</v>
      </c>
      <c r="T102" s="71" t="b">
        <f>AND(Scenarios3[[#This Row],[Expected Return]]&gt;=ExpectedReturnMin,Scenarios3[[#This Row],[Expected Return]]&lt;=ExpectedReturnMax)</f>
        <v>1</v>
      </c>
      <c r="U102" s="71" t="b">
        <f>Scenarios3[[#This Row],[Max Drawdown]]&gt;=DrawdownMax</f>
        <v>1</v>
      </c>
      <c r="V10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2" s="46">
        <f>_xlfn.XLOOKUP(Scenarios3[[#This Row],[Reference '#]],ScenariosCombined[Reference '#],ScenariosCombined[Sharpe Rank])</f>
        <v>78</v>
      </c>
      <c r="X102" s="44">
        <f>IF(Scenarios3[[#This Row],[Eligible]],COUNTIFS(Scenarios3[Sharpe],"&gt;"&amp;Scenarios3[[#This Row],[Sharpe]],Scenarios3[Eligible],TRUE())+COUNTIFS(Scenarios3[Sharpe],Scenarios3[[#This Row],[Sharpe]],Scenarios3[Eligible],TRUE()),"")</f>
        <v>72</v>
      </c>
      <c r="Y10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25/30/20/15/10</v>
      </c>
      <c r="Z102" s="139">
        <f>_xlfn.XLOOKUP(Scenarios3[[#This Row],[Reference '#]],Scenarios1[Reference '#],Scenarios1[Sharpe Rank])</f>
        <v>76</v>
      </c>
      <c r="AA102" s="139">
        <f>_xlfn.XLOOKUP(Scenarios3[[#This Row],[Reference '#]],Scenarios2[Reference '#],Scenarios2[Sharpe Rank])</f>
        <v>76</v>
      </c>
      <c r="AB102" s="139">
        <f>Scenarios3[[#This Row],[Sharpe Rank]]</f>
        <v>72</v>
      </c>
      <c r="AC102"/>
      <c r="AD102"/>
      <c r="AE102"/>
      <c r="AF102" s="34"/>
      <c r="AG102" s="34"/>
    </row>
    <row r="103" spans="2:33" s="15" customFormat="1" x14ac:dyDescent="0.2">
      <c r="B103" s="71">
        <v>103</v>
      </c>
      <c r="C103" s="69">
        <v>0.25</v>
      </c>
      <c r="D103" s="69">
        <v>0.35</v>
      </c>
      <c r="E103" s="69">
        <v>0.15</v>
      </c>
      <c r="F103" s="69">
        <v>0.1</v>
      </c>
      <c r="G103" s="69">
        <v>0.15</v>
      </c>
      <c r="H103" s="69">
        <f>SUMPRODUCT(Scenarios3[[#This Row],[SPY]:[PE]],_xlfn.TOROW(AssetSpecsScenario3[Annualized Return]))</f>
        <v>7.9186702857949584E-2</v>
      </c>
      <c r="I103" s="69" cm="1">
        <f t="array" ref="I103">SQRT(MMULT(MMULT(Scenarios3[[#This Row],[SPY]:[PE]], 'Corr_Cov 36- Month'!$J$13:$N$17), TRANSPOSE(Scenarios3[[#This Row],[SPY]:[PE]])))</f>
        <v>6.9916216057444192E-2</v>
      </c>
      <c r="J103" s="70">
        <f>(Scenarios3[[#This Row],[Expected Return]]-RiskFree)/Scenarios3[[#This Row],[36M Vol]]</f>
        <v>0.4602815929848596</v>
      </c>
      <c r="K103" s="107" cm="1">
        <f t="array" ref="K103">MIN(_xlfn._xlws.FILTER(PortfolioFrontier[#Data],(PortfolioFrontier[#Headers]="P"&amp;Scenarios3[[#This Row],[Reference '#]]&amp;" DD")))</f>
        <v>-0.15442188773577281</v>
      </c>
      <c r="L103" s="69">
        <f>SUM(Scenarios3[[#This Row],[SPY]:[VNQ]])</f>
        <v>0.85</v>
      </c>
      <c r="M103" s="69">
        <f>SUM(Scenarios3[[#This Row],[SPY]:[PE]])</f>
        <v>1</v>
      </c>
      <c r="N103" s="71" t="b">
        <f>Scenarios3[[#This Row],[SPY]]&gt;=SpyMin</f>
        <v>1</v>
      </c>
      <c r="O103" s="71" t="b">
        <f>Scenarios3[[#This Row],[AGG]]&gt;=AGGMin</f>
        <v>1</v>
      </c>
      <c r="P103" s="71" t="b">
        <f>AND(Scenarios3[[#This Row],[GLD]]&gt;=GLDMin,Scenarios3[[#This Row],[GLD]]&lt;=GLDMax)</f>
        <v>1</v>
      </c>
      <c r="Q103" s="71" t="b">
        <f>Scenarios3[[#This Row],[VNQ]]&gt;=VNQMin</f>
        <v>1</v>
      </c>
      <c r="R103" s="71" t="b">
        <f>AND(Scenarios3[[#This Row],[PE]]&gt;=PEMin,Scenarios3[[#This Row],[PE]]&lt;=PEMax)</f>
        <v>1</v>
      </c>
      <c r="S103" s="71" t="b">
        <f>Scenarios3[[#This Row],[Liquid Assets]]&gt;=LiquidMin</f>
        <v>1</v>
      </c>
      <c r="T103" s="71" t="b">
        <f>AND(Scenarios3[[#This Row],[Expected Return]]&gt;=ExpectedReturnMin,Scenarios3[[#This Row],[Expected Return]]&lt;=ExpectedReturnMax)</f>
        <v>1</v>
      </c>
      <c r="U103" s="71" t="b">
        <f>Scenarios3[[#This Row],[Max Drawdown]]&gt;=DrawdownMax</f>
        <v>1</v>
      </c>
      <c r="V10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3" s="46">
        <f>_xlfn.XLOOKUP(Scenarios3[[#This Row],[Reference '#]],ScenariosCombined[Reference '#],ScenariosCombined[Sharpe Rank])</f>
        <v>89</v>
      </c>
      <c r="X103" s="44">
        <f>IF(Scenarios3[[#This Row],[Eligible]],COUNTIFS(Scenarios3[Sharpe],"&gt;"&amp;Scenarios3[[#This Row],[Sharpe]],Scenarios3[Eligible],TRUE())+COUNTIFS(Scenarios3[Sharpe],Scenarios3[[#This Row],[Sharpe]],Scenarios3[Eligible],TRUE()),"")</f>
        <v>73</v>
      </c>
      <c r="Y10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25/35/15/10/15</v>
      </c>
      <c r="Z103" s="139" t="str">
        <f>_xlfn.XLOOKUP(Scenarios3[[#This Row],[Reference '#]],Scenarios1[Reference '#],Scenarios1[Sharpe Rank])</f>
        <v/>
      </c>
      <c r="AA103" s="139">
        <f>_xlfn.XLOOKUP(Scenarios3[[#This Row],[Reference '#]],Scenarios2[Reference '#],Scenarios2[Sharpe Rank])</f>
        <v>90</v>
      </c>
      <c r="AB103" s="139">
        <f>Scenarios3[[#This Row],[Sharpe Rank]]</f>
        <v>73</v>
      </c>
      <c r="AC103"/>
      <c r="AD103"/>
      <c r="AE103"/>
      <c r="AF103" s="34"/>
      <c r="AG103" s="34"/>
    </row>
    <row r="104" spans="2:33" s="15" customFormat="1" x14ac:dyDescent="0.2">
      <c r="B104" s="71">
        <v>64</v>
      </c>
      <c r="C104" s="69">
        <v>0.3</v>
      </c>
      <c r="D104" s="69">
        <v>0.35</v>
      </c>
      <c r="E104" s="69">
        <v>0.1</v>
      </c>
      <c r="F104" s="69">
        <v>0.1</v>
      </c>
      <c r="G104" s="69">
        <v>0.15</v>
      </c>
      <c r="H104" s="69">
        <f>SUMPRODUCT(Scenarios3[[#This Row],[SPY]:[PE]],_xlfn.TOROW(AssetSpecsScenario3[Annualized Return]))</f>
        <v>8.029447763171875E-2</v>
      </c>
      <c r="I104" s="69" cm="1">
        <f t="array" ref="I104">SQRT(MMULT(MMULT(Scenarios3[[#This Row],[SPY]:[PE]], 'Corr_Cov 36- Month'!$J$13:$N$17), TRANSPOSE(Scenarios3[[#This Row],[SPY]:[PE]])))</f>
        <v>7.236874153699005E-2</v>
      </c>
      <c r="J104" s="70">
        <f>(Scenarios3[[#This Row],[Expected Return]]-RiskFree)/Scenarios3[[#This Row],[36M Vol]]</f>
        <v>0.45999034070736372</v>
      </c>
      <c r="K104" s="107" cm="1">
        <f t="array" ref="K104">MIN(_xlfn._xlws.FILTER(PortfolioFrontier[#Data],(PortfolioFrontier[#Headers]="P"&amp;Scenarios3[[#This Row],[Reference '#]]&amp;" DD")))</f>
        <v>-0.16174572414969512</v>
      </c>
      <c r="L104" s="69">
        <f>SUM(Scenarios3[[#This Row],[SPY]:[VNQ]])</f>
        <v>0.84999999999999987</v>
      </c>
      <c r="M104" s="69">
        <f>SUM(Scenarios3[[#This Row],[SPY]:[PE]])</f>
        <v>0.99999999999999989</v>
      </c>
      <c r="N104" s="71" t="b">
        <f>Scenarios3[[#This Row],[SPY]]&gt;=SpyMin</f>
        <v>1</v>
      </c>
      <c r="O104" s="71" t="b">
        <f>Scenarios3[[#This Row],[AGG]]&gt;=AGGMin</f>
        <v>1</v>
      </c>
      <c r="P104" s="71" t="b">
        <f>AND(Scenarios3[[#This Row],[GLD]]&gt;=GLDMin,Scenarios3[[#This Row],[GLD]]&lt;=GLDMax)</f>
        <v>1</v>
      </c>
      <c r="Q104" s="71" t="b">
        <f>Scenarios3[[#This Row],[VNQ]]&gt;=VNQMin</f>
        <v>1</v>
      </c>
      <c r="R104" s="71" t="b">
        <f>AND(Scenarios3[[#This Row],[PE]]&gt;=PEMin,Scenarios3[[#This Row],[PE]]&lt;=PEMax)</f>
        <v>1</v>
      </c>
      <c r="S104" s="71" t="b">
        <f>Scenarios3[[#This Row],[Liquid Assets]]&gt;=LiquidMin</f>
        <v>1</v>
      </c>
      <c r="T104" s="71" t="b">
        <f>AND(Scenarios3[[#This Row],[Expected Return]]&gt;=ExpectedReturnMin,Scenarios3[[#This Row],[Expected Return]]&lt;=ExpectedReturnMax)</f>
        <v>1</v>
      </c>
      <c r="U104" s="71" t="b">
        <f>Scenarios3[[#This Row],[Max Drawdown]]&gt;=DrawdownMax</f>
        <v>1</v>
      </c>
      <c r="V10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4" s="46">
        <f>_xlfn.XLOOKUP(Scenarios3[[#This Row],[Reference '#]],ScenariosCombined[Reference '#],ScenariosCombined[Sharpe Rank])</f>
        <v>87</v>
      </c>
      <c r="X104" s="44">
        <f>IF(Scenarios3[[#This Row],[Eligible]],COUNTIFS(Scenarios3[Sharpe],"&gt;"&amp;Scenarios3[[#This Row],[Sharpe]],Scenarios3[Eligible],TRUE())+COUNTIFS(Scenarios3[Sharpe],Scenarios3[[#This Row],[Sharpe]],Scenarios3[Eligible],TRUE()),"")</f>
        <v>74</v>
      </c>
      <c r="Y10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30/35/10/10/15</v>
      </c>
      <c r="Z104" s="139">
        <f>_xlfn.XLOOKUP(Scenarios3[[#This Row],[Reference '#]],Scenarios1[Reference '#],Scenarios1[Sharpe Rank])</f>
        <v>91</v>
      </c>
      <c r="AA104" s="139">
        <f>_xlfn.XLOOKUP(Scenarios3[[#This Row],[Reference '#]],Scenarios2[Reference '#],Scenarios2[Sharpe Rank])</f>
        <v>89</v>
      </c>
      <c r="AB104" s="139">
        <f>Scenarios3[[#This Row],[Sharpe Rank]]</f>
        <v>74</v>
      </c>
      <c r="AC104"/>
      <c r="AD104"/>
      <c r="AE104"/>
      <c r="AF104" s="34"/>
      <c r="AG104" s="34"/>
    </row>
    <row r="105" spans="2:33" s="15" customFormat="1" x14ac:dyDescent="0.2">
      <c r="B105" s="71">
        <v>73</v>
      </c>
      <c r="C105" s="69">
        <v>0.3</v>
      </c>
      <c r="D105" s="69">
        <v>0.25</v>
      </c>
      <c r="E105" s="69">
        <v>0.15</v>
      </c>
      <c r="F105" s="69">
        <v>0.2</v>
      </c>
      <c r="G105" s="69">
        <v>0.1</v>
      </c>
      <c r="H105" s="69">
        <f>SUMPRODUCT(Scenarios3[[#This Row],[SPY]:[PE]],_xlfn.TOROW(AssetSpecsScenario3[Annualized Return]))</f>
        <v>8.5925481564961201E-2</v>
      </c>
      <c r="I105" s="69" cm="1">
        <f t="array" ref="I105">SQRT(MMULT(MMULT(Scenarios3[[#This Row],[SPY]:[PE]], 'Corr_Cov 36- Month'!$J$13:$N$17), TRANSPOSE(Scenarios3[[#This Row],[SPY]:[PE]])))</f>
        <v>8.4928821661042236E-2</v>
      </c>
      <c r="J105" s="70">
        <f>(Scenarios3[[#This Row],[Expected Return]]-RiskFree)/Scenarios3[[#This Row],[36M Vol]]</f>
        <v>0.45826523020345444</v>
      </c>
      <c r="K105" s="107" cm="1">
        <f t="array" ref="K105">MIN(_xlfn._xlws.FILTER(PortfolioFrontier[#Data],(PortfolioFrontier[#Headers]="P"&amp;Scenarios3[[#This Row],[Reference '#]]&amp;" DD")))</f>
        <v>-0.18146484085570624</v>
      </c>
      <c r="L105" s="69">
        <f>SUM(Scenarios3[[#This Row],[SPY]:[VNQ]])</f>
        <v>0.90000000000000013</v>
      </c>
      <c r="M105" s="69">
        <f>SUM(Scenarios3[[#This Row],[SPY]:[PE]])</f>
        <v>1.0000000000000002</v>
      </c>
      <c r="N105" s="71" t="b">
        <f>Scenarios3[[#This Row],[SPY]]&gt;=SpyMin</f>
        <v>1</v>
      </c>
      <c r="O105" s="71" t="b">
        <f>Scenarios3[[#This Row],[AGG]]&gt;=AGGMin</f>
        <v>1</v>
      </c>
      <c r="P105" s="71" t="b">
        <f>AND(Scenarios3[[#This Row],[GLD]]&gt;=GLDMin,Scenarios3[[#This Row],[GLD]]&lt;=GLDMax)</f>
        <v>1</v>
      </c>
      <c r="Q105" s="71" t="b">
        <f>Scenarios3[[#This Row],[VNQ]]&gt;=VNQMin</f>
        <v>1</v>
      </c>
      <c r="R105" s="71" t="b">
        <f>AND(Scenarios3[[#This Row],[PE]]&gt;=PEMin,Scenarios3[[#This Row],[PE]]&lt;=PEMax)</f>
        <v>1</v>
      </c>
      <c r="S105" s="71" t="b">
        <f>Scenarios3[[#This Row],[Liquid Assets]]&gt;=LiquidMin</f>
        <v>1</v>
      </c>
      <c r="T105" s="71" t="b">
        <f>AND(Scenarios3[[#This Row],[Expected Return]]&gt;=ExpectedReturnMin,Scenarios3[[#This Row],[Expected Return]]&lt;=ExpectedReturnMax)</f>
        <v>1</v>
      </c>
      <c r="U105" s="71" t="b">
        <f>Scenarios3[[#This Row],[Max Drawdown]]&gt;=DrawdownMax</f>
        <v>1</v>
      </c>
      <c r="V10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5" s="46">
        <f>_xlfn.XLOOKUP(Scenarios3[[#This Row],[Reference '#]],ScenariosCombined[Reference '#],ScenariosCombined[Sharpe Rank])</f>
        <v>79</v>
      </c>
      <c r="X105" s="44">
        <f>IF(Scenarios3[[#This Row],[Eligible]],COUNTIFS(Scenarios3[Sharpe],"&gt;"&amp;Scenarios3[[#This Row],[Sharpe]],Scenarios3[Eligible],TRUE())+COUNTIFS(Scenarios3[Sharpe],Scenarios3[[#This Row],[Sharpe]],Scenarios3[Eligible],TRUE()),"")</f>
        <v>75</v>
      </c>
      <c r="Y10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30/25/15/20/10</v>
      </c>
      <c r="Z105" s="139">
        <f>_xlfn.XLOOKUP(Scenarios3[[#This Row],[Reference '#]],Scenarios1[Reference '#],Scenarios1[Sharpe Rank])</f>
        <v>77</v>
      </c>
      <c r="AA105" s="139">
        <f>_xlfn.XLOOKUP(Scenarios3[[#This Row],[Reference '#]],Scenarios2[Reference '#],Scenarios2[Sharpe Rank])</f>
        <v>77</v>
      </c>
      <c r="AB105" s="139">
        <f>Scenarios3[[#This Row],[Sharpe Rank]]</f>
        <v>75</v>
      </c>
      <c r="AC105"/>
      <c r="AD105"/>
      <c r="AE105"/>
      <c r="AF105" s="34"/>
      <c r="AG105" s="34"/>
    </row>
    <row r="106" spans="2:33" s="15" customFormat="1" x14ac:dyDescent="0.2">
      <c r="B106" s="71">
        <v>115</v>
      </c>
      <c r="C106" s="69">
        <v>0.25</v>
      </c>
      <c r="D106" s="69">
        <v>0.25</v>
      </c>
      <c r="E106" s="69">
        <v>0.2</v>
      </c>
      <c r="F106" s="69">
        <v>0.2</v>
      </c>
      <c r="G106" s="69">
        <v>0.1</v>
      </c>
      <c r="H106" s="69">
        <f>SUMPRODUCT(Scenarios3[[#This Row],[SPY]:[PE]],_xlfn.TOROW(AssetSpecsScenario3[Annualized Return]))</f>
        <v>8.4817706791192049E-2</v>
      </c>
      <c r="I106" s="69" cm="1">
        <f t="array" ref="I106">SQRT(MMULT(MMULT(Scenarios3[[#This Row],[SPY]:[PE]], 'Corr_Cov 36- Month'!$J$13:$N$17), TRANSPOSE(Scenarios3[[#This Row],[SPY]:[PE]])))</f>
        <v>8.2945379960045376E-2</v>
      </c>
      <c r="J106" s="70">
        <f>(Scenarios3[[#This Row],[Expected Return]]-RiskFree)/Scenarios3[[#This Row],[36M Vol]]</f>
        <v>0.45586808154776715</v>
      </c>
      <c r="K106" s="107" cm="1">
        <f t="array" ref="K106">MIN(_xlfn._xlws.FILTER(PortfolioFrontier[#Data],(PortfolioFrontier[#Headers]="P"&amp;Scenarios3[[#This Row],[Reference '#]]&amp;" DD")))</f>
        <v>-0.17421131416336322</v>
      </c>
      <c r="L106" s="69">
        <f>SUM(Scenarios3[[#This Row],[SPY]:[VNQ]])</f>
        <v>0.89999999999999991</v>
      </c>
      <c r="M106" s="69">
        <f>SUM(Scenarios3[[#This Row],[SPY]:[PE]])</f>
        <v>0.99999999999999989</v>
      </c>
      <c r="N106" s="71" t="b">
        <f>Scenarios3[[#This Row],[SPY]]&gt;=SpyMin</f>
        <v>1</v>
      </c>
      <c r="O106" s="71" t="b">
        <f>Scenarios3[[#This Row],[AGG]]&gt;=AGGMin</f>
        <v>1</v>
      </c>
      <c r="P106" s="71" t="b">
        <f>AND(Scenarios3[[#This Row],[GLD]]&gt;=GLDMin,Scenarios3[[#This Row],[GLD]]&lt;=GLDMax)</f>
        <v>1</v>
      </c>
      <c r="Q106" s="71" t="b">
        <f>Scenarios3[[#This Row],[VNQ]]&gt;=VNQMin</f>
        <v>1</v>
      </c>
      <c r="R106" s="71" t="b">
        <f>AND(Scenarios3[[#This Row],[PE]]&gt;=PEMin,Scenarios3[[#This Row],[PE]]&lt;=PEMax)</f>
        <v>1</v>
      </c>
      <c r="S106" s="71" t="b">
        <f>Scenarios3[[#This Row],[Liquid Assets]]&gt;=LiquidMin</f>
        <v>1</v>
      </c>
      <c r="T106" s="71" t="b">
        <f>AND(Scenarios3[[#This Row],[Expected Return]]&gt;=ExpectedReturnMin,Scenarios3[[#This Row],[Expected Return]]&lt;=ExpectedReturnMax)</f>
        <v>1</v>
      </c>
      <c r="U106" s="71" t="b">
        <f>Scenarios3[[#This Row],[Max Drawdown]]&gt;=DrawdownMax</f>
        <v>1</v>
      </c>
      <c r="V10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6" s="46">
        <f>_xlfn.XLOOKUP(Scenarios3[[#This Row],[Reference '#]],ScenariosCombined[Reference '#],ScenariosCombined[Sharpe Rank])</f>
        <v>83</v>
      </c>
      <c r="X106" s="44">
        <f>IF(Scenarios3[[#This Row],[Eligible]],COUNTIFS(Scenarios3[Sharpe],"&gt;"&amp;Scenarios3[[#This Row],[Sharpe]],Scenarios3[Eligible],TRUE())+COUNTIFS(Scenarios3[Sharpe],Scenarios3[[#This Row],[Sharpe]],Scenarios3[Eligible],TRUE()),"")</f>
        <v>76</v>
      </c>
      <c r="Y10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25/25/20/20/10</v>
      </c>
      <c r="Z106" s="139">
        <f>_xlfn.XLOOKUP(Scenarios3[[#This Row],[Reference '#]],Scenarios1[Reference '#],Scenarios1[Sharpe Rank])</f>
        <v>81</v>
      </c>
      <c r="AA106" s="139">
        <f>_xlfn.XLOOKUP(Scenarios3[[#This Row],[Reference '#]],Scenarios2[Reference '#],Scenarios2[Sharpe Rank])</f>
        <v>80</v>
      </c>
      <c r="AB106" s="139">
        <f>Scenarios3[[#This Row],[Sharpe Rank]]</f>
        <v>76</v>
      </c>
      <c r="AC106"/>
      <c r="AD106"/>
      <c r="AE106"/>
      <c r="AF106" s="34"/>
      <c r="AG106" s="34"/>
    </row>
    <row r="107" spans="2:33" s="15" customFormat="1" x14ac:dyDescent="0.2">
      <c r="B107" s="71">
        <v>41</v>
      </c>
      <c r="C107" s="69">
        <v>0.35</v>
      </c>
      <c r="D107" s="69">
        <v>0.25</v>
      </c>
      <c r="E107" s="69">
        <v>0.1</v>
      </c>
      <c r="F107" s="69">
        <v>0.2</v>
      </c>
      <c r="G107" s="69">
        <v>0.1</v>
      </c>
      <c r="H107" s="69">
        <f>SUMPRODUCT(Scenarios3[[#This Row],[SPY]:[PE]],_xlfn.TOROW(AssetSpecsScenario3[Annualized Return]))</f>
        <v>8.7033256338730353E-2</v>
      </c>
      <c r="I107" s="69" cm="1">
        <f t="array" ref="I107">SQRT(MMULT(MMULT(Scenarios3[[#This Row],[SPY]:[PE]], 'Corr_Cov 36- Month'!$J$13:$N$17), TRANSPOSE(Scenarios3[[#This Row],[SPY]:[PE]])))</f>
        <v>8.7821878349556792E-2</v>
      </c>
      <c r="J107" s="70">
        <f>(Scenarios3[[#This Row],[Expected Return]]-RiskFree)/Scenarios3[[#This Row],[36M Vol]]</f>
        <v>0.45578279052348247</v>
      </c>
      <c r="K107" s="107" cm="1">
        <f t="array" ref="K107">MIN(_xlfn._xlws.FILTER(PortfolioFrontier[#Data],(PortfolioFrontier[#Headers]="P"&amp;Scenarios3[[#This Row],[Reference '#]]&amp;" DD")))</f>
        <v>-0.1887362491709641</v>
      </c>
      <c r="L107" s="69">
        <f>SUM(Scenarios3[[#This Row],[SPY]:[VNQ]])</f>
        <v>0.89999999999999991</v>
      </c>
      <c r="M107" s="69">
        <f>SUM(Scenarios3[[#This Row],[SPY]:[PE]])</f>
        <v>0.99999999999999989</v>
      </c>
      <c r="N107" s="71" t="b">
        <f>Scenarios3[[#This Row],[SPY]]&gt;=SpyMin</f>
        <v>1</v>
      </c>
      <c r="O107" s="71" t="b">
        <f>Scenarios3[[#This Row],[AGG]]&gt;=AGGMin</f>
        <v>1</v>
      </c>
      <c r="P107" s="71" t="b">
        <f>AND(Scenarios3[[#This Row],[GLD]]&gt;=GLDMin,Scenarios3[[#This Row],[GLD]]&lt;=GLDMax)</f>
        <v>1</v>
      </c>
      <c r="Q107" s="71" t="b">
        <f>Scenarios3[[#This Row],[VNQ]]&gt;=VNQMin</f>
        <v>1</v>
      </c>
      <c r="R107" s="71" t="b">
        <f>AND(Scenarios3[[#This Row],[PE]]&gt;=PEMin,Scenarios3[[#This Row],[PE]]&lt;=PEMax)</f>
        <v>1</v>
      </c>
      <c r="S107" s="71" t="b">
        <f>Scenarios3[[#This Row],[Liquid Assets]]&gt;=LiquidMin</f>
        <v>1</v>
      </c>
      <c r="T107" s="71" t="b">
        <f>AND(Scenarios3[[#This Row],[Expected Return]]&gt;=ExpectedReturnMin,Scenarios3[[#This Row],[Expected Return]]&lt;=ExpectedReturnMax)</f>
        <v>1</v>
      </c>
      <c r="U107" s="71" t="b">
        <f>Scenarios3[[#This Row],[Max Drawdown]]&gt;=DrawdownMax</f>
        <v>1</v>
      </c>
      <c r="V10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7" s="46">
        <f>_xlfn.XLOOKUP(Scenarios3[[#This Row],[Reference '#]],ScenariosCombined[Reference '#],ScenariosCombined[Sharpe Rank])</f>
        <v>81</v>
      </c>
      <c r="X107" s="44">
        <f>IF(Scenarios3[[#This Row],[Eligible]],COUNTIFS(Scenarios3[Sharpe],"&gt;"&amp;Scenarios3[[#This Row],[Sharpe]],Scenarios3[Eligible],TRUE())+COUNTIFS(Scenarios3[Sharpe],Scenarios3[[#This Row],[Sharpe]],Scenarios3[Eligible],TRUE()),"")</f>
        <v>77</v>
      </c>
      <c r="Y10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35/25/10/20/10</v>
      </c>
      <c r="Z107" s="139">
        <f>_xlfn.XLOOKUP(Scenarios3[[#This Row],[Reference '#]],Scenarios1[Reference '#],Scenarios1[Sharpe Rank])</f>
        <v>78</v>
      </c>
      <c r="AA107" s="139">
        <f>_xlfn.XLOOKUP(Scenarios3[[#This Row],[Reference '#]],Scenarios2[Reference '#],Scenarios2[Sharpe Rank])</f>
        <v>78</v>
      </c>
      <c r="AB107" s="139">
        <f>Scenarios3[[#This Row],[Sharpe Rank]]</f>
        <v>77</v>
      </c>
      <c r="AC107"/>
      <c r="AD107"/>
      <c r="AE107"/>
      <c r="AF107" s="34"/>
      <c r="AG107" s="34"/>
    </row>
    <row r="108" spans="2:33" s="15" customFormat="1" x14ac:dyDescent="0.2">
      <c r="B108" s="71">
        <v>110</v>
      </c>
      <c r="C108" s="69">
        <v>0.25</v>
      </c>
      <c r="D108" s="69">
        <v>0.3</v>
      </c>
      <c r="E108" s="69">
        <v>0.15</v>
      </c>
      <c r="F108" s="69">
        <v>0.15</v>
      </c>
      <c r="G108" s="69">
        <v>0.15</v>
      </c>
      <c r="H108" s="69">
        <f>SUMPRODUCT(Scenarios3[[#This Row],[SPY]:[PE]],_xlfn.TOROW(AssetSpecsScenario3[Annualized Return]))</f>
        <v>8.0770442204113072E-2</v>
      </c>
      <c r="I108" s="69" cm="1">
        <f t="array" ref="I108">SQRT(MMULT(MMULT(Scenarios3[[#This Row],[SPY]:[PE]], 'Corr_Cov 36- Month'!$J$13:$N$17), TRANSPOSE(Scenarios3[[#This Row],[SPY]:[PE]])))</f>
        <v>7.4873394293789045E-2</v>
      </c>
      <c r="J108" s="70">
        <f>(Scenarios3[[#This Row],[Expected Return]]-RiskFree)/Scenarios3[[#This Row],[36M Vol]]</f>
        <v>0.4509597430039099</v>
      </c>
      <c r="K108" s="107" cm="1">
        <f t="array" ref="K108">MIN(_xlfn._xlws.FILTER(PortfolioFrontier[#Data],(PortfolioFrontier[#Headers]="P"&amp;Scenarios3[[#This Row],[Reference '#]]&amp;" DD")))</f>
        <v>-0.16218772982575114</v>
      </c>
      <c r="L108" s="69">
        <f>SUM(Scenarios3[[#This Row],[SPY]:[VNQ]])</f>
        <v>0.85000000000000009</v>
      </c>
      <c r="M108" s="69">
        <f>SUM(Scenarios3[[#This Row],[SPY]:[PE]])</f>
        <v>1</v>
      </c>
      <c r="N108" s="71" t="b">
        <f>Scenarios3[[#This Row],[SPY]]&gt;=SpyMin</f>
        <v>1</v>
      </c>
      <c r="O108" s="71" t="b">
        <f>Scenarios3[[#This Row],[AGG]]&gt;=AGGMin</f>
        <v>1</v>
      </c>
      <c r="P108" s="71" t="b">
        <f>AND(Scenarios3[[#This Row],[GLD]]&gt;=GLDMin,Scenarios3[[#This Row],[GLD]]&lt;=GLDMax)</f>
        <v>1</v>
      </c>
      <c r="Q108" s="71" t="b">
        <f>Scenarios3[[#This Row],[VNQ]]&gt;=VNQMin</f>
        <v>1</v>
      </c>
      <c r="R108" s="71" t="b">
        <f>AND(Scenarios3[[#This Row],[PE]]&gt;=PEMin,Scenarios3[[#This Row],[PE]]&lt;=PEMax)</f>
        <v>1</v>
      </c>
      <c r="S108" s="71" t="b">
        <f>Scenarios3[[#This Row],[Liquid Assets]]&gt;=LiquidMin</f>
        <v>1</v>
      </c>
      <c r="T108" s="71" t="b">
        <f>AND(Scenarios3[[#This Row],[Expected Return]]&gt;=ExpectedReturnMin,Scenarios3[[#This Row],[Expected Return]]&lt;=ExpectedReturnMax)</f>
        <v>1</v>
      </c>
      <c r="U108" s="71" t="b">
        <f>Scenarios3[[#This Row],[Max Drawdown]]&gt;=DrawdownMax</f>
        <v>1</v>
      </c>
      <c r="V10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8" s="46">
        <f>_xlfn.XLOOKUP(Scenarios3[[#This Row],[Reference '#]],ScenariosCombined[Reference '#],ScenariosCombined[Sharpe Rank])</f>
        <v>92</v>
      </c>
      <c r="X108" s="44">
        <f>IF(Scenarios3[[#This Row],[Eligible]],COUNTIFS(Scenarios3[Sharpe],"&gt;"&amp;Scenarios3[[#This Row],[Sharpe]],Scenarios3[Eligible],TRUE())+COUNTIFS(Scenarios3[Sharpe],Scenarios3[[#This Row],[Sharpe]],Scenarios3[Eligible],TRUE()),"")</f>
        <v>78</v>
      </c>
      <c r="Y10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25/30/15/15/15</v>
      </c>
      <c r="Z108" s="139">
        <f>_xlfn.XLOOKUP(Scenarios3[[#This Row],[Reference '#]],Scenarios1[Reference '#],Scenarios1[Sharpe Rank])</f>
        <v>93</v>
      </c>
      <c r="AA108" s="139">
        <f>_xlfn.XLOOKUP(Scenarios3[[#This Row],[Reference '#]],Scenarios2[Reference '#],Scenarios2[Sharpe Rank])</f>
        <v>92</v>
      </c>
      <c r="AB108" s="139">
        <f>Scenarios3[[#This Row],[Sharpe Rank]]</f>
        <v>78</v>
      </c>
      <c r="AC108"/>
      <c r="AD108"/>
      <c r="AE108"/>
      <c r="AF108" s="34"/>
      <c r="AG108" s="34"/>
    </row>
    <row r="109" spans="2:33" s="15" customFormat="1" x14ac:dyDescent="0.2">
      <c r="B109" s="71">
        <v>69</v>
      </c>
      <c r="C109" s="69">
        <v>0.3</v>
      </c>
      <c r="D109" s="69">
        <v>0.3</v>
      </c>
      <c r="E109" s="69">
        <v>0.1</v>
      </c>
      <c r="F109" s="69">
        <v>0.15</v>
      </c>
      <c r="G109" s="69">
        <v>0.15</v>
      </c>
      <c r="H109" s="69">
        <f>SUMPRODUCT(Scenarios3[[#This Row],[SPY]:[PE]],_xlfn.TOROW(AssetSpecsScenario3[Annualized Return]))</f>
        <v>8.1878216977882237E-2</v>
      </c>
      <c r="I109" s="69" cm="1">
        <f t="array" ref="I109">SQRT(MMULT(MMULT(Scenarios3[[#This Row],[SPY]:[PE]], 'Corr_Cov 36- Month'!$J$13:$N$17), TRANSPOSE(Scenarios3[[#This Row],[SPY]:[PE]])))</f>
        <v>7.7470698579904629E-2</v>
      </c>
      <c r="J109" s="70">
        <f>(Scenarios3[[#This Row],[Expected Return]]-RiskFree)/Scenarios3[[#This Row],[36M Vol]]</f>
        <v>0.45014001501946466</v>
      </c>
      <c r="K109" s="107" cm="1">
        <f t="array" ref="K109">MIN(_xlfn._xlws.FILTER(PortfolioFrontier[#Data],(PortfolioFrontier[#Headers]="P"&amp;Scenarios3[[#This Row],[Reference '#]]&amp;" DD")))</f>
        <v>-0.16949431138552595</v>
      </c>
      <c r="L109" s="69">
        <f>SUM(Scenarios3[[#This Row],[SPY]:[VNQ]])</f>
        <v>0.85</v>
      </c>
      <c r="M109" s="69">
        <f>SUM(Scenarios3[[#This Row],[SPY]:[PE]])</f>
        <v>1</v>
      </c>
      <c r="N109" s="71" t="b">
        <f>Scenarios3[[#This Row],[SPY]]&gt;=SpyMin</f>
        <v>1</v>
      </c>
      <c r="O109" s="71" t="b">
        <f>Scenarios3[[#This Row],[AGG]]&gt;=AGGMin</f>
        <v>1</v>
      </c>
      <c r="P109" s="71" t="b">
        <f>AND(Scenarios3[[#This Row],[GLD]]&gt;=GLDMin,Scenarios3[[#This Row],[GLD]]&lt;=GLDMax)</f>
        <v>1</v>
      </c>
      <c r="Q109" s="71" t="b">
        <f>Scenarios3[[#This Row],[VNQ]]&gt;=VNQMin</f>
        <v>1</v>
      </c>
      <c r="R109" s="71" t="b">
        <f>AND(Scenarios3[[#This Row],[PE]]&gt;=PEMin,Scenarios3[[#This Row],[PE]]&lt;=PEMax)</f>
        <v>1</v>
      </c>
      <c r="S109" s="71" t="b">
        <f>Scenarios3[[#This Row],[Liquid Assets]]&gt;=LiquidMin</f>
        <v>1</v>
      </c>
      <c r="T109" s="71" t="b">
        <f>AND(Scenarios3[[#This Row],[Expected Return]]&gt;=ExpectedReturnMin,Scenarios3[[#This Row],[Expected Return]]&lt;=ExpectedReturnMax)</f>
        <v>1</v>
      </c>
      <c r="U109" s="71" t="b">
        <f>Scenarios3[[#This Row],[Max Drawdown]]&gt;=DrawdownMax</f>
        <v>1</v>
      </c>
      <c r="V10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09" s="46">
        <f>_xlfn.XLOOKUP(Scenarios3[[#This Row],[Reference '#]],ScenariosCombined[Reference '#],ScenariosCombined[Sharpe Rank])</f>
        <v>91</v>
      </c>
      <c r="X109" s="44">
        <f>IF(Scenarios3[[#This Row],[Eligible]],COUNTIFS(Scenarios3[Sharpe],"&gt;"&amp;Scenarios3[[#This Row],[Sharpe]],Scenarios3[Eligible],TRUE())+COUNTIFS(Scenarios3[Sharpe],Scenarios3[[#This Row],[Sharpe]],Scenarios3[Eligible],TRUE()),"")</f>
        <v>79</v>
      </c>
      <c r="Y10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30/30/10/15/15</v>
      </c>
      <c r="Z109" s="139">
        <f>_xlfn.XLOOKUP(Scenarios3[[#This Row],[Reference '#]],Scenarios1[Reference '#],Scenarios1[Sharpe Rank])</f>
        <v>92</v>
      </c>
      <c r="AA109" s="139">
        <f>_xlfn.XLOOKUP(Scenarios3[[#This Row],[Reference '#]],Scenarios2[Reference '#],Scenarios2[Sharpe Rank])</f>
        <v>91</v>
      </c>
      <c r="AB109" s="139">
        <f>Scenarios3[[#This Row],[Sharpe Rank]]</f>
        <v>79</v>
      </c>
      <c r="AC109"/>
      <c r="AD109"/>
      <c r="AE109"/>
      <c r="AF109" s="34"/>
      <c r="AG109" s="34"/>
    </row>
    <row r="110" spans="2:33" s="15" customFormat="1" x14ac:dyDescent="0.2">
      <c r="B110" s="71">
        <v>82</v>
      </c>
      <c r="C110" s="69">
        <v>0.3</v>
      </c>
      <c r="D110" s="69">
        <v>0.2</v>
      </c>
      <c r="E110" s="69">
        <v>0.15</v>
      </c>
      <c r="F110" s="69">
        <v>0.25</v>
      </c>
      <c r="G110" s="69">
        <v>0.1</v>
      </c>
      <c r="H110" s="69">
        <f>SUMPRODUCT(Scenarios3[[#This Row],[SPY]:[PE]],_xlfn.TOROW(AssetSpecsScenario3[Annualized Return]))</f>
        <v>8.7509220911124674E-2</v>
      </c>
      <c r="I110" s="69" cm="1">
        <f t="array" ref="I110">SQRT(MMULT(MMULT(Scenarios3[[#This Row],[SPY]:[PE]], 'Corr_Cov 36- Month'!$J$13:$N$17), TRANSPOSE(Scenarios3[[#This Row],[SPY]:[PE]])))</f>
        <v>9.0347458747538925E-2</v>
      </c>
      <c r="J110" s="70">
        <f>(Scenarios3[[#This Row],[Expected Return]]-RiskFree)/Scenarios3[[#This Row],[36M Vol]]</f>
        <v>0.44830995710405025</v>
      </c>
      <c r="K110" s="107" cm="1">
        <f t="array" ref="K110">MIN(_xlfn._xlws.FILTER(PortfolioFrontier[#Data],(PortfolioFrontier[#Headers]="P"&amp;Scenarios3[[#This Row],[Reference '#]]&amp;" DD")))</f>
        <v>-0.18919224107483956</v>
      </c>
      <c r="L110" s="69">
        <f>SUM(Scenarios3[[#This Row],[SPY]:[VNQ]])</f>
        <v>0.9</v>
      </c>
      <c r="M110" s="69">
        <f>SUM(Scenarios3[[#This Row],[SPY]:[PE]])</f>
        <v>1</v>
      </c>
      <c r="N110" s="71" t="b">
        <f>Scenarios3[[#This Row],[SPY]]&gt;=SpyMin</f>
        <v>1</v>
      </c>
      <c r="O110" s="71" t="b">
        <f>Scenarios3[[#This Row],[AGG]]&gt;=AGGMin</f>
        <v>1</v>
      </c>
      <c r="P110" s="71" t="b">
        <f>AND(Scenarios3[[#This Row],[GLD]]&gt;=GLDMin,Scenarios3[[#This Row],[GLD]]&lt;=GLDMax)</f>
        <v>1</v>
      </c>
      <c r="Q110" s="71" t="b">
        <f>Scenarios3[[#This Row],[VNQ]]&gt;=VNQMin</f>
        <v>1</v>
      </c>
      <c r="R110" s="71" t="b">
        <f>AND(Scenarios3[[#This Row],[PE]]&gt;=PEMin,Scenarios3[[#This Row],[PE]]&lt;=PEMax)</f>
        <v>1</v>
      </c>
      <c r="S110" s="71" t="b">
        <f>Scenarios3[[#This Row],[Liquid Assets]]&gt;=LiquidMin</f>
        <v>1</v>
      </c>
      <c r="T110" s="71" t="b">
        <f>AND(Scenarios3[[#This Row],[Expected Return]]&gt;=ExpectedReturnMin,Scenarios3[[#This Row],[Expected Return]]&lt;=ExpectedReturnMax)</f>
        <v>1</v>
      </c>
      <c r="U110" s="71" t="b">
        <f>Scenarios3[[#This Row],[Max Drawdown]]&gt;=DrawdownMax</f>
        <v>1</v>
      </c>
      <c r="V11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0" s="46">
        <f>_xlfn.XLOOKUP(Scenarios3[[#This Row],[Reference '#]],ScenariosCombined[Reference '#],ScenariosCombined[Sharpe Rank])</f>
        <v>84</v>
      </c>
      <c r="X110" s="44">
        <f>IF(Scenarios3[[#This Row],[Eligible]],COUNTIFS(Scenarios3[Sharpe],"&gt;"&amp;Scenarios3[[#This Row],[Sharpe]],Scenarios3[Eligible],TRUE())+COUNTIFS(Scenarios3[Sharpe],Scenarios3[[#This Row],[Sharpe]],Scenarios3[Eligible],TRUE()),"")</f>
        <v>80</v>
      </c>
      <c r="Y11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30/20/15/25/10</v>
      </c>
      <c r="Z110" s="139">
        <f>_xlfn.XLOOKUP(Scenarios3[[#This Row],[Reference '#]],Scenarios1[Reference '#],Scenarios1[Sharpe Rank])</f>
        <v>82</v>
      </c>
      <c r="AA110" s="139">
        <f>_xlfn.XLOOKUP(Scenarios3[[#This Row],[Reference '#]],Scenarios2[Reference '#],Scenarios2[Sharpe Rank])</f>
        <v>82</v>
      </c>
      <c r="AB110" s="139">
        <f>Scenarios3[[#This Row],[Sharpe Rank]]</f>
        <v>80</v>
      </c>
      <c r="AC110"/>
      <c r="AD110"/>
      <c r="AE110"/>
      <c r="AF110" s="34"/>
      <c r="AG110" s="34"/>
    </row>
    <row r="111" spans="2:33" s="15" customFormat="1" x14ac:dyDescent="0.2">
      <c r="B111" s="71">
        <v>124</v>
      </c>
      <c r="C111" s="69">
        <v>0.25</v>
      </c>
      <c r="D111" s="69">
        <v>0.2</v>
      </c>
      <c r="E111" s="69">
        <v>0.2</v>
      </c>
      <c r="F111" s="69">
        <v>0.25</v>
      </c>
      <c r="G111" s="69">
        <v>0.1</v>
      </c>
      <c r="H111" s="69">
        <f>SUMPRODUCT(Scenarios3[[#This Row],[SPY]:[PE]],_xlfn.TOROW(AssetSpecsScenario3[Annualized Return]))</f>
        <v>8.6401446137355509E-2</v>
      </c>
      <c r="I111" s="69" cm="1">
        <f t="array" ref="I111">SQRT(MMULT(MMULT(Scenarios3[[#This Row],[SPY]:[PE]], 'Corr_Cov 36- Month'!$J$13:$N$17), TRANSPOSE(Scenarios3[[#This Row],[SPY]:[PE]])))</f>
        <v>8.8221131984307727E-2</v>
      </c>
      <c r="J111" s="70">
        <f>(Scenarios3[[#This Row],[Expected Return]]-RiskFree)/Scenarios3[[#This Row],[36M Vol]]</f>
        <v>0.44655843442144311</v>
      </c>
      <c r="K111" s="107" cm="1">
        <f t="array" ref="K111">MIN(_xlfn._xlws.FILTER(PortfolioFrontier[#Data],(PortfolioFrontier[#Headers]="P"&amp;Scenarios3[[#This Row],[Reference '#]]&amp;" DD")))</f>
        <v>-0.18195764054702612</v>
      </c>
      <c r="L111" s="69">
        <f>SUM(Scenarios3[[#This Row],[SPY]:[VNQ]])</f>
        <v>0.9</v>
      </c>
      <c r="M111" s="69">
        <f>SUM(Scenarios3[[#This Row],[SPY]:[PE]])</f>
        <v>1</v>
      </c>
      <c r="N111" s="71" t="b">
        <f>Scenarios3[[#This Row],[SPY]]&gt;=SpyMin</f>
        <v>1</v>
      </c>
      <c r="O111" s="71" t="b">
        <f>Scenarios3[[#This Row],[AGG]]&gt;=AGGMin</f>
        <v>1</v>
      </c>
      <c r="P111" s="71" t="b">
        <f>AND(Scenarios3[[#This Row],[GLD]]&gt;=GLDMin,Scenarios3[[#This Row],[GLD]]&lt;=GLDMax)</f>
        <v>1</v>
      </c>
      <c r="Q111" s="71" t="b">
        <f>Scenarios3[[#This Row],[VNQ]]&gt;=VNQMin</f>
        <v>1</v>
      </c>
      <c r="R111" s="71" t="b">
        <f>AND(Scenarios3[[#This Row],[PE]]&gt;=PEMin,Scenarios3[[#This Row],[PE]]&lt;=PEMax)</f>
        <v>1</v>
      </c>
      <c r="S111" s="71" t="b">
        <f>Scenarios3[[#This Row],[Liquid Assets]]&gt;=LiquidMin</f>
        <v>1</v>
      </c>
      <c r="T111" s="71" t="b">
        <f>AND(Scenarios3[[#This Row],[Expected Return]]&gt;=ExpectedReturnMin,Scenarios3[[#This Row],[Expected Return]]&lt;=ExpectedReturnMax)</f>
        <v>1</v>
      </c>
      <c r="U111" s="71" t="b">
        <f>Scenarios3[[#This Row],[Max Drawdown]]&gt;=DrawdownMax</f>
        <v>1</v>
      </c>
      <c r="V11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1" s="46">
        <f>_xlfn.XLOOKUP(Scenarios3[[#This Row],[Reference '#]],ScenariosCombined[Reference '#],ScenariosCombined[Sharpe Rank])</f>
        <v>86</v>
      </c>
      <c r="X111" s="44">
        <f>IF(Scenarios3[[#This Row],[Eligible]],COUNTIFS(Scenarios3[Sharpe],"&gt;"&amp;Scenarios3[[#This Row],[Sharpe]],Scenarios3[Eligible],TRUE())+COUNTIFS(Scenarios3[Sharpe],Scenarios3[[#This Row],[Sharpe]],Scenarios3[Eligible],TRUE()),"")</f>
        <v>81</v>
      </c>
      <c r="Y11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25/20/20/25/10</v>
      </c>
      <c r="Z111" s="139">
        <f>_xlfn.XLOOKUP(Scenarios3[[#This Row],[Reference '#]],Scenarios1[Reference '#],Scenarios1[Sharpe Rank])</f>
        <v>86</v>
      </c>
      <c r="AA111" s="139">
        <f>_xlfn.XLOOKUP(Scenarios3[[#This Row],[Reference '#]],Scenarios2[Reference '#],Scenarios2[Sharpe Rank])</f>
        <v>85</v>
      </c>
      <c r="AB111" s="139">
        <f>Scenarios3[[#This Row],[Sharpe Rank]]</f>
        <v>81</v>
      </c>
      <c r="AC111"/>
      <c r="AD111"/>
      <c r="AE111"/>
      <c r="AF111" s="34"/>
      <c r="AG111" s="34"/>
    </row>
    <row r="112" spans="2:33" s="15" customFormat="1" x14ac:dyDescent="0.2">
      <c r="B112" s="71">
        <v>49</v>
      </c>
      <c r="C112" s="69">
        <v>0.35</v>
      </c>
      <c r="D112" s="69">
        <v>0.2</v>
      </c>
      <c r="E112" s="69">
        <v>0.1</v>
      </c>
      <c r="F112" s="69">
        <v>0.25</v>
      </c>
      <c r="G112" s="69">
        <v>0.1</v>
      </c>
      <c r="H112" s="69">
        <f>SUMPRODUCT(Scenarios3[[#This Row],[SPY]:[PE]],_xlfn.TOROW(AssetSpecsScenario3[Annualized Return]))</f>
        <v>8.8616995684893812E-2</v>
      </c>
      <c r="I112" s="69" cm="1">
        <f t="array" ref="I112">SQRT(MMULT(MMULT(Scenarios3[[#This Row],[SPY]:[PE]], 'Corr_Cov 36- Month'!$J$13:$N$17), TRANSPOSE(Scenarios3[[#This Row],[SPY]:[PE]])))</f>
        <v>9.332291975596492E-2</v>
      </c>
      <c r="J112" s="70">
        <f>(Scenarios3[[#This Row],[Expected Return]]-RiskFree)/Scenarios3[[#This Row],[36M Vol]]</f>
        <v>0.44588660790029111</v>
      </c>
      <c r="K112" s="107" cm="1">
        <f t="array" ref="K112">MIN(_xlfn._xlws.FILTER(PortfolioFrontier[#Data],(PortfolioFrontier[#Headers]="P"&amp;Scenarios3[[#This Row],[Reference '#]]&amp;" DD")))</f>
        <v>-0.19644374610144166</v>
      </c>
      <c r="L112" s="69">
        <f>SUM(Scenarios3[[#This Row],[SPY]:[VNQ]])</f>
        <v>0.9</v>
      </c>
      <c r="M112" s="69">
        <f>SUM(Scenarios3[[#This Row],[SPY]:[PE]])</f>
        <v>1</v>
      </c>
      <c r="N112" s="71" t="b">
        <f>Scenarios3[[#This Row],[SPY]]&gt;=SpyMin</f>
        <v>1</v>
      </c>
      <c r="O112" s="71" t="b">
        <f>Scenarios3[[#This Row],[AGG]]&gt;=AGGMin</f>
        <v>1</v>
      </c>
      <c r="P112" s="71" t="b">
        <f>AND(Scenarios3[[#This Row],[GLD]]&gt;=GLDMin,Scenarios3[[#This Row],[GLD]]&lt;=GLDMax)</f>
        <v>1</v>
      </c>
      <c r="Q112" s="71" t="b">
        <f>Scenarios3[[#This Row],[VNQ]]&gt;=VNQMin</f>
        <v>1</v>
      </c>
      <c r="R112" s="71" t="b">
        <f>AND(Scenarios3[[#This Row],[PE]]&gt;=PEMin,Scenarios3[[#This Row],[PE]]&lt;=PEMax)</f>
        <v>1</v>
      </c>
      <c r="S112" s="71" t="b">
        <f>Scenarios3[[#This Row],[Liquid Assets]]&gt;=LiquidMin</f>
        <v>1</v>
      </c>
      <c r="T112" s="71" t="b">
        <f>AND(Scenarios3[[#This Row],[Expected Return]]&gt;=ExpectedReturnMin,Scenarios3[[#This Row],[Expected Return]]&lt;=ExpectedReturnMax)</f>
        <v>1</v>
      </c>
      <c r="U112" s="71" t="b">
        <f>Scenarios3[[#This Row],[Max Drawdown]]&gt;=DrawdownMax</f>
        <v>1</v>
      </c>
      <c r="V11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2" s="46">
        <f>_xlfn.XLOOKUP(Scenarios3[[#This Row],[Reference '#]],ScenariosCombined[Reference '#],ScenariosCombined[Sharpe Rank])</f>
        <v>85</v>
      </c>
      <c r="X112" s="44">
        <f>IF(Scenarios3[[#This Row],[Eligible]],COUNTIFS(Scenarios3[Sharpe],"&gt;"&amp;Scenarios3[[#This Row],[Sharpe]],Scenarios3[Eligible],TRUE())+COUNTIFS(Scenarios3[Sharpe],Scenarios3[[#This Row],[Sharpe]],Scenarios3[Eligible],TRUE()),"")</f>
        <v>82</v>
      </c>
      <c r="Y11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35/20/10/25/10</v>
      </c>
      <c r="Z112" s="139">
        <f>_xlfn.XLOOKUP(Scenarios3[[#This Row],[Reference '#]],Scenarios1[Reference '#],Scenarios1[Sharpe Rank])</f>
        <v>83</v>
      </c>
      <c r="AA112" s="139">
        <f>_xlfn.XLOOKUP(Scenarios3[[#This Row],[Reference '#]],Scenarios2[Reference '#],Scenarios2[Sharpe Rank])</f>
        <v>83</v>
      </c>
      <c r="AB112" s="139">
        <f>Scenarios3[[#This Row],[Sharpe Rank]]</f>
        <v>82</v>
      </c>
      <c r="AC112"/>
      <c r="AD112"/>
      <c r="AE112"/>
      <c r="AF112" s="34"/>
      <c r="AG112" s="34"/>
    </row>
    <row r="113" spans="2:33" s="15" customFormat="1" x14ac:dyDescent="0.2">
      <c r="B113" s="71">
        <v>119</v>
      </c>
      <c r="C113" s="69">
        <v>0.25</v>
      </c>
      <c r="D113" s="69">
        <v>0.25</v>
      </c>
      <c r="E113" s="69">
        <v>0.15</v>
      </c>
      <c r="F113" s="69">
        <v>0.2</v>
      </c>
      <c r="G113" s="69">
        <v>0.15</v>
      </c>
      <c r="H113" s="69">
        <f>SUMPRODUCT(Scenarios3[[#This Row],[SPY]:[PE]],_xlfn.TOROW(AssetSpecsScenario3[Annualized Return]))</f>
        <v>8.2354181550276531E-2</v>
      </c>
      <c r="I113" s="69" cm="1">
        <f t="array" ref="I113">SQRT(MMULT(MMULT(Scenarios3[[#This Row],[SPY]:[PE]], 'Corr_Cov 36- Month'!$J$13:$N$17), TRANSPOSE(Scenarios3[[#This Row],[SPY]:[PE]])))</f>
        <v>8.0066740946730747E-2</v>
      </c>
      <c r="J113" s="70">
        <f>(Scenarios3[[#This Row],[Expected Return]]-RiskFree)/Scenarios3[[#This Row],[36M Vol]]</f>
        <v>0.44148950708807788</v>
      </c>
      <c r="K113" s="107" cm="1">
        <f t="array" ref="K113">MIN(_xlfn._xlws.FILTER(PortfolioFrontier[#Data],(PortfolioFrontier[#Headers]="P"&amp;Scenarios3[[#This Row],[Reference '#]]&amp;" DD")))</f>
        <v>-0.16995388779893417</v>
      </c>
      <c r="L113" s="69">
        <f>SUM(Scenarios3[[#This Row],[SPY]:[VNQ]])</f>
        <v>0.85000000000000009</v>
      </c>
      <c r="M113" s="69">
        <f>SUM(Scenarios3[[#This Row],[SPY]:[PE]])</f>
        <v>1</v>
      </c>
      <c r="N113" s="71" t="b">
        <f>Scenarios3[[#This Row],[SPY]]&gt;=SpyMin</f>
        <v>1</v>
      </c>
      <c r="O113" s="71" t="b">
        <f>Scenarios3[[#This Row],[AGG]]&gt;=AGGMin</f>
        <v>1</v>
      </c>
      <c r="P113" s="71" t="b">
        <f>AND(Scenarios3[[#This Row],[GLD]]&gt;=GLDMin,Scenarios3[[#This Row],[GLD]]&lt;=GLDMax)</f>
        <v>1</v>
      </c>
      <c r="Q113" s="71" t="b">
        <f>Scenarios3[[#This Row],[VNQ]]&gt;=VNQMin</f>
        <v>1</v>
      </c>
      <c r="R113" s="71" t="b">
        <f>AND(Scenarios3[[#This Row],[PE]]&gt;=PEMin,Scenarios3[[#This Row],[PE]]&lt;=PEMax)</f>
        <v>1</v>
      </c>
      <c r="S113" s="71" t="b">
        <f>Scenarios3[[#This Row],[Liquid Assets]]&gt;=LiquidMin</f>
        <v>1</v>
      </c>
      <c r="T113" s="71" t="b">
        <f>AND(Scenarios3[[#This Row],[Expected Return]]&gt;=ExpectedReturnMin,Scenarios3[[#This Row],[Expected Return]]&lt;=ExpectedReturnMax)</f>
        <v>1</v>
      </c>
      <c r="U113" s="71" t="b">
        <f>Scenarios3[[#This Row],[Max Drawdown]]&gt;=DrawdownMax</f>
        <v>1</v>
      </c>
      <c r="V11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3" s="46">
        <f>_xlfn.XLOOKUP(Scenarios3[[#This Row],[Reference '#]],ScenariosCombined[Reference '#],ScenariosCombined[Sharpe Rank])</f>
        <v>94</v>
      </c>
      <c r="X113" s="44">
        <f>IF(Scenarios3[[#This Row],[Eligible]],COUNTIFS(Scenarios3[Sharpe],"&gt;"&amp;Scenarios3[[#This Row],[Sharpe]],Scenarios3[Eligible],TRUE())+COUNTIFS(Scenarios3[Sharpe],Scenarios3[[#This Row],[Sharpe]],Scenarios3[Eligible],TRUE()),"")</f>
        <v>83</v>
      </c>
      <c r="Y11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25/25/15/20/15</v>
      </c>
      <c r="Z113" s="139">
        <f>_xlfn.XLOOKUP(Scenarios3[[#This Row],[Reference '#]],Scenarios1[Reference '#],Scenarios1[Sharpe Rank])</f>
        <v>95</v>
      </c>
      <c r="AA113" s="139">
        <f>_xlfn.XLOOKUP(Scenarios3[[#This Row],[Reference '#]],Scenarios2[Reference '#],Scenarios2[Sharpe Rank])</f>
        <v>94</v>
      </c>
      <c r="AB113" s="139">
        <f>Scenarios3[[#This Row],[Sharpe Rank]]</f>
        <v>83</v>
      </c>
      <c r="AC113"/>
      <c r="AD113"/>
      <c r="AE113"/>
      <c r="AF113" s="34"/>
      <c r="AG113" s="34"/>
    </row>
    <row r="114" spans="2:33" s="15" customFormat="1" x14ac:dyDescent="0.2">
      <c r="B114" s="71">
        <v>77</v>
      </c>
      <c r="C114" s="69">
        <v>0.3</v>
      </c>
      <c r="D114" s="69">
        <v>0.25</v>
      </c>
      <c r="E114" s="69">
        <v>0.1</v>
      </c>
      <c r="F114" s="69">
        <v>0.2</v>
      </c>
      <c r="G114" s="69">
        <v>0.15</v>
      </c>
      <c r="H114" s="69">
        <f>SUMPRODUCT(Scenarios3[[#This Row],[SPY]:[PE]],_xlfn.TOROW(AssetSpecsScenario3[Annualized Return]))</f>
        <v>8.3461956324045697E-2</v>
      </c>
      <c r="I114" s="69" cm="1">
        <f t="array" ref="I114">SQRT(MMULT(MMULT(Scenarios3[[#This Row],[SPY]:[PE]], 'Corr_Cov 36- Month'!$J$13:$N$17), TRANSPOSE(Scenarios3[[#This Row],[SPY]:[PE]])))</f>
        <v>8.2783412908292858E-2</v>
      </c>
      <c r="J114" s="70">
        <f>(Scenarios3[[#This Row],[Expected Return]]-RiskFree)/Scenarios3[[#This Row],[36M Vol]]</f>
        <v>0.44038291594569079</v>
      </c>
      <c r="K114" s="107" cm="1">
        <f t="array" ref="K114">MIN(_xlfn._xlws.FILTER(PortfolioFrontier[#Data],(PortfolioFrontier[#Headers]="P"&amp;Scenarios3[[#This Row],[Reference '#]]&amp;" DD")))</f>
        <v>-0.1772423898155604</v>
      </c>
      <c r="L114" s="69">
        <f>SUM(Scenarios3[[#This Row],[SPY]:[VNQ]])</f>
        <v>0.85000000000000009</v>
      </c>
      <c r="M114" s="69">
        <f>SUM(Scenarios3[[#This Row],[SPY]:[PE]])</f>
        <v>1</v>
      </c>
      <c r="N114" s="71" t="b">
        <f>Scenarios3[[#This Row],[SPY]]&gt;=SpyMin</f>
        <v>1</v>
      </c>
      <c r="O114" s="71" t="b">
        <f>Scenarios3[[#This Row],[AGG]]&gt;=AGGMin</f>
        <v>1</v>
      </c>
      <c r="P114" s="71" t="b">
        <f>AND(Scenarios3[[#This Row],[GLD]]&gt;=GLDMin,Scenarios3[[#This Row],[GLD]]&lt;=GLDMax)</f>
        <v>1</v>
      </c>
      <c r="Q114" s="71" t="b">
        <f>Scenarios3[[#This Row],[VNQ]]&gt;=VNQMin</f>
        <v>1</v>
      </c>
      <c r="R114" s="71" t="b">
        <f>AND(Scenarios3[[#This Row],[PE]]&gt;=PEMin,Scenarios3[[#This Row],[PE]]&lt;=PEMax)</f>
        <v>1</v>
      </c>
      <c r="S114" s="71" t="b">
        <f>Scenarios3[[#This Row],[Liquid Assets]]&gt;=LiquidMin</f>
        <v>1</v>
      </c>
      <c r="T114" s="71" t="b">
        <f>AND(Scenarios3[[#This Row],[Expected Return]]&gt;=ExpectedReturnMin,Scenarios3[[#This Row],[Expected Return]]&lt;=ExpectedReturnMax)</f>
        <v>1</v>
      </c>
      <c r="U114" s="71" t="b">
        <f>Scenarios3[[#This Row],[Max Drawdown]]&gt;=DrawdownMax</f>
        <v>1</v>
      </c>
      <c r="V11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4" s="46">
        <f>_xlfn.XLOOKUP(Scenarios3[[#This Row],[Reference '#]],ScenariosCombined[Reference '#],ScenariosCombined[Sharpe Rank])</f>
        <v>93</v>
      </c>
      <c r="X114" s="44">
        <f>IF(Scenarios3[[#This Row],[Eligible]],COUNTIFS(Scenarios3[Sharpe],"&gt;"&amp;Scenarios3[[#This Row],[Sharpe]],Scenarios3[Eligible],TRUE())+COUNTIFS(Scenarios3[Sharpe],Scenarios3[[#This Row],[Sharpe]],Scenarios3[Eligible],TRUE()),"")</f>
        <v>84</v>
      </c>
      <c r="Y11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30/25/10/20/15</v>
      </c>
      <c r="Z114" s="139">
        <f>_xlfn.XLOOKUP(Scenarios3[[#This Row],[Reference '#]],Scenarios1[Reference '#],Scenarios1[Sharpe Rank])</f>
        <v>94</v>
      </c>
      <c r="AA114" s="139">
        <f>_xlfn.XLOOKUP(Scenarios3[[#This Row],[Reference '#]],Scenarios2[Reference '#],Scenarios2[Sharpe Rank])</f>
        <v>93</v>
      </c>
      <c r="AB114" s="139">
        <f>Scenarios3[[#This Row],[Sharpe Rank]]</f>
        <v>84</v>
      </c>
      <c r="AC114"/>
      <c r="AD114"/>
      <c r="AE114"/>
      <c r="AF114" s="34"/>
      <c r="AG114" s="34"/>
    </row>
    <row r="115" spans="2:33" s="15" customFormat="1" x14ac:dyDescent="0.2">
      <c r="B115" s="71">
        <v>106</v>
      </c>
      <c r="C115" s="69">
        <v>0.25</v>
      </c>
      <c r="D115" s="69">
        <v>0.35</v>
      </c>
      <c r="E115" s="69">
        <v>0.1</v>
      </c>
      <c r="F115" s="69">
        <v>0.1</v>
      </c>
      <c r="G115" s="69">
        <v>0.2</v>
      </c>
      <c r="H115" s="69">
        <f>SUMPRODUCT(Scenarios3[[#This Row],[SPY]:[PE]],_xlfn.TOROW(AssetSpecsScenario3[Annualized Return]))</f>
        <v>7.6723177617034094E-2</v>
      </c>
      <c r="I115" s="69" cm="1">
        <f t="array" ref="I115">SQRT(MMULT(MMULT(Scenarios3[[#This Row],[SPY]:[PE]], 'Corr_Cov 36- Month'!$J$13:$N$17), TRANSPOSE(Scenarios3[[#This Row],[SPY]:[PE]])))</f>
        <v>6.7597003402782796E-2</v>
      </c>
      <c r="J115" s="70">
        <f>(Scenarios3[[#This Row],[Expected Return]]-RiskFree)/Scenarios3[[#This Row],[36M Vol]]</f>
        <v>0.43962928185445488</v>
      </c>
      <c r="K115" s="107" cm="1">
        <f t="array" ref="K115">MIN(_xlfn._xlws.FILTER(PortfolioFrontier[#Data],(PortfolioFrontier[#Headers]="P"&amp;Scenarios3[[#This Row],[Reference '#]]&amp;" DD")))</f>
        <v>-0.15012807245687076</v>
      </c>
      <c r="L115" s="69">
        <f>SUM(Scenarios3[[#This Row],[SPY]:[VNQ]])</f>
        <v>0.79999999999999993</v>
      </c>
      <c r="M115" s="69">
        <f>SUM(Scenarios3[[#This Row],[SPY]:[PE]])</f>
        <v>1</v>
      </c>
      <c r="N115" s="71" t="b">
        <f>Scenarios3[[#This Row],[SPY]]&gt;=SpyMin</f>
        <v>1</v>
      </c>
      <c r="O115" s="71" t="b">
        <f>Scenarios3[[#This Row],[AGG]]&gt;=AGGMin</f>
        <v>1</v>
      </c>
      <c r="P115" s="71" t="b">
        <f>AND(Scenarios3[[#This Row],[GLD]]&gt;=GLDMin,Scenarios3[[#This Row],[GLD]]&lt;=GLDMax)</f>
        <v>1</v>
      </c>
      <c r="Q115" s="71" t="b">
        <f>Scenarios3[[#This Row],[VNQ]]&gt;=VNQMin</f>
        <v>1</v>
      </c>
      <c r="R115" s="71" t="b">
        <f>AND(Scenarios3[[#This Row],[PE]]&gt;=PEMin,Scenarios3[[#This Row],[PE]]&lt;=PEMax)</f>
        <v>1</v>
      </c>
      <c r="S115" s="71" t="b">
        <f>Scenarios3[[#This Row],[Liquid Assets]]&gt;=LiquidMin</f>
        <v>1</v>
      </c>
      <c r="T115" s="71" t="b">
        <f>AND(Scenarios3[[#This Row],[Expected Return]]&gt;=ExpectedReturnMin,Scenarios3[[#This Row],[Expected Return]]&lt;=ExpectedReturnMax)</f>
        <v>1</v>
      </c>
      <c r="U115" s="71" t="b">
        <f>Scenarios3[[#This Row],[Max Drawdown]]&gt;=DrawdownMax</f>
        <v>1</v>
      </c>
      <c r="V11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5" s="46" t="str">
        <f>_xlfn.XLOOKUP(Scenarios3[[#This Row],[Reference '#]],ScenariosCombined[Reference '#],ScenariosCombined[Sharpe Rank])</f>
        <v/>
      </c>
      <c r="X115" s="44">
        <f>IF(Scenarios3[[#This Row],[Eligible]],COUNTIFS(Scenarios3[Sharpe],"&gt;"&amp;Scenarios3[[#This Row],[Sharpe]],Scenarios3[Eligible],TRUE())+COUNTIFS(Scenarios3[Sharpe],Scenarios3[[#This Row],[Sharpe]],Scenarios3[Eligible],TRUE()),"")</f>
        <v>85</v>
      </c>
      <c r="Y11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25/35/10/10/20</v>
      </c>
      <c r="Z115" s="139" t="str">
        <f>_xlfn.XLOOKUP(Scenarios3[[#This Row],[Reference '#]],Scenarios1[Reference '#],Scenarios1[Sharpe Rank])</f>
        <v/>
      </c>
      <c r="AA115" s="139" t="str">
        <f>_xlfn.XLOOKUP(Scenarios3[[#This Row],[Reference '#]],Scenarios2[Reference '#],Scenarios2[Sharpe Rank])</f>
        <v/>
      </c>
      <c r="AB115" s="139">
        <f>Scenarios3[[#This Row],[Sharpe Rank]]</f>
        <v>85</v>
      </c>
      <c r="AC115"/>
      <c r="AD115"/>
      <c r="AE115"/>
      <c r="AF115" s="34"/>
      <c r="AG115" s="34"/>
    </row>
    <row r="116" spans="2:33" s="15" customFormat="1" x14ac:dyDescent="0.2">
      <c r="B116" s="71">
        <v>91</v>
      </c>
      <c r="C116" s="69">
        <v>0.3</v>
      </c>
      <c r="D116" s="69">
        <v>0.15</v>
      </c>
      <c r="E116" s="69">
        <v>0.15</v>
      </c>
      <c r="F116" s="69">
        <v>0.3</v>
      </c>
      <c r="G116" s="69">
        <v>0.1</v>
      </c>
      <c r="H116" s="69">
        <f>SUMPRODUCT(Scenarios3[[#This Row],[SPY]:[PE]],_xlfn.TOROW(AssetSpecsScenario3[Annualized Return]))</f>
        <v>8.9092960257288134E-2</v>
      </c>
      <c r="I116" s="69" cm="1">
        <f t="array" ref="I116">SQRT(MMULT(MMULT(Scenarios3[[#This Row],[SPY]:[PE]], 'Corr_Cov 36- Month'!$J$13:$N$17), TRANSPOSE(Scenarios3[[#This Row],[SPY]:[PE]])))</f>
        <v>9.5913147081195707E-2</v>
      </c>
      <c r="J116" s="70">
        <f>(Scenarios3[[#This Row],[Expected Return]]-RiskFree)/Scenarios3[[#This Row],[36M Vol]]</f>
        <v>0.43880746261097348</v>
      </c>
      <c r="K116" s="107" cm="1">
        <f t="array" ref="K116">MIN(_xlfn._xlws.FILTER(PortfolioFrontier[#Data],(PortfolioFrontier[#Headers]="P"&amp;Scenarios3[[#This Row],[Reference '#]]&amp;" DD")))</f>
        <v>-0.19691657346478753</v>
      </c>
      <c r="L116" s="69">
        <f>SUM(Scenarios3[[#This Row],[SPY]:[VNQ]])</f>
        <v>0.89999999999999991</v>
      </c>
      <c r="M116" s="69">
        <f>SUM(Scenarios3[[#This Row],[SPY]:[PE]])</f>
        <v>0.99999999999999989</v>
      </c>
      <c r="N116" s="71" t="b">
        <f>Scenarios3[[#This Row],[SPY]]&gt;=SpyMin</f>
        <v>1</v>
      </c>
      <c r="O116" s="71" t="b">
        <f>Scenarios3[[#This Row],[AGG]]&gt;=AGGMin</f>
        <v>1</v>
      </c>
      <c r="P116" s="71" t="b">
        <f>AND(Scenarios3[[#This Row],[GLD]]&gt;=GLDMin,Scenarios3[[#This Row],[GLD]]&lt;=GLDMax)</f>
        <v>1</v>
      </c>
      <c r="Q116" s="71" t="b">
        <f>Scenarios3[[#This Row],[VNQ]]&gt;=VNQMin</f>
        <v>1</v>
      </c>
      <c r="R116" s="71" t="b">
        <f>AND(Scenarios3[[#This Row],[PE]]&gt;=PEMin,Scenarios3[[#This Row],[PE]]&lt;=PEMax)</f>
        <v>1</v>
      </c>
      <c r="S116" s="71" t="b">
        <f>Scenarios3[[#This Row],[Liquid Assets]]&gt;=LiquidMin</f>
        <v>1</v>
      </c>
      <c r="T116" s="71" t="b">
        <f>AND(Scenarios3[[#This Row],[Expected Return]]&gt;=ExpectedReturnMin,Scenarios3[[#This Row],[Expected Return]]&lt;=ExpectedReturnMax)</f>
        <v>1</v>
      </c>
      <c r="U116" s="71" t="b">
        <f>Scenarios3[[#This Row],[Max Drawdown]]&gt;=DrawdownMax</f>
        <v>1</v>
      </c>
      <c r="V11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6" s="46">
        <f>_xlfn.XLOOKUP(Scenarios3[[#This Row],[Reference '#]],ScenariosCombined[Reference '#],ScenariosCombined[Sharpe Rank])</f>
        <v>88</v>
      </c>
      <c r="X116" s="44">
        <f>IF(Scenarios3[[#This Row],[Eligible]],COUNTIFS(Scenarios3[Sharpe],"&gt;"&amp;Scenarios3[[#This Row],[Sharpe]],Scenarios3[Eligible],TRUE())+COUNTIFS(Scenarios3[Sharpe],Scenarios3[[#This Row],[Sharpe]],Scenarios3[Eligible],TRUE()),"")</f>
        <v>86</v>
      </c>
      <c r="Y11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30/15/15/30/10</v>
      </c>
      <c r="Z116" s="139">
        <f>_xlfn.XLOOKUP(Scenarios3[[#This Row],[Reference '#]],Scenarios1[Reference '#],Scenarios1[Sharpe Rank])</f>
        <v>87</v>
      </c>
      <c r="AA116" s="139">
        <f>_xlfn.XLOOKUP(Scenarios3[[#This Row],[Reference '#]],Scenarios2[Reference '#],Scenarios2[Sharpe Rank])</f>
        <v>87</v>
      </c>
      <c r="AB116" s="139">
        <f>Scenarios3[[#This Row],[Sharpe Rank]]</f>
        <v>86</v>
      </c>
      <c r="AC116"/>
      <c r="AD116"/>
      <c r="AE116"/>
      <c r="AF116" s="34"/>
      <c r="AG116" s="34"/>
    </row>
    <row r="117" spans="2:33" s="15" customFormat="1" x14ac:dyDescent="0.2">
      <c r="B117" s="71">
        <v>133</v>
      </c>
      <c r="C117" s="69">
        <v>0.25</v>
      </c>
      <c r="D117" s="69">
        <v>0.15</v>
      </c>
      <c r="E117" s="69">
        <v>0.2</v>
      </c>
      <c r="F117" s="69">
        <v>0.3</v>
      </c>
      <c r="G117" s="69">
        <v>0.1</v>
      </c>
      <c r="H117" s="69">
        <f>SUMPRODUCT(Scenarios3[[#This Row],[SPY]:[PE]],_xlfn.TOROW(AssetSpecsScenario3[Annualized Return]))</f>
        <v>8.7985185483518982E-2</v>
      </c>
      <c r="I117" s="69" cm="1">
        <f t="array" ref="I117">SQRT(MMULT(MMULT(Scenarios3[[#This Row],[SPY]:[PE]], 'Corr_Cov 36- Month'!$J$13:$N$17), TRANSPOSE(Scenarios3[[#This Row],[SPY]:[PE]])))</f>
        <v>9.366381439993085E-2</v>
      </c>
      <c r="J117" s="70">
        <f>(Scenarios3[[#This Row],[Expected Return]]-RiskFree)/Scenarios3[[#This Row],[36M Vol]]</f>
        <v>0.43751826882670375</v>
      </c>
      <c r="K117" s="107" cm="1">
        <f t="array" ref="K117">MIN(_xlfn._xlws.FILTER(PortfolioFrontier[#Data],(PortfolioFrontier[#Headers]="P"&amp;Scenarios3[[#This Row],[Reference '#]]&amp;" DD")))</f>
        <v>-0.18970169674832826</v>
      </c>
      <c r="L117" s="69">
        <f>SUM(Scenarios3[[#This Row],[SPY]:[VNQ]])</f>
        <v>0.90000000000000013</v>
      </c>
      <c r="M117" s="69">
        <f>SUM(Scenarios3[[#This Row],[SPY]:[PE]])</f>
        <v>1.0000000000000002</v>
      </c>
      <c r="N117" s="71" t="b">
        <f>Scenarios3[[#This Row],[SPY]]&gt;=SpyMin</f>
        <v>1</v>
      </c>
      <c r="O117" s="71" t="b">
        <f>Scenarios3[[#This Row],[AGG]]&gt;=AGGMin</f>
        <v>1</v>
      </c>
      <c r="P117" s="71" t="b">
        <f>AND(Scenarios3[[#This Row],[GLD]]&gt;=GLDMin,Scenarios3[[#This Row],[GLD]]&lt;=GLDMax)</f>
        <v>1</v>
      </c>
      <c r="Q117" s="71" t="b">
        <f>Scenarios3[[#This Row],[VNQ]]&gt;=VNQMin</f>
        <v>1</v>
      </c>
      <c r="R117" s="71" t="b">
        <f>AND(Scenarios3[[#This Row],[PE]]&gt;=PEMin,Scenarios3[[#This Row],[PE]]&lt;=PEMax)</f>
        <v>1</v>
      </c>
      <c r="S117" s="71" t="b">
        <f>Scenarios3[[#This Row],[Liquid Assets]]&gt;=LiquidMin</f>
        <v>1</v>
      </c>
      <c r="T117" s="71" t="b">
        <f>AND(Scenarios3[[#This Row],[Expected Return]]&gt;=ExpectedReturnMin,Scenarios3[[#This Row],[Expected Return]]&lt;=ExpectedReturnMax)</f>
        <v>1</v>
      </c>
      <c r="U117" s="71" t="b">
        <f>Scenarios3[[#This Row],[Max Drawdown]]&gt;=DrawdownMax</f>
        <v>1</v>
      </c>
      <c r="V11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7" s="46">
        <f>_xlfn.XLOOKUP(Scenarios3[[#This Row],[Reference '#]],ScenariosCombined[Reference '#],ScenariosCombined[Sharpe Rank])</f>
        <v>90</v>
      </c>
      <c r="X117" s="44">
        <f>IF(Scenarios3[[#This Row],[Eligible]],COUNTIFS(Scenarios3[Sharpe],"&gt;"&amp;Scenarios3[[#This Row],[Sharpe]],Scenarios3[Eligible],TRUE())+COUNTIFS(Scenarios3[Sharpe],Scenarios3[[#This Row],[Sharpe]],Scenarios3[Eligible],TRUE()),"")</f>
        <v>87</v>
      </c>
      <c r="Y11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25/15/20/30/10</v>
      </c>
      <c r="Z117" s="139">
        <f>_xlfn.XLOOKUP(Scenarios3[[#This Row],[Reference '#]],Scenarios1[Reference '#],Scenarios1[Sharpe Rank])</f>
        <v>89</v>
      </c>
      <c r="AA117" s="139">
        <f>_xlfn.XLOOKUP(Scenarios3[[#This Row],[Reference '#]],Scenarios2[Reference '#],Scenarios2[Sharpe Rank])</f>
        <v>88</v>
      </c>
      <c r="AB117" s="139">
        <f>Scenarios3[[#This Row],[Sharpe Rank]]</f>
        <v>87</v>
      </c>
      <c r="AC117"/>
      <c r="AD117"/>
      <c r="AE117"/>
      <c r="AF117" s="34"/>
      <c r="AG117" s="34"/>
    </row>
    <row r="118" spans="2:33" s="15" customFormat="1" x14ac:dyDescent="0.2">
      <c r="B118" s="71">
        <v>58</v>
      </c>
      <c r="C118" s="69">
        <v>0.35</v>
      </c>
      <c r="D118" s="69">
        <v>0.15</v>
      </c>
      <c r="E118" s="69">
        <v>0.1</v>
      </c>
      <c r="F118" s="69">
        <v>0.3</v>
      </c>
      <c r="G118" s="69">
        <v>0.1</v>
      </c>
      <c r="H118" s="69">
        <f>SUMPRODUCT(Scenarios3[[#This Row],[SPY]:[PE]],_xlfn.TOROW(AssetSpecsScenario3[Annualized Return]))</f>
        <v>9.0200735031057286E-2</v>
      </c>
      <c r="I118" s="69" cm="1">
        <f t="array" ref="I118">SQRT(MMULT(MMULT(Scenarios3[[#This Row],[SPY]:[PE]], 'Corr_Cov 36- Month'!$J$13:$N$17), TRANSPOSE(Scenarios3[[#This Row],[SPY]:[PE]])))</f>
        <v>9.8957376249514034E-2</v>
      </c>
      <c r="J118" s="70">
        <f>(Scenarios3[[#This Row],[Expected Return]]-RiskFree)/Scenarios3[[#This Row],[36M Vol]]</f>
        <v>0.43650287742662197</v>
      </c>
      <c r="K118" s="107" cm="1">
        <f t="array" ref="K118">MIN(_xlfn._xlws.FILTER(PortfolioFrontier[#Data],(PortfolioFrontier[#Headers]="P"&amp;Scenarios3[[#This Row],[Reference '#]]&amp;" DD")))</f>
        <v>-0.20414738967609258</v>
      </c>
      <c r="L118" s="69">
        <f>SUM(Scenarios3[[#This Row],[SPY]:[VNQ]])</f>
        <v>0.89999999999999991</v>
      </c>
      <c r="M118" s="69">
        <f>SUM(Scenarios3[[#This Row],[SPY]:[PE]])</f>
        <v>0.99999999999999989</v>
      </c>
      <c r="N118" s="71" t="b">
        <f>Scenarios3[[#This Row],[SPY]]&gt;=SpyMin</f>
        <v>1</v>
      </c>
      <c r="O118" s="71" t="b">
        <f>Scenarios3[[#This Row],[AGG]]&gt;=AGGMin</f>
        <v>1</v>
      </c>
      <c r="P118" s="71" t="b">
        <f>AND(Scenarios3[[#This Row],[GLD]]&gt;=GLDMin,Scenarios3[[#This Row],[GLD]]&lt;=GLDMax)</f>
        <v>1</v>
      </c>
      <c r="Q118" s="71" t="b">
        <f>Scenarios3[[#This Row],[VNQ]]&gt;=VNQMin</f>
        <v>1</v>
      </c>
      <c r="R118" s="71" t="b">
        <f>AND(Scenarios3[[#This Row],[PE]]&gt;=PEMin,Scenarios3[[#This Row],[PE]]&lt;=PEMax)</f>
        <v>1</v>
      </c>
      <c r="S118" s="71" t="b">
        <f>Scenarios3[[#This Row],[Liquid Assets]]&gt;=LiquidMin</f>
        <v>1</v>
      </c>
      <c r="T118" s="71" t="b">
        <f>AND(Scenarios3[[#This Row],[Expected Return]]&gt;=ExpectedReturnMin,Scenarios3[[#This Row],[Expected Return]]&lt;=ExpectedReturnMax)</f>
        <v>1</v>
      </c>
      <c r="U118" s="71" t="b">
        <f>Scenarios3[[#This Row],[Max Drawdown]]&gt;=DrawdownMax</f>
        <v>0</v>
      </c>
      <c r="V11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18" s="46" t="str">
        <f>_xlfn.XLOOKUP(Scenarios3[[#This Row],[Reference '#]],ScenariosCombined[Reference '#],ScenariosCombined[Sharpe Rank])</f>
        <v/>
      </c>
      <c r="X118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1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35/15/10/30/10</v>
      </c>
      <c r="Z118" s="139" t="str">
        <f>_xlfn.XLOOKUP(Scenarios3[[#This Row],[Reference '#]],Scenarios1[Reference '#],Scenarios1[Sharpe Rank])</f>
        <v/>
      </c>
      <c r="AA118" s="139" t="str">
        <f>_xlfn.XLOOKUP(Scenarios3[[#This Row],[Reference '#]],Scenarios2[Reference '#],Scenarios2[Sharpe Rank])</f>
        <v/>
      </c>
      <c r="AB118" s="139" t="str">
        <f>Scenarios3[[#This Row],[Sharpe Rank]]</f>
        <v/>
      </c>
      <c r="AC118"/>
      <c r="AD118"/>
      <c r="AE118"/>
      <c r="AF118" s="34"/>
      <c r="AG118" s="34"/>
    </row>
    <row r="119" spans="2:33" s="15" customFormat="1" x14ac:dyDescent="0.2">
      <c r="B119" s="71">
        <v>128</v>
      </c>
      <c r="C119" s="69">
        <v>0.25</v>
      </c>
      <c r="D119" s="69">
        <v>0.2</v>
      </c>
      <c r="E119" s="69">
        <v>0.15</v>
      </c>
      <c r="F119" s="69">
        <v>0.25</v>
      </c>
      <c r="G119" s="69">
        <v>0.15</v>
      </c>
      <c r="H119" s="69">
        <f>SUMPRODUCT(Scenarios3[[#This Row],[SPY]:[PE]],_xlfn.TOROW(AssetSpecsScenario3[Annualized Return]))</f>
        <v>8.3937920896440005E-2</v>
      </c>
      <c r="I119" s="69" cm="1">
        <f t="array" ref="I119">SQRT(MMULT(MMULT(Scenarios3[[#This Row],[SPY]:[PE]], 'Corr_Cov 36- Month'!$J$13:$N$17), TRANSPOSE(Scenarios3[[#This Row],[SPY]:[PE]])))</f>
        <v>8.5453208050162058E-2</v>
      </c>
      <c r="J119" s="70">
        <f>(Scenarios3[[#This Row],[Expected Return]]-RiskFree)/Scenarios3[[#This Row],[36M Vol]]</f>
        <v>0.43219401803153734</v>
      </c>
      <c r="K119" s="107" cm="1">
        <f t="array" ref="K119">MIN(_xlfn._xlws.FILTER(PortfolioFrontier[#Data],(PortfolioFrontier[#Headers]="P"&amp;Scenarios3[[#This Row],[Reference '#]]&amp;" DD")))</f>
        <v>-0.17771921926106304</v>
      </c>
      <c r="L119" s="69">
        <f>SUM(Scenarios3[[#This Row],[SPY]:[VNQ]])</f>
        <v>0.85</v>
      </c>
      <c r="M119" s="69">
        <f>SUM(Scenarios3[[#This Row],[SPY]:[PE]])</f>
        <v>1</v>
      </c>
      <c r="N119" s="71" t="b">
        <f>Scenarios3[[#This Row],[SPY]]&gt;=SpyMin</f>
        <v>1</v>
      </c>
      <c r="O119" s="71" t="b">
        <f>Scenarios3[[#This Row],[AGG]]&gt;=AGGMin</f>
        <v>1</v>
      </c>
      <c r="P119" s="71" t="b">
        <f>AND(Scenarios3[[#This Row],[GLD]]&gt;=GLDMin,Scenarios3[[#This Row],[GLD]]&lt;=GLDMax)</f>
        <v>1</v>
      </c>
      <c r="Q119" s="71" t="b">
        <f>Scenarios3[[#This Row],[VNQ]]&gt;=VNQMin</f>
        <v>1</v>
      </c>
      <c r="R119" s="71" t="b">
        <f>AND(Scenarios3[[#This Row],[PE]]&gt;=PEMin,Scenarios3[[#This Row],[PE]]&lt;=PEMax)</f>
        <v>1</v>
      </c>
      <c r="S119" s="71" t="b">
        <f>Scenarios3[[#This Row],[Liquid Assets]]&gt;=LiquidMin</f>
        <v>1</v>
      </c>
      <c r="T119" s="71" t="b">
        <f>AND(Scenarios3[[#This Row],[Expected Return]]&gt;=ExpectedReturnMin,Scenarios3[[#This Row],[Expected Return]]&lt;=ExpectedReturnMax)</f>
        <v>1</v>
      </c>
      <c r="U119" s="71" t="b">
        <f>Scenarios3[[#This Row],[Max Drawdown]]&gt;=DrawdownMax</f>
        <v>1</v>
      </c>
      <c r="V11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19" s="46">
        <f>_xlfn.XLOOKUP(Scenarios3[[#This Row],[Reference '#]],ScenariosCombined[Reference '#],ScenariosCombined[Sharpe Rank])</f>
        <v>95</v>
      </c>
      <c r="X119" s="44">
        <f>IF(Scenarios3[[#This Row],[Eligible]],COUNTIFS(Scenarios3[Sharpe],"&gt;"&amp;Scenarios3[[#This Row],[Sharpe]],Scenarios3[Eligible],TRUE())+COUNTIFS(Scenarios3[Sharpe],Scenarios3[[#This Row],[Sharpe]],Scenarios3[Eligible],TRUE()),"")</f>
        <v>88</v>
      </c>
      <c r="Y11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25/20/15/25/15</v>
      </c>
      <c r="Z119" s="139">
        <f>_xlfn.XLOOKUP(Scenarios3[[#This Row],[Reference '#]],Scenarios1[Reference '#],Scenarios1[Sharpe Rank])</f>
        <v>97</v>
      </c>
      <c r="AA119" s="139">
        <f>_xlfn.XLOOKUP(Scenarios3[[#This Row],[Reference '#]],Scenarios2[Reference '#],Scenarios2[Sharpe Rank])</f>
        <v>96</v>
      </c>
      <c r="AB119" s="139">
        <f>Scenarios3[[#This Row],[Sharpe Rank]]</f>
        <v>88</v>
      </c>
      <c r="AC119"/>
      <c r="AD119"/>
      <c r="AE119"/>
      <c r="AF119" s="34"/>
      <c r="AG119" s="34"/>
    </row>
    <row r="120" spans="2:33" s="15" customFormat="1" x14ac:dyDescent="0.2">
      <c r="B120" s="71">
        <v>86</v>
      </c>
      <c r="C120" s="69">
        <v>0.3</v>
      </c>
      <c r="D120" s="69">
        <v>0.2</v>
      </c>
      <c r="E120" s="69">
        <v>0.1</v>
      </c>
      <c r="F120" s="69">
        <v>0.25</v>
      </c>
      <c r="G120" s="69">
        <v>0.15</v>
      </c>
      <c r="H120" s="69">
        <f>SUMPRODUCT(Scenarios3[[#This Row],[SPY]:[PE]],_xlfn.TOROW(AssetSpecsScenario3[Annualized Return]))</f>
        <v>8.5045695670209157E-2</v>
      </c>
      <c r="I120" s="69" cm="1">
        <f t="array" ref="I120">SQRT(MMULT(MMULT(Scenarios3[[#This Row],[SPY]:[PE]], 'Corr_Cov 36- Month'!$J$13:$N$17), TRANSPOSE(Scenarios3[[#This Row],[SPY]:[PE]])))</f>
        <v>8.8268837618420512E-2</v>
      </c>
      <c r="J120" s="70">
        <f>(Scenarios3[[#This Row],[Expected Return]]-RiskFree)/Scenarios3[[#This Row],[36M Vol]]</f>
        <v>0.4309577552057301</v>
      </c>
      <c r="K120" s="107" cm="1">
        <f t="array" ref="K120">MIN(_xlfn._xlws.FILTER(PortfolioFrontier[#Data],(PortfolioFrontier[#Headers]="P"&amp;Scenarios3[[#This Row],[Reference '#]]&amp;" DD")))</f>
        <v>-0.1849888286940925</v>
      </c>
      <c r="L120" s="69">
        <f>SUM(Scenarios3[[#This Row],[SPY]:[VNQ]])</f>
        <v>0.85</v>
      </c>
      <c r="M120" s="69">
        <f>SUM(Scenarios3[[#This Row],[SPY]:[PE]])</f>
        <v>1</v>
      </c>
      <c r="N120" s="71" t="b">
        <f>Scenarios3[[#This Row],[SPY]]&gt;=SpyMin</f>
        <v>1</v>
      </c>
      <c r="O120" s="71" t="b">
        <f>Scenarios3[[#This Row],[AGG]]&gt;=AGGMin</f>
        <v>1</v>
      </c>
      <c r="P120" s="71" t="b">
        <f>AND(Scenarios3[[#This Row],[GLD]]&gt;=GLDMin,Scenarios3[[#This Row],[GLD]]&lt;=GLDMax)</f>
        <v>1</v>
      </c>
      <c r="Q120" s="71" t="b">
        <f>Scenarios3[[#This Row],[VNQ]]&gt;=VNQMin</f>
        <v>1</v>
      </c>
      <c r="R120" s="71" t="b">
        <f>AND(Scenarios3[[#This Row],[PE]]&gt;=PEMin,Scenarios3[[#This Row],[PE]]&lt;=PEMax)</f>
        <v>1</v>
      </c>
      <c r="S120" s="71" t="b">
        <f>Scenarios3[[#This Row],[Liquid Assets]]&gt;=LiquidMin</f>
        <v>1</v>
      </c>
      <c r="T120" s="71" t="b">
        <f>AND(Scenarios3[[#This Row],[Expected Return]]&gt;=ExpectedReturnMin,Scenarios3[[#This Row],[Expected Return]]&lt;=ExpectedReturnMax)</f>
        <v>1</v>
      </c>
      <c r="U120" s="71" t="b">
        <f>Scenarios3[[#This Row],[Max Drawdown]]&gt;=DrawdownMax</f>
        <v>1</v>
      </c>
      <c r="V12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0" s="46">
        <f>_xlfn.XLOOKUP(Scenarios3[[#This Row],[Reference '#]],ScenariosCombined[Reference '#],ScenariosCombined[Sharpe Rank])</f>
        <v>96</v>
      </c>
      <c r="X120" s="44">
        <f>IF(Scenarios3[[#This Row],[Eligible]],COUNTIFS(Scenarios3[Sharpe],"&gt;"&amp;Scenarios3[[#This Row],[Sharpe]],Scenarios3[Eligible],TRUE())+COUNTIFS(Scenarios3[Sharpe],Scenarios3[[#This Row],[Sharpe]],Scenarios3[Eligible],TRUE()),"")</f>
        <v>89</v>
      </c>
      <c r="Y12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30/20/10/25/15</v>
      </c>
      <c r="Z120" s="139">
        <f>_xlfn.XLOOKUP(Scenarios3[[#This Row],[Reference '#]],Scenarios1[Reference '#],Scenarios1[Sharpe Rank])</f>
        <v>96</v>
      </c>
      <c r="AA120" s="139">
        <f>_xlfn.XLOOKUP(Scenarios3[[#This Row],[Reference '#]],Scenarios2[Reference '#],Scenarios2[Sharpe Rank])</f>
        <v>95</v>
      </c>
      <c r="AB120" s="139">
        <f>Scenarios3[[#This Row],[Sharpe Rank]]</f>
        <v>89</v>
      </c>
      <c r="AC120"/>
      <c r="AD120"/>
      <c r="AE120"/>
      <c r="AF120" s="34"/>
      <c r="AG120" s="34"/>
    </row>
    <row r="121" spans="2:33" s="15" customFormat="1" x14ac:dyDescent="0.2">
      <c r="B121" s="71">
        <v>114</v>
      </c>
      <c r="C121" s="69">
        <v>0.25</v>
      </c>
      <c r="D121" s="69">
        <v>0.3</v>
      </c>
      <c r="E121" s="69">
        <v>0.1</v>
      </c>
      <c r="F121" s="69">
        <v>0.15</v>
      </c>
      <c r="G121" s="69">
        <v>0.2</v>
      </c>
      <c r="H121" s="69">
        <f>SUMPRODUCT(Scenarios3[[#This Row],[SPY]:[PE]],_xlfn.TOROW(AssetSpecsScenario3[Annualized Return]))</f>
        <v>7.8306916963197568E-2</v>
      </c>
      <c r="I121" s="69" cm="1">
        <f t="array" ref="I121">SQRT(MMULT(MMULT(Scenarios3[[#This Row],[SPY]:[PE]], 'Corr_Cov 36- Month'!$J$13:$N$17), TRANSPOSE(Scenarios3[[#This Row],[SPY]:[PE]])))</f>
        <v>7.2633590456997646E-2</v>
      </c>
      <c r="J121" s="70">
        <f>(Scenarios3[[#This Row],[Expected Return]]-RiskFree)/Scenarios3[[#This Row],[36M Vol]]</f>
        <v>0.43094883800593381</v>
      </c>
      <c r="K121" s="107" cm="1">
        <f t="array" ref="K121">MIN(_xlfn._xlws.FILTER(PortfolioFrontier[#Data],(PortfolioFrontier[#Headers]="P"&amp;Scenarios3[[#This Row],[Reference '#]]&amp;" DD")))</f>
        <v>-0.15791202853953867</v>
      </c>
      <c r="L121" s="69">
        <f>SUM(Scenarios3[[#This Row],[SPY]:[VNQ]])</f>
        <v>0.8</v>
      </c>
      <c r="M121" s="69">
        <f>SUM(Scenarios3[[#This Row],[SPY]:[PE]])</f>
        <v>1</v>
      </c>
      <c r="N121" s="71" t="b">
        <f>Scenarios3[[#This Row],[SPY]]&gt;=SpyMin</f>
        <v>1</v>
      </c>
      <c r="O121" s="71" t="b">
        <f>Scenarios3[[#This Row],[AGG]]&gt;=AGGMin</f>
        <v>1</v>
      </c>
      <c r="P121" s="71" t="b">
        <f>AND(Scenarios3[[#This Row],[GLD]]&gt;=GLDMin,Scenarios3[[#This Row],[GLD]]&lt;=GLDMax)</f>
        <v>1</v>
      </c>
      <c r="Q121" s="71" t="b">
        <f>Scenarios3[[#This Row],[VNQ]]&gt;=VNQMin</f>
        <v>1</v>
      </c>
      <c r="R121" s="71" t="b">
        <f>AND(Scenarios3[[#This Row],[PE]]&gt;=PEMin,Scenarios3[[#This Row],[PE]]&lt;=PEMax)</f>
        <v>1</v>
      </c>
      <c r="S121" s="71" t="b">
        <f>Scenarios3[[#This Row],[Liquid Assets]]&gt;=LiquidMin</f>
        <v>1</v>
      </c>
      <c r="T121" s="71" t="b">
        <f>AND(Scenarios3[[#This Row],[Expected Return]]&gt;=ExpectedReturnMin,Scenarios3[[#This Row],[Expected Return]]&lt;=ExpectedReturnMax)</f>
        <v>1</v>
      </c>
      <c r="U121" s="71" t="b">
        <f>Scenarios3[[#This Row],[Max Drawdown]]&gt;=DrawdownMax</f>
        <v>1</v>
      </c>
      <c r="V12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1" s="46" t="str">
        <f>_xlfn.XLOOKUP(Scenarios3[[#This Row],[Reference '#]],ScenariosCombined[Reference '#],ScenariosCombined[Sharpe Rank])</f>
        <v/>
      </c>
      <c r="X121" s="44">
        <f>IF(Scenarios3[[#This Row],[Eligible]],COUNTIFS(Scenarios3[Sharpe],"&gt;"&amp;Scenarios3[[#This Row],[Sharpe]],Scenarios3[Eligible],TRUE())+COUNTIFS(Scenarios3[Sharpe],Scenarios3[[#This Row],[Sharpe]],Scenarios3[Eligible],TRUE()),"")</f>
        <v>90</v>
      </c>
      <c r="Y12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25/30/10/15/20</v>
      </c>
      <c r="Z121" s="139" t="str">
        <f>_xlfn.XLOOKUP(Scenarios3[[#This Row],[Reference '#]],Scenarios1[Reference '#],Scenarios1[Sharpe Rank])</f>
        <v/>
      </c>
      <c r="AA121" s="139" t="str">
        <f>_xlfn.XLOOKUP(Scenarios3[[#This Row],[Reference '#]],Scenarios2[Reference '#],Scenarios2[Sharpe Rank])</f>
        <v/>
      </c>
      <c r="AB121" s="139">
        <f>Scenarios3[[#This Row],[Sharpe Rank]]</f>
        <v>90</v>
      </c>
      <c r="AC121"/>
      <c r="AD121"/>
      <c r="AE121"/>
      <c r="AF121" s="34"/>
      <c r="AG121" s="34"/>
    </row>
    <row r="122" spans="2:33" s="15" customFormat="1" x14ac:dyDescent="0.2">
      <c r="B122" s="71">
        <v>137</v>
      </c>
      <c r="C122" s="69">
        <v>0.25</v>
      </c>
      <c r="D122" s="69">
        <v>0.15</v>
      </c>
      <c r="E122" s="69">
        <v>0.15</v>
      </c>
      <c r="F122" s="69">
        <v>0.3</v>
      </c>
      <c r="G122" s="69">
        <v>0.15</v>
      </c>
      <c r="H122" s="69">
        <f>SUMPRODUCT(Scenarios3[[#This Row],[SPY]:[PE]],_xlfn.TOROW(AssetSpecsScenario3[Annualized Return]))</f>
        <v>8.5521660242603478E-2</v>
      </c>
      <c r="I122" s="69" cm="1">
        <f t="array" ref="I122">SQRT(MMULT(MMULT(Scenarios3[[#This Row],[SPY]:[PE]], 'Corr_Cov 36- Month'!$J$13:$N$17), TRANSPOSE(Scenarios3[[#This Row],[SPY]:[PE]])))</f>
        <v>9.0998507975534298E-2</v>
      </c>
      <c r="J122" s="70">
        <f>(Scenarios3[[#This Row],[Expected Return]]-RiskFree)/Scenarios3[[#This Row],[36M Vol]]</f>
        <v>0.42326083739090864</v>
      </c>
      <c r="K122" s="107" cm="1">
        <f t="array" ref="K122">MIN(_xlfn._xlws.FILTER(PortfolioFrontier[#Data],(PortfolioFrontier[#Headers]="P"&amp;Scenarios3[[#This Row],[Reference '#]]&amp;" DD")))</f>
        <v>-0.18548259409266865</v>
      </c>
      <c r="L122" s="69">
        <f>SUM(Scenarios3[[#This Row],[SPY]:[VNQ]])</f>
        <v>0.85000000000000009</v>
      </c>
      <c r="M122" s="69">
        <f>SUM(Scenarios3[[#This Row],[SPY]:[PE]])</f>
        <v>1</v>
      </c>
      <c r="N122" s="71" t="b">
        <f>Scenarios3[[#This Row],[SPY]]&gt;=SpyMin</f>
        <v>1</v>
      </c>
      <c r="O122" s="71" t="b">
        <f>Scenarios3[[#This Row],[AGG]]&gt;=AGGMin</f>
        <v>1</v>
      </c>
      <c r="P122" s="71" t="b">
        <f>AND(Scenarios3[[#This Row],[GLD]]&gt;=GLDMin,Scenarios3[[#This Row],[GLD]]&lt;=GLDMax)</f>
        <v>1</v>
      </c>
      <c r="Q122" s="71" t="b">
        <f>Scenarios3[[#This Row],[VNQ]]&gt;=VNQMin</f>
        <v>1</v>
      </c>
      <c r="R122" s="71" t="b">
        <f>AND(Scenarios3[[#This Row],[PE]]&gt;=PEMin,Scenarios3[[#This Row],[PE]]&lt;=PEMax)</f>
        <v>1</v>
      </c>
      <c r="S122" s="71" t="b">
        <f>Scenarios3[[#This Row],[Liquid Assets]]&gt;=LiquidMin</f>
        <v>1</v>
      </c>
      <c r="T122" s="71" t="b">
        <f>AND(Scenarios3[[#This Row],[Expected Return]]&gt;=ExpectedReturnMin,Scenarios3[[#This Row],[Expected Return]]&lt;=ExpectedReturnMax)</f>
        <v>1</v>
      </c>
      <c r="U122" s="71" t="b">
        <f>Scenarios3[[#This Row],[Max Drawdown]]&gt;=DrawdownMax</f>
        <v>1</v>
      </c>
      <c r="V12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2" s="46">
        <f>_xlfn.XLOOKUP(Scenarios3[[#This Row],[Reference '#]],ScenariosCombined[Reference '#],ScenariosCombined[Sharpe Rank])</f>
        <v>97</v>
      </c>
      <c r="X122" s="44">
        <f>IF(Scenarios3[[#This Row],[Eligible]],COUNTIFS(Scenarios3[Sharpe],"&gt;"&amp;Scenarios3[[#This Row],[Sharpe]],Scenarios3[Eligible],TRUE())+COUNTIFS(Scenarios3[Sharpe],Scenarios3[[#This Row],[Sharpe]],Scenarios3[Eligible],TRUE()),"")</f>
        <v>91</v>
      </c>
      <c r="Y12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25/15/15/30/15</v>
      </c>
      <c r="Z122" s="139">
        <f>_xlfn.XLOOKUP(Scenarios3[[#This Row],[Reference '#]],Scenarios1[Reference '#],Scenarios1[Sharpe Rank])</f>
        <v>99</v>
      </c>
      <c r="AA122" s="139">
        <f>_xlfn.XLOOKUP(Scenarios3[[#This Row],[Reference '#]],Scenarios2[Reference '#],Scenarios2[Sharpe Rank])</f>
        <v>98</v>
      </c>
      <c r="AB122" s="139">
        <f>Scenarios3[[#This Row],[Sharpe Rank]]</f>
        <v>91</v>
      </c>
      <c r="AC122"/>
      <c r="AD122"/>
      <c r="AE122"/>
      <c r="AF122" s="34"/>
      <c r="AG122" s="34"/>
    </row>
    <row r="123" spans="2:33" s="15" customFormat="1" x14ac:dyDescent="0.2">
      <c r="B123" s="71">
        <v>123</v>
      </c>
      <c r="C123" s="69">
        <v>0.25</v>
      </c>
      <c r="D123" s="69">
        <v>0.25</v>
      </c>
      <c r="E123" s="69">
        <v>0.1</v>
      </c>
      <c r="F123" s="69">
        <v>0.2</v>
      </c>
      <c r="G123" s="69">
        <v>0.2</v>
      </c>
      <c r="H123" s="69">
        <f>SUMPRODUCT(Scenarios3[[#This Row],[SPY]:[PE]],_xlfn.TOROW(AssetSpecsScenario3[Annualized Return]))</f>
        <v>7.9890656309361027E-2</v>
      </c>
      <c r="I123" s="69" cm="1">
        <f t="array" ref="I123">SQRT(MMULT(MMULT(Scenarios3[[#This Row],[SPY]:[PE]], 'Corr_Cov 36- Month'!$J$13:$N$17), TRANSPOSE(Scenarios3[[#This Row],[SPY]:[PE]])))</f>
        <v>7.7902708449639882E-2</v>
      </c>
      <c r="J123" s="70">
        <f>(Scenarios3[[#This Row],[Expected Return]]-RiskFree)/Scenarios3[[#This Row],[36M Vol]]</f>
        <v>0.42213039069192326</v>
      </c>
      <c r="K123" s="107" cm="1">
        <f t="array" ref="K123">MIN(_xlfn._xlws.FILTER(PortfolioFrontier[#Data],(PortfolioFrontier[#Headers]="P"&amp;Scenarios3[[#This Row],[Reference '#]]&amp;" DD")))</f>
        <v>-0.16569663106198762</v>
      </c>
      <c r="L123" s="69">
        <f>SUM(Scenarios3[[#This Row],[SPY]:[VNQ]])</f>
        <v>0.8</v>
      </c>
      <c r="M123" s="69">
        <f>SUM(Scenarios3[[#This Row],[SPY]:[PE]])</f>
        <v>1</v>
      </c>
      <c r="N123" s="71" t="b">
        <f>Scenarios3[[#This Row],[SPY]]&gt;=SpyMin</f>
        <v>1</v>
      </c>
      <c r="O123" s="71" t="b">
        <f>Scenarios3[[#This Row],[AGG]]&gt;=AGGMin</f>
        <v>1</v>
      </c>
      <c r="P123" s="71" t="b">
        <f>AND(Scenarios3[[#This Row],[GLD]]&gt;=GLDMin,Scenarios3[[#This Row],[GLD]]&lt;=GLDMax)</f>
        <v>1</v>
      </c>
      <c r="Q123" s="71" t="b">
        <f>Scenarios3[[#This Row],[VNQ]]&gt;=VNQMin</f>
        <v>1</v>
      </c>
      <c r="R123" s="71" t="b">
        <f>AND(Scenarios3[[#This Row],[PE]]&gt;=PEMin,Scenarios3[[#This Row],[PE]]&lt;=PEMax)</f>
        <v>1</v>
      </c>
      <c r="S123" s="71" t="b">
        <f>Scenarios3[[#This Row],[Liquid Assets]]&gt;=LiquidMin</f>
        <v>1</v>
      </c>
      <c r="T123" s="71" t="b">
        <f>AND(Scenarios3[[#This Row],[Expected Return]]&gt;=ExpectedReturnMin,Scenarios3[[#This Row],[Expected Return]]&lt;=ExpectedReturnMax)</f>
        <v>1</v>
      </c>
      <c r="U123" s="71" t="b">
        <f>Scenarios3[[#This Row],[Max Drawdown]]&gt;=DrawdownMax</f>
        <v>1</v>
      </c>
      <c r="V12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3" s="46">
        <f>_xlfn.XLOOKUP(Scenarios3[[#This Row],[Reference '#]],ScenariosCombined[Reference '#],ScenariosCombined[Sharpe Rank])</f>
        <v>101</v>
      </c>
      <c r="X123" s="44">
        <f>IF(Scenarios3[[#This Row],[Eligible]],COUNTIFS(Scenarios3[Sharpe],"&gt;"&amp;Scenarios3[[#This Row],[Sharpe]],Scenarios3[Eligible],TRUE())+COUNTIFS(Scenarios3[Sharpe],Scenarios3[[#This Row],[Sharpe]],Scenarios3[Eligible],TRUE()),"")</f>
        <v>92</v>
      </c>
      <c r="Y12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25/25/10/20/20</v>
      </c>
      <c r="Z123" s="139" t="str">
        <f>_xlfn.XLOOKUP(Scenarios3[[#This Row],[Reference '#]],Scenarios1[Reference '#],Scenarios1[Sharpe Rank])</f>
        <v/>
      </c>
      <c r="AA123" s="139" t="str">
        <f>_xlfn.XLOOKUP(Scenarios3[[#This Row],[Reference '#]],Scenarios2[Reference '#],Scenarios2[Sharpe Rank])</f>
        <v/>
      </c>
      <c r="AB123" s="139">
        <f>Scenarios3[[#This Row],[Sharpe Rank]]</f>
        <v>92</v>
      </c>
      <c r="AC123"/>
      <c r="AD123"/>
      <c r="AE123"/>
      <c r="AF123" s="34"/>
      <c r="AG123" s="34"/>
    </row>
    <row r="124" spans="2:33" s="15" customFormat="1" x14ac:dyDescent="0.2">
      <c r="B124" s="71">
        <v>95</v>
      </c>
      <c r="C124" s="69">
        <v>0.3</v>
      </c>
      <c r="D124" s="69">
        <v>0.15</v>
      </c>
      <c r="E124" s="69">
        <v>0.1</v>
      </c>
      <c r="F124" s="69">
        <v>0.3</v>
      </c>
      <c r="G124" s="69">
        <v>0.15</v>
      </c>
      <c r="H124" s="69">
        <f>SUMPRODUCT(Scenarios3[[#This Row],[SPY]:[PE]],_xlfn.TOROW(AssetSpecsScenario3[Annualized Return]))</f>
        <v>8.662943501637263E-2</v>
      </c>
      <c r="I124" s="69" cm="1">
        <f t="array" ref="I124">SQRT(MMULT(MMULT(Scenarios3[[#This Row],[SPY]:[PE]], 'Corr_Cov 36- Month'!$J$13:$N$17), TRANSPOSE(Scenarios3[[#This Row],[SPY]:[PE]])))</f>
        <v>9.3896708481953542E-2</v>
      </c>
      <c r="J124" s="70">
        <f>(Scenarios3[[#This Row],[Expected Return]]-RiskFree)/Scenarios3[[#This Row],[36M Vol]]</f>
        <v>0.42199433932694863</v>
      </c>
      <c r="K124" s="107" cm="1">
        <f t="array" ref="K124">MIN(_xlfn._xlws.FILTER(PortfolioFrontier[#Data],(PortfolioFrontier[#Headers]="P"&amp;Scenarios3[[#This Row],[Reference '#]]&amp;" DD")))</f>
        <v>-0.19273250958379395</v>
      </c>
      <c r="L124" s="69">
        <f>SUM(Scenarios3[[#This Row],[SPY]:[VNQ]])</f>
        <v>0.84999999999999987</v>
      </c>
      <c r="M124" s="69">
        <f>SUM(Scenarios3[[#This Row],[SPY]:[PE]])</f>
        <v>0.99999999999999989</v>
      </c>
      <c r="N124" s="71" t="b">
        <f>Scenarios3[[#This Row],[SPY]]&gt;=SpyMin</f>
        <v>1</v>
      </c>
      <c r="O124" s="71" t="b">
        <f>Scenarios3[[#This Row],[AGG]]&gt;=AGGMin</f>
        <v>1</v>
      </c>
      <c r="P124" s="71" t="b">
        <f>AND(Scenarios3[[#This Row],[GLD]]&gt;=GLDMin,Scenarios3[[#This Row],[GLD]]&lt;=GLDMax)</f>
        <v>1</v>
      </c>
      <c r="Q124" s="71" t="b">
        <f>Scenarios3[[#This Row],[VNQ]]&gt;=VNQMin</f>
        <v>1</v>
      </c>
      <c r="R124" s="71" t="b">
        <f>AND(Scenarios3[[#This Row],[PE]]&gt;=PEMin,Scenarios3[[#This Row],[PE]]&lt;=PEMax)</f>
        <v>1</v>
      </c>
      <c r="S124" s="71" t="b">
        <f>Scenarios3[[#This Row],[Liquid Assets]]&gt;=LiquidMin</f>
        <v>1</v>
      </c>
      <c r="T124" s="71" t="b">
        <f>AND(Scenarios3[[#This Row],[Expected Return]]&gt;=ExpectedReturnMin,Scenarios3[[#This Row],[Expected Return]]&lt;=ExpectedReturnMax)</f>
        <v>1</v>
      </c>
      <c r="U124" s="71" t="b">
        <f>Scenarios3[[#This Row],[Max Drawdown]]&gt;=DrawdownMax</f>
        <v>1</v>
      </c>
      <c r="V12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4" s="46">
        <f>_xlfn.XLOOKUP(Scenarios3[[#This Row],[Reference '#]],ScenariosCombined[Reference '#],ScenariosCombined[Sharpe Rank])</f>
        <v>98</v>
      </c>
      <c r="X124" s="44">
        <f>IF(Scenarios3[[#This Row],[Eligible]],COUNTIFS(Scenarios3[Sharpe],"&gt;"&amp;Scenarios3[[#This Row],[Sharpe]],Scenarios3[Eligible],TRUE())+COUNTIFS(Scenarios3[Sharpe],Scenarios3[[#This Row],[Sharpe]],Scenarios3[Eligible],TRUE()),"")</f>
        <v>93</v>
      </c>
      <c r="Y12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30/15/10/30/15</v>
      </c>
      <c r="Z124" s="139">
        <f>_xlfn.XLOOKUP(Scenarios3[[#This Row],[Reference '#]],Scenarios1[Reference '#],Scenarios1[Sharpe Rank])</f>
        <v>98</v>
      </c>
      <c r="AA124" s="139">
        <f>_xlfn.XLOOKUP(Scenarios3[[#This Row],[Reference '#]],Scenarios2[Reference '#],Scenarios2[Sharpe Rank])</f>
        <v>97</v>
      </c>
      <c r="AB124" s="139">
        <f>Scenarios3[[#This Row],[Sharpe Rank]]</f>
        <v>93</v>
      </c>
      <c r="AC124"/>
      <c r="AD124"/>
      <c r="AE124"/>
      <c r="AF124" s="34"/>
      <c r="AG124" s="34"/>
    </row>
    <row r="125" spans="2:33" s="15" customFormat="1" x14ac:dyDescent="0.2">
      <c r="B125" s="71">
        <v>132</v>
      </c>
      <c r="C125" s="69">
        <v>0.25</v>
      </c>
      <c r="D125" s="69">
        <v>0.2</v>
      </c>
      <c r="E125" s="69">
        <v>0.1</v>
      </c>
      <c r="F125" s="69">
        <v>0.25</v>
      </c>
      <c r="G125" s="69">
        <v>0.2</v>
      </c>
      <c r="H125" s="69">
        <f>SUMPRODUCT(Scenarios3[[#This Row],[SPY]:[PE]],_xlfn.TOROW(AssetSpecsScenario3[Annualized Return]))</f>
        <v>8.1474395655524501E-2</v>
      </c>
      <c r="I125" s="69" cm="1">
        <f t="array" ref="I125">SQRT(MMULT(MMULT(Scenarios3[[#This Row],[SPY]:[PE]], 'Corr_Cov 36- Month'!$J$13:$N$17), TRANSPOSE(Scenarios3[[#This Row],[SPY]:[PE]])))</f>
        <v>8.3360274905856888E-2</v>
      </c>
      <c r="J125" s="70">
        <f>(Scenarios3[[#This Row],[Expected Return]]-RiskFree)/Scenarios3[[#This Row],[36M Vol]]</f>
        <v>0.41349239957397466</v>
      </c>
      <c r="K125" s="107" cm="1">
        <f t="array" ref="K125">MIN(_xlfn._xlws.FILTER(PortfolioFrontier[#Data],(PortfolioFrontier[#Headers]="P"&amp;Scenarios3[[#This Row],[Reference '#]]&amp;" DD")))</f>
        <v>-0.17348073118349583</v>
      </c>
      <c r="L125" s="69">
        <f>SUM(Scenarios3[[#This Row],[SPY]:[VNQ]])</f>
        <v>0.8</v>
      </c>
      <c r="M125" s="69">
        <f>SUM(Scenarios3[[#This Row],[SPY]:[PE]])</f>
        <v>1</v>
      </c>
      <c r="N125" s="71" t="b">
        <f>Scenarios3[[#This Row],[SPY]]&gt;=SpyMin</f>
        <v>1</v>
      </c>
      <c r="O125" s="71" t="b">
        <f>Scenarios3[[#This Row],[AGG]]&gt;=AGGMin</f>
        <v>1</v>
      </c>
      <c r="P125" s="71" t="b">
        <f>AND(Scenarios3[[#This Row],[GLD]]&gt;=GLDMin,Scenarios3[[#This Row],[GLD]]&lt;=GLDMax)</f>
        <v>1</v>
      </c>
      <c r="Q125" s="71" t="b">
        <f>Scenarios3[[#This Row],[VNQ]]&gt;=VNQMin</f>
        <v>1</v>
      </c>
      <c r="R125" s="71" t="b">
        <f>AND(Scenarios3[[#This Row],[PE]]&gt;=PEMin,Scenarios3[[#This Row],[PE]]&lt;=PEMax)</f>
        <v>1</v>
      </c>
      <c r="S125" s="71" t="b">
        <f>Scenarios3[[#This Row],[Liquid Assets]]&gt;=LiquidMin</f>
        <v>1</v>
      </c>
      <c r="T125" s="71" t="b">
        <f>AND(Scenarios3[[#This Row],[Expected Return]]&gt;=ExpectedReturnMin,Scenarios3[[#This Row],[Expected Return]]&lt;=ExpectedReturnMax)</f>
        <v>1</v>
      </c>
      <c r="U125" s="71" t="b">
        <f>Scenarios3[[#This Row],[Max Drawdown]]&gt;=DrawdownMax</f>
        <v>1</v>
      </c>
      <c r="V12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5" s="46">
        <f>_xlfn.XLOOKUP(Scenarios3[[#This Row],[Reference '#]],ScenariosCombined[Reference '#],ScenariosCombined[Sharpe Rank])</f>
        <v>105</v>
      </c>
      <c r="X125" s="44">
        <f>IF(Scenarios3[[#This Row],[Eligible]],COUNTIFS(Scenarios3[Sharpe],"&gt;"&amp;Scenarios3[[#This Row],[Sharpe]],Scenarios3[Eligible],TRUE())+COUNTIFS(Scenarios3[Sharpe],Scenarios3[[#This Row],[Sharpe]],Scenarios3[Eligible],TRUE()),"")</f>
        <v>94</v>
      </c>
      <c r="Y12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25/20/10/25/20</v>
      </c>
      <c r="Z125" s="139" t="str">
        <f>_xlfn.XLOOKUP(Scenarios3[[#This Row],[Reference '#]],Scenarios1[Reference '#],Scenarios1[Sharpe Rank])</f>
        <v/>
      </c>
      <c r="AA125" s="139">
        <f>_xlfn.XLOOKUP(Scenarios3[[#This Row],[Reference '#]],Scenarios2[Reference '#],Scenarios2[Sharpe Rank])</f>
        <v>106</v>
      </c>
      <c r="AB125" s="139">
        <f>Scenarios3[[#This Row],[Sharpe Rank]]</f>
        <v>94</v>
      </c>
      <c r="AC125"/>
      <c r="AD125"/>
      <c r="AE125"/>
      <c r="AF125" s="34"/>
      <c r="AG125" s="34"/>
    </row>
    <row r="126" spans="2:33" s="15" customFormat="1" x14ac:dyDescent="0.2">
      <c r="B126" s="71">
        <v>141</v>
      </c>
      <c r="C126" s="69">
        <v>0.25</v>
      </c>
      <c r="D126" s="69">
        <v>0.15</v>
      </c>
      <c r="E126" s="69">
        <v>0.1</v>
      </c>
      <c r="F126" s="69">
        <v>0.3</v>
      </c>
      <c r="G126" s="69">
        <v>0.2</v>
      </c>
      <c r="H126" s="69">
        <f>SUMPRODUCT(Scenarios3[[#This Row],[SPY]:[PE]],_xlfn.TOROW(AssetSpecsScenario3[Annualized Return]))</f>
        <v>8.3058135001687974E-2</v>
      </c>
      <c r="I126" s="69" cm="1">
        <f t="array" ref="I126">SQRT(MMULT(MMULT(Scenarios3[[#This Row],[SPY]:[PE]], 'Corr_Cov 36- Month'!$J$13:$N$17), TRANSPOSE(Scenarios3[[#This Row],[SPY]:[PE]])))</f>
        <v>8.8971617993864618E-2</v>
      </c>
      <c r="J126" s="70">
        <f>(Scenarios3[[#This Row],[Expected Return]]-RiskFree)/Scenarios3[[#This Row],[36M Vol]]</f>
        <v>0.4052143847560305</v>
      </c>
      <c r="K126" s="107" cm="1">
        <f t="array" ref="K126">MIN(_xlfn._xlws.FILTER(PortfolioFrontier[#Data],(PortfolioFrontier[#Headers]="P"&amp;Scenarios3[[#This Row],[Reference '#]]&amp;" DD")))</f>
        <v>-0.18126319236251531</v>
      </c>
      <c r="L126" s="69">
        <f>SUM(Scenarios3[[#This Row],[SPY]:[VNQ]])</f>
        <v>0.8</v>
      </c>
      <c r="M126" s="69">
        <f>SUM(Scenarios3[[#This Row],[SPY]:[PE]])</f>
        <v>1</v>
      </c>
      <c r="N126" s="71" t="b">
        <f>Scenarios3[[#This Row],[SPY]]&gt;=SpyMin</f>
        <v>1</v>
      </c>
      <c r="O126" s="71" t="b">
        <f>Scenarios3[[#This Row],[AGG]]&gt;=AGGMin</f>
        <v>1</v>
      </c>
      <c r="P126" s="71" t="b">
        <f>AND(Scenarios3[[#This Row],[GLD]]&gt;=GLDMin,Scenarios3[[#This Row],[GLD]]&lt;=GLDMax)</f>
        <v>1</v>
      </c>
      <c r="Q126" s="71" t="b">
        <f>Scenarios3[[#This Row],[VNQ]]&gt;=VNQMin</f>
        <v>1</v>
      </c>
      <c r="R126" s="71" t="b">
        <f>AND(Scenarios3[[#This Row],[PE]]&gt;=PEMin,Scenarios3[[#This Row],[PE]]&lt;=PEMax)</f>
        <v>1</v>
      </c>
      <c r="S126" s="71" t="b">
        <f>Scenarios3[[#This Row],[Liquid Assets]]&gt;=LiquidMin</f>
        <v>1</v>
      </c>
      <c r="T126" s="71" t="b">
        <f>AND(Scenarios3[[#This Row],[Expected Return]]&gt;=ExpectedReturnMin,Scenarios3[[#This Row],[Expected Return]]&lt;=ExpectedReturnMax)</f>
        <v>1</v>
      </c>
      <c r="U126" s="71" t="b">
        <f>Scenarios3[[#This Row],[Max Drawdown]]&gt;=DrawdownMax</f>
        <v>1</v>
      </c>
      <c r="V12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6" s="46">
        <f>_xlfn.XLOOKUP(Scenarios3[[#This Row],[Reference '#]],ScenariosCombined[Reference '#],ScenariosCombined[Sharpe Rank])</f>
        <v>108</v>
      </c>
      <c r="X126" s="44">
        <f>IF(Scenarios3[[#This Row],[Eligible]],COUNTIFS(Scenarios3[Sharpe],"&gt;"&amp;Scenarios3[[#This Row],[Sharpe]],Scenarios3[Eligible],TRUE())+COUNTIFS(Scenarios3[Sharpe],Scenarios3[[#This Row],[Sharpe]],Scenarios3[Eligible],TRUE()),"")</f>
        <v>95</v>
      </c>
      <c r="Y12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25/15/10/30/20</v>
      </c>
      <c r="Z126" s="139">
        <f>_xlfn.XLOOKUP(Scenarios3[[#This Row],[Reference '#]],Scenarios1[Reference '#],Scenarios1[Sharpe Rank])</f>
        <v>108</v>
      </c>
      <c r="AA126" s="139">
        <f>_xlfn.XLOOKUP(Scenarios3[[#This Row],[Reference '#]],Scenarios2[Reference '#],Scenarios2[Sharpe Rank])</f>
        <v>108</v>
      </c>
      <c r="AB126" s="139">
        <f>Scenarios3[[#This Row],[Sharpe Rank]]</f>
        <v>95</v>
      </c>
      <c r="AC126"/>
      <c r="AD126"/>
      <c r="AE126"/>
      <c r="AF126" s="34"/>
      <c r="AG126" s="34"/>
    </row>
    <row r="127" spans="2:33" s="15" customFormat="1" x14ac:dyDescent="0.2">
      <c r="B127" s="71">
        <v>61</v>
      </c>
      <c r="C127" s="69">
        <v>0.3</v>
      </c>
      <c r="D127" s="69">
        <v>0.4</v>
      </c>
      <c r="E127" s="69">
        <v>0.1</v>
      </c>
      <c r="F127" s="69">
        <v>0.1</v>
      </c>
      <c r="G127" s="69">
        <v>0.1</v>
      </c>
      <c r="H127" s="69">
        <f>SUMPRODUCT(Scenarios3[[#This Row],[SPY]:[PE]],_xlfn.TOROW(AssetSpecsScenario3[Annualized Return]))</f>
        <v>7.7182544625394756E-2</v>
      </c>
      <c r="I127" s="69" cm="1">
        <f t="array" ref="I127">SQRT(MMULT(MMULT(Scenarios3[[#This Row],[SPY]:[PE]], 'Corr_Cov 36- Month'!$J$13:$N$17), TRANSPOSE(Scenarios3[[#This Row],[SPY]:[PE]])))</f>
        <v>7.4760527273057001E-2</v>
      </c>
      <c r="J127" s="70">
        <f>(Scenarios3[[#This Row],[Expected Return]]-RiskFree)/Scenarios3[[#This Row],[36M Vol]]</f>
        <v>0.40364869230550104</v>
      </c>
      <c r="K127" s="107" cm="1">
        <f t="array" ref="K127">MIN(_xlfn._xlws.FILTER(PortfolioFrontier[#Data],(PortfolioFrontier[#Headers]="P"&amp;Scenarios3[[#This Row],[Reference '#]]&amp;" DD")))</f>
        <v>-0.16849098057898348</v>
      </c>
      <c r="L127" s="69">
        <f>SUM(Scenarios3[[#This Row],[SPY]:[VNQ]])</f>
        <v>0.89999999999999991</v>
      </c>
      <c r="M127" s="69">
        <f>SUM(Scenarios3[[#This Row],[SPY]:[PE]])</f>
        <v>0.99999999999999989</v>
      </c>
      <c r="N127" s="71" t="b">
        <f>Scenarios3[[#This Row],[SPY]]&gt;=SpyMin</f>
        <v>1</v>
      </c>
      <c r="O127" s="71" t="b">
        <f>Scenarios3[[#This Row],[AGG]]&gt;=AGGMin</f>
        <v>1</v>
      </c>
      <c r="P127" s="71" t="b">
        <f>AND(Scenarios3[[#This Row],[GLD]]&gt;=GLDMin,Scenarios3[[#This Row],[GLD]]&lt;=GLDMax)</f>
        <v>1</v>
      </c>
      <c r="Q127" s="71" t="b">
        <f>Scenarios3[[#This Row],[VNQ]]&gt;=VNQMin</f>
        <v>1</v>
      </c>
      <c r="R127" s="71" t="b">
        <f>AND(Scenarios3[[#This Row],[PE]]&gt;=PEMin,Scenarios3[[#This Row],[PE]]&lt;=PEMax)</f>
        <v>1</v>
      </c>
      <c r="S127" s="71" t="b">
        <f>Scenarios3[[#This Row],[Liquid Assets]]&gt;=LiquidMin</f>
        <v>1</v>
      </c>
      <c r="T127" s="71" t="b">
        <f>AND(Scenarios3[[#This Row],[Expected Return]]&gt;=ExpectedReturnMin,Scenarios3[[#This Row],[Expected Return]]&lt;=ExpectedReturnMax)</f>
        <v>1</v>
      </c>
      <c r="U127" s="71" t="b">
        <f>Scenarios3[[#This Row],[Max Drawdown]]&gt;=DrawdownMax</f>
        <v>1</v>
      </c>
      <c r="V12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7" s="46">
        <f>_xlfn.XLOOKUP(Scenarios3[[#This Row],[Reference '#]],ScenariosCombined[Reference '#],ScenariosCombined[Sharpe Rank])</f>
        <v>99</v>
      </c>
      <c r="X127" s="44">
        <f>IF(Scenarios3[[#This Row],[Eligible]],COUNTIFS(Scenarios3[Sharpe],"&gt;"&amp;Scenarios3[[#This Row],[Sharpe]],Scenarios3[Eligible],TRUE())+COUNTIFS(Scenarios3[Sharpe],Scenarios3[[#This Row],[Sharpe]],Scenarios3[Eligible],TRUE()),"")</f>
        <v>96</v>
      </c>
      <c r="Y12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30/40/10/10/10</v>
      </c>
      <c r="Z127" s="139" t="str">
        <f>_xlfn.XLOOKUP(Scenarios3[[#This Row],[Reference '#]],Scenarios1[Reference '#],Scenarios1[Sharpe Rank])</f>
        <v/>
      </c>
      <c r="AA127" s="139" t="str">
        <f>_xlfn.XLOOKUP(Scenarios3[[#This Row],[Reference '#]],Scenarios2[Reference '#],Scenarios2[Sharpe Rank])</f>
        <v/>
      </c>
      <c r="AB127" s="139">
        <f>Scenarios3[[#This Row],[Sharpe Rank]]</f>
        <v>96</v>
      </c>
      <c r="AC127"/>
      <c r="AD127"/>
      <c r="AE127"/>
      <c r="AF127" s="34"/>
      <c r="AG127" s="34"/>
    </row>
    <row r="128" spans="2:33" s="15" customFormat="1" x14ac:dyDescent="0.2">
      <c r="B128" s="71">
        <v>98</v>
      </c>
      <c r="C128" s="69">
        <v>0.25</v>
      </c>
      <c r="D128" s="69">
        <v>0.4</v>
      </c>
      <c r="E128" s="69">
        <v>0.15</v>
      </c>
      <c r="F128" s="69">
        <v>0.1</v>
      </c>
      <c r="G128" s="69">
        <v>0.1</v>
      </c>
      <c r="H128" s="69">
        <f>SUMPRODUCT(Scenarios3[[#This Row],[SPY]:[PE]],_xlfn.TOROW(AssetSpecsScenario3[Annualized Return]))</f>
        <v>7.607476985162559E-2</v>
      </c>
      <c r="I128" s="69" cm="1">
        <f t="array" ref="I128">SQRT(MMULT(MMULT(Scenarios3[[#This Row],[SPY]:[PE]], 'Corr_Cov 36- Month'!$J$13:$N$17), TRANSPOSE(Scenarios3[[#This Row],[SPY]:[PE]])))</f>
        <v>7.2432035259095945E-2</v>
      </c>
      <c r="J128" s="70">
        <f>(Scenarios3[[#This Row],[Expected Return]]-RiskFree)/Scenarios3[[#This Row],[36M Vol]]</f>
        <v>0.40133090547693201</v>
      </c>
      <c r="K128" s="107" cm="1">
        <f t="array" ref="K128">MIN(_xlfn._xlws.FILTER(PortfolioFrontier[#Data],(PortfolioFrontier[#Headers]="P"&amp;Scenarios3[[#This Row],[Reference '#]]&amp;" DD")))</f>
        <v>-0.16119168260039207</v>
      </c>
      <c r="L128" s="69">
        <f>SUM(Scenarios3[[#This Row],[SPY]:[VNQ]])</f>
        <v>0.9</v>
      </c>
      <c r="M128" s="69">
        <f>SUM(Scenarios3[[#This Row],[SPY]:[PE]])</f>
        <v>1</v>
      </c>
      <c r="N128" s="71" t="b">
        <f>Scenarios3[[#This Row],[SPY]]&gt;=SpyMin</f>
        <v>1</v>
      </c>
      <c r="O128" s="71" t="b">
        <f>Scenarios3[[#This Row],[AGG]]&gt;=AGGMin</f>
        <v>1</v>
      </c>
      <c r="P128" s="71" t="b">
        <f>AND(Scenarios3[[#This Row],[GLD]]&gt;=GLDMin,Scenarios3[[#This Row],[GLD]]&lt;=GLDMax)</f>
        <v>1</v>
      </c>
      <c r="Q128" s="71" t="b">
        <f>Scenarios3[[#This Row],[VNQ]]&gt;=VNQMin</f>
        <v>1</v>
      </c>
      <c r="R128" s="71" t="b">
        <f>AND(Scenarios3[[#This Row],[PE]]&gt;=PEMin,Scenarios3[[#This Row],[PE]]&lt;=PEMax)</f>
        <v>1</v>
      </c>
      <c r="S128" s="71" t="b">
        <f>Scenarios3[[#This Row],[Liquid Assets]]&gt;=LiquidMin</f>
        <v>1</v>
      </c>
      <c r="T128" s="71" t="b">
        <f>AND(Scenarios3[[#This Row],[Expected Return]]&gt;=ExpectedReturnMin,Scenarios3[[#This Row],[Expected Return]]&lt;=ExpectedReturnMax)</f>
        <v>1</v>
      </c>
      <c r="U128" s="71" t="b">
        <f>Scenarios3[[#This Row],[Max Drawdown]]&gt;=DrawdownMax</f>
        <v>1</v>
      </c>
      <c r="V12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8" s="46" t="str">
        <f>_xlfn.XLOOKUP(Scenarios3[[#This Row],[Reference '#]],ScenariosCombined[Reference '#],ScenariosCombined[Sharpe Rank])</f>
        <v/>
      </c>
      <c r="X128" s="44">
        <f>IF(Scenarios3[[#This Row],[Eligible]],COUNTIFS(Scenarios3[Sharpe],"&gt;"&amp;Scenarios3[[#This Row],[Sharpe]],Scenarios3[Eligible],TRUE())+COUNTIFS(Scenarios3[Sharpe],Scenarios3[[#This Row],[Sharpe]],Scenarios3[Eligible],TRUE()),"")</f>
        <v>97</v>
      </c>
      <c r="Y12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25/40/15/10/10</v>
      </c>
      <c r="Z128" s="139" t="str">
        <f>_xlfn.XLOOKUP(Scenarios3[[#This Row],[Reference '#]],Scenarios1[Reference '#],Scenarios1[Sharpe Rank])</f>
        <v/>
      </c>
      <c r="AA128" s="139" t="str">
        <f>_xlfn.XLOOKUP(Scenarios3[[#This Row],[Reference '#]],Scenarios2[Reference '#],Scenarios2[Sharpe Rank])</f>
        <v/>
      </c>
      <c r="AB128" s="139">
        <f>Scenarios3[[#This Row],[Sharpe Rank]]</f>
        <v>97</v>
      </c>
      <c r="AC128"/>
      <c r="AD128"/>
      <c r="AE128"/>
      <c r="AF128" s="34"/>
      <c r="AG128" s="34"/>
    </row>
    <row r="129" spans="2:37" s="15" customFormat="1" x14ac:dyDescent="0.2">
      <c r="B129" s="71">
        <v>63</v>
      </c>
      <c r="C129" s="69">
        <v>0.3</v>
      </c>
      <c r="D129" s="69">
        <v>0.35</v>
      </c>
      <c r="E129" s="69">
        <v>0.1</v>
      </c>
      <c r="F129" s="69">
        <v>0.15</v>
      </c>
      <c r="G129" s="69">
        <v>0.1</v>
      </c>
      <c r="H129" s="69">
        <f>SUMPRODUCT(Scenarios3[[#This Row],[SPY]:[PE]],_xlfn.TOROW(AssetSpecsScenario3[Annualized Return]))</f>
        <v>7.8766283971558243E-2</v>
      </c>
      <c r="I129" s="69" cm="1">
        <f t="array" ref="I129">SQRT(MMULT(MMULT(Scenarios3[[#This Row],[SPY]:[PE]], 'Corr_Cov 36- Month'!$J$13:$N$17), TRANSPOSE(Scenarios3[[#This Row],[SPY]:[PE]])))</f>
        <v>7.9887578805035941E-2</v>
      </c>
      <c r="J129" s="70">
        <f>(Scenarios3[[#This Row],[Expected Return]]-RiskFree)/Scenarios3[[#This Row],[36M Vol]]</f>
        <v>0.39756779328003072</v>
      </c>
      <c r="K129" s="107" cm="1">
        <f t="array" ref="K129">MIN(_xlfn._xlws.FILTER(PortfolioFrontier[#Data],(PortfolioFrontier[#Headers]="P"&amp;Scenarios3[[#This Row],[Reference '#]]&amp;" DD")))</f>
        <v>-0.17619937541805675</v>
      </c>
      <c r="L129" s="69">
        <f>SUM(Scenarios3[[#This Row],[SPY]:[VNQ]])</f>
        <v>0.89999999999999991</v>
      </c>
      <c r="M129" s="69">
        <f>SUM(Scenarios3[[#This Row],[SPY]:[PE]])</f>
        <v>0.99999999999999989</v>
      </c>
      <c r="N129" s="71" t="b">
        <f>Scenarios3[[#This Row],[SPY]]&gt;=SpyMin</f>
        <v>1</v>
      </c>
      <c r="O129" s="71" t="b">
        <f>Scenarios3[[#This Row],[AGG]]&gt;=AGGMin</f>
        <v>1</v>
      </c>
      <c r="P129" s="71" t="b">
        <f>AND(Scenarios3[[#This Row],[GLD]]&gt;=GLDMin,Scenarios3[[#This Row],[GLD]]&lt;=GLDMax)</f>
        <v>1</v>
      </c>
      <c r="Q129" s="71" t="b">
        <f>Scenarios3[[#This Row],[VNQ]]&gt;=VNQMin</f>
        <v>1</v>
      </c>
      <c r="R129" s="71" t="b">
        <f>AND(Scenarios3[[#This Row],[PE]]&gt;=PEMin,Scenarios3[[#This Row],[PE]]&lt;=PEMax)</f>
        <v>1</v>
      </c>
      <c r="S129" s="71" t="b">
        <f>Scenarios3[[#This Row],[Liquid Assets]]&gt;=LiquidMin</f>
        <v>1</v>
      </c>
      <c r="T129" s="71" t="b">
        <f>AND(Scenarios3[[#This Row],[Expected Return]]&gt;=ExpectedReturnMin,Scenarios3[[#This Row],[Expected Return]]&lt;=ExpectedReturnMax)</f>
        <v>1</v>
      </c>
      <c r="U129" s="71" t="b">
        <f>Scenarios3[[#This Row],[Max Drawdown]]&gt;=DrawdownMax</f>
        <v>1</v>
      </c>
      <c r="V12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29" s="46">
        <f>_xlfn.XLOOKUP(Scenarios3[[#This Row],[Reference '#]],ScenariosCombined[Reference '#],ScenariosCombined[Sharpe Rank])</f>
        <v>100</v>
      </c>
      <c r="X129" s="44">
        <f>IF(Scenarios3[[#This Row],[Eligible]],COUNTIFS(Scenarios3[Sharpe],"&gt;"&amp;Scenarios3[[#This Row],[Sharpe]],Scenarios3[Eligible],TRUE())+COUNTIFS(Scenarios3[Sharpe],Scenarios3[[#This Row],[Sharpe]],Scenarios3[Eligible],TRUE()),"")</f>
        <v>98</v>
      </c>
      <c r="Y12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30/35/10/15/10</v>
      </c>
      <c r="Z129" s="139">
        <f>_xlfn.XLOOKUP(Scenarios3[[#This Row],[Reference '#]],Scenarios1[Reference '#],Scenarios1[Sharpe Rank])</f>
        <v>100</v>
      </c>
      <c r="AA129" s="139">
        <f>_xlfn.XLOOKUP(Scenarios3[[#This Row],[Reference '#]],Scenarios2[Reference '#],Scenarios2[Sharpe Rank])</f>
        <v>99</v>
      </c>
      <c r="AB129" s="139">
        <f>Scenarios3[[#This Row],[Sharpe Rank]]</f>
        <v>98</v>
      </c>
      <c r="AC129"/>
      <c r="AD129"/>
      <c r="AE129"/>
      <c r="AF129"/>
      <c r="AG129"/>
    </row>
    <row r="130" spans="2:37" s="15" customFormat="1" x14ac:dyDescent="0.2">
      <c r="B130" s="71">
        <v>102</v>
      </c>
      <c r="C130" s="69">
        <v>0.25</v>
      </c>
      <c r="D130" s="69">
        <v>0.35</v>
      </c>
      <c r="E130" s="69">
        <v>0.15</v>
      </c>
      <c r="F130" s="69">
        <v>0.15</v>
      </c>
      <c r="G130" s="69">
        <v>0.1</v>
      </c>
      <c r="H130" s="69">
        <f>SUMPRODUCT(Scenarios3[[#This Row],[SPY]:[PE]],_xlfn.TOROW(AssetSpecsScenario3[Annualized Return]))</f>
        <v>7.7658509197789077E-2</v>
      </c>
      <c r="I130" s="69" cm="1">
        <f t="array" ref="I130">SQRT(MMULT(MMULT(Scenarios3[[#This Row],[SPY]:[PE]], 'Corr_Cov 36- Month'!$J$13:$N$17), TRANSPOSE(Scenarios3[[#This Row],[SPY]:[PE]])))</f>
        <v>7.7411640335491291E-2</v>
      </c>
      <c r="J130" s="70">
        <f>(Scenarios3[[#This Row],[Expected Return]]-RiskFree)/Scenarios3[[#This Row],[36M Vol]]</f>
        <v>0.39597344158304726</v>
      </c>
      <c r="K130" s="107" cm="1">
        <f t="array" ref="K130">MIN(_xlfn._xlws.FILTER(PortfolioFrontier[#Data],(PortfolioFrontier[#Headers]="P"&amp;Scenarios3[[#This Row],[Reference '#]]&amp;" DD")))</f>
        <v>-0.16891762307251379</v>
      </c>
      <c r="L130" s="69">
        <f>SUM(Scenarios3[[#This Row],[SPY]:[VNQ]])</f>
        <v>0.9</v>
      </c>
      <c r="M130" s="69">
        <f>SUM(Scenarios3[[#This Row],[SPY]:[PE]])</f>
        <v>1</v>
      </c>
      <c r="N130" s="71" t="b">
        <f>Scenarios3[[#This Row],[SPY]]&gt;=SpyMin</f>
        <v>1</v>
      </c>
      <c r="O130" s="71" t="b">
        <f>Scenarios3[[#This Row],[AGG]]&gt;=AGGMin</f>
        <v>1</v>
      </c>
      <c r="P130" s="71" t="b">
        <f>AND(Scenarios3[[#This Row],[GLD]]&gt;=GLDMin,Scenarios3[[#This Row],[GLD]]&lt;=GLDMax)</f>
        <v>1</v>
      </c>
      <c r="Q130" s="71" t="b">
        <f>Scenarios3[[#This Row],[VNQ]]&gt;=VNQMin</f>
        <v>1</v>
      </c>
      <c r="R130" s="71" t="b">
        <f>AND(Scenarios3[[#This Row],[PE]]&gt;=PEMin,Scenarios3[[#This Row],[PE]]&lt;=PEMax)</f>
        <v>1</v>
      </c>
      <c r="S130" s="71" t="b">
        <f>Scenarios3[[#This Row],[Liquid Assets]]&gt;=LiquidMin</f>
        <v>1</v>
      </c>
      <c r="T130" s="71" t="b">
        <f>AND(Scenarios3[[#This Row],[Expected Return]]&gt;=ExpectedReturnMin,Scenarios3[[#This Row],[Expected Return]]&lt;=ExpectedReturnMax)</f>
        <v>1</v>
      </c>
      <c r="U130" s="71" t="b">
        <f>Scenarios3[[#This Row],[Max Drawdown]]&gt;=DrawdownMax</f>
        <v>1</v>
      </c>
      <c r="V13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0" s="46">
        <f>_xlfn.XLOOKUP(Scenarios3[[#This Row],[Reference '#]],ScenariosCombined[Reference '#],ScenariosCombined[Sharpe Rank])</f>
        <v>102</v>
      </c>
      <c r="X130" s="44">
        <f>IF(Scenarios3[[#This Row],[Eligible]],COUNTIFS(Scenarios3[Sharpe],"&gt;"&amp;Scenarios3[[#This Row],[Sharpe]],Scenarios3[Eligible],TRUE())+COUNTIFS(Scenarios3[Sharpe],Scenarios3[[#This Row],[Sharpe]],Scenarios3[Eligible],TRUE()),"")</f>
        <v>99</v>
      </c>
      <c r="Y13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25/35/15/15/10</v>
      </c>
      <c r="Z130" s="139" t="str">
        <f>_xlfn.XLOOKUP(Scenarios3[[#This Row],[Reference '#]],Scenarios1[Reference '#],Scenarios1[Sharpe Rank])</f>
        <v/>
      </c>
      <c r="AA130" s="139" t="str">
        <f>_xlfn.XLOOKUP(Scenarios3[[#This Row],[Reference '#]],Scenarios2[Reference '#],Scenarios2[Sharpe Rank])</f>
        <v/>
      </c>
      <c r="AB130" s="139">
        <f>Scenarios3[[#This Row],[Sharpe Rank]]</f>
        <v>99</v>
      </c>
      <c r="AC130"/>
      <c r="AD130"/>
      <c r="AE130"/>
      <c r="AF130"/>
      <c r="AG130"/>
    </row>
    <row r="131" spans="2:37" s="15" customFormat="1" x14ac:dyDescent="0.2">
      <c r="B131" s="71">
        <v>68</v>
      </c>
      <c r="C131" s="69">
        <v>0.3</v>
      </c>
      <c r="D131" s="69">
        <v>0.3</v>
      </c>
      <c r="E131" s="69">
        <v>0.1</v>
      </c>
      <c r="F131" s="69">
        <v>0.2</v>
      </c>
      <c r="G131" s="69">
        <v>0.1</v>
      </c>
      <c r="H131" s="69">
        <f>SUMPRODUCT(Scenarios3[[#This Row],[SPY]:[PE]],_xlfn.TOROW(AssetSpecsScenario3[Annualized Return]))</f>
        <v>8.0350023317721717E-2</v>
      </c>
      <c r="I131" s="69" cm="1">
        <f t="array" ref="I131">SQRT(MMULT(MMULT(Scenarios3[[#This Row],[SPY]:[PE]], 'Corr_Cov 36- Month'!$J$13:$N$17), TRANSPOSE(Scenarios3[[#This Row],[SPY]:[PE]])))</f>
        <v>8.5216336368045431E-2</v>
      </c>
      <c r="J131" s="70">
        <f>(Scenarios3[[#This Row],[Expected Return]]-RiskFree)/Scenarios3[[#This Row],[36M Vol]]</f>
        <v>0.39129196564087132</v>
      </c>
      <c r="K131" s="107" cm="1">
        <f t="array" ref="K131">MIN(_xlfn._xlws.FILTER(PortfolioFrontier[#Data],(PortfolioFrontier[#Headers]="P"&amp;Scenarios3[[#This Row],[Reference '#]]&amp;" DD")))</f>
        <v>-0.18390694878202885</v>
      </c>
      <c r="L131" s="69">
        <f>SUM(Scenarios3[[#This Row],[SPY]:[VNQ]])</f>
        <v>0.89999999999999991</v>
      </c>
      <c r="M131" s="69">
        <f>SUM(Scenarios3[[#This Row],[SPY]:[PE]])</f>
        <v>0.99999999999999989</v>
      </c>
      <c r="N131" s="71" t="b">
        <f>Scenarios3[[#This Row],[SPY]]&gt;=SpyMin</f>
        <v>1</v>
      </c>
      <c r="O131" s="71" t="b">
        <f>Scenarios3[[#This Row],[AGG]]&gt;=AGGMin</f>
        <v>1</v>
      </c>
      <c r="P131" s="71" t="b">
        <f>AND(Scenarios3[[#This Row],[GLD]]&gt;=GLDMin,Scenarios3[[#This Row],[GLD]]&lt;=GLDMax)</f>
        <v>1</v>
      </c>
      <c r="Q131" s="71" t="b">
        <f>Scenarios3[[#This Row],[VNQ]]&gt;=VNQMin</f>
        <v>1</v>
      </c>
      <c r="R131" s="71" t="b">
        <f>AND(Scenarios3[[#This Row],[PE]]&gt;=PEMin,Scenarios3[[#This Row],[PE]]&lt;=PEMax)</f>
        <v>1</v>
      </c>
      <c r="S131" s="71" t="b">
        <f>Scenarios3[[#This Row],[Liquid Assets]]&gt;=LiquidMin</f>
        <v>1</v>
      </c>
      <c r="T131" s="71" t="b">
        <f>AND(Scenarios3[[#This Row],[Expected Return]]&gt;=ExpectedReturnMin,Scenarios3[[#This Row],[Expected Return]]&lt;=ExpectedReturnMax)</f>
        <v>1</v>
      </c>
      <c r="U131" s="71" t="b">
        <f>Scenarios3[[#This Row],[Max Drawdown]]&gt;=DrawdownMax</f>
        <v>1</v>
      </c>
      <c r="V13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1" s="46">
        <f>_xlfn.XLOOKUP(Scenarios3[[#This Row],[Reference '#]],ScenariosCombined[Reference '#],ScenariosCombined[Sharpe Rank])</f>
        <v>103</v>
      </c>
      <c r="X131" s="44">
        <f>IF(Scenarios3[[#This Row],[Eligible]],COUNTIFS(Scenarios3[Sharpe],"&gt;"&amp;Scenarios3[[#This Row],[Sharpe]],Scenarios3[Eligible],TRUE())+COUNTIFS(Scenarios3[Sharpe],Scenarios3[[#This Row],[Sharpe]],Scenarios3[Eligible],TRUE()),"")</f>
        <v>100</v>
      </c>
      <c r="Y13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30/30/10/20/10</v>
      </c>
      <c r="Z131" s="139">
        <f>_xlfn.XLOOKUP(Scenarios3[[#This Row],[Reference '#]],Scenarios1[Reference '#],Scenarios1[Sharpe Rank])</f>
        <v>101</v>
      </c>
      <c r="AA131" s="139">
        <f>_xlfn.XLOOKUP(Scenarios3[[#This Row],[Reference '#]],Scenarios2[Reference '#],Scenarios2[Sharpe Rank])</f>
        <v>100</v>
      </c>
      <c r="AB131" s="139">
        <f>Scenarios3[[#This Row],[Sharpe Rank]]</f>
        <v>100</v>
      </c>
      <c r="AC131"/>
      <c r="AD131"/>
      <c r="AE131"/>
      <c r="AF131"/>
      <c r="AG131"/>
    </row>
    <row r="132" spans="2:37" s="15" customFormat="1" x14ac:dyDescent="0.2">
      <c r="B132" s="71">
        <v>109</v>
      </c>
      <c r="C132" s="69">
        <v>0.25</v>
      </c>
      <c r="D132" s="69">
        <v>0.3</v>
      </c>
      <c r="E132" s="69">
        <v>0.15</v>
      </c>
      <c r="F132" s="69">
        <v>0.2</v>
      </c>
      <c r="G132" s="69">
        <v>0.1</v>
      </c>
      <c r="H132" s="69">
        <f>SUMPRODUCT(Scenarios3[[#This Row],[SPY]:[PE]],_xlfn.TOROW(AssetSpecsScenario3[Annualized Return]))</f>
        <v>7.9242248543952551E-2</v>
      </c>
      <c r="I132" s="69" cm="1">
        <f t="array" ref="I132">SQRT(MMULT(MMULT(Scenarios3[[#This Row],[SPY]:[PE]], 'Corr_Cov 36- Month'!$J$13:$N$17), TRANSPOSE(Scenarios3[[#This Row],[SPY]:[PE]])))</f>
        <v>8.2617397166478854E-2</v>
      </c>
      <c r="J132" s="70">
        <f>(Scenarios3[[#This Row],[Expected Return]]-RiskFree)/Scenarios3[[#This Row],[36M Vol]]</f>
        <v>0.39019255137556791</v>
      </c>
      <c r="K132" s="107" cm="1">
        <f t="array" ref="K132">MIN(_xlfn._xlws.FILTER(PortfolioFrontier[#Data],(PortfolioFrontier[#Headers]="P"&amp;Scenarios3[[#This Row],[Reference '#]]&amp;" DD")))</f>
        <v>-0.17664355978662594</v>
      </c>
      <c r="L132" s="69">
        <f>SUM(Scenarios3[[#This Row],[SPY]:[VNQ]])</f>
        <v>0.90000000000000013</v>
      </c>
      <c r="M132" s="69">
        <f>SUM(Scenarios3[[#This Row],[SPY]:[PE]])</f>
        <v>1.0000000000000002</v>
      </c>
      <c r="N132" s="71" t="b">
        <f>Scenarios3[[#This Row],[SPY]]&gt;=SpyMin</f>
        <v>1</v>
      </c>
      <c r="O132" s="71" t="b">
        <f>Scenarios3[[#This Row],[AGG]]&gt;=AGGMin</f>
        <v>1</v>
      </c>
      <c r="P132" s="71" t="b">
        <f>AND(Scenarios3[[#This Row],[GLD]]&gt;=GLDMin,Scenarios3[[#This Row],[GLD]]&lt;=GLDMax)</f>
        <v>1</v>
      </c>
      <c r="Q132" s="71" t="b">
        <f>Scenarios3[[#This Row],[VNQ]]&gt;=VNQMin</f>
        <v>1</v>
      </c>
      <c r="R132" s="71" t="b">
        <f>AND(Scenarios3[[#This Row],[PE]]&gt;=PEMin,Scenarios3[[#This Row],[PE]]&lt;=PEMax)</f>
        <v>1</v>
      </c>
      <c r="S132" s="71" t="b">
        <f>Scenarios3[[#This Row],[Liquid Assets]]&gt;=LiquidMin</f>
        <v>1</v>
      </c>
      <c r="T132" s="71" t="b">
        <f>AND(Scenarios3[[#This Row],[Expected Return]]&gt;=ExpectedReturnMin,Scenarios3[[#This Row],[Expected Return]]&lt;=ExpectedReturnMax)</f>
        <v>1</v>
      </c>
      <c r="U132" s="71" t="b">
        <f>Scenarios3[[#This Row],[Max Drawdown]]&gt;=DrawdownMax</f>
        <v>1</v>
      </c>
      <c r="V13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2" s="46">
        <f>_xlfn.XLOOKUP(Scenarios3[[#This Row],[Reference '#]],ScenariosCombined[Reference '#],ScenariosCombined[Sharpe Rank])</f>
        <v>104</v>
      </c>
      <c r="X132" s="44">
        <f>IF(Scenarios3[[#This Row],[Eligible]],COUNTIFS(Scenarios3[Sharpe],"&gt;"&amp;Scenarios3[[#This Row],[Sharpe]],Scenarios3[Eligible],TRUE())+COUNTIFS(Scenarios3[Sharpe],Scenarios3[[#This Row],[Sharpe]],Scenarios3[Eligible],TRUE()),"")</f>
        <v>101</v>
      </c>
      <c r="Y13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25/30/15/20/10</v>
      </c>
      <c r="Z132" s="139">
        <f>_xlfn.XLOOKUP(Scenarios3[[#This Row],[Reference '#]],Scenarios1[Reference '#],Scenarios1[Sharpe Rank])</f>
        <v>102</v>
      </c>
      <c r="AA132" s="139">
        <f>_xlfn.XLOOKUP(Scenarios3[[#This Row],[Reference '#]],Scenarios2[Reference '#],Scenarios2[Sharpe Rank])</f>
        <v>101</v>
      </c>
      <c r="AB132" s="139">
        <f>Scenarios3[[#This Row],[Sharpe Rank]]</f>
        <v>101</v>
      </c>
      <c r="AC132"/>
      <c r="AD132"/>
      <c r="AE132"/>
      <c r="AF132"/>
      <c r="AG132"/>
    </row>
    <row r="133" spans="2:37" s="15" customFormat="1" x14ac:dyDescent="0.2">
      <c r="B133" s="71">
        <v>76</v>
      </c>
      <c r="C133" s="69">
        <v>0.3</v>
      </c>
      <c r="D133" s="69">
        <v>0.25</v>
      </c>
      <c r="E133" s="69">
        <v>0.1</v>
      </c>
      <c r="F133" s="69">
        <v>0.25</v>
      </c>
      <c r="G133" s="69">
        <v>0.1</v>
      </c>
      <c r="H133" s="69">
        <f>SUMPRODUCT(Scenarios3[[#This Row],[SPY]:[PE]],_xlfn.TOROW(AssetSpecsScenario3[Annualized Return]))</f>
        <v>8.1933762663885176E-2</v>
      </c>
      <c r="I133" s="69" cm="1">
        <f t="array" ref="I133">SQRT(MMULT(MMULT(Scenarios3[[#This Row],[SPY]:[PE]], 'Corr_Cov 36- Month'!$J$13:$N$17), TRANSPOSE(Scenarios3[[#This Row],[SPY]:[PE]])))</f>
        <v>9.07112597648638E-2</v>
      </c>
      <c r="J133" s="70">
        <f>(Scenarios3[[#This Row],[Expected Return]]-RiskFree)/Scenarios3[[#This Row],[36M Vol]]</f>
        <v>0.38504819797308953</v>
      </c>
      <c r="K133" s="107" cm="1">
        <f t="array" ref="K133">MIN(_xlfn._xlws.FILTER(PortfolioFrontier[#Data],(PortfolioFrontier[#Headers]="P"&amp;Scenarios3[[#This Row],[Reference '#]]&amp;" DD")))</f>
        <v>-0.19161257876741677</v>
      </c>
      <c r="L133" s="69">
        <f>SUM(Scenarios3[[#This Row],[SPY]:[VNQ]])</f>
        <v>0.9</v>
      </c>
      <c r="M133" s="69">
        <f>SUM(Scenarios3[[#This Row],[SPY]:[PE]])</f>
        <v>1</v>
      </c>
      <c r="N133" s="71" t="b">
        <f>Scenarios3[[#This Row],[SPY]]&gt;=SpyMin</f>
        <v>1</v>
      </c>
      <c r="O133" s="71" t="b">
        <f>Scenarios3[[#This Row],[AGG]]&gt;=AGGMin</f>
        <v>1</v>
      </c>
      <c r="P133" s="71" t="b">
        <f>AND(Scenarios3[[#This Row],[GLD]]&gt;=GLDMin,Scenarios3[[#This Row],[GLD]]&lt;=GLDMax)</f>
        <v>1</v>
      </c>
      <c r="Q133" s="71" t="b">
        <f>Scenarios3[[#This Row],[VNQ]]&gt;=VNQMin</f>
        <v>1</v>
      </c>
      <c r="R133" s="71" t="b">
        <f>AND(Scenarios3[[#This Row],[PE]]&gt;=PEMin,Scenarios3[[#This Row],[PE]]&lt;=PEMax)</f>
        <v>1</v>
      </c>
      <c r="S133" s="71" t="b">
        <f>Scenarios3[[#This Row],[Liquid Assets]]&gt;=LiquidMin</f>
        <v>1</v>
      </c>
      <c r="T133" s="71" t="b">
        <f>AND(Scenarios3[[#This Row],[Expected Return]]&gt;=ExpectedReturnMin,Scenarios3[[#This Row],[Expected Return]]&lt;=ExpectedReturnMax)</f>
        <v>1</v>
      </c>
      <c r="U133" s="71" t="b">
        <f>Scenarios3[[#This Row],[Max Drawdown]]&gt;=DrawdownMax</f>
        <v>1</v>
      </c>
      <c r="V13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3" s="46">
        <f>_xlfn.XLOOKUP(Scenarios3[[#This Row],[Reference '#]],ScenariosCombined[Reference '#],ScenariosCombined[Sharpe Rank])</f>
        <v>106</v>
      </c>
      <c r="X133" s="44">
        <f>IF(Scenarios3[[#This Row],[Eligible]],COUNTIFS(Scenarios3[Sharpe],"&gt;"&amp;Scenarios3[[#This Row],[Sharpe]],Scenarios3[Eligible],TRUE())+COUNTIFS(Scenarios3[Sharpe],Scenarios3[[#This Row],[Sharpe]],Scenarios3[Eligible],TRUE()),"")</f>
        <v>102</v>
      </c>
      <c r="Y13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30/25/10/25/10</v>
      </c>
      <c r="Z133" s="139">
        <f>_xlfn.XLOOKUP(Scenarios3[[#This Row],[Reference '#]],Scenarios1[Reference '#],Scenarios1[Sharpe Rank])</f>
        <v>103</v>
      </c>
      <c r="AA133" s="139">
        <f>_xlfn.XLOOKUP(Scenarios3[[#This Row],[Reference '#]],Scenarios2[Reference '#],Scenarios2[Sharpe Rank])</f>
        <v>102</v>
      </c>
      <c r="AB133" s="139">
        <f>Scenarios3[[#This Row],[Sharpe Rank]]</f>
        <v>102</v>
      </c>
      <c r="AC133"/>
      <c r="AD133"/>
      <c r="AE133"/>
      <c r="AF133"/>
      <c r="AG133"/>
    </row>
    <row r="134" spans="2:37" s="15" customFormat="1" x14ac:dyDescent="0.2">
      <c r="B134" s="71">
        <v>118</v>
      </c>
      <c r="C134" s="69">
        <v>0.25</v>
      </c>
      <c r="D134" s="69">
        <v>0.25</v>
      </c>
      <c r="E134" s="69">
        <v>0.15</v>
      </c>
      <c r="F134" s="69">
        <v>0.25</v>
      </c>
      <c r="G134" s="69">
        <v>0.1</v>
      </c>
      <c r="H134" s="69">
        <f>SUMPRODUCT(Scenarios3[[#This Row],[SPY]:[PE]],_xlfn.TOROW(AssetSpecsScenario3[Annualized Return]))</f>
        <v>8.0825987890116024E-2</v>
      </c>
      <c r="I134" s="69" cm="1">
        <f t="array" ref="I134">SQRT(MMULT(MMULT(Scenarios3[[#This Row],[SPY]:[PE]], 'Corr_Cov 36- Month'!$J$13:$N$17), TRANSPOSE(Scenarios3[[#This Row],[SPY]:[PE]])))</f>
        <v>8.8009184163765894E-2</v>
      </c>
      <c r="J134" s="70">
        <f>(Scenarios3[[#This Row],[Expected Return]]-RiskFree)/Scenarios3[[#This Row],[36M Vol]]</f>
        <v>0.38428298882566647</v>
      </c>
      <c r="K134" s="107" cm="1">
        <f t="array" ref="K134">MIN(_xlfn._xlws.FILTER(PortfolioFrontier[#Data],(PortfolioFrontier[#Headers]="P"&amp;Scenarios3[[#This Row],[Reference '#]]&amp;" DD")))</f>
        <v>-0.184368359214654</v>
      </c>
      <c r="L134" s="69">
        <f>SUM(Scenarios3[[#This Row],[SPY]:[VNQ]])</f>
        <v>0.9</v>
      </c>
      <c r="M134" s="69">
        <f>SUM(Scenarios3[[#This Row],[SPY]:[PE]])</f>
        <v>1</v>
      </c>
      <c r="N134" s="71" t="b">
        <f>Scenarios3[[#This Row],[SPY]]&gt;=SpyMin</f>
        <v>1</v>
      </c>
      <c r="O134" s="71" t="b">
        <f>Scenarios3[[#This Row],[AGG]]&gt;=AGGMin</f>
        <v>1</v>
      </c>
      <c r="P134" s="71" t="b">
        <f>AND(Scenarios3[[#This Row],[GLD]]&gt;=GLDMin,Scenarios3[[#This Row],[GLD]]&lt;=GLDMax)</f>
        <v>1</v>
      </c>
      <c r="Q134" s="71" t="b">
        <f>Scenarios3[[#This Row],[VNQ]]&gt;=VNQMin</f>
        <v>1</v>
      </c>
      <c r="R134" s="71" t="b">
        <f>AND(Scenarios3[[#This Row],[PE]]&gt;=PEMin,Scenarios3[[#This Row],[PE]]&lt;=PEMax)</f>
        <v>1</v>
      </c>
      <c r="S134" s="71" t="b">
        <f>Scenarios3[[#This Row],[Liquid Assets]]&gt;=LiquidMin</f>
        <v>1</v>
      </c>
      <c r="T134" s="71" t="b">
        <f>AND(Scenarios3[[#This Row],[Expected Return]]&gt;=ExpectedReturnMin,Scenarios3[[#This Row],[Expected Return]]&lt;=ExpectedReturnMax)</f>
        <v>1</v>
      </c>
      <c r="U134" s="71" t="b">
        <f>Scenarios3[[#This Row],[Max Drawdown]]&gt;=DrawdownMax</f>
        <v>1</v>
      </c>
      <c r="V13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4" s="46">
        <f>_xlfn.XLOOKUP(Scenarios3[[#This Row],[Reference '#]],ScenariosCombined[Reference '#],ScenariosCombined[Sharpe Rank])</f>
        <v>107</v>
      </c>
      <c r="X134" s="44">
        <f>IF(Scenarios3[[#This Row],[Eligible]],COUNTIFS(Scenarios3[Sharpe],"&gt;"&amp;Scenarios3[[#This Row],[Sharpe]],Scenarios3[Eligible],TRUE())+COUNTIFS(Scenarios3[Sharpe],Scenarios3[[#This Row],[Sharpe]],Scenarios3[Eligible],TRUE()),"")</f>
        <v>103</v>
      </c>
      <c r="Y13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25/25/15/25/10</v>
      </c>
      <c r="Z134" s="139">
        <f>_xlfn.XLOOKUP(Scenarios3[[#This Row],[Reference '#]],Scenarios1[Reference '#],Scenarios1[Sharpe Rank])</f>
        <v>104</v>
      </c>
      <c r="AA134" s="139">
        <f>_xlfn.XLOOKUP(Scenarios3[[#This Row],[Reference '#]],Scenarios2[Reference '#],Scenarios2[Sharpe Rank])</f>
        <v>103</v>
      </c>
      <c r="AB134" s="139">
        <f>Scenarios3[[#This Row],[Sharpe Rank]]</f>
        <v>103</v>
      </c>
      <c r="AC134"/>
      <c r="AD134"/>
      <c r="AE134"/>
      <c r="AF134"/>
      <c r="AG134"/>
    </row>
    <row r="135" spans="2:37" s="15" customFormat="1" x14ac:dyDescent="0.2">
      <c r="B135" s="71">
        <v>100</v>
      </c>
      <c r="C135" s="69">
        <v>0.25</v>
      </c>
      <c r="D135" s="69">
        <v>0.4</v>
      </c>
      <c r="E135" s="69">
        <v>0.1</v>
      </c>
      <c r="F135" s="69">
        <v>0.1</v>
      </c>
      <c r="G135" s="69">
        <v>0.15</v>
      </c>
      <c r="H135" s="69">
        <f>SUMPRODUCT(Scenarios3[[#This Row],[SPY]:[PE]],_xlfn.TOROW(AssetSpecsScenario3[Annualized Return]))</f>
        <v>7.36112446107101E-2</v>
      </c>
      <c r="I135" s="69" cm="1">
        <f t="array" ref="I135">SQRT(MMULT(MMULT(Scenarios3[[#This Row],[SPY]:[PE]], 'Corr_Cov 36- Month'!$J$13:$N$17), TRANSPOSE(Scenarios3[[#This Row],[SPY]:[PE]])))</f>
        <v>6.9895718523983838E-2</v>
      </c>
      <c r="J135" s="70">
        <f>(Scenarios3[[#This Row],[Expected Return]]-RiskFree)/Scenarios3[[#This Row],[36M Vol]]</f>
        <v>0.38064833750904414</v>
      </c>
      <c r="K135" s="107" cm="1">
        <f t="array" ref="K135">MIN(_xlfn._xlws.FILTER(PortfolioFrontier[#Data],(PortfolioFrontier[#Headers]="P"&amp;Scenarios3[[#This Row],[Reference '#]]&amp;" DD")))</f>
        <v>-0.15692283600631585</v>
      </c>
      <c r="L135" s="69">
        <f>SUM(Scenarios3[[#This Row],[SPY]:[VNQ]])</f>
        <v>0.85</v>
      </c>
      <c r="M135" s="69">
        <f>SUM(Scenarios3[[#This Row],[SPY]:[PE]])</f>
        <v>1</v>
      </c>
      <c r="N135" s="71" t="b">
        <f>Scenarios3[[#This Row],[SPY]]&gt;=SpyMin</f>
        <v>1</v>
      </c>
      <c r="O135" s="71" t="b">
        <f>Scenarios3[[#This Row],[AGG]]&gt;=AGGMin</f>
        <v>1</v>
      </c>
      <c r="P135" s="71" t="b">
        <f>AND(Scenarios3[[#This Row],[GLD]]&gt;=GLDMin,Scenarios3[[#This Row],[GLD]]&lt;=GLDMax)</f>
        <v>1</v>
      </c>
      <c r="Q135" s="71" t="b">
        <f>Scenarios3[[#This Row],[VNQ]]&gt;=VNQMin</f>
        <v>1</v>
      </c>
      <c r="R135" s="71" t="b">
        <f>AND(Scenarios3[[#This Row],[PE]]&gt;=PEMin,Scenarios3[[#This Row],[PE]]&lt;=PEMax)</f>
        <v>1</v>
      </c>
      <c r="S135" s="71" t="b">
        <f>Scenarios3[[#This Row],[Liquid Assets]]&gt;=LiquidMin</f>
        <v>1</v>
      </c>
      <c r="T135" s="71" t="b">
        <f>AND(Scenarios3[[#This Row],[Expected Return]]&gt;=ExpectedReturnMin,Scenarios3[[#This Row],[Expected Return]]&lt;=ExpectedReturnMax)</f>
        <v>0</v>
      </c>
      <c r="U135" s="71" t="b">
        <f>Scenarios3[[#This Row],[Max Drawdown]]&gt;=DrawdownMax</f>
        <v>1</v>
      </c>
      <c r="V13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35" s="46" t="str">
        <f>_xlfn.XLOOKUP(Scenarios3[[#This Row],[Reference '#]],ScenariosCombined[Reference '#],ScenariosCombined[Sharpe Rank])</f>
        <v/>
      </c>
      <c r="X135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3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25/40/10/10/15</v>
      </c>
      <c r="Z135" s="139" t="str">
        <f>_xlfn.XLOOKUP(Scenarios3[[#This Row],[Reference '#]],Scenarios1[Reference '#],Scenarios1[Sharpe Rank])</f>
        <v/>
      </c>
      <c r="AA135" s="139" t="str">
        <f>_xlfn.XLOOKUP(Scenarios3[[#This Row],[Reference '#]],Scenarios2[Reference '#],Scenarios2[Sharpe Rank])</f>
        <v/>
      </c>
      <c r="AB135" s="139" t="str">
        <f>Scenarios3[[#This Row],[Sharpe Rank]]</f>
        <v/>
      </c>
      <c r="AC135"/>
      <c r="AD135"/>
      <c r="AE135"/>
      <c r="AF135"/>
      <c r="AG135"/>
    </row>
    <row r="136" spans="2:37" s="15" customFormat="1" x14ac:dyDescent="0.2">
      <c r="B136" s="71">
        <v>85</v>
      </c>
      <c r="C136" s="69">
        <v>0.3</v>
      </c>
      <c r="D136" s="69">
        <v>0.2</v>
      </c>
      <c r="E136" s="69">
        <v>0.1</v>
      </c>
      <c r="F136" s="69">
        <v>0.3</v>
      </c>
      <c r="G136" s="69">
        <v>0.1</v>
      </c>
      <c r="H136" s="69">
        <f>SUMPRODUCT(Scenarios3[[#This Row],[SPY]:[PE]],_xlfn.TOROW(AssetSpecsScenario3[Annualized Return]))</f>
        <v>8.351750201004865E-2</v>
      </c>
      <c r="I136" s="69" cm="1">
        <f t="array" ref="I136">SQRT(MMULT(MMULT(Scenarios3[[#This Row],[SPY]:[PE]], 'Corr_Cov 36- Month'!$J$13:$N$17), TRANSPOSE(Scenarios3[[#This Row],[SPY]:[PE]])))</f>
        <v>9.6343921654357831E-2</v>
      </c>
      <c r="J136" s="70">
        <f>(Scenarios3[[#This Row],[Expected Return]]-RiskFree)/Scenarios3[[#This Row],[36M Vol]]</f>
        <v>0.37897509077410063</v>
      </c>
      <c r="K136" s="107" cm="1">
        <f t="array" ref="K136">MIN(_xlfn._xlws.FILTER(PortfolioFrontier[#Data],(PortfolioFrontier[#Headers]="P"&amp;Scenarios3[[#This Row],[Reference '#]]&amp;" DD")))</f>
        <v>-0.19931515574132885</v>
      </c>
      <c r="L136" s="69">
        <f>SUM(Scenarios3[[#This Row],[SPY]:[VNQ]])</f>
        <v>0.89999999999999991</v>
      </c>
      <c r="M136" s="69">
        <f>SUM(Scenarios3[[#This Row],[SPY]:[PE]])</f>
        <v>0.99999999999999989</v>
      </c>
      <c r="N136" s="71" t="b">
        <f>Scenarios3[[#This Row],[SPY]]&gt;=SpyMin</f>
        <v>1</v>
      </c>
      <c r="O136" s="71" t="b">
        <f>Scenarios3[[#This Row],[AGG]]&gt;=AGGMin</f>
        <v>1</v>
      </c>
      <c r="P136" s="71" t="b">
        <f>AND(Scenarios3[[#This Row],[GLD]]&gt;=GLDMin,Scenarios3[[#This Row],[GLD]]&lt;=GLDMax)</f>
        <v>1</v>
      </c>
      <c r="Q136" s="71" t="b">
        <f>Scenarios3[[#This Row],[VNQ]]&gt;=VNQMin</f>
        <v>1</v>
      </c>
      <c r="R136" s="71" t="b">
        <f>AND(Scenarios3[[#This Row],[PE]]&gt;=PEMin,Scenarios3[[#This Row],[PE]]&lt;=PEMax)</f>
        <v>1</v>
      </c>
      <c r="S136" s="71" t="b">
        <f>Scenarios3[[#This Row],[Liquid Assets]]&gt;=LiquidMin</f>
        <v>1</v>
      </c>
      <c r="T136" s="71" t="b">
        <f>AND(Scenarios3[[#This Row],[Expected Return]]&gt;=ExpectedReturnMin,Scenarios3[[#This Row],[Expected Return]]&lt;=ExpectedReturnMax)</f>
        <v>1</v>
      </c>
      <c r="U136" s="71" t="b">
        <f>Scenarios3[[#This Row],[Max Drawdown]]&gt;=DrawdownMax</f>
        <v>1</v>
      </c>
      <c r="V13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6" s="46">
        <f>_xlfn.XLOOKUP(Scenarios3[[#This Row],[Reference '#]],ScenariosCombined[Reference '#],ScenariosCombined[Sharpe Rank])</f>
        <v>109</v>
      </c>
      <c r="X136" s="44">
        <f>IF(Scenarios3[[#This Row],[Eligible]],COUNTIFS(Scenarios3[Sharpe],"&gt;"&amp;Scenarios3[[#This Row],[Sharpe]],Scenarios3[Eligible],TRUE())+COUNTIFS(Scenarios3[Sharpe],Scenarios3[[#This Row],[Sharpe]],Scenarios3[Eligible],TRUE()),"")</f>
        <v>104</v>
      </c>
      <c r="Y13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30/20/10/30/10</v>
      </c>
      <c r="Z136" s="139">
        <f>_xlfn.XLOOKUP(Scenarios3[[#This Row],[Reference '#]],Scenarios1[Reference '#],Scenarios1[Sharpe Rank])</f>
        <v>105</v>
      </c>
      <c r="AA136" s="139">
        <f>_xlfn.XLOOKUP(Scenarios3[[#This Row],[Reference '#]],Scenarios2[Reference '#],Scenarios2[Sharpe Rank])</f>
        <v>104</v>
      </c>
      <c r="AB136" s="139">
        <f>Scenarios3[[#This Row],[Sharpe Rank]]</f>
        <v>104</v>
      </c>
      <c r="AC136"/>
      <c r="AD136"/>
      <c r="AE136"/>
      <c r="AF136"/>
      <c r="AG136"/>
    </row>
    <row r="137" spans="2:37" s="15" customFormat="1" x14ac:dyDescent="0.2">
      <c r="B137" s="71">
        <v>127</v>
      </c>
      <c r="C137" s="69">
        <v>0.25</v>
      </c>
      <c r="D137" s="69">
        <v>0.2</v>
      </c>
      <c r="E137" s="69">
        <v>0.15</v>
      </c>
      <c r="F137" s="69">
        <v>0.3</v>
      </c>
      <c r="G137" s="69">
        <v>0.1</v>
      </c>
      <c r="H137" s="69">
        <f>SUMPRODUCT(Scenarios3[[#This Row],[SPY]:[PE]],_xlfn.TOROW(AssetSpecsScenario3[Annualized Return]))</f>
        <v>8.2409727236279484E-2</v>
      </c>
      <c r="I137" s="69" cm="1">
        <f t="array" ref="I137">SQRT(MMULT(MMULT(Scenarios3[[#This Row],[SPY]:[PE]], 'Corr_Cov 36- Month'!$J$13:$N$17), TRANSPOSE(Scenarios3[[#This Row],[SPY]:[PE]])))</f>
        <v>9.3554842778208525E-2</v>
      </c>
      <c r="J137" s="70">
        <f>(Scenarios3[[#This Row],[Expected Return]]-RiskFree)/Scenarios3[[#This Row],[36M Vol]]</f>
        <v>0.37843227169604665</v>
      </c>
      <c r="K137" s="107" cm="1">
        <f t="array" ref="K137">MIN(_xlfn._xlws.FILTER(PortfolioFrontier[#Data],(PortfolioFrontier[#Headers]="P"&amp;Scenarios3[[#This Row],[Reference '#]]&amp;" DD")))</f>
        <v>-0.19209090006663587</v>
      </c>
      <c r="L137" s="69">
        <f>SUM(Scenarios3[[#This Row],[SPY]:[VNQ]])</f>
        <v>0.89999999999999991</v>
      </c>
      <c r="M137" s="69">
        <f>SUM(Scenarios3[[#This Row],[SPY]:[PE]])</f>
        <v>0.99999999999999989</v>
      </c>
      <c r="N137" s="71" t="b">
        <f>Scenarios3[[#This Row],[SPY]]&gt;=SpyMin</f>
        <v>1</v>
      </c>
      <c r="O137" s="71" t="b">
        <f>Scenarios3[[#This Row],[AGG]]&gt;=AGGMin</f>
        <v>1</v>
      </c>
      <c r="P137" s="71" t="b">
        <f>AND(Scenarios3[[#This Row],[GLD]]&gt;=GLDMin,Scenarios3[[#This Row],[GLD]]&lt;=GLDMax)</f>
        <v>1</v>
      </c>
      <c r="Q137" s="71" t="b">
        <f>Scenarios3[[#This Row],[VNQ]]&gt;=VNQMin</f>
        <v>1</v>
      </c>
      <c r="R137" s="71" t="b">
        <f>AND(Scenarios3[[#This Row],[PE]]&gt;=PEMin,Scenarios3[[#This Row],[PE]]&lt;=PEMax)</f>
        <v>1</v>
      </c>
      <c r="S137" s="71" t="b">
        <f>Scenarios3[[#This Row],[Liquid Assets]]&gt;=LiquidMin</f>
        <v>1</v>
      </c>
      <c r="T137" s="71" t="b">
        <f>AND(Scenarios3[[#This Row],[Expected Return]]&gt;=ExpectedReturnMin,Scenarios3[[#This Row],[Expected Return]]&lt;=ExpectedReturnMax)</f>
        <v>1</v>
      </c>
      <c r="U137" s="71" t="b">
        <f>Scenarios3[[#This Row],[Max Drawdown]]&gt;=DrawdownMax</f>
        <v>1</v>
      </c>
      <c r="V13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7" s="46">
        <f>_xlfn.XLOOKUP(Scenarios3[[#This Row],[Reference '#]],ScenariosCombined[Reference '#],ScenariosCombined[Sharpe Rank])</f>
        <v>110</v>
      </c>
      <c r="X137" s="44">
        <f>IF(Scenarios3[[#This Row],[Eligible]],COUNTIFS(Scenarios3[Sharpe],"&gt;"&amp;Scenarios3[[#This Row],[Sharpe]],Scenarios3[Eligible],TRUE())+COUNTIFS(Scenarios3[Sharpe],Scenarios3[[#This Row],[Sharpe]],Scenarios3[Eligible],TRUE()),"")</f>
        <v>105</v>
      </c>
      <c r="Y13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25/20/15/30/10</v>
      </c>
      <c r="Z137" s="139">
        <f>_xlfn.XLOOKUP(Scenarios3[[#This Row],[Reference '#]],Scenarios1[Reference '#],Scenarios1[Sharpe Rank])</f>
        <v>106</v>
      </c>
      <c r="AA137" s="139">
        <f>_xlfn.XLOOKUP(Scenarios3[[#This Row],[Reference '#]],Scenarios2[Reference '#],Scenarios2[Sharpe Rank])</f>
        <v>105</v>
      </c>
      <c r="AB137" s="139">
        <f>Scenarios3[[#This Row],[Sharpe Rank]]</f>
        <v>105</v>
      </c>
      <c r="AC137"/>
      <c r="AD137"/>
      <c r="AE137"/>
      <c r="AF137"/>
      <c r="AG137"/>
    </row>
    <row r="138" spans="2:37" s="15" customFormat="1" x14ac:dyDescent="0.2">
      <c r="B138" s="71">
        <v>105</v>
      </c>
      <c r="C138" s="69">
        <v>0.25</v>
      </c>
      <c r="D138" s="69">
        <v>0.35</v>
      </c>
      <c r="E138" s="69">
        <v>0.1</v>
      </c>
      <c r="F138" s="69">
        <v>0.15</v>
      </c>
      <c r="G138" s="69">
        <v>0.15</v>
      </c>
      <c r="H138" s="69">
        <f>SUMPRODUCT(Scenarios3[[#This Row],[SPY]:[PE]],_xlfn.TOROW(AssetSpecsScenario3[Annualized Return]))</f>
        <v>7.5194983956873573E-2</v>
      </c>
      <c r="I138" s="69" cm="1">
        <f t="array" ref="I138">SQRT(MMULT(MMULT(Scenarios3[[#This Row],[SPY]:[PE]], 'Corr_Cov 36- Month'!$J$13:$N$17), TRANSPOSE(Scenarios3[[#This Row],[SPY]:[PE]])))</f>
        <v>7.4967389470339485E-2</v>
      </c>
      <c r="J138" s="70">
        <f>(Scenarios3[[#This Row],[Expected Return]]-RiskFree)/Scenarios3[[#This Row],[36M Vol]]</f>
        <v>0.37602254260795681</v>
      </c>
      <c r="K138" s="107" cm="1">
        <f t="array" ref="K138">MIN(_xlfn._xlws.FILTER(PortfolioFrontier[#Data],(PortfolioFrontier[#Headers]="P"&amp;Scenarios3[[#This Row],[Reference '#]]&amp;" DD")))</f>
        <v>-0.16466692181154297</v>
      </c>
      <c r="L138" s="69">
        <f>SUM(Scenarios3[[#This Row],[SPY]:[VNQ]])</f>
        <v>0.85</v>
      </c>
      <c r="M138" s="69">
        <f>SUM(Scenarios3[[#This Row],[SPY]:[PE]])</f>
        <v>1</v>
      </c>
      <c r="N138" s="71" t="b">
        <f>Scenarios3[[#This Row],[SPY]]&gt;=SpyMin</f>
        <v>1</v>
      </c>
      <c r="O138" s="71" t="b">
        <f>Scenarios3[[#This Row],[AGG]]&gt;=AGGMin</f>
        <v>1</v>
      </c>
      <c r="P138" s="71" t="b">
        <f>AND(Scenarios3[[#This Row],[GLD]]&gt;=GLDMin,Scenarios3[[#This Row],[GLD]]&lt;=GLDMax)</f>
        <v>1</v>
      </c>
      <c r="Q138" s="71" t="b">
        <f>Scenarios3[[#This Row],[VNQ]]&gt;=VNQMin</f>
        <v>1</v>
      </c>
      <c r="R138" s="71" t="b">
        <f>AND(Scenarios3[[#This Row],[PE]]&gt;=PEMin,Scenarios3[[#This Row],[PE]]&lt;=PEMax)</f>
        <v>1</v>
      </c>
      <c r="S138" s="71" t="b">
        <f>Scenarios3[[#This Row],[Liquid Assets]]&gt;=LiquidMin</f>
        <v>1</v>
      </c>
      <c r="T138" s="71" t="b">
        <f>AND(Scenarios3[[#This Row],[Expected Return]]&gt;=ExpectedReturnMin,Scenarios3[[#This Row],[Expected Return]]&lt;=ExpectedReturnMax)</f>
        <v>1</v>
      </c>
      <c r="U138" s="71" t="b">
        <f>Scenarios3[[#This Row],[Max Drawdown]]&gt;=DrawdownMax</f>
        <v>1</v>
      </c>
      <c r="V13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38" s="46" t="str">
        <f>_xlfn.XLOOKUP(Scenarios3[[#This Row],[Reference '#]],ScenariosCombined[Reference '#],ScenariosCombined[Sharpe Rank])</f>
        <v/>
      </c>
      <c r="X138" s="44">
        <f>IF(Scenarios3[[#This Row],[Eligible]],COUNTIFS(Scenarios3[Sharpe],"&gt;"&amp;Scenarios3[[#This Row],[Sharpe]],Scenarios3[Eligible],TRUE())+COUNTIFS(Scenarios3[Sharpe],Scenarios3[[#This Row],[Sharpe]],Scenarios3[Eligible],TRUE()),"")</f>
        <v>106</v>
      </c>
      <c r="Y13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25/35/10/15/15</v>
      </c>
      <c r="Z138" s="139" t="str">
        <f>_xlfn.XLOOKUP(Scenarios3[[#This Row],[Reference '#]],Scenarios1[Reference '#],Scenarios1[Sharpe Rank])</f>
        <v/>
      </c>
      <c r="AA138" s="139" t="str">
        <f>_xlfn.XLOOKUP(Scenarios3[[#This Row],[Reference '#]],Scenarios2[Reference '#],Scenarios2[Sharpe Rank])</f>
        <v/>
      </c>
      <c r="AB138" s="139">
        <f>Scenarios3[[#This Row],[Sharpe Rank]]</f>
        <v>106</v>
      </c>
      <c r="AC138"/>
      <c r="AD138"/>
      <c r="AE138"/>
      <c r="AF138"/>
      <c r="AG138"/>
    </row>
    <row r="139" spans="2:37" s="15" customFormat="1" x14ac:dyDescent="0.2">
      <c r="B139" s="71">
        <v>94</v>
      </c>
      <c r="C139" s="69">
        <v>0.3</v>
      </c>
      <c r="D139" s="69">
        <v>0.15</v>
      </c>
      <c r="E139" s="69">
        <v>0.1</v>
      </c>
      <c r="F139" s="69">
        <v>0.35</v>
      </c>
      <c r="G139" s="69">
        <v>0.1</v>
      </c>
      <c r="H139" s="69">
        <f>SUMPRODUCT(Scenarios3[[#This Row],[SPY]:[PE]],_xlfn.TOROW(AssetSpecsScenario3[Annualized Return]))</f>
        <v>8.510124135621211E-2</v>
      </c>
      <c r="I139" s="69" cm="1">
        <f t="array" ref="I139">SQRT(MMULT(MMULT(Scenarios3[[#This Row],[SPY]:[PE]], 'Corr_Cov 36- Month'!$J$13:$N$17), TRANSPOSE(Scenarios3[[#This Row],[SPY]:[PE]])))</f>
        <v>0.10209152638113109</v>
      </c>
      <c r="J139" s="70">
        <f>(Scenarios3[[#This Row],[Expected Return]]-RiskFree)/Scenarios3[[#This Row],[36M Vol]]</f>
        <v>0.3731522796361828</v>
      </c>
      <c r="K139" s="107" cm="1">
        <f t="array" ref="K139">MIN(_xlfn._xlws.FILTER(PortfolioFrontier[#Data],(PortfolioFrontier[#Headers]="P"&amp;Scenarios3[[#This Row],[Reference '#]]&amp;" DD")))</f>
        <v>-0.20701358240872292</v>
      </c>
      <c r="L139" s="69">
        <f>SUM(Scenarios3[[#This Row],[SPY]:[VNQ]])</f>
        <v>0.89999999999999991</v>
      </c>
      <c r="M139" s="69">
        <f>SUM(Scenarios3[[#This Row],[SPY]:[PE]])</f>
        <v>0.99999999999999989</v>
      </c>
      <c r="N139" s="71" t="b">
        <f>Scenarios3[[#This Row],[SPY]]&gt;=SpyMin</f>
        <v>1</v>
      </c>
      <c r="O139" s="71" t="b">
        <f>Scenarios3[[#This Row],[AGG]]&gt;=AGGMin</f>
        <v>1</v>
      </c>
      <c r="P139" s="71" t="b">
        <f>AND(Scenarios3[[#This Row],[GLD]]&gt;=GLDMin,Scenarios3[[#This Row],[GLD]]&lt;=GLDMax)</f>
        <v>1</v>
      </c>
      <c r="Q139" s="71" t="b">
        <f>Scenarios3[[#This Row],[VNQ]]&gt;=VNQMin</f>
        <v>1</v>
      </c>
      <c r="R139" s="71" t="b">
        <f>AND(Scenarios3[[#This Row],[PE]]&gt;=PEMin,Scenarios3[[#This Row],[PE]]&lt;=PEMax)</f>
        <v>1</v>
      </c>
      <c r="S139" s="71" t="b">
        <f>Scenarios3[[#This Row],[Liquid Assets]]&gt;=LiquidMin</f>
        <v>1</v>
      </c>
      <c r="T139" s="71" t="b">
        <f>AND(Scenarios3[[#This Row],[Expected Return]]&gt;=ExpectedReturnMin,Scenarios3[[#This Row],[Expected Return]]&lt;=ExpectedReturnMax)</f>
        <v>1</v>
      </c>
      <c r="U139" s="71" t="b">
        <f>Scenarios3[[#This Row],[Max Drawdown]]&gt;=DrawdownMax</f>
        <v>0</v>
      </c>
      <c r="V13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39" s="46" t="str">
        <f>_xlfn.XLOOKUP(Scenarios3[[#This Row],[Reference '#]],ScenariosCombined[Reference '#],ScenariosCombined[Sharpe Rank])</f>
        <v/>
      </c>
      <c r="X139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3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30/15/10/35/10</v>
      </c>
      <c r="Z139" s="139" t="str">
        <f>_xlfn.XLOOKUP(Scenarios3[[#This Row],[Reference '#]],Scenarios1[Reference '#],Scenarios1[Sharpe Rank])</f>
        <v/>
      </c>
      <c r="AA139" s="139" t="str">
        <f>_xlfn.XLOOKUP(Scenarios3[[#This Row],[Reference '#]],Scenarios2[Reference '#],Scenarios2[Sharpe Rank])</f>
        <v/>
      </c>
      <c r="AB139" s="139" t="str">
        <f>Scenarios3[[#This Row],[Sharpe Rank]]</f>
        <v/>
      </c>
      <c r="AC139"/>
      <c r="AD139"/>
      <c r="AE139"/>
      <c r="AF139"/>
      <c r="AG139"/>
    </row>
    <row r="140" spans="2:37" s="15" customFormat="1" x14ac:dyDescent="0.2">
      <c r="B140" s="71">
        <v>136</v>
      </c>
      <c r="C140" s="69">
        <v>0.25</v>
      </c>
      <c r="D140" s="69">
        <v>0.15</v>
      </c>
      <c r="E140" s="69">
        <v>0.15</v>
      </c>
      <c r="F140" s="69">
        <v>0.35</v>
      </c>
      <c r="G140" s="69">
        <v>0.1</v>
      </c>
      <c r="H140" s="69">
        <f>SUMPRODUCT(Scenarios3[[#This Row],[SPY]:[PE]],_xlfn.TOROW(AssetSpecsScenario3[Annualized Return]))</f>
        <v>8.3993466582442958E-2</v>
      </c>
      <c r="I140" s="69" cm="1">
        <f t="array" ref="I140">SQRT(MMULT(MMULT(Scenarios3[[#This Row],[SPY]:[PE]], 'Corr_Cov 36- Month'!$J$13:$N$17), TRANSPOSE(Scenarios3[[#This Row],[SPY]:[PE]])))</f>
        <v>9.9228577762732639E-2</v>
      </c>
      <c r="J140" s="70">
        <f>(Scenarios3[[#This Row],[Expected Return]]-RiskFree)/Scenarios3[[#This Row],[36M Vol]]</f>
        <v>0.3727546223158606</v>
      </c>
      <c r="K140" s="107" cm="1">
        <f t="array" ref="K140">MIN(_xlfn._xlws.FILTER(PortfolioFrontier[#Data],(PortfolioFrontier[#Headers]="P"&amp;Scenarios3[[#This Row],[Reference '#]]&amp;" DD")))</f>
        <v>-0.19981007336081691</v>
      </c>
      <c r="L140" s="69">
        <f>SUM(Scenarios3[[#This Row],[SPY]:[VNQ]])</f>
        <v>0.9</v>
      </c>
      <c r="M140" s="69">
        <f>SUM(Scenarios3[[#This Row],[SPY]:[PE]])</f>
        <v>1</v>
      </c>
      <c r="N140" s="71" t="b">
        <f>Scenarios3[[#This Row],[SPY]]&gt;=SpyMin</f>
        <v>1</v>
      </c>
      <c r="O140" s="71" t="b">
        <f>Scenarios3[[#This Row],[AGG]]&gt;=AGGMin</f>
        <v>1</v>
      </c>
      <c r="P140" s="71" t="b">
        <f>AND(Scenarios3[[#This Row],[GLD]]&gt;=GLDMin,Scenarios3[[#This Row],[GLD]]&lt;=GLDMax)</f>
        <v>1</v>
      </c>
      <c r="Q140" s="71" t="b">
        <f>Scenarios3[[#This Row],[VNQ]]&gt;=VNQMin</f>
        <v>1</v>
      </c>
      <c r="R140" s="71" t="b">
        <f>AND(Scenarios3[[#This Row],[PE]]&gt;=PEMin,Scenarios3[[#This Row],[PE]]&lt;=PEMax)</f>
        <v>1</v>
      </c>
      <c r="S140" s="71" t="b">
        <f>Scenarios3[[#This Row],[Liquid Assets]]&gt;=LiquidMin</f>
        <v>1</v>
      </c>
      <c r="T140" s="71" t="b">
        <f>AND(Scenarios3[[#This Row],[Expected Return]]&gt;=ExpectedReturnMin,Scenarios3[[#This Row],[Expected Return]]&lt;=ExpectedReturnMax)</f>
        <v>1</v>
      </c>
      <c r="U140" s="71" t="b">
        <f>Scenarios3[[#This Row],[Max Drawdown]]&gt;=DrawdownMax</f>
        <v>1</v>
      </c>
      <c r="V14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40" s="46">
        <f>_xlfn.XLOOKUP(Scenarios3[[#This Row],[Reference '#]],ScenariosCombined[Reference '#],ScenariosCombined[Sharpe Rank])</f>
        <v>111</v>
      </c>
      <c r="X140" s="44">
        <f>IF(Scenarios3[[#This Row],[Eligible]],COUNTIFS(Scenarios3[Sharpe],"&gt;"&amp;Scenarios3[[#This Row],[Sharpe]],Scenarios3[Eligible],TRUE())+COUNTIFS(Scenarios3[Sharpe],Scenarios3[[#This Row],[Sharpe]],Scenarios3[Eligible],TRUE()),"")</f>
        <v>107</v>
      </c>
      <c r="Y14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25/15/15/35/10</v>
      </c>
      <c r="Z140" s="139">
        <f>_xlfn.XLOOKUP(Scenarios3[[#This Row],[Reference '#]],Scenarios1[Reference '#],Scenarios1[Sharpe Rank])</f>
        <v>107</v>
      </c>
      <c r="AA140" s="139">
        <f>_xlfn.XLOOKUP(Scenarios3[[#This Row],[Reference '#]],Scenarios2[Reference '#],Scenarios2[Sharpe Rank])</f>
        <v>107</v>
      </c>
      <c r="AB140" s="139">
        <f>Scenarios3[[#This Row],[Sharpe Rank]]</f>
        <v>107</v>
      </c>
      <c r="AC140"/>
      <c r="AD140"/>
      <c r="AE140"/>
      <c r="AF140"/>
      <c r="AG140"/>
    </row>
    <row r="141" spans="2:37" s="15" customFormat="1" x14ac:dyDescent="0.2">
      <c r="B141" s="71">
        <v>113</v>
      </c>
      <c r="C141" s="69">
        <v>0.25</v>
      </c>
      <c r="D141" s="69">
        <v>0.3</v>
      </c>
      <c r="E141" s="69">
        <v>0.1</v>
      </c>
      <c r="F141" s="69">
        <v>0.2</v>
      </c>
      <c r="G141" s="69">
        <v>0.15</v>
      </c>
      <c r="H141" s="69">
        <f>SUMPRODUCT(Scenarios3[[#This Row],[SPY]:[PE]],_xlfn.TOROW(AssetSpecsScenario3[Annualized Return]))</f>
        <v>7.6778723303037047E-2</v>
      </c>
      <c r="I141" s="69" cm="1">
        <f t="array" ref="I141">SQRT(MMULT(MMULT(Scenarios3[[#This Row],[SPY]:[PE]], 'Corr_Cov 36- Month'!$J$13:$N$17), TRANSPOSE(Scenarios3[[#This Row],[SPY]:[PE]])))</f>
        <v>8.0260310412350544E-2</v>
      </c>
      <c r="J141" s="70">
        <f>(Scenarios3[[#This Row],[Expected Return]]-RiskFree)/Scenarios3[[#This Row],[36M Vol]]</f>
        <v>0.37095754544826642</v>
      </c>
      <c r="K141" s="107" cm="1">
        <f t="array" ref="K141">MIN(_xlfn._xlws.FILTER(PortfolioFrontier[#Data],(PortfolioFrontier[#Headers]="P"&amp;Scenarios3[[#This Row],[Reference '#]]&amp;" DD")))</f>
        <v>-0.17241133098208905</v>
      </c>
      <c r="L141" s="69">
        <f>SUM(Scenarios3[[#This Row],[SPY]:[VNQ]])</f>
        <v>0.85000000000000009</v>
      </c>
      <c r="M141" s="69">
        <f>SUM(Scenarios3[[#This Row],[SPY]:[PE]])</f>
        <v>1</v>
      </c>
      <c r="N141" s="71" t="b">
        <f>Scenarios3[[#This Row],[SPY]]&gt;=SpyMin</f>
        <v>1</v>
      </c>
      <c r="O141" s="71" t="b">
        <f>Scenarios3[[#This Row],[AGG]]&gt;=AGGMin</f>
        <v>1</v>
      </c>
      <c r="P141" s="71" t="b">
        <f>AND(Scenarios3[[#This Row],[GLD]]&gt;=GLDMin,Scenarios3[[#This Row],[GLD]]&lt;=GLDMax)</f>
        <v>1</v>
      </c>
      <c r="Q141" s="71" t="b">
        <f>Scenarios3[[#This Row],[VNQ]]&gt;=VNQMin</f>
        <v>1</v>
      </c>
      <c r="R141" s="71" t="b">
        <f>AND(Scenarios3[[#This Row],[PE]]&gt;=PEMin,Scenarios3[[#This Row],[PE]]&lt;=PEMax)</f>
        <v>1</v>
      </c>
      <c r="S141" s="71" t="b">
        <f>Scenarios3[[#This Row],[Liquid Assets]]&gt;=LiquidMin</f>
        <v>1</v>
      </c>
      <c r="T141" s="71" t="b">
        <f>AND(Scenarios3[[#This Row],[Expected Return]]&gt;=ExpectedReturnMin,Scenarios3[[#This Row],[Expected Return]]&lt;=ExpectedReturnMax)</f>
        <v>1</v>
      </c>
      <c r="U141" s="71" t="b">
        <f>Scenarios3[[#This Row],[Max Drawdown]]&gt;=DrawdownMax</f>
        <v>1</v>
      </c>
      <c r="V141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41" s="46" t="str">
        <f>_xlfn.XLOOKUP(Scenarios3[[#This Row],[Reference '#]],ScenariosCombined[Reference '#],ScenariosCombined[Sharpe Rank])</f>
        <v/>
      </c>
      <c r="X141" s="44">
        <f>IF(Scenarios3[[#This Row],[Eligible]],COUNTIFS(Scenarios3[Sharpe],"&gt;"&amp;Scenarios3[[#This Row],[Sharpe]],Scenarios3[Eligible],TRUE())+COUNTIFS(Scenarios3[Sharpe],Scenarios3[[#This Row],[Sharpe]],Scenarios3[Eligible],TRUE()),"")</f>
        <v>108</v>
      </c>
      <c r="Y141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25/30/10/20/15</v>
      </c>
      <c r="Z141" s="139" t="str">
        <f>_xlfn.XLOOKUP(Scenarios3[[#This Row],[Reference '#]],Scenarios1[Reference '#],Scenarios1[Sharpe Rank])</f>
        <v/>
      </c>
      <c r="AA141" s="139" t="str">
        <f>_xlfn.XLOOKUP(Scenarios3[[#This Row],[Reference '#]],Scenarios2[Reference '#],Scenarios2[Sharpe Rank])</f>
        <v/>
      </c>
      <c r="AB141" s="139">
        <f>Scenarios3[[#This Row],[Sharpe Rank]]</f>
        <v>108</v>
      </c>
      <c r="AC141"/>
      <c r="AD141"/>
      <c r="AE141"/>
      <c r="AF141"/>
      <c r="AG141"/>
    </row>
    <row r="142" spans="2:37" s="15" customFormat="1" x14ac:dyDescent="0.2">
      <c r="B142" s="71">
        <v>122</v>
      </c>
      <c r="C142" s="69">
        <v>0.25</v>
      </c>
      <c r="D142" s="69">
        <v>0.25</v>
      </c>
      <c r="E142" s="69">
        <v>0.1</v>
      </c>
      <c r="F142" s="69">
        <v>0.25</v>
      </c>
      <c r="G142" s="69">
        <v>0.15</v>
      </c>
      <c r="H142" s="69">
        <f>SUMPRODUCT(Scenarios3[[#This Row],[SPY]:[PE]],_xlfn.TOROW(AssetSpecsScenario3[Annualized Return]))</f>
        <v>7.8362462649200507E-2</v>
      </c>
      <c r="I142" s="69" cm="1">
        <f t="array" ref="I142">SQRT(MMULT(MMULT(Scenarios3[[#This Row],[SPY]:[PE]], 'Corr_Cov 36- Month'!$J$13:$N$17), TRANSPOSE(Scenarios3[[#This Row],[SPY]:[PE]])))</f>
        <v>8.573351327486739E-2</v>
      </c>
      <c r="J142" s="70">
        <f>(Scenarios3[[#This Row],[Expected Return]]-RiskFree)/Scenarios3[[#This Row],[36M Vol]]</f>
        <v>0.3657485374839663</v>
      </c>
      <c r="K142" s="107" cm="1">
        <f t="array" ref="K142">MIN(_xlfn._xlws.FILTER(PortfolioFrontier[#Data],(PortfolioFrontier[#Headers]="P"&amp;Scenarios3[[#This Row],[Reference '#]]&amp;" DD")))</f>
        <v>-0.18015492357456253</v>
      </c>
      <c r="L142" s="69">
        <f>SUM(Scenarios3[[#This Row],[SPY]:[VNQ]])</f>
        <v>0.85</v>
      </c>
      <c r="M142" s="69">
        <f>SUM(Scenarios3[[#This Row],[SPY]:[PE]])</f>
        <v>1</v>
      </c>
      <c r="N142" s="71" t="b">
        <f>Scenarios3[[#This Row],[SPY]]&gt;=SpyMin</f>
        <v>1</v>
      </c>
      <c r="O142" s="71" t="b">
        <f>Scenarios3[[#This Row],[AGG]]&gt;=AGGMin</f>
        <v>1</v>
      </c>
      <c r="P142" s="71" t="b">
        <f>AND(Scenarios3[[#This Row],[GLD]]&gt;=GLDMin,Scenarios3[[#This Row],[GLD]]&lt;=GLDMax)</f>
        <v>1</v>
      </c>
      <c r="Q142" s="71" t="b">
        <f>Scenarios3[[#This Row],[VNQ]]&gt;=VNQMin</f>
        <v>1</v>
      </c>
      <c r="R142" s="71" t="b">
        <f>AND(Scenarios3[[#This Row],[PE]]&gt;=PEMin,Scenarios3[[#This Row],[PE]]&lt;=PEMax)</f>
        <v>1</v>
      </c>
      <c r="S142" s="71" t="b">
        <f>Scenarios3[[#This Row],[Liquid Assets]]&gt;=LiquidMin</f>
        <v>1</v>
      </c>
      <c r="T142" s="71" t="b">
        <f>AND(Scenarios3[[#This Row],[Expected Return]]&gt;=ExpectedReturnMin,Scenarios3[[#This Row],[Expected Return]]&lt;=ExpectedReturnMax)</f>
        <v>1</v>
      </c>
      <c r="U142" s="71" t="b">
        <f>Scenarios3[[#This Row],[Max Drawdown]]&gt;=DrawdownMax</f>
        <v>1</v>
      </c>
      <c r="V142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42" s="46">
        <f>_xlfn.XLOOKUP(Scenarios3[[#This Row],[Reference '#]],ScenariosCombined[Reference '#],ScenariosCombined[Sharpe Rank])</f>
        <v>112</v>
      </c>
      <c r="X142" s="44">
        <f>IF(Scenarios3[[#This Row],[Eligible]],COUNTIFS(Scenarios3[Sharpe],"&gt;"&amp;Scenarios3[[#This Row],[Sharpe]],Scenarios3[Eligible],TRUE())+COUNTIFS(Scenarios3[Sharpe],Scenarios3[[#This Row],[Sharpe]],Scenarios3[Eligible],TRUE()),"")</f>
        <v>109</v>
      </c>
      <c r="Y142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25/25/10/25/15</v>
      </c>
      <c r="Z142" s="139" t="str">
        <f>_xlfn.XLOOKUP(Scenarios3[[#This Row],[Reference '#]],Scenarios1[Reference '#],Scenarios1[Sharpe Rank])</f>
        <v/>
      </c>
      <c r="AA142" s="139" t="str">
        <f>_xlfn.XLOOKUP(Scenarios3[[#This Row],[Reference '#]],Scenarios2[Reference '#],Scenarios2[Sharpe Rank])</f>
        <v/>
      </c>
      <c r="AB142" s="139">
        <f>Scenarios3[[#This Row],[Sharpe Rank]]</f>
        <v>109</v>
      </c>
      <c r="AC142"/>
      <c r="AD142"/>
      <c r="AE142"/>
      <c r="AF142"/>
      <c r="AG142"/>
    </row>
    <row r="143" spans="2:37" s="15" customFormat="1" x14ac:dyDescent="0.2">
      <c r="B143" s="71">
        <v>131</v>
      </c>
      <c r="C143" s="69">
        <v>0.25</v>
      </c>
      <c r="D143" s="69">
        <v>0.2</v>
      </c>
      <c r="E143" s="69">
        <v>0.1</v>
      </c>
      <c r="F143" s="69">
        <v>0.3</v>
      </c>
      <c r="G143" s="69">
        <v>0.15</v>
      </c>
      <c r="H143" s="69">
        <f>SUMPRODUCT(Scenarios3[[#This Row],[SPY]:[PE]],_xlfn.TOROW(AssetSpecsScenario3[Annualized Return]))</f>
        <v>7.994620199536398E-2</v>
      </c>
      <c r="I143" s="69" cm="1">
        <f t="array" ref="I143">SQRT(MMULT(MMULT(Scenarios3[[#This Row],[SPY]:[PE]], 'Corr_Cov 36- Month'!$J$13:$N$17), TRANSPOSE(Scenarios3[[#This Row],[SPY]:[PE]])))</f>
        <v>9.1354600852352072E-2</v>
      </c>
      <c r="J143" s="70">
        <f>(Scenarios3[[#This Row],[Expected Return]]-RiskFree)/Scenarios3[[#This Row],[36M Vol]]</f>
        <v>0.36058004886964945</v>
      </c>
      <c r="K143" s="107" cm="1">
        <f t="array" ref="K143">MIN(_xlfn._xlws.FILTER(PortfolioFrontier[#Data],(PortfolioFrontier[#Headers]="P"&amp;Scenarios3[[#This Row],[Reference '#]]&amp;" DD")))</f>
        <v>-0.18789657190822107</v>
      </c>
      <c r="L143" s="69">
        <f>SUM(Scenarios3[[#This Row],[SPY]:[VNQ]])</f>
        <v>0.85000000000000009</v>
      </c>
      <c r="M143" s="69">
        <f>SUM(Scenarios3[[#This Row],[SPY]:[PE]])</f>
        <v>1</v>
      </c>
      <c r="N143" s="71" t="b">
        <f>Scenarios3[[#This Row],[SPY]]&gt;=SpyMin</f>
        <v>1</v>
      </c>
      <c r="O143" s="71" t="b">
        <f>Scenarios3[[#This Row],[AGG]]&gt;=AGGMin</f>
        <v>1</v>
      </c>
      <c r="P143" s="71" t="b">
        <f>AND(Scenarios3[[#This Row],[GLD]]&gt;=GLDMin,Scenarios3[[#This Row],[GLD]]&lt;=GLDMax)</f>
        <v>1</v>
      </c>
      <c r="Q143" s="71" t="b">
        <f>Scenarios3[[#This Row],[VNQ]]&gt;=VNQMin</f>
        <v>1</v>
      </c>
      <c r="R143" s="71" t="b">
        <f>AND(Scenarios3[[#This Row],[PE]]&gt;=PEMin,Scenarios3[[#This Row],[PE]]&lt;=PEMax)</f>
        <v>1</v>
      </c>
      <c r="S143" s="71" t="b">
        <f>Scenarios3[[#This Row],[Liquid Assets]]&gt;=LiquidMin</f>
        <v>1</v>
      </c>
      <c r="T143" s="71" t="b">
        <f>AND(Scenarios3[[#This Row],[Expected Return]]&gt;=ExpectedReturnMin,Scenarios3[[#This Row],[Expected Return]]&lt;=ExpectedReturnMax)</f>
        <v>1</v>
      </c>
      <c r="U143" s="71" t="b">
        <f>Scenarios3[[#This Row],[Max Drawdown]]&gt;=DrawdownMax</f>
        <v>1</v>
      </c>
      <c r="V143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43" s="46">
        <f>_xlfn.XLOOKUP(Scenarios3[[#This Row],[Reference '#]],ScenariosCombined[Reference '#],ScenariosCombined[Sharpe Rank])</f>
        <v>113</v>
      </c>
      <c r="X143" s="44">
        <f>IF(Scenarios3[[#This Row],[Eligible]],COUNTIFS(Scenarios3[Sharpe],"&gt;"&amp;Scenarios3[[#This Row],[Sharpe]],Scenarios3[Eligible],TRUE())+COUNTIFS(Scenarios3[Sharpe],Scenarios3[[#This Row],[Sharpe]],Scenarios3[Eligible],TRUE()),"")</f>
        <v>110</v>
      </c>
      <c r="Y143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25/20/10/30/15</v>
      </c>
      <c r="Z143" s="139">
        <f>_xlfn.XLOOKUP(Scenarios3[[#This Row],[Reference '#]],Scenarios1[Reference '#],Scenarios1[Sharpe Rank])</f>
        <v>109</v>
      </c>
      <c r="AA143" s="139">
        <f>_xlfn.XLOOKUP(Scenarios3[[#This Row],[Reference '#]],Scenarios2[Reference '#],Scenarios2[Sharpe Rank])</f>
        <v>109</v>
      </c>
      <c r="AB143" s="139">
        <f>Scenarios3[[#This Row],[Sharpe Rank]]</f>
        <v>110</v>
      </c>
      <c r="AC143"/>
      <c r="AD143"/>
      <c r="AE143"/>
      <c r="AF143"/>
      <c r="AG143"/>
    </row>
    <row r="144" spans="2:37" x14ac:dyDescent="0.2">
      <c r="B144" s="71">
        <v>140</v>
      </c>
      <c r="C144" s="69">
        <v>0.25</v>
      </c>
      <c r="D144" s="69">
        <v>0.15</v>
      </c>
      <c r="E144" s="69">
        <v>0.1</v>
      </c>
      <c r="F144" s="69">
        <v>0.35</v>
      </c>
      <c r="G144" s="69">
        <v>0.15</v>
      </c>
      <c r="H144" s="69">
        <f>SUMPRODUCT(Scenarios3[[#This Row],[SPY]:[PE]],_xlfn.TOROW(AssetSpecsScenario3[Annualized Return]))</f>
        <v>8.1529941341527454E-2</v>
      </c>
      <c r="I144" s="69" cm="1">
        <f t="array" ref="I144">SQRT(MMULT(MMULT(Scenarios3[[#This Row],[SPY]:[PE]], 'Corr_Cov 36- Month'!$J$13:$N$17), TRANSPOSE(Scenarios3[[#This Row],[SPY]:[PE]])))</f>
        <v>9.7097892988514276E-2</v>
      </c>
      <c r="J144" s="70">
        <f>(Scenarios3[[#This Row],[Expected Return]]-RiskFree)/Scenarios3[[#This Row],[36M Vol]]</f>
        <v>0.35556266694742594</v>
      </c>
      <c r="K144" s="107" cm="1">
        <f t="array" ref="K144">MIN(_xlfn._xlws.FILTER(PortfolioFrontier[#Data],(PortfolioFrontier[#Headers]="P"&amp;Scenarios3[[#This Row],[Reference '#]]&amp;" DD")))</f>
        <v>-0.19563516063567976</v>
      </c>
      <c r="L144" s="69">
        <f>SUM(Scenarios3[[#This Row],[SPY]:[VNQ]])</f>
        <v>0.85</v>
      </c>
      <c r="M144" s="69">
        <f>SUM(Scenarios3[[#This Row],[SPY]:[PE]])</f>
        <v>1</v>
      </c>
      <c r="N144" s="71" t="b">
        <f>Scenarios3[[#This Row],[SPY]]&gt;=SpyMin</f>
        <v>1</v>
      </c>
      <c r="O144" s="71" t="b">
        <f>Scenarios3[[#This Row],[AGG]]&gt;=AGGMin</f>
        <v>1</v>
      </c>
      <c r="P144" s="71" t="b">
        <f>AND(Scenarios3[[#This Row],[GLD]]&gt;=GLDMin,Scenarios3[[#This Row],[GLD]]&lt;=GLDMax)</f>
        <v>1</v>
      </c>
      <c r="Q144" s="71" t="b">
        <f>Scenarios3[[#This Row],[VNQ]]&gt;=VNQMin</f>
        <v>1</v>
      </c>
      <c r="R144" s="71" t="b">
        <f>AND(Scenarios3[[#This Row],[PE]]&gt;=PEMin,Scenarios3[[#This Row],[PE]]&lt;=PEMax)</f>
        <v>1</v>
      </c>
      <c r="S144" s="71" t="b">
        <f>Scenarios3[[#This Row],[Liquid Assets]]&gt;=LiquidMin</f>
        <v>1</v>
      </c>
      <c r="T144" s="71" t="b">
        <f>AND(Scenarios3[[#This Row],[Expected Return]]&gt;=ExpectedReturnMin,Scenarios3[[#This Row],[Expected Return]]&lt;=ExpectedReturnMax)</f>
        <v>1</v>
      </c>
      <c r="U144" s="71" t="b">
        <f>Scenarios3[[#This Row],[Max Drawdown]]&gt;=DrawdownMax</f>
        <v>1</v>
      </c>
      <c r="V144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44" s="46">
        <f>_xlfn.XLOOKUP(Scenarios3[[#This Row],[Reference '#]],ScenariosCombined[Reference '#],ScenariosCombined[Sharpe Rank])</f>
        <v>114</v>
      </c>
      <c r="X144" s="44">
        <f>IF(Scenarios3[[#This Row],[Eligible]],COUNTIFS(Scenarios3[Sharpe],"&gt;"&amp;Scenarios3[[#This Row],[Sharpe]],Scenarios3[Eligible],TRUE())+COUNTIFS(Scenarios3[Sharpe],Scenarios3[[#This Row],[Sharpe]],Scenarios3[Eligible],TRUE()),"")</f>
        <v>111</v>
      </c>
      <c r="Y144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25/15/10/35/15</v>
      </c>
      <c r="Z144" s="139">
        <f>_xlfn.XLOOKUP(Scenarios3[[#This Row],[Reference '#]],Scenarios1[Reference '#],Scenarios1[Sharpe Rank])</f>
        <v>110</v>
      </c>
      <c r="AA144" s="139">
        <f>_xlfn.XLOOKUP(Scenarios3[[#This Row],[Reference '#]],Scenarios2[Reference '#],Scenarios2[Sharpe Rank])</f>
        <v>110</v>
      </c>
      <c r="AB144" s="139">
        <f>Scenarios3[[#This Row],[Sharpe Rank]]</f>
        <v>111</v>
      </c>
      <c r="AG144"/>
      <c r="AK144" s="15"/>
    </row>
    <row r="145" spans="2:37" x14ac:dyDescent="0.2">
      <c r="B145" s="71">
        <v>97</v>
      </c>
      <c r="C145" s="69">
        <v>0.25</v>
      </c>
      <c r="D145" s="69">
        <v>0.45</v>
      </c>
      <c r="E145" s="69">
        <v>0.1</v>
      </c>
      <c r="F145" s="69">
        <v>0.1</v>
      </c>
      <c r="G145" s="69">
        <v>0.1</v>
      </c>
      <c r="H145" s="69">
        <f>SUMPRODUCT(Scenarios3[[#This Row],[SPY]:[PE]],_xlfn.TOROW(AssetSpecsScenario3[Annualized Return]))</f>
        <v>7.0499311604386106E-2</v>
      </c>
      <c r="I145" s="69" cm="1">
        <f t="array" ref="I145">SQRT(MMULT(MMULT(Scenarios3[[#This Row],[SPY]:[PE]], 'Corr_Cov 36- Month'!$J$13:$N$17), TRANSPOSE(Scenarios3[[#This Row],[SPY]:[PE]])))</f>
        <v>7.2400505771849311E-2</v>
      </c>
      <c r="J145" s="70">
        <f>(Scenarios3[[#This Row],[Expected Return]]-RiskFree)/Scenarios3[[#This Row],[36M Vol]]</f>
        <v>0.32449712606794212</v>
      </c>
      <c r="K145" s="107" cm="1">
        <f t="array" ref="K145">MIN(_xlfn._xlws.FILTER(PortfolioFrontier[#Data],(PortfolioFrontier[#Headers]="P"&amp;Scenarios3[[#This Row],[Reference '#]]&amp;" DD")))</f>
        <v>-0.16368427588701906</v>
      </c>
      <c r="L145" s="69">
        <f>SUM(Scenarios3[[#This Row],[SPY]:[VNQ]])</f>
        <v>0.89999999999999991</v>
      </c>
      <c r="M145" s="69">
        <f>SUM(Scenarios3[[#This Row],[SPY]:[PE]])</f>
        <v>0.99999999999999989</v>
      </c>
      <c r="N145" s="71" t="b">
        <f>Scenarios3[[#This Row],[SPY]]&gt;=SpyMin</f>
        <v>1</v>
      </c>
      <c r="O145" s="71" t="b">
        <f>Scenarios3[[#This Row],[AGG]]&gt;=AGGMin</f>
        <v>1</v>
      </c>
      <c r="P145" s="71" t="b">
        <f>AND(Scenarios3[[#This Row],[GLD]]&gt;=GLDMin,Scenarios3[[#This Row],[GLD]]&lt;=GLDMax)</f>
        <v>1</v>
      </c>
      <c r="Q145" s="71" t="b">
        <f>Scenarios3[[#This Row],[VNQ]]&gt;=VNQMin</f>
        <v>1</v>
      </c>
      <c r="R145" s="71" t="b">
        <f>AND(Scenarios3[[#This Row],[PE]]&gt;=PEMin,Scenarios3[[#This Row],[PE]]&lt;=PEMax)</f>
        <v>1</v>
      </c>
      <c r="S145" s="71" t="b">
        <f>Scenarios3[[#This Row],[Liquid Assets]]&gt;=LiquidMin</f>
        <v>1</v>
      </c>
      <c r="T145" s="71" t="b">
        <f>AND(Scenarios3[[#This Row],[Expected Return]]&gt;=ExpectedReturnMin,Scenarios3[[#This Row],[Expected Return]]&lt;=ExpectedReturnMax)</f>
        <v>0</v>
      </c>
      <c r="U145" s="71" t="b">
        <f>Scenarios3[[#This Row],[Max Drawdown]]&gt;=DrawdownMax</f>
        <v>1</v>
      </c>
      <c r="V145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45" s="46" t="str">
        <f>_xlfn.XLOOKUP(Scenarios3[[#This Row],[Reference '#]],ScenariosCombined[Reference '#],ScenariosCombined[Sharpe Rank])</f>
        <v/>
      </c>
      <c r="X145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45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25/45/10/10/10</v>
      </c>
      <c r="Z145" s="139" t="str">
        <f>_xlfn.XLOOKUP(Scenarios3[[#This Row],[Reference '#]],Scenarios1[Reference '#],Scenarios1[Sharpe Rank])</f>
        <v/>
      </c>
      <c r="AA145" s="139" t="str">
        <f>_xlfn.XLOOKUP(Scenarios3[[#This Row],[Reference '#]],Scenarios2[Reference '#],Scenarios2[Sharpe Rank])</f>
        <v/>
      </c>
      <c r="AB145" s="139" t="str">
        <f>Scenarios3[[#This Row],[Sharpe Rank]]</f>
        <v/>
      </c>
      <c r="AG145"/>
      <c r="AK145" s="15"/>
    </row>
    <row r="146" spans="2:37" x14ac:dyDescent="0.2">
      <c r="B146" s="71">
        <v>99</v>
      </c>
      <c r="C146" s="69">
        <v>0.25</v>
      </c>
      <c r="D146" s="69">
        <v>0.4</v>
      </c>
      <c r="E146" s="69">
        <v>0.1</v>
      </c>
      <c r="F146" s="69">
        <v>0.15</v>
      </c>
      <c r="G146" s="69">
        <v>0.1</v>
      </c>
      <c r="H146" s="69">
        <f>SUMPRODUCT(Scenarios3[[#This Row],[SPY]:[PE]],_xlfn.TOROW(AssetSpecsScenario3[Annualized Return]))</f>
        <v>7.2083050950549579E-2</v>
      </c>
      <c r="I146" s="69" cm="1">
        <f t="array" ref="I146">SQRT(MMULT(MMULT(Scenarios3[[#This Row],[SPY]:[PE]], 'Corr_Cov 36- Month'!$J$13:$N$17), TRANSPOSE(Scenarios3[[#This Row],[SPY]:[PE]])))</f>
        <v>7.7491584539275848E-2</v>
      </c>
      <c r="J146" s="70">
        <f>(Scenarios3[[#This Row],[Expected Return]]-RiskFree)/Scenarios3[[#This Row],[36M Vol]]</f>
        <v>0.32361572607001921</v>
      </c>
      <c r="K146" s="107" cm="1">
        <f t="array" ref="K146">MIN(_xlfn._xlws.FILTER(PortfolioFrontier[#Data],(PortfolioFrontier[#Headers]="P"&amp;Scenarios3[[#This Row],[Reference '#]]&amp;" DD")))</f>
        <v>-0.17138849256768163</v>
      </c>
      <c r="L146" s="69">
        <f>SUM(Scenarios3[[#This Row],[SPY]:[VNQ]])</f>
        <v>0.9</v>
      </c>
      <c r="M146" s="69">
        <f>SUM(Scenarios3[[#This Row],[SPY]:[PE]])</f>
        <v>1</v>
      </c>
      <c r="N146" s="71" t="b">
        <f>Scenarios3[[#This Row],[SPY]]&gt;=SpyMin</f>
        <v>1</v>
      </c>
      <c r="O146" s="71" t="b">
        <f>Scenarios3[[#This Row],[AGG]]&gt;=AGGMin</f>
        <v>1</v>
      </c>
      <c r="P146" s="71" t="b">
        <f>AND(Scenarios3[[#This Row],[GLD]]&gt;=GLDMin,Scenarios3[[#This Row],[GLD]]&lt;=GLDMax)</f>
        <v>1</v>
      </c>
      <c r="Q146" s="71" t="b">
        <f>Scenarios3[[#This Row],[VNQ]]&gt;=VNQMin</f>
        <v>1</v>
      </c>
      <c r="R146" s="71" t="b">
        <f>AND(Scenarios3[[#This Row],[PE]]&gt;=PEMin,Scenarios3[[#This Row],[PE]]&lt;=PEMax)</f>
        <v>1</v>
      </c>
      <c r="S146" s="71" t="b">
        <f>Scenarios3[[#This Row],[Liquid Assets]]&gt;=LiquidMin</f>
        <v>1</v>
      </c>
      <c r="T146" s="71" t="b">
        <f>AND(Scenarios3[[#This Row],[Expected Return]]&gt;=ExpectedReturnMin,Scenarios3[[#This Row],[Expected Return]]&lt;=ExpectedReturnMax)</f>
        <v>0</v>
      </c>
      <c r="U146" s="71" t="b">
        <f>Scenarios3[[#This Row],[Max Drawdown]]&gt;=DrawdownMax</f>
        <v>1</v>
      </c>
      <c r="V146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46" s="46" t="str">
        <f>_xlfn.XLOOKUP(Scenarios3[[#This Row],[Reference '#]],ScenariosCombined[Reference '#],ScenariosCombined[Sharpe Rank])</f>
        <v/>
      </c>
      <c r="X146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46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25/40/10/15/10</v>
      </c>
      <c r="Z146" s="139" t="str">
        <f>_xlfn.XLOOKUP(Scenarios3[[#This Row],[Reference '#]],Scenarios1[Reference '#],Scenarios1[Sharpe Rank])</f>
        <v/>
      </c>
      <c r="AA146" s="139" t="str">
        <f>_xlfn.XLOOKUP(Scenarios3[[#This Row],[Reference '#]],Scenarios2[Reference '#],Scenarios2[Sharpe Rank])</f>
        <v/>
      </c>
      <c r="AB146" s="139" t="str">
        <f>Scenarios3[[#This Row],[Sharpe Rank]]</f>
        <v/>
      </c>
      <c r="AG146"/>
      <c r="AK146" s="15"/>
    </row>
    <row r="147" spans="2:37" x14ac:dyDescent="0.2">
      <c r="B147" s="71">
        <v>104</v>
      </c>
      <c r="C147" s="69">
        <v>0.25</v>
      </c>
      <c r="D147" s="69">
        <v>0.35</v>
      </c>
      <c r="E147" s="69">
        <v>0.1</v>
      </c>
      <c r="F147" s="69">
        <v>0.2</v>
      </c>
      <c r="G147" s="69">
        <v>0.1</v>
      </c>
      <c r="H147" s="69">
        <f>SUMPRODUCT(Scenarios3[[#This Row],[SPY]:[PE]],_xlfn.TOROW(AssetSpecsScenario3[Annualized Return]))</f>
        <v>7.3666790296713053E-2</v>
      </c>
      <c r="I147" s="69" cm="1">
        <f t="array" ref="I147">SQRT(MMULT(MMULT(Scenarios3[[#This Row],[SPY]:[PE]], 'Corr_Cov 36- Month'!$J$13:$N$17), TRANSPOSE(Scenarios3[[#This Row],[SPY]:[PE]])))</f>
        <v>8.2794734375270448E-2</v>
      </c>
      <c r="J147" s="70">
        <f>(Scenarios3[[#This Row],[Expected Return]]-RiskFree)/Scenarios3[[#This Row],[36M Vol]]</f>
        <v>0.32201606711260633</v>
      </c>
      <c r="K147" s="107" cm="1">
        <f t="array" ref="K147">MIN(_xlfn._xlws.FILTER(PortfolioFrontier[#Data],(PortfolioFrontier[#Headers]="P"&amp;Scenarios3[[#This Row],[Reference '#]]&amp;" DD")))</f>
        <v>-0.17909271339796062</v>
      </c>
      <c r="L147" s="69">
        <f>SUM(Scenarios3[[#This Row],[SPY]:[VNQ]])</f>
        <v>0.89999999999999991</v>
      </c>
      <c r="M147" s="69">
        <f>SUM(Scenarios3[[#This Row],[SPY]:[PE]])</f>
        <v>0.99999999999999989</v>
      </c>
      <c r="N147" s="71" t="b">
        <f>Scenarios3[[#This Row],[SPY]]&gt;=SpyMin</f>
        <v>1</v>
      </c>
      <c r="O147" s="71" t="b">
        <f>Scenarios3[[#This Row],[AGG]]&gt;=AGGMin</f>
        <v>1</v>
      </c>
      <c r="P147" s="71" t="b">
        <f>AND(Scenarios3[[#This Row],[GLD]]&gt;=GLDMin,Scenarios3[[#This Row],[GLD]]&lt;=GLDMax)</f>
        <v>1</v>
      </c>
      <c r="Q147" s="71" t="b">
        <f>Scenarios3[[#This Row],[VNQ]]&gt;=VNQMin</f>
        <v>1</v>
      </c>
      <c r="R147" s="71" t="b">
        <f>AND(Scenarios3[[#This Row],[PE]]&gt;=PEMin,Scenarios3[[#This Row],[PE]]&lt;=PEMax)</f>
        <v>1</v>
      </c>
      <c r="S147" s="71" t="b">
        <f>Scenarios3[[#This Row],[Liquid Assets]]&gt;=LiquidMin</f>
        <v>1</v>
      </c>
      <c r="T147" s="71" t="b">
        <f>AND(Scenarios3[[#This Row],[Expected Return]]&gt;=ExpectedReturnMin,Scenarios3[[#This Row],[Expected Return]]&lt;=ExpectedReturnMax)</f>
        <v>0</v>
      </c>
      <c r="U147" s="71" t="b">
        <f>Scenarios3[[#This Row],[Max Drawdown]]&gt;=DrawdownMax</f>
        <v>1</v>
      </c>
      <c r="V147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47" s="46" t="str">
        <f>_xlfn.XLOOKUP(Scenarios3[[#This Row],[Reference '#]],ScenariosCombined[Reference '#],ScenariosCombined[Sharpe Rank])</f>
        <v/>
      </c>
      <c r="X147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47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25/35/10/20/10</v>
      </c>
      <c r="Z147" s="139" t="str">
        <f>_xlfn.XLOOKUP(Scenarios3[[#This Row],[Reference '#]],Scenarios1[Reference '#],Scenarios1[Sharpe Rank])</f>
        <v/>
      </c>
      <c r="AA147" s="139" t="str">
        <f>_xlfn.XLOOKUP(Scenarios3[[#This Row],[Reference '#]],Scenarios2[Reference '#],Scenarios2[Sharpe Rank])</f>
        <v/>
      </c>
      <c r="AB147" s="139" t="str">
        <f>Scenarios3[[#This Row],[Sharpe Rank]]</f>
        <v/>
      </c>
      <c r="AG147"/>
      <c r="AK147" s="15"/>
    </row>
    <row r="148" spans="2:37" x14ac:dyDescent="0.2">
      <c r="B148" s="71">
        <v>112</v>
      </c>
      <c r="C148" s="69">
        <v>0.25</v>
      </c>
      <c r="D148" s="69">
        <v>0.3</v>
      </c>
      <c r="E148" s="69">
        <v>0.1</v>
      </c>
      <c r="F148" s="69">
        <v>0.25</v>
      </c>
      <c r="G148" s="69">
        <v>0.1</v>
      </c>
      <c r="H148" s="69">
        <f>SUMPRODUCT(Scenarios3[[#This Row],[SPY]:[PE]],_xlfn.TOROW(AssetSpecsScenario3[Annualized Return]))</f>
        <v>7.5250529642876526E-2</v>
      </c>
      <c r="I148" s="69" cm="1">
        <f t="array" ref="I148">SQRT(MMULT(MMULT(Scenarios3[[#This Row],[SPY]:[PE]], 'Corr_Cov 36- Month'!$J$13:$N$17), TRANSPOSE(Scenarios3[[#This Row],[SPY]:[PE]])))</f>
        <v>8.827174142165288E-2</v>
      </c>
      <c r="J148" s="70">
        <f>(Scenarios3[[#This Row],[Expected Return]]-RiskFree)/Scenarios3[[#This Row],[36M Vol]]</f>
        <v>0.31997753338071727</v>
      </c>
      <c r="K148" s="107" cm="1">
        <f t="array" ref="K148">MIN(_xlfn._xlws.FILTER(PortfolioFrontier[#Data],(PortfolioFrontier[#Headers]="P"&amp;Scenarios3[[#This Row],[Reference '#]]&amp;" DD")))</f>
        <v>-0.1867958072968543</v>
      </c>
      <c r="L148" s="69">
        <f>SUM(Scenarios3[[#This Row],[SPY]:[VNQ]])</f>
        <v>0.9</v>
      </c>
      <c r="M148" s="69">
        <f>SUM(Scenarios3[[#This Row],[SPY]:[PE]])</f>
        <v>1</v>
      </c>
      <c r="N148" s="71" t="b">
        <f>Scenarios3[[#This Row],[SPY]]&gt;=SpyMin</f>
        <v>1</v>
      </c>
      <c r="O148" s="71" t="b">
        <f>Scenarios3[[#This Row],[AGG]]&gt;=AGGMin</f>
        <v>1</v>
      </c>
      <c r="P148" s="71" t="b">
        <f>AND(Scenarios3[[#This Row],[GLD]]&gt;=GLDMin,Scenarios3[[#This Row],[GLD]]&lt;=GLDMax)</f>
        <v>1</v>
      </c>
      <c r="Q148" s="71" t="b">
        <f>Scenarios3[[#This Row],[VNQ]]&gt;=VNQMin</f>
        <v>1</v>
      </c>
      <c r="R148" s="71" t="b">
        <f>AND(Scenarios3[[#This Row],[PE]]&gt;=PEMin,Scenarios3[[#This Row],[PE]]&lt;=PEMax)</f>
        <v>1</v>
      </c>
      <c r="S148" s="71" t="b">
        <f>Scenarios3[[#This Row],[Liquid Assets]]&gt;=LiquidMin</f>
        <v>1</v>
      </c>
      <c r="T148" s="71" t="b">
        <f>AND(Scenarios3[[#This Row],[Expected Return]]&gt;=ExpectedReturnMin,Scenarios3[[#This Row],[Expected Return]]&lt;=ExpectedReturnMax)</f>
        <v>1</v>
      </c>
      <c r="U148" s="71" t="b">
        <f>Scenarios3[[#This Row],[Max Drawdown]]&gt;=DrawdownMax</f>
        <v>1</v>
      </c>
      <c r="V148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48" s="46" t="str">
        <f>_xlfn.XLOOKUP(Scenarios3[[#This Row],[Reference '#]],ScenariosCombined[Reference '#],ScenariosCombined[Sharpe Rank])</f>
        <v/>
      </c>
      <c r="X148" s="44">
        <f>IF(Scenarios3[[#This Row],[Eligible]],COUNTIFS(Scenarios3[Sharpe],"&gt;"&amp;Scenarios3[[#This Row],[Sharpe]],Scenarios3[Eligible],TRUE())+COUNTIFS(Scenarios3[Sharpe],Scenarios3[[#This Row],[Sharpe]],Scenarios3[Eligible],TRUE()),"")</f>
        <v>112</v>
      </c>
      <c r="Y148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25/30/10/25/10</v>
      </c>
      <c r="Z148" s="139" t="str">
        <f>_xlfn.XLOOKUP(Scenarios3[[#This Row],[Reference '#]],Scenarios1[Reference '#],Scenarios1[Sharpe Rank])</f>
        <v/>
      </c>
      <c r="AA148" s="139" t="str">
        <f>_xlfn.XLOOKUP(Scenarios3[[#This Row],[Reference '#]],Scenarios2[Reference '#],Scenarios2[Sharpe Rank])</f>
        <v/>
      </c>
      <c r="AB148" s="139">
        <f>Scenarios3[[#This Row],[Sharpe Rank]]</f>
        <v>112</v>
      </c>
      <c r="AG148"/>
      <c r="AK148" s="15"/>
    </row>
    <row r="149" spans="2:37" x14ac:dyDescent="0.2">
      <c r="B149" s="71">
        <v>121</v>
      </c>
      <c r="C149" s="69">
        <v>0.25</v>
      </c>
      <c r="D149" s="69">
        <v>0.25</v>
      </c>
      <c r="E149" s="69">
        <v>0.1</v>
      </c>
      <c r="F149" s="69">
        <v>0.3</v>
      </c>
      <c r="G149" s="69">
        <v>0.1</v>
      </c>
      <c r="H149" s="69">
        <f>SUMPRODUCT(Scenarios3[[#This Row],[SPY]:[PE]],_xlfn.TOROW(AssetSpecsScenario3[Annualized Return]))</f>
        <v>7.683426898904E-2</v>
      </c>
      <c r="I149" s="69" cm="1">
        <f t="array" ref="I149">SQRT(MMULT(MMULT(Scenarios3[[#This Row],[SPY]:[PE]], 'Corr_Cov 36- Month'!$J$13:$N$17), TRANSPOSE(Scenarios3[[#This Row],[SPY]:[PE]])))</f>
        <v>9.389218580066401E-2</v>
      </c>
      <c r="J149" s="70">
        <f>(Scenarios3[[#This Row],[Expected Return]]-RiskFree)/Scenarios3[[#This Row],[36M Vol]]</f>
        <v>0.3176911175208097</v>
      </c>
      <c r="K149" s="107" cm="1">
        <f t="array" ref="K149">MIN(_xlfn._xlws.FILTER(PortfolioFrontier[#Data],(PortfolioFrontier[#Headers]="P"&amp;Scenarios3[[#This Row],[Reference '#]]&amp;" DD")))</f>
        <v>-0.19449665540918404</v>
      </c>
      <c r="L149" s="69">
        <f>SUM(Scenarios3[[#This Row],[SPY]:[VNQ]])</f>
        <v>0.89999999999999991</v>
      </c>
      <c r="M149" s="69">
        <f>SUM(Scenarios3[[#This Row],[SPY]:[PE]])</f>
        <v>0.99999999999999989</v>
      </c>
      <c r="N149" s="71" t="b">
        <f>Scenarios3[[#This Row],[SPY]]&gt;=SpyMin</f>
        <v>1</v>
      </c>
      <c r="O149" s="71" t="b">
        <f>Scenarios3[[#This Row],[AGG]]&gt;=AGGMin</f>
        <v>1</v>
      </c>
      <c r="P149" s="71" t="b">
        <f>AND(Scenarios3[[#This Row],[GLD]]&gt;=GLDMin,Scenarios3[[#This Row],[GLD]]&lt;=GLDMax)</f>
        <v>1</v>
      </c>
      <c r="Q149" s="71" t="b">
        <f>Scenarios3[[#This Row],[VNQ]]&gt;=VNQMin</f>
        <v>1</v>
      </c>
      <c r="R149" s="71" t="b">
        <f>AND(Scenarios3[[#This Row],[PE]]&gt;=PEMin,Scenarios3[[#This Row],[PE]]&lt;=PEMax)</f>
        <v>1</v>
      </c>
      <c r="S149" s="71" t="b">
        <f>Scenarios3[[#This Row],[Liquid Assets]]&gt;=LiquidMin</f>
        <v>1</v>
      </c>
      <c r="T149" s="71" t="b">
        <f>AND(Scenarios3[[#This Row],[Expected Return]]&gt;=ExpectedReturnMin,Scenarios3[[#This Row],[Expected Return]]&lt;=ExpectedReturnMax)</f>
        <v>1</v>
      </c>
      <c r="U149" s="71" t="b">
        <f>Scenarios3[[#This Row],[Max Drawdown]]&gt;=DrawdownMax</f>
        <v>1</v>
      </c>
      <c r="V149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1</v>
      </c>
      <c r="W149" s="46" t="str">
        <f>_xlfn.XLOOKUP(Scenarios3[[#This Row],[Reference '#]],ScenariosCombined[Reference '#],ScenariosCombined[Sharpe Rank])</f>
        <v/>
      </c>
      <c r="X149" s="44">
        <f>IF(Scenarios3[[#This Row],[Eligible]],COUNTIFS(Scenarios3[Sharpe],"&gt;"&amp;Scenarios3[[#This Row],[Sharpe]],Scenarios3[Eligible],TRUE())+COUNTIFS(Scenarios3[Sharpe],Scenarios3[[#This Row],[Sharpe]],Scenarios3[Eligible],TRUE()),"")</f>
        <v>113</v>
      </c>
      <c r="Y149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25/25/10/30/10</v>
      </c>
      <c r="Z149" s="139" t="str">
        <f>_xlfn.XLOOKUP(Scenarios3[[#This Row],[Reference '#]],Scenarios1[Reference '#],Scenarios1[Sharpe Rank])</f>
        <v/>
      </c>
      <c r="AA149" s="139" t="str">
        <f>_xlfn.XLOOKUP(Scenarios3[[#This Row],[Reference '#]],Scenarios2[Reference '#],Scenarios2[Sharpe Rank])</f>
        <v/>
      </c>
      <c r="AB149" s="139">
        <f>Scenarios3[[#This Row],[Sharpe Rank]]</f>
        <v>113</v>
      </c>
      <c r="AG149"/>
      <c r="AK149" s="15"/>
    </row>
    <row r="150" spans="2:37" x14ac:dyDescent="0.2">
      <c r="B150" s="71">
        <v>130</v>
      </c>
      <c r="C150" s="69">
        <v>0.25</v>
      </c>
      <c r="D150" s="69">
        <v>0.2</v>
      </c>
      <c r="E150" s="69">
        <v>0.1</v>
      </c>
      <c r="F150" s="69">
        <v>0.35</v>
      </c>
      <c r="G150" s="69">
        <v>0.1</v>
      </c>
      <c r="H150" s="69">
        <f>SUMPRODUCT(Scenarios3[[#This Row],[SPY]:[PE]],_xlfn.TOROW(AssetSpecsScenario3[Annualized Return]))</f>
        <v>7.841800833520346E-2</v>
      </c>
      <c r="I150" s="69" cm="1">
        <f t="array" ref="I150">SQRT(MMULT(MMULT(Scenarios3[[#This Row],[SPY]:[PE]], 'Corr_Cov 36- Month'!$J$13:$N$17), TRANSPOSE(Scenarios3[[#This Row],[SPY]:[PE]])))</f>
        <v>9.96317956413382E-2</v>
      </c>
      <c r="J150" s="70">
        <f>(Scenarios3[[#This Row],[Expected Return]]-RiskFree)/Scenarios3[[#This Row],[36M Vol]]</f>
        <v>0.31528542246421759</v>
      </c>
      <c r="K150" s="107" cm="1">
        <f t="array" ref="K150">MIN(_xlfn._xlws.FILTER(PortfolioFrontier[#Data],(PortfolioFrontier[#Headers]="P"&amp;Scenarios3[[#This Row],[Reference '#]]&amp;" DD")))</f>
        <v>-0.20219415117514361</v>
      </c>
      <c r="L150" s="69">
        <f>SUM(Scenarios3[[#This Row],[SPY]:[VNQ]])</f>
        <v>0.9</v>
      </c>
      <c r="M150" s="69">
        <f>SUM(Scenarios3[[#This Row],[SPY]:[PE]])</f>
        <v>1</v>
      </c>
      <c r="N150" s="71" t="b">
        <f>Scenarios3[[#This Row],[SPY]]&gt;=SpyMin</f>
        <v>1</v>
      </c>
      <c r="O150" s="71" t="b">
        <f>Scenarios3[[#This Row],[AGG]]&gt;=AGGMin</f>
        <v>1</v>
      </c>
      <c r="P150" s="71" t="b">
        <f>AND(Scenarios3[[#This Row],[GLD]]&gt;=GLDMin,Scenarios3[[#This Row],[GLD]]&lt;=GLDMax)</f>
        <v>1</v>
      </c>
      <c r="Q150" s="71" t="b">
        <f>Scenarios3[[#This Row],[VNQ]]&gt;=VNQMin</f>
        <v>1</v>
      </c>
      <c r="R150" s="71" t="b">
        <f>AND(Scenarios3[[#This Row],[PE]]&gt;=PEMin,Scenarios3[[#This Row],[PE]]&lt;=PEMax)</f>
        <v>1</v>
      </c>
      <c r="S150" s="71" t="b">
        <f>Scenarios3[[#This Row],[Liquid Assets]]&gt;=LiquidMin</f>
        <v>1</v>
      </c>
      <c r="T150" s="71" t="b">
        <f>AND(Scenarios3[[#This Row],[Expected Return]]&gt;=ExpectedReturnMin,Scenarios3[[#This Row],[Expected Return]]&lt;=ExpectedReturnMax)</f>
        <v>1</v>
      </c>
      <c r="U150" s="71" t="b">
        <f>Scenarios3[[#This Row],[Max Drawdown]]&gt;=DrawdownMax</f>
        <v>0</v>
      </c>
      <c r="V150" s="181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50" s="46" t="str">
        <f>_xlfn.XLOOKUP(Scenarios3[[#This Row],[Reference '#]],ScenariosCombined[Reference '#],ScenariosCombined[Sharpe Rank])</f>
        <v/>
      </c>
      <c r="X150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50" s="47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25/20/10/35/10</v>
      </c>
      <c r="Z150" s="139" t="str">
        <f>_xlfn.XLOOKUP(Scenarios3[[#This Row],[Reference '#]],Scenarios1[Reference '#],Scenarios1[Sharpe Rank])</f>
        <v/>
      </c>
      <c r="AA150" s="139" t="str">
        <f>_xlfn.XLOOKUP(Scenarios3[[#This Row],[Reference '#]],Scenarios2[Reference '#],Scenarios2[Sharpe Rank])</f>
        <v/>
      </c>
      <c r="AB150" s="139" t="str">
        <f>Scenarios3[[#This Row],[Sharpe Rank]]</f>
        <v/>
      </c>
      <c r="AG150"/>
      <c r="AK150" s="15"/>
    </row>
    <row r="151" spans="2:37" x14ac:dyDescent="0.2">
      <c r="B151" s="71">
        <v>139</v>
      </c>
      <c r="C151" s="69">
        <v>0.25</v>
      </c>
      <c r="D151" s="69">
        <v>0.15</v>
      </c>
      <c r="E151" s="69">
        <v>0.1</v>
      </c>
      <c r="F151" s="69">
        <v>0.4</v>
      </c>
      <c r="G151" s="69">
        <v>0.1</v>
      </c>
      <c r="H151" s="69">
        <f>SUMPRODUCT(Scenarios3[[#This Row],[SPY]:[PE]],_xlfn.TOROW(AssetSpecsScenario3[Annualized Return]))</f>
        <v>8.0001747681366933E-2</v>
      </c>
      <c r="I151" s="69" cm="1">
        <f t="array" ref="I151">SQRT(MMULT(MMULT(Scenarios3[[#This Row],[SPY]:[PE]], 'Corr_Cov 36- Month'!$J$13:$N$17), TRANSPOSE(Scenarios3[[#This Row],[SPY]:[PE]])))</f>
        <v>0.10547111821955832</v>
      </c>
      <c r="J151" s="70">
        <f>(Scenarios3[[#This Row],[Expected Return]]-RiskFree)/Scenarios3[[#This Row],[36M Vol]]</f>
        <v>0.31284575988967417</v>
      </c>
      <c r="K151" s="107" cm="1">
        <f t="array" ref="K151">MIN(_xlfn._xlws.FILTER(PortfolioFrontier[#Data],(PortfolioFrontier[#Headers]="P"&amp;Scenarios3[[#This Row],[Reference '#]]&amp;" DD")))</f>
        <v>-0.20988720039690845</v>
      </c>
      <c r="L151" s="69">
        <f>SUM(Scenarios3[[#This Row],[SPY]:[VNQ]])</f>
        <v>0.9</v>
      </c>
      <c r="M151" s="69">
        <f>SUM(Scenarios3[[#This Row],[SPY]:[PE]])</f>
        <v>1</v>
      </c>
      <c r="N151" s="71" t="b">
        <f>Scenarios3[[#This Row],[SPY]]&gt;=SpyMin</f>
        <v>1</v>
      </c>
      <c r="O151" s="71" t="b">
        <f>Scenarios3[[#This Row],[AGG]]&gt;=AGGMin</f>
        <v>1</v>
      </c>
      <c r="P151" s="71" t="b">
        <f>AND(Scenarios3[[#This Row],[GLD]]&gt;=GLDMin,Scenarios3[[#This Row],[GLD]]&lt;=GLDMax)</f>
        <v>1</v>
      </c>
      <c r="Q151" s="71" t="b">
        <f>Scenarios3[[#This Row],[VNQ]]&gt;=VNQMin</f>
        <v>1</v>
      </c>
      <c r="R151" s="71" t="b">
        <f>AND(Scenarios3[[#This Row],[PE]]&gt;=PEMin,Scenarios3[[#This Row],[PE]]&lt;=PEMax)</f>
        <v>1</v>
      </c>
      <c r="S151" s="71" t="b">
        <f>Scenarios3[[#This Row],[Liquid Assets]]&gt;=LiquidMin</f>
        <v>1</v>
      </c>
      <c r="T151" s="71" t="b">
        <f>AND(Scenarios3[[#This Row],[Expected Return]]&gt;=ExpectedReturnMin,Scenarios3[[#This Row],[Expected Return]]&lt;=ExpectedReturnMax)</f>
        <v>1</v>
      </c>
      <c r="U151" s="71" t="b">
        <f>Scenarios3[[#This Row],[Max Drawdown]]&gt;=DrawdownMax</f>
        <v>0</v>
      </c>
      <c r="V151" s="184" t="b">
        <f>AND(Scenarios3[[#This Row],[Weight Sum]]=100%,Scenarios3[[#This Row],[SPY&gt;=25%]],Scenarios3[[#This Row],[AGG&gt;=15%]],Scenarios3[[#This Row],[GLD 10%-20%]],Scenarios3[[#This Row],[VNQ&gt;=10%]],Scenarios3[[#This Row],[PE 10%-20%]],Scenarios3[[#This Row],[Liquid&gt;=80%]],Scenarios3[[#This Row],[Return 7.5%-10%]],Scenarios3[[#This Row],[MDD&gt;=-20%]])</f>
        <v>0</v>
      </c>
      <c r="W151" s="48" t="str">
        <f>_xlfn.XLOOKUP(Scenarios3[[#This Row],[Reference '#]],ScenariosCombined[Reference '#],ScenariosCombined[Sharpe Rank])</f>
        <v/>
      </c>
      <c r="X151" s="44" t="str">
        <f>IF(Scenarios3[[#This Row],[Eligible]],COUNTIFS(Scenarios3[Sharpe],"&gt;"&amp;Scenarios3[[#This Row],[Sharpe]],Scenarios3[Eligible],TRUE())+COUNTIFS(Scenarios3[Sharpe],Scenarios3[[#This Row],[Sharpe]],Scenarios3[Eligible],TRUE()),"")</f>
        <v/>
      </c>
      <c r="Y151" s="49" t="str">
        <f>TEXT(Scenarios3[[#This Row],[SPY]]*100,"##")&amp;"/"&amp;TEXT(Scenarios3[[#This Row],[AGG]]*100,"##")&amp;"/"&amp;TEXT(Scenarios3[[#This Row],[GLD]]*100,"##")&amp;"/"&amp;TEXT(Scenarios3[[#This Row],[VNQ]]*100,"##")&amp;"/"&amp;TEXT(Scenarios3[[#This Row],[PE]]*100,"##")</f>
        <v>25/15/10/40/10</v>
      </c>
      <c r="Z151" s="139" t="str">
        <f>_xlfn.XLOOKUP(Scenarios3[[#This Row],[Reference '#]],Scenarios1[Reference '#],Scenarios1[Sharpe Rank])</f>
        <v/>
      </c>
      <c r="AA151" s="139" t="str">
        <f>_xlfn.XLOOKUP(Scenarios3[[#This Row],[Reference '#]],Scenarios2[Reference '#],Scenarios2[Sharpe Rank])</f>
        <v/>
      </c>
      <c r="AB151" s="139" t="str">
        <f>Scenarios3[[#This Row],[Sharpe Rank]]</f>
        <v/>
      </c>
      <c r="AG151"/>
      <c r="AK151" s="15"/>
    </row>
  </sheetData>
  <conditionalFormatting sqref="V11:V151">
    <cfRule type="containsText" dxfId="3" priority="1" operator="containsText" text="TRUE">
      <formula>NOT(ISERROR(SEARCH("TRUE",V11)))</formula>
    </cfRule>
    <cfRule type="containsText" dxfId="2" priority="2" operator="containsText" text="FALSE">
      <formula>NOT(ISERROR(SEARCH("FALSE",V11)))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30A9-A605-4C20-8007-80B4DF408841}">
  <dimension ref="B1:AI152"/>
  <sheetViews>
    <sheetView topLeftCell="E103" zoomScale="85" zoomScaleNormal="85" workbookViewId="0">
      <selection activeCell="C4" sqref="C4"/>
    </sheetView>
  </sheetViews>
  <sheetFormatPr baseColWidth="10" defaultColWidth="8.83203125" defaultRowHeight="15" x14ac:dyDescent="0.2"/>
  <cols>
    <col min="1" max="1" width="3.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customWidth="1"/>
    <col min="14" max="14" width="12.6640625" customWidth="1"/>
    <col min="15" max="15" width="13.83203125" customWidth="1"/>
    <col min="16" max="18" width="12.6640625" customWidth="1"/>
    <col min="19" max="19" width="16.5" customWidth="1"/>
    <col min="20" max="21" width="12.6640625" customWidth="1"/>
    <col min="25" max="25" width="16.5" bestFit="1" customWidth="1"/>
    <col min="26" max="26" width="8.6640625" bestFit="1" customWidth="1"/>
    <col min="27" max="28" width="8.5" bestFit="1" customWidth="1"/>
    <col min="29" max="30" width="9.83203125" bestFit="1" customWidth="1"/>
    <col min="31" max="31" width="18.5" style="15" bestFit="1" customWidth="1"/>
    <col min="32" max="32" width="18.1640625" style="15" customWidth="1"/>
    <col min="33" max="33" width="16.1640625" style="15" customWidth="1"/>
    <col min="34" max="34" width="14.5" style="15" customWidth="1"/>
    <col min="35" max="35" width="18.5" bestFit="1" customWidth="1"/>
    <col min="36" max="36" width="18.1640625" customWidth="1"/>
    <col min="37" max="37" width="16.1640625" customWidth="1"/>
    <col min="38" max="38" width="14.5" customWidth="1"/>
    <col min="39" max="39" width="14.83203125" customWidth="1"/>
    <col min="40" max="40" width="18.1640625" customWidth="1"/>
    <col min="41" max="41" width="16.1640625" customWidth="1"/>
    <col min="42" max="42" width="14.5" customWidth="1"/>
    <col min="43" max="43" width="14.83203125" customWidth="1"/>
    <col min="44" max="44" width="18.1640625" customWidth="1"/>
    <col min="45" max="45" width="16.1640625" customWidth="1"/>
    <col min="46" max="46" width="14.5" customWidth="1"/>
    <col min="47" max="47" width="14.83203125" customWidth="1"/>
    <col min="48" max="48" width="18.1640625" customWidth="1"/>
    <col min="49" max="49" width="16.1640625" customWidth="1"/>
    <col min="50" max="50" width="14.5" customWidth="1"/>
    <col min="51" max="51" width="14.83203125" customWidth="1"/>
    <col min="52" max="52" width="18.1640625" customWidth="1"/>
    <col min="53" max="53" width="16.1640625" customWidth="1"/>
    <col min="54" max="54" width="14.5" customWidth="1"/>
    <col min="55" max="55" width="14.83203125" customWidth="1"/>
    <col min="56" max="56" width="18.1640625" customWidth="1"/>
    <col min="57" max="57" width="16.1640625" customWidth="1"/>
    <col min="58" max="58" width="14.5" customWidth="1"/>
    <col min="59" max="59" width="14.83203125" customWidth="1"/>
    <col min="60" max="60" width="18.1640625" customWidth="1"/>
    <col min="61" max="61" width="16.1640625" customWidth="1"/>
    <col min="62" max="62" width="14.5" customWidth="1"/>
    <col min="63" max="63" width="14.83203125" customWidth="1"/>
    <col min="64" max="64" width="18.1640625" customWidth="1"/>
    <col min="65" max="65" width="16.1640625" customWidth="1"/>
    <col min="66" max="66" width="14.5" customWidth="1"/>
    <col min="67" max="67" width="15.83203125" customWidth="1"/>
    <col min="68" max="68" width="19.1640625" customWidth="1"/>
    <col min="69" max="69" width="17.1640625" customWidth="1"/>
    <col min="70" max="70" width="15.5" customWidth="1"/>
    <col min="71" max="71" width="15.83203125" customWidth="1"/>
    <col min="72" max="72" width="19.1640625" customWidth="1"/>
    <col min="73" max="73" width="17.1640625" customWidth="1"/>
    <col min="74" max="74" width="15.5" customWidth="1"/>
    <col min="75" max="75" width="15.83203125" customWidth="1"/>
    <col min="76" max="76" width="19.1640625" customWidth="1"/>
    <col min="77" max="77" width="17.1640625" customWidth="1"/>
    <col min="78" max="78" width="15.5" customWidth="1"/>
    <col min="79" max="79" width="15.83203125" customWidth="1"/>
    <col min="80" max="80" width="19.1640625" customWidth="1"/>
    <col min="81" max="81" width="17.1640625" customWidth="1"/>
    <col min="82" max="82" width="15.5" customWidth="1"/>
    <col min="83" max="83" width="15.83203125" customWidth="1"/>
    <col min="84" max="84" width="19.1640625" customWidth="1"/>
    <col min="85" max="85" width="17.1640625" customWidth="1"/>
    <col min="86" max="86" width="15.5" customWidth="1"/>
    <col min="87" max="87" width="15.83203125" customWidth="1"/>
    <col min="88" max="88" width="19.1640625" customWidth="1"/>
    <col min="89" max="89" width="17.1640625" customWidth="1"/>
    <col min="90" max="90" width="15.5" customWidth="1"/>
    <col min="91" max="91" width="15.83203125" customWidth="1"/>
    <col min="92" max="92" width="19.1640625" customWidth="1"/>
    <col min="93" max="93" width="17.1640625" customWidth="1"/>
    <col min="94" max="94" width="15.5" customWidth="1"/>
    <col min="95" max="95" width="15.83203125" customWidth="1"/>
    <col min="96" max="96" width="19.1640625" customWidth="1"/>
    <col min="97" max="97" width="17.1640625" customWidth="1"/>
    <col min="98" max="98" width="15.5" customWidth="1"/>
    <col min="99" max="99" width="15.83203125" customWidth="1"/>
    <col min="100" max="100" width="19.1640625" customWidth="1"/>
    <col min="101" max="101" width="17.1640625" customWidth="1"/>
    <col min="102" max="102" width="15.5" customWidth="1"/>
    <col min="103" max="103" width="15.83203125" customWidth="1"/>
    <col min="104" max="104" width="19.1640625" customWidth="1"/>
    <col min="105" max="105" width="17.1640625" customWidth="1"/>
    <col min="106" max="106" width="15.5" customWidth="1"/>
    <col min="107" max="107" width="15.83203125" customWidth="1"/>
    <col min="108" max="108" width="19.1640625" customWidth="1"/>
    <col min="109" max="109" width="17.1640625" customWidth="1"/>
    <col min="110" max="110" width="15.5" customWidth="1"/>
    <col min="111" max="111" width="15.83203125" customWidth="1"/>
    <col min="112" max="112" width="19.1640625" customWidth="1"/>
    <col min="113" max="113" width="17.1640625" customWidth="1"/>
    <col min="114" max="114" width="15.5" customWidth="1"/>
    <col min="115" max="115" width="15.83203125" customWidth="1"/>
    <col min="116" max="116" width="19.1640625" customWidth="1"/>
    <col min="117" max="117" width="17.1640625" customWidth="1"/>
    <col min="118" max="118" width="15.5" customWidth="1"/>
    <col min="119" max="119" width="15.83203125" customWidth="1"/>
    <col min="120" max="120" width="19.1640625" customWidth="1"/>
    <col min="121" max="121" width="17.1640625" customWidth="1"/>
    <col min="122" max="122" width="15.5" customWidth="1"/>
    <col min="123" max="123" width="15.83203125" customWidth="1"/>
    <col min="124" max="124" width="19.1640625" customWidth="1"/>
    <col min="125" max="125" width="17.1640625" customWidth="1"/>
    <col min="126" max="126" width="15.5" customWidth="1"/>
    <col min="127" max="127" width="15.83203125" customWidth="1"/>
    <col min="128" max="128" width="19.1640625" customWidth="1"/>
    <col min="129" max="129" width="17.1640625" customWidth="1"/>
    <col min="130" max="130" width="15.5" customWidth="1"/>
    <col min="131" max="131" width="15.83203125" customWidth="1"/>
    <col min="132" max="132" width="19.1640625" customWidth="1"/>
    <col min="133" max="133" width="17.1640625" customWidth="1"/>
    <col min="134" max="134" width="15.5" customWidth="1"/>
    <col min="135" max="135" width="15.83203125" customWidth="1"/>
    <col min="136" max="136" width="19.1640625" customWidth="1"/>
    <col min="137" max="137" width="17.1640625" customWidth="1"/>
    <col min="138" max="138" width="15.5" customWidth="1"/>
    <col min="139" max="139" width="15.83203125" customWidth="1"/>
    <col min="140" max="140" width="19.1640625" customWidth="1"/>
    <col min="141" max="141" width="17.1640625" customWidth="1"/>
    <col min="142" max="142" width="15.5" customWidth="1"/>
    <col min="143" max="143" width="15.83203125" customWidth="1"/>
    <col min="144" max="144" width="19.1640625" customWidth="1"/>
    <col min="145" max="145" width="17.1640625" customWidth="1"/>
    <col min="146" max="146" width="15.5" customWidth="1"/>
    <col min="147" max="147" width="15.83203125" customWidth="1"/>
    <col min="148" max="148" width="19.1640625" customWidth="1"/>
    <col min="149" max="149" width="17.1640625" customWidth="1"/>
    <col min="150" max="150" width="15.5" customWidth="1"/>
    <col min="151" max="151" width="15.83203125" customWidth="1"/>
    <col min="152" max="152" width="19.1640625" customWidth="1"/>
    <col min="153" max="153" width="17.1640625" customWidth="1"/>
    <col min="154" max="154" width="15.5" customWidth="1"/>
    <col min="155" max="155" width="15.83203125" customWidth="1"/>
    <col min="156" max="156" width="19.1640625" customWidth="1"/>
    <col min="157" max="157" width="17.1640625" customWidth="1"/>
    <col min="158" max="158" width="15.5" customWidth="1"/>
    <col min="159" max="159" width="15.83203125" customWidth="1"/>
    <col min="160" max="160" width="19.1640625" customWidth="1"/>
    <col min="161" max="161" width="17.1640625" customWidth="1"/>
    <col min="162" max="162" width="15.5" customWidth="1"/>
    <col min="163" max="163" width="15.83203125" customWidth="1"/>
    <col min="164" max="164" width="19.1640625" customWidth="1"/>
    <col min="165" max="165" width="17.1640625" customWidth="1"/>
    <col min="166" max="166" width="15.5" customWidth="1"/>
    <col min="167" max="167" width="15.83203125" customWidth="1"/>
    <col min="168" max="168" width="19.1640625" customWidth="1"/>
    <col min="169" max="169" width="17.1640625" customWidth="1"/>
    <col min="170" max="170" width="15.5" customWidth="1"/>
    <col min="171" max="171" width="15.83203125" customWidth="1"/>
    <col min="172" max="172" width="19.1640625" customWidth="1"/>
    <col min="173" max="173" width="17.1640625" customWidth="1"/>
    <col min="174" max="174" width="15.5" customWidth="1"/>
    <col min="175" max="175" width="15.83203125" customWidth="1"/>
    <col min="176" max="176" width="19.1640625" customWidth="1"/>
    <col min="177" max="177" width="17.1640625" customWidth="1"/>
    <col min="178" max="178" width="15.5" customWidth="1"/>
    <col min="179" max="179" width="15.83203125" customWidth="1"/>
    <col min="180" max="180" width="19.1640625" customWidth="1"/>
    <col min="181" max="181" width="17.1640625" customWidth="1"/>
    <col min="182" max="182" width="15.5" customWidth="1"/>
    <col min="183" max="183" width="15.83203125" customWidth="1"/>
    <col min="184" max="184" width="19.1640625" customWidth="1"/>
    <col min="185" max="185" width="17.1640625" customWidth="1"/>
    <col min="186" max="186" width="15.5" customWidth="1"/>
    <col min="187" max="187" width="15.83203125" customWidth="1"/>
    <col min="188" max="188" width="19.1640625" customWidth="1"/>
    <col min="189" max="189" width="17.1640625" customWidth="1"/>
    <col min="190" max="190" width="15.5" customWidth="1"/>
    <col min="191" max="191" width="15.83203125" customWidth="1"/>
    <col min="192" max="192" width="19.1640625" customWidth="1"/>
    <col min="193" max="193" width="17.1640625" customWidth="1"/>
    <col min="194" max="194" width="15.5" customWidth="1"/>
    <col min="195" max="195" width="15.83203125" customWidth="1"/>
    <col min="196" max="196" width="19.1640625" customWidth="1"/>
    <col min="197" max="197" width="17.1640625" customWidth="1"/>
    <col min="198" max="198" width="15.5" customWidth="1"/>
    <col min="199" max="199" width="15.83203125" customWidth="1"/>
    <col min="200" max="200" width="19.1640625" customWidth="1"/>
    <col min="201" max="201" width="17.1640625" customWidth="1"/>
    <col min="202" max="202" width="15.5" customWidth="1"/>
    <col min="203" max="203" width="15.83203125" customWidth="1"/>
    <col min="204" max="204" width="19.1640625" customWidth="1"/>
    <col min="205" max="205" width="17.1640625" customWidth="1"/>
    <col min="206" max="206" width="15.5" customWidth="1"/>
    <col min="207" max="207" width="15.83203125" customWidth="1"/>
    <col min="208" max="208" width="19.1640625" customWidth="1"/>
    <col min="209" max="209" width="17.1640625" customWidth="1"/>
    <col min="210" max="210" width="15.5" customWidth="1"/>
    <col min="211" max="211" width="15.83203125" customWidth="1"/>
    <col min="212" max="212" width="19.1640625" customWidth="1"/>
    <col min="213" max="213" width="17.1640625" customWidth="1"/>
    <col min="214" max="214" width="15.5" customWidth="1"/>
    <col min="215" max="215" width="15.83203125" customWidth="1"/>
    <col min="216" max="216" width="19.1640625" customWidth="1"/>
    <col min="217" max="217" width="17.1640625" customWidth="1"/>
    <col min="218" max="218" width="15.5" customWidth="1"/>
    <col min="219" max="219" width="15.83203125" customWidth="1"/>
    <col min="220" max="220" width="19.1640625" customWidth="1"/>
    <col min="221" max="221" width="17.1640625" customWidth="1"/>
    <col min="222" max="222" width="15.5" customWidth="1"/>
    <col min="223" max="223" width="15.83203125" customWidth="1"/>
    <col min="224" max="224" width="19.1640625" customWidth="1"/>
    <col min="225" max="225" width="17.1640625" customWidth="1"/>
    <col min="226" max="226" width="15.5" customWidth="1"/>
    <col min="227" max="227" width="15.83203125" customWidth="1"/>
    <col min="228" max="228" width="19.1640625" customWidth="1"/>
    <col min="229" max="229" width="17.1640625" customWidth="1"/>
    <col min="230" max="230" width="15.5" customWidth="1"/>
    <col min="231" max="231" width="15.83203125" customWidth="1"/>
    <col min="232" max="232" width="19.1640625" customWidth="1"/>
    <col min="233" max="233" width="17.1640625" customWidth="1"/>
    <col min="234" max="234" width="15.5" customWidth="1"/>
    <col min="235" max="235" width="15.83203125" customWidth="1"/>
    <col min="236" max="236" width="19.1640625" customWidth="1"/>
    <col min="237" max="237" width="17.1640625" customWidth="1"/>
    <col min="238" max="238" width="15.5" customWidth="1"/>
    <col min="239" max="239" width="15.83203125" customWidth="1"/>
    <col min="240" max="240" width="19.1640625" customWidth="1"/>
    <col min="241" max="241" width="17.1640625" customWidth="1"/>
    <col min="242" max="242" width="15.5" customWidth="1"/>
    <col min="243" max="243" width="15.83203125" customWidth="1"/>
    <col min="244" max="244" width="19.1640625" customWidth="1"/>
    <col min="245" max="245" width="17.1640625" customWidth="1"/>
    <col min="246" max="246" width="15.5" customWidth="1"/>
    <col min="247" max="247" width="15.83203125" customWidth="1"/>
    <col min="248" max="248" width="19.1640625" customWidth="1"/>
    <col min="249" max="249" width="17.1640625" customWidth="1"/>
    <col min="250" max="250" width="15.5" customWidth="1"/>
    <col min="251" max="251" width="15.83203125" customWidth="1"/>
    <col min="252" max="252" width="19.1640625" customWidth="1"/>
    <col min="253" max="253" width="17.1640625" customWidth="1"/>
    <col min="254" max="254" width="15.5" customWidth="1"/>
    <col min="255" max="255" width="15.83203125" customWidth="1"/>
    <col min="256" max="256" width="19.1640625" customWidth="1"/>
    <col min="257" max="257" width="17.1640625" customWidth="1"/>
    <col min="258" max="258" width="15.5" customWidth="1"/>
    <col min="259" max="259" width="15.83203125" customWidth="1"/>
    <col min="260" max="260" width="19.1640625" customWidth="1"/>
    <col min="261" max="261" width="17.1640625" customWidth="1"/>
    <col min="262" max="262" width="15.5" customWidth="1"/>
    <col min="263" max="263" width="15.83203125" customWidth="1"/>
    <col min="264" max="264" width="19.1640625" customWidth="1"/>
    <col min="265" max="265" width="17.1640625" customWidth="1"/>
    <col min="266" max="266" width="15.5" customWidth="1"/>
    <col min="267" max="267" width="15.83203125" customWidth="1"/>
    <col min="268" max="268" width="19.1640625" customWidth="1"/>
    <col min="269" max="269" width="17.1640625" customWidth="1"/>
    <col min="270" max="270" width="15.5" customWidth="1"/>
    <col min="271" max="271" width="15.83203125" customWidth="1"/>
    <col min="272" max="272" width="19.1640625" customWidth="1"/>
    <col min="273" max="273" width="17.1640625" customWidth="1"/>
    <col min="274" max="274" width="15.5" customWidth="1"/>
    <col min="275" max="275" width="15.83203125" customWidth="1"/>
    <col min="276" max="276" width="19.1640625" customWidth="1"/>
    <col min="277" max="277" width="17.1640625" customWidth="1"/>
    <col min="278" max="278" width="15.5" customWidth="1"/>
    <col min="279" max="279" width="15.83203125" customWidth="1"/>
    <col min="280" max="280" width="19.1640625" customWidth="1"/>
    <col min="281" max="281" width="17.1640625" customWidth="1"/>
    <col min="282" max="282" width="15.5" customWidth="1"/>
    <col min="283" max="283" width="15.83203125" customWidth="1"/>
    <col min="284" max="284" width="19.1640625" customWidth="1"/>
    <col min="285" max="285" width="17.1640625" customWidth="1"/>
    <col min="286" max="286" width="15.5" customWidth="1"/>
    <col min="287" max="287" width="15.83203125" customWidth="1"/>
    <col min="288" max="288" width="19.1640625" customWidth="1"/>
    <col min="289" max="289" width="17.1640625" customWidth="1"/>
    <col min="290" max="290" width="15.5" customWidth="1"/>
    <col min="291" max="291" width="15.83203125" customWidth="1"/>
    <col min="292" max="292" width="19.1640625" customWidth="1"/>
    <col min="293" max="293" width="17.1640625" customWidth="1"/>
    <col min="294" max="294" width="15.5" customWidth="1"/>
    <col min="295" max="295" width="15.83203125" customWidth="1"/>
    <col min="296" max="296" width="19.1640625" customWidth="1"/>
    <col min="297" max="297" width="17.1640625" customWidth="1"/>
    <col min="298" max="298" width="15.5" customWidth="1"/>
    <col min="299" max="299" width="15.83203125" customWidth="1"/>
    <col min="300" max="300" width="19.1640625" customWidth="1"/>
    <col min="301" max="301" width="17.1640625" customWidth="1"/>
    <col min="302" max="302" width="15.5" customWidth="1"/>
    <col min="303" max="303" width="15.83203125" customWidth="1"/>
    <col min="304" max="304" width="19.1640625" customWidth="1"/>
    <col min="305" max="305" width="17.1640625" customWidth="1"/>
    <col min="306" max="306" width="15.5" customWidth="1"/>
    <col min="307" max="307" width="15.83203125" customWidth="1"/>
    <col min="308" max="308" width="19.1640625" customWidth="1"/>
    <col min="309" max="309" width="17.1640625" customWidth="1"/>
    <col min="310" max="310" width="15.5" customWidth="1"/>
    <col min="311" max="311" width="15.83203125" customWidth="1"/>
    <col min="312" max="312" width="19.1640625" customWidth="1"/>
    <col min="313" max="313" width="17.1640625" customWidth="1"/>
    <col min="314" max="314" width="15.5" customWidth="1"/>
    <col min="315" max="315" width="15.83203125" customWidth="1"/>
    <col min="316" max="316" width="19.1640625" customWidth="1"/>
    <col min="317" max="317" width="17.1640625" customWidth="1"/>
    <col min="318" max="318" width="15.5" customWidth="1"/>
    <col min="319" max="319" width="15.83203125" customWidth="1"/>
    <col min="320" max="320" width="19.1640625" customWidth="1"/>
    <col min="321" max="321" width="17.1640625" customWidth="1"/>
    <col min="322" max="322" width="15.5" customWidth="1"/>
    <col min="323" max="323" width="15.83203125" customWidth="1"/>
    <col min="324" max="324" width="19.1640625" customWidth="1"/>
    <col min="325" max="325" width="17.1640625" customWidth="1"/>
    <col min="326" max="326" width="15.5" customWidth="1"/>
    <col min="327" max="327" width="15.83203125" customWidth="1"/>
    <col min="328" max="328" width="19.1640625" customWidth="1"/>
    <col min="329" max="329" width="17.1640625" customWidth="1"/>
    <col min="330" max="330" width="15.5" customWidth="1"/>
    <col min="331" max="331" width="15.83203125" customWidth="1"/>
    <col min="332" max="332" width="19.1640625" customWidth="1"/>
    <col min="333" max="333" width="17.1640625" customWidth="1"/>
    <col min="334" max="334" width="15.5" customWidth="1"/>
    <col min="335" max="335" width="15.83203125" customWidth="1"/>
    <col min="336" max="336" width="19.1640625" customWidth="1"/>
    <col min="337" max="337" width="17.1640625" customWidth="1"/>
    <col min="338" max="338" width="15.5" customWidth="1"/>
    <col min="339" max="339" width="15.83203125" customWidth="1"/>
    <col min="340" max="340" width="19.1640625" customWidth="1"/>
    <col min="341" max="341" width="17.1640625" customWidth="1"/>
    <col min="342" max="342" width="15.5" customWidth="1"/>
    <col min="343" max="343" width="15.83203125" customWidth="1"/>
    <col min="344" max="344" width="19.1640625" customWidth="1"/>
    <col min="345" max="345" width="17.1640625" customWidth="1"/>
    <col min="346" max="346" width="15.5" customWidth="1"/>
    <col min="347" max="347" width="15.83203125" customWidth="1"/>
    <col min="348" max="348" width="19.1640625" customWidth="1"/>
    <col min="349" max="349" width="17.1640625" customWidth="1"/>
    <col min="350" max="350" width="15.5" customWidth="1"/>
    <col min="351" max="351" width="15.83203125" customWidth="1"/>
    <col min="352" max="352" width="19.1640625" customWidth="1"/>
    <col min="353" max="353" width="17.1640625" customWidth="1"/>
    <col min="354" max="354" width="15.5" customWidth="1"/>
    <col min="355" max="355" width="15.83203125" customWidth="1"/>
    <col min="356" max="356" width="19.1640625" customWidth="1"/>
    <col min="357" max="357" width="17.1640625" customWidth="1"/>
    <col min="358" max="358" width="15.5" customWidth="1"/>
    <col min="359" max="359" width="15.83203125" customWidth="1"/>
    <col min="360" max="360" width="19.1640625" customWidth="1"/>
    <col min="361" max="361" width="17.1640625" customWidth="1"/>
    <col min="362" max="362" width="15.5" customWidth="1"/>
    <col min="363" max="363" width="15.83203125" customWidth="1"/>
    <col min="364" max="364" width="19.1640625" customWidth="1"/>
    <col min="365" max="365" width="17.1640625" customWidth="1"/>
    <col min="366" max="366" width="15.5" customWidth="1"/>
    <col min="367" max="367" width="15.83203125" customWidth="1"/>
    <col min="368" max="368" width="19.1640625" customWidth="1"/>
    <col min="369" max="369" width="17.1640625" customWidth="1"/>
    <col min="370" max="370" width="15.5" customWidth="1"/>
    <col min="371" max="371" width="15.83203125" customWidth="1"/>
    <col min="372" max="372" width="19.1640625" customWidth="1"/>
    <col min="373" max="373" width="17.1640625" customWidth="1"/>
    <col min="374" max="374" width="15.5" customWidth="1"/>
    <col min="375" max="375" width="15.83203125" customWidth="1"/>
    <col min="376" max="376" width="19.1640625" customWidth="1"/>
    <col min="377" max="377" width="17.1640625" customWidth="1"/>
    <col min="378" max="378" width="15.5" customWidth="1"/>
    <col min="379" max="379" width="15.83203125" customWidth="1"/>
    <col min="380" max="380" width="19.1640625" customWidth="1"/>
    <col min="381" max="381" width="17.1640625" customWidth="1"/>
    <col min="382" max="382" width="15.5" customWidth="1"/>
    <col min="383" max="383" width="15.83203125" customWidth="1"/>
    <col min="384" max="384" width="19.1640625" customWidth="1"/>
    <col min="385" max="385" width="17.1640625" customWidth="1"/>
    <col min="386" max="386" width="15.5" customWidth="1"/>
    <col min="387" max="387" width="15.83203125" customWidth="1"/>
    <col min="388" max="388" width="19.1640625" customWidth="1"/>
    <col min="389" max="389" width="17.1640625" customWidth="1"/>
    <col min="390" max="390" width="15.5" customWidth="1"/>
    <col min="391" max="391" width="15.83203125" customWidth="1"/>
    <col min="392" max="392" width="19.1640625" customWidth="1"/>
    <col min="393" max="393" width="17.1640625" customWidth="1"/>
    <col min="394" max="394" width="15.5" customWidth="1"/>
    <col min="395" max="395" width="15.83203125" customWidth="1"/>
    <col min="396" max="396" width="19.1640625" customWidth="1"/>
    <col min="397" max="397" width="17.1640625" customWidth="1"/>
    <col min="398" max="398" width="15.5" customWidth="1"/>
    <col min="399" max="399" width="15.83203125" customWidth="1"/>
    <col min="400" max="400" width="19.1640625" customWidth="1"/>
    <col min="401" max="401" width="17.1640625" customWidth="1"/>
    <col min="402" max="402" width="15.5" customWidth="1"/>
    <col min="403" max="403" width="15.83203125" customWidth="1"/>
    <col min="404" max="404" width="19.1640625" customWidth="1"/>
    <col min="405" max="405" width="17.1640625" customWidth="1"/>
    <col min="406" max="406" width="15.5" customWidth="1"/>
    <col min="407" max="407" width="15.83203125" customWidth="1"/>
    <col min="408" max="408" width="19.1640625" customWidth="1"/>
    <col min="409" max="409" width="17.1640625" customWidth="1"/>
    <col min="410" max="410" width="15.5" customWidth="1"/>
    <col min="411" max="411" width="15.83203125" customWidth="1"/>
    <col min="412" max="412" width="19.1640625" customWidth="1"/>
    <col min="413" max="413" width="17.1640625" customWidth="1"/>
    <col min="414" max="414" width="15.5" customWidth="1"/>
    <col min="415" max="415" width="15.83203125" customWidth="1"/>
    <col min="416" max="416" width="19.1640625" customWidth="1"/>
    <col min="417" max="417" width="17.1640625" customWidth="1"/>
    <col min="418" max="418" width="15.5" customWidth="1"/>
    <col min="419" max="419" width="15.83203125" customWidth="1"/>
    <col min="420" max="420" width="19.1640625" customWidth="1"/>
    <col min="421" max="421" width="17.1640625" customWidth="1"/>
    <col min="422" max="422" width="15.5" customWidth="1"/>
    <col min="423" max="423" width="15.83203125" customWidth="1"/>
    <col min="424" max="424" width="19.1640625" customWidth="1"/>
    <col min="425" max="425" width="17.1640625" customWidth="1"/>
    <col min="426" max="426" width="15.5" customWidth="1"/>
    <col min="427" max="427" width="16.83203125" customWidth="1"/>
    <col min="428" max="428" width="20.1640625" customWidth="1"/>
    <col min="429" max="429" width="18.1640625" customWidth="1"/>
    <col min="430" max="430" width="16.5" customWidth="1"/>
    <col min="431" max="431" width="16.83203125" customWidth="1"/>
    <col min="432" max="432" width="20.1640625" customWidth="1"/>
    <col min="433" max="433" width="18.1640625" customWidth="1"/>
    <col min="434" max="434" width="16.5" customWidth="1"/>
    <col min="435" max="435" width="16.83203125" customWidth="1"/>
    <col min="436" max="436" width="20.1640625" customWidth="1"/>
    <col min="437" max="437" width="18.1640625" customWidth="1"/>
    <col min="438" max="438" width="16.5" customWidth="1"/>
    <col min="439" max="439" width="16.83203125" customWidth="1"/>
    <col min="440" max="440" width="20.1640625" customWidth="1"/>
    <col min="441" max="441" width="18.1640625" customWidth="1"/>
    <col min="442" max="442" width="16.5" customWidth="1"/>
    <col min="443" max="443" width="16.83203125" customWidth="1"/>
    <col min="444" max="444" width="20.1640625" customWidth="1"/>
    <col min="445" max="445" width="18.1640625" customWidth="1"/>
    <col min="446" max="446" width="16.5" customWidth="1"/>
    <col min="447" max="447" width="16.83203125" customWidth="1"/>
    <col min="448" max="448" width="20.1640625" customWidth="1"/>
    <col min="449" max="449" width="18.1640625" customWidth="1"/>
    <col min="450" max="450" width="16.5" customWidth="1"/>
    <col min="451" max="451" width="16.83203125" customWidth="1"/>
    <col min="452" max="452" width="20.1640625" customWidth="1"/>
    <col min="453" max="453" width="18.1640625" customWidth="1"/>
    <col min="454" max="454" width="16.5" customWidth="1"/>
    <col min="455" max="455" width="16.83203125" customWidth="1"/>
    <col min="456" max="456" width="20.1640625" customWidth="1"/>
    <col min="457" max="457" width="18.1640625" customWidth="1"/>
    <col min="458" max="458" width="16.5" customWidth="1"/>
    <col min="459" max="459" width="16.83203125" customWidth="1"/>
    <col min="460" max="460" width="20.1640625" customWidth="1"/>
    <col min="461" max="461" width="18.1640625" customWidth="1"/>
    <col min="462" max="462" width="16.5" customWidth="1"/>
    <col min="463" max="463" width="16.83203125" customWidth="1"/>
    <col min="464" max="464" width="20.1640625" customWidth="1"/>
    <col min="465" max="465" width="18.1640625" customWidth="1"/>
    <col min="466" max="466" width="16.5" customWidth="1"/>
    <col min="467" max="467" width="16.83203125" customWidth="1"/>
    <col min="468" max="468" width="20.1640625" customWidth="1"/>
    <col min="469" max="469" width="18.1640625" customWidth="1"/>
    <col min="470" max="470" width="16.5" customWidth="1"/>
    <col min="471" max="471" width="16.83203125" customWidth="1"/>
    <col min="472" max="472" width="20.1640625" customWidth="1"/>
    <col min="473" max="473" width="18.1640625" customWidth="1"/>
    <col min="474" max="474" width="16.5" customWidth="1"/>
    <col min="475" max="475" width="16.83203125" customWidth="1"/>
    <col min="476" max="476" width="20.1640625" customWidth="1"/>
    <col min="477" max="477" width="18.1640625" customWidth="1"/>
    <col min="478" max="478" width="16.5" customWidth="1"/>
    <col min="479" max="479" width="16.83203125" customWidth="1"/>
    <col min="480" max="480" width="20.1640625" customWidth="1"/>
    <col min="481" max="481" width="18.1640625" customWidth="1"/>
    <col min="482" max="482" width="16.5" customWidth="1"/>
    <col min="483" max="483" width="16.83203125" customWidth="1"/>
    <col min="484" max="484" width="20.1640625" customWidth="1"/>
    <col min="485" max="485" width="18.1640625" customWidth="1"/>
    <col min="486" max="486" width="16.5" customWidth="1"/>
    <col min="487" max="487" width="16.83203125" customWidth="1"/>
    <col min="488" max="488" width="20.1640625" customWidth="1"/>
    <col min="489" max="489" width="18.1640625" customWidth="1"/>
    <col min="490" max="490" width="16.5" customWidth="1"/>
    <col min="491" max="491" width="16.83203125" customWidth="1"/>
    <col min="492" max="492" width="20.1640625" customWidth="1"/>
    <col min="493" max="493" width="18.1640625" customWidth="1"/>
    <col min="494" max="494" width="16.5" customWidth="1"/>
    <col min="495" max="495" width="16.83203125" customWidth="1"/>
    <col min="496" max="496" width="20.1640625" customWidth="1"/>
    <col min="497" max="497" width="18.1640625" customWidth="1"/>
    <col min="498" max="498" width="16.5" customWidth="1"/>
    <col min="499" max="499" width="16.83203125" customWidth="1"/>
    <col min="500" max="500" width="20.1640625" customWidth="1"/>
    <col min="501" max="501" width="18.1640625" customWidth="1"/>
    <col min="502" max="502" width="16.5" customWidth="1"/>
    <col min="503" max="503" width="16.83203125" customWidth="1"/>
    <col min="504" max="504" width="20.1640625" customWidth="1"/>
    <col min="505" max="505" width="18.1640625" customWidth="1"/>
    <col min="506" max="506" width="16.5" customWidth="1"/>
    <col min="507" max="507" width="16.83203125" customWidth="1"/>
    <col min="508" max="508" width="20.1640625" customWidth="1"/>
    <col min="509" max="509" width="18.1640625" customWidth="1"/>
    <col min="510" max="510" width="16.5" customWidth="1"/>
    <col min="511" max="511" width="16.83203125" customWidth="1"/>
    <col min="512" max="512" width="20.1640625" customWidth="1"/>
    <col min="513" max="513" width="18.1640625" customWidth="1"/>
    <col min="514" max="514" width="16.5" customWidth="1"/>
    <col min="515" max="515" width="16.83203125" customWidth="1"/>
    <col min="516" max="516" width="20.1640625" customWidth="1"/>
    <col min="517" max="517" width="18.1640625" customWidth="1"/>
    <col min="518" max="518" width="16.5" customWidth="1"/>
    <col min="519" max="519" width="16.83203125" customWidth="1"/>
    <col min="520" max="520" width="20.1640625" customWidth="1"/>
    <col min="521" max="521" width="18.1640625" customWidth="1"/>
    <col min="522" max="522" width="16.5" customWidth="1"/>
    <col min="523" max="523" width="16.83203125" customWidth="1"/>
    <col min="524" max="524" width="20.1640625" customWidth="1"/>
    <col min="525" max="525" width="18.1640625" customWidth="1"/>
    <col min="526" max="526" width="16.5" customWidth="1"/>
    <col min="527" max="527" width="16.83203125" customWidth="1"/>
    <col min="528" max="528" width="20.1640625" customWidth="1"/>
    <col min="529" max="529" width="18.1640625" customWidth="1"/>
    <col min="530" max="530" width="16.5" customWidth="1"/>
    <col min="531" max="531" width="16.83203125" customWidth="1"/>
    <col min="532" max="532" width="20.1640625" customWidth="1"/>
    <col min="533" max="533" width="18.1640625" customWidth="1"/>
    <col min="534" max="534" width="16.5" customWidth="1"/>
    <col min="535" max="535" width="16.83203125" customWidth="1"/>
    <col min="536" max="536" width="20.1640625" customWidth="1"/>
    <col min="537" max="537" width="18.1640625" customWidth="1"/>
    <col min="538" max="538" width="16.5" customWidth="1"/>
    <col min="539" max="539" width="16.83203125" customWidth="1"/>
    <col min="540" max="540" width="20.1640625" customWidth="1"/>
    <col min="541" max="541" width="18.1640625" customWidth="1"/>
    <col min="542" max="542" width="16.5" customWidth="1"/>
    <col min="543" max="543" width="16.83203125" customWidth="1"/>
    <col min="544" max="544" width="20.1640625" customWidth="1"/>
    <col min="545" max="545" width="18.1640625" customWidth="1"/>
    <col min="546" max="546" width="16.5" customWidth="1"/>
    <col min="547" max="547" width="16.83203125" customWidth="1"/>
    <col min="548" max="548" width="20.1640625" customWidth="1"/>
    <col min="549" max="549" width="18.1640625" customWidth="1"/>
    <col min="550" max="550" width="16.5" customWidth="1"/>
    <col min="551" max="551" width="16.83203125" customWidth="1"/>
    <col min="552" max="552" width="20.1640625" customWidth="1"/>
    <col min="553" max="553" width="18.1640625" customWidth="1"/>
    <col min="554" max="554" width="16.5" customWidth="1"/>
    <col min="555" max="555" width="16.83203125" customWidth="1"/>
    <col min="556" max="556" width="20.1640625" customWidth="1"/>
    <col min="557" max="557" width="18.1640625" customWidth="1"/>
    <col min="558" max="558" width="16.5" customWidth="1"/>
    <col min="559" max="559" width="16.83203125" customWidth="1"/>
    <col min="560" max="560" width="20.1640625" customWidth="1"/>
    <col min="561" max="561" width="18.1640625" customWidth="1"/>
    <col min="562" max="562" width="16.5" customWidth="1"/>
    <col min="563" max="563" width="16.83203125" customWidth="1"/>
    <col min="564" max="564" width="20.1640625" customWidth="1"/>
    <col min="565" max="565" width="18.1640625" customWidth="1"/>
    <col min="566" max="566" width="16.5" customWidth="1"/>
    <col min="567" max="567" width="16.83203125" customWidth="1"/>
    <col min="568" max="568" width="20.1640625" customWidth="1"/>
    <col min="569" max="569" width="18.1640625" customWidth="1"/>
    <col min="570" max="570" width="16.5" customWidth="1"/>
    <col min="571" max="571" width="16.83203125" customWidth="1"/>
    <col min="572" max="572" width="20.1640625" customWidth="1"/>
    <col min="573" max="573" width="18.1640625" customWidth="1"/>
    <col min="574" max="574" width="16.5" customWidth="1"/>
    <col min="575" max="575" width="16.83203125" customWidth="1"/>
    <col min="576" max="576" width="20.1640625" customWidth="1"/>
    <col min="577" max="577" width="18.1640625" customWidth="1"/>
    <col min="578" max="578" width="16.5" customWidth="1"/>
    <col min="579" max="579" width="16.83203125" customWidth="1"/>
    <col min="580" max="580" width="20.1640625" customWidth="1"/>
    <col min="581" max="581" width="18.1640625" customWidth="1"/>
    <col min="582" max="582" width="16.5" customWidth="1"/>
    <col min="583" max="583" width="16.83203125" customWidth="1"/>
    <col min="584" max="584" width="20.1640625" customWidth="1"/>
    <col min="585" max="585" width="18.1640625" customWidth="1"/>
    <col min="586" max="586" width="16.5" customWidth="1"/>
    <col min="587" max="587" width="16.83203125" customWidth="1"/>
    <col min="588" max="588" width="20.1640625" customWidth="1"/>
    <col min="589" max="589" width="18.1640625" customWidth="1"/>
    <col min="590" max="590" width="16.5" customWidth="1"/>
    <col min="591" max="591" width="16.83203125" customWidth="1"/>
    <col min="592" max="592" width="20.1640625" customWidth="1"/>
    <col min="593" max="593" width="18.1640625" customWidth="1"/>
    <col min="594" max="594" width="16.5" customWidth="1"/>
  </cols>
  <sheetData>
    <row r="1" spans="2:35" ht="19" x14ac:dyDescent="0.25">
      <c r="B1" s="39" t="s">
        <v>660</v>
      </c>
    </row>
    <row r="2" spans="2:35" x14ac:dyDescent="0.2">
      <c r="B2" s="103"/>
    </row>
    <row r="3" spans="2:35" ht="16" x14ac:dyDescent="0.2">
      <c r="B3" s="17" t="s">
        <v>16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17</v>
      </c>
      <c r="I3" s="18" t="s">
        <v>14</v>
      </c>
      <c r="J3" s="18" t="s">
        <v>18</v>
      </c>
      <c r="K3" s="18" t="s">
        <v>19</v>
      </c>
      <c r="L3" s="19" t="s">
        <v>20</v>
      </c>
      <c r="M3" s="18" t="s">
        <v>662</v>
      </c>
      <c r="O3" s="9"/>
    </row>
    <row r="4" spans="2:35" x14ac:dyDescent="0.2">
      <c r="B4" s="61">
        <v>1</v>
      </c>
      <c r="C4" s="53">
        <f t="shared" ref="C4:L8" si="0">_xlfn.XLOOKUP($B4,$Z$11:$Z$150,C$11:C$150)</f>
        <v>0.4</v>
      </c>
      <c r="D4" s="53">
        <f t="shared" si="0"/>
        <v>0.15</v>
      </c>
      <c r="E4" s="53">
        <f t="shared" si="0"/>
        <v>0.2</v>
      </c>
      <c r="F4" s="53">
        <f t="shared" si="0"/>
        <v>0.1</v>
      </c>
      <c r="G4" s="53">
        <f t="shared" si="0"/>
        <v>0.15</v>
      </c>
      <c r="H4" s="53">
        <f t="shared" si="0"/>
        <v>0.10178270532803813</v>
      </c>
      <c r="I4" s="53">
        <f t="shared" si="0"/>
        <v>7.7747942072710019E-2</v>
      </c>
      <c r="J4" s="85">
        <f t="shared" si="0"/>
        <v>0.70454790586296001</v>
      </c>
      <c r="K4" s="53">
        <f t="shared" si="0"/>
        <v>-0.1664981537878889</v>
      </c>
      <c r="L4" s="56">
        <f t="shared" si="0"/>
        <v>0.85</v>
      </c>
      <c r="M4" s="137" t="str">
        <f>_xlfn.XLOOKUP(ScenarioAllRank[[#This Row],[Rank]],$X$11:$X$150,Y$11:Y$150)</f>
        <v>35/15/20/10/20</v>
      </c>
    </row>
    <row r="5" spans="2:35" x14ac:dyDescent="0.2">
      <c r="B5" s="61">
        <v>2</v>
      </c>
      <c r="C5" s="53">
        <f t="shared" si="0"/>
        <v>0.35</v>
      </c>
      <c r="D5" s="53">
        <f t="shared" si="0"/>
        <v>0.15</v>
      </c>
      <c r="E5" s="53">
        <f t="shared" si="0"/>
        <v>0.2</v>
      </c>
      <c r="F5" s="53">
        <f t="shared" si="0"/>
        <v>0.1</v>
      </c>
      <c r="G5" s="53">
        <f t="shared" si="0"/>
        <v>0.2</v>
      </c>
      <c r="H5" s="53">
        <f t="shared" si="0"/>
        <v>9.7201687033294459E-2</v>
      </c>
      <c r="I5" s="53">
        <f t="shared" si="0"/>
        <v>7.3031963043220252E-2</v>
      </c>
      <c r="J5" s="85">
        <f t="shared" si="0"/>
        <v>0.68731729760615756</v>
      </c>
      <c r="K5" s="53">
        <f t="shared" si="0"/>
        <v>-0.15484931096251686</v>
      </c>
      <c r="L5" s="56">
        <f t="shared" si="0"/>
        <v>0.79999999999999993</v>
      </c>
      <c r="M5" s="137" t="str">
        <f>_xlfn.XLOOKUP(ScenarioAllRank[[#This Row],[Rank]],$X$11:$X$150,Y$11:Y$150)</f>
        <v>40/15/15/10/20</v>
      </c>
    </row>
    <row r="6" spans="2:35" x14ac:dyDescent="0.2">
      <c r="B6" s="61">
        <v>3</v>
      </c>
      <c r="C6" s="53">
        <f t="shared" si="0"/>
        <v>0.4</v>
      </c>
      <c r="D6" s="53">
        <f t="shared" si="0"/>
        <v>0.15</v>
      </c>
      <c r="E6" s="53">
        <f t="shared" si="0"/>
        <v>0.15</v>
      </c>
      <c r="F6" s="53">
        <f t="shared" si="0"/>
        <v>0.1</v>
      </c>
      <c r="G6" s="53">
        <f t="shared" si="0"/>
        <v>0.2</v>
      </c>
      <c r="H6" s="53">
        <f t="shared" si="0"/>
        <v>9.8309461807063639E-2</v>
      </c>
      <c r="I6" s="53">
        <f t="shared" si="0"/>
        <v>7.5583071565287943E-2</v>
      </c>
      <c r="J6" s="85">
        <f t="shared" si="0"/>
        <v>0.6787750906258454</v>
      </c>
      <c r="K6" s="53">
        <f t="shared" si="0"/>
        <v>-0.16220725630038224</v>
      </c>
      <c r="L6" s="56">
        <f t="shared" si="0"/>
        <v>0.8</v>
      </c>
      <c r="M6" s="137" t="str">
        <f>_xlfn.XLOOKUP(ScenarioAllRank[[#This Row],[Rank]],$X$11:$X$150,Y$11:Y$150)</f>
        <v>45/15/10/10/20</v>
      </c>
      <c r="N6" s="20"/>
    </row>
    <row r="7" spans="2:35" x14ac:dyDescent="0.2">
      <c r="B7" s="61">
        <v>4</v>
      </c>
      <c r="C7" s="53">
        <f t="shared" si="0"/>
        <v>0.4</v>
      </c>
      <c r="D7" s="53">
        <f t="shared" si="0"/>
        <v>0.2</v>
      </c>
      <c r="E7" s="53">
        <f t="shared" si="0"/>
        <v>0.2</v>
      </c>
      <c r="F7" s="53">
        <f t="shared" si="0"/>
        <v>0.1</v>
      </c>
      <c r="G7" s="53">
        <f t="shared" si="0"/>
        <v>0.1</v>
      </c>
      <c r="H7" s="53">
        <f t="shared" si="0"/>
        <v>9.96804906017731E-2</v>
      </c>
      <c r="I7" s="53">
        <f t="shared" si="0"/>
        <v>7.9943764058617736E-2</v>
      </c>
      <c r="J7" s="85">
        <f t="shared" si="0"/>
        <v>0.65889986125239652</v>
      </c>
      <c r="K7" s="53">
        <f t="shared" si="0"/>
        <v>-0.17322688100654049</v>
      </c>
      <c r="L7" s="56">
        <f t="shared" si="0"/>
        <v>0.9</v>
      </c>
      <c r="M7" s="137" t="str">
        <f>_xlfn.XLOOKUP(ScenarioAllRank[[#This Row],[Rank]],$X$11:$X$150,Y$11:Y$150)</f>
        <v>40/20/20/10/10</v>
      </c>
    </row>
    <row r="8" spans="2:35" x14ac:dyDescent="0.2">
      <c r="B8" s="63">
        <v>5</v>
      </c>
      <c r="C8" s="58">
        <f t="shared" si="0"/>
        <v>0.45</v>
      </c>
      <c r="D8" s="58">
        <f t="shared" si="0"/>
        <v>0.2</v>
      </c>
      <c r="E8" s="58">
        <f t="shared" si="0"/>
        <v>0.15</v>
      </c>
      <c r="F8" s="58">
        <f t="shared" si="0"/>
        <v>0.1</v>
      </c>
      <c r="G8" s="58">
        <f t="shared" si="0"/>
        <v>0.1</v>
      </c>
      <c r="H8" s="58">
        <f t="shared" si="0"/>
        <v>0.10078826537554227</v>
      </c>
      <c r="I8" s="58">
        <f t="shared" si="0"/>
        <v>8.2591069958370428E-2</v>
      </c>
      <c r="J8" s="108">
        <f t="shared" si="0"/>
        <v>0.65119279659526874</v>
      </c>
      <c r="K8" s="58">
        <f t="shared" si="0"/>
        <v>-0.18054317991848512</v>
      </c>
      <c r="L8" s="109">
        <f t="shared" si="0"/>
        <v>0.9</v>
      </c>
      <c r="M8" s="137" t="str">
        <f>_xlfn.XLOOKUP(ScenarioAllRank[[#This Row],[Rank]],$X$11:$X$150,Y$11:Y$150)</f>
        <v>35/20/20/10/15</v>
      </c>
    </row>
    <row r="10" spans="2:35" x14ac:dyDescent="0.2">
      <c r="H10" s="208" t="s">
        <v>663</v>
      </c>
      <c r="I10" s="209"/>
      <c r="J10" s="209"/>
      <c r="K10" s="210"/>
    </row>
    <row r="11" spans="2:35" s="15" customFormat="1" ht="32" x14ac:dyDescent="0.2">
      <c r="B11" s="11" t="s">
        <v>46</v>
      </c>
      <c r="C11" s="10" t="s">
        <v>8</v>
      </c>
      <c r="D11" s="11" t="s">
        <v>9</v>
      </c>
      <c r="E11" s="11" t="s">
        <v>10</v>
      </c>
      <c r="F11" s="11" t="s">
        <v>11</v>
      </c>
      <c r="G11" s="11" t="s">
        <v>12</v>
      </c>
      <c r="H11" s="11" t="s">
        <v>17</v>
      </c>
      <c r="I11" s="11" t="s">
        <v>21</v>
      </c>
      <c r="J11" s="11" t="s">
        <v>22</v>
      </c>
      <c r="K11" s="11" t="s">
        <v>19</v>
      </c>
      <c r="L11" s="11" t="s">
        <v>20</v>
      </c>
      <c r="M11" s="11" t="s">
        <v>23</v>
      </c>
      <c r="N11" s="11" t="s">
        <v>24</v>
      </c>
      <c r="O11" s="11" t="s">
        <v>25</v>
      </c>
      <c r="P11" s="11" t="s">
        <v>26</v>
      </c>
      <c r="Q11" s="11" t="s">
        <v>27</v>
      </c>
      <c r="R11" s="11" t="s">
        <v>28</v>
      </c>
      <c r="S11" s="11" t="s">
        <v>29</v>
      </c>
      <c r="T11" s="11" t="s">
        <v>30</v>
      </c>
      <c r="U11" s="11" t="s">
        <v>31</v>
      </c>
      <c r="V11" s="12" t="s">
        <v>32</v>
      </c>
      <c r="W11" s="11" t="s">
        <v>635</v>
      </c>
      <c r="X11" s="11" t="s">
        <v>636</v>
      </c>
      <c r="Y11" s="11" t="s">
        <v>662</v>
      </c>
      <c r="Z11" s="11" t="s">
        <v>642</v>
      </c>
      <c r="AA11" s="11" t="s">
        <v>643</v>
      </c>
      <c r="AB11" s="11" t="s">
        <v>644</v>
      </c>
    </row>
    <row r="12" spans="2:35" x14ac:dyDescent="0.2">
      <c r="B12" s="44">
        <v>10</v>
      </c>
      <c r="C12" s="68">
        <v>0.45</v>
      </c>
      <c r="D12" s="69">
        <v>0.15</v>
      </c>
      <c r="E12" s="69">
        <v>0.2</v>
      </c>
      <c r="F12" s="69">
        <v>0.1</v>
      </c>
      <c r="G12" s="69">
        <v>0.1</v>
      </c>
      <c r="H1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0.10636372362278175</v>
      </c>
      <c r="I1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8.2650739635412737E-2</v>
      </c>
      <c r="J1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0.71818072444439995</v>
      </c>
      <c r="K1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-0.17809556533929027</v>
      </c>
      <c r="L12" s="69">
        <f>SUM(ScenariosCombined[[#This Row],[SPY]:[VNQ]])</f>
        <v>0.9</v>
      </c>
      <c r="M12" s="69">
        <f>SUM(ScenariosCombined[[#This Row],[SPY]:[PE]])</f>
        <v>1</v>
      </c>
      <c r="N12" s="71" t="b">
        <f>ScenariosCombined[[#This Row],[SPY]]&gt;=SpyMin</f>
        <v>1</v>
      </c>
      <c r="O12" s="71" t="b">
        <f>ScenariosCombined[[#This Row],[AGG]]&gt;=AGGMin</f>
        <v>1</v>
      </c>
      <c r="P12" s="71" t="b">
        <f>AND(ScenariosCombined[[#This Row],[GLD]]&gt;=GLDMin,ScenariosCombined[[#This Row],[GLD]]&lt;=GLDMax)</f>
        <v>1</v>
      </c>
      <c r="Q12" s="71" t="b">
        <f>ScenariosCombined[[#This Row],[VNQ]]&gt;=VNQMin</f>
        <v>1</v>
      </c>
      <c r="R12" s="71" t="b">
        <f>AND(ScenariosCombined[[#This Row],[PE]]&gt;=PEMin,ScenariosCombined[[#This Row],[PE]]&lt;=PEMax)</f>
        <v>1</v>
      </c>
      <c r="S12" s="71" t="b">
        <f>ScenariosCombined[[#This Row],[Liquid Assets]]&gt;=LiquidMin</f>
        <v>1</v>
      </c>
      <c r="T12" s="71" t="b">
        <f>AND(ScenariosCombined[[#This Row],[Expected Return]]&gt;=ExpectedReturnMin,ScenariosCombined[[#This Row],[Expected Return]]&lt;=ExpectedReturnMax)</f>
        <v>0</v>
      </c>
      <c r="U12" s="71" t="b">
        <f>ScenariosCombined[[#This Row],[Max Drawdown]]&gt;=DrawdownMax</f>
        <v>1</v>
      </c>
      <c r="V1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2" s="43" t="str">
        <f>ScenariosCombined[[#This Row],[Sharpe Rank]]</f>
        <v/>
      </c>
      <c r="X12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2" s="45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45/15/20/10/10</v>
      </c>
      <c r="Z12" t="str">
        <f>_xlfn.XLOOKUP(ScenariosCombined[[#This Row],[Reference '#]],Scenarios1[Reference '#],Scenarios1[Sharpe Rank])</f>
        <v/>
      </c>
      <c r="AA12" t="str">
        <f>_xlfn.XLOOKUP(ScenariosCombined[[#This Row],[Reference '#]],Scenarios2[Reference '#],Scenarios2[Sharpe Rank])</f>
        <v/>
      </c>
      <c r="AB12" t="str">
        <f>_xlfn.XLOOKUP(ScenariosCombined[[#This Row],[Reference '#]],Scenarios3[Reference '#],Scenarios3[Sharpe Rank])</f>
        <v/>
      </c>
      <c r="AE12"/>
      <c r="AI12" s="15"/>
    </row>
    <row r="13" spans="2:35" s="110" customFormat="1" x14ac:dyDescent="0.2">
      <c r="B13" s="112">
        <v>3</v>
      </c>
      <c r="C13" s="113">
        <v>0.5</v>
      </c>
      <c r="D13" s="114">
        <v>0.15</v>
      </c>
      <c r="E13" s="114">
        <v>0.15</v>
      </c>
      <c r="F13" s="114">
        <v>0.1</v>
      </c>
      <c r="G13" s="114">
        <v>0.1</v>
      </c>
      <c r="H1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0.1074714983965509</v>
      </c>
      <c r="I1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8.5586284450093794E-2</v>
      </c>
      <c r="J1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0.7064910368466063</v>
      </c>
      <c r="K1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-0.18541960554388814</v>
      </c>
      <c r="L13" s="114">
        <f>SUM(ScenariosCombined[[#This Row],[SPY]:[VNQ]])</f>
        <v>0.9</v>
      </c>
      <c r="M13" s="114">
        <f>SUM(ScenariosCombined[[#This Row],[SPY]:[PE]])</f>
        <v>1</v>
      </c>
      <c r="N13" s="116" t="b">
        <f>ScenariosCombined[[#This Row],[SPY]]&gt;=SpyMin</f>
        <v>1</v>
      </c>
      <c r="O13" s="116" t="b">
        <f>ScenariosCombined[[#This Row],[AGG]]&gt;=AGGMin</f>
        <v>1</v>
      </c>
      <c r="P13" s="116" t="b">
        <f>AND(ScenariosCombined[[#This Row],[GLD]]&gt;=GLDMin,ScenariosCombined[[#This Row],[GLD]]&lt;=GLDMax)</f>
        <v>1</v>
      </c>
      <c r="Q13" s="116" t="b">
        <f>ScenariosCombined[[#This Row],[VNQ]]&gt;=VNQMin</f>
        <v>1</v>
      </c>
      <c r="R13" s="116" t="b">
        <f>AND(ScenariosCombined[[#This Row],[PE]]&gt;=PEMin,ScenariosCombined[[#This Row],[PE]]&lt;=PEMax)</f>
        <v>1</v>
      </c>
      <c r="S13" s="116" t="b">
        <f>ScenariosCombined[[#This Row],[Liquid Assets]]&gt;=LiquidMin</f>
        <v>1</v>
      </c>
      <c r="T13" s="116" t="b">
        <f>AND(ScenariosCombined[[#This Row],[Expected Return]]&gt;=ExpectedReturnMin,ScenariosCombined[[#This Row],[Expected Return]]&lt;=ExpectedReturnMax)</f>
        <v>0</v>
      </c>
      <c r="U13" s="116" t="b">
        <f>ScenariosCombined[[#This Row],[Max Drawdown]]&gt;=DrawdownMax</f>
        <v>1</v>
      </c>
      <c r="V13" s="117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3" s="118" t="str">
        <f>ScenariosCombined[[#This Row],[Sharpe Rank]]</f>
        <v/>
      </c>
      <c r="X13" s="112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3" s="119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50/15/15/10/10</v>
      </c>
      <c r="Z13" s="120" t="str">
        <f>_xlfn.XLOOKUP(ScenariosCombined[[#This Row],[Reference '#]],Scenarios1[Reference '#],Scenarios1[Sharpe Rank])</f>
        <v/>
      </c>
      <c r="AA13" s="120" t="str">
        <f>_xlfn.XLOOKUP(ScenariosCombined[[#This Row],[Reference '#]],Scenarios2[Reference '#],Scenarios2[Sharpe Rank])</f>
        <v/>
      </c>
      <c r="AB13" s="120" t="str">
        <f>_xlfn.XLOOKUP(ScenariosCombined[[#This Row],[Reference '#]],Scenarios3[Reference '#],Scenarios3[Sharpe Rank])</f>
        <v/>
      </c>
      <c r="AF13" s="134"/>
      <c r="AG13" s="134"/>
      <c r="AH13" s="134"/>
      <c r="AI13" s="134"/>
    </row>
    <row r="14" spans="2:35" s="110" customFormat="1" x14ac:dyDescent="0.2">
      <c r="B14" s="44">
        <v>27</v>
      </c>
      <c r="C14" s="68">
        <v>0.4</v>
      </c>
      <c r="D14" s="69">
        <v>0.15</v>
      </c>
      <c r="E14" s="69">
        <v>0.2</v>
      </c>
      <c r="F14" s="69">
        <v>0.1</v>
      </c>
      <c r="G14" s="69">
        <v>0.15</v>
      </c>
      <c r="H1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0.10178270532803813</v>
      </c>
      <c r="I1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7.7747942072710019E-2</v>
      </c>
      <c r="J1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0.70454790586296001</v>
      </c>
      <c r="K1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-0.1664981537878889</v>
      </c>
      <c r="L14" s="69">
        <f>SUM(ScenariosCombined[[#This Row],[SPY]:[VNQ]])</f>
        <v>0.85</v>
      </c>
      <c r="M14" s="69">
        <f>SUM(ScenariosCombined[[#This Row],[SPY]:[PE]])</f>
        <v>1</v>
      </c>
      <c r="N14" s="71" t="b">
        <f>ScenariosCombined[[#This Row],[SPY]]&gt;=SpyMin</f>
        <v>1</v>
      </c>
      <c r="O14" s="71" t="b">
        <f>ScenariosCombined[[#This Row],[AGG]]&gt;=AGGMin</f>
        <v>1</v>
      </c>
      <c r="P14" s="71" t="b">
        <f>AND(ScenariosCombined[[#This Row],[GLD]]&gt;=GLDMin,ScenariosCombined[[#This Row],[GLD]]&lt;=GLDMax)</f>
        <v>1</v>
      </c>
      <c r="Q14" s="71" t="b">
        <f>ScenariosCombined[[#This Row],[VNQ]]&gt;=VNQMin</f>
        <v>1</v>
      </c>
      <c r="R14" s="71" t="b">
        <f>AND(ScenariosCombined[[#This Row],[PE]]&gt;=PEMin,ScenariosCombined[[#This Row],[PE]]&lt;=PEMax)</f>
        <v>1</v>
      </c>
      <c r="S14" s="71" t="b">
        <f>ScenariosCombined[[#This Row],[Liquid Assets]]&gt;=LiquidMin</f>
        <v>1</v>
      </c>
      <c r="T14" s="71" t="b">
        <f>AND(ScenariosCombined[[#This Row],[Expected Return]]&gt;=ExpectedReturnMin,ScenariosCombined[[#This Row],[Expected Return]]&lt;=ExpectedReturnMax)</f>
        <v>0</v>
      </c>
      <c r="U14" s="71" t="b">
        <f>ScenariosCombined[[#This Row],[Max Drawdown]]&gt;=DrawdownMax</f>
        <v>1</v>
      </c>
      <c r="V1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" s="46" t="str">
        <f>ScenariosCombined[[#This Row],[Sharpe Rank]]</f>
        <v/>
      </c>
      <c r="X14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40/15/20/10/15</v>
      </c>
      <c r="Z14">
        <f>_xlfn.XLOOKUP(ScenariosCombined[[#This Row],[Reference '#]],Scenarios1[Reference '#],Scenarios1[Sharpe Rank])</f>
        <v>1</v>
      </c>
      <c r="AA14" t="str">
        <f>_xlfn.XLOOKUP(ScenariosCombined[[#This Row],[Reference '#]],Scenarios2[Reference '#],Scenarios2[Sharpe Rank])</f>
        <v/>
      </c>
      <c r="AB14" t="str">
        <f>_xlfn.XLOOKUP(ScenariosCombined[[#This Row],[Reference '#]],Scenarios3[Reference '#],Scenarios3[Sharpe Rank])</f>
        <v/>
      </c>
      <c r="AD14" s="135"/>
      <c r="AE14" s="135"/>
      <c r="AF14" s="134"/>
      <c r="AG14" s="134"/>
      <c r="AH14" s="134"/>
      <c r="AI14" s="134"/>
    </row>
    <row r="15" spans="2:35" x14ac:dyDescent="0.2">
      <c r="B15" s="44">
        <v>12</v>
      </c>
      <c r="C15" s="68">
        <v>0.45</v>
      </c>
      <c r="D15" s="69">
        <v>0.15</v>
      </c>
      <c r="E15" s="69">
        <v>0.15</v>
      </c>
      <c r="F15" s="69">
        <v>0.1</v>
      </c>
      <c r="G15" s="69">
        <v>0.15</v>
      </c>
      <c r="H1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0.10289048010180725</v>
      </c>
      <c r="I1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8.0506165596405346E-2</v>
      </c>
      <c r="J1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0.69416949785454707</v>
      </c>
      <c r="K1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-0.17383993004821174</v>
      </c>
      <c r="L15" s="69">
        <f>SUM(ScenariosCombined[[#This Row],[SPY]:[VNQ]])</f>
        <v>0.85</v>
      </c>
      <c r="M15" s="69">
        <f>SUM(ScenariosCombined[[#This Row],[SPY]:[PE]])</f>
        <v>1</v>
      </c>
      <c r="N15" s="71" t="b">
        <f>ScenariosCombined[[#This Row],[SPY]]&gt;=SpyMin</f>
        <v>1</v>
      </c>
      <c r="O15" s="71" t="b">
        <f>ScenariosCombined[[#This Row],[AGG]]&gt;=AGGMin</f>
        <v>1</v>
      </c>
      <c r="P15" s="71" t="b">
        <f>AND(ScenariosCombined[[#This Row],[GLD]]&gt;=GLDMin,ScenariosCombined[[#This Row],[GLD]]&lt;=GLDMax)</f>
        <v>1</v>
      </c>
      <c r="Q15" s="71" t="b">
        <f>ScenariosCombined[[#This Row],[VNQ]]&gt;=VNQMin</f>
        <v>1</v>
      </c>
      <c r="R15" s="71" t="b">
        <f>AND(ScenariosCombined[[#This Row],[PE]]&gt;=PEMin,ScenariosCombined[[#This Row],[PE]]&lt;=PEMax)</f>
        <v>1</v>
      </c>
      <c r="S15" s="71" t="b">
        <f>ScenariosCombined[[#This Row],[Liquid Assets]]&gt;=LiquidMin</f>
        <v>1</v>
      </c>
      <c r="T15" s="71" t="b">
        <f>AND(ScenariosCombined[[#This Row],[Expected Return]]&gt;=ExpectedReturnMin,ScenariosCombined[[#This Row],[Expected Return]]&lt;=ExpectedReturnMax)</f>
        <v>0</v>
      </c>
      <c r="U15" s="71" t="b">
        <f>ScenariosCombined[[#This Row],[Max Drawdown]]&gt;=DrawdownMax</f>
        <v>1</v>
      </c>
      <c r="V1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5" s="46" t="str">
        <f>ScenariosCombined[[#This Row],[Sharpe Rank]]</f>
        <v/>
      </c>
      <c r="X15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45/15/15/10/15</v>
      </c>
      <c r="Z15" t="str">
        <f>_xlfn.XLOOKUP(ScenariosCombined[[#This Row],[Reference '#]],Scenarios1[Reference '#],Scenarios1[Sharpe Rank])</f>
        <v/>
      </c>
      <c r="AA15" t="str">
        <f>_xlfn.XLOOKUP(ScenariosCombined[[#This Row],[Reference '#]],Scenarios2[Reference '#],Scenarios2[Sharpe Rank])</f>
        <v/>
      </c>
      <c r="AB15" t="str">
        <f>_xlfn.XLOOKUP(ScenariosCombined[[#This Row],[Reference '#]],Scenarios3[Reference '#],Scenarios3[Sharpe Rank])</f>
        <v/>
      </c>
      <c r="AD15" s="34"/>
      <c r="AE15" s="34"/>
      <c r="AI15" s="15"/>
    </row>
    <row r="16" spans="2:35" x14ac:dyDescent="0.2">
      <c r="B16" s="140">
        <v>1</v>
      </c>
      <c r="C16" s="141">
        <v>0.55000000000000004</v>
      </c>
      <c r="D16" s="142">
        <v>0.15</v>
      </c>
      <c r="E16" s="142">
        <v>0.1</v>
      </c>
      <c r="F16" s="142">
        <v>0.1</v>
      </c>
      <c r="G16" s="142">
        <v>0.1</v>
      </c>
      <c r="H1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0.10857927317032005</v>
      </c>
      <c r="I1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8.9362678371669044E-2</v>
      </c>
      <c r="J1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0.68903169350713467</v>
      </c>
      <c r="K1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-0.19275958966564344</v>
      </c>
      <c r="L16" s="142">
        <f>SUM(ScenariosCombined[[#This Row],[SPY]:[VNQ]])</f>
        <v>0.9</v>
      </c>
      <c r="M16" s="142">
        <f>SUM(ScenariosCombined[[#This Row],[SPY]:[PE]])</f>
        <v>1</v>
      </c>
      <c r="N16" s="143" t="b">
        <f>ScenariosCombined[[#This Row],[SPY]]&gt;=SpyMin</f>
        <v>1</v>
      </c>
      <c r="O16" s="143" t="b">
        <f>ScenariosCombined[[#This Row],[AGG]]&gt;=AGGMin</f>
        <v>1</v>
      </c>
      <c r="P16" s="143" t="b">
        <f>AND(ScenariosCombined[[#This Row],[GLD]]&gt;=GLDMin,ScenariosCombined[[#This Row],[GLD]]&lt;=GLDMax)</f>
        <v>1</v>
      </c>
      <c r="Q16" s="143" t="b">
        <f>ScenariosCombined[[#This Row],[VNQ]]&gt;=VNQMin</f>
        <v>1</v>
      </c>
      <c r="R16" s="143" t="b">
        <f>AND(ScenariosCombined[[#This Row],[PE]]&gt;=PEMin,ScenariosCombined[[#This Row],[PE]]&lt;=PEMax)</f>
        <v>1</v>
      </c>
      <c r="S16" s="143" t="b">
        <f>ScenariosCombined[[#This Row],[Liquid Assets]]&gt;=LiquidMin</f>
        <v>1</v>
      </c>
      <c r="T16" s="143" t="b">
        <f>AND(ScenariosCombined[[#This Row],[Expected Return]]&gt;=ExpectedReturnMin,ScenariosCombined[[#This Row],[Expected Return]]&lt;=ExpectedReturnMax)</f>
        <v>0</v>
      </c>
      <c r="U16" s="143" t="b">
        <f>ScenariosCombined[[#This Row],[Max Drawdown]]&gt;=DrawdownMax</f>
        <v>1</v>
      </c>
      <c r="V16" s="144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6" s="145" t="str">
        <f>ScenariosCombined[[#This Row],[Sharpe Rank]]</f>
        <v/>
      </c>
      <c r="X16" s="140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6" s="146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55/15/10/10/10</v>
      </c>
      <c r="Z16" s="147" t="str">
        <f>_xlfn.XLOOKUP(ScenariosCombined[[#This Row],[Reference '#]],Scenarios1[Reference '#],Scenarios1[Sharpe Rank])</f>
        <v/>
      </c>
      <c r="AA16" s="147" t="str">
        <f>_xlfn.XLOOKUP(ScenariosCombined[[#This Row],[Reference '#]],Scenarios2[Reference '#],Scenarios2[Sharpe Rank])</f>
        <v/>
      </c>
      <c r="AB16" s="147" t="str">
        <f>_xlfn.XLOOKUP(ScenariosCombined[[#This Row],[Reference '#]],Scenarios3[Reference '#],Scenarios3[Sharpe Rank])</f>
        <v/>
      </c>
      <c r="AD16" s="34"/>
      <c r="AE16" s="34"/>
      <c r="AI16" s="15"/>
    </row>
    <row r="17" spans="2:35" x14ac:dyDescent="0.2">
      <c r="B17" s="42">
        <v>54</v>
      </c>
      <c r="C17" s="73">
        <v>0.35</v>
      </c>
      <c r="D17" s="74">
        <v>0.15</v>
      </c>
      <c r="E17" s="74">
        <v>0.2</v>
      </c>
      <c r="F17" s="74">
        <v>0.1</v>
      </c>
      <c r="G17" s="74">
        <v>0.2</v>
      </c>
      <c r="H17" s="74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9.7201687033294459E-2</v>
      </c>
      <c r="I17" s="74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7.3031963043220252E-2</v>
      </c>
      <c r="J17" s="75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0.68731729760615756</v>
      </c>
      <c r="K17" s="74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-0.15484931096251686</v>
      </c>
      <c r="L17" s="74">
        <f>SUM(ScenariosCombined[[#This Row],[SPY]:[VNQ]])</f>
        <v>0.79999999999999993</v>
      </c>
      <c r="M17" s="74">
        <f>SUM(ScenariosCombined[[#This Row],[SPY]:[PE]])</f>
        <v>1</v>
      </c>
      <c r="N17" s="67" t="b">
        <f>ScenariosCombined[[#This Row],[SPY]]&gt;=SpyMin</f>
        <v>1</v>
      </c>
      <c r="O17" s="67" t="b">
        <f>ScenariosCombined[[#This Row],[AGG]]&gt;=AGGMin</f>
        <v>1</v>
      </c>
      <c r="P17" s="67" t="b">
        <f>AND(ScenariosCombined[[#This Row],[GLD]]&gt;=GLDMin,ScenariosCombined[[#This Row],[GLD]]&lt;=GLDMax)</f>
        <v>1</v>
      </c>
      <c r="Q17" s="67" t="b">
        <f>ScenariosCombined[[#This Row],[VNQ]]&gt;=VNQMin</f>
        <v>1</v>
      </c>
      <c r="R17" s="67" t="b">
        <f>AND(ScenariosCombined[[#This Row],[PE]]&gt;=PEMin,ScenariosCombined[[#This Row],[PE]]&lt;=PEMax)</f>
        <v>1</v>
      </c>
      <c r="S17" s="67" t="b">
        <f>ScenariosCombined[[#This Row],[Liquid Assets]]&gt;=LiquidMin</f>
        <v>1</v>
      </c>
      <c r="T17" s="67" t="b">
        <f>AND(ScenariosCombined[[#This Row],[Expected Return]]&gt;=ExpectedReturnMin,ScenariosCombined[[#This Row],[Expected Return]]&lt;=ExpectedReturnMax)</f>
        <v>1</v>
      </c>
      <c r="U17" s="67" t="b">
        <f>ScenariosCombined[[#This Row],[Max Drawdown]]&gt;=DrawdownMax</f>
        <v>1</v>
      </c>
      <c r="V17" s="76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7" s="51">
        <f>ScenariosCombined[[#This Row],[Sharpe Rank]]</f>
        <v>1</v>
      </c>
      <c r="X17" s="4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</v>
      </c>
      <c r="Y17" s="52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35/15/20/10/20</v>
      </c>
      <c r="Z17" s="50">
        <f>_xlfn.XLOOKUP(ScenariosCombined[[#This Row],[Reference '#]],Scenarios1[Reference '#],Scenarios1[Sharpe Rank])</f>
        <v>2</v>
      </c>
      <c r="AA17" s="50">
        <f>_xlfn.XLOOKUP(ScenariosCombined[[#This Row],[Reference '#]],Scenarios2[Reference '#],Scenarios2[Sharpe Rank])</f>
        <v>1</v>
      </c>
      <c r="AB17" s="50" t="str">
        <f>_xlfn.XLOOKUP(ScenariosCombined[[#This Row],[Reference '#]],Scenarios3[Reference '#],Scenarios3[Sharpe Rank])</f>
        <v/>
      </c>
      <c r="AD17" s="34"/>
      <c r="AE17" s="34"/>
      <c r="AI17" s="15"/>
    </row>
    <row r="18" spans="2:35" s="110" customFormat="1" x14ac:dyDescent="0.2">
      <c r="B18" s="42">
        <v>30</v>
      </c>
      <c r="C18" s="73">
        <v>0.4</v>
      </c>
      <c r="D18" s="74">
        <v>0.15</v>
      </c>
      <c r="E18" s="74">
        <v>0.15</v>
      </c>
      <c r="F18" s="74">
        <v>0.1</v>
      </c>
      <c r="G18" s="74">
        <v>0.2</v>
      </c>
      <c r="H18" s="74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9.8309461807063639E-2</v>
      </c>
      <c r="I18" s="74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7.5583071565287943E-2</v>
      </c>
      <c r="J18" s="75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0.6787750906258454</v>
      </c>
      <c r="K18" s="74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-0.16220725630038224</v>
      </c>
      <c r="L18" s="74">
        <f>SUM(ScenariosCombined[[#This Row],[SPY]:[VNQ]])</f>
        <v>0.8</v>
      </c>
      <c r="M18" s="74">
        <f>SUM(ScenariosCombined[[#This Row],[SPY]:[PE]])</f>
        <v>1</v>
      </c>
      <c r="N18" s="67" t="b">
        <f>ScenariosCombined[[#This Row],[SPY]]&gt;=SpyMin</f>
        <v>1</v>
      </c>
      <c r="O18" s="67" t="b">
        <f>ScenariosCombined[[#This Row],[AGG]]&gt;=AGGMin</f>
        <v>1</v>
      </c>
      <c r="P18" s="67" t="b">
        <f>AND(ScenariosCombined[[#This Row],[GLD]]&gt;=GLDMin,ScenariosCombined[[#This Row],[GLD]]&lt;=GLDMax)</f>
        <v>1</v>
      </c>
      <c r="Q18" s="67" t="b">
        <f>ScenariosCombined[[#This Row],[VNQ]]&gt;=VNQMin</f>
        <v>1</v>
      </c>
      <c r="R18" s="67" t="b">
        <f>AND(ScenariosCombined[[#This Row],[PE]]&gt;=PEMin,ScenariosCombined[[#This Row],[PE]]&lt;=PEMax)</f>
        <v>1</v>
      </c>
      <c r="S18" s="67" t="b">
        <f>ScenariosCombined[[#This Row],[Liquid Assets]]&gt;=LiquidMin</f>
        <v>1</v>
      </c>
      <c r="T18" s="67" t="b">
        <f>AND(ScenariosCombined[[#This Row],[Expected Return]]&gt;=ExpectedReturnMin,ScenariosCombined[[#This Row],[Expected Return]]&lt;=ExpectedReturnMax)</f>
        <v>1</v>
      </c>
      <c r="U18" s="67" t="b">
        <f>ScenariosCombined[[#This Row],[Max Drawdown]]&gt;=DrawdownMax</f>
        <v>1</v>
      </c>
      <c r="V18" s="76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8" s="51">
        <f>ScenariosCombined[[#This Row],[Sharpe Rank]]</f>
        <v>2</v>
      </c>
      <c r="X18" s="4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</v>
      </c>
      <c r="Y18" s="52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40/15/15/10/20</v>
      </c>
      <c r="Z18" s="50">
        <f>_xlfn.XLOOKUP(ScenariosCombined[[#This Row],[Reference '#]],Scenarios1[Reference '#],Scenarios1[Sharpe Rank])</f>
        <v>3</v>
      </c>
      <c r="AA18" s="50">
        <f>_xlfn.XLOOKUP(ScenariosCombined[[#This Row],[Reference '#]],Scenarios2[Reference '#],Scenarios2[Sharpe Rank])</f>
        <v>2</v>
      </c>
      <c r="AB18" s="50" t="str">
        <f>_xlfn.XLOOKUP(ScenariosCombined[[#This Row],[Reference '#]],Scenarios3[Reference '#],Scenarios3[Sharpe Rank])</f>
        <v/>
      </c>
      <c r="AD18" s="135"/>
      <c r="AE18" s="135"/>
      <c r="AF18" s="134"/>
      <c r="AG18" s="134"/>
      <c r="AH18" s="134"/>
      <c r="AI18" s="134"/>
    </row>
    <row r="19" spans="2:35" s="110" customFormat="1" x14ac:dyDescent="0.2">
      <c r="B19" s="140">
        <v>5</v>
      </c>
      <c r="C19" s="141">
        <v>0.5</v>
      </c>
      <c r="D19" s="142">
        <v>0.15</v>
      </c>
      <c r="E19" s="142">
        <v>0.1</v>
      </c>
      <c r="F19" s="142">
        <v>0.1</v>
      </c>
      <c r="G19" s="142">
        <v>0.15</v>
      </c>
      <c r="H1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0.10399825487557642</v>
      </c>
      <c r="I1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8.416977947948194E-2</v>
      </c>
      <c r="J1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0.67711593962193961</v>
      </c>
      <c r="K1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-0.1811991970700908</v>
      </c>
      <c r="L19" s="142">
        <f>SUM(ScenariosCombined[[#This Row],[SPY]:[VNQ]])</f>
        <v>0.85</v>
      </c>
      <c r="M19" s="142">
        <f>SUM(ScenariosCombined[[#This Row],[SPY]:[PE]])</f>
        <v>1</v>
      </c>
      <c r="N19" s="143" t="b">
        <f>ScenariosCombined[[#This Row],[SPY]]&gt;=SpyMin</f>
        <v>1</v>
      </c>
      <c r="O19" s="143" t="b">
        <f>ScenariosCombined[[#This Row],[AGG]]&gt;=AGGMin</f>
        <v>1</v>
      </c>
      <c r="P19" s="143" t="b">
        <f>AND(ScenariosCombined[[#This Row],[GLD]]&gt;=GLDMin,ScenariosCombined[[#This Row],[GLD]]&lt;=GLDMax)</f>
        <v>1</v>
      </c>
      <c r="Q19" s="143" t="b">
        <f>ScenariosCombined[[#This Row],[VNQ]]&gt;=VNQMin</f>
        <v>1</v>
      </c>
      <c r="R19" s="143" t="b">
        <f>AND(ScenariosCombined[[#This Row],[PE]]&gt;=PEMin,ScenariosCombined[[#This Row],[PE]]&lt;=PEMax)</f>
        <v>1</v>
      </c>
      <c r="S19" s="143" t="b">
        <f>ScenariosCombined[[#This Row],[Liquid Assets]]&gt;=LiquidMin</f>
        <v>1</v>
      </c>
      <c r="T19" s="143" t="b">
        <f>AND(ScenariosCombined[[#This Row],[Expected Return]]&gt;=ExpectedReturnMin,ScenariosCombined[[#This Row],[Expected Return]]&lt;=ExpectedReturnMax)</f>
        <v>0</v>
      </c>
      <c r="U19" s="143" t="b">
        <f>ScenariosCombined[[#This Row],[Max Drawdown]]&gt;=DrawdownMax</f>
        <v>1</v>
      </c>
      <c r="V19" s="144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9" s="145" t="str">
        <f>ScenariosCombined[[#This Row],[Sharpe Rank]]</f>
        <v/>
      </c>
      <c r="X19" s="140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9" s="146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50/15/10/10/15</v>
      </c>
      <c r="Z19" s="147" t="str">
        <f>_xlfn.XLOOKUP(ScenariosCombined[[#This Row],[Reference '#]],Scenarios1[Reference '#],Scenarios1[Sharpe Rank])</f>
        <v/>
      </c>
      <c r="AA19" s="147" t="str">
        <f>_xlfn.XLOOKUP(ScenariosCombined[[#This Row],[Reference '#]],Scenarios2[Reference '#],Scenarios2[Sharpe Rank])</f>
        <v/>
      </c>
      <c r="AB19" s="147" t="str">
        <f>_xlfn.XLOOKUP(ScenariosCombined[[#This Row],[Reference '#]],Scenarios3[Reference '#],Scenarios3[Sharpe Rank])</f>
        <v/>
      </c>
      <c r="AD19" s="135"/>
      <c r="AE19" s="135"/>
      <c r="AF19" s="134"/>
      <c r="AG19" s="134"/>
      <c r="AH19" s="134"/>
      <c r="AI19" s="134"/>
    </row>
    <row r="20" spans="2:35" x14ac:dyDescent="0.2">
      <c r="B20" s="42">
        <v>15</v>
      </c>
      <c r="C20" s="73">
        <v>0.45</v>
      </c>
      <c r="D20" s="74">
        <v>0.15</v>
      </c>
      <c r="E20" s="74">
        <v>0.1</v>
      </c>
      <c r="F20" s="74">
        <v>0.1</v>
      </c>
      <c r="G20" s="74">
        <v>0.2</v>
      </c>
      <c r="H20" s="74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9.9417236580832791E-2</v>
      </c>
      <c r="I20" s="74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7.911221564736387E-2</v>
      </c>
      <c r="J20" s="75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0.66249795428430369</v>
      </c>
      <c r="K20" s="74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-0.16958426219189504</v>
      </c>
      <c r="L20" s="74">
        <f>SUM(ScenariosCombined[[#This Row],[SPY]:[VNQ]])</f>
        <v>0.79999999999999993</v>
      </c>
      <c r="M20" s="74">
        <f>SUM(ScenariosCombined[[#This Row],[SPY]:[PE]])</f>
        <v>1</v>
      </c>
      <c r="N20" s="67" t="b">
        <f>ScenariosCombined[[#This Row],[SPY]]&gt;=SpyMin</f>
        <v>1</v>
      </c>
      <c r="O20" s="67" t="b">
        <f>ScenariosCombined[[#This Row],[AGG]]&gt;=AGGMin</f>
        <v>1</v>
      </c>
      <c r="P20" s="67" t="b">
        <f>AND(ScenariosCombined[[#This Row],[GLD]]&gt;=GLDMin,ScenariosCombined[[#This Row],[GLD]]&lt;=GLDMax)</f>
        <v>1</v>
      </c>
      <c r="Q20" s="67" t="b">
        <f>ScenariosCombined[[#This Row],[VNQ]]&gt;=VNQMin</f>
        <v>1</v>
      </c>
      <c r="R20" s="67" t="b">
        <f>AND(ScenariosCombined[[#This Row],[PE]]&gt;=PEMin,ScenariosCombined[[#This Row],[PE]]&lt;=PEMax)</f>
        <v>1</v>
      </c>
      <c r="S20" s="67" t="b">
        <f>ScenariosCombined[[#This Row],[Liquid Assets]]&gt;=LiquidMin</f>
        <v>1</v>
      </c>
      <c r="T20" s="67" t="b">
        <f>AND(ScenariosCombined[[#This Row],[Expected Return]]&gt;=ExpectedReturnMin,ScenariosCombined[[#This Row],[Expected Return]]&lt;=ExpectedReturnMax)</f>
        <v>1</v>
      </c>
      <c r="U20" s="67" t="b">
        <f>ScenariosCombined[[#This Row],[Max Drawdown]]&gt;=DrawdownMax</f>
        <v>1</v>
      </c>
      <c r="V20" s="76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20" s="51">
        <f>ScenariosCombined[[#This Row],[Sharpe Rank]]</f>
        <v>3</v>
      </c>
      <c r="X20" s="4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</v>
      </c>
      <c r="Y20" s="52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45/15/10/10/20</v>
      </c>
      <c r="Z20" s="50">
        <f>_xlfn.XLOOKUP(ScenariosCombined[[#This Row],[Reference '#]],Scenarios1[Reference '#],Scenarios1[Sharpe Rank])</f>
        <v>6</v>
      </c>
      <c r="AA20" s="50">
        <f>_xlfn.XLOOKUP(ScenariosCombined[[#This Row],[Reference '#]],Scenarios2[Reference '#],Scenarios2[Sharpe Rank])</f>
        <v>4</v>
      </c>
      <c r="AB20" s="50" t="str">
        <f>_xlfn.XLOOKUP(ScenariosCombined[[#This Row],[Reference '#]],Scenarios3[Reference '#],Scenarios3[Sharpe Rank])</f>
        <v/>
      </c>
      <c r="AD20" s="34"/>
      <c r="AE20" s="34"/>
      <c r="AI20" s="15"/>
    </row>
    <row r="21" spans="2:35" x14ac:dyDescent="0.2">
      <c r="B21" s="42">
        <v>20</v>
      </c>
      <c r="C21" s="73">
        <v>0.4</v>
      </c>
      <c r="D21" s="74">
        <v>0.2</v>
      </c>
      <c r="E21" s="74">
        <v>0.2</v>
      </c>
      <c r="F21" s="74">
        <v>0.1</v>
      </c>
      <c r="G21" s="74">
        <v>0.1</v>
      </c>
      <c r="H21" s="74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9.96804906017731E-2</v>
      </c>
      <c r="I21" s="74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7.9943764058617736E-2</v>
      </c>
      <c r="J21" s="75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0.65889986125239652</v>
      </c>
      <c r="K21" s="74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-0.17322688100654049</v>
      </c>
      <c r="L21" s="74">
        <f>SUM(ScenariosCombined[[#This Row],[SPY]:[VNQ]])</f>
        <v>0.9</v>
      </c>
      <c r="M21" s="74">
        <f>SUM(ScenariosCombined[[#This Row],[SPY]:[PE]])</f>
        <v>1</v>
      </c>
      <c r="N21" s="67" t="b">
        <f>ScenariosCombined[[#This Row],[SPY]]&gt;=SpyMin</f>
        <v>1</v>
      </c>
      <c r="O21" s="67" t="b">
        <f>ScenariosCombined[[#This Row],[AGG]]&gt;=AGGMin</f>
        <v>1</v>
      </c>
      <c r="P21" s="67" t="b">
        <f>AND(ScenariosCombined[[#This Row],[GLD]]&gt;=GLDMin,ScenariosCombined[[#This Row],[GLD]]&lt;=GLDMax)</f>
        <v>1</v>
      </c>
      <c r="Q21" s="67" t="b">
        <f>ScenariosCombined[[#This Row],[VNQ]]&gt;=VNQMin</f>
        <v>1</v>
      </c>
      <c r="R21" s="67" t="b">
        <f>AND(ScenariosCombined[[#This Row],[PE]]&gt;=PEMin,ScenariosCombined[[#This Row],[PE]]&lt;=PEMax)</f>
        <v>1</v>
      </c>
      <c r="S21" s="67" t="b">
        <f>ScenariosCombined[[#This Row],[Liquid Assets]]&gt;=LiquidMin</f>
        <v>1</v>
      </c>
      <c r="T21" s="67" t="b">
        <f>AND(ScenariosCombined[[#This Row],[Expected Return]]&gt;=ExpectedReturnMin,ScenariosCombined[[#This Row],[Expected Return]]&lt;=ExpectedReturnMax)</f>
        <v>1</v>
      </c>
      <c r="U21" s="67" t="b">
        <f>ScenariosCombined[[#This Row],[Max Drawdown]]&gt;=DrawdownMax</f>
        <v>1</v>
      </c>
      <c r="V21" s="76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21" s="51">
        <f>ScenariosCombined[[#This Row],[Sharpe Rank]]</f>
        <v>4</v>
      </c>
      <c r="X21" s="4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</v>
      </c>
      <c r="Y21" s="52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40/20/20/10/10</v>
      </c>
      <c r="Z21" s="50">
        <f>_xlfn.XLOOKUP(ScenariosCombined[[#This Row],[Reference '#]],Scenarios1[Reference '#],Scenarios1[Sharpe Rank])</f>
        <v>4</v>
      </c>
      <c r="AA21" s="50">
        <f>_xlfn.XLOOKUP(ScenariosCombined[[#This Row],[Reference '#]],Scenarios2[Reference '#],Scenarios2[Sharpe Rank])</f>
        <v>3</v>
      </c>
      <c r="AB21" s="50" t="str">
        <f>_xlfn.XLOOKUP(ScenariosCombined[[#This Row],[Reference '#]],Scenarios3[Reference '#],Scenarios3[Sharpe Rank])</f>
        <v/>
      </c>
      <c r="AD21" s="34"/>
      <c r="AE21" s="34"/>
      <c r="AI21" s="15"/>
    </row>
    <row r="22" spans="2:35" s="110" customFormat="1" x14ac:dyDescent="0.2">
      <c r="B22" s="44">
        <v>7</v>
      </c>
      <c r="C22" s="68">
        <v>0.45</v>
      </c>
      <c r="D22" s="69">
        <v>0.2</v>
      </c>
      <c r="E22" s="69">
        <v>0.15</v>
      </c>
      <c r="F22" s="69">
        <v>0.1</v>
      </c>
      <c r="G22" s="69">
        <v>0.1</v>
      </c>
      <c r="H2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0.10078826537554227</v>
      </c>
      <c r="I2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8.2591069958370428E-2</v>
      </c>
      <c r="J2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0.65119279659526874</v>
      </c>
      <c r="K2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-0.18054317991848512</v>
      </c>
      <c r="L22" s="69">
        <f>SUM(ScenariosCombined[[#This Row],[SPY]:[VNQ]])</f>
        <v>0.9</v>
      </c>
      <c r="M22" s="69">
        <f>SUM(ScenariosCombined[[#This Row],[SPY]:[PE]])</f>
        <v>1</v>
      </c>
      <c r="N22" s="71" t="b">
        <f>ScenariosCombined[[#This Row],[SPY]]&gt;=SpyMin</f>
        <v>1</v>
      </c>
      <c r="O22" s="71" t="b">
        <f>ScenariosCombined[[#This Row],[AGG]]&gt;=AGGMin</f>
        <v>1</v>
      </c>
      <c r="P22" s="71" t="b">
        <f>AND(ScenariosCombined[[#This Row],[GLD]]&gt;=GLDMin,ScenariosCombined[[#This Row],[GLD]]&lt;=GLDMax)</f>
        <v>1</v>
      </c>
      <c r="Q22" s="71" t="b">
        <f>ScenariosCombined[[#This Row],[VNQ]]&gt;=VNQMin</f>
        <v>1</v>
      </c>
      <c r="R22" s="71" t="b">
        <f>AND(ScenariosCombined[[#This Row],[PE]]&gt;=PEMin,ScenariosCombined[[#This Row],[PE]]&lt;=PEMax)</f>
        <v>1</v>
      </c>
      <c r="S22" s="71" t="b">
        <f>ScenariosCombined[[#This Row],[Liquid Assets]]&gt;=LiquidMin</f>
        <v>1</v>
      </c>
      <c r="T22" s="71" t="b">
        <f>AND(ScenariosCombined[[#This Row],[Expected Return]]&gt;=ExpectedReturnMin,ScenariosCombined[[#This Row],[Expected Return]]&lt;=ExpectedReturnMax)</f>
        <v>0</v>
      </c>
      <c r="U22" s="71" t="b">
        <f>ScenariosCombined[[#This Row],[Max Drawdown]]&gt;=DrawdownMax</f>
        <v>1</v>
      </c>
      <c r="V2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22" s="46" t="str">
        <f>ScenariosCombined[[#This Row],[Sharpe Rank]]</f>
        <v/>
      </c>
      <c r="X22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2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45/20/15/10/10</v>
      </c>
      <c r="Z22">
        <f>_xlfn.XLOOKUP(ScenariosCombined[[#This Row],[Reference '#]],Scenarios1[Reference '#],Scenarios1[Sharpe Rank])</f>
        <v>5</v>
      </c>
      <c r="AA22" t="str">
        <f>_xlfn.XLOOKUP(ScenariosCombined[[#This Row],[Reference '#]],Scenarios2[Reference '#],Scenarios2[Sharpe Rank])</f>
        <v/>
      </c>
      <c r="AB22" t="str">
        <f>_xlfn.XLOOKUP(ScenariosCombined[[#This Row],[Reference '#]],Scenarios3[Reference '#],Scenarios3[Sharpe Rank])</f>
        <v/>
      </c>
      <c r="AD22" s="135"/>
      <c r="AE22" s="135"/>
      <c r="AF22" s="134"/>
      <c r="AG22" s="134"/>
      <c r="AH22" s="134"/>
      <c r="AI22" s="134"/>
    </row>
    <row r="23" spans="2:35" x14ac:dyDescent="0.2">
      <c r="B23" s="42">
        <v>45</v>
      </c>
      <c r="C23" s="73">
        <v>0.35</v>
      </c>
      <c r="D23" s="74">
        <v>0.2</v>
      </c>
      <c r="E23" s="74">
        <v>0.2</v>
      </c>
      <c r="F23" s="74">
        <v>0.1</v>
      </c>
      <c r="G23" s="74">
        <v>0.15</v>
      </c>
      <c r="H23" s="74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9.5099472307029462E-2</v>
      </c>
      <c r="I23" s="74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7.5127128613537944E-2</v>
      </c>
      <c r="J23" s="75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0.64016710925921583</v>
      </c>
      <c r="K23" s="74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-0.16162825703486428</v>
      </c>
      <c r="L23" s="74">
        <f>SUM(ScenariosCombined[[#This Row],[SPY]:[VNQ]])</f>
        <v>0.85</v>
      </c>
      <c r="M23" s="74">
        <f>SUM(ScenariosCombined[[#This Row],[SPY]:[PE]])</f>
        <v>1</v>
      </c>
      <c r="N23" s="67" t="b">
        <f>ScenariosCombined[[#This Row],[SPY]]&gt;=SpyMin</f>
        <v>1</v>
      </c>
      <c r="O23" s="67" t="b">
        <f>ScenariosCombined[[#This Row],[AGG]]&gt;=AGGMin</f>
        <v>1</v>
      </c>
      <c r="P23" s="67" t="b">
        <f>AND(ScenariosCombined[[#This Row],[GLD]]&gt;=GLDMin,ScenariosCombined[[#This Row],[GLD]]&lt;=GLDMax)</f>
        <v>1</v>
      </c>
      <c r="Q23" s="67" t="b">
        <f>ScenariosCombined[[#This Row],[VNQ]]&gt;=VNQMin</f>
        <v>1</v>
      </c>
      <c r="R23" s="67" t="b">
        <f>AND(ScenariosCombined[[#This Row],[PE]]&gt;=PEMin,ScenariosCombined[[#This Row],[PE]]&lt;=PEMax)</f>
        <v>1</v>
      </c>
      <c r="S23" s="67" t="b">
        <f>ScenariosCombined[[#This Row],[Liquid Assets]]&gt;=LiquidMin</f>
        <v>1</v>
      </c>
      <c r="T23" s="67" t="b">
        <f>AND(ScenariosCombined[[#This Row],[Expected Return]]&gt;=ExpectedReturnMin,ScenariosCombined[[#This Row],[Expected Return]]&lt;=ExpectedReturnMax)</f>
        <v>1</v>
      </c>
      <c r="U23" s="67" t="b">
        <f>ScenariosCombined[[#This Row],[Max Drawdown]]&gt;=DrawdownMax</f>
        <v>1</v>
      </c>
      <c r="V23" s="76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23" s="51">
        <f>ScenariosCombined[[#This Row],[Sharpe Rank]]</f>
        <v>5</v>
      </c>
      <c r="X23" s="4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</v>
      </c>
      <c r="Y23" s="52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35/20/20/10/15</v>
      </c>
      <c r="Z23" s="50">
        <f>_xlfn.XLOOKUP(ScenariosCombined[[#This Row],[Reference '#]],Scenarios1[Reference '#],Scenarios1[Sharpe Rank])</f>
        <v>7</v>
      </c>
      <c r="AA23" s="50">
        <f>_xlfn.XLOOKUP(ScenariosCombined[[#This Row],[Reference '#]],Scenarios2[Reference '#],Scenarios2[Sharpe Rank])</f>
        <v>5</v>
      </c>
      <c r="AB23" s="50">
        <f>_xlfn.XLOOKUP(ScenariosCombined[[#This Row],[Reference '#]],Scenarios3[Reference '#],Scenarios3[Sharpe Rank])</f>
        <v>1</v>
      </c>
      <c r="AD23" s="34"/>
      <c r="AE23" s="34"/>
      <c r="AI23" s="15"/>
    </row>
    <row r="24" spans="2:35" x14ac:dyDescent="0.2">
      <c r="B24" s="44">
        <v>26</v>
      </c>
      <c r="C24" s="68">
        <v>0.4</v>
      </c>
      <c r="D24" s="69">
        <v>0.15</v>
      </c>
      <c r="E24" s="69">
        <v>0.2</v>
      </c>
      <c r="F24" s="69">
        <v>0.15</v>
      </c>
      <c r="G24" s="69">
        <v>0.1</v>
      </c>
      <c r="H2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0.1012642299479366</v>
      </c>
      <c r="I2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8.4909049819064705E-2</v>
      </c>
      <c r="J2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0.63902109972968157</v>
      </c>
      <c r="K2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-0.18098526063032661</v>
      </c>
      <c r="L24" s="69">
        <f>SUM(ScenariosCombined[[#This Row],[SPY]:[VNQ]])</f>
        <v>0.9</v>
      </c>
      <c r="M24" s="69">
        <f>SUM(ScenariosCombined[[#This Row],[SPY]:[PE]])</f>
        <v>1</v>
      </c>
      <c r="N24" s="71" t="b">
        <f>ScenariosCombined[[#This Row],[SPY]]&gt;=SpyMin</f>
        <v>1</v>
      </c>
      <c r="O24" s="71" t="b">
        <f>ScenariosCombined[[#This Row],[AGG]]&gt;=AGGMin</f>
        <v>1</v>
      </c>
      <c r="P24" s="71" t="b">
        <f>AND(ScenariosCombined[[#This Row],[GLD]]&gt;=GLDMin,ScenariosCombined[[#This Row],[GLD]]&lt;=GLDMax)</f>
        <v>1</v>
      </c>
      <c r="Q24" s="71" t="b">
        <f>ScenariosCombined[[#This Row],[VNQ]]&gt;=VNQMin</f>
        <v>1</v>
      </c>
      <c r="R24" s="71" t="b">
        <f>AND(ScenariosCombined[[#This Row],[PE]]&gt;=PEMin,ScenariosCombined[[#This Row],[PE]]&lt;=PEMax)</f>
        <v>1</v>
      </c>
      <c r="S24" s="71" t="b">
        <f>ScenariosCombined[[#This Row],[Liquid Assets]]&gt;=LiquidMin</f>
        <v>1</v>
      </c>
      <c r="T24" s="71" t="b">
        <f>AND(ScenariosCombined[[#This Row],[Expected Return]]&gt;=ExpectedReturnMin,ScenariosCombined[[#This Row],[Expected Return]]&lt;=ExpectedReturnMax)</f>
        <v>0</v>
      </c>
      <c r="U24" s="71" t="b">
        <f>ScenariosCombined[[#This Row],[Max Drawdown]]&gt;=DrawdownMax</f>
        <v>1</v>
      </c>
      <c r="V2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24" s="46" t="str">
        <f>ScenariosCombined[[#This Row],[Sharpe Rank]]</f>
        <v/>
      </c>
      <c r="X24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2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40/15/20/15/10</v>
      </c>
      <c r="Z24" s="139" t="str">
        <f>_xlfn.XLOOKUP(ScenariosCombined[[#This Row],[Reference '#]],Scenarios1[Reference '#],Scenarios1[Sharpe Rank])</f>
        <v/>
      </c>
      <c r="AA24" s="139" t="str">
        <f>_xlfn.XLOOKUP(ScenariosCombined[[#This Row],[Reference '#]],Scenarios2[Reference '#],Scenarios2[Sharpe Rank])</f>
        <v/>
      </c>
      <c r="AB24" s="139" t="str">
        <f>_xlfn.XLOOKUP(ScenariosCombined[[#This Row],[Reference '#]],Scenarios3[Reference '#],Scenarios3[Sharpe Rank])</f>
        <v/>
      </c>
      <c r="AD24" s="34"/>
      <c r="AE24" s="34"/>
      <c r="AI24" s="15"/>
    </row>
    <row r="25" spans="2:35" x14ac:dyDescent="0.2">
      <c r="B25" s="140">
        <v>2</v>
      </c>
      <c r="C25" s="141">
        <v>0.5</v>
      </c>
      <c r="D25" s="142">
        <v>0.2</v>
      </c>
      <c r="E25" s="142">
        <v>0.1</v>
      </c>
      <c r="F25" s="142">
        <v>0.1</v>
      </c>
      <c r="G25" s="142">
        <v>0.1</v>
      </c>
      <c r="H2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0.10189604014931142</v>
      </c>
      <c r="I2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8.6129978160750478E-2</v>
      </c>
      <c r="J2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0.63729825277918761</v>
      </c>
      <c r="K2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-0.18787639492969854</v>
      </c>
      <c r="L25" s="142">
        <f>SUM(ScenariosCombined[[#This Row],[SPY]:[VNQ]])</f>
        <v>0.89999999999999991</v>
      </c>
      <c r="M25" s="142">
        <f>SUM(ScenariosCombined[[#This Row],[SPY]:[PE]])</f>
        <v>0.99999999999999989</v>
      </c>
      <c r="N25" s="143" t="b">
        <f>ScenariosCombined[[#This Row],[SPY]]&gt;=SpyMin</f>
        <v>1</v>
      </c>
      <c r="O25" s="143" t="b">
        <f>ScenariosCombined[[#This Row],[AGG]]&gt;=AGGMin</f>
        <v>1</v>
      </c>
      <c r="P25" s="143" t="b">
        <f>AND(ScenariosCombined[[#This Row],[GLD]]&gt;=GLDMin,ScenariosCombined[[#This Row],[GLD]]&lt;=GLDMax)</f>
        <v>1</v>
      </c>
      <c r="Q25" s="143" t="b">
        <f>ScenariosCombined[[#This Row],[VNQ]]&gt;=VNQMin</f>
        <v>1</v>
      </c>
      <c r="R25" s="143" t="b">
        <f>AND(ScenariosCombined[[#This Row],[PE]]&gt;=PEMin,ScenariosCombined[[#This Row],[PE]]&lt;=PEMax)</f>
        <v>1</v>
      </c>
      <c r="S25" s="143" t="b">
        <f>ScenariosCombined[[#This Row],[Liquid Assets]]&gt;=LiquidMin</f>
        <v>1</v>
      </c>
      <c r="T25" s="143" t="b">
        <f>AND(ScenariosCombined[[#This Row],[Expected Return]]&gt;=ExpectedReturnMin,ScenariosCombined[[#This Row],[Expected Return]]&lt;=ExpectedReturnMax)</f>
        <v>0</v>
      </c>
      <c r="U25" s="143" t="b">
        <f>ScenariosCombined[[#This Row],[Max Drawdown]]&gt;=DrawdownMax</f>
        <v>1</v>
      </c>
      <c r="V25" s="144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25" s="145" t="str">
        <f>ScenariosCombined[[#This Row],[Sharpe Rank]]</f>
        <v/>
      </c>
      <c r="X25" s="140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25" s="146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50/20/10/10/10</v>
      </c>
      <c r="Z25" s="147" t="str">
        <f>_xlfn.XLOOKUP(ScenariosCombined[[#This Row],[Reference '#]],Scenarios1[Reference '#],Scenarios1[Sharpe Rank])</f>
        <v/>
      </c>
      <c r="AA25" s="147" t="str">
        <f>_xlfn.XLOOKUP(ScenariosCombined[[#This Row],[Reference '#]],Scenarios2[Reference '#],Scenarios2[Sharpe Rank])</f>
        <v/>
      </c>
      <c r="AB25" s="147" t="str">
        <f>_xlfn.XLOOKUP(ScenariosCombined[[#This Row],[Reference '#]],Scenarios3[Reference '#],Scenarios3[Sharpe Rank])</f>
        <v/>
      </c>
      <c r="AD25" s="34"/>
      <c r="AE25" s="34"/>
      <c r="AI25" s="15"/>
    </row>
    <row r="26" spans="2:35" x14ac:dyDescent="0.2">
      <c r="B26" s="122">
        <v>22</v>
      </c>
      <c r="C26" s="123">
        <v>0.4</v>
      </c>
      <c r="D26" s="124">
        <v>0.2</v>
      </c>
      <c r="E26" s="124">
        <v>0.15</v>
      </c>
      <c r="F26" s="124">
        <v>0.1</v>
      </c>
      <c r="G26" s="124">
        <v>0.15</v>
      </c>
      <c r="H2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9.62072470807986E-2</v>
      </c>
      <c r="I2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7.7569309378944171E-2</v>
      </c>
      <c r="J2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0.63429327809122704</v>
      </c>
      <c r="K26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-0.16896122731263008</v>
      </c>
      <c r="L26" s="124">
        <f>SUM(ScenariosCombined[[#This Row],[SPY]:[VNQ]])</f>
        <v>0.85000000000000009</v>
      </c>
      <c r="M26" s="124">
        <f>SUM(ScenariosCombined[[#This Row],[SPY]:[PE]])</f>
        <v>1</v>
      </c>
      <c r="N26" s="126" t="b">
        <f>ScenariosCombined[[#This Row],[SPY]]&gt;=SpyMin</f>
        <v>1</v>
      </c>
      <c r="O26" s="126" t="b">
        <f>ScenariosCombined[[#This Row],[AGG]]&gt;=AGGMin</f>
        <v>1</v>
      </c>
      <c r="P26" s="126" t="b">
        <f>AND(ScenariosCombined[[#This Row],[GLD]]&gt;=GLDMin,ScenariosCombined[[#This Row],[GLD]]&lt;=GLDMax)</f>
        <v>1</v>
      </c>
      <c r="Q26" s="126" t="b">
        <f>ScenariosCombined[[#This Row],[VNQ]]&gt;=VNQMin</f>
        <v>1</v>
      </c>
      <c r="R26" s="126" t="b">
        <f>AND(ScenariosCombined[[#This Row],[PE]]&gt;=PEMin,ScenariosCombined[[#This Row],[PE]]&lt;=PEMax)</f>
        <v>1</v>
      </c>
      <c r="S26" s="126" t="b">
        <f>ScenariosCombined[[#This Row],[Liquid Assets]]&gt;=LiquidMin</f>
        <v>1</v>
      </c>
      <c r="T26" s="126" t="b">
        <f>AND(ScenariosCombined[[#This Row],[Expected Return]]&gt;=ExpectedReturnMin,ScenariosCombined[[#This Row],[Expected Return]]&lt;=ExpectedReturnMax)</f>
        <v>1</v>
      </c>
      <c r="U26" s="126" t="b">
        <f>ScenariosCombined[[#This Row],[Max Drawdown]]&gt;=DrawdownMax</f>
        <v>1</v>
      </c>
      <c r="V26" s="148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26" s="149">
        <f>ScenariosCombined[[#This Row],[Sharpe Rank]]</f>
        <v>6</v>
      </c>
      <c r="X26" s="12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</v>
      </c>
      <c r="Y26" s="150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40/20/15/10/15</v>
      </c>
      <c r="Z26" s="151">
        <f>_xlfn.XLOOKUP(ScenariosCombined[[#This Row],[Reference '#]],Scenarios1[Reference '#],Scenarios1[Sharpe Rank])</f>
        <v>8</v>
      </c>
      <c r="AA26" s="151">
        <f>_xlfn.XLOOKUP(ScenariosCombined[[#This Row],[Reference '#]],Scenarios2[Reference '#],Scenarios2[Sharpe Rank])</f>
        <v>6</v>
      </c>
      <c r="AB26" s="151">
        <f>_xlfn.XLOOKUP(ScenariosCombined[[#This Row],[Reference '#]],Scenarios3[Reference '#],Scenarios3[Sharpe Rank])</f>
        <v>3</v>
      </c>
      <c r="AD26" s="34"/>
      <c r="AE26" s="34"/>
      <c r="AI26" s="15"/>
    </row>
    <row r="27" spans="2:35" x14ac:dyDescent="0.2">
      <c r="B27" s="44">
        <v>11</v>
      </c>
      <c r="C27" s="68">
        <v>0.45</v>
      </c>
      <c r="D27" s="69">
        <v>0.15</v>
      </c>
      <c r="E27" s="69">
        <v>0.15</v>
      </c>
      <c r="F27" s="69">
        <v>0.15</v>
      </c>
      <c r="G27" s="69">
        <v>0.1</v>
      </c>
      <c r="H2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0.10237200472170573</v>
      </c>
      <c r="I2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8.7672986989800306E-2</v>
      </c>
      <c r="J2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0.63151092562400546</v>
      </c>
      <c r="K27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-0.18828201909404418</v>
      </c>
      <c r="L27" s="69">
        <f>SUM(ScenariosCombined[[#This Row],[SPY]:[VNQ]])</f>
        <v>0.9</v>
      </c>
      <c r="M27" s="69">
        <f>SUM(ScenariosCombined[[#This Row],[SPY]:[PE]])</f>
        <v>1</v>
      </c>
      <c r="N27" s="71" t="b">
        <f>ScenariosCombined[[#This Row],[SPY]]&gt;=SpyMin</f>
        <v>1</v>
      </c>
      <c r="O27" s="71" t="b">
        <f>ScenariosCombined[[#This Row],[AGG]]&gt;=AGGMin</f>
        <v>1</v>
      </c>
      <c r="P27" s="71" t="b">
        <f>AND(ScenariosCombined[[#This Row],[GLD]]&gt;=GLDMin,ScenariosCombined[[#This Row],[GLD]]&lt;=GLDMax)</f>
        <v>1</v>
      </c>
      <c r="Q27" s="71" t="b">
        <f>ScenariosCombined[[#This Row],[VNQ]]&gt;=VNQMin</f>
        <v>1</v>
      </c>
      <c r="R27" s="71" t="b">
        <f>AND(ScenariosCombined[[#This Row],[PE]]&gt;=PEMin,ScenariosCombined[[#This Row],[PE]]&lt;=PEMax)</f>
        <v>1</v>
      </c>
      <c r="S27" s="71" t="b">
        <f>ScenariosCombined[[#This Row],[Liquid Assets]]&gt;=LiquidMin</f>
        <v>1</v>
      </c>
      <c r="T27" s="71" t="b">
        <f>AND(ScenariosCombined[[#This Row],[Expected Return]]&gt;=ExpectedReturnMin,ScenariosCombined[[#This Row],[Expected Return]]&lt;=ExpectedReturnMax)</f>
        <v>0</v>
      </c>
      <c r="U27" s="71" t="b">
        <f>ScenariosCombined[[#This Row],[Max Drawdown]]&gt;=DrawdownMax</f>
        <v>1</v>
      </c>
      <c r="V2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27" s="46" t="str">
        <f>ScenariosCombined[[#This Row],[Sharpe Rank]]</f>
        <v/>
      </c>
      <c r="X27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2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45/15/15/15/10</v>
      </c>
      <c r="Z27" s="139" t="str">
        <f>_xlfn.XLOOKUP(ScenariosCombined[[#This Row],[Reference '#]],Scenarios1[Reference '#],Scenarios1[Sharpe Rank])</f>
        <v/>
      </c>
      <c r="AA27" s="139" t="str">
        <f>_xlfn.XLOOKUP(ScenariosCombined[[#This Row],[Reference '#]],Scenarios2[Reference '#],Scenarios2[Sharpe Rank])</f>
        <v/>
      </c>
      <c r="AB27" s="139" t="str">
        <f>_xlfn.XLOOKUP(ScenariosCombined[[#This Row],[Reference '#]],Scenarios3[Reference '#],Scenarios3[Sharpe Rank])</f>
        <v/>
      </c>
      <c r="AD27" s="34"/>
      <c r="AE27" s="34"/>
      <c r="AI27" s="15"/>
    </row>
    <row r="28" spans="2:35" x14ac:dyDescent="0.2">
      <c r="B28" s="140">
        <v>9</v>
      </c>
      <c r="C28" s="141">
        <v>0.45</v>
      </c>
      <c r="D28" s="142">
        <v>0.2</v>
      </c>
      <c r="E28" s="142">
        <v>0.1</v>
      </c>
      <c r="F28" s="142">
        <v>0.1</v>
      </c>
      <c r="G28" s="142">
        <v>0.15</v>
      </c>
      <c r="H2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9.7315021854567765E-2</v>
      </c>
      <c r="I2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8.0973569375642915E-2</v>
      </c>
      <c r="J2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0.62130725725603808</v>
      </c>
      <c r="K28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-0.17631267316325527</v>
      </c>
      <c r="L28" s="142">
        <f>SUM(ScenariosCombined[[#This Row],[SPY]:[VNQ]])</f>
        <v>0.85</v>
      </c>
      <c r="M28" s="142">
        <f>SUM(ScenariosCombined[[#This Row],[SPY]:[PE]])</f>
        <v>1</v>
      </c>
      <c r="N28" s="143" t="b">
        <f>ScenariosCombined[[#This Row],[SPY]]&gt;=SpyMin</f>
        <v>1</v>
      </c>
      <c r="O28" s="143" t="b">
        <f>ScenariosCombined[[#This Row],[AGG]]&gt;=AGGMin</f>
        <v>1</v>
      </c>
      <c r="P28" s="143" t="b">
        <f>AND(ScenariosCombined[[#This Row],[GLD]]&gt;=GLDMin,ScenariosCombined[[#This Row],[GLD]]&lt;=GLDMax)</f>
        <v>1</v>
      </c>
      <c r="Q28" s="143" t="b">
        <f>ScenariosCombined[[#This Row],[VNQ]]&gt;=VNQMin</f>
        <v>1</v>
      </c>
      <c r="R28" s="143" t="b">
        <f>AND(ScenariosCombined[[#This Row],[PE]]&gt;=PEMin,ScenariosCombined[[#This Row],[PE]]&lt;=PEMax)</f>
        <v>1</v>
      </c>
      <c r="S28" s="143" t="b">
        <f>ScenariosCombined[[#This Row],[Liquid Assets]]&gt;=LiquidMin</f>
        <v>1</v>
      </c>
      <c r="T28" s="143" t="b">
        <f>AND(ScenariosCombined[[#This Row],[Expected Return]]&gt;=ExpectedReturnMin,ScenariosCombined[[#This Row],[Expected Return]]&lt;=ExpectedReturnMax)</f>
        <v>1</v>
      </c>
      <c r="U28" s="143" t="b">
        <f>ScenariosCombined[[#This Row],[Max Drawdown]]&gt;=DrawdownMax</f>
        <v>1</v>
      </c>
      <c r="V28" s="144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28" s="145">
        <f>ScenariosCombined[[#This Row],[Sharpe Rank]]</f>
        <v>7</v>
      </c>
      <c r="X28" s="140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</v>
      </c>
      <c r="Y28" s="146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45/20/10/10/15</v>
      </c>
      <c r="Z28" s="147">
        <f>_xlfn.XLOOKUP(ScenariosCombined[[#This Row],[Reference '#]],Scenarios1[Reference '#],Scenarios1[Sharpe Rank])</f>
        <v>9</v>
      </c>
      <c r="AA28" s="147">
        <f>_xlfn.XLOOKUP(ScenariosCombined[[#This Row],[Reference '#]],Scenarios2[Reference '#],Scenarios2[Sharpe Rank])</f>
        <v>7</v>
      </c>
      <c r="AB28" s="147" t="str">
        <f>_xlfn.XLOOKUP(ScenariosCombined[[#This Row],[Reference '#]],Scenarios3[Reference '#],Scenarios3[Sharpe Rank])</f>
        <v/>
      </c>
      <c r="AD28" s="34"/>
      <c r="AE28" s="34"/>
      <c r="AI28" s="15"/>
    </row>
    <row r="29" spans="2:35" x14ac:dyDescent="0.2">
      <c r="B29" s="122">
        <v>53</v>
      </c>
      <c r="C29" s="123">
        <v>0.35</v>
      </c>
      <c r="D29" s="124">
        <v>0.15</v>
      </c>
      <c r="E29" s="124">
        <v>0.2</v>
      </c>
      <c r="F29" s="124">
        <v>0.15</v>
      </c>
      <c r="G29" s="124">
        <v>0.15</v>
      </c>
      <c r="H2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9.6683211653192935E-2</v>
      </c>
      <c r="I2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8.0027720134087321E-2</v>
      </c>
      <c r="J2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0.62075560836172672</v>
      </c>
      <c r="K29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-0.16942426563268254</v>
      </c>
      <c r="L29" s="124">
        <f>SUM(ScenariosCombined[[#This Row],[SPY]:[VNQ]])</f>
        <v>0.85</v>
      </c>
      <c r="M29" s="124">
        <f>SUM(ScenariosCombined[[#This Row],[SPY]:[PE]])</f>
        <v>1</v>
      </c>
      <c r="N29" s="126" t="b">
        <f>ScenariosCombined[[#This Row],[SPY]]&gt;=SpyMin</f>
        <v>1</v>
      </c>
      <c r="O29" s="126" t="b">
        <f>ScenariosCombined[[#This Row],[AGG]]&gt;=AGGMin</f>
        <v>1</v>
      </c>
      <c r="P29" s="126" t="b">
        <f>AND(ScenariosCombined[[#This Row],[GLD]]&gt;=GLDMin,ScenariosCombined[[#This Row],[GLD]]&lt;=GLDMax)</f>
        <v>1</v>
      </c>
      <c r="Q29" s="126" t="b">
        <f>ScenariosCombined[[#This Row],[VNQ]]&gt;=VNQMin</f>
        <v>1</v>
      </c>
      <c r="R29" s="126" t="b">
        <f>AND(ScenariosCombined[[#This Row],[PE]]&gt;=PEMin,ScenariosCombined[[#This Row],[PE]]&lt;=PEMax)</f>
        <v>1</v>
      </c>
      <c r="S29" s="126" t="b">
        <f>ScenariosCombined[[#This Row],[Liquid Assets]]&gt;=LiquidMin</f>
        <v>1</v>
      </c>
      <c r="T29" s="126" t="b">
        <f>AND(ScenariosCombined[[#This Row],[Expected Return]]&gt;=ExpectedReturnMin,ScenariosCombined[[#This Row],[Expected Return]]&lt;=ExpectedReturnMax)</f>
        <v>1</v>
      </c>
      <c r="U29" s="126" t="b">
        <f>ScenariosCombined[[#This Row],[Max Drawdown]]&gt;=DrawdownMax</f>
        <v>1</v>
      </c>
      <c r="V29" s="148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29" s="149">
        <f>ScenariosCombined[[#This Row],[Sharpe Rank]]</f>
        <v>8</v>
      </c>
      <c r="X29" s="12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</v>
      </c>
      <c r="Y29" s="150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35/15/20/15/15</v>
      </c>
      <c r="Z29" s="151">
        <f>_xlfn.XLOOKUP(ScenariosCombined[[#This Row],[Reference '#]],Scenarios1[Reference '#],Scenarios1[Sharpe Rank])</f>
        <v>10</v>
      </c>
      <c r="AA29" s="151">
        <f>_xlfn.XLOOKUP(ScenariosCombined[[#This Row],[Reference '#]],Scenarios2[Reference '#],Scenarios2[Sharpe Rank])</f>
        <v>8</v>
      </c>
      <c r="AB29" s="151">
        <f>_xlfn.XLOOKUP(ScenariosCombined[[#This Row],[Reference '#]],Scenarios3[Reference '#],Scenarios3[Sharpe Rank])</f>
        <v>5</v>
      </c>
      <c r="AD29" s="34"/>
      <c r="AE29" s="34"/>
      <c r="AI29" s="15"/>
    </row>
    <row r="30" spans="2:35" x14ac:dyDescent="0.2">
      <c r="B30" s="44">
        <v>4</v>
      </c>
      <c r="C30" s="68">
        <v>0.5</v>
      </c>
      <c r="D30" s="69">
        <v>0.15</v>
      </c>
      <c r="E30" s="69">
        <v>0.1</v>
      </c>
      <c r="F30" s="69">
        <v>0.15</v>
      </c>
      <c r="G30" s="69">
        <v>0.1</v>
      </c>
      <c r="H3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0.10347977949547489</v>
      </c>
      <c r="I3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9.1270846552146068E-2</v>
      </c>
      <c r="J3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0.61875424709305993</v>
      </c>
      <c r="K30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-0.19559472139226264</v>
      </c>
      <c r="L30" s="69">
        <f>SUM(ScenariosCombined[[#This Row],[SPY]:[VNQ]])</f>
        <v>0.9</v>
      </c>
      <c r="M30" s="69">
        <f>SUM(ScenariosCombined[[#This Row],[SPY]:[PE]])</f>
        <v>1</v>
      </c>
      <c r="N30" s="71" t="b">
        <f>ScenariosCombined[[#This Row],[SPY]]&gt;=SpyMin</f>
        <v>1</v>
      </c>
      <c r="O30" s="71" t="b">
        <f>ScenariosCombined[[#This Row],[AGG]]&gt;=AGGMin</f>
        <v>1</v>
      </c>
      <c r="P30" s="71" t="b">
        <f>AND(ScenariosCombined[[#This Row],[GLD]]&gt;=GLDMin,ScenariosCombined[[#This Row],[GLD]]&lt;=GLDMax)</f>
        <v>1</v>
      </c>
      <c r="Q30" s="71" t="b">
        <f>ScenariosCombined[[#This Row],[VNQ]]&gt;=VNQMin</f>
        <v>1</v>
      </c>
      <c r="R30" s="71" t="b">
        <f>AND(ScenariosCombined[[#This Row],[PE]]&gt;=PEMin,ScenariosCombined[[#This Row],[PE]]&lt;=PEMax)</f>
        <v>1</v>
      </c>
      <c r="S30" s="71" t="b">
        <f>ScenariosCombined[[#This Row],[Liquid Assets]]&gt;=LiquidMin</f>
        <v>1</v>
      </c>
      <c r="T30" s="71" t="b">
        <f>AND(ScenariosCombined[[#This Row],[Expected Return]]&gt;=ExpectedReturnMin,ScenariosCombined[[#This Row],[Expected Return]]&lt;=ExpectedReturnMax)</f>
        <v>0</v>
      </c>
      <c r="U30" s="71" t="b">
        <f>ScenariosCombined[[#This Row],[Max Drawdown]]&gt;=DrawdownMax</f>
        <v>1</v>
      </c>
      <c r="V3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30" s="46" t="str">
        <f>ScenariosCombined[[#This Row],[Sharpe Rank]]</f>
        <v/>
      </c>
      <c r="X30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3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50/15/10/15/10</v>
      </c>
      <c r="Z30" s="139" t="str">
        <f>_xlfn.XLOOKUP(ScenariosCombined[[#This Row],[Reference '#]],Scenarios1[Reference '#],Scenarios1[Sharpe Rank])</f>
        <v/>
      </c>
      <c r="AA30" s="139" t="str">
        <f>_xlfn.XLOOKUP(ScenariosCombined[[#This Row],[Reference '#]],Scenarios2[Reference '#],Scenarios2[Sharpe Rank])</f>
        <v/>
      </c>
      <c r="AB30" s="139" t="str">
        <f>_xlfn.XLOOKUP(ScenariosCombined[[#This Row],[Reference '#]],Scenarios3[Reference '#],Scenarios3[Sharpe Rank])</f>
        <v/>
      </c>
      <c r="AD30" s="34"/>
      <c r="AE30" s="34"/>
      <c r="AI30" s="15"/>
    </row>
    <row r="31" spans="2:35" x14ac:dyDescent="0.2">
      <c r="B31" s="122">
        <v>81</v>
      </c>
      <c r="C31" s="123">
        <v>0.3</v>
      </c>
      <c r="D31" s="124">
        <v>0.2</v>
      </c>
      <c r="E31" s="124">
        <v>0.2</v>
      </c>
      <c r="F31" s="124">
        <v>0.1</v>
      </c>
      <c r="G31" s="124">
        <v>0.2</v>
      </c>
      <c r="H3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9.0518454012285823E-2</v>
      </c>
      <c r="I3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7.0515905232183831E-2</v>
      </c>
      <c r="J3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0.61706501977756301</v>
      </c>
      <c r="K31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-0.14997953387901686</v>
      </c>
      <c r="L31" s="124">
        <f>SUM(ScenariosCombined[[#This Row],[SPY]:[VNQ]])</f>
        <v>0.79999999999999993</v>
      </c>
      <c r="M31" s="124">
        <f>SUM(ScenariosCombined[[#This Row],[SPY]:[PE]])</f>
        <v>1</v>
      </c>
      <c r="N31" s="126" t="b">
        <f>ScenariosCombined[[#This Row],[SPY]]&gt;=SpyMin</f>
        <v>1</v>
      </c>
      <c r="O31" s="126" t="b">
        <f>ScenariosCombined[[#This Row],[AGG]]&gt;=AGGMin</f>
        <v>1</v>
      </c>
      <c r="P31" s="126" t="b">
        <f>AND(ScenariosCombined[[#This Row],[GLD]]&gt;=GLDMin,ScenariosCombined[[#This Row],[GLD]]&lt;=GLDMax)</f>
        <v>1</v>
      </c>
      <c r="Q31" s="126" t="b">
        <f>ScenariosCombined[[#This Row],[VNQ]]&gt;=VNQMin</f>
        <v>1</v>
      </c>
      <c r="R31" s="126" t="b">
        <f>AND(ScenariosCombined[[#This Row],[PE]]&gt;=PEMin,ScenariosCombined[[#This Row],[PE]]&lt;=PEMax)</f>
        <v>1</v>
      </c>
      <c r="S31" s="126" t="b">
        <f>ScenariosCombined[[#This Row],[Liquid Assets]]&gt;=LiquidMin</f>
        <v>1</v>
      </c>
      <c r="T31" s="126" t="b">
        <f>AND(ScenariosCombined[[#This Row],[Expected Return]]&gt;=ExpectedReturnMin,ScenariosCombined[[#This Row],[Expected Return]]&lt;=ExpectedReturnMax)</f>
        <v>1</v>
      </c>
      <c r="U31" s="126" t="b">
        <f>ScenariosCombined[[#This Row],[Max Drawdown]]&gt;=DrawdownMax</f>
        <v>1</v>
      </c>
      <c r="V31" s="148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1" s="149">
        <f>ScenariosCombined[[#This Row],[Sharpe Rank]]</f>
        <v>9</v>
      </c>
      <c r="X31" s="12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</v>
      </c>
      <c r="Y31" s="150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30/20/20/10/20</v>
      </c>
      <c r="Z31" s="151">
        <f>_xlfn.XLOOKUP(ScenariosCombined[[#This Row],[Reference '#]],Scenarios1[Reference '#],Scenarios1[Sharpe Rank])</f>
        <v>12</v>
      </c>
      <c r="AA31" s="151">
        <f>_xlfn.XLOOKUP(ScenariosCombined[[#This Row],[Reference '#]],Scenarios2[Reference '#],Scenarios2[Sharpe Rank])</f>
        <v>10</v>
      </c>
      <c r="AB31" s="151">
        <f>_xlfn.XLOOKUP(ScenariosCombined[[#This Row],[Reference '#]],Scenarios3[Reference '#],Scenarios3[Sharpe Rank])</f>
        <v>2</v>
      </c>
      <c r="AD31" s="34"/>
      <c r="AE31" s="34"/>
      <c r="AI31" s="15"/>
    </row>
    <row r="32" spans="2:35" x14ac:dyDescent="0.2">
      <c r="B32" s="44">
        <v>29</v>
      </c>
      <c r="C32" s="68">
        <v>0.4</v>
      </c>
      <c r="D32" s="69">
        <v>0.15</v>
      </c>
      <c r="E32" s="69">
        <v>0.15</v>
      </c>
      <c r="F32" s="69">
        <v>0.15</v>
      </c>
      <c r="G32" s="69">
        <v>0.15</v>
      </c>
      <c r="H3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9.7790986426962101E-2</v>
      </c>
      <c r="I3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8.2607958304269175E-2</v>
      </c>
      <c r="J3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0.61477649265157985</v>
      </c>
      <c r="K32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-0.17673871875174951</v>
      </c>
      <c r="L32" s="69">
        <f>SUM(ScenariosCombined[[#This Row],[SPY]:[VNQ]])</f>
        <v>0.85000000000000009</v>
      </c>
      <c r="M32" s="69">
        <f>SUM(ScenariosCombined[[#This Row],[SPY]:[PE]])</f>
        <v>1</v>
      </c>
      <c r="N32" s="71" t="b">
        <f>ScenariosCombined[[#This Row],[SPY]]&gt;=SpyMin</f>
        <v>1</v>
      </c>
      <c r="O32" s="71" t="b">
        <f>ScenariosCombined[[#This Row],[AGG]]&gt;=AGGMin</f>
        <v>1</v>
      </c>
      <c r="P32" s="71" t="b">
        <f>AND(ScenariosCombined[[#This Row],[GLD]]&gt;=GLDMin,ScenariosCombined[[#This Row],[GLD]]&lt;=GLDMax)</f>
        <v>1</v>
      </c>
      <c r="Q32" s="71" t="b">
        <f>ScenariosCombined[[#This Row],[VNQ]]&gt;=VNQMin</f>
        <v>1</v>
      </c>
      <c r="R32" s="71" t="b">
        <f>AND(ScenariosCombined[[#This Row],[PE]]&gt;=PEMin,ScenariosCombined[[#This Row],[PE]]&lt;=PEMax)</f>
        <v>1</v>
      </c>
      <c r="S32" s="71" t="b">
        <f>ScenariosCombined[[#This Row],[Liquid Assets]]&gt;=LiquidMin</f>
        <v>1</v>
      </c>
      <c r="T32" s="71" t="b">
        <f>AND(ScenariosCombined[[#This Row],[Expected Return]]&gt;=ExpectedReturnMin,ScenariosCombined[[#This Row],[Expected Return]]&lt;=ExpectedReturnMax)</f>
        <v>1</v>
      </c>
      <c r="U32" s="71" t="b">
        <f>ScenariosCombined[[#This Row],[Max Drawdown]]&gt;=DrawdownMax</f>
        <v>1</v>
      </c>
      <c r="V3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2" s="46">
        <f>ScenariosCombined[[#This Row],[Sharpe Rank]]</f>
        <v>10</v>
      </c>
      <c r="X3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</v>
      </c>
      <c r="Y3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40/15/15/15/15</v>
      </c>
      <c r="Z32" s="139">
        <f>_xlfn.XLOOKUP(ScenariosCombined[[#This Row],[Reference '#]],Scenarios1[Reference '#],Scenarios1[Sharpe Rank])</f>
        <v>11</v>
      </c>
      <c r="AA32" s="139">
        <f>_xlfn.XLOOKUP(ScenariosCombined[[#This Row],[Reference '#]],Scenarios2[Reference '#],Scenarios2[Sharpe Rank])</f>
        <v>9</v>
      </c>
      <c r="AB32" s="139" t="str">
        <f>_xlfn.XLOOKUP(ScenariosCombined[[#This Row],[Reference '#]],Scenarios3[Reference '#],Scenarios3[Sharpe Rank])</f>
        <v/>
      </c>
      <c r="AD32" s="34"/>
      <c r="AE32" s="34"/>
      <c r="AI32" s="15"/>
    </row>
    <row r="33" spans="2:35" x14ac:dyDescent="0.2">
      <c r="B33" s="112">
        <v>48</v>
      </c>
      <c r="C33" s="113">
        <v>0.35</v>
      </c>
      <c r="D33" s="114">
        <v>0.2</v>
      </c>
      <c r="E33" s="114">
        <v>0.15</v>
      </c>
      <c r="F33" s="114">
        <v>0.1</v>
      </c>
      <c r="G33" s="114">
        <v>0.2</v>
      </c>
      <c r="H3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9.1626228786054975E-2</v>
      </c>
      <c r="I3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7.2718897635541749E-2</v>
      </c>
      <c r="J3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0.61360491813466156</v>
      </c>
      <c r="K33" s="121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-0.15732759310777245</v>
      </c>
      <c r="L33" s="114">
        <f>SUM(ScenariosCombined[[#This Row],[SPY]:[VNQ]])</f>
        <v>0.8</v>
      </c>
      <c r="M33" s="114">
        <f>SUM(ScenariosCombined[[#This Row],[SPY]:[PE]])</f>
        <v>1</v>
      </c>
      <c r="N33" s="116" t="b">
        <f>ScenariosCombined[[#This Row],[SPY]]&gt;=SpyMin</f>
        <v>1</v>
      </c>
      <c r="O33" s="116" t="b">
        <f>ScenariosCombined[[#This Row],[AGG]]&gt;=AGGMin</f>
        <v>1</v>
      </c>
      <c r="P33" s="116" t="b">
        <f>AND(ScenariosCombined[[#This Row],[GLD]]&gt;=GLDMin,ScenariosCombined[[#This Row],[GLD]]&lt;=GLDMax)</f>
        <v>1</v>
      </c>
      <c r="Q33" s="116" t="b">
        <f>ScenariosCombined[[#This Row],[VNQ]]&gt;=VNQMin</f>
        <v>1</v>
      </c>
      <c r="R33" s="116" t="b">
        <f>AND(ScenariosCombined[[#This Row],[PE]]&gt;=PEMin,ScenariosCombined[[#This Row],[PE]]&lt;=PEMax)</f>
        <v>1</v>
      </c>
      <c r="S33" s="116" t="b">
        <f>ScenariosCombined[[#This Row],[Liquid Assets]]&gt;=LiquidMin</f>
        <v>1</v>
      </c>
      <c r="T33" s="116" t="b">
        <f>AND(ScenariosCombined[[#This Row],[Expected Return]]&gt;=ExpectedReturnMin,ScenariosCombined[[#This Row],[Expected Return]]&lt;=ExpectedReturnMax)</f>
        <v>1</v>
      </c>
      <c r="U33" s="116" t="b">
        <f>ScenariosCombined[[#This Row],[Max Drawdown]]&gt;=DrawdownMax</f>
        <v>1</v>
      </c>
      <c r="V33" s="117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3" s="118">
        <f>ScenariosCombined[[#This Row],[Sharpe Rank]]</f>
        <v>11</v>
      </c>
      <c r="X33" s="11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11</v>
      </c>
      <c r="Y33" s="119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35/20/15/10/20</v>
      </c>
      <c r="Z33" s="120">
        <f>_xlfn.XLOOKUP(ScenariosCombined[[#This Row],[Reference '#]],Scenarios1[Reference '#],Scenarios1[Sharpe Rank])</f>
        <v>14</v>
      </c>
      <c r="AA33" s="120">
        <f>_xlfn.XLOOKUP(ScenariosCombined[[#This Row],[Reference '#]],Scenarios2[Reference '#],Scenarios2[Sharpe Rank])</f>
        <v>11</v>
      </c>
      <c r="AB33" s="120">
        <f>_xlfn.XLOOKUP(ScenariosCombined[[#This Row],[Reference '#]],Scenarios3[Reference '#],Scenarios3[Sharpe Rank])</f>
        <v>4</v>
      </c>
      <c r="AD33" s="34"/>
      <c r="AE33" s="34"/>
      <c r="AI33" s="15"/>
    </row>
    <row r="34" spans="2:35" x14ac:dyDescent="0.2">
      <c r="B34" s="44">
        <v>14</v>
      </c>
      <c r="C34" s="68">
        <v>0.45</v>
      </c>
      <c r="D34" s="69">
        <v>0.15</v>
      </c>
      <c r="E34" s="69">
        <v>0.1</v>
      </c>
      <c r="F34" s="69">
        <v>0.15</v>
      </c>
      <c r="G34" s="69">
        <v>0.15</v>
      </c>
      <c r="H3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9.8898761200731267E-2</v>
      </c>
      <c r="I3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8.6084391364720458E-2</v>
      </c>
      <c r="J3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0.60281782588571386</v>
      </c>
      <c r="K3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-0.18407065770152886</v>
      </c>
      <c r="L34" s="69">
        <f>SUM(ScenariosCombined[[#This Row],[SPY]:[VNQ]])</f>
        <v>0.85</v>
      </c>
      <c r="M34" s="69">
        <f>SUM(ScenariosCombined[[#This Row],[SPY]:[PE]])</f>
        <v>1</v>
      </c>
      <c r="N34" s="71" t="b">
        <f>ScenariosCombined[[#This Row],[SPY]]&gt;=SpyMin</f>
        <v>1</v>
      </c>
      <c r="O34" s="71" t="b">
        <f>ScenariosCombined[[#This Row],[AGG]]&gt;=AGGMin</f>
        <v>1</v>
      </c>
      <c r="P34" s="71" t="b">
        <f>AND(ScenariosCombined[[#This Row],[GLD]]&gt;=GLDMin,ScenariosCombined[[#This Row],[GLD]]&lt;=GLDMax)</f>
        <v>1</v>
      </c>
      <c r="Q34" s="71" t="b">
        <f>ScenariosCombined[[#This Row],[VNQ]]&gt;=VNQMin</f>
        <v>1</v>
      </c>
      <c r="R34" s="71" t="b">
        <f>AND(ScenariosCombined[[#This Row],[PE]]&gt;=PEMin,ScenariosCombined[[#This Row],[PE]]&lt;=PEMax)</f>
        <v>1</v>
      </c>
      <c r="S34" s="71" t="b">
        <f>ScenariosCombined[[#This Row],[Liquid Assets]]&gt;=LiquidMin</f>
        <v>1</v>
      </c>
      <c r="T34" s="71" t="b">
        <f>AND(ScenariosCombined[[#This Row],[Expected Return]]&gt;=ExpectedReturnMin,ScenariosCombined[[#This Row],[Expected Return]]&lt;=ExpectedReturnMax)</f>
        <v>1</v>
      </c>
      <c r="U34" s="71" t="b">
        <f>ScenariosCombined[[#This Row],[Max Drawdown]]&gt;=DrawdownMax</f>
        <v>1</v>
      </c>
      <c r="V3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4" s="46">
        <f>ScenariosCombined[[#This Row],[Sharpe Rank]]</f>
        <v>12</v>
      </c>
      <c r="X3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12</v>
      </c>
      <c r="Y3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45/15/10/15/15</v>
      </c>
      <c r="Z34">
        <f>_xlfn.XLOOKUP(ScenariosCombined[[#This Row],[Reference '#]],Scenarios1[Reference '#],Scenarios1[Sharpe Rank])</f>
        <v>13</v>
      </c>
      <c r="AA34">
        <f>_xlfn.XLOOKUP(ScenariosCombined[[#This Row],[Reference '#]],Scenarios2[Reference '#],Scenarios2[Sharpe Rank])</f>
        <v>12</v>
      </c>
      <c r="AB34" t="str">
        <f>_xlfn.XLOOKUP(ScenariosCombined[[#This Row],[Reference '#]],Scenarios3[Reference '#],Scenarios3[Sharpe Rank])</f>
        <v/>
      </c>
      <c r="AD34" s="34"/>
      <c r="AE34" s="34"/>
      <c r="AI34" s="15"/>
    </row>
    <row r="35" spans="2:35" x14ac:dyDescent="0.2">
      <c r="B35" s="44">
        <v>25</v>
      </c>
      <c r="C35" s="68">
        <v>0.4</v>
      </c>
      <c r="D35" s="69">
        <v>0.2</v>
      </c>
      <c r="E35" s="69">
        <v>0.1</v>
      </c>
      <c r="F35" s="69">
        <v>0.1</v>
      </c>
      <c r="G35" s="69">
        <v>0.2</v>
      </c>
      <c r="H3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9.2734003559824155E-2</v>
      </c>
      <c r="I3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7.5963097172488184E-2</v>
      </c>
      <c r="J3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0.60198240601530162</v>
      </c>
      <c r="K3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-0.16469571026556495</v>
      </c>
      <c r="L35" s="69">
        <f>SUM(ScenariosCombined[[#This Row],[SPY]:[VNQ]])</f>
        <v>0.8</v>
      </c>
      <c r="M35" s="69">
        <f>SUM(ScenariosCombined[[#This Row],[SPY]:[PE]])</f>
        <v>1</v>
      </c>
      <c r="N35" s="71" t="b">
        <f>ScenariosCombined[[#This Row],[SPY]]&gt;=SpyMin</f>
        <v>1</v>
      </c>
      <c r="O35" s="71" t="b">
        <f>ScenariosCombined[[#This Row],[AGG]]&gt;=AGGMin</f>
        <v>1</v>
      </c>
      <c r="P35" s="71" t="b">
        <f>AND(ScenariosCombined[[#This Row],[GLD]]&gt;=GLDMin,ScenariosCombined[[#This Row],[GLD]]&lt;=GLDMax)</f>
        <v>1</v>
      </c>
      <c r="Q35" s="71" t="b">
        <f>ScenariosCombined[[#This Row],[VNQ]]&gt;=VNQMin</f>
        <v>1</v>
      </c>
      <c r="R35" s="71" t="b">
        <f>AND(ScenariosCombined[[#This Row],[PE]]&gt;=PEMin,ScenariosCombined[[#This Row],[PE]]&lt;=PEMax)</f>
        <v>1</v>
      </c>
      <c r="S35" s="71" t="b">
        <f>ScenariosCombined[[#This Row],[Liquid Assets]]&gt;=LiquidMin</f>
        <v>1</v>
      </c>
      <c r="T35" s="71" t="b">
        <f>AND(ScenariosCombined[[#This Row],[Expected Return]]&gt;=ExpectedReturnMin,ScenariosCombined[[#This Row],[Expected Return]]&lt;=ExpectedReturnMax)</f>
        <v>1</v>
      </c>
      <c r="U35" s="71" t="b">
        <f>ScenariosCombined[[#This Row],[Max Drawdown]]&gt;=DrawdownMax</f>
        <v>1</v>
      </c>
      <c r="V3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5" s="46">
        <f>ScenariosCombined[[#This Row],[Sharpe Rank]]</f>
        <v>13</v>
      </c>
      <c r="X3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13</v>
      </c>
      <c r="Y3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40/20/10/10/20</v>
      </c>
      <c r="Z35">
        <f>_xlfn.XLOOKUP(ScenariosCombined[[#This Row],[Reference '#]],Scenarios1[Reference '#],Scenarios1[Sharpe Rank])</f>
        <v>17</v>
      </c>
      <c r="AA35">
        <f>_xlfn.XLOOKUP(ScenariosCombined[[#This Row],[Reference '#]],Scenarios2[Reference '#],Scenarios2[Sharpe Rank])</f>
        <v>14</v>
      </c>
      <c r="AB35">
        <f>_xlfn.XLOOKUP(ScenariosCombined[[#This Row],[Reference '#]],Scenarios3[Reference '#],Scenarios3[Sharpe Rank])</f>
        <v>6</v>
      </c>
      <c r="AD35" s="34"/>
      <c r="AE35" s="34"/>
      <c r="AI35" s="15"/>
    </row>
    <row r="36" spans="2:35" x14ac:dyDescent="0.2">
      <c r="B36" s="44">
        <v>90</v>
      </c>
      <c r="C36" s="68">
        <v>0.3</v>
      </c>
      <c r="D36" s="69">
        <v>0.15</v>
      </c>
      <c r="E36" s="69">
        <v>0.2</v>
      </c>
      <c r="F36" s="69">
        <v>0.15</v>
      </c>
      <c r="G36" s="69">
        <v>0.2</v>
      </c>
      <c r="H3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9.2102193358449311E-2</v>
      </c>
      <c r="I3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7.533029028012124E-2</v>
      </c>
      <c r="J3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0.59865211769659432</v>
      </c>
      <c r="K3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-0.15781185327852942</v>
      </c>
      <c r="L36" s="69">
        <f>SUM(ScenariosCombined[[#This Row],[SPY]:[VNQ]])</f>
        <v>0.79999999999999993</v>
      </c>
      <c r="M36" s="69">
        <f>SUM(ScenariosCombined[[#This Row],[SPY]:[PE]])</f>
        <v>1</v>
      </c>
      <c r="N36" s="71" t="b">
        <f>ScenariosCombined[[#This Row],[SPY]]&gt;=SpyMin</f>
        <v>1</v>
      </c>
      <c r="O36" s="71" t="b">
        <f>ScenariosCombined[[#This Row],[AGG]]&gt;=AGGMin</f>
        <v>1</v>
      </c>
      <c r="P36" s="71" t="b">
        <f>AND(ScenariosCombined[[#This Row],[GLD]]&gt;=GLDMin,ScenariosCombined[[#This Row],[GLD]]&lt;=GLDMax)</f>
        <v>1</v>
      </c>
      <c r="Q36" s="71" t="b">
        <f>ScenariosCombined[[#This Row],[VNQ]]&gt;=VNQMin</f>
        <v>1</v>
      </c>
      <c r="R36" s="71" t="b">
        <f>AND(ScenariosCombined[[#This Row],[PE]]&gt;=PEMin,ScenariosCombined[[#This Row],[PE]]&lt;=PEMax)</f>
        <v>1</v>
      </c>
      <c r="S36" s="71" t="b">
        <f>ScenariosCombined[[#This Row],[Liquid Assets]]&gt;=LiquidMin</f>
        <v>1</v>
      </c>
      <c r="T36" s="71" t="b">
        <f>AND(ScenariosCombined[[#This Row],[Expected Return]]&gt;=ExpectedReturnMin,ScenariosCombined[[#This Row],[Expected Return]]&lt;=ExpectedReturnMax)</f>
        <v>1</v>
      </c>
      <c r="U36" s="71" t="b">
        <f>ScenariosCombined[[#This Row],[Max Drawdown]]&gt;=DrawdownMax</f>
        <v>1</v>
      </c>
      <c r="V3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6" s="46">
        <f>ScenariosCombined[[#This Row],[Sharpe Rank]]</f>
        <v>14</v>
      </c>
      <c r="X3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14</v>
      </c>
      <c r="Y3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30/15/20/15/20</v>
      </c>
      <c r="Z36">
        <f>_xlfn.XLOOKUP(ScenariosCombined[[#This Row],[Reference '#]],Scenarios1[Reference '#],Scenarios1[Sharpe Rank])</f>
        <v>19</v>
      </c>
      <c r="AA36">
        <f>_xlfn.XLOOKUP(ScenariosCombined[[#This Row],[Reference '#]],Scenarios2[Reference '#],Scenarios2[Sharpe Rank])</f>
        <v>16</v>
      </c>
      <c r="AB36">
        <f>_xlfn.XLOOKUP(ScenariosCombined[[#This Row],[Reference '#]],Scenarios3[Reference '#],Scenarios3[Sharpe Rank])</f>
        <v>7</v>
      </c>
      <c r="AD36" s="34"/>
      <c r="AE36" s="34"/>
      <c r="AI36" s="15"/>
    </row>
    <row r="37" spans="2:35" x14ac:dyDescent="0.2">
      <c r="B37" s="44">
        <v>57</v>
      </c>
      <c r="C37" s="68">
        <v>0.35</v>
      </c>
      <c r="D37" s="69">
        <v>0.15</v>
      </c>
      <c r="E37" s="69">
        <v>0.15</v>
      </c>
      <c r="F37" s="69">
        <v>0.15</v>
      </c>
      <c r="G37" s="69">
        <v>0.2</v>
      </c>
      <c r="H3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9.3209968132218449E-2</v>
      </c>
      <c r="I3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7.7697646668545756E-2</v>
      </c>
      <c r="J3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0.5946693955065151</v>
      </c>
      <c r="K3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-0.1651424399457585</v>
      </c>
      <c r="L37" s="69">
        <f>SUM(ScenariosCombined[[#This Row],[SPY]:[VNQ]])</f>
        <v>0.8</v>
      </c>
      <c r="M37" s="69">
        <f>SUM(ScenariosCombined[[#This Row],[SPY]:[PE]])</f>
        <v>1</v>
      </c>
      <c r="N37" s="71" t="b">
        <f>ScenariosCombined[[#This Row],[SPY]]&gt;=SpyMin</f>
        <v>1</v>
      </c>
      <c r="O37" s="71" t="b">
        <f>ScenariosCombined[[#This Row],[AGG]]&gt;=AGGMin</f>
        <v>1</v>
      </c>
      <c r="P37" s="71" t="b">
        <f>AND(ScenariosCombined[[#This Row],[GLD]]&gt;=GLDMin,ScenariosCombined[[#This Row],[GLD]]&lt;=GLDMax)</f>
        <v>1</v>
      </c>
      <c r="Q37" s="71" t="b">
        <f>ScenariosCombined[[#This Row],[VNQ]]&gt;=VNQMin</f>
        <v>1</v>
      </c>
      <c r="R37" s="71" t="b">
        <f>AND(ScenariosCombined[[#This Row],[PE]]&gt;=PEMin,ScenariosCombined[[#This Row],[PE]]&lt;=PEMax)</f>
        <v>1</v>
      </c>
      <c r="S37" s="71" t="b">
        <f>ScenariosCombined[[#This Row],[Liquid Assets]]&gt;=LiquidMin</f>
        <v>1</v>
      </c>
      <c r="T37" s="71" t="b">
        <f>AND(ScenariosCombined[[#This Row],[Expected Return]]&gt;=ExpectedReturnMin,ScenariosCombined[[#This Row],[Expected Return]]&lt;=ExpectedReturnMax)</f>
        <v>1</v>
      </c>
      <c r="U37" s="71" t="b">
        <f>ScenariosCombined[[#This Row],[Max Drawdown]]&gt;=DrawdownMax</f>
        <v>1</v>
      </c>
      <c r="V3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7" s="46">
        <f>ScenariosCombined[[#This Row],[Sharpe Rank]]</f>
        <v>15</v>
      </c>
      <c r="X3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15</v>
      </c>
      <c r="Y3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35/15/15/15/20</v>
      </c>
      <c r="Z37">
        <f>_xlfn.XLOOKUP(ScenariosCombined[[#This Row],[Reference '#]],Scenarios1[Reference '#],Scenarios1[Sharpe Rank])</f>
        <v>21</v>
      </c>
      <c r="AA37">
        <f>_xlfn.XLOOKUP(ScenariosCombined[[#This Row],[Reference '#]],Scenarios2[Reference '#],Scenarios2[Sharpe Rank])</f>
        <v>17</v>
      </c>
      <c r="AB37">
        <f>_xlfn.XLOOKUP(ScenariosCombined[[#This Row],[Reference '#]],Scenarios3[Reference '#],Scenarios3[Sharpe Rank])</f>
        <v>8</v>
      </c>
      <c r="AD37" s="34"/>
      <c r="AE37" s="34"/>
      <c r="AI37" s="15"/>
    </row>
    <row r="38" spans="2:35" x14ac:dyDescent="0.2">
      <c r="B38" s="44">
        <v>38</v>
      </c>
      <c r="C38" s="68">
        <v>0.35</v>
      </c>
      <c r="D38" s="69">
        <v>0.25</v>
      </c>
      <c r="E38" s="69">
        <v>0.2</v>
      </c>
      <c r="F38" s="69">
        <v>0.1</v>
      </c>
      <c r="G38" s="69">
        <v>0.1</v>
      </c>
      <c r="H3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9.299725758076445E-2</v>
      </c>
      <c r="I3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7.7426535829593413E-2</v>
      </c>
      <c r="J3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0.59400438793272581</v>
      </c>
      <c r="K3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-0.16837374068860644</v>
      </c>
      <c r="L38" s="69">
        <f>SUM(ScenariosCombined[[#This Row],[SPY]:[VNQ]])</f>
        <v>0.9</v>
      </c>
      <c r="M38" s="69">
        <f>SUM(ScenariosCombined[[#This Row],[SPY]:[PE]])</f>
        <v>1</v>
      </c>
      <c r="N38" s="71" t="b">
        <f>ScenariosCombined[[#This Row],[SPY]]&gt;=SpyMin</f>
        <v>1</v>
      </c>
      <c r="O38" s="71" t="b">
        <f>ScenariosCombined[[#This Row],[AGG]]&gt;=AGGMin</f>
        <v>1</v>
      </c>
      <c r="P38" s="71" t="b">
        <f>AND(ScenariosCombined[[#This Row],[GLD]]&gt;=GLDMin,ScenariosCombined[[#This Row],[GLD]]&lt;=GLDMax)</f>
        <v>1</v>
      </c>
      <c r="Q38" s="71" t="b">
        <f>ScenariosCombined[[#This Row],[VNQ]]&gt;=VNQMin</f>
        <v>1</v>
      </c>
      <c r="R38" s="71" t="b">
        <f>AND(ScenariosCombined[[#This Row],[PE]]&gt;=PEMin,ScenariosCombined[[#This Row],[PE]]&lt;=PEMax)</f>
        <v>1</v>
      </c>
      <c r="S38" s="71" t="b">
        <f>ScenariosCombined[[#This Row],[Liquid Assets]]&gt;=LiquidMin</f>
        <v>1</v>
      </c>
      <c r="T38" s="71" t="b">
        <f>AND(ScenariosCombined[[#This Row],[Expected Return]]&gt;=ExpectedReturnMin,ScenariosCombined[[#This Row],[Expected Return]]&lt;=ExpectedReturnMax)</f>
        <v>1</v>
      </c>
      <c r="U38" s="71" t="b">
        <f>ScenariosCombined[[#This Row],[Max Drawdown]]&gt;=DrawdownMax</f>
        <v>1</v>
      </c>
      <c r="V3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8" s="46">
        <f>ScenariosCombined[[#This Row],[Sharpe Rank]]</f>
        <v>16</v>
      </c>
      <c r="X3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16</v>
      </c>
      <c r="Y3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35/25/20/10/10</v>
      </c>
      <c r="Z38">
        <f>_xlfn.XLOOKUP(ScenariosCombined[[#This Row],[Reference '#]],Scenarios1[Reference '#],Scenarios1[Sharpe Rank])</f>
        <v>15</v>
      </c>
      <c r="AA38">
        <f>_xlfn.XLOOKUP(ScenariosCombined[[#This Row],[Reference '#]],Scenarios2[Reference '#],Scenarios2[Sharpe Rank])</f>
        <v>13</v>
      </c>
      <c r="AB38">
        <f>_xlfn.XLOOKUP(ScenariosCombined[[#This Row],[Reference '#]],Scenarios3[Reference '#],Scenarios3[Sharpe Rank])</f>
        <v>10</v>
      </c>
      <c r="AD38" s="34"/>
      <c r="AE38" s="34"/>
      <c r="AI38" s="15"/>
    </row>
    <row r="39" spans="2:35" x14ac:dyDescent="0.2">
      <c r="B39" s="44">
        <v>17</v>
      </c>
      <c r="C39" s="68">
        <v>0.4</v>
      </c>
      <c r="D39" s="69">
        <v>0.25</v>
      </c>
      <c r="E39" s="69">
        <v>0.15</v>
      </c>
      <c r="F39" s="69">
        <v>0.1</v>
      </c>
      <c r="G39" s="69">
        <v>0.1</v>
      </c>
      <c r="H3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9.4105032354533616E-2</v>
      </c>
      <c r="I3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7.9759388017315733E-2</v>
      </c>
      <c r="J3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0.59051953594168494</v>
      </c>
      <c r="K3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-0.17568161179238972</v>
      </c>
      <c r="L39" s="69">
        <f>SUM(ScenariosCombined[[#This Row],[SPY]:[VNQ]])</f>
        <v>0.9</v>
      </c>
      <c r="M39" s="69">
        <f>SUM(ScenariosCombined[[#This Row],[SPY]:[PE]])</f>
        <v>1</v>
      </c>
      <c r="N39" s="71" t="b">
        <f>ScenariosCombined[[#This Row],[SPY]]&gt;=SpyMin</f>
        <v>1</v>
      </c>
      <c r="O39" s="71" t="b">
        <f>ScenariosCombined[[#This Row],[AGG]]&gt;=AGGMin</f>
        <v>1</v>
      </c>
      <c r="P39" s="71" t="b">
        <f>AND(ScenariosCombined[[#This Row],[GLD]]&gt;=GLDMin,ScenariosCombined[[#This Row],[GLD]]&lt;=GLDMax)</f>
        <v>1</v>
      </c>
      <c r="Q39" s="71" t="b">
        <f>ScenariosCombined[[#This Row],[VNQ]]&gt;=VNQMin</f>
        <v>1</v>
      </c>
      <c r="R39" s="71" t="b">
        <f>AND(ScenariosCombined[[#This Row],[PE]]&gt;=PEMin,ScenariosCombined[[#This Row],[PE]]&lt;=PEMax)</f>
        <v>1</v>
      </c>
      <c r="S39" s="71" t="b">
        <f>ScenariosCombined[[#This Row],[Liquid Assets]]&gt;=LiquidMin</f>
        <v>1</v>
      </c>
      <c r="T39" s="71" t="b">
        <f>AND(ScenariosCombined[[#This Row],[Expected Return]]&gt;=ExpectedReturnMin,ScenariosCombined[[#This Row],[Expected Return]]&lt;=ExpectedReturnMax)</f>
        <v>1</v>
      </c>
      <c r="U39" s="71" t="b">
        <f>ScenariosCombined[[#This Row],[Max Drawdown]]&gt;=DrawdownMax</f>
        <v>1</v>
      </c>
      <c r="V3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39" s="46">
        <f>ScenariosCombined[[#This Row],[Sharpe Rank]]</f>
        <v>17</v>
      </c>
      <c r="X3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17</v>
      </c>
      <c r="Y3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40/25/15/10/10</v>
      </c>
      <c r="Z39">
        <f>_xlfn.XLOOKUP(ScenariosCombined[[#This Row],[Reference '#]],Scenarios1[Reference '#],Scenarios1[Sharpe Rank])</f>
        <v>16</v>
      </c>
      <c r="AA39">
        <f>_xlfn.XLOOKUP(ScenariosCombined[[#This Row],[Reference '#]],Scenarios2[Reference '#],Scenarios2[Sharpe Rank])</f>
        <v>15</v>
      </c>
      <c r="AB39">
        <f>_xlfn.XLOOKUP(ScenariosCombined[[#This Row],[Reference '#]],Scenarios3[Reference '#],Scenarios3[Sharpe Rank])</f>
        <v>11</v>
      </c>
      <c r="AD39" s="34"/>
      <c r="AE39" s="34"/>
      <c r="AI39" s="15"/>
    </row>
    <row r="40" spans="2:35" x14ac:dyDescent="0.2">
      <c r="B40" s="44">
        <v>33</v>
      </c>
      <c r="C40" s="68">
        <v>0.4</v>
      </c>
      <c r="D40" s="69">
        <v>0.15</v>
      </c>
      <c r="E40" s="69">
        <v>0.1</v>
      </c>
      <c r="F40" s="69">
        <v>0.15</v>
      </c>
      <c r="G40" s="69">
        <v>0.2</v>
      </c>
      <c r="H4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9.4317742905987642E-2</v>
      </c>
      <c r="I4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8.1030888172766852E-2</v>
      </c>
      <c r="J4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0.58387842484901864</v>
      </c>
      <c r="K4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-0.17249207732612581</v>
      </c>
      <c r="L40" s="69">
        <f>SUM(ScenariosCombined[[#This Row],[SPY]:[VNQ]])</f>
        <v>0.8</v>
      </c>
      <c r="M40" s="69">
        <f>SUM(ScenariosCombined[[#This Row],[SPY]:[PE]])</f>
        <v>1</v>
      </c>
      <c r="N40" s="71" t="b">
        <f>ScenariosCombined[[#This Row],[SPY]]&gt;=SpyMin</f>
        <v>1</v>
      </c>
      <c r="O40" s="71" t="b">
        <f>ScenariosCombined[[#This Row],[AGG]]&gt;=AGGMin</f>
        <v>1</v>
      </c>
      <c r="P40" s="71" t="b">
        <f>AND(ScenariosCombined[[#This Row],[GLD]]&gt;=GLDMin,ScenariosCombined[[#This Row],[GLD]]&lt;=GLDMax)</f>
        <v>1</v>
      </c>
      <c r="Q40" s="71" t="b">
        <f>ScenariosCombined[[#This Row],[VNQ]]&gt;=VNQMin</f>
        <v>1</v>
      </c>
      <c r="R40" s="71" t="b">
        <f>AND(ScenariosCombined[[#This Row],[PE]]&gt;=PEMin,ScenariosCombined[[#This Row],[PE]]&lt;=PEMax)</f>
        <v>1</v>
      </c>
      <c r="S40" s="71" t="b">
        <f>ScenariosCombined[[#This Row],[Liquid Assets]]&gt;=LiquidMin</f>
        <v>1</v>
      </c>
      <c r="T40" s="71" t="b">
        <f>AND(ScenariosCombined[[#This Row],[Expected Return]]&gt;=ExpectedReturnMin,ScenariosCombined[[#This Row],[Expected Return]]&lt;=ExpectedReturnMax)</f>
        <v>1</v>
      </c>
      <c r="U40" s="71" t="b">
        <f>ScenariosCombined[[#This Row],[Max Drawdown]]&gt;=DrawdownMax</f>
        <v>1</v>
      </c>
      <c r="V4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0" s="46">
        <f>ScenariosCombined[[#This Row],[Sharpe Rank]]</f>
        <v>18</v>
      </c>
      <c r="X4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18</v>
      </c>
      <c r="Y4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40/15/10/15/20</v>
      </c>
      <c r="Z40">
        <f>_xlfn.XLOOKUP(ScenariosCombined[[#This Row],[Reference '#]],Scenarios1[Reference '#],Scenarios1[Sharpe Rank])</f>
        <v>23</v>
      </c>
      <c r="AA40">
        <f>_xlfn.XLOOKUP(ScenariosCombined[[#This Row],[Reference '#]],Scenarios2[Reference '#],Scenarios2[Sharpe Rank])</f>
        <v>20</v>
      </c>
      <c r="AB40">
        <f>_xlfn.XLOOKUP(ScenariosCombined[[#This Row],[Reference '#]],Scenarios3[Reference '#],Scenarios3[Sharpe Rank])</f>
        <v>9</v>
      </c>
      <c r="AD40" s="34"/>
      <c r="AE40" s="34"/>
      <c r="AI40" s="15"/>
    </row>
    <row r="41" spans="2:35" x14ac:dyDescent="0.2">
      <c r="B41" s="127">
        <v>6</v>
      </c>
      <c r="C41" s="128">
        <v>0.45</v>
      </c>
      <c r="D41" s="129">
        <v>0.25</v>
      </c>
      <c r="E41" s="129">
        <v>0.1</v>
      </c>
      <c r="F41" s="129">
        <v>0.1</v>
      </c>
      <c r="G41" s="129">
        <v>0.1</v>
      </c>
      <c r="H4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9.5212807128302754E-2</v>
      </c>
      <c r="I4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8.3036500283408879E-2</v>
      </c>
      <c r="J4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0.58055495364343124</v>
      </c>
      <c r="K4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-0.18300737779652643</v>
      </c>
      <c r="L41" s="129">
        <f>SUM(ScenariosCombined[[#This Row],[SPY]:[VNQ]])</f>
        <v>0.89999999999999991</v>
      </c>
      <c r="M41" s="129">
        <f>SUM(ScenariosCombined[[#This Row],[SPY]:[PE]])</f>
        <v>0.99999999999999989</v>
      </c>
      <c r="N41" s="130" t="b">
        <f>ScenariosCombined[[#This Row],[SPY]]&gt;=SpyMin</f>
        <v>1</v>
      </c>
      <c r="O41" s="130" t="b">
        <f>ScenariosCombined[[#This Row],[AGG]]&gt;=AGGMin</f>
        <v>1</v>
      </c>
      <c r="P41" s="130" t="b">
        <f>AND(ScenariosCombined[[#This Row],[GLD]]&gt;=GLDMin,ScenariosCombined[[#This Row],[GLD]]&lt;=GLDMax)</f>
        <v>1</v>
      </c>
      <c r="Q41" s="130" t="b">
        <f>ScenariosCombined[[#This Row],[VNQ]]&gt;=VNQMin</f>
        <v>1</v>
      </c>
      <c r="R41" s="130" t="b">
        <f>AND(ScenariosCombined[[#This Row],[PE]]&gt;=PEMin,ScenariosCombined[[#This Row],[PE]]&lt;=PEMax)</f>
        <v>1</v>
      </c>
      <c r="S41" s="130" t="b">
        <f>ScenariosCombined[[#This Row],[Liquid Assets]]&gt;=LiquidMin</f>
        <v>1</v>
      </c>
      <c r="T41" s="130" t="b">
        <f>AND(ScenariosCombined[[#This Row],[Expected Return]]&gt;=ExpectedReturnMin,ScenariosCombined[[#This Row],[Expected Return]]&lt;=ExpectedReturnMax)</f>
        <v>1</v>
      </c>
      <c r="U41" s="130" t="b">
        <f>ScenariosCombined[[#This Row],[Max Drawdown]]&gt;=DrawdownMax</f>
        <v>1</v>
      </c>
      <c r="V41" s="131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1" s="132">
        <f>ScenariosCombined[[#This Row],[Sharpe Rank]]</f>
        <v>19</v>
      </c>
      <c r="X41" s="127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19</v>
      </c>
      <c r="Y41" s="133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45/25/10/10/10</v>
      </c>
      <c r="Z41" s="110">
        <f>_xlfn.XLOOKUP(ScenariosCombined[[#This Row],[Reference '#]],Scenarios1[Reference '#],Scenarios1[Sharpe Rank])</f>
        <v>18</v>
      </c>
      <c r="AA41" s="110">
        <f>_xlfn.XLOOKUP(ScenariosCombined[[#This Row],[Reference '#]],Scenarios2[Reference '#],Scenarios2[Sharpe Rank])</f>
        <v>18</v>
      </c>
      <c r="AB41" s="110">
        <f>_xlfn.XLOOKUP(ScenariosCombined[[#This Row],[Reference '#]],Scenarios3[Reference '#],Scenarios3[Sharpe Rank])</f>
        <v>14</v>
      </c>
      <c r="AD41" s="34"/>
      <c r="AE41" s="34"/>
      <c r="AI41" s="15"/>
    </row>
    <row r="42" spans="2:35" x14ac:dyDescent="0.2">
      <c r="B42" s="44">
        <v>44</v>
      </c>
      <c r="C42" s="68">
        <v>0.35</v>
      </c>
      <c r="D42" s="69">
        <v>0.2</v>
      </c>
      <c r="E42" s="69">
        <v>0.2</v>
      </c>
      <c r="F42" s="69">
        <v>0.15</v>
      </c>
      <c r="G42" s="69">
        <v>0.1</v>
      </c>
      <c r="H4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9.4580996926927938E-2</v>
      </c>
      <c r="I4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8.2362815694284067E-2</v>
      </c>
      <c r="J4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0.57763252713413593</v>
      </c>
      <c r="K4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-0.17612917157273245</v>
      </c>
      <c r="L42" s="69">
        <f>SUM(ScenariosCombined[[#This Row],[SPY]:[VNQ]])</f>
        <v>0.9</v>
      </c>
      <c r="M42" s="69">
        <f>SUM(ScenariosCombined[[#This Row],[SPY]:[PE]])</f>
        <v>1</v>
      </c>
      <c r="N42" s="71" t="b">
        <f>ScenariosCombined[[#This Row],[SPY]]&gt;=SpyMin</f>
        <v>1</v>
      </c>
      <c r="O42" s="71" t="b">
        <f>ScenariosCombined[[#This Row],[AGG]]&gt;=AGGMin</f>
        <v>1</v>
      </c>
      <c r="P42" s="71" t="b">
        <f>AND(ScenariosCombined[[#This Row],[GLD]]&gt;=GLDMin,ScenariosCombined[[#This Row],[GLD]]&lt;=GLDMax)</f>
        <v>1</v>
      </c>
      <c r="Q42" s="71" t="b">
        <f>ScenariosCombined[[#This Row],[VNQ]]&gt;=VNQMin</f>
        <v>1</v>
      </c>
      <c r="R42" s="71" t="b">
        <f>AND(ScenariosCombined[[#This Row],[PE]]&gt;=PEMin,ScenariosCombined[[#This Row],[PE]]&lt;=PEMax)</f>
        <v>1</v>
      </c>
      <c r="S42" s="71" t="b">
        <f>ScenariosCombined[[#This Row],[Liquid Assets]]&gt;=LiquidMin</f>
        <v>1</v>
      </c>
      <c r="T42" s="71" t="b">
        <f>AND(ScenariosCombined[[#This Row],[Expected Return]]&gt;=ExpectedReturnMin,ScenariosCombined[[#This Row],[Expected Return]]&lt;=ExpectedReturnMax)</f>
        <v>1</v>
      </c>
      <c r="U42" s="71" t="b">
        <f>ScenariosCombined[[#This Row],[Max Drawdown]]&gt;=DrawdownMax</f>
        <v>1</v>
      </c>
      <c r="V4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2" s="46">
        <f>ScenariosCombined[[#This Row],[Sharpe Rank]]</f>
        <v>20</v>
      </c>
      <c r="X4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20</v>
      </c>
      <c r="Y4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35/20/20/15/10</v>
      </c>
      <c r="Z42">
        <f>_xlfn.XLOOKUP(ScenariosCombined[[#This Row],[Reference '#]],Scenarios1[Reference '#],Scenarios1[Sharpe Rank])</f>
        <v>20</v>
      </c>
      <c r="AA42">
        <f>_xlfn.XLOOKUP(ScenariosCombined[[#This Row],[Reference '#]],Scenarios2[Reference '#],Scenarios2[Sharpe Rank])</f>
        <v>19</v>
      </c>
      <c r="AB42">
        <f>_xlfn.XLOOKUP(ScenariosCombined[[#This Row],[Reference '#]],Scenarios3[Reference '#],Scenarios3[Sharpe Rank])</f>
        <v>15</v>
      </c>
      <c r="AD42" s="34"/>
      <c r="AE42" s="34"/>
      <c r="AI42" s="15"/>
    </row>
    <row r="43" spans="2:35" x14ac:dyDescent="0.2">
      <c r="B43" s="44">
        <v>21</v>
      </c>
      <c r="C43" s="68">
        <v>0.4</v>
      </c>
      <c r="D43" s="69">
        <v>0.2</v>
      </c>
      <c r="E43" s="69">
        <v>0.15</v>
      </c>
      <c r="F43" s="69">
        <v>0.15</v>
      </c>
      <c r="G43" s="69">
        <v>0.1</v>
      </c>
      <c r="H4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9.5688771700697076E-2</v>
      </c>
      <c r="I4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8.4835437270899997E-2</v>
      </c>
      <c r="J4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0.57385472051831699</v>
      </c>
      <c r="K4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-0.18341824386731309</v>
      </c>
      <c r="L43" s="69">
        <f>SUM(ScenariosCombined[[#This Row],[SPY]:[VNQ]])</f>
        <v>0.90000000000000013</v>
      </c>
      <c r="M43" s="69">
        <f>SUM(ScenariosCombined[[#This Row],[SPY]:[PE]])</f>
        <v>1.0000000000000002</v>
      </c>
      <c r="N43" s="71" t="b">
        <f>ScenariosCombined[[#This Row],[SPY]]&gt;=SpyMin</f>
        <v>1</v>
      </c>
      <c r="O43" s="71" t="b">
        <f>ScenariosCombined[[#This Row],[AGG]]&gt;=AGGMin</f>
        <v>1</v>
      </c>
      <c r="P43" s="71" t="b">
        <f>AND(ScenariosCombined[[#This Row],[GLD]]&gt;=GLDMin,ScenariosCombined[[#This Row],[GLD]]&lt;=GLDMax)</f>
        <v>1</v>
      </c>
      <c r="Q43" s="71" t="b">
        <f>ScenariosCombined[[#This Row],[VNQ]]&gt;=VNQMin</f>
        <v>1</v>
      </c>
      <c r="R43" s="71" t="b">
        <f>AND(ScenariosCombined[[#This Row],[PE]]&gt;=PEMin,ScenariosCombined[[#This Row],[PE]]&lt;=PEMax)</f>
        <v>1</v>
      </c>
      <c r="S43" s="71" t="b">
        <f>ScenariosCombined[[#This Row],[Liquid Assets]]&gt;=LiquidMin</f>
        <v>1</v>
      </c>
      <c r="T43" s="71" t="b">
        <f>AND(ScenariosCombined[[#This Row],[Expected Return]]&gt;=ExpectedReturnMin,ScenariosCombined[[#This Row],[Expected Return]]&lt;=ExpectedReturnMax)</f>
        <v>1</v>
      </c>
      <c r="U43" s="71" t="b">
        <f>ScenariosCombined[[#This Row],[Max Drawdown]]&gt;=DrawdownMax</f>
        <v>1</v>
      </c>
      <c r="V4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3" s="46">
        <f>ScenariosCombined[[#This Row],[Sharpe Rank]]</f>
        <v>21</v>
      </c>
      <c r="X4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21</v>
      </c>
      <c r="Y4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40/20/15/15/10</v>
      </c>
      <c r="Z43">
        <f>_xlfn.XLOOKUP(ScenariosCombined[[#This Row],[Reference '#]],Scenarios1[Reference '#],Scenarios1[Sharpe Rank])</f>
        <v>22</v>
      </c>
      <c r="AA43">
        <f>_xlfn.XLOOKUP(ScenariosCombined[[#This Row],[Reference '#]],Scenarios2[Reference '#],Scenarios2[Sharpe Rank])</f>
        <v>21</v>
      </c>
      <c r="AB43">
        <f>_xlfn.XLOOKUP(ScenariosCombined[[#This Row],[Reference '#]],Scenarios3[Reference '#],Scenarios3[Sharpe Rank])</f>
        <v>19</v>
      </c>
      <c r="AD43" s="34"/>
      <c r="AE43" s="34"/>
      <c r="AI43" s="15"/>
    </row>
    <row r="44" spans="2:35" x14ac:dyDescent="0.2">
      <c r="B44" s="44">
        <v>72</v>
      </c>
      <c r="C44" s="68">
        <v>0.3</v>
      </c>
      <c r="D44" s="69">
        <v>0.25</v>
      </c>
      <c r="E44" s="69">
        <v>0.2</v>
      </c>
      <c r="F44" s="69">
        <v>0.1</v>
      </c>
      <c r="G44" s="69">
        <v>0.15</v>
      </c>
      <c r="H4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8.8416239286020826E-2</v>
      </c>
      <c r="I4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7.2714722030830112E-2</v>
      </c>
      <c r="J4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0.56949518025947576</v>
      </c>
      <c r="K4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-0.15677480431751634</v>
      </c>
      <c r="L44" s="69">
        <f>SUM(ScenariosCombined[[#This Row],[SPY]:[VNQ]])</f>
        <v>0.85</v>
      </c>
      <c r="M44" s="69">
        <f>SUM(ScenariosCombined[[#This Row],[SPY]:[PE]])</f>
        <v>1</v>
      </c>
      <c r="N44" s="71" t="b">
        <f>ScenariosCombined[[#This Row],[SPY]]&gt;=SpyMin</f>
        <v>1</v>
      </c>
      <c r="O44" s="71" t="b">
        <f>ScenariosCombined[[#This Row],[AGG]]&gt;=AGGMin</f>
        <v>1</v>
      </c>
      <c r="P44" s="71" t="b">
        <f>AND(ScenariosCombined[[#This Row],[GLD]]&gt;=GLDMin,ScenariosCombined[[#This Row],[GLD]]&lt;=GLDMax)</f>
        <v>1</v>
      </c>
      <c r="Q44" s="71" t="b">
        <f>ScenariosCombined[[#This Row],[VNQ]]&gt;=VNQMin</f>
        <v>1</v>
      </c>
      <c r="R44" s="71" t="b">
        <f>AND(ScenariosCombined[[#This Row],[PE]]&gt;=PEMin,ScenariosCombined[[#This Row],[PE]]&lt;=PEMax)</f>
        <v>1</v>
      </c>
      <c r="S44" s="71" t="b">
        <f>ScenariosCombined[[#This Row],[Liquid Assets]]&gt;=LiquidMin</f>
        <v>1</v>
      </c>
      <c r="T44" s="71" t="b">
        <f>AND(ScenariosCombined[[#This Row],[Expected Return]]&gt;=ExpectedReturnMin,ScenariosCombined[[#This Row],[Expected Return]]&lt;=ExpectedReturnMax)</f>
        <v>1</v>
      </c>
      <c r="U44" s="71" t="b">
        <f>ScenariosCombined[[#This Row],[Max Drawdown]]&gt;=DrawdownMax</f>
        <v>1</v>
      </c>
      <c r="V4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4" s="46">
        <f>ScenariosCombined[[#This Row],[Sharpe Rank]]</f>
        <v>22</v>
      </c>
      <c r="X4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22</v>
      </c>
      <c r="Y4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30/25/20/10/15</v>
      </c>
      <c r="Z44">
        <f>_xlfn.XLOOKUP(ScenariosCombined[[#This Row],[Reference '#]],Scenarios1[Reference '#],Scenarios1[Sharpe Rank])</f>
        <v>27</v>
      </c>
      <c r="AA44">
        <f>_xlfn.XLOOKUP(ScenariosCombined[[#This Row],[Reference '#]],Scenarios2[Reference '#],Scenarios2[Sharpe Rank])</f>
        <v>23</v>
      </c>
      <c r="AB44">
        <f>_xlfn.XLOOKUP(ScenariosCombined[[#This Row],[Reference '#]],Scenarios3[Reference '#],Scenarios3[Sharpe Rank])</f>
        <v>12</v>
      </c>
      <c r="AD44" s="34"/>
      <c r="AE44" s="34"/>
      <c r="AI44" s="15"/>
    </row>
    <row r="45" spans="2:35" x14ac:dyDescent="0.2">
      <c r="B45" s="44">
        <v>40</v>
      </c>
      <c r="C45" s="68">
        <v>0.35</v>
      </c>
      <c r="D45" s="69">
        <v>0.25</v>
      </c>
      <c r="E45" s="69">
        <v>0.15</v>
      </c>
      <c r="F45" s="69">
        <v>0.1</v>
      </c>
      <c r="G45" s="69">
        <v>0.15</v>
      </c>
      <c r="H4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8.952401405978995E-2</v>
      </c>
      <c r="I4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7.481146439650202E-2</v>
      </c>
      <c r="J4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0.56834148144575625</v>
      </c>
      <c r="K4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-0.16409827380704267</v>
      </c>
      <c r="L45" s="69">
        <f>SUM(ScenariosCombined[[#This Row],[SPY]:[VNQ]])</f>
        <v>0.85</v>
      </c>
      <c r="M45" s="69">
        <f>SUM(ScenariosCombined[[#This Row],[SPY]:[PE]])</f>
        <v>1</v>
      </c>
      <c r="N45" s="71" t="b">
        <f>ScenariosCombined[[#This Row],[SPY]]&gt;=SpyMin</f>
        <v>1</v>
      </c>
      <c r="O45" s="71" t="b">
        <f>ScenariosCombined[[#This Row],[AGG]]&gt;=AGGMin</f>
        <v>1</v>
      </c>
      <c r="P45" s="71" t="b">
        <f>AND(ScenariosCombined[[#This Row],[GLD]]&gt;=GLDMin,ScenariosCombined[[#This Row],[GLD]]&lt;=GLDMax)</f>
        <v>1</v>
      </c>
      <c r="Q45" s="71" t="b">
        <f>ScenariosCombined[[#This Row],[VNQ]]&gt;=VNQMin</f>
        <v>1</v>
      </c>
      <c r="R45" s="71" t="b">
        <f>AND(ScenariosCombined[[#This Row],[PE]]&gt;=PEMin,ScenariosCombined[[#This Row],[PE]]&lt;=PEMax)</f>
        <v>1</v>
      </c>
      <c r="S45" s="71" t="b">
        <f>ScenariosCombined[[#This Row],[Liquid Assets]]&gt;=LiquidMin</f>
        <v>1</v>
      </c>
      <c r="T45" s="71" t="b">
        <f>AND(ScenariosCombined[[#This Row],[Expected Return]]&gt;=ExpectedReturnMin,ScenariosCombined[[#This Row],[Expected Return]]&lt;=ExpectedReturnMax)</f>
        <v>1</v>
      </c>
      <c r="U45" s="71" t="b">
        <f>ScenariosCombined[[#This Row],[Max Drawdown]]&gt;=DrawdownMax</f>
        <v>1</v>
      </c>
      <c r="V4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5" s="46">
        <f>ScenariosCombined[[#This Row],[Sharpe Rank]]</f>
        <v>23</v>
      </c>
      <c r="X4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23</v>
      </c>
      <c r="Y4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35/25/15/10/15</v>
      </c>
      <c r="Z45">
        <f>_xlfn.XLOOKUP(ScenariosCombined[[#This Row],[Reference '#]],Scenarios1[Reference '#],Scenarios1[Sharpe Rank])</f>
        <v>28</v>
      </c>
      <c r="AA45">
        <f>_xlfn.XLOOKUP(ScenariosCombined[[#This Row],[Reference '#]],Scenarios2[Reference '#],Scenarios2[Sharpe Rank])</f>
        <v>24</v>
      </c>
      <c r="AB45">
        <f>_xlfn.XLOOKUP(ScenariosCombined[[#This Row],[Reference '#]],Scenarios3[Reference '#],Scenarios3[Sharpe Rank])</f>
        <v>13</v>
      </c>
      <c r="AD45" s="34"/>
      <c r="AE45" s="34"/>
      <c r="AI45" s="15"/>
    </row>
    <row r="46" spans="2:35" x14ac:dyDescent="0.2">
      <c r="B46" s="44">
        <v>8</v>
      </c>
      <c r="C46" s="68">
        <v>0.45</v>
      </c>
      <c r="D46" s="69">
        <v>0.2</v>
      </c>
      <c r="E46" s="69">
        <v>0.1</v>
      </c>
      <c r="F46" s="69">
        <v>0.15</v>
      </c>
      <c r="G46" s="69">
        <v>0.1</v>
      </c>
      <c r="H4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9.6796546474466241E-2</v>
      </c>
      <c r="I4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8.8188878555594666E-2</v>
      </c>
      <c r="J4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0.56459489829573284</v>
      </c>
      <c r="K4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-0.19072422907983366</v>
      </c>
      <c r="L46" s="69">
        <f>SUM(ScenariosCombined[[#This Row],[SPY]:[VNQ]])</f>
        <v>0.9</v>
      </c>
      <c r="M46" s="69">
        <f>SUM(ScenariosCombined[[#This Row],[SPY]:[PE]])</f>
        <v>1</v>
      </c>
      <c r="N46" s="71" t="b">
        <f>ScenariosCombined[[#This Row],[SPY]]&gt;=SpyMin</f>
        <v>1</v>
      </c>
      <c r="O46" s="71" t="b">
        <f>ScenariosCombined[[#This Row],[AGG]]&gt;=AGGMin</f>
        <v>1</v>
      </c>
      <c r="P46" s="71" t="b">
        <f>AND(ScenariosCombined[[#This Row],[GLD]]&gt;=GLDMin,ScenariosCombined[[#This Row],[GLD]]&lt;=GLDMax)</f>
        <v>1</v>
      </c>
      <c r="Q46" s="71" t="b">
        <f>ScenariosCombined[[#This Row],[VNQ]]&gt;=VNQMin</f>
        <v>1</v>
      </c>
      <c r="R46" s="71" t="b">
        <f>AND(ScenariosCombined[[#This Row],[PE]]&gt;=PEMin,ScenariosCombined[[#This Row],[PE]]&lt;=PEMax)</f>
        <v>1</v>
      </c>
      <c r="S46" s="71" t="b">
        <f>ScenariosCombined[[#This Row],[Liquid Assets]]&gt;=LiquidMin</f>
        <v>1</v>
      </c>
      <c r="T46" s="71" t="b">
        <f>AND(ScenariosCombined[[#This Row],[Expected Return]]&gt;=ExpectedReturnMin,ScenariosCombined[[#This Row],[Expected Return]]&lt;=ExpectedReturnMax)</f>
        <v>1</v>
      </c>
      <c r="U46" s="71" t="b">
        <f>ScenariosCombined[[#This Row],[Max Drawdown]]&gt;=DrawdownMax</f>
        <v>1</v>
      </c>
      <c r="V4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6" s="46">
        <f>ScenariosCombined[[#This Row],[Sharpe Rank]]</f>
        <v>24</v>
      </c>
      <c r="X4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24</v>
      </c>
      <c r="Y4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45/20/10/15/10</v>
      </c>
      <c r="Z46">
        <f>_xlfn.XLOOKUP(ScenariosCombined[[#This Row],[Reference '#]],Scenarios1[Reference '#],Scenarios1[Sharpe Rank])</f>
        <v>24</v>
      </c>
      <c r="AA46">
        <f>_xlfn.XLOOKUP(ScenariosCombined[[#This Row],[Reference '#]],Scenarios2[Reference '#],Scenarios2[Sharpe Rank])</f>
        <v>22</v>
      </c>
      <c r="AB46">
        <f>_xlfn.XLOOKUP(ScenariosCombined[[#This Row],[Reference '#]],Scenarios3[Reference '#],Scenarios3[Sharpe Rank])</f>
        <v>23</v>
      </c>
      <c r="AD46" s="34"/>
      <c r="AE46" s="34"/>
      <c r="AI46" s="15"/>
    </row>
    <row r="47" spans="2:35" x14ac:dyDescent="0.2">
      <c r="B47" s="44">
        <v>52</v>
      </c>
      <c r="C47" s="68">
        <v>0.35</v>
      </c>
      <c r="D47" s="69">
        <v>0.15</v>
      </c>
      <c r="E47" s="69">
        <v>0.2</v>
      </c>
      <c r="F47" s="69">
        <v>0.2</v>
      </c>
      <c r="G47" s="69">
        <v>0.1</v>
      </c>
      <c r="H4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9.6164736273091397E-2</v>
      </c>
      <c r="I4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8.7517474227068529E-2</v>
      </c>
      <c r="J4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0.56170703224352481</v>
      </c>
      <c r="K4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-0.18388293935893474</v>
      </c>
      <c r="L47" s="69">
        <f>SUM(ScenariosCombined[[#This Row],[SPY]:[VNQ]])</f>
        <v>0.89999999999999991</v>
      </c>
      <c r="M47" s="69">
        <f>SUM(ScenariosCombined[[#This Row],[SPY]:[PE]])</f>
        <v>0.99999999999999989</v>
      </c>
      <c r="N47" s="71" t="b">
        <f>ScenariosCombined[[#This Row],[SPY]]&gt;=SpyMin</f>
        <v>1</v>
      </c>
      <c r="O47" s="71" t="b">
        <f>ScenariosCombined[[#This Row],[AGG]]&gt;=AGGMin</f>
        <v>1</v>
      </c>
      <c r="P47" s="71" t="b">
        <f>AND(ScenariosCombined[[#This Row],[GLD]]&gt;=GLDMin,ScenariosCombined[[#This Row],[GLD]]&lt;=GLDMax)</f>
        <v>1</v>
      </c>
      <c r="Q47" s="71" t="b">
        <f>ScenariosCombined[[#This Row],[VNQ]]&gt;=VNQMin</f>
        <v>1</v>
      </c>
      <c r="R47" s="71" t="b">
        <f>AND(ScenariosCombined[[#This Row],[PE]]&gt;=PEMin,ScenariosCombined[[#This Row],[PE]]&lt;=PEMax)</f>
        <v>1</v>
      </c>
      <c r="S47" s="71" t="b">
        <f>ScenariosCombined[[#This Row],[Liquid Assets]]&gt;=LiquidMin</f>
        <v>1</v>
      </c>
      <c r="T47" s="71" t="b">
        <f>AND(ScenariosCombined[[#This Row],[Expected Return]]&gt;=ExpectedReturnMin,ScenariosCombined[[#This Row],[Expected Return]]&lt;=ExpectedReturnMax)</f>
        <v>1</v>
      </c>
      <c r="U47" s="71" t="b">
        <f>ScenariosCombined[[#This Row],[Max Drawdown]]&gt;=DrawdownMax</f>
        <v>1</v>
      </c>
      <c r="V4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7" s="46">
        <f>ScenariosCombined[[#This Row],[Sharpe Rank]]</f>
        <v>25</v>
      </c>
      <c r="X4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25</v>
      </c>
      <c r="Y4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35/15/20/20/10</v>
      </c>
      <c r="Z47">
        <f>_xlfn.XLOOKUP(ScenariosCombined[[#This Row],[Reference '#]],Scenarios1[Reference '#],Scenarios1[Sharpe Rank])</f>
        <v>25</v>
      </c>
      <c r="AA47">
        <f>_xlfn.XLOOKUP(ScenariosCombined[[#This Row],[Reference '#]],Scenarios2[Reference '#],Scenarios2[Sharpe Rank])</f>
        <v>25</v>
      </c>
      <c r="AB47">
        <f>_xlfn.XLOOKUP(ScenariosCombined[[#This Row],[Reference '#]],Scenarios3[Reference '#],Scenarios3[Sharpe Rank])</f>
        <v>24</v>
      </c>
      <c r="AD47" s="34"/>
      <c r="AE47" s="34"/>
      <c r="AI47" s="15"/>
    </row>
    <row r="48" spans="2:35" x14ac:dyDescent="0.2">
      <c r="B48" s="44">
        <v>19</v>
      </c>
      <c r="C48" s="68">
        <v>0.4</v>
      </c>
      <c r="D48" s="69">
        <v>0.25</v>
      </c>
      <c r="E48" s="69">
        <v>0.1</v>
      </c>
      <c r="F48" s="69">
        <v>0.1</v>
      </c>
      <c r="G48" s="69">
        <v>0.15</v>
      </c>
      <c r="H4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9.0631788833559115E-2</v>
      </c>
      <c r="I4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7.7928739797148691E-2</v>
      </c>
      <c r="J4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0.55982213226550603</v>
      </c>
      <c r="K4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-0.17144121024298842</v>
      </c>
      <c r="L48" s="69">
        <f>SUM(ScenariosCombined[[#This Row],[SPY]:[VNQ]])</f>
        <v>0.85</v>
      </c>
      <c r="M48" s="69">
        <f>SUM(ScenariosCombined[[#This Row],[SPY]:[PE]])</f>
        <v>1</v>
      </c>
      <c r="N48" s="71" t="b">
        <f>ScenariosCombined[[#This Row],[SPY]]&gt;=SpyMin</f>
        <v>1</v>
      </c>
      <c r="O48" s="71" t="b">
        <f>ScenariosCombined[[#This Row],[AGG]]&gt;=AGGMin</f>
        <v>1</v>
      </c>
      <c r="P48" s="71" t="b">
        <f>AND(ScenariosCombined[[#This Row],[GLD]]&gt;=GLDMin,ScenariosCombined[[#This Row],[GLD]]&lt;=GLDMax)</f>
        <v>1</v>
      </c>
      <c r="Q48" s="71" t="b">
        <f>ScenariosCombined[[#This Row],[VNQ]]&gt;=VNQMin</f>
        <v>1</v>
      </c>
      <c r="R48" s="71" t="b">
        <f>AND(ScenariosCombined[[#This Row],[PE]]&gt;=PEMin,ScenariosCombined[[#This Row],[PE]]&lt;=PEMax)</f>
        <v>1</v>
      </c>
      <c r="S48" s="71" t="b">
        <f>ScenariosCombined[[#This Row],[Liquid Assets]]&gt;=LiquidMin</f>
        <v>1</v>
      </c>
      <c r="T48" s="71" t="b">
        <f>AND(ScenariosCombined[[#This Row],[Expected Return]]&gt;=ExpectedReturnMin,ScenariosCombined[[#This Row],[Expected Return]]&lt;=ExpectedReturnMax)</f>
        <v>1</v>
      </c>
      <c r="U48" s="71" t="b">
        <f>ScenariosCombined[[#This Row],[Max Drawdown]]&gt;=DrawdownMax</f>
        <v>1</v>
      </c>
      <c r="V4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8" s="46">
        <f>ScenariosCombined[[#This Row],[Sharpe Rank]]</f>
        <v>26</v>
      </c>
      <c r="X4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26</v>
      </c>
      <c r="Y4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40/25/10/10/15</v>
      </c>
      <c r="Z48">
        <f>_xlfn.XLOOKUP(ScenariosCombined[[#This Row],[Reference '#]],Scenarios1[Reference '#],Scenarios1[Sharpe Rank])</f>
        <v>30</v>
      </c>
      <c r="AA48">
        <f>_xlfn.XLOOKUP(ScenariosCombined[[#This Row],[Reference '#]],Scenarios2[Reference '#],Scenarios2[Sharpe Rank])</f>
        <v>27</v>
      </c>
      <c r="AB48">
        <f>_xlfn.XLOOKUP(ScenariosCombined[[#This Row],[Reference '#]],Scenarios3[Reference '#],Scenarios3[Sharpe Rank])</f>
        <v>18</v>
      </c>
      <c r="AD48" s="34"/>
      <c r="AE48" s="34"/>
      <c r="AI48" s="15"/>
    </row>
    <row r="49" spans="2:35" x14ac:dyDescent="0.2">
      <c r="B49" s="44">
        <v>28</v>
      </c>
      <c r="C49" s="68">
        <v>0.4</v>
      </c>
      <c r="D49" s="69">
        <v>0.15</v>
      </c>
      <c r="E49" s="69">
        <v>0.15</v>
      </c>
      <c r="F49" s="69">
        <v>0.2</v>
      </c>
      <c r="G49" s="69">
        <v>0.1</v>
      </c>
      <c r="H4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9.7272511046860563E-2</v>
      </c>
      <c r="I4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9.0108006217364436E-2</v>
      </c>
      <c r="J4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0.5578522664240041</v>
      </c>
      <c r="K4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-0.1911524096507079</v>
      </c>
      <c r="L49" s="69">
        <f>SUM(ScenariosCombined[[#This Row],[SPY]:[VNQ]])</f>
        <v>0.90000000000000013</v>
      </c>
      <c r="M49" s="69">
        <f>SUM(ScenariosCombined[[#This Row],[SPY]:[PE]])</f>
        <v>1.0000000000000002</v>
      </c>
      <c r="N49" s="71" t="b">
        <f>ScenariosCombined[[#This Row],[SPY]]&gt;=SpyMin</f>
        <v>1</v>
      </c>
      <c r="O49" s="71" t="b">
        <f>ScenariosCombined[[#This Row],[AGG]]&gt;=AGGMin</f>
        <v>1</v>
      </c>
      <c r="P49" s="71" t="b">
        <f>AND(ScenariosCombined[[#This Row],[GLD]]&gt;=GLDMin,ScenariosCombined[[#This Row],[GLD]]&lt;=GLDMax)</f>
        <v>1</v>
      </c>
      <c r="Q49" s="71" t="b">
        <f>ScenariosCombined[[#This Row],[VNQ]]&gt;=VNQMin</f>
        <v>1</v>
      </c>
      <c r="R49" s="71" t="b">
        <f>AND(ScenariosCombined[[#This Row],[PE]]&gt;=PEMin,ScenariosCombined[[#This Row],[PE]]&lt;=PEMax)</f>
        <v>1</v>
      </c>
      <c r="S49" s="71" t="b">
        <f>ScenariosCombined[[#This Row],[Liquid Assets]]&gt;=LiquidMin</f>
        <v>1</v>
      </c>
      <c r="T49" s="71" t="b">
        <f>AND(ScenariosCombined[[#This Row],[Expected Return]]&gt;=ExpectedReturnMin,ScenariosCombined[[#This Row],[Expected Return]]&lt;=ExpectedReturnMax)</f>
        <v>1</v>
      </c>
      <c r="U49" s="71" t="b">
        <f>ScenariosCombined[[#This Row],[Max Drawdown]]&gt;=DrawdownMax</f>
        <v>1</v>
      </c>
      <c r="V4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49" s="46">
        <f>ScenariosCombined[[#This Row],[Sharpe Rank]]</f>
        <v>27</v>
      </c>
      <c r="X4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27</v>
      </c>
      <c r="Y4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40/15/15/20/10</v>
      </c>
      <c r="Z49">
        <f>_xlfn.XLOOKUP(ScenariosCombined[[#This Row],[Reference '#]],Scenarios1[Reference '#],Scenarios1[Sharpe Rank])</f>
        <v>26</v>
      </c>
      <c r="AA49">
        <f>_xlfn.XLOOKUP(ScenariosCombined[[#This Row],[Reference '#]],Scenarios2[Reference '#],Scenarios2[Sharpe Rank])</f>
        <v>26</v>
      </c>
      <c r="AB49">
        <f>_xlfn.XLOOKUP(ScenariosCombined[[#This Row],[Reference '#]],Scenarios3[Reference '#],Scenarios3[Sharpe Rank])</f>
        <v>28</v>
      </c>
      <c r="AD49" s="34"/>
      <c r="AE49" s="34"/>
      <c r="AI49" s="15"/>
    </row>
    <row r="50" spans="2:35" x14ac:dyDescent="0.2">
      <c r="B50" s="44">
        <v>80</v>
      </c>
      <c r="C50" s="68">
        <v>0.3</v>
      </c>
      <c r="D50" s="69">
        <v>0.2</v>
      </c>
      <c r="E50" s="69">
        <v>0.2</v>
      </c>
      <c r="F50" s="69">
        <v>0.15</v>
      </c>
      <c r="G50" s="69">
        <v>0.15</v>
      </c>
      <c r="H5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8.9999978632184299E-2</v>
      </c>
      <c r="I5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7.7575801416217713E-2</v>
      </c>
      <c r="J5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0.55422467176266232</v>
      </c>
      <c r="K5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-0.16456686231062201</v>
      </c>
      <c r="L50" s="69">
        <f>SUM(ScenariosCombined[[#This Row],[SPY]:[VNQ]])</f>
        <v>0.85</v>
      </c>
      <c r="M50" s="69">
        <f>SUM(ScenariosCombined[[#This Row],[SPY]:[PE]])</f>
        <v>1</v>
      </c>
      <c r="N50" s="71" t="b">
        <f>ScenariosCombined[[#This Row],[SPY]]&gt;=SpyMin</f>
        <v>1</v>
      </c>
      <c r="O50" s="71" t="b">
        <f>ScenariosCombined[[#This Row],[AGG]]&gt;=AGGMin</f>
        <v>1</v>
      </c>
      <c r="P50" s="71" t="b">
        <f>AND(ScenariosCombined[[#This Row],[GLD]]&gt;=GLDMin,ScenariosCombined[[#This Row],[GLD]]&lt;=GLDMax)</f>
        <v>1</v>
      </c>
      <c r="Q50" s="71" t="b">
        <f>ScenariosCombined[[#This Row],[VNQ]]&gt;=VNQMin</f>
        <v>1</v>
      </c>
      <c r="R50" s="71" t="b">
        <f>AND(ScenariosCombined[[#This Row],[PE]]&gt;=PEMin,ScenariosCombined[[#This Row],[PE]]&lt;=PEMax)</f>
        <v>1</v>
      </c>
      <c r="S50" s="71" t="b">
        <f>ScenariosCombined[[#This Row],[Liquid Assets]]&gt;=LiquidMin</f>
        <v>1</v>
      </c>
      <c r="T50" s="71" t="b">
        <f>AND(ScenariosCombined[[#This Row],[Expected Return]]&gt;=ExpectedReturnMin,ScenariosCombined[[#This Row],[Expected Return]]&lt;=ExpectedReturnMax)</f>
        <v>1</v>
      </c>
      <c r="U50" s="71" t="b">
        <f>ScenariosCombined[[#This Row],[Max Drawdown]]&gt;=DrawdownMax</f>
        <v>1</v>
      </c>
      <c r="V5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0" s="46">
        <f>ScenariosCombined[[#This Row],[Sharpe Rank]]</f>
        <v>28</v>
      </c>
      <c r="X5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28</v>
      </c>
      <c r="Y5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30/20/20/15/15</v>
      </c>
      <c r="Z50">
        <f>_xlfn.XLOOKUP(ScenariosCombined[[#This Row],[Reference '#]],Scenarios1[Reference '#],Scenarios1[Sharpe Rank])</f>
        <v>31</v>
      </c>
      <c r="AA50">
        <f>_xlfn.XLOOKUP(ScenariosCombined[[#This Row],[Reference '#]],Scenarios2[Reference '#],Scenarios2[Sharpe Rank])</f>
        <v>29</v>
      </c>
      <c r="AB50">
        <f>_xlfn.XLOOKUP(ScenariosCombined[[#This Row],[Reference '#]],Scenarios3[Reference '#],Scenarios3[Sharpe Rank])</f>
        <v>20</v>
      </c>
      <c r="AD50" s="34"/>
      <c r="AE50" s="34"/>
      <c r="AI50" s="15"/>
    </row>
    <row r="51" spans="2:35" x14ac:dyDescent="0.2">
      <c r="B51" s="44">
        <v>47</v>
      </c>
      <c r="C51" s="68">
        <v>0.35</v>
      </c>
      <c r="D51" s="69">
        <v>0.2</v>
      </c>
      <c r="E51" s="69">
        <v>0.15</v>
      </c>
      <c r="F51" s="69">
        <v>0.15</v>
      </c>
      <c r="G51" s="69">
        <v>0.15</v>
      </c>
      <c r="H5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9.1107753405953451E-2</v>
      </c>
      <c r="I5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7.9837684410467652E-2</v>
      </c>
      <c r="J5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0.5523982587427797</v>
      </c>
      <c r="K5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-0.17187256847840193</v>
      </c>
      <c r="L51" s="69">
        <f>SUM(ScenariosCombined[[#This Row],[SPY]:[VNQ]])</f>
        <v>0.85000000000000009</v>
      </c>
      <c r="M51" s="69">
        <f>SUM(ScenariosCombined[[#This Row],[SPY]:[PE]])</f>
        <v>1</v>
      </c>
      <c r="N51" s="71" t="b">
        <f>ScenariosCombined[[#This Row],[SPY]]&gt;=SpyMin</f>
        <v>1</v>
      </c>
      <c r="O51" s="71" t="b">
        <f>ScenariosCombined[[#This Row],[AGG]]&gt;=AGGMin</f>
        <v>1</v>
      </c>
      <c r="P51" s="71" t="b">
        <f>AND(ScenariosCombined[[#This Row],[GLD]]&gt;=GLDMin,ScenariosCombined[[#This Row],[GLD]]&lt;=GLDMax)</f>
        <v>1</v>
      </c>
      <c r="Q51" s="71" t="b">
        <f>ScenariosCombined[[#This Row],[VNQ]]&gt;=VNQMin</f>
        <v>1</v>
      </c>
      <c r="R51" s="71" t="b">
        <f>AND(ScenariosCombined[[#This Row],[PE]]&gt;=PEMin,ScenariosCombined[[#This Row],[PE]]&lt;=PEMax)</f>
        <v>1</v>
      </c>
      <c r="S51" s="71" t="b">
        <f>ScenariosCombined[[#This Row],[Liquid Assets]]&gt;=LiquidMin</f>
        <v>1</v>
      </c>
      <c r="T51" s="71" t="b">
        <f>AND(ScenariosCombined[[#This Row],[Expected Return]]&gt;=ExpectedReturnMin,ScenariosCombined[[#This Row],[Expected Return]]&lt;=ExpectedReturnMax)</f>
        <v>1</v>
      </c>
      <c r="U51" s="71" t="b">
        <f>ScenariosCombined[[#This Row],[Max Drawdown]]&gt;=DrawdownMax</f>
        <v>1</v>
      </c>
      <c r="V5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1" s="46">
        <f>ScenariosCombined[[#This Row],[Sharpe Rank]]</f>
        <v>29</v>
      </c>
      <c r="X5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29</v>
      </c>
      <c r="Y5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35/20/15/15/15</v>
      </c>
      <c r="Z51">
        <f>_xlfn.XLOOKUP(ScenariosCombined[[#This Row],[Reference '#]],Scenarios1[Reference '#],Scenarios1[Sharpe Rank])</f>
        <v>32</v>
      </c>
      <c r="AA51">
        <f>_xlfn.XLOOKUP(ScenariosCombined[[#This Row],[Reference '#]],Scenarios2[Reference '#],Scenarios2[Sharpe Rank])</f>
        <v>30</v>
      </c>
      <c r="AB51">
        <f>_xlfn.XLOOKUP(ScenariosCombined[[#This Row],[Reference '#]],Scenarios3[Reference '#],Scenarios3[Sharpe Rank])</f>
        <v>22</v>
      </c>
      <c r="AD51" s="34"/>
      <c r="AE51" s="34"/>
      <c r="AI51" s="15"/>
    </row>
    <row r="52" spans="2:35" x14ac:dyDescent="0.2">
      <c r="B52" s="44">
        <v>13</v>
      </c>
      <c r="C52" s="68">
        <v>0.45</v>
      </c>
      <c r="D52" s="69">
        <v>0.15</v>
      </c>
      <c r="E52" s="69">
        <v>0.1</v>
      </c>
      <c r="F52" s="69">
        <v>0.2</v>
      </c>
      <c r="G52" s="69">
        <v>0.1</v>
      </c>
      <c r="H5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9.8380285820629729E-2</v>
      </c>
      <c r="I5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9.3522222759865978E-2</v>
      </c>
      <c r="J5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0.5493317924766119</v>
      </c>
      <c r="K5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-0.1984378230080508</v>
      </c>
      <c r="L52" s="69">
        <f>SUM(ScenariosCombined[[#This Row],[SPY]:[VNQ]])</f>
        <v>0.89999999999999991</v>
      </c>
      <c r="M52" s="69">
        <f>SUM(ScenariosCombined[[#This Row],[SPY]:[PE]])</f>
        <v>0.99999999999999989</v>
      </c>
      <c r="N52" s="71" t="b">
        <f>ScenariosCombined[[#This Row],[SPY]]&gt;=SpyMin</f>
        <v>1</v>
      </c>
      <c r="O52" s="71" t="b">
        <f>ScenariosCombined[[#This Row],[AGG]]&gt;=AGGMin</f>
        <v>1</v>
      </c>
      <c r="P52" s="71" t="b">
        <f>AND(ScenariosCombined[[#This Row],[GLD]]&gt;=GLDMin,ScenariosCombined[[#This Row],[GLD]]&lt;=GLDMax)</f>
        <v>1</v>
      </c>
      <c r="Q52" s="71" t="b">
        <f>ScenariosCombined[[#This Row],[VNQ]]&gt;=VNQMin</f>
        <v>1</v>
      </c>
      <c r="R52" s="71" t="b">
        <f>AND(ScenariosCombined[[#This Row],[PE]]&gt;=PEMin,ScenariosCombined[[#This Row],[PE]]&lt;=PEMax)</f>
        <v>1</v>
      </c>
      <c r="S52" s="71" t="b">
        <f>ScenariosCombined[[#This Row],[Liquid Assets]]&gt;=LiquidMin</f>
        <v>1</v>
      </c>
      <c r="T52" s="71" t="b">
        <f>AND(ScenariosCombined[[#This Row],[Expected Return]]&gt;=ExpectedReturnMin,ScenariosCombined[[#This Row],[Expected Return]]&lt;=ExpectedReturnMax)</f>
        <v>1</v>
      </c>
      <c r="U52" s="71" t="b">
        <f>ScenariosCombined[[#This Row],[Max Drawdown]]&gt;=DrawdownMax</f>
        <v>1</v>
      </c>
      <c r="V5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2" s="46">
        <f>ScenariosCombined[[#This Row],[Sharpe Rank]]</f>
        <v>30</v>
      </c>
      <c r="X5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30</v>
      </c>
      <c r="Y5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45/15/10/20/10</v>
      </c>
      <c r="Z52">
        <f>_xlfn.XLOOKUP(ScenariosCombined[[#This Row],[Reference '#]],Scenarios1[Reference '#],Scenarios1[Sharpe Rank])</f>
        <v>29</v>
      </c>
      <c r="AA52">
        <f>_xlfn.XLOOKUP(ScenariosCombined[[#This Row],[Reference '#]],Scenarios2[Reference '#],Scenarios2[Sharpe Rank])</f>
        <v>28</v>
      </c>
      <c r="AB52" t="str">
        <f>_xlfn.XLOOKUP(ScenariosCombined[[#This Row],[Reference '#]],Scenarios3[Reference '#],Scenarios3[Sharpe Rank])</f>
        <v/>
      </c>
      <c r="AD52" s="34"/>
      <c r="AE52" s="34"/>
      <c r="AI52" s="15"/>
    </row>
    <row r="53" spans="2:35" x14ac:dyDescent="0.2">
      <c r="B53" s="44">
        <v>24</v>
      </c>
      <c r="C53" s="68">
        <v>0.4</v>
      </c>
      <c r="D53" s="69">
        <v>0.2</v>
      </c>
      <c r="E53" s="69">
        <v>0.1</v>
      </c>
      <c r="F53" s="69">
        <v>0.15</v>
      </c>
      <c r="G53" s="69">
        <v>0.15</v>
      </c>
      <c r="H5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9.2215528179722617E-2</v>
      </c>
      <c r="I5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8.3047670736612664E-2</v>
      </c>
      <c r="J5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0.54438579942297705</v>
      </c>
      <c r="K5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-0.17919674215818437</v>
      </c>
      <c r="L53" s="69">
        <f>SUM(ScenariosCombined[[#This Row],[SPY]:[VNQ]])</f>
        <v>0.85000000000000009</v>
      </c>
      <c r="M53" s="69">
        <f>SUM(ScenariosCombined[[#This Row],[SPY]:[PE]])</f>
        <v>1</v>
      </c>
      <c r="N53" s="71" t="b">
        <f>ScenariosCombined[[#This Row],[SPY]]&gt;=SpyMin</f>
        <v>1</v>
      </c>
      <c r="O53" s="71" t="b">
        <f>ScenariosCombined[[#This Row],[AGG]]&gt;=AGGMin</f>
        <v>1</v>
      </c>
      <c r="P53" s="71" t="b">
        <f>AND(ScenariosCombined[[#This Row],[GLD]]&gt;=GLDMin,ScenariosCombined[[#This Row],[GLD]]&lt;=GLDMax)</f>
        <v>1</v>
      </c>
      <c r="Q53" s="71" t="b">
        <f>ScenariosCombined[[#This Row],[VNQ]]&gt;=VNQMin</f>
        <v>1</v>
      </c>
      <c r="R53" s="71" t="b">
        <f>AND(ScenariosCombined[[#This Row],[PE]]&gt;=PEMin,ScenariosCombined[[#This Row],[PE]]&lt;=PEMax)</f>
        <v>1</v>
      </c>
      <c r="S53" s="71" t="b">
        <f>ScenariosCombined[[#This Row],[Liquid Assets]]&gt;=LiquidMin</f>
        <v>1</v>
      </c>
      <c r="T53" s="71" t="b">
        <f>AND(ScenariosCombined[[#This Row],[Expected Return]]&gt;=ExpectedReturnMin,ScenariosCombined[[#This Row],[Expected Return]]&lt;=ExpectedReturnMax)</f>
        <v>1</v>
      </c>
      <c r="U53" s="71" t="b">
        <f>ScenariosCombined[[#This Row],[Max Drawdown]]&gt;=DrawdownMax</f>
        <v>1</v>
      </c>
      <c r="V5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3" s="46">
        <f>ScenariosCombined[[#This Row],[Sharpe Rank]]</f>
        <v>31</v>
      </c>
      <c r="X5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31</v>
      </c>
      <c r="Y5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40/20/10/15/15</v>
      </c>
      <c r="Z53">
        <f>_xlfn.XLOOKUP(ScenariosCombined[[#This Row],[Reference '#]],Scenarios1[Reference '#],Scenarios1[Sharpe Rank])</f>
        <v>33</v>
      </c>
      <c r="AA53">
        <f>_xlfn.XLOOKUP(ScenariosCombined[[#This Row],[Reference '#]],Scenarios2[Reference '#],Scenarios2[Sharpe Rank])</f>
        <v>31</v>
      </c>
      <c r="AB53">
        <f>_xlfn.XLOOKUP(ScenariosCombined[[#This Row],[Reference '#]],Scenarios3[Reference '#],Scenarios3[Sharpe Rank])</f>
        <v>26</v>
      </c>
      <c r="AD53" s="34"/>
      <c r="AE53" s="34"/>
      <c r="AI53" s="15"/>
    </row>
    <row r="54" spans="2:35" x14ac:dyDescent="0.2">
      <c r="B54" s="44">
        <v>75</v>
      </c>
      <c r="C54" s="68">
        <v>0.3</v>
      </c>
      <c r="D54" s="69">
        <v>0.25</v>
      </c>
      <c r="E54" s="69">
        <v>0.15</v>
      </c>
      <c r="F54" s="69">
        <v>0.1</v>
      </c>
      <c r="G54" s="69">
        <v>0.2</v>
      </c>
      <c r="H5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8.4942995765046339E-2</v>
      </c>
      <c r="I5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7.0051965201167465E-2</v>
      </c>
      <c r="J5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0.54156139803567604</v>
      </c>
      <c r="K5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-0.15246458266521146</v>
      </c>
      <c r="L54" s="69">
        <f>SUM(ScenariosCombined[[#This Row],[SPY]:[VNQ]])</f>
        <v>0.8</v>
      </c>
      <c r="M54" s="69">
        <f>SUM(ScenariosCombined[[#This Row],[SPY]:[PE]])</f>
        <v>1</v>
      </c>
      <c r="N54" s="71" t="b">
        <f>ScenariosCombined[[#This Row],[SPY]]&gt;=SpyMin</f>
        <v>1</v>
      </c>
      <c r="O54" s="71" t="b">
        <f>ScenariosCombined[[#This Row],[AGG]]&gt;=AGGMin</f>
        <v>1</v>
      </c>
      <c r="P54" s="71" t="b">
        <f>AND(ScenariosCombined[[#This Row],[GLD]]&gt;=GLDMin,ScenariosCombined[[#This Row],[GLD]]&lt;=GLDMax)</f>
        <v>1</v>
      </c>
      <c r="Q54" s="71" t="b">
        <f>ScenariosCombined[[#This Row],[VNQ]]&gt;=VNQMin</f>
        <v>1</v>
      </c>
      <c r="R54" s="71" t="b">
        <f>AND(ScenariosCombined[[#This Row],[PE]]&gt;=PEMin,ScenariosCombined[[#This Row],[PE]]&lt;=PEMax)</f>
        <v>1</v>
      </c>
      <c r="S54" s="71" t="b">
        <f>ScenariosCombined[[#This Row],[Liquid Assets]]&gt;=LiquidMin</f>
        <v>1</v>
      </c>
      <c r="T54" s="71" t="b">
        <f>AND(ScenariosCombined[[#This Row],[Expected Return]]&gt;=ExpectedReturnMin,ScenariosCombined[[#This Row],[Expected Return]]&lt;=ExpectedReturnMax)</f>
        <v>1</v>
      </c>
      <c r="U54" s="71" t="b">
        <f>ScenariosCombined[[#This Row],[Max Drawdown]]&gt;=DrawdownMax</f>
        <v>1</v>
      </c>
      <c r="V5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4" s="46">
        <f>ScenariosCombined[[#This Row],[Sharpe Rank]]</f>
        <v>32</v>
      </c>
      <c r="X5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32</v>
      </c>
      <c r="Y5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30/25/15/10/20</v>
      </c>
      <c r="Z54">
        <f>_xlfn.XLOOKUP(ScenariosCombined[[#This Row],[Reference '#]],Scenarios1[Reference '#],Scenarios1[Sharpe Rank])</f>
        <v>39</v>
      </c>
      <c r="AA54">
        <f>_xlfn.XLOOKUP(ScenariosCombined[[#This Row],[Reference '#]],Scenarios2[Reference '#],Scenarios2[Sharpe Rank])</f>
        <v>34</v>
      </c>
      <c r="AB54">
        <f>_xlfn.XLOOKUP(ScenariosCombined[[#This Row],[Reference '#]],Scenarios3[Reference '#],Scenarios3[Sharpe Rank])</f>
        <v>16</v>
      </c>
      <c r="AD54" s="34"/>
      <c r="AE54" s="34"/>
      <c r="AI54" s="15"/>
    </row>
    <row r="55" spans="2:35" x14ac:dyDescent="0.2">
      <c r="B55" s="112">
        <v>117</v>
      </c>
      <c r="C55" s="113">
        <v>0.25</v>
      </c>
      <c r="D55" s="114">
        <v>0.25</v>
      </c>
      <c r="E55" s="114">
        <v>0.2</v>
      </c>
      <c r="F55" s="114">
        <v>0.1</v>
      </c>
      <c r="G55" s="114">
        <v>0.2</v>
      </c>
      <c r="H5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8.3835220991277173E-2</v>
      </c>
      <c r="I5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6.8229909457763416E-2</v>
      </c>
      <c r="J5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0.53978769323327946</v>
      </c>
      <c r="K5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-0.14512711256852973</v>
      </c>
      <c r="L55" s="114">
        <f>SUM(ScenariosCombined[[#This Row],[SPY]:[VNQ]])</f>
        <v>0.79999999999999993</v>
      </c>
      <c r="M55" s="114">
        <f>SUM(ScenariosCombined[[#This Row],[SPY]:[PE]])</f>
        <v>1</v>
      </c>
      <c r="N55" s="116" t="b">
        <f>ScenariosCombined[[#This Row],[SPY]]&gt;=SpyMin</f>
        <v>1</v>
      </c>
      <c r="O55" s="116" t="b">
        <f>ScenariosCombined[[#This Row],[AGG]]&gt;=AGGMin</f>
        <v>1</v>
      </c>
      <c r="P55" s="116" t="b">
        <f>AND(ScenariosCombined[[#This Row],[GLD]]&gt;=GLDMin,ScenariosCombined[[#This Row],[GLD]]&lt;=GLDMax)</f>
        <v>1</v>
      </c>
      <c r="Q55" s="116" t="b">
        <f>ScenariosCombined[[#This Row],[VNQ]]&gt;=VNQMin</f>
        <v>1</v>
      </c>
      <c r="R55" s="116" t="b">
        <f>AND(ScenariosCombined[[#This Row],[PE]]&gt;=PEMin,ScenariosCombined[[#This Row],[PE]]&lt;=PEMax)</f>
        <v>1</v>
      </c>
      <c r="S55" s="116" t="b">
        <f>ScenariosCombined[[#This Row],[Liquid Assets]]&gt;=LiquidMin</f>
        <v>1</v>
      </c>
      <c r="T55" s="116" t="b">
        <f>AND(ScenariosCombined[[#This Row],[Expected Return]]&gt;=ExpectedReturnMin,ScenariosCombined[[#This Row],[Expected Return]]&lt;=ExpectedReturnMax)</f>
        <v>1</v>
      </c>
      <c r="U55" s="116" t="b">
        <f>ScenariosCombined[[#This Row],[Max Drawdown]]&gt;=DrawdownMax</f>
        <v>1</v>
      </c>
      <c r="V55" s="117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5" s="118">
        <f>ScenariosCombined[[#This Row],[Sharpe Rank]]</f>
        <v>33</v>
      </c>
      <c r="X55" s="112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33</v>
      </c>
      <c r="Y55" s="119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25/25/20/10/20</v>
      </c>
      <c r="Z55" s="120">
        <f>_xlfn.XLOOKUP(ScenariosCombined[[#This Row],[Reference '#]],Scenarios1[Reference '#],Scenarios1[Sharpe Rank])</f>
        <v>40</v>
      </c>
      <c r="AA55" s="120">
        <f>_xlfn.XLOOKUP(ScenariosCombined[[#This Row],[Reference '#]],Scenarios2[Reference '#],Scenarios2[Sharpe Rank])</f>
        <v>35</v>
      </c>
      <c r="AB55" s="120">
        <f>_xlfn.XLOOKUP(ScenariosCombined[[#This Row],[Reference '#]],Scenarios3[Reference '#],Scenarios3[Sharpe Rank])</f>
        <v>17</v>
      </c>
      <c r="AD55" s="34"/>
      <c r="AE55" s="34"/>
      <c r="AI55" s="15"/>
    </row>
    <row r="56" spans="2:35" x14ac:dyDescent="0.2">
      <c r="B56" s="44">
        <v>89</v>
      </c>
      <c r="C56" s="68">
        <v>0.3</v>
      </c>
      <c r="D56" s="69">
        <v>0.15</v>
      </c>
      <c r="E56" s="69">
        <v>0.2</v>
      </c>
      <c r="F56" s="69">
        <v>0.2</v>
      </c>
      <c r="G56" s="69">
        <v>0.15</v>
      </c>
      <c r="H5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9.1583717978347745E-2</v>
      </c>
      <c r="I5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8.2677016505143114E-2</v>
      </c>
      <c r="J5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0.53918445908143176</v>
      </c>
      <c r="K5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-0.17235839363109051</v>
      </c>
      <c r="L56" s="69">
        <f>SUM(ScenariosCombined[[#This Row],[SPY]:[VNQ]])</f>
        <v>0.84999999999999987</v>
      </c>
      <c r="M56" s="69">
        <f>SUM(ScenariosCombined[[#This Row],[SPY]:[PE]])</f>
        <v>0.99999999999999989</v>
      </c>
      <c r="N56" s="71" t="b">
        <f>ScenariosCombined[[#This Row],[SPY]]&gt;=SpyMin</f>
        <v>1</v>
      </c>
      <c r="O56" s="71" t="b">
        <f>ScenariosCombined[[#This Row],[AGG]]&gt;=AGGMin</f>
        <v>1</v>
      </c>
      <c r="P56" s="71" t="b">
        <f>AND(ScenariosCombined[[#This Row],[GLD]]&gt;=GLDMin,ScenariosCombined[[#This Row],[GLD]]&lt;=GLDMax)</f>
        <v>1</v>
      </c>
      <c r="Q56" s="71" t="b">
        <f>ScenariosCombined[[#This Row],[VNQ]]&gt;=VNQMin</f>
        <v>1</v>
      </c>
      <c r="R56" s="71" t="b">
        <f>AND(ScenariosCombined[[#This Row],[PE]]&gt;=PEMin,ScenariosCombined[[#This Row],[PE]]&lt;=PEMax)</f>
        <v>1</v>
      </c>
      <c r="S56" s="71" t="b">
        <f>ScenariosCombined[[#This Row],[Liquid Assets]]&gt;=LiquidMin</f>
        <v>1</v>
      </c>
      <c r="T56" s="71" t="b">
        <f>AND(ScenariosCombined[[#This Row],[Expected Return]]&gt;=ExpectedReturnMin,ScenariosCombined[[#This Row],[Expected Return]]&lt;=ExpectedReturnMax)</f>
        <v>1</v>
      </c>
      <c r="U56" s="71" t="b">
        <f>ScenariosCombined[[#This Row],[Max Drawdown]]&gt;=DrawdownMax</f>
        <v>1</v>
      </c>
      <c r="V5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6" s="46">
        <f>ScenariosCombined[[#This Row],[Sharpe Rank]]</f>
        <v>34</v>
      </c>
      <c r="X5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34</v>
      </c>
      <c r="Y5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30/15/20/20/15</v>
      </c>
      <c r="Z56">
        <f>_xlfn.XLOOKUP(ScenariosCombined[[#This Row],[Reference '#]],Scenarios1[Reference '#],Scenarios1[Sharpe Rank])</f>
        <v>34</v>
      </c>
      <c r="AA56">
        <f>_xlfn.XLOOKUP(ScenariosCombined[[#This Row],[Reference '#]],Scenarios2[Reference '#],Scenarios2[Sharpe Rank])</f>
        <v>32</v>
      </c>
      <c r="AB56">
        <f>_xlfn.XLOOKUP(ScenariosCombined[[#This Row],[Reference '#]],Scenarios3[Reference '#],Scenarios3[Sharpe Rank])</f>
        <v>29</v>
      </c>
      <c r="AD56" s="34"/>
      <c r="AE56" s="34"/>
      <c r="AI56" s="15"/>
    </row>
    <row r="57" spans="2:35" x14ac:dyDescent="0.2">
      <c r="B57" s="44">
        <v>56</v>
      </c>
      <c r="C57" s="68">
        <v>0.35</v>
      </c>
      <c r="D57" s="69">
        <v>0.15</v>
      </c>
      <c r="E57" s="69">
        <v>0.15</v>
      </c>
      <c r="F57" s="69">
        <v>0.2</v>
      </c>
      <c r="G57" s="69">
        <v>0.15</v>
      </c>
      <c r="H5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9.2691492752116911E-2</v>
      </c>
      <c r="I5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8.5078002012138707E-2</v>
      </c>
      <c r="J5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0.53698883514028717</v>
      </c>
      <c r="K5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-0.17964551741147883</v>
      </c>
      <c r="L57" s="69">
        <f>SUM(ScenariosCombined[[#This Row],[SPY]:[VNQ]])</f>
        <v>0.85000000000000009</v>
      </c>
      <c r="M57" s="69">
        <f>SUM(ScenariosCombined[[#This Row],[SPY]:[PE]])</f>
        <v>1</v>
      </c>
      <c r="N57" s="71" t="b">
        <f>ScenariosCombined[[#This Row],[SPY]]&gt;=SpyMin</f>
        <v>1</v>
      </c>
      <c r="O57" s="71" t="b">
        <f>ScenariosCombined[[#This Row],[AGG]]&gt;=AGGMin</f>
        <v>1</v>
      </c>
      <c r="P57" s="71" t="b">
        <f>AND(ScenariosCombined[[#This Row],[GLD]]&gt;=GLDMin,ScenariosCombined[[#This Row],[GLD]]&lt;=GLDMax)</f>
        <v>1</v>
      </c>
      <c r="Q57" s="71" t="b">
        <f>ScenariosCombined[[#This Row],[VNQ]]&gt;=VNQMin</f>
        <v>1</v>
      </c>
      <c r="R57" s="71" t="b">
        <f>AND(ScenariosCombined[[#This Row],[PE]]&gt;=PEMin,ScenariosCombined[[#This Row],[PE]]&lt;=PEMax)</f>
        <v>1</v>
      </c>
      <c r="S57" s="71" t="b">
        <f>ScenariosCombined[[#This Row],[Liquid Assets]]&gt;=LiquidMin</f>
        <v>1</v>
      </c>
      <c r="T57" s="71" t="b">
        <f>AND(ScenariosCombined[[#This Row],[Expected Return]]&gt;=ExpectedReturnMin,ScenariosCombined[[#This Row],[Expected Return]]&lt;=ExpectedReturnMax)</f>
        <v>1</v>
      </c>
      <c r="U57" s="71" t="b">
        <f>ScenariosCombined[[#This Row],[Max Drawdown]]&gt;=DrawdownMax</f>
        <v>1</v>
      </c>
      <c r="V5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7" s="46">
        <f>ScenariosCombined[[#This Row],[Sharpe Rank]]</f>
        <v>35</v>
      </c>
      <c r="X5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35</v>
      </c>
      <c r="Y5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35/15/15/20/15</v>
      </c>
      <c r="Z57">
        <f>_xlfn.XLOOKUP(ScenariosCombined[[#This Row],[Reference '#]],Scenarios1[Reference '#],Scenarios1[Sharpe Rank])</f>
        <v>35</v>
      </c>
      <c r="AA57">
        <f>_xlfn.XLOOKUP(ScenariosCombined[[#This Row],[Reference '#]],Scenarios2[Reference '#],Scenarios2[Sharpe Rank])</f>
        <v>33</v>
      </c>
      <c r="AB57">
        <f>_xlfn.XLOOKUP(ScenariosCombined[[#This Row],[Reference '#]],Scenarios3[Reference '#],Scenarios3[Sharpe Rank])</f>
        <v>30</v>
      </c>
      <c r="AD57" s="34"/>
      <c r="AE57" s="34"/>
      <c r="AI57" s="15"/>
    </row>
    <row r="58" spans="2:35" x14ac:dyDescent="0.2">
      <c r="B58" s="44">
        <v>43</v>
      </c>
      <c r="C58" s="68">
        <v>0.35</v>
      </c>
      <c r="D58" s="69">
        <v>0.25</v>
      </c>
      <c r="E58" s="69">
        <v>0.1</v>
      </c>
      <c r="F58" s="69">
        <v>0.1</v>
      </c>
      <c r="G58" s="69">
        <v>0.2</v>
      </c>
      <c r="H5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8.6050770538815477E-2</v>
      </c>
      <c r="I5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7.2979750537878502E-2</v>
      </c>
      <c r="J5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0.53501436625210697</v>
      </c>
      <c r="K5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-0.15982311456934162</v>
      </c>
      <c r="L58" s="69">
        <f>SUM(ScenariosCombined[[#This Row],[SPY]:[VNQ]])</f>
        <v>0.79999999999999993</v>
      </c>
      <c r="M58" s="69">
        <f>SUM(ScenariosCombined[[#This Row],[SPY]:[PE]])</f>
        <v>1</v>
      </c>
      <c r="N58" s="71" t="b">
        <f>ScenariosCombined[[#This Row],[SPY]]&gt;=SpyMin</f>
        <v>1</v>
      </c>
      <c r="O58" s="71" t="b">
        <f>ScenariosCombined[[#This Row],[AGG]]&gt;=AGGMin</f>
        <v>1</v>
      </c>
      <c r="P58" s="71" t="b">
        <f>AND(ScenariosCombined[[#This Row],[GLD]]&gt;=GLDMin,ScenariosCombined[[#This Row],[GLD]]&lt;=GLDMax)</f>
        <v>1</v>
      </c>
      <c r="Q58" s="71" t="b">
        <f>ScenariosCombined[[#This Row],[VNQ]]&gt;=VNQMin</f>
        <v>1</v>
      </c>
      <c r="R58" s="71" t="b">
        <f>AND(ScenariosCombined[[#This Row],[PE]]&gt;=PEMin,ScenariosCombined[[#This Row],[PE]]&lt;=PEMax)</f>
        <v>1</v>
      </c>
      <c r="S58" s="71" t="b">
        <f>ScenariosCombined[[#This Row],[Liquid Assets]]&gt;=LiquidMin</f>
        <v>1</v>
      </c>
      <c r="T58" s="71" t="b">
        <f>AND(ScenariosCombined[[#This Row],[Expected Return]]&gt;=ExpectedReturnMin,ScenariosCombined[[#This Row],[Expected Return]]&lt;=ExpectedReturnMax)</f>
        <v>1</v>
      </c>
      <c r="U58" s="71" t="b">
        <f>ScenariosCombined[[#This Row],[Max Drawdown]]&gt;=DrawdownMax</f>
        <v>1</v>
      </c>
      <c r="V5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8" s="46">
        <f>ScenariosCombined[[#This Row],[Sharpe Rank]]</f>
        <v>36</v>
      </c>
      <c r="X5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36</v>
      </c>
      <c r="Y5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35/25/10/10/20</v>
      </c>
      <c r="Z58">
        <f>_xlfn.XLOOKUP(ScenariosCombined[[#This Row],[Reference '#]],Scenarios1[Reference '#],Scenarios1[Sharpe Rank])</f>
        <v>42</v>
      </c>
      <c r="AA58">
        <f>_xlfn.XLOOKUP(ScenariosCombined[[#This Row],[Reference '#]],Scenarios2[Reference '#],Scenarios2[Sharpe Rank])</f>
        <v>38</v>
      </c>
      <c r="AB58">
        <f>_xlfn.XLOOKUP(ScenariosCombined[[#This Row],[Reference '#]],Scenarios3[Reference '#],Scenarios3[Sharpe Rank])</f>
        <v>21</v>
      </c>
      <c r="AD58" s="34"/>
      <c r="AE58" s="34"/>
      <c r="AI58" s="15"/>
    </row>
    <row r="59" spans="2:35" x14ac:dyDescent="0.2">
      <c r="B59" s="44">
        <v>32</v>
      </c>
      <c r="C59" s="68">
        <v>0.4</v>
      </c>
      <c r="D59" s="69">
        <v>0.15</v>
      </c>
      <c r="E59" s="69">
        <v>0.1</v>
      </c>
      <c r="F59" s="69">
        <v>0.2</v>
      </c>
      <c r="G59" s="69">
        <v>0.15</v>
      </c>
      <c r="H5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9.3799267525886076E-2</v>
      </c>
      <c r="I5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8.8362054472820292E-2</v>
      </c>
      <c r="J5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0.52956794915541527</v>
      </c>
      <c r="K5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-0.18695012140380352</v>
      </c>
      <c r="L59" s="69">
        <f>SUM(ScenariosCombined[[#This Row],[SPY]:[VNQ]])</f>
        <v>0.85000000000000009</v>
      </c>
      <c r="M59" s="69">
        <f>SUM(ScenariosCombined[[#This Row],[SPY]:[PE]])</f>
        <v>1</v>
      </c>
      <c r="N59" s="71" t="b">
        <f>ScenariosCombined[[#This Row],[SPY]]&gt;=SpyMin</f>
        <v>1</v>
      </c>
      <c r="O59" s="71" t="b">
        <f>ScenariosCombined[[#This Row],[AGG]]&gt;=AGGMin</f>
        <v>1</v>
      </c>
      <c r="P59" s="71" t="b">
        <f>AND(ScenariosCombined[[#This Row],[GLD]]&gt;=GLDMin,ScenariosCombined[[#This Row],[GLD]]&lt;=GLDMax)</f>
        <v>1</v>
      </c>
      <c r="Q59" s="71" t="b">
        <f>ScenariosCombined[[#This Row],[VNQ]]&gt;=VNQMin</f>
        <v>1</v>
      </c>
      <c r="R59" s="71" t="b">
        <f>AND(ScenariosCombined[[#This Row],[PE]]&gt;=PEMin,ScenariosCombined[[#This Row],[PE]]&lt;=PEMax)</f>
        <v>1</v>
      </c>
      <c r="S59" s="71" t="b">
        <f>ScenariosCombined[[#This Row],[Liquid Assets]]&gt;=LiquidMin</f>
        <v>1</v>
      </c>
      <c r="T59" s="71" t="b">
        <f>AND(ScenariosCombined[[#This Row],[Expected Return]]&gt;=ExpectedReturnMin,ScenariosCombined[[#This Row],[Expected Return]]&lt;=ExpectedReturnMax)</f>
        <v>1</v>
      </c>
      <c r="U59" s="71" t="b">
        <f>ScenariosCombined[[#This Row],[Max Drawdown]]&gt;=DrawdownMax</f>
        <v>1</v>
      </c>
      <c r="V5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59" s="46">
        <f>ScenariosCombined[[#This Row],[Sharpe Rank]]</f>
        <v>37</v>
      </c>
      <c r="X5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37</v>
      </c>
      <c r="Y5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40/15/10/20/15</v>
      </c>
      <c r="Z59">
        <f>_xlfn.XLOOKUP(ScenariosCombined[[#This Row],[Reference '#]],Scenarios1[Reference '#],Scenarios1[Sharpe Rank])</f>
        <v>36</v>
      </c>
      <c r="AA59">
        <f>_xlfn.XLOOKUP(ScenariosCombined[[#This Row],[Reference '#]],Scenarios2[Reference '#],Scenarios2[Sharpe Rank])</f>
        <v>36</v>
      </c>
      <c r="AB59">
        <f>_xlfn.XLOOKUP(ScenariosCombined[[#This Row],[Reference '#]],Scenarios3[Reference '#],Scenarios3[Sharpe Rank])</f>
        <v>33</v>
      </c>
      <c r="AD59" s="34"/>
      <c r="AE59" s="34"/>
      <c r="AI59" s="15"/>
    </row>
    <row r="60" spans="2:35" x14ac:dyDescent="0.2">
      <c r="B60" s="44">
        <v>84</v>
      </c>
      <c r="C60" s="68">
        <v>0.3</v>
      </c>
      <c r="D60" s="69">
        <v>0.2</v>
      </c>
      <c r="E60" s="69">
        <v>0.15</v>
      </c>
      <c r="F60" s="69">
        <v>0.15</v>
      </c>
      <c r="G60" s="69">
        <v>0.2</v>
      </c>
      <c r="H6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8.6526735111209827E-2</v>
      </c>
      <c r="I6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7.5009250644505046E-2</v>
      </c>
      <c r="J6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0.52688407384522329</v>
      </c>
      <c r="K6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-0.16027522551679685</v>
      </c>
      <c r="L60" s="69">
        <f>SUM(ScenariosCombined[[#This Row],[SPY]:[VNQ]])</f>
        <v>0.8</v>
      </c>
      <c r="M60" s="69">
        <f>SUM(ScenariosCombined[[#This Row],[SPY]:[PE]])</f>
        <v>1</v>
      </c>
      <c r="N60" s="71" t="b">
        <f>ScenariosCombined[[#This Row],[SPY]]&gt;=SpyMin</f>
        <v>1</v>
      </c>
      <c r="O60" s="71" t="b">
        <f>ScenariosCombined[[#This Row],[AGG]]&gt;=AGGMin</f>
        <v>1</v>
      </c>
      <c r="P60" s="71" t="b">
        <f>AND(ScenariosCombined[[#This Row],[GLD]]&gt;=GLDMin,ScenariosCombined[[#This Row],[GLD]]&lt;=GLDMax)</f>
        <v>1</v>
      </c>
      <c r="Q60" s="71" t="b">
        <f>ScenariosCombined[[#This Row],[VNQ]]&gt;=VNQMin</f>
        <v>1</v>
      </c>
      <c r="R60" s="71" t="b">
        <f>AND(ScenariosCombined[[#This Row],[PE]]&gt;=PEMin,ScenariosCombined[[#This Row],[PE]]&lt;=PEMax)</f>
        <v>1</v>
      </c>
      <c r="S60" s="71" t="b">
        <f>ScenariosCombined[[#This Row],[Liquid Assets]]&gt;=LiquidMin</f>
        <v>1</v>
      </c>
      <c r="T60" s="71" t="b">
        <f>AND(ScenariosCombined[[#This Row],[Expected Return]]&gt;=ExpectedReturnMin,ScenariosCombined[[#This Row],[Expected Return]]&lt;=ExpectedReturnMax)</f>
        <v>1</v>
      </c>
      <c r="U60" s="71" t="b">
        <f>ScenariosCombined[[#This Row],[Max Drawdown]]&gt;=DrawdownMax</f>
        <v>1</v>
      </c>
      <c r="V6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0" s="46">
        <f>ScenariosCombined[[#This Row],[Sharpe Rank]]</f>
        <v>38</v>
      </c>
      <c r="X6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38</v>
      </c>
      <c r="Y6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30/20/15/15/20</v>
      </c>
      <c r="Z60">
        <f>_xlfn.XLOOKUP(ScenariosCombined[[#This Row],[Reference '#]],Scenarios1[Reference '#],Scenarios1[Sharpe Rank])</f>
        <v>45</v>
      </c>
      <c r="AA60">
        <f>_xlfn.XLOOKUP(ScenariosCombined[[#This Row],[Reference '#]],Scenarios2[Reference '#],Scenarios2[Sharpe Rank])</f>
        <v>41</v>
      </c>
      <c r="AB60">
        <f>_xlfn.XLOOKUP(ScenariosCombined[[#This Row],[Reference '#]],Scenarios3[Reference '#],Scenarios3[Sharpe Rank])</f>
        <v>27</v>
      </c>
      <c r="AD60" s="34"/>
      <c r="AE60" s="34"/>
      <c r="AI60" s="15"/>
    </row>
    <row r="61" spans="2:35" x14ac:dyDescent="0.2">
      <c r="B61" s="44">
        <v>126</v>
      </c>
      <c r="C61" s="68">
        <v>0.25</v>
      </c>
      <c r="D61" s="69">
        <v>0.2</v>
      </c>
      <c r="E61" s="69">
        <v>0.2</v>
      </c>
      <c r="F61" s="69">
        <v>0.15</v>
      </c>
      <c r="G61" s="69">
        <v>0.2</v>
      </c>
      <c r="H6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8.5418960337440661E-2</v>
      </c>
      <c r="I6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7.2991122177908818E-2</v>
      </c>
      <c r="J6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0.52627502682115412</v>
      </c>
      <c r="K6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-0.15295446198227591</v>
      </c>
      <c r="L61" s="69">
        <f>SUM(ScenariosCombined[[#This Row],[SPY]:[VNQ]])</f>
        <v>0.8</v>
      </c>
      <c r="M61" s="69">
        <f>SUM(ScenariosCombined[[#This Row],[SPY]:[PE]])</f>
        <v>1</v>
      </c>
      <c r="N61" s="71" t="b">
        <f>ScenariosCombined[[#This Row],[SPY]]&gt;=SpyMin</f>
        <v>1</v>
      </c>
      <c r="O61" s="71" t="b">
        <f>ScenariosCombined[[#This Row],[AGG]]&gt;=AGGMin</f>
        <v>1</v>
      </c>
      <c r="P61" s="71" t="b">
        <f>AND(ScenariosCombined[[#This Row],[GLD]]&gt;=GLDMin,ScenariosCombined[[#This Row],[GLD]]&lt;=GLDMax)</f>
        <v>1</v>
      </c>
      <c r="Q61" s="71" t="b">
        <f>ScenariosCombined[[#This Row],[VNQ]]&gt;=VNQMin</f>
        <v>1</v>
      </c>
      <c r="R61" s="71" t="b">
        <f>AND(ScenariosCombined[[#This Row],[PE]]&gt;=PEMin,ScenariosCombined[[#This Row],[PE]]&lt;=PEMax)</f>
        <v>1</v>
      </c>
      <c r="S61" s="71" t="b">
        <f>ScenariosCombined[[#This Row],[Liquid Assets]]&gt;=LiquidMin</f>
        <v>1</v>
      </c>
      <c r="T61" s="71" t="b">
        <f>AND(ScenariosCombined[[#This Row],[Expected Return]]&gt;=ExpectedReturnMin,ScenariosCombined[[#This Row],[Expected Return]]&lt;=ExpectedReturnMax)</f>
        <v>1</v>
      </c>
      <c r="U61" s="71" t="b">
        <f>ScenariosCombined[[#This Row],[Max Drawdown]]&gt;=DrawdownMax</f>
        <v>1</v>
      </c>
      <c r="V6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1" s="46">
        <f>ScenariosCombined[[#This Row],[Sharpe Rank]]</f>
        <v>39</v>
      </c>
      <c r="X6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39</v>
      </c>
      <c r="Y6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25/20/20/15/20</v>
      </c>
      <c r="Z61">
        <f>_xlfn.XLOOKUP(ScenariosCombined[[#This Row],[Reference '#]],Scenarios1[Reference '#],Scenarios1[Sharpe Rank])</f>
        <v>46</v>
      </c>
      <c r="AA61">
        <f>_xlfn.XLOOKUP(ScenariosCombined[[#This Row],[Reference '#]],Scenarios2[Reference '#],Scenarios2[Sharpe Rank])</f>
        <v>42</v>
      </c>
      <c r="AB61">
        <f>_xlfn.XLOOKUP(ScenariosCombined[[#This Row],[Reference '#]],Scenarios3[Reference '#],Scenarios3[Sharpe Rank])</f>
        <v>25</v>
      </c>
      <c r="AD61" s="34"/>
      <c r="AE61" s="34"/>
      <c r="AI61" s="15"/>
    </row>
    <row r="62" spans="2:35" x14ac:dyDescent="0.2">
      <c r="B62" s="44">
        <v>35</v>
      </c>
      <c r="C62" s="68">
        <v>0.35</v>
      </c>
      <c r="D62" s="69">
        <v>0.3</v>
      </c>
      <c r="E62" s="69">
        <v>0.15</v>
      </c>
      <c r="F62" s="69">
        <v>0.1</v>
      </c>
      <c r="G62" s="69">
        <v>0.1</v>
      </c>
      <c r="H6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8.7421799333524938E-2</v>
      </c>
      <c r="I6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7.710925694141553E-2</v>
      </c>
      <c r="J6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0.52414256577100726</v>
      </c>
      <c r="K6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-0.17083546284768747</v>
      </c>
      <c r="L62" s="69">
        <f>SUM(ScenariosCombined[[#This Row],[SPY]:[VNQ]])</f>
        <v>0.89999999999999991</v>
      </c>
      <c r="M62" s="69">
        <f>SUM(ScenariosCombined[[#This Row],[SPY]:[PE]])</f>
        <v>0.99999999999999989</v>
      </c>
      <c r="N62" s="71" t="b">
        <f>ScenariosCombined[[#This Row],[SPY]]&gt;=SpyMin</f>
        <v>1</v>
      </c>
      <c r="O62" s="71" t="b">
        <f>ScenariosCombined[[#This Row],[AGG]]&gt;=AGGMin</f>
        <v>1</v>
      </c>
      <c r="P62" s="71" t="b">
        <f>AND(ScenariosCombined[[#This Row],[GLD]]&gt;=GLDMin,ScenariosCombined[[#This Row],[GLD]]&lt;=GLDMax)</f>
        <v>1</v>
      </c>
      <c r="Q62" s="71" t="b">
        <f>ScenariosCombined[[#This Row],[VNQ]]&gt;=VNQMin</f>
        <v>1</v>
      </c>
      <c r="R62" s="71" t="b">
        <f>AND(ScenariosCombined[[#This Row],[PE]]&gt;=PEMin,ScenariosCombined[[#This Row],[PE]]&lt;=PEMax)</f>
        <v>1</v>
      </c>
      <c r="S62" s="71" t="b">
        <f>ScenariosCombined[[#This Row],[Liquid Assets]]&gt;=LiquidMin</f>
        <v>1</v>
      </c>
      <c r="T62" s="71" t="b">
        <f>AND(ScenariosCombined[[#This Row],[Expected Return]]&gt;=ExpectedReturnMin,ScenariosCombined[[#This Row],[Expected Return]]&lt;=ExpectedReturnMax)</f>
        <v>1</v>
      </c>
      <c r="U62" s="71" t="b">
        <f>ScenariosCombined[[#This Row],[Max Drawdown]]&gt;=DrawdownMax</f>
        <v>1</v>
      </c>
      <c r="V6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2" s="46">
        <f>ScenariosCombined[[#This Row],[Sharpe Rank]]</f>
        <v>40</v>
      </c>
      <c r="X6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40</v>
      </c>
      <c r="Y6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35/30/15/10/10</v>
      </c>
      <c r="Z62">
        <f>_xlfn.XLOOKUP(ScenariosCombined[[#This Row],[Reference '#]],Scenarios1[Reference '#],Scenarios1[Sharpe Rank])</f>
        <v>37</v>
      </c>
      <c r="AA62">
        <f>_xlfn.XLOOKUP(ScenariosCombined[[#This Row],[Reference '#]],Scenarios2[Reference '#],Scenarios2[Sharpe Rank])</f>
        <v>37</v>
      </c>
      <c r="AB62">
        <f>_xlfn.XLOOKUP(ScenariosCombined[[#This Row],[Reference '#]],Scenarios3[Reference '#],Scenarios3[Sharpe Rank])</f>
        <v>36</v>
      </c>
      <c r="AD62" s="34"/>
      <c r="AE62" s="34"/>
      <c r="AI62" s="15"/>
    </row>
    <row r="63" spans="2:35" x14ac:dyDescent="0.2">
      <c r="B63" s="44">
        <v>65</v>
      </c>
      <c r="C63" s="68">
        <v>0.3</v>
      </c>
      <c r="D63" s="69">
        <v>0.3</v>
      </c>
      <c r="E63" s="69">
        <v>0.2</v>
      </c>
      <c r="F63" s="69">
        <v>0.1</v>
      </c>
      <c r="G63" s="69">
        <v>0.1</v>
      </c>
      <c r="H6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8.63140245597558E-2</v>
      </c>
      <c r="I6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7.5118132820344422E-2</v>
      </c>
      <c r="J6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0.52328868581187959</v>
      </c>
      <c r="K6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-0.16353671020713034</v>
      </c>
      <c r="L63" s="69">
        <f>SUM(ScenariosCombined[[#This Row],[SPY]:[VNQ]])</f>
        <v>0.9</v>
      </c>
      <c r="M63" s="69">
        <f>SUM(ScenariosCombined[[#This Row],[SPY]:[PE]])</f>
        <v>1</v>
      </c>
      <c r="N63" s="71" t="b">
        <f>ScenariosCombined[[#This Row],[SPY]]&gt;=SpyMin</f>
        <v>1</v>
      </c>
      <c r="O63" s="71" t="b">
        <f>ScenariosCombined[[#This Row],[AGG]]&gt;=AGGMin</f>
        <v>1</v>
      </c>
      <c r="P63" s="71" t="b">
        <f>AND(ScenariosCombined[[#This Row],[GLD]]&gt;=GLDMin,ScenariosCombined[[#This Row],[GLD]]&lt;=GLDMax)</f>
        <v>1</v>
      </c>
      <c r="Q63" s="71" t="b">
        <f>ScenariosCombined[[#This Row],[VNQ]]&gt;=VNQMin</f>
        <v>1</v>
      </c>
      <c r="R63" s="71" t="b">
        <f>AND(ScenariosCombined[[#This Row],[PE]]&gt;=PEMin,ScenariosCombined[[#This Row],[PE]]&lt;=PEMax)</f>
        <v>1</v>
      </c>
      <c r="S63" s="71" t="b">
        <f>ScenariosCombined[[#This Row],[Liquid Assets]]&gt;=LiquidMin</f>
        <v>1</v>
      </c>
      <c r="T63" s="71" t="b">
        <f>AND(ScenariosCombined[[#This Row],[Expected Return]]&gt;=ExpectedReturnMin,ScenariosCombined[[#This Row],[Expected Return]]&lt;=ExpectedReturnMax)</f>
        <v>1</v>
      </c>
      <c r="U63" s="71" t="b">
        <f>ScenariosCombined[[#This Row],[Max Drawdown]]&gt;=DrawdownMax</f>
        <v>1</v>
      </c>
      <c r="V6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3" s="46">
        <f>ScenariosCombined[[#This Row],[Sharpe Rank]]</f>
        <v>41</v>
      </c>
      <c r="X6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41</v>
      </c>
      <c r="Y6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30/30/20/10/10</v>
      </c>
      <c r="Z63">
        <f>_xlfn.XLOOKUP(ScenariosCombined[[#This Row],[Reference '#]],Scenarios1[Reference '#],Scenarios1[Sharpe Rank])</f>
        <v>38</v>
      </c>
      <c r="AA63">
        <f>_xlfn.XLOOKUP(ScenariosCombined[[#This Row],[Reference '#]],Scenarios2[Reference '#],Scenarios2[Sharpe Rank])</f>
        <v>39</v>
      </c>
      <c r="AB63">
        <f>_xlfn.XLOOKUP(ScenariosCombined[[#This Row],[Reference '#]],Scenarios3[Reference '#],Scenarios3[Sharpe Rank])</f>
        <v>37</v>
      </c>
      <c r="AD63" s="34"/>
      <c r="AE63" s="34"/>
      <c r="AI63" s="15"/>
    </row>
    <row r="64" spans="2:35" x14ac:dyDescent="0.2">
      <c r="B64" s="44">
        <v>51</v>
      </c>
      <c r="C64" s="68">
        <v>0.35</v>
      </c>
      <c r="D64" s="69">
        <v>0.2</v>
      </c>
      <c r="E64" s="69">
        <v>0.1</v>
      </c>
      <c r="F64" s="69">
        <v>0.15</v>
      </c>
      <c r="G64" s="69">
        <v>0.2</v>
      </c>
      <c r="H6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8.7634509884978964E-2</v>
      </c>
      <c r="I6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7.8050498549364591E-2</v>
      </c>
      <c r="J6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0.52054701871925668</v>
      </c>
      <c r="K6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-0.16761603397906266</v>
      </c>
      <c r="L64" s="69">
        <f>SUM(ScenariosCombined[[#This Row],[SPY]:[VNQ]])</f>
        <v>0.8</v>
      </c>
      <c r="M64" s="69">
        <f>SUM(ScenariosCombined[[#This Row],[SPY]:[PE]])</f>
        <v>1</v>
      </c>
      <c r="N64" s="71" t="b">
        <f>ScenariosCombined[[#This Row],[SPY]]&gt;=SpyMin</f>
        <v>1</v>
      </c>
      <c r="O64" s="71" t="b">
        <f>ScenariosCombined[[#This Row],[AGG]]&gt;=AGGMin</f>
        <v>1</v>
      </c>
      <c r="P64" s="71" t="b">
        <f>AND(ScenariosCombined[[#This Row],[GLD]]&gt;=GLDMin,ScenariosCombined[[#This Row],[GLD]]&lt;=GLDMax)</f>
        <v>1</v>
      </c>
      <c r="Q64" s="71" t="b">
        <f>ScenariosCombined[[#This Row],[VNQ]]&gt;=VNQMin</f>
        <v>1</v>
      </c>
      <c r="R64" s="71" t="b">
        <f>AND(ScenariosCombined[[#This Row],[PE]]&gt;=PEMin,ScenariosCombined[[#This Row],[PE]]&lt;=PEMax)</f>
        <v>1</v>
      </c>
      <c r="S64" s="71" t="b">
        <f>ScenariosCombined[[#This Row],[Liquid Assets]]&gt;=LiquidMin</f>
        <v>1</v>
      </c>
      <c r="T64" s="71" t="b">
        <f>AND(ScenariosCombined[[#This Row],[Expected Return]]&gt;=ExpectedReturnMin,ScenariosCombined[[#This Row],[Expected Return]]&lt;=ExpectedReturnMax)</f>
        <v>1</v>
      </c>
      <c r="U64" s="71" t="b">
        <f>ScenariosCombined[[#This Row],[Max Drawdown]]&gt;=DrawdownMax</f>
        <v>1</v>
      </c>
      <c r="V6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4" s="46">
        <f>ScenariosCombined[[#This Row],[Sharpe Rank]]</f>
        <v>42</v>
      </c>
      <c r="X6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42</v>
      </c>
      <c r="Y6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35/20/10/15/20</v>
      </c>
      <c r="Z64">
        <f>_xlfn.XLOOKUP(ScenariosCombined[[#This Row],[Reference '#]],Scenarios1[Reference '#],Scenarios1[Sharpe Rank])</f>
        <v>48</v>
      </c>
      <c r="AA64">
        <f>_xlfn.XLOOKUP(ScenariosCombined[[#This Row],[Reference '#]],Scenarios2[Reference '#],Scenarios2[Sharpe Rank])</f>
        <v>45</v>
      </c>
      <c r="AB64">
        <f>_xlfn.XLOOKUP(ScenariosCombined[[#This Row],[Reference '#]],Scenarios3[Reference '#],Scenarios3[Sharpe Rank])</f>
        <v>31</v>
      </c>
      <c r="AD64" s="34"/>
      <c r="AE64" s="34"/>
      <c r="AI64" s="15"/>
    </row>
    <row r="65" spans="2:35" x14ac:dyDescent="0.2">
      <c r="B65" s="44">
        <v>16</v>
      </c>
      <c r="C65" s="68">
        <v>0.4</v>
      </c>
      <c r="D65" s="69">
        <v>0.3</v>
      </c>
      <c r="E65" s="69">
        <v>0.1</v>
      </c>
      <c r="F65" s="69">
        <v>0.1</v>
      </c>
      <c r="G65" s="69">
        <v>0.1</v>
      </c>
      <c r="H6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8.8529574107294118E-2</v>
      </c>
      <c r="I6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8.0098377073408847E-2</v>
      </c>
      <c r="J6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0.51841273280334355</v>
      </c>
      <c r="K6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-0.17815309576344351</v>
      </c>
      <c r="L65" s="69">
        <f>SUM(ScenariosCombined[[#This Row],[SPY]:[VNQ]])</f>
        <v>0.89999999999999991</v>
      </c>
      <c r="M65" s="69">
        <f>SUM(ScenariosCombined[[#This Row],[SPY]:[PE]])</f>
        <v>0.99999999999999989</v>
      </c>
      <c r="N65" s="71" t="b">
        <f>ScenariosCombined[[#This Row],[SPY]]&gt;=SpyMin</f>
        <v>1</v>
      </c>
      <c r="O65" s="71" t="b">
        <f>ScenariosCombined[[#This Row],[AGG]]&gt;=AGGMin</f>
        <v>1</v>
      </c>
      <c r="P65" s="71" t="b">
        <f>AND(ScenariosCombined[[#This Row],[GLD]]&gt;=GLDMin,ScenariosCombined[[#This Row],[GLD]]&lt;=GLDMax)</f>
        <v>1</v>
      </c>
      <c r="Q65" s="71" t="b">
        <f>ScenariosCombined[[#This Row],[VNQ]]&gt;=VNQMin</f>
        <v>1</v>
      </c>
      <c r="R65" s="71" t="b">
        <f>AND(ScenariosCombined[[#This Row],[PE]]&gt;=PEMin,ScenariosCombined[[#This Row],[PE]]&lt;=PEMax)</f>
        <v>1</v>
      </c>
      <c r="S65" s="71" t="b">
        <f>ScenariosCombined[[#This Row],[Liquid Assets]]&gt;=LiquidMin</f>
        <v>1</v>
      </c>
      <c r="T65" s="71" t="b">
        <f>AND(ScenariosCombined[[#This Row],[Expected Return]]&gt;=ExpectedReturnMin,ScenariosCombined[[#This Row],[Expected Return]]&lt;=ExpectedReturnMax)</f>
        <v>1</v>
      </c>
      <c r="U65" s="71" t="b">
        <f>ScenariosCombined[[#This Row],[Max Drawdown]]&gt;=DrawdownMax</f>
        <v>1</v>
      </c>
      <c r="V6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5" s="46">
        <f>ScenariosCombined[[#This Row],[Sharpe Rank]]</f>
        <v>43</v>
      </c>
      <c r="X6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43</v>
      </c>
      <c r="Y6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40/30/10/10/10</v>
      </c>
      <c r="Z65">
        <f>_xlfn.XLOOKUP(ScenariosCombined[[#This Row],[Reference '#]],Scenarios1[Reference '#],Scenarios1[Sharpe Rank])</f>
        <v>41</v>
      </c>
      <c r="AA65">
        <f>_xlfn.XLOOKUP(ScenariosCombined[[#This Row],[Reference '#]],Scenarios2[Reference '#],Scenarios2[Sharpe Rank])</f>
        <v>40</v>
      </c>
      <c r="AB65">
        <f>_xlfn.XLOOKUP(ScenariosCombined[[#This Row],[Reference '#]],Scenarios3[Reference '#],Scenarios3[Sharpe Rank])</f>
        <v>38</v>
      </c>
      <c r="AD65" s="34"/>
      <c r="AE65" s="34"/>
      <c r="AI65" s="15"/>
    </row>
    <row r="66" spans="2:35" x14ac:dyDescent="0.2">
      <c r="B66" s="44">
        <v>135</v>
      </c>
      <c r="C66" s="68">
        <v>0.25</v>
      </c>
      <c r="D66" s="69">
        <v>0.15</v>
      </c>
      <c r="E66" s="69">
        <v>0.2</v>
      </c>
      <c r="F66" s="69">
        <v>0.2</v>
      </c>
      <c r="G66" s="69">
        <v>0.2</v>
      </c>
      <c r="H6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8.7002699683604121E-2</v>
      </c>
      <c r="I6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7.8019210560232755E-2</v>
      </c>
      <c r="J6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0.51265763702094613</v>
      </c>
      <c r="K6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-0.16078244493257399</v>
      </c>
      <c r="L66" s="69">
        <f>SUM(ScenariosCombined[[#This Row],[SPY]:[VNQ]])</f>
        <v>0.8</v>
      </c>
      <c r="M66" s="69">
        <f>SUM(ScenariosCombined[[#This Row],[SPY]:[PE]])</f>
        <v>1</v>
      </c>
      <c r="N66" s="71" t="b">
        <f>ScenariosCombined[[#This Row],[SPY]]&gt;=SpyMin</f>
        <v>1</v>
      </c>
      <c r="O66" s="71" t="b">
        <f>ScenariosCombined[[#This Row],[AGG]]&gt;=AGGMin</f>
        <v>1</v>
      </c>
      <c r="P66" s="71" t="b">
        <f>AND(ScenariosCombined[[#This Row],[GLD]]&gt;=GLDMin,ScenariosCombined[[#This Row],[GLD]]&lt;=GLDMax)</f>
        <v>1</v>
      </c>
      <c r="Q66" s="71" t="b">
        <f>ScenariosCombined[[#This Row],[VNQ]]&gt;=VNQMin</f>
        <v>1</v>
      </c>
      <c r="R66" s="71" t="b">
        <f>AND(ScenariosCombined[[#This Row],[PE]]&gt;=PEMin,ScenariosCombined[[#This Row],[PE]]&lt;=PEMax)</f>
        <v>1</v>
      </c>
      <c r="S66" s="71" t="b">
        <f>ScenariosCombined[[#This Row],[Liquid Assets]]&gt;=LiquidMin</f>
        <v>1</v>
      </c>
      <c r="T66" s="71" t="b">
        <f>AND(ScenariosCombined[[#This Row],[Expected Return]]&gt;=ExpectedReturnMin,ScenariosCombined[[#This Row],[Expected Return]]&lt;=ExpectedReturnMax)</f>
        <v>1</v>
      </c>
      <c r="U66" s="71" t="b">
        <f>ScenariosCombined[[#This Row],[Max Drawdown]]&gt;=DrawdownMax</f>
        <v>1</v>
      </c>
      <c r="V6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6" s="46">
        <f>ScenariosCombined[[#This Row],[Sharpe Rank]]</f>
        <v>44</v>
      </c>
      <c r="X6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44</v>
      </c>
      <c r="Y6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25/15/20/20/20</v>
      </c>
      <c r="Z66">
        <f>_xlfn.XLOOKUP(ScenariosCombined[[#This Row],[Reference '#]],Scenarios1[Reference '#],Scenarios1[Sharpe Rank])</f>
        <v>52</v>
      </c>
      <c r="AA66">
        <f>_xlfn.XLOOKUP(ScenariosCombined[[#This Row],[Reference '#]],Scenarios2[Reference '#],Scenarios2[Sharpe Rank])</f>
        <v>48</v>
      </c>
      <c r="AB66">
        <f>_xlfn.XLOOKUP(ScenariosCombined[[#This Row],[Reference '#]],Scenarios3[Reference '#],Scenarios3[Sharpe Rank])</f>
        <v>32</v>
      </c>
      <c r="AD66" s="34"/>
      <c r="AE66" s="34"/>
      <c r="AI66" s="15"/>
    </row>
    <row r="67" spans="2:35" x14ac:dyDescent="0.2">
      <c r="B67" s="44">
        <v>93</v>
      </c>
      <c r="C67" s="68">
        <v>0.3</v>
      </c>
      <c r="D67" s="69">
        <v>0.15</v>
      </c>
      <c r="E67" s="69">
        <v>0.15</v>
      </c>
      <c r="F67" s="69">
        <v>0.2</v>
      </c>
      <c r="G67" s="69">
        <v>0.2</v>
      </c>
      <c r="H6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8.8110474457373286E-2</v>
      </c>
      <c r="I6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8.0202290886423486E-2</v>
      </c>
      <c r="J6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0.51251552103452325</v>
      </c>
      <c r="K6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-0.1680856669601688</v>
      </c>
      <c r="L67" s="69">
        <f>SUM(ScenariosCombined[[#This Row],[SPY]:[VNQ]])</f>
        <v>0.8</v>
      </c>
      <c r="M67" s="69">
        <f>SUM(ScenariosCombined[[#This Row],[SPY]:[PE]])</f>
        <v>1</v>
      </c>
      <c r="N67" s="71" t="b">
        <f>ScenariosCombined[[#This Row],[SPY]]&gt;=SpyMin</f>
        <v>1</v>
      </c>
      <c r="O67" s="71" t="b">
        <f>ScenariosCombined[[#This Row],[AGG]]&gt;=AGGMin</f>
        <v>1</v>
      </c>
      <c r="P67" s="71" t="b">
        <f>AND(ScenariosCombined[[#This Row],[GLD]]&gt;=GLDMin,ScenariosCombined[[#This Row],[GLD]]&lt;=GLDMax)</f>
        <v>1</v>
      </c>
      <c r="Q67" s="71" t="b">
        <f>ScenariosCombined[[#This Row],[VNQ]]&gt;=VNQMin</f>
        <v>1</v>
      </c>
      <c r="R67" s="71" t="b">
        <f>AND(ScenariosCombined[[#This Row],[PE]]&gt;=PEMin,ScenariosCombined[[#This Row],[PE]]&lt;=PEMax)</f>
        <v>1</v>
      </c>
      <c r="S67" s="71" t="b">
        <f>ScenariosCombined[[#This Row],[Liquid Assets]]&gt;=LiquidMin</f>
        <v>1</v>
      </c>
      <c r="T67" s="71" t="b">
        <f>AND(ScenariosCombined[[#This Row],[Expected Return]]&gt;=ExpectedReturnMin,ScenariosCombined[[#This Row],[Expected Return]]&lt;=ExpectedReturnMax)</f>
        <v>1</v>
      </c>
      <c r="U67" s="71" t="b">
        <f>ScenariosCombined[[#This Row],[Max Drawdown]]&gt;=DrawdownMax</f>
        <v>1</v>
      </c>
      <c r="V6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7" s="46">
        <f>ScenariosCombined[[#This Row],[Sharpe Rank]]</f>
        <v>45</v>
      </c>
      <c r="X6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45</v>
      </c>
      <c r="Y6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30/15/15/20/20</v>
      </c>
      <c r="Z67">
        <f>_xlfn.XLOOKUP(ScenariosCombined[[#This Row],[Reference '#]],Scenarios1[Reference '#],Scenarios1[Sharpe Rank])</f>
        <v>51</v>
      </c>
      <c r="AA67">
        <f>_xlfn.XLOOKUP(ScenariosCombined[[#This Row],[Reference '#]],Scenarios2[Reference '#],Scenarios2[Sharpe Rank])</f>
        <v>47</v>
      </c>
      <c r="AB67">
        <f>_xlfn.XLOOKUP(ScenariosCombined[[#This Row],[Reference '#]],Scenarios3[Reference '#],Scenarios3[Sharpe Rank])</f>
        <v>34</v>
      </c>
      <c r="AD67" s="34"/>
      <c r="AE67" s="34"/>
      <c r="AI67" s="15"/>
    </row>
    <row r="68" spans="2:35" x14ac:dyDescent="0.2">
      <c r="B68" s="44">
        <v>39</v>
      </c>
      <c r="C68" s="68">
        <v>0.35</v>
      </c>
      <c r="D68" s="69">
        <v>0.25</v>
      </c>
      <c r="E68" s="69">
        <v>0.15</v>
      </c>
      <c r="F68" s="69">
        <v>0.15</v>
      </c>
      <c r="G68" s="69">
        <v>0.1</v>
      </c>
      <c r="H6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8.9005538679688426E-2</v>
      </c>
      <c r="I6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8.2167831754940079E-2</v>
      </c>
      <c r="J6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0.51114873335583377</v>
      </c>
      <c r="K6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-0.17856921257489966</v>
      </c>
      <c r="L68" s="69">
        <f>SUM(ScenariosCombined[[#This Row],[SPY]:[VNQ]])</f>
        <v>0.9</v>
      </c>
      <c r="M68" s="69">
        <f>SUM(ScenariosCombined[[#This Row],[SPY]:[PE]])</f>
        <v>1</v>
      </c>
      <c r="N68" s="71" t="b">
        <f>ScenariosCombined[[#This Row],[SPY]]&gt;=SpyMin</f>
        <v>1</v>
      </c>
      <c r="O68" s="71" t="b">
        <f>ScenariosCombined[[#This Row],[AGG]]&gt;=AGGMin</f>
        <v>1</v>
      </c>
      <c r="P68" s="71" t="b">
        <f>AND(ScenariosCombined[[#This Row],[GLD]]&gt;=GLDMin,ScenariosCombined[[#This Row],[GLD]]&lt;=GLDMax)</f>
        <v>1</v>
      </c>
      <c r="Q68" s="71" t="b">
        <f>ScenariosCombined[[#This Row],[VNQ]]&gt;=VNQMin</f>
        <v>1</v>
      </c>
      <c r="R68" s="71" t="b">
        <f>AND(ScenariosCombined[[#This Row],[PE]]&gt;=PEMin,ScenariosCombined[[#This Row],[PE]]&lt;=PEMax)</f>
        <v>1</v>
      </c>
      <c r="S68" s="71" t="b">
        <f>ScenariosCombined[[#This Row],[Liquid Assets]]&gt;=LiquidMin</f>
        <v>1</v>
      </c>
      <c r="T68" s="71" t="b">
        <f>AND(ScenariosCombined[[#This Row],[Expected Return]]&gt;=ExpectedReturnMin,ScenariosCombined[[#This Row],[Expected Return]]&lt;=ExpectedReturnMax)</f>
        <v>1</v>
      </c>
      <c r="U68" s="71" t="b">
        <f>ScenariosCombined[[#This Row],[Max Drawdown]]&gt;=DrawdownMax</f>
        <v>1</v>
      </c>
      <c r="V6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8" s="46">
        <f>ScenariosCombined[[#This Row],[Sharpe Rank]]</f>
        <v>46</v>
      </c>
      <c r="X6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46</v>
      </c>
      <c r="Y6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35/25/15/15/10</v>
      </c>
      <c r="Z68">
        <f>_xlfn.XLOOKUP(ScenariosCombined[[#This Row],[Reference '#]],Scenarios1[Reference '#],Scenarios1[Sharpe Rank])</f>
        <v>43</v>
      </c>
      <c r="AA68">
        <f>_xlfn.XLOOKUP(ScenariosCombined[[#This Row],[Reference '#]],Scenarios2[Reference '#],Scenarios2[Sharpe Rank])</f>
        <v>43</v>
      </c>
      <c r="AB68">
        <f>_xlfn.XLOOKUP(ScenariosCombined[[#This Row],[Reference '#]],Scenarios3[Reference '#],Scenarios3[Sharpe Rank])</f>
        <v>41</v>
      </c>
      <c r="AD68" s="34"/>
      <c r="AE68" s="34"/>
      <c r="AI68" s="15"/>
    </row>
    <row r="69" spans="2:35" x14ac:dyDescent="0.2">
      <c r="B69" s="44">
        <v>71</v>
      </c>
      <c r="C69" s="68">
        <v>0.3</v>
      </c>
      <c r="D69" s="69">
        <v>0.25</v>
      </c>
      <c r="E69" s="69">
        <v>0.2</v>
      </c>
      <c r="F69" s="69">
        <v>0.15</v>
      </c>
      <c r="G69" s="69">
        <v>0.1</v>
      </c>
      <c r="H6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8.7897763905919302E-2</v>
      </c>
      <c r="I6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8.0010764689115568E-2</v>
      </c>
      <c r="J6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0.51108383364728172</v>
      </c>
      <c r="K6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-0.17128851054404948</v>
      </c>
      <c r="L69" s="69">
        <f>SUM(ScenariosCombined[[#This Row],[SPY]:[VNQ]])</f>
        <v>0.9</v>
      </c>
      <c r="M69" s="69">
        <f>SUM(ScenariosCombined[[#This Row],[SPY]:[PE]])</f>
        <v>1</v>
      </c>
      <c r="N69" s="71" t="b">
        <f>ScenariosCombined[[#This Row],[SPY]]&gt;=SpyMin</f>
        <v>1</v>
      </c>
      <c r="O69" s="71" t="b">
        <f>ScenariosCombined[[#This Row],[AGG]]&gt;=AGGMin</f>
        <v>1</v>
      </c>
      <c r="P69" s="71" t="b">
        <f>AND(ScenariosCombined[[#This Row],[GLD]]&gt;=GLDMin,ScenariosCombined[[#This Row],[GLD]]&lt;=GLDMax)</f>
        <v>1</v>
      </c>
      <c r="Q69" s="71" t="b">
        <f>ScenariosCombined[[#This Row],[VNQ]]&gt;=VNQMin</f>
        <v>1</v>
      </c>
      <c r="R69" s="71" t="b">
        <f>AND(ScenariosCombined[[#This Row],[PE]]&gt;=PEMin,ScenariosCombined[[#This Row],[PE]]&lt;=PEMax)</f>
        <v>1</v>
      </c>
      <c r="S69" s="71" t="b">
        <f>ScenariosCombined[[#This Row],[Liquid Assets]]&gt;=LiquidMin</f>
        <v>1</v>
      </c>
      <c r="T69" s="71" t="b">
        <f>AND(ScenariosCombined[[#This Row],[Expected Return]]&gt;=ExpectedReturnMin,ScenariosCombined[[#This Row],[Expected Return]]&lt;=ExpectedReturnMax)</f>
        <v>1</v>
      </c>
      <c r="U69" s="71" t="b">
        <f>ScenariosCombined[[#This Row],[Max Drawdown]]&gt;=DrawdownMax</f>
        <v>1</v>
      </c>
      <c r="V6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69" s="46">
        <f>ScenariosCombined[[#This Row],[Sharpe Rank]]</f>
        <v>47</v>
      </c>
      <c r="X6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47</v>
      </c>
      <c r="Y6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30/25/20/15/10</v>
      </c>
      <c r="Z69">
        <f>_xlfn.XLOOKUP(ScenariosCombined[[#This Row],[Reference '#]],Scenarios1[Reference '#],Scenarios1[Sharpe Rank])</f>
        <v>44</v>
      </c>
      <c r="AA69">
        <f>_xlfn.XLOOKUP(ScenariosCombined[[#This Row],[Reference '#]],Scenarios2[Reference '#],Scenarios2[Sharpe Rank])</f>
        <v>44</v>
      </c>
      <c r="AB69">
        <f>_xlfn.XLOOKUP(ScenariosCombined[[#This Row],[Reference '#]],Scenarios3[Reference '#],Scenarios3[Sharpe Rank])</f>
        <v>40</v>
      </c>
      <c r="AD69" s="34"/>
      <c r="AE69" s="34"/>
      <c r="AI69" s="15"/>
    </row>
    <row r="70" spans="2:35" x14ac:dyDescent="0.2">
      <c r="B70" s="44">
        <v>60</v>
      </c>
      <c r="C70" s="68">
        <v>0.35</v>
      </c>
      <c r="D70" s="69">
        <v>0.15</v>
      </c>
      <c r="E70" s="69">
        <v>0.1</v>
      </c>
      <c r="F70" s="69">
        <v>0.2</v>
      </c>
      <c r="G70" s="69">
        <v>0.2</v>
      </c>
      <c r="H7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8.9218249231142424E-2</v>
      </c>
      <c r="I7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8.3334426178581542E-2</v>
      </c>
      <c r="J7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0.50654568119455423</v>
      </c>
      <c r="K7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-0.17540792917075321</v>
      </c>
      <c r="L70" s="69">
        <f>SUM(ScenariosCombined[[#This Row],[SPY]:[VNQ]])</f>
        <v>0.8</v>
      </c>
      <c r="M70" s="69">
        <f>SUM(ScenariosCombined[[#This Row],[SPY]:[PE]])</f>
        <v>1</v>
      </c>
      <c r="N70" s="71" t="b">
        <f>ScenariosCombined[[#This Row],[SPY]]&gt;=SpyMin</f>
        <v>1</v>
      </c>
      <c r="O70" s="71" t="b">
        <f>ScenariosCombined[[#This Row],[AGG]]&gt;=AGGMin</f>
        <v>1</v>
      </c>
      <c r="P70" s="71" t="b">
        <f>AND(ScenariosCombined[[#This Row],[GLD]]&gt;=GLDMin,ScenariosCombined[[#This Row],[GLD]]&lt;=GLDMax)</f>
        <v>1</v>
      </c>
      <c r="Q70" s="71" t="b">
        <f>ScenariosCombined[[#This Row],[VNQ]]&gt;=VNQMin</f>
        <v>1</v>
      </c>
      <c r="R70" s="71" t="b">
        <f>AND(ScenariosCombined[[#This Row],[PE]]&gt;=PEMin,ScenariosCombined[[#This Row],[PE]]&lt;=PEMax)</f>
        <v>1</v>
      </c>
      <c r="S70" s="71" t="b">
        <f>ScenariosCombined[[#This Row],[Liquid Assets]]&gt;=LiquidMin</f>
        <v>1</v>
      </c>
      <c r="T70" s="71" t="b">
        <f>AND(ScenariosCombined[[#This Row],[Expected Return]]&gt;=ExpectedReturnMin,ScenariosCombined[[#This Row],[Expected Return]]&lt;=ExpectedReturnMax)</f>
        <v>1</v>
      </c>
      <c r="U70" s="71" t="b">
        <f>ScenariosCombined[[#This Row],[Max Drawdown]]&gt;=DrawdownMax</f>
        <v>1</v>
      </c>
      <c r="V7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0" s="46">
        <f>ScenariosCombined[[#This Row],[Sharpe Rank]]</f>
        <v>48</v>
      </c>
      <c r="X7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48</v>
      </c>
      <c r="Y7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35/15/10/20/20</v>
      </c>
      <c r="Z70">
        <f>_xlfn.XLOOKUP(ScenariosCombined[[#This Row],[Reference '#]],Scenarios1[Reference '#],Scenarios1[Sharpe Rank])</f>
        <v>54</v>
      </c>
      <c r="AA70">
        <f>_xlfn.XLOOKUP(ScenariosCombined[[#This Row],[Reference '#]],Scenarios2[Reference '#],Scenarios2[Sharpe Rank])</f>
        <v>51</v>
      </c>
      <c r="AB70">
        <f>_xlfn.XLOOKUP(ScenariosCombined[[#This Row],[Reference '#]],Scenarios3[Reference '#],Scenarios3[Sharpe Rank])</f>
        <v>35</v>
      </c>
      <c r="AD70" s="34"/>
      <c r="AE70" s="34"/>
      <c r="AI70" s="15"/>
    </row>
    <row r="71" spans="2:35" x14ac:dyDescent="0.2">
      <c r="B71" s="44">
        <v>18</v>
      </c>
      <c r="C71" s="68">
        <v>0.4</v>
      </c>
      <c r="D71" s="69">
        <v>0.25</v>
      </c>
      <c r="E71" s="69">
        <v>0.1</v>
      </c>
      <c r="F71" s="69">
        <v>0.15</v>
      </c>
      <c r="G71" s="69">
        <v>0.1</v>
      </c>
      <c r="H7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9.0113313453457591E-2</v>
      </c>
      <c r="I7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8.525368942499599E-2</v>
      </c>
      <c r="J7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0.50564096625785504</v>
      </c>
      <c r="K7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-0.18586780321194241</v>
      </c>
      <c r="L71" s="69">
        <f>SUM(ScenariosCombined[[#This Row],[SPY]:[VNQ]])</f>
        <v>0.9</v>
      </c>
      <c r="M71" s="69">
        <f>SUM(ScenariosCombined[[#This Row],[SPY]:[PE]])</f>
        <v>1</v>
      </c>
      <c r="N71" s="71" t="b">
        <f>ScenariosCombined[[#This Row],[SPY]]&gt;=SpyMin</f>
        <v>1</v>
      </c>
      <c r="O71" s="71" t="b">
        <f>ScenariosCombined[[#This Row],[AGG]]&gt;=AGGMin</f>
        <v>1</v>
      </c>
      <c r="P71" s="71" t="b">
        <f>AND(ScenariosCombined[[#This Row],[GLD]]&gt;=GLDMin,ScenariosCombined[[#This Row],[GLD]]&lt;=GLDMax)</f>
        <v>1</v>
      </c>
      <c r="Q71" s="71" t="b">
        <f>ScenariosCombined[[#This Row],[VNQ]]&gt;=VNQMin</f>
        <v>1</v>
      </c>
      <c r="R71" s="71" t="b">
        <f>AND(ScenariosCombined[[#This Row],[PE]]&gt;=PEMin,ScenariosCombined[[#This Row],[PE]]&lt;=PEMax)</f>
        <v>1</v>
      </c>
      <c r="S71" s="71" t="b">
        <f>ScenariosCombined[[#This Row],[Liquid Assets]]&gt;=LiquidMin</f>
        <v>1</v>
      </c>
      <c r="T71" s="71" t="b">
        <f>AND(ScenariosCombined[[#This Row],[Expected Return]]&gt;=ExpectedReturnMin,ScenariosCombined[[#This Row],[Expected Return]]&lt;=ExpectedReturnMax)</f>
        <v>1</v>
      </c>
      <c r="U71" s="71" t="b">
        <f>ScenariosCombined[[#This Row],[Max Drawdown]]&gt;=DrawdownMax</f>
        <v>1</v>
      </c>
      <c r="V7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1" s="46">
        <f>ScenariosCombined[[#This Row],[Sharpe Rank]]</f>
        <v>49</v>
      </c>
      <c r="X7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49</v>
      </c>
      <c r="Y7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40/25/10/15/10</v>
      </c>
      <c r="Z71">
        <f>_xlfn.XLOOKUP(ScenariosCombined[[#This Row],[Reference '#]],Scenarios1[Reference '#],Scenarios1[Sharpe Rank])</f>
        <v>47</v>
      </c>
      <c r="AA71">
        <f>_xlfn.XLOOKUP(ScenariosCombined[[#This Row],[Reference '#]],Scenarios2[Reference '#],Scenarios2[Sharpe Rank])</f>
        <v>46</v>
      </c>
      <c r="AB71">
        <f>_xlfn.XLOOKUP(ScenariosCombined[[#This Row],[Reference '#]],Scenarios3[Reference '#],Scenarios3[Sharpe Rank])</f>
        <v>44</v>
      </c>
      <c r="AD71" s="34"/>
      <c r="AE71" s="34"/>
      <c r="AI71" s="15"/>
    </row>
    <row r="72" spans="2:35" x14ac:dyDescent="0.2">
      <c r="B72" s="44">
        <v>79</v>
      </c>
      <c r="C72" s="68">
        <v>0.3</v>
      </c>
      <c r="D72" s="69">
        <v>0.2</v>
      </c>
      <c r="E72" s="69">
        <v>0.2</v>
      </c>
      <c r="F72" s="69">
        <v>0.2</v>
      </c>
      <c r="G72" s="69">
        <v>0.1</v>
      </c>
      <c r="H7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8.9481503252082747E-2</v>
      </c>
      <c r="I7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8.5132960604778929E-2</v>
      </c>
      <c r="J7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0.49893657397535424</v>
      </c>
      <c r="K7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-0.17903947068730142</v>
      </c>
      <c r="L72" s="69">
        <f>SUM(ScenariosCombined[[#This Row],[SPY]:[VNQ]])</f>
        <v>0.89999999999999991</v>
      </c>
      <c r="M72" s="69">
        <f>SUM(ScenariosCombined[[#This Row],[SPY]:[PE]])</f>
        <v>0.99999999999999989</v>
      </c>
      <c r="N72" s="71" t="b">
        <f>ScenariosCombined[[#This Row],[SPY]]&gt;=SpyMin</f>
        <v>1</v>
      </c>
      <c r="O72" s="71" t="b">
        <f>ScenariosCombined[[#This Row],[AGG]]&gt;=AGGMin</f>
        <v>1</v>
      </c>
      <c r="P72" s="71" t="b">
        <f>AND(ScenariosCombined[[#This Row],[GLD]]&gt;=GLDMin,ScenariosCombined[[#This Row],[GLD]]&lt;=GLDMax)</f>
        <v>1</v>
      </c>
      <c r="Q72" s="71" t="b">
        <f>ScenariosCombined[[#This Row],[VNQ]]&gt;=VNQMin</f>
        <v>1</v>
      </c>
      <c r="R72" s="71" t="b">
        <f>AND(ScenariosCombined[[#This Row],[PE]]&gt;=PEMin,ScenariosCombined[[#This Row],[PE]]&lt;=PEMax)</f>
        <v>1</v>
      </c>
      <c r="S72" s="71" t="b">
        <f>ScenariosCombined[[#This Row],[Liquid Assets]]&gt;=LiquidMin</f>
        <v>1</v>
      </c>
      <c r="T72" s="71" t="b">
        <f>AND(ScenariosCombined[[#This Row],[Expected Return]]&gt;=ExpectedReturnMin,ScenariosCombined[[#This Row],[Expected Return]]&lt;=ExpectedReturnMax)</f>
        <v>1</v>
      </c>
      <c r="U72" s="71" t="b">
        <f>ScenariosCombined[[#This Row],[Max Drawdown]]&gt;=DrawdownMax</f>
        <v>1</v>
      </c>
      <c r="V7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2" s="46">
        <f>ScenariosCombined[[#This Row],[Sharpe Rank]]</f>
        <v>50</v>
      </c>
      <c r="X7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50</v>
      </c>
      <c r="Y7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30/20/20/20/10</v>
      </c>
      <c r="Z72">
        <f>_xlfn.XLOOKUP(ScenariosCombined[[#This Row],[Reference '#]],Scenarios1[Reference '#],Scenarios1[Sharpe Rank])</f>
        <v>49</v>
      </c>
      <c r="AA72">
        <f>_xlfn.XLOOKUP(ScenariosCombined[[#This Row],[Reference '#]],Scenarios2[Reference '#],Scenarios2[Sharpe Rank])</f>
        <v>49</v>
      </c>
      <c r="AB72">
        <f>_xlfn.XLOOKUP(ScenariosCombined[[#This Row],[Reference '#]],Scenarios3[Reference '#],Scenarios3[Sharpe Rank])</f>
        <v>46</v>
      </c>
      <c r="AD72" s="34"/>
      <c r="AE72" s="34"/>
      <c r="AI72" s="15"/>
    </row>
    <row r="73" spans="2:35" x14ac:dyDescent="0.2">
      <c r="B73" s="44">
        <v>46</v>
      </c>
      <c r="C73" s="68">
        <v>0.35</v>
      </c>
      <c r="D73" s="69">
        <v>0.2</v>
      </c>
      <c r="E73" s="69">
        <v>0.15</v>
      </c>
      <c r="F73" s="69">
        <v>0.2</v>
      </c>
      <c r="G73" s="69">
        <v>0.1</v>
      </c>
      <c r="H7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9.0589278025851913E-2</v>
      </c>
      <c r="I7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8.7430987481754693E-2</v>
      </c>
      <c r="J7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0.49849285391396858</v>
      </c>
      <c r="K7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-0.18630131001666095</v>
      </c>
      <c r="L73" s="69">
        <f>SUM(ScenariosCombined[[#This Row],[SPY]:[VNQ]])</f>
        <v>0.90000000000000013</v>
      </c>
      <c r="M73" s="69">
        <f>SUM(ScenariosCombined[[#This Row],[SPY]:[PE]])</f>
        <v>1.0000000000000002</v>
      </c>
      <c r="N73" s="71" t="b">
        <f>ScenariosCombined[[#This Row],[SPY]]&gt;=SpyMin</f>
        <v>1</v>
      </c>
      <c r="O73" s="71" t="b">
        <f>ScenariosCombined[[#This Row],[AGG]]&gt;=AGGMin</f>
        <v>1</v>
      </c>
      <c r="P73" s="71" t="b">
        <f>AND(ScenariosCombined[[#This Row],[GLD]]&gt;=GLDMin,ScenariosCombined[[#This Row],[GLD]]&lt;=GLDMax)</f>
        <v>1</v>
      </c>
      <c r="Q73" s="71" t="b">
        <f>ScenariosCombined[[#This Row],[VNQ]]&gt;=VNQMin</f>
        <v>1</v>
      </c>
      <c r="R73" s="71" t="b">
        <f>AND(ScenariosCombined[[#This Row],[PE]]&gt;=PEMin,ScenariosCombined[[#This Row],[PE]]&lt;=PEMax)</f>
        <v>1</v>
      </c>
      <c r="S73" s="71" t="b">
        <f>ScenariosCombined[[#This Row],[Liquid Assets]]&gt;=LiquidMin</f>
        <v>1</v>
      </c>
      <c r="T73" s="71" t="b">
        <f>AND(ScenariosCombined[[#This Row],[Expected Return]]&gt;=ExpectedReturnMin,ScenariosCombined[[#This Row],[Expected Return]]&lt;=ExpectedReturnMax)</f>
        <v>1</v>
      </c>
      <c r="U73" s="71" t="b">
        <f>ScenariosCombined[[#This Row],[Max Drawdown]]&gt;=DrawdownMax</f>
        <v>1</v>
      </c>
      <c r="V7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3" s="46">
        <f>ScenariosCombined[[#This Row],[Sharpe Rank]]</f>
        <v>51</v>
      </c>
      <c r="X7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51</v>
      </c>
      <c r="Y7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35/20/15/20/10</v>
      </c>
      <c r="Z73">
        <f>_xlfn.XLOOKUP(ScenariosCombined[[#This Row],[Reference '#]],Scenarios1[Reference '#],Scenarios1[Sharpe Rank])</f>
        <v>50</v>
      </c>
      <c r="AA73">
        <f>_xlfn.XLOOKUP(ScenariosCombined[[#This Row],[Reference '#]],Scenarios2[Reference '#],Scenarios2[Sharpe Rank])</f>
        <v>50</v>
      </c>
      <c r="AB73">
        <f>_xlfn.XLOOKUP(ScenariosCombined[[#This Row],[Reference '#]],Scenarios3[Reference '#],Scenarios3[Sharpe Rank])</f>
        <v>49</v>
      </c>
      <c r="AD73" s="34"/>
      <c r="AE73" s="34"/>
      <c r="AI73" s="15"/>
    </row>
    <row r="74" spans="2:35" x14ac:dyDescent="0.2">
      <c r="B74" s="44">
        <v>67</v>
      </c>
      <c r="C74" s="68">
        <v>0.3</v>
      </c>
      <c r="D74" s="69">
        <v>0.3</v>
      </c>
      <c r="E74" s="69">
        <v>0.15</v>
      </c>
      <c r="F74" s="69">
        <v>0.1</v>
      </c>
      <c r="G74" s="69">
        <v>0.15</v>
      </c>
      <c r="H7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8.28407810387813E-2</v>
      </c>
      <c r="I7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7.2253131710009952E-2</v>
      </c>
      <c r="J7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0.49596778208938375</v>
      </c>
      <c r="K7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-0.15925163718743796</v>
      </c>
      <c r="L74" s="69">
        <f>SUM(ScenariosCombined[[#This Row],[SPY]:[VNQ]])</f>
        <v>0.85</v>
      </c>
      <c r="M74" s="69">
        <f>SUM(ScenariosCombined[[#This Row],[SPY]:[PE]])</f>
        <v>1</v>
      </c>
      <c r="N74" s="71" t="b">
        <f>ScenariosCombined[[#This Row],[SPY]]&gt;=SpyMin</f>
        <v>1</v>
      </c>
      <c r="O74" s="71" t="b">
        <f>ScenariosCombined[[#This Row],[AGG]]&gt;=AGGMin</f>
        <v>1</v>
      </c>
      <c r="P74" s="71" t="b">
        <f>AND(ScenariosCombined[[#This Row],[GLD]]&gt;=GLDMin,ScenariosCombined[[#This Row],[GLD]]&lt;=GLDMax)</f>
        <v>1</v>
      </c>
      <c r="Q74" s="71" t="b">
        <f>ScenariosCombined[[#This Row],[VNQ]]&gt;=VNQMin</f>
        <v>1</v>
      </c>
      <c r="R74" s="71" t="b">
        <f>AND(ScenariosCombined[[#This Row],[PE]]&gt;=PEMin,ScenariosCombined[[#This Row],[PE]]&lt;=PEMax)</f>
        <v>1</v>
      </c>
      <c r="S74" s="71" t="b">
        <f>ScenariosCombined[[#This Row],[Liquid Assets]]&gt;=LiquidMin</f>
        <v>1</v>
      </c>
      <c r="T74" s="71" t="b">
        <f>AND(ScenariosCombined[[#This Row],[Expected Return]]&gt;=ExpectedReturnMin,ScenariosCombined[[#This Row],[Expected Return]]&lt;=ExpectedReturnMax)</f>
        <v>1</v>
      </c>
      <c r="U74" s="71" t="b">
        <f>ScenariosCombined[[#This Row],[Max Drawdown]]&gt;=DrawdownMax</f>
        <v>1</v>
      </c>
      <c r="V7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4" s="46">
        <f>ScenariosCombined[[#This Row],[Sharpe Rank]]</f>
        <v>52</v>
      </c>
      <c r="X7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52</v>
      </c>
      <c r="Y7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30/30/15/10/15</v>
      </c>
      <c r="Z74">
        <f>_xlfn.XLOOKUP(ScenariosCombined[[#This Row],[Reference '#]],Scenarios1[Reference '#],Scenarios1[Sharpe Rank])</f>
        <v>57</v>
      </c>
      <c r="AA74">
        <f>_xlfn.XLOOKUP(ScenariosCombined[[#This Row],[Reference '#]],Scenarios2[Reference '#],Scenarios2[Sharpe Rank])</f>
        <v>53</v>
      </c>
      <c r="AB74">
        <f>_xlfn.XLOOKUP(ScenariosCombined[[#This Row],[Reference '#]],Scenarios3[Reference '#],Scenarios3[Sharpe Rank])</f>
        <v>39</v>
      </c>
      <c r="AD74" s="34"/>
      <c r="AE74" s="34"/>
      <c r="AI74" s="15"/>
    </row>
    <row r="75" spans="2:35" x14ac:dyDescent="0.2">
      <c r="B75" s="44">
        <v>23</v>
      </c>
      <c r="C75" s="68">
        <v>0.4</v>
      </c>
      <c r="D75" s="69">
        <v>0.2</v>
      </c>
      <c r="E75" s="69">
        <v>0.1</v>
      </c>
      <c r="F75" s="69">
        <v>0.2</v>
      </c>
      <c r="G75" s="69">
        <v>0.1</v>
      </c>
      <c r="H7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9.1697052799621079E-2</v>
      </c>
      <c r="I7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9.0595491272077486E-2</v>
      </c>
      <c r="J7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0.49330818362524775</v>
      </c>
      <c r="K7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-0.19358005839495529</v>
      </c>
      <c r="L75" s="69">
        <f>SUM(ScenariosCombined[[#This Row],[SPY]:[VNQ]])</f>
        <v>0.90000000000000013</v>
      </c>
      <c r="M75" s="69">
        <f>SUM(ScenariosCombined[[#This Row],[SPY]:[PE]])</f>
        <v>1.0000000000000002</v>
      </c>
      <c r="N75" s="71" t="b">
        <f>ScenariosCombined[[#This Row],[SPY]]&gt;=SpyMin</f>
        <v>1</v>
      </c>
      <c r="O75" s="71" t="b">
        <f>ScenariosCombined[[#This Row],[AGG]]&gt;=AGGMin</f>
        <v>1</v>
      </c>
      <c r="P75" s="71" t="b">
        <f>AND(ScenariosCombined[[#This Row],[GLD]]&gt;=GLDMin,ScenariosCombined[[#This Row],[GLD]]&lt;=GLDMax)</f>
        <v>1</v>
      </c>
      <c r="Q75" s="71" t="b">
        <f>ScenariosCombined[[#This Row],[VNQ]]&gt;=VNQMin</f>
        <v>1</v>
      </c>
      <c r="R75" s="71" t="b">
        <f>AND(ScenariosCombined[[#This Row],[PE]]&gt;=PEMin,ScenariosCombined[[#This Row],[PE]]&lt;=PEMax)</f>
        <v>1</v>
      </c>
      <c r="S75" s="71" t="b">
        <f>ScenariosCombined[[#This Row],[Liquid Assets]]&gt;=LiquidMin</f>
        <v>1</v>
      </c>
      <c r="T75" s="71" t="b">
        <f>AND(ScenariosCombined[[#This Row],[Expected Return]]&gt;=ExpectedReturnMin,ScenariosCombined[[#This Row],[Expected Return]]&lt;=ExpectedReturnMax)</f>
        <v>1</v>
      </c>
      <c r="U75" s="71" t="b">
        <f>ScenariosCombined[[#This Row],[Max Drawdown]]&gt;=DrawdownMax</f>
        <v>1</v>
      </c>
      <c r="V7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5" s="46">
        <f>ScenariosCombined[[#This Row],[Sharpe Rank]]</f>
        <v>53</v>
      </c>
      <c r="X7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53</v>
      </c>
      <c r="Y7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40/20/10/20/10</v>
      </c>
      <c r="Z75">
        <f>_xlfn.XLOOKUP(ScenariosCombined[[#This Row],[Reference '#]],Scenarios1[Reference '#],Scenarios1[Sharpe Rank])</f>
        <v>53</v>
      </c>
      <c r="AA75">
        <f>_xlfn.XLOOKUP(ScenariosCombined[[#This Row],[Reference '#]],Scenarios2[Reference '#],Scenarios2[Sharpe Rank])</f>
        <v>52</v>
      </c>
      <c r="AB75">
        <f>_xlfn.XLOOKUP(ScenariosCombined[[#This Row],[Reference '#]],Scenarios3[Reference '#],Scenarios3[Sharpe Rank])</f>
        <v>52</v>
      </c>
      <c r="AD75" s="34"/>
      <c r="AE75" s="34"/>
      <c r="AI75" s="15"/>
    </row>
    <row r="76" spans="2:35" x14ac:dyDescent="0.2">
      <c r="B76" s="44">
        <v>108</v>
      </c>
      <c r="C76" s="68">
        <v>0.25</v>
      </c>
      <c r="D76" s="69">
        <v>0.3</v>
      </c>
      <c r="E76" s="69">
        <v>0.2</v>
      </c>
      <c r="F76" s="69">
        <v>0.1</v>
      </c>
      <c r="G76" s="69">
        <v>0.15</v>
      </c>
      <c r="H7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8.1733006265012176E-2</v>
      </c>
      <c r="I7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7.053210996035017E-2</v>
      </c>
      <c r="J7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0.49236370114234146</v>
      </c>
      <c r="K7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-0.15193836737204758</v>
      </c>
      <c r="L76" s="69">
        <f>SUM(ScenariosCombined[[#This Row],[SPY]:[VNQ]])</f>
        <v>0.85</v>
      </c>
      <c r="M76" s="69">
        <f>SUM(ScenariosCombined[[#This Row],[SPY]:[PE]])</f>
        <v>1</v>
      </c>
      <c r="N76" s="71" t="b">
        <f>ScenariosCombined[[#This Row],[SPY]]&gt;=SpyMin</f>
        <v>1</v>
      </c>
      <c r="O76" s="71" t="b">
        <f>ScenariosCombined[[#This Row],[AGG]]&gt;=AGGMin</f>
        <v>1</v>
      </c>
      <c r="P76" s="71" t="b">
        <f>AND(ScenariosCombined[[#This Row],[GLD]]&gt;=GLDMin,ScenariosCombined[[#This Row],[GLD]]&lt;=GLDMax)</f>
        <v>1</v>
      </c>
      <c r="Q76" s="71" t="b">
        <f>ScenariosCombined[[#This Row],[VNQ]]&gt;=VNQMin</f>
        <v>1</v>
      </c>
      <c r="R76" s="71" t="b">
        <f>AND(ScenariosCombined[[#This Row],[PE]]&gt;=PEMin,ScenariosCombined[[#This Row],[PE]]&lt;=PEMax)</f>
        <v>1</v>
      </c>
      <c r="S76" s="71" t="b">
        <f>ScenariosCombined[[#This Row],[Liquid Assets]]&gt;=LiquidMin</f>
        <v>1</v>
      </c>
      <c r="T76" s="71" t="b">
        <f>AND(ScenariosCombined[[#This Row],[Expected Return]]&gt;=ExpectedReturnMin,ScenariosCombined[[#This Row],[Expected Return]]&lt;=ExpectedReturnMax)</f>
        <v>1</v>
      </c>
      <c r="U76" s="71" t="b">
        <f>ScenariosCombined[[#This Row],[Max Drawdown]]&gt;=DrawdownMax</f>
        <v>1</v>
      </c>
      <c r="V7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6" s="46">
        <f>ScenariosCombined[[#This Row],[Sharpe Rank]]</f>
        <v>54</v>
      </c>
      <c r="X7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54</v>
      </c>
      <c r="Y7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25/30/20/10/15</v>
      </c>
      <c r="Z76">
        <f>_xlfn.XLOOKUP(ScenariosCombined[[#This Row],[Reference '#]],Scenarios1[Reference '#],Scenarios1[Sharpe Rank])</f>
        <v>59</v>
      </c>
      <c r="AA76">
        <f>_xlfn.XLOOKUP(ScenariosCombined[[#This Row],[Reference '#]],Scenarios2[Reference '#],Scenarios2[Sharpe Rank])</f>
        <v>57</v>
      </c>
      <c r="AB76">
        <f>_xlfn.XLOOKUP(ScenariosCombined[[#This Row],[Reference '#]],Scenarios3[Reference '#],Scenarios3[Sharpe Rank])</f>
        <v>42</v>
      </c>
      <c r="AD76" s="34"/>
      <c r="AE76" s="34"/>
      <c r="AI76" s="15"/>
    </row>
    <row r="77" spans="2:35" x14ac:dyDescent="0.2">
      <c r="B77" s="44">
        <v>37</v>
      </c>
      <c r="C77" s="68">
        <v>0.35</v>
      </c>
      <c r="D77" s="69">
        <v>0.3</v>
      </c>
      <c r="E77" s="69">
        <v>0.1</v>
      </c>
      <c r="F77" s="69">
        <v>0.1</v>
      </c>
      <c r="G77" s="69">
        <v>0.15</v>
      </c>
      <c r="H7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8.3948555812550466E-2</v>
      </c>
      <c r="I7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7.505371692623608E-2</v>
      </c>
      <c r="J7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0.49222079558435539</v>
      </c>
      <c r="K7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-0.16658537183824618</v>
      </c>
      <c r="L77" s="69">
        <f>SUM(ScenariosCombined[[#This Row],[SPY]:[VNQ]])</f>
        <v>0.84999999999999987</v>
      </c>
      <c r="M77" s="69">
        <f>SUM(ScenariosCombined[[#This Row],[SPY]:[PE]])</f>
        <v>0.99999999999999989</v>
      </c>
      <c r="N77" s="71" t="b">
        <f>ScenariosCombined[[#This Row],[SPY]]&gt;=SpyMin</f>
        <v>1</v>
      </c>
      <c r="O77" s="71" t="b">
        <f>ScenariosCombined[[#This Row],[AGG]]&gt;=AGGMin</f>
        <v>1</v>
      </c>
      <c r="P77" s="71" t="b">
        <f>AND(ScenariosCombined[[#This Row],[GLD]]&gt;=GLDMin,ScenariosCombined[[#This Row],[GLD]]&lt;=GLDMax)</f>
        <v>1</v>
      </c>
      <c r="Q77" s="71" t="b">
        <f>ScenariosCombined[[#This Row],[VNQ]]&gt;=VNQMin</f>
        <v>1</v>
      </c>
      <c r="R77" s="71" t="b">
        <f>AND(ScenariosCombined[[#This Row],[PE]]&gt;=PEMin,ScenariosCombined[[#This Row],[PE]]&lt;=PEMax)</f>
        <v>1</v>
      </c>
      <c r="S77" s="71" t="b">
        <f>ScenariosCombined[[#This Row],[Liquid Assets]]&gt;=LiquidMin</f>
        <v>1</v>
      </c>
      <c r="T77" s="71" t="b">
        <f>AND(ScenariosCombined[[#This Row],[Expected Return]]&gt;=ExpectedReturnMin,ScenariosCombined[[#This Row],[Expected Return]]&lt;=ExpectedReturnMax)</f>
        <v>1</v>
      </c>
      <c r="U77" s="71" t="b">
        <f>ScenariosCombined[[#This Row],[Max Drawdown]]&gt;=DrawdownMax</f>
        <v>1</v>
      </c>
      <c r="V7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7" s="46">
        <f>ScenariosCombined[[#This Row],[Sharpe Rank]]</f>
        <v>55</v>
      </c>
      <c r="X7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55</v>
      </c>
      <c r="Y7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35/30/10/10/15</v>
      </c>
      <c r="Z77">
        <f>_xlfn.XLOOKUP(ScenariosCombined[[#This Row],[Reference '#]],Scenarios1[Reference '#],Scenarios1[Sharpe Rank])</f>
        <v>58</v>
      </c>
      <c r="AA77">
        <f>_xlfn.XLOOKUP(ScenariosCombined[[#This Row],[Reference '#]],Scenarios2[Reference '#],Scenarios2[Sharpe Rank])</f>
        <v>56</v>
      </c>
      <c r="AB77">
        <f>_xlfn.XLOOKUP(ScenariosCombined[[#This Row],[Reference '#]],Scenarios3[Reference '#],Scenarios3[Sharpe Rank])</f>
        <v>43</v>
      </c>
      <c r="AD77" s="34"/>
      <c r="AE77" s="34"/>
      <c r="AI77" s="15"/>
    </row>
    <row r="78" spans="2:35" x14ac:dyDescent="0.2">
      <c r="B78" s="44">
        <v>88</v>
      </c>
      <c r="C78" s="68">
        <v>0.3</v>
      </c>
      <c r="D78" s="69">
        <v>0.15</v>
      </c>
      <c r="E78" s="69">
        <v>0.2</v>
      </c>
      <c r="F78" s="69">
        <v>0.25</v>
      </c>
      <c r="G78" s="69">
        <v>0.1</v>
      </c>
      <c r="H7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9.1065242598246221E-2</v>
      </c>
      <c r="I7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9.044572639991548E-2</v>
      </c>
      <c r="J7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0.48713951224047919</v>
      </c>
      <c r="K7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-0.18678846385025705</v>
      </c>
      <c r="L78" s="69">
        <f>SUM(ScenariosCombined[[#This Row],[SPY]:[VNQ]])</f>
        <v>0.89999999999999991</v>
      </c>
      <c r="M78" s="69">
        <f>SUM(ScenariosCombined[[#This Row],[SPY]:[PE]])</f>
        <v>0.99999999999999989</v>
      </c>
      <c r="N78" s="71" t="b">
        <f>ScenariosCombined[[#This Row],[SPY]]&gt;=SpyMin</f>
        <v>1</v>
      </c>
      <c r="O78" s="71" t="b">
        <f>ScenariosCombined[[#This Row],[AGG]]&gt;=AGGMin</f>
        <v>1</v>
      </c>
      <c r="P78" s="71" t="b">
        <f>AND(ScenariosCombined[[#This Row],[GLD]]&gt;=GLDMin,ScenariosCombined[[#This Row],[GLD]]&lt;=GLDMax)</f>
        <v>1</v>
      </c>
      <c r="Q78" s="71" t="b">
        <f>ScenariosCombined[[#This Row],[VNQ]]&gt;=VNQMin</f>
        <v>1</v>
      </c>
      <c r="R78" s="71" t="b">
        <f>AND(ScenariosCombined[[#This Row],[PE]]&gt;=PEMin,ScenariosCombined[[#This Row],[PE]]&lt;=PEMax)</f>
        <v>1</v>
      </c>
      <c r="S78" s="71" t="b">
        <f>ScenariosCombined[[#This Row],[Liquid Assets]]&gt;=LiquidMin</f>
        <v>1</v>
      </c>
      <c r="T78" s="71" t="b">
        <f>AND(ScenariosCombined[[#This Row],[Expected Return]]&gt;=ExpectedReturnMin,ScenariosCombined[[#This Row],[Expected Return]]&lt;=ExpectedReturnMax)</f>
        <v>1</v>
      </c>
      <c r="U78" s="71" t="b">
        <f>ScenariosCombined[[#This Row],[Max Drawdown]]&gt;=DrawdownMax</f>
        <v>1</v>
      </c>
      <c r="V7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8" s="46">
        <f>ScenariosCombined[[#This Row],[Sharpe Rank]]</f>
        <v>56</v>
      </c>
      <c r="X7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56</v>
      </c>
      <c r="Y7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30/15/20/25/10</v>
      </c>
      <c r="Z78">
        <f>_xlfn.XLOOKUP(ScenariosCombined[[#This Row],[Reference '#]],Scenarios1[Reference '#],Scenarios1[Sharpe Rank])</f>
        <v>55</v>
      </c>
      <c r="AA78">
        <f>_xlfn.XLOOKUP(ScenariosCombined[[#This Row],[Reference '#]],Scenarios2[Reference '#],Scenarios2[Sharpe Rank])</f>
        <v>54</v>
      </c>
      <c r="AB78">
        <f>_xlfn.XLOOKUP(ScenariosCombined[[#This Row],[Reference '#]],Scenarios3[Reference '#],Scenarios3[Sharpe Rank])</f>
        <v>54</v>
      </c>
      <c r="AD78" s="34"/>
      <c r="AE78" s="34"/>
      <c r="AI78" s="15"/>
    </row>
    <row r="79" spans="2:35" x14ac:dyDescent="0.2">
      <c r="B79" s="44">
        <v>55</v>
      </c>
      <c r="C79" s="68">
        <v>0.35</v>
      </c>
      <c r="D79" s="69">
        <v>0.15</v>
      </c>
      <c r="E79" s="69">
        <v>0.15</v>
      </c>
      <c r="F79" s="69">
        <v>0.25</v>
      </c>
      <c r="G79" s="69">
        <v>0.1</v>
      </c>
      <c r="H7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9.2173017372015373E-2</v>
      </c>
      <c r="I7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9.286394615908293E-2</v>
      </c>
      <c r="J7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0.4863831840516939</v>
      </c>
      <c r="K7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-0.1940306400546703</v>
      </c>
      <c r="L79" s="69">
        <f>SUM(ScenariosCombined[[#This Row],[SPY]:[VNQ]])</f>
        <v>0.9</v>
      </c>
      <c r="M79" s="69">
        <f>SUM(ScenariosCombined[[#This Row],[SPY]:[PE]])</f>
        <v>1</v>
      </c>
      <c r="N79" s="71" t="b">
        <f>ScenariosCombined[[#This Row],[SPY]]&gt;=SpyMin</f>
        <v>1</v>
      </c>
      <c r="O79" s="71" t="b">
        <f>ScenariosCombined[[#This Row],[AGG]]&gt;=AGGMin</f>
        <v>1</v>
      </c>
      <c r="P79" s="71" t="b">
        <f>AND(ScenariosCombined[[#This Row],[GLD]]&gt;=GLDMin,ScenariosCombined[[#This Row],[GLD]]&lt;=GLDMax)</f>
        <v>1</v>
      </c>
      <c r="Q79" s="71" t="b">
        <f>ScenariosCombined[[#This Row],[VNQ]]&gt;=VNQMin</f>
        <v>1</v>
      </c>
      <c r="R79" s="71" t="b">
        <f>AND(ScenariosCombined[[#This Row],[PE]]&gt;=PEMin,ScenariosCombined[[#This Row],[PE]]&lt;=PEMax)</f>
        <v>1</v>
      </c>
      <c r="S79" s="71" t="b">
        <f>ScenariosCombined[[#This Row],[Liquid Assets]]&gt;=LiquidMin</f>
        <v>1</v>
      </c>
      <c r="T79" s="71" t="b">
        <f>AND(ScenariosCombined[[#This Row],[Expected Return]]&gt;=ExpectedReturnMin,ScenariosCombined[[#This Row],[Expected Return]]&lt;=ExpectedReturnMax)</f>
        <v>1</v>
      </c>
      <c r="U79" s="71" t="b">
        <f>ScenariosCombined[[#This Row],[Max Drawdown]]&gt;=DrawdownMax</f>
        <v>1</v>
      </c>
      <c r="V7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79" s="46">
        <f>ScenariosCombined[[#This Row],[Sharpe Rank]]</f>
        <v>57</v>
      </c>
      <c r="X7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57</v>
      </c>
      <c r="Y7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35/15/15/25/10</v>
      </c>
      <c r="Z79">
        <f>_xlfn.XLOOKUP(ScenariosCombined[[#This Row],[Reference '#]],Scenarios1[Reference '#],Scenarios1[Sharpe Rank])</f>
        <v>56</v>
      </c>
      <c r="AA79">
        <f>_xlfn.XLOOKUP(ScenariosCombined[[#This Row],[Reference '#]],Scenarios2[Reference '#],Scenarios2[Sharpe Rank])</f>
        <v>55</v>
      </c>
      <c r="AB79">
        <f>_xlfn.XLOOKUP(ScenariosCombined[[#This Row],[Reference '#]],Scenarios3[Reference '#],Scenarios3[Sharpe Rank])</f>
        <v>57</v>
      </c>
      <c r="AD79" s="34"/>
      <c r="AE79" s="34"/>
      <c r="AI79" s="15"/>
    </row>
    <row r="80" spans="2:35" x14ac:dyDescent="0.2">
      <c r="B80" s="44">
        <v>74</v>
      </c>
      <c r="C80" s="68">
        <v>0.3</v>
      </c>
      <c r="D80" s="69">
        <v>0.25</v>
      </c>
      <c r="E80" s="69">
        <v>0.15</v>
      </c>
      <c r="F80" s="69">
        <v>0.15</v>
      </c>
      <c r="G80" s="69">
        <v>0.15</v>
      </c>
      <c r="H8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8.4424520384944801E-2</v>
      </c>
      <c r="I8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7.7253086138892896E-2</v>
      </c>
      <c r="J8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0.48436854369952154</v>
      </c>
      <c r="K8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-0.16702205029844652</v>
      </c>
      <c r="L80" s="69">
        <f>SUM(ScenariosCombined[[#This Row],[SPY]:[VNQ]])</f>
        <v>0.85000000000000009</v>
      </c>
      <c r="M80" s="69">
        <f>SUM(ScenariosCombined[[#This Row],[SPY]:[PE]])</f>
        <v>1</v>
      </c>
      <c r="N80" s="71" t="b">
        <f>ScenariosCombined[[#This Row],[SPY]]&gt;=SpyMin</f>
        <v>1</v>
      </c>
      <c r="O80" s="71" t="b">
        <f>ScenariosCombined[[#This Row],[AGG]]&gt;=AGGMin</f>
        <v>1</v>
      </c>
      <c r="P80" s="71" t="b">
        <f>AND(ScenariosCombined[[#This Row],[GLD]]&gt;=GLDMin,ScenariosCombined[[#This Row],[GLD]]&lt;=GLDMax)</f>
        <v>1</v>
      </c>
      <c r="Q80" s="71" t="b">
        <f>ScenariosCombined[[#This Row],[VNQ]]&gt;=VNQMin</f>
        <v>1</v>
      </c>
      <c r="R80" s="71" t="b">
        <f>AND(ScenariosCombined[[#This Row],[PE]]&gt;=PEMin,ScenariosCombined[[#This Row],[PE]]&lt;=PEMax)</f>
        <v>1</v>
      </c>
      <c r="S80" s="71" t="b">
        <f>ScenariosCombined[[#This Row],[Liquid Assets]]&gt;=LiquidMin</f>
        <v>1</v>
      </c>
      <c r="T80" s="71" t="b">
        <f>AND(ScenariosCombined[[#This Row],[Expected Return]]&gt;=ExpectedReturnMin,ScenariosCombined[[#This Row],[Expected Return]]&lt;=ExpectedReturnMax)</f>
        <v>1</v>
      </c>
      <c r="U80" s="71" t="b">
        <f>ScenariosCombined[[#This Row],[Max Drawdown]]&gt;=DrawdownMax</f>
        <v>1</v>
      </c>
      <c r="V8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0" s="46">
        <f>ScenariosCombined[[#This Row],[Sharpe Rank]]</f>
        <v>58</v>
      </c>
      <c r="X8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58</v>
      </c>
      <c r="Y8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30/25/15/15/15</v>
      </c>
      <c r="Z80">
        <f>_xlfn.XLOOKUP(ScenariosCombined[[#This Row],[Reference '#]],Scenarios1[Reference '#],Scenarios1[Sharpe Rank])</f>
        <v>60</v>
      </c>
      <c r="AA80">
        <f>_xlfn.XLOOKUP(ScenariosCombined[[#This Row],[Reference '#]],Scenarios2[Reference '#],Scenarios2[Sharpe Rank])</f>
        <v>58</v>
      </c>
      <c r="AB80">
        <f>_xlfn.XLOOKUP(ScenariosCombined[[#This Row],[Reference '#]],Scenarios3[Reference '#],Scenarios3[Sharpe Rank])</f>
        <v>45</v>
      </c>
      <c r="AD80" s="34"/>
      <c r="AE80" s="34"/>
      <c r="AI80" s="15"/>
    </row>
    <row r="81" spans="2:35" x14ac:dyDescent="0.2">
      <c r="B81" s="44">
        <v>116</v>
      </c>
      <c r="C81" s="68">
        <v>0.25</v>
      </c>
      <c r="D81" s="69">
        <v>0.25</v>
      </c>
      <c r="E81" s="69">
        <v>0.2</v>
      </c>
      <c r="F81" s="69">
        <v>0.15</v>
      </c>
      <c r="G81" s="69">
        <v>0.15</v>
      </c>
      <c r="H8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8.3316745611175649E-2</v>
      </c>
      <c r="I8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7.5336421006106366E-2</v>
      </c>
      <c r="J8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0.48198719252507233</v>
      </c>
      <c r="K8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-0.15972578344997812</v>
      </c>
      <c r="L81" s="69">
        <f>SUM(ScenariosCombined[[#This Row],[SPY]:[VNQ]])</f>
        <v>0.85</v>
      </c>
      <c r="M81" s="69">
        <f>SUM(ScenariosCombined[[#This Row],[SPY]:[PE]])</f>
        <v>1</v>
      </c>
      <c r="N81" s="71" t="b">
        <f>ScenariosCombined[[#This Row],[SPY]]&gt;=SpyMin</f>
        <v>1</v>
      </c>
      <c r="O81" s="71" t="b">
        <f>ScenariosCombined[[#This Row],[AGG]]&gt;=AGGMin</f>
        <v>1</v>
      </c>
      <c r="P81" s="71" t="b">
        <f>AND(ScenariosCombined[[#This Row],[GLD]]&gt;=GLDMin,ScenariosCombined[[#This Row],[GLD]]&lt;=GLDMax)</f>
        <v>1</v>
      </c>
      <c r="Q81" s="71" t="b">
        <f>ScenariosCombined[[#This Row],[VNQ]]&gt;=VNQMin</f>
        <v>1</v>
      </c>
      <c r="R81" s="71" t="b">
        <f>AND(ScenariosCombined[[#This Row],[PE]]&gt;=PEMin,ScenariosCombined[[#This Row],[PE]]&lt;=PEMax)</f>
        <v>1</v>
      </c>
      <c r="S81" s="71" t="b">
        <f>ScenariosCombined[[#This Row],[Liquid Assets]]&gt;=LiquidMin</f>
        <v>1</v>
      </c>
      <c r="T81" s="71" t="b">
        <f>AND(ScenariosCombined[[#This Row],[Expected Return]]&gt;=ExpectedReturnMin,ScenariosCombined[[#This Row],[Expected Return]]&lt;=ExpectedReturnMax)</f>
        <v>1</v>
      </c>
      <c r="U81" s="71" t="b">
        <f>ScenariosCombined[[#This Row],[Max Drawdown]]&gt;=DrawdownMax</f>
        <v>1</v>
      </c>
      <c r="V8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1" s="46">
        <f>ScenariosCombined[[#This Row],[Sharpe Rank]]</f>
        <v>59</v>
      </c>
      <c r="X8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59</v>
      </c>
      <c r="Y8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25/25/20/15/15</v>
      </c>
      <c r="Z81">
        <f>_xlfn.XLOOKUP(ScenariosCombined[[#This Row],[Reference '#]],Scenarios1[Reference '#],Scenarios1[Sharpe Rank])</f>
        <v>62</v>
      </c>
      <c r="AA81">
        <f>_xlfn.XLOOKUP(ScenariosCombined[[#This Row],[Reference '#]],Scenarios2[Reference '#],Scenarios2[Sharpe Rank])</f>
        <v>59</v>
      </c>
      <c r="AB81">
        <f>_xlfn.XLOOKUP(ScenariosCombined[[#This Row],[Reference '#]],Scenarios3[Reference '#],Scenarios3[Sharpe Rank])</f>
        <v>47</v>
      </c>
      <c r="AD81" s="34"/>
      <c r="AE81" s="34"/>
      <c r="AI81" s="15"/>
    </row>
    <row r="82" spans="2:35" x14ac:dyDescent="0.2">
      <c r="B82" s="44">
        <v>31</v>
      </c>
      <c r="C82" s="68">
        <v>0.4</v>
      </c>
      <c r="D82" s="69">
        <v>0.15</v>
      </c>
      <c r="E82" s="69">
        <v>0.1</v>
      </c>
      <c r="F82" s="69">
        <v>0.25</v>
      </c>
      <c r="G82" s="69">
        <v>0.1</v>
      </c>
      <c r="H8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9.3280792145784552E-2</v>
      </c>
      <c r="I8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9.6092686738170438E-2</v>
      </c>
      <c r="J8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0.48156876616758498</v>
      </c>
      <c r="K8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-0.20128875787594014</v>
      </c>
      <c r="L82" s="69">
        <f>SUM(ScenariosCombined[[#This Row],[SPY]:[VNQ]])</f>
        <v>0.9</v>
      </c>
      <c r="M82" s="69">
        <f>SUM(ScenariosCombined[[#This Row],[SPY]:[PE]])</f>
        <v>1</v>
      </c>
      <c r="N82" s="71" t="b">
        <f>ScenariosCombined[[#This Row],[SPY]]&gt;=SpyMin</f>
        <v>1</v>
      </c>
      <c r="O82" s="71" t="b">
        <f>ScenariosCombined[[#This Row],[AGG]]&gt;=AGGMin</f>
        <v>1</v>
      </c>
      <c r="P82" s="71" t="b">
        <f>AND(ScenariosCombined[[#This Row],[GLD]]&gt;=GLDMin,ScenariosCombined[[#This Row],[GLD]]&lt;=GLDMax)</f>
        <v>1</v>
      </c>
      <c r="Q82" s="71" t="b">
        <f>ScenariosCombined[[#This Row],[VNQ]]&gt;=VNQMin</f>
        <v>1</v>
      </c>
      <c r="R82" s="71" t="b">
        <f>AND(ScenariosCombined[[#This Row],[PE]]&gt;=PEMin,ScenariosCombined[[#This Row],[PE]]&lt;=PEMax)</f>
        <v>1</v>
      </c>
      <c r="S82" s="71" t="b">
        <f>ScenariosCombined[[#This Row],[Liquid Assets]]&gt;=LiquidMin</f>
        <v>1</v>
      </c>
      <c r="T82" s="71" t="b">
        <f>AND(ScenariosCombined[[#This Row],[Expected Return]]&gt;=ExpectedReturnMin,ScenariosCombined[[#This Row],[Expected Return]]&lt;=ExpectedReturnMax)</f>
        <v>1</v>
      </c>
      <c r="U82" s="71" t="b">
        <f>ScenariosCombined[[#This Row],[Max Drawdown]]&gt;=DrawdownMax</f>
        <v>0</v>
      </c>
      <c r="V8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82" s="46" t="str">
        <f>ScenariosCombined[[#This Row],[Sharpe Rank]]</f>
        <v/>
      </c>
      <c r="X82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8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40/15/10/25/10</v>
      </c>
      <c r="Z82" t="str">
        <f>_xlfn.XLOOKUP(ScenariosCombined[[#This Row],[Reference '#]],Scenarios1[Reference '#],Scenarios1[Sharpe Rank])</f>
        <v/>
      </c>
      <c r="AA82" t="str">
        <f>_xlfn.XLOOKUP(ScenariosCombined[[#This Row],[Reference '#]],Scenarios2[Reference '#],Scenarios2[Sharpe Rank])</f>
        <v/>
      </c>
      <c r="AB82" t="str">
        <f>_xlfn.XLOOKUP(ScenariosCombined[[#This Row],[Reference '#]],Scenarios3[Reference '#],Scenarios3[Sharpe Rank])</f>
        <v/>
      </c>
      <c r="AD82" s="34"/>
      <c r="AE82" s="34"/>
      <c r="AI82" s="15"/>
    </row>
    <row r="83" spans="2:35" x14ac:dyDescent="0.2">
      <c r="B83" s="44">
        <v>42</v>
      </c>
      <c r="C83" s="68">
        <v>0.35</v>
      </c>
      <c r="D83" s="69">
        <v>0.25</v>
      </c>
      <c r="E83" s="69">
        <v>0.1</v>
      </c>
      <c r="F83" s="69">
        <v>0.15</v>
      </c>
      <c r="G83" s="69">
        <v>0.15</v>
      </c>
      <c r="H8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8.5532295158713953E-2</v>
      </c>
      <c r="I8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8.0170513170688407E-2</v>
      </c>
      <c r="J8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0.48055997248180743</v>
      </c>
      <c r="K8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-0.17433777288872498</v>
      </c>
      <c r="L83" s="69">
        <f>SUM(ScenariosCombined[[#This Row],[SPY]:[VNQ]])</f>
        <v>0.85</v>
      </c>
      <c r="M83" s="69">
        <f>SUM(ScenariosCombined[[#This Row],[SPY]:[PE]])</f>
        <v>1</v>
      </c>
      <c r="N83" s="71" t="b">
        <f>ScenariosCombined[[#This Row],[SPY]]&gt;=SpyMin</f>
        <v>1</v>
      </c>
      <c r="O83" s="71" t="b">
        <f>ScenariosCombined[[#This Row],[AGG]]&gt;=AGGMin</f>
        <v>1</v>
      </c>
      <c r="P83" s="71" t="b">
        <f>AND(ScenariosCombined[[#This Row],[GLD]]&gt;=GLDMin,ScenariosCombined[[#This Row],[GLD]]&lt;=GLDMax)</f>
        <v>1</v>
      </c>
      <c r="Q83" s="71" t="b">
        <f>ScenariosCombined[[#This Row],[VNQ]]&gt;=VNQMin</f>
        <v>1</v>
      </c>
      <c r="R83" s="71" t="b">
        <f>AND(ScenariosCombined[[#This Row],[PE]]&gt;=PEMin,ScenariosCombined[[#This Row],[PE]]&lt;=PEMax)</f>
        <v>1</v>
      </c>
      <c r="S83" s="71" t="b">
        <f>ScenariosCombined[[#This Row],[Liquid Assets]]&gt;=LiquidMin</f>
        <v>1</v>
      </c>
      <c r="T83" s="71" t="b">
        <f>AND(ScenariosCombined[[#This Row],[Expected Return]]&gt;=ExpectedReturnMin,ScenariosCombined[[#This Row],[Expected Return]]&lt;=ExpectedReturnMax)</f>
        <v>1</v>
      </c>
      <c r="U83" s="71" t="b">
        <f>ScenariosCombined[[#This Row],[Max Drawdown]]&gt;=DrawdownMax</f>
        <v>1</v>
      </c>
      <c r="V8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3" s="46">
        <f>ScenariosCombined[[#This Row],[Sharpe Rank]]</f>
        <v>60</v>
      </c>
      <c r="X8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60</v>
      </c>
      <c r="Y8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35/25/10/15/15</v>
      </c>
      <c r="Z83">
        <f>_xlfn.XLOOKUP(ScenariosCombined[[#This Row],[Reference '#]],Scenarios1[Reference '#],Scenarios1[Sharpe Rank])</f>
        <v>61</v>
      </c>
      <c r="AA83">
        <f>_xlfn.XLOOKUP(ScenariosCombined[[#This Row],[Reference '#]],Scenarios2[Reference '#],Scenarios2[Sharpe Rank])</f>
        <v>60</v>
      </c>
      <c r="AB83">
        <f>_xlfn.XLOOKUP(ScenariosCombined[[#This Row],[Reference '#]],Scenarios3[Reference '#],Scenarios3[Sharpe Rank])</f>
        <v>51</v>
      </c>
      <c r="AD83" s="34"/>
      <c r="AE83" s="34"/>
      <c r="AI83" s="15"/>
    </row>
    <row r="84" spans="2:35" x14ac:dyDescent="0.2">
      <c r="B84" s="44">
        <v>83</v>
      </c>
      <c r="C84" s="68">
        <v>0.3</v>
      </c>
      <c r="D84" s="69">
        <v>0.2</v>
      </c>
      <c r="E84" s="69">
        <v>0.15</v>
      </c>
      <c r="F84" s="69">
        <v>0.2</v>
      </c>
      <c r="G84" s="69">
        <v>0.15</v>
      </c>
      <c r="H8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8.6008259731108261E-2</v>
      </c>
      <c r="I8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8.2477109076022251E-2</v>
      </c>
      <c r="J8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0.47289126173909013</v>
      </c>
      <c r="K8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-0.17479194507259455</v>
      </c>
      <c r="L84" s="69">
        <f>SUM(ScenariosCombined[[#This Row],[SPY]:[VNQ]])</f>
        <v>0.85000000000000009</v>
      </c>
      <c r="M84" s="69">
        <f>SUM(ScenariosCombined[[#This Row],[SPY]:[PE]])</f>
        <v>1</v>
      </c>
      <c r="N84" s="71" t="b">
        <f>ScenariosCombined[[#This Row],[SPY]]&gt;=SpyMin</f>
        <v>1</v>
      </c>
      <c r="O84" s="71" t="b">
        <f>ScenariosCombined[[#This Row],[AGG]]&gt;=AGGMin</f>
        <v>1</v>
      </c>
      <c r="P84" s="71" t="b">
        <f>AND(ScenariosCombined[[#This Row],[GLD]]&gt;=GLDMin,ScenariosCombined[[#This Row],[GLD]]&lt;=GLDMax)</f>
        <v>1</v>
      </c>
      <c r="Q84" s="71" t="b">
        <f>ScenariosCombined[[#This Row],[VNQ]]&gt;=VNQMin</f>
        <v>1</v>
      </c>
      <c r="R84" s="71" t="b">
        <f>AND(ScenariosCombined[[#This Row],[PE]]&gt;=PEMin,ScenariosCombined[[#This Row],[PE]]&lt;=PEMax)</f>
        <v>1</v>
      </c>
      <c r="S84" s="71" t="b">
        <f>ScenariosCombined[[#This Row],[Liquid Assets]]&gt;=LiquidMin</f>
        <v>1</v>
      </c>
      <c r="T84" s="71" t="b">
        <f>AND(ScenariosCombined[[#This Row],[Expected Return]]&gt;=ExpectedReturnMin,ScenariosCombined[[#This Row],[Expected Return]]&lt;=ExpectedReturnMax)</f>
        <v>1</v>
      </c>
      <c r="U84" s="71" t="b">
        <f>ScenariosCombined[[#This Row],[Max Drawdown]]&gt;=DrawdownMax</f>
        <v>1</v>
      </c>
      <c r="V8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4" s="46">
        <f>ScenariosCombined[[#This Row],[Sharpe Rank]]</f>
        <v>61</v>
      </c>
      <c r="X8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61</v>
      </c>
      <c r="Y8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30/20/15/20/15</v>
      </c>
      <c r="Z84">
        <f>_xlfn.XLOOKUP(ScenariosCombined[[#This Row],[Reference '#]],Scenarios1[Reference '#],Scenarios1[Sharpe Rank])</f>
        <v>63</v>
      </c>
      <c r="AA84">
        <f>_xlfn.XLOOKUP(ScenariosCombined[[#This Row],[Reference '#]],Scenarios2[Reference '#],Scenarios2[Sharpe Rank])</f>
        <v>61</v>
      </c>
      <c r="AB84">
        <f>_xlfn.XLOOKUP(ScenariosCombined[[#This Row],[Reference '#]],Scenarios3[Reference '#],Scenarios3[Sharpe Rank])</f>
        <v>53</v>
      </c>
      <c r="AD84" s="34"/>
      <c r="AE84" s="34"/>
      <c r="AI84" s="15"/>
    </row>
    <row r="85" spans="2:35" x14ac:dyDescent="0.2">
      <c r="B85" s="44">
        <v>125</v>
      </c>
      <c r="C85" s="68">
        <v>0.25</v>
      </c>
      <c r="D85" s="69">
        <v>0.2</v>
      </c>
      <c r="E85" s="69">
        <v>0.2</v>
      </c>
      <c r="F85" s="69">
        <v>0.2</v>
      </c>
      <c r="G85" s="69">
        <v>0.15</v>
      </c>
      <c r="H8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8.4900484957339109E-2</v>
      </c>
      <c r="I8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8.0394552377853243E-2</v>
      </c>
      <c r="J8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0.47136190551416873</v>
      </c>
      <c r="K8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-0.16751350913162655</v>
      </c>
      <c r="L85" s="69">
        <f>SUM(ScenariosCombined[[#This Row],[SPY]:[VNQ]])</f>
        <v>0.85000000000000009</v>
      </c>
      <c r="M85" s="69">
        <f>SUM(ScenariosCombined[[#This Row],[SPY]:[PE]])</f>
        <v>1</v>
      </c>
      <c r="N85" s="71" t="b">
        <f>ScenariosCombined[[#This Row],[SPY]]&gt;=SpyMin</f>
        <v>1</v>
      </c>
      <c r="O85" s="71" t="b">
        <f>ScenariosCombined[[#This Row],[AGG]]&gt;=AGGMin</f>
        <v>1</v>
      </c>
      <c r="P85" s="71" t="b">
        <f>AND(ScenariosCombined[[#This Row],[GLD]]&gt;=GLDMin,ScenariosCombined[[#This Row],[GLD]]&lt;=GLDMax)</f>
        <v>1</v>
      </c>
      <c r="Q85" s="71" t="b">
        <f>ScenariosCombined[[#This Row],[VNQ]]&gt;=VNQMin</f>
        <v>1</v>
      </c>
      <c r="R85" s="71" t="b">
        <f>AND(ScenariosCombined[[#This Row],[PE]]&gt;=PEMin,ScenariosCombined[[#This Row],[PE]]&lt;=PEMax)</f>
        <v>1</v>
      </c>
      <c r="S85" s="71" t="b">
        <f>ScenariosCombined[[#This Row],[Liquid Assets]]&gt;=LiquidMin</f>
        <v>1</v>
      </c>
      <c r="T85" s="71" t="b">
        <f>AND(ScenariosCombined[[#This Row],[Expected Return]]&gt;=ExpectedReturnMin,ScenariosCombined[[#This Row],[Expected Return]]&lt;=ExpectedReturnMax)</f>
        <v>1</v>
      </c>
      <c r="U85" s="71" t="b">
        <f>ScenariosCombined[[#This Row],[Max Drawdown]]&gt;=DrawdownMax</f>
        <v>1</v>
      </c>
      <c r="V8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5" s="46">
        <f>ScenariosCombined[[#This Row],[Sharpe Rank]]</f>
        <v>62</v>
      </c>
      <c r="X8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62</v>
      </c>
      <c r="Y8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25/20/20/20/15</v>
      </c>
      <c r="Z85">
        <f>_xlfn.XLOOKUP(ScenariosCombined[[#This Row],[Reference '#]],Scenarios1[Reference '#],Scenarios1[Sharpe Rank])</f>
        <v>64</v>
      </c>
      <c r="AA85">
        <f>_xlfn.XLOOKUP(ScenariosCombined[[#This Row],[Reference '#]],Scenarios2[Reference '#],Scenarios2[Sharpe Rank])</f>
        <v>62</v>
      </c>
      <c r="AB85">
        <f>_xlfn.XLOOKUP(ScenariosCombined[[#This Row],[Reference '#]],Scenarios3[Reference '#],Scenarios3[Sharpe Rank])</f>
        <v>55</v>
      </c>
      <c r="AD85" s="34"/>
      <c r="AE85" s="34"/>
      <c r="AI85" s="15"/>
    </row>
    <row r="86" spans="2:35" x14ac:dyDescent="0.2">
      <c r="B86" s="44">
        <v>50</v>
      </c>
      <c r="C86" s="68">
        <v>0.35</v>
      </c>
      <c r="D86" s="69">
        <v>0.2</v>
      </c>
      <c r="E86" s="69">
        <v>0.1</v>
      </c>
      <c r="F86" s="69">
        <v>0.2</v>
      </c>
      <c r="G86" s="69">
        <v>0.15</v>
      </c>
      <c r="H8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8.7116034504877413E-2</v>
      </c>
      <c r="I8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8.5489600929792478E-2</v>
      </c>
      <c r="J8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0.46918547417553408</v>
      </c>
      <c r="K8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-0.18208883977532875</v>
      </c>
      <c r="L86" s="69">
        <f>SUM(ScenariosCombined[[#This Row],[SPY]:[VNQ]])</f>
        <v>0.85000000000000009</v>
      </c>
      <c r="M86" s="69">
        <f>SUM(ScenariosCombined[[#This Row],[SPY]:[PE]])</f>
        <v>1</v>
      </c>
      <c r="N86" s="71" t="b">
        <f>ScenariosCombined[[#This Row],[SPY]]&gt;=SpyMin</f>
        <v>1</v>
      </c>
      <c r="O86" s="71" t="b">
        <f>ScenariosCombined[[#This Row],[AGG]]&gt;=AGGMin</f>
        <v>1</v>
      </c>
      <c r="P86" s="71" t="b">
        <f>AND(ScenariosCombined[[#This Row],[GLD]]&gt;=GLDMin,ScenariosCombined[[#This Row],[GLD]]&lt;=GLDMax)</f>
        <v>1</v>
      </c>
      <c r="Q86" s="71" t="b">
        <f>ScenariosCombined[[#This Row],[VNQ]]&gt;=VNQMin</f>
        <v>1</v>
      </c>
      <c r="R86" s="71" t="b">
        <f>AND(ScenariosCombined[[#This Row],[PE]]&gt;=PEMin,ScenariosCombined[[#This Row],[PE]]&lt;=PEMax)</f>
        <v>1</v>
      </c>
      <c r="S86" s="71" t="b">
        <f>ScenariosCombined[[#This Row],[Liquid Assets]]&gt;=LiquidMin</f>
        <v>1</v>
      </c>
      <c r="T86" s="71" t="b">
        <f>AND(ScenariosCombined[[#This Row],[Expected Return]]&gt;=ExpectedReturnMin,ScenariosCombined[[#This Row],[Expected Return]]&lt;=ExpectedReturnMax)</f>
        <v>1</v>
      </c>
      <c r="U86" s="71" t="b">
        <f>ScenariosCombined[[#This Row],[Max Drawdown]]&gt;=DrawdownMax</f>
        <v>1</v>
      </c>
      <c r="V8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6" s="46">
        <f>ScenariosCombined[[#This Row],[Sharpe Rank]]</f>
        <v>63</v>
      </c>
      <c r="X8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63</v>
      </c>
      <c r="Y8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35/20/10/20/15</v>
      </c>
      <c r="Z86">
        <f>_xlfn.XLOOKUP(ScenariosCombined[[#This Row],[Reference '#]],Scenarios1[Reference '#],Scenarios1[Sharpe Rank])</f>
        <v>65</v>
      </c>
      <c r="AA86">
        <f>_xlfn.XLOOKUP(ScenariosCombined[[#This Row],[Reference '#]],Scenarios2[Reference '#],Scenarios2[Sharpe Rank])</f>
        <v>63</v>
      </c>
      <c r="AB86">
        <f>_xlfn.XLOOKUP(ScenariosCombined[[#This Row],[Reference '#]],Scenarios3[Reference '#],Scenarios3[Sharpe Rank])</f>
        <v>59</v>
      </c>
      <c r="AD86" s="34"/>
      <c r="AE86" s="34"/>
      <c r="AI86" s="15"/>
    </row>
    <row r="87" spans="2:35" x14ac:dyDescent="0.2">
      <c r="B87" s="44">
        <v>111</v>
      </c>
      <c r="C87" s="68">
        <v>0.25</v>
      </c>
      <c r="D87" s="69">
        <v>0.3</v>
      </c>
      <c r="E87" s="69">
        <v>0.15</v>
      </c>
      <c r="F87" s="69">
        <v>0.1</v>
      </c>
      <c r="G87" s="69">
        <v>0.2</v>
      </c>
      <c r="H8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7.8259762744037689E-2</v>
      </c>
      <c r="I8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6.7605620867609642E-2</v>
      </c>
      <c r="J8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0.46230190311670155</v>
      </c>
      <c r="K8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-0.14761879853353232</v>
      </c>
      <c r="L87" s="69">
        <f>SUM(ScenariosCombined[[#This Row],[SPY]:[VNQ]])</f>
        <v>0.8</v>
      </c>
      <c r="M87" s="69">
        <f>SUM(ScenariosCombined[[#This Row],[SPY]:[PE]])</f>
        <v>1</v>
      </c>
      <c r="N87" s="71" t="b">
        <f>ScenariosCombined[[#This Row],[SPY]]&gt;=SpyMin</f>
        <v>1</v>
      </c>
      <c r="O87" s="71" t="b">
        <f>ScenariosCombined[[#This Row],[AGG]]&gt;=AGGMin</f>
        <v>1</v>
      </c>
      <c r="P87" s="71" t="b">
        <f>AND(ScenariosCombined[[#This Row],[GLD]]&gt;=GLDMin,ScenariosCombined[[#This Row],[GLD]]&lt;=GLDMax)</f>
        <v>1</v>
      </c>
      <c r="Q87" s="71" t="b">
        <f>ScenariosCombined[[#This Row],[VNQ]]&gt;=VNQMin</f>
        <v>1</v>
      </c>
      <c r="R87" s="71" t="b">
        <f>AND(ScenariosCombined[[#This Row],[PE]]&gt;=PEMin,ScenariosCombined[[#This Row],[PE]]&lt;=PEMax)</f>
        <v>1</v>
      </c>
      <c r="S87" s="71" t="b">
        <f>ScenariosCombined[[#This Row],[Liquid Assets]]&gt;=LiquidMin</f>
        <v>1</v>
      </c>
      <c r="T87" s="71" t="b">
        <f>AND(ScenariosCombined[[#This Row],[Expected Return]]&gt;=ExpectedReturnMin,ScenariosCombined[[#This Row],[Expected Return]]&lt;=ExpectedReturnMax)</f>
        <v>1</v>
      </c>
      <c r="U87" s="71" t="b">
        <f>ScenariosCombined[[#This Row],[Max Drawdown]]&gt;=DrawdownMax</f>
        <v>1</v>
      </c>
      <c r="V8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7" s="46">
        <f>ScenariosCombined[[#This Row],[Sharpe Rank]]</f>
        <v>64</v>
      </c>
      <c r="X8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64</v>
      </c>
      <c r="Y8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25/30/15/10/20</v>
      </c>
      <c r="Z87">
        <f>_xlfn.XLOOKUP(ScenariosCombined[[#This Row],[Reference '#]],Scenarios1[Reference '#],Scenarios1[Sharpe Rank])</f>
        <v>75</v>
      </c>
      <c r="AA87">
        <f>_xlfn.XLOOKUP(ScenariosCombined[[#This Row],[Reference '#]],Scenarios2[Reference '#],Scenarios2[Sharpe Rank])</f>
        <v>69</v>
      </c>
      <c r="AB87">
        <f>_xlfn.XLOOKUP(ScenariosCombined[[#This Row],[Reference '#]],Scenarios3[Reference '#],Scenarios3[Sharpe Rank])</f>
        <v>48</v>
      </c>
      <c r="AD87" s="34"/>
      <c r="AE87" s="34"/>
      <c r="AI87" s="15"/>
    </row>
    <row r="88" spans="2:35" x14ac:dyDescent="0.2">
      <c r="B88" s="44">
        <v>92</v>
      </c>
      <c r="C88" s="68">
        <v>0.3</v>
      </c>
      <c r="D88" s="69">
        <v>0.15</v>
      </c>
      <c r="E88" s="69">
        <v>0.15</v>
      </c>
      <c r="F88" s="69">
        <v>0.25</v>
      </c>
      <c r="G88" s="69">
        <v>0.15</v>
      </c>
      <c r="H8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8.7591999077271734E-2</v>
      </c>
      <c r="I8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8.7885252759314761E-2</v>
      </c>
      <c r="J8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0.46181176303682542</v>
      </c>
      <c r="K8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-0.18256018832149878</v>
      </c>
      <c r="L88" s="69">
        <f>SUM(ScenariosCombined[[#This Row],[SPY]:[VNQ]])</f>
        <v>0.85</v>
      </c>
      <c r="M88" s="69">
        <f>SUM(ScenariosCombined[[#This Row],[SPY]:[PE]])</f>
        <v>1</v>
      </c>
      <c r="N88" s="71" t="b">
        <f>ScenariosCombined[[#This Row],[SPY]]&gt;=SpyMin</f>
        <v>1</v>
      </c>
      <c r="O88" s="71" t="b">
        <f>ScenariosCombined[[#This Row],[AGG]]&gt;=AGGMin</f>
        <v>1</v>
      </c>
      <c r="P88" s="71" t="b">
        <f>AND(ScenariosCombined[[#This Row],[GLD]]&gt;=GLDMin,ScenariosCombined[[#This Row],[GLD]]&lt;=GLDMax)</f>
        <v>1</v>
      </c>
      <c r="Q88" s="71" t="b">
        <f>ScenariosCombined[[#This Row],[VNQ]]&gt;=VNQMin</f>
        <v>1</v>
      </c>
      <c r="R88" s="71" t="b">
        <f>AND(ScenariosCombined[[#This Row],[PE]]&gt;=PEMin,ScenariosCombined[[#This Row],[PE]]&lt;=PEMax)</f>
        <v>1</v>
      </c>
      <c r="S88" s="71" t="b">
        <f>ScenariosCombined[[#This Row],[Liquid Assets]]&gt;=LiquidMin</f>
        <v>1</v>
      </c>
      <c r="T88" s="71" t="b">
        <f>AND(ScenariosCombined[[#This Row],[Expected Return]]&gt;=ExpectedReturnMin,ScenariosCombined[[#This Row],[Expected Return]]&lt;=ExpectedReturnMax)</f>
        <v>1</v>
      </c>
      <c r="U88" s="71" t="b">
        <f>ScenariosCombined[[#This Row],[Max Drawdown]]&gt;=DrawdownMax</f>
        <v>1</v>
      </c>
      <c r="V8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8" s="46">
        <f>ScenariosCombined[[#This Row],[Sharpe Rank]]</f>
        <v>65</v>
      </c>
      <c r="X8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65</v>
      </c>
      <c r="Y8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30/15/15/25/15</v>
      </c>
      <c r="Z88">
        <f>_xlfn.XLOOKUP(ScenariosCombined[[#This Row],[Reference '#]],Scenarios1[Reference '#],Scenarios1[Sharpe Rank])</f>
        <v>66</v>
      </c>
      <c r="AA88">
        <f>_xlfn.XLOOKUP(ScenariosCombined[[#This Row],[Reference '#]],Scenarios2[Reference '#],Scenarios2[Sharpe Rank])</f>
        <v>64</v>
      </c>
      <c r="AB88">
        <f>_xlfn.XLOOKUP(ScenariosCombined[[#This Row],[Reference '#]],Scenarios3[Reference '#],Scenarios3[Sharpe Rank])</f>
        <v>60</v>
      </c>
      <c r="AD88" s="34"/>
      <c r="AE88" s="34"/>
      <c r="AI88" s="15"/>
    </row>
    <row r="89" spans="2:35" x14ac:dyDescent="0.2">
      <c r="B89" s="44">
        <v>70</v>
      </c>
      <c r="C89" s="68">
        <v>0.3</v>
      </c>
      <c r="D89" s="69">
        <v>0.3</v>
      </c>
      <c r="E89" s="69">
        <v>0.1</v>
      </c>
      <c r="F89" s="69">
        <v>0.1</v>
      </c>
      <c r="G89" s="69">
        <v>0.2</v>
      </c>
      <c r="H8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7.9367537517806855E-2</v>
      </c>
      <c r="I8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7.0183318774743708E-2</v>
      </c>
      <c r="J8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0.46110646414596651</v>
      </c>
      <c r="K8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-0.15496704459696842</v>
      </c>
      <c r="L89" s="69">
        <f>SUM(ScenariosCombined[[#This Row],[SPY]:[VNQ]])</f>
        <v>0.79999999999999993</v>
      </c>
      <c r="M89" s="69">
        <f>SUM(ScenariosCombined[[#This Row],[SPY]:[PE]])</f>
        <v>1</v>
      </c>
      <c r="N89" s="71" t="b">
        <f>ScenariosCombined[[#This Row],[SPY]]&gt;=SpyMin</f>
        <v>1</v>
      </c>
      <c r="O89" s="71" t="b">
        <f>ScenariosCombined[[#This Row],[AGG]]&gt;=AGGMin</f>
        <v>1</v>
      </c>
      <c r="P89" s="71" t="b">
        <f>AND(ScenariosCombined[[#This Row],[GLD]]&gt;=GLDMin,ScenariosCombined[[#This Row],[GLD]]&lt;=GLDMax)</f>
        <v>1</v>
      </c>
      <c r="Q89" s="71" t="b">
        <f>ScenariosCombined[[#This Row],[VNQ]]&gt;=VNQMin</f>
        <v>1</v>
      </c>
      <c r="R89" s="71" t="b">
        <f>AND(ScenariosCombined[[#This Row],[PE]]&gt;=PEMin,ScenariosCombined[[#This Row],[PE]]&lt;=PEMax)</f>
        <v>1</v>
      </c>
      <c r="S89" s="71" t="b">
        <f>ScenariosCombined[[#This Row],[Liquid Assets]]&gt;=LiquidMin</f>
        <v>1</v>
      </c>
      <c r="T89" s="71" t="b">
        <f>AND(ScenariosCombined[[#This Row],[Expected Return]]&gt;=ExpectedReturnMin,ScenariosCombined[[#This Row],[Expected Return]]&lt;=ExpectedReturnMax)</f>
        <v>1</v>
      </c>
      <c r="U89" s="71" t="b">
        <f>ScenariosCombined[[#This Row],[Max Drawdown]]&gt;=DrawdownMax</f>
        <v>1</v>
      </c>
      <c r="V8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89" s="46">
        <f>ScenariosCombined[[#This Row],[Sharpe Rank]]</f>
        <v>66</v>
      </c>
      <c r="X8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66</v>
      </c>
      <c r="Y8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30/30/10/10/20</v>
      </c>
      <c r="Z89">
        <f>_xlfn.XLOOKUP(ScenariosCombined[[#This Row],[Reference '#]],Scenarios1[Reference '#],Scenarios1[Sharpe Rank])</f>
        <v>74</v>
      </c>
      <c r="AA89">
        <f>_xlfn.XLOOKUP(ScenariosCombined[[#This Row],[Reference '#]],Scenarios2[Reference '#],Scenarios2[Sharpe Rank])</f>
        <v>70</v>
      </c>
      <c r="AB89">
        <f>_xlfn.XLOOKUP(ScenariosCombined[[#This Row],[Reference '#]],Scenarios3[Reference '#],Scenarios3[Sharpe Rank])</f>
        <v>50</v>
      </c>
      <c r="AD89" s="34"/>
      <c r="AE89" s="34"/>
      <c r="AI89" s="15"/>
    </row>
    <row r="90" spans="2:35" x14ac:dyDescent="0.2">
      <c r="B90" s="44">
        <v>134</v>
      </c>
      <c r="C90" s="68">
        <v>0.25</v>
      </c>
      <c r="D90" s="69">
        <v>0.15</v>
      </c>
      <c r="E90" s="69">
        <v>0.2</v>
      </c>
      <c r="F90" s="69">
        <v>0.25</v>
      </c>
      <c r="G90" s="69">
        <v>0.15</v>
      </c>
      <c r="H9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8.6484224303502569E-2</v>
      </c>
      <c r="I9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8.5661553228605289E-2</v>
      </c>
      <c r="J9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0.46086800040375375</v>
      </c>
      <c r="K9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-0.17530039956612353</v>
      </c>
      <c r="L90" s="69">
        <f>SUM(ScenariosCombined[[#This Row],[SPY]:[VNQ]])</f>
        <v>0.85000000000000009</v>
      </c>
      <c r="M90" s="69">
        <f>SUM(ScenariosCombined[[#This Row],[SPY]:[PE]])</f>
        <v>1</v>
      </c>
      <c r="N90" s="71" t="b">
        <f>ScenariosCombined[[#This Row],[SPY]]&gt;=SpyMin</f>
        <v>1</v>
      </c>
      <c r="O90" s="71" t="b">
        <f>ScenariosCombined[[#This Row],[AGG]]&gt;=AGGMin</f>
        <v>1</v>
      </c>
      <c r="P90" s="71" t="b">
        <f>AND(ScenariosCombined[[#This Row],[GLD]]&gt;=GLDMin,ScenariosCombined[[#This Row],[GLD]]&lt;=GLDMax)</f>
        <v>1</v>
      </c>
      <c r="Q90" s="71" t="b">
        <f>ScenariosCombined[[#This Row],[VNQ]]&gt;=VNQMin</f>
        <v>1</v>
      </c>
      <c r="R90" s="71" t="b">
        <f>AND(ScenariosCombined[[#This Row],[PE]]&gt;=PEMin,ScenariosCombined[[#This Row],[PE]]&lt;=PEMax)</f>
        <v>1</v>
      </c>
      <c r="S90" s="71" t="b">
        <f>ScenariosCombined[[#This Row],[Liquid Assets]]&gt;=LiquidMin</f>
        <v>1</v>
      </c>
      <c r="T90" s="71" t="b">
        <f>AND(ScenariosCombined[[#This Row],[Expected Return]]&gt;=ExpectedReturnMin,ScenariosCombined[[#This Row],[Expected Return]]&lt;=ExpectedReturnMax)</f>
        <v>1</v>
      </c>
      <c r="U90" s="71" t="b">
        <f>ScenariosCombined[[#This Row],[Max Drawdown]]&gt;=DrawdownMax</f>
        <v>1</v>
      </c>
      <c r="V9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0" s="46">
        <f>ScenariosCombined[[#This Row],[Sharpe Rank]]</f>
        <v>67</v>
      </c>
      <c r="X9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67</v>
      </c>
      <c r="Y9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25/15/20/25/15</v>
      </c>
      <c r="Z90">
        <f>_xlfn.XLOOKUP(ScenariosCombined[[#This Row],[Reference '#]],Scenarios1[Reference '#],Scenarios1[Sharpe Rank])</f>
        <v>67</v>
      </c>
      <c r="AA90">
        <f>_xlfn.XLOOKUP(ScenariosCombined[[#This Row],[Reference '#]],Scenarios2[Reference '#],Scenarios2[Sharpe Rank])</f>
        <v>65</v>
      </c>
      <c r="AB90">
        <f>_xlfn.XLOOKUP(ScenariosCombined[[#This Row],[Reference '#]],Scenarios3[Reference '#],Scenarios3[Sharpe Rank])</f>
        <v>61</v>
      </c>
      <c r="AD90" s="34"/>
      <c r="AE90" s="34"/>
      <c r="AI90" s="15"/>
    </row>
    <row r="91" spans="2:35" x14ac:dyDescent="0.2">
      <c r="B91" s="44">
        <v>59</v>
      </c>
      <c r="C91" s="68">
        <v>0.35</v>
      </c>
      <c r="D91" s="69">
        <v>0.15</v>
      </c>
      <c r="E91" s="69">
        <v>0.1</v>
      </c>
      <c r="F91" s="69">
        <v>0.25</v>
      </c>
      <c r="G91" s="69">
        <v>0.15</v>
      </c>
      <c r="H9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8.8699773851040886E-2</v>
      </c>
      <c r="I9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9.0975504833413975E-2</v>
      </c>
      <c r="J9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0.45830158757384165</v>
      </c>
      <c r="K9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-0.18983745098866178</v>
      </c>
      <c r="L91" s="69">
        <f>SUM(ScenariosCombined[[#This Row],[SPY]:[VNQ]])</f>
        <v>0.85</v>
      </c>
      <c r="M91" s="69">
        <f>SUM(ScenariosCombined[[#This Row],[SPY]:[PE]])</f>
        <v>1</v>
      </c>
      <c r="N91" s="71" t="b">
        <f>ScenariosCombined[[#This Row],[SPY]]&gt;=SpyMin</f>
        <v>1</v>
      </c>
      <c r="O91" s="71" t="b">
        <f>ScenariosCombined[[#This Row],[AGG]]&gt;=AGGMin</f>
        <v>1</v>
      </c>
      <c r="P91" s="71" t="b">
        <f>AND(ScenariosCombined[[#This Row],[GLD]]&gt;=GLDMin,ScenariosCombined[[#This Row],[GLD]]&lt;=GLDMax)</f>
        <v>1</v>
      </c>
      <c r="Q91" s="71" t="b">
        <f>ScenariosCombined[[#This Row],[VNQ]]&gt;=VNQMin</f>
        <v>1</v>
      </c>
      <c r="R91" s="71" t="b">
        <f>AND(ScenariosCombined[[#This Row],[PE]]&gt;=PEMin,ScenariosCombined[[#This Row],[PE]]&lt;=PEMax)</f>
        <v>1</v>
      </c>
      <c r="S91" s="71" t="b">
        <f>ScenariosCombined[[#This Row],[Liquid Assets]]&gt;=LiquidMin</f>
        <v>1</v>
      </c>
      <c r="T91" s="71" t="b">
        <f>AND(ScenariosCombined[[#This Row],[Expected Return]]&gt;=ExpectedReturnMin,ScenariosCombined[[#This Row],[Expected Return]]&lt;=ExpectedReturnMax)</f>
        <v>1</v>
      </c>
      <c r="U91" s="71" t="b">
        <f>ScenariosCombined[[#This Row],[Max Drawdown]]&gt;=DrawdownMax</f>
        <v>1</v>
      </c>
      <c r="V9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1" s="46">
        <f>ScenariosCombined[[#This Row],[Sharpe Rank]]</f>
        <v>68</v>
      </c>
      <c r="X9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68</v>
      </c>
      <c r="Y9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35/15/10/25/15</v>
      </c>
      <c r="Z91">
        <f>_xlfn.XLOOKUP(ScenariosCombined[[#This Row],[Reference '#]],Scenarios1[Reference '#],Scenarios1[Sharpe Rank])</f>
        <v>68</v>
      </c>
      <c r="AA91">
        <f>_xlfn.XLOOKUP(ScenariosCombined[[#This Row],[Reference '#]],Scenarios2[Reference '#],Scenarios2[Sharpe Rank])</f>
        <v>66</v>
      </c>
      <c r="AB91">
        <f>_xlfn.XLOOKUP(ScenariosCombined[[#This Row],[Reference '#]],Scenarios3[Reference '#],Scenarios3[Sharpe Rank])</f>
        <v>63</v>
      </c>
      <c r="AD91" s="34"/>
      <c r="AE91" s="34"/>
      <c r="AI91" s="15"/>
    </row>
    <row r="92" spans="2:35" x14ac:dyDescent="0.2">
      <c r="B92" s="44">
        <v>120</v>
      </c>
      <c r="C92" s="68">
        <v>0.25</v>
      </c>
      <c r="D92" s="69">
        <v>0.25</v>
      </c>
      <c r="E92" s="69">
        <v>0.15</v>
      </c>
      <c r="F92" s="69">
        <v>0.15</v>
      </c>
      <c r="G92" s="69">
        <v>0.2</v>
      </c>
      <c r="H9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7.9843502090201149E-2</v>
      </c>
      <c r="I9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7.2524847161523895E-2</v>
      </c>
      <c r="J9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0.45278201636896237</v>
      </c>
      <c r="K9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-0.15542454310291398</v>
      </c>
      <c r="L92" s="69">
        <f>SUM(ScenariosCombined[[#This Row],[SPY]:[VNQ]])</f>
        <v>0.8</v>
      </c>
      <c r="M92" s="69">
        <f>SUM(ScenariosCombined[[#This Row],[SPY]:[PE]])</f>
        <v>1</v>
      </c>
      <c r="N92" s="71" t="b">
        <f>ScenariosCombined[[#This Row],[SPY]]&gt;=SpyMin</f>
        <v>1</v>
      </c>
      <c r="O92" s="71" t="b">
        <f>ScenariosCombined[[#This Row],[AGG]]&gt;=AGGMin</f>
        <v>1</v>
      </c>
      <c r="P92" s="71" t="b">
        <f>AND(ScenariosCombined[[#This Row],[GLD]]&gt;=GLDMin,ScenariosCombined[[#This Row],[GLD]]&lt;=GLDMax)</f>
        <v>1</v>
      </c>
      <c r="Q92" s="71" t="b">
        <f>ScenariosCombined[[#This Row],[VNQ]]&gt;=VNQMin</f>
        <v>1</v>
      </c>
      <c r="R92" s="71" t="b">
        <f>AND(ScenariosCombined[[#This Row],[PE]]&gt;=PEMin,ScenariosCombined[[#This Row],[PE]]&lt;=PEMax)</f>
        <v>1</v>
      </c>
      <c r="S92" s="71" t="b">
        <f>ScenariosCombined[[#This Row],[Liquid Assets]]&gt;=LiquidMin</f>
        <v>1</v>
      </c>
      <c r="T92" s="71" t="b">
        <f>AND(ScenariosCombined[[#This Row],[Expected Return]]&gt;=ExpectedReturnMin,ScenariosCombined[[#This Row],[Expected Return]]&lt;=ExpectedReturnMax)</f>
        <v>1</v>
      </c>
      <c r="U92" s="71" t="b">
        <f>ScenariosCombined[[#This Row],[Max Drawdown]]&gt;=DrawdownMax</f>
        <v>1</v>
      </c>
      <c r="V9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2" s="46">
        <f>ScenariosCombined[[#This Row],[Sharpe Rank]]</f>
        <v>69</v>
      </c>
      <c r="X9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69</v>
      </c>
      <c r="Y9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25/25/15/15/20</v>
      </c>
      <c r="Z92">
        <f>_xlfn.XLOOKUP(ScenariosCombined[[#This Row],[Reference '#]],Scenarios1[Reference '#],Scenarios1[Sharpe Rank])</f>
        <v>79</v>
      </c>
      <c r="AA92">
        <f>_xlfn.XLOOKUP(ScenariosCombined[[#This Row],[Reference '#]],Scenarios2[Reference '#],Scenarios2[Sharpe Rank])</f>
        <v>74</v>
      </c>
      <c r="AB92">
        <f>_xlfn.XLOOKUP(ScenariosCombined[[#This Row],[Reference '#]],Scenarios3[Reference '#],Scenarios3[Sharpe Rank])</f>
        <v>56</v>
      </c>
      <c r="AD92" s="34"/>
      <c r="AE92" s="34"/>
      <c r="AI92" s="15"/>
    </row>
    <row r="93" spans="2:35" x14ac:dyDescent="0.2">
      <c r="B93" s="44">
        <v>62</v>
      </c>
      <c r="C93" s="68">
        <v>0.3</v>
      </c>
      <c r="D93" s="69">
        <v>0.35</v>
      </c>
      <c r="E93" s="69">
        <v>0.15</v>
      </c>
      <c r="F93" s="69">
        <v>0.1</v>
      </c>
      <c r="G93" s="69">
        <v>0.1</v>
      </c>
      <c r="H9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8.0738566312516288E-2</v>
      </c>
      <c r="I9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7.4660012217719132E-2</v>
      </c>
      <c r="J9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0.45182166135454849</v>
      </c>
      <c r="K9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-0.16600529744900194</v>
      </c>
      <c r="L93" s="69">
        <f>SUM(ScenariosCombined[[#This Row],[SPY]:[VNQ]])</f>
        <v>0.89999999999999991</v>
      </c>
      <c r="M93" s="69">
        <f>SUM(ScenariosCombined[[#This Row],[SPY]:[PE]])</f>
        <v>0.99999999999999989</v>
      </c>
      <c r="N93" s="71" t="b">
        <f>ScenariosCombined[[#This Row],[SPY]]&gt;=SpyMin</f>
        <v>1</v>
      </c>
      <c r="O93" s="71" t="b">
        <f>ScenariosCombined[[#This Row],[AGG]]&gt;=AGGMin</f>
        <v>1</v>
      </c>
      <c r="P93" s="71" t="b">
        <f>AND(ScenariosCombined[[#This Row],[GLD]]&gt;=GLDMin,ScenariosCombined[[#This Row],[GLD]]&lt;=GLDMax)</f>
        <v>1</v>
      </c>
      <c r="Q93" s="71" t="b">
        <f>ScenariosCombined[[#This Row],[VNQ]]&gt;=VNQMin</f>
        <v>1</v>
      </c>
      <c r="R93" s="71" t="b">
        <f>AND(ScenariosCombined[[#This Row],[PE]]&gt;=PEMin,ScenariosCombined[[#This Row],[PE]]&lt;=PEMax)</f>
        <v>1</v>
      </c>
      <c r="S93" s="71" t="b">
        <f>ScenariosCombined[[#This Row],[Liquid Assets]]&gt;=LiquidMin</f>
        <v>1</v>
      </c>
      <c r="T93" s="71" t="b">
        <f>AND(ScenariosCombined[[#This Row],[Expected Return]]&gt;=ExpectedReturnMin,ScenariosCombined[[#This Row],[Expected Return]]&lt;=ExpectedReturnMax)</f>
        <v>1</v>
      </c>
      <c r="U93" s="71" t="b">
        <f>ScenariosCombined[[#This Row],[Max Drawdown]]&gt;=DrawdownMax</f>
        <v>1</v>
      </c>
      <c r="V9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3" s="46">
        <f>ScenariosCombined[[#This Row],[Sharpe Rank]]</f>
        <v>70</v>
      </c>
      <c r="X9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70</v>
      </c>
      <c r="Y9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30/35/15/10/10</v>
      </c>
      <c r="Z93">
        <f>_xlfn.XLOOKUP(ScenariosCombined[[#This Row],[Reference '#]],Scenarios1[Reference '#],Scenarios1[Sharpe Rank])</f>
        <v>69</v>
      </c>
      <c r="AA93">
        <f>_xlfn.XLOOKUP(ScenariosCombined[[#This Row],[Reference '#]],Scenarios2[Reference '#],Scenarios2[Sharpe Rank])</f>
        <v>67</v>
      </c>
      <c r="AB93">
        <f>_xlfn.XLOOKUP(ScenariosCombined[[#This Row],[Reference '#]],Scenarios3[Reference '#],Scenarios3[Sharpe Rank])</f>
        <v>66</v>
      </c>
      <c r="AD93" s="34"/>
      <c r="AE93" s="34"/>
      <c r="AI93" s="15"/>
    </row>
    <row r="94" spans="2:35" x14ac:dyDescent="0.2">
      <c r="B94" s="44">
        <v>78</v>
      </c>
      <c r="C94" s="68">
        <v>0.3</v>
      </c>
      <c r="D94" s="69">
        <v>0.25</v>
      </c>
      <c r="E94" s="69">
        <v>0.1</v>
      </c>
      <c r="F94" s="69">
        <v>0.15</v>
      </c>
      <c r="G94" s="69">
        <v>0.2</v>
      </c>
      <c r="H9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8.0951276863970315E-2</v>
      </c>
      <c r="I9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7.5244655615355843E-2</v>
      </c>
      <c r="J9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0.45113797160481872</v>
      </c>
      <c r="K9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-0.1627558285676346</v>
      </c>
      <c r="L94" s="69">
        <f>SUM(ScenariosCombined[[#This Row],[SPY]:[VNQ]])</f>
        <v>0.8</v>
      </c>
      <c r="M94" s="69">
        <f>SUM(ScenariosCombined[[#This Row],[SPY]:[PE]])</f>
        <v>1</v>
      </c>
      <c r="N94" s="71" t="b">
        <f>ScenariosCombined[[#This Row],[SPY]]&gt;=SpyMin</f>
        <v>1</v>
      </c>
      <c r="O94" s="71" t="b">
        <f>ScenariosCombined[[#This Row],[AGG]]&gt;=AGGMin</f>
        <v>1</v>
      </c>
      <c r="P94" s="71" t="b">
        <f>AND(ScenariosCombined[[#This Row],[GLD]]&gt;=GLDMin,ScenariosCombined[[#This Row],[GLD]]&lt;=GLDMax)</f>
        <v>1</v>
      </c>
      <c r="Q94" s="71" t="b">
        <f>ScenariosCombined[[#This Row],[VNQ]]&gt;=VNQMin</f>
        <v>1</v>
      </c>
      <c r="R94" s="71" t="b">
        <f>AND(ScenariosCombined[[#This Row],[PE]]&gt;=PEMin,ScenariosCombined[[#This Row],[PE]]&lt;=PEMax)</f>
        <v>1</v>
      </c>
      <c r="S94" s="71" t="b">
        <f>ScenariosCombined[[#This Row],[Liquid Assets]]&gt;=LiquidMin</f>
        <v>1</v>
      </c>
      <c r="T94" s="71" t="b">
        <f>AND(ScenariosCombined[[#This Row],[Expected Return]]&gt;=ExpectedReturnMin,ScenariosCombined[[#This Row],[Expected Return]]&lt;=ExpectedReturnMax)</f>
        <v>1</v>
      </c>
      <c r="U94" s="71" t="b">
        <f>ScenariosCombined[[#This Row],[Max Drawdown]]&gt;=DrawdownMax</f>
        <v>1</v>
      </c>
      <c r="V9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4" s="46">
        <f>ScenariosCombined[[#This Row],[Sharpe Rank]]</f>
        <v>71</v>
      </c>
      <c r="X9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71</v>
      </c>
      <c r="Y9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30/25/10/15/20</v>
      </c>
      <c r="Z94">
        <f>_xlfn.XLOOKUP(ScenariosCombined[[#This Row],[Reference '#]],Scenarios1[Reference '#],Scenarios1[Sharpe Rank])</f>
        <v>80</v>
      </c>
      <c r="AA94">
        <f>_xlfn.XLOOKUP(ScenariosCombined[[#This Row],[Reference '#]],Scenarios2[Reference '#],Scenarios2[Sharpe Rank])</f>
        <v>75</v>
      </c>
      <c r="AB94">
        <f>_xlfn.XLOOKUP(ScenariosCombined[[#This Row],[Reference '#]],Scenarios3[Reference '#],Scenarios3[Sharpe Rank])</f>
        <v>58</v>
      </c>
      <c r="AD94" s="34"/>
      <c r="AE94" s="34"/>
      <c r="AI94" s="15"/>
    </row>
    <row r="95" spans="2:35" x14ac:dyDescent="0.2">
      <c r="B95" s="44">
        <v>34</v>
      </c>
      <c r="C95" s="68">
        <v>0.35</v>
      </c>
      <c r="D95" s="69">
        <v>0.35</v>
      </c>
      <c r="E95" s="69">
        <v>0.1</v>
      </c>
      <c r="F95" s="69">
        <v>0.1</v>
      </c>
      <c r="G95" s="69">
        <v>0.1</v>
      </c>
      <c r="H9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8.1846341086285454E-2</v>
      </c>
      <c r="I9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7.7333317718843761E-2</v>
      </c>
      <c r="J9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0.45052749007094878</v>
      </c>
      <c r="K9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-0.17331410905464495</v>
      </c>
      <c r="L95" s="69">
        <f>SUM(ScenariosCombined[[#This Row],[SPY]:[VNQ]])</f>
        <v>0.89999999999999991</v>
      </c>
      <c r="M95" s="69">
        <f>SUM(ScenariosCombined[[#This Row],[SPY]:[PE]])</f>
        <v>0.99999999999999989</v>
      </c>
      <c r="N95" s="71" t="b">
        <f>ScenariosCombined[[#This Row],[SPY]]&gt;=SpyMin</f>
        <v>1</v>
      </c>
      <c r="O95" s="71" t="b">
        <f>ScenariosCombined[[#This Row],[AGG]]&gt;=AGGMin</f>
        <v>1</v>
      </c>
      <c r="P95" s="71" t="b">
        <f>AND(ScenariosCombined[[#This Row],[GLD]]&gt;=GLDMin,ScenariosCombined[[#This Row],[GLD]]&lt;=GLDMax)</f>
        <v>1</v>
      </c>
      <c r="Q95" s="71" t="b">
        <f>ScenariosCombined[[#This Row],[VNQ]]&gt;=VNQMin</f>
        <v>1</v>
      </c>
      <c r="R95" s="71" t="b">
        <f>AND(ScenariosCombined[[#This Row],[PE]]&gt;=PEMin,ScenariosCombined[[#This Row],[PE]]&lt;=PEMax)</f>
        <v>1</v>
      </c>
      <c r="S95" s="71" t="b">
        <f>ScenariosCombined[[#This Row],[Liquid Assets]]&gt;=LiquidMin</f>
        <v>1</v>
      </c>
      <c r="T95" s="71" t="b">
        <f>AND(ScenariosCombined[[#This Row],[Expected Return]]&gt;=ExpectedReturnMin,ScenariosCombined[[#This Row],[Expected Return]]&lt;=ExpectedReturnMax)</f>
        <v>1</v>
      </c>
      <c r="U95" s="71" t="b">
        <f>ScenariosCombined[[#This Row],[Max Drawdown]]&gt;=DrawdownMax</f>
        <v>1</v>
      </c>
      <c r="V9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5" s="46">
        <f>ScenariosCombined[[#This Row],[Sharpe Rank]]</f>
        <v>72</v>
      </c>
      <c r="X9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72</v>
      </c>
      <c r="Y9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35/35/10/10/10</v>
      </c>
      <c r="Z95">
        <f>_xlfn.XLOOKUP(ScenariosCombined[[#This Row],[Reference '#]],Scenarios1[Reference '#],Scenarios1[Sharpe Rank])</f>
        <v>70</v>
      </c>
      <c r="AA95">
        <f>_xlfn.XLOOKUP(ScenariosCombined[[#This Row],[Reference '#]],Scenarios2[Reference '#],Scenarios2[Sharpe Rank])</f>
        <v>68</v>
      </c>
      <c r="AB95">
        <f>_xlfn.XLOOKUP(ScenariosCombined[[#This Row],[Reference '#]],Scenarios3[Reference '#],Scenarios3[Sharpe Rank])</f>
        <v>68</v>
      </c>
      <c r="AD95" s="34"/>
      <c r="AE95" s="34"/>
      <c r="AI95" s="15"/>
    </row>
    <row r="96" spans="2:35" x14ac:dyDescent="0.2">
      <c r="B96" s="44">
        <v>101</v>
      </c>
      <c r="C96" s="68">
        <v>0.25</v>
      </c>
      <c r="D96" s="69">
        <v>0.35</v>
      </c>
      <c r="E96" s="69">
        <v>0.2</v>
      </c>
      <c r="F96" s="69">
        <v>0.1</v>
      </c>
      <c r="G96" s="69">
        <v>0.1</v>
      </c>
      <c r="H9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7.963079153874715E-2</v>
      </c>
      <c r="I9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7.3038357699161879E-2</v>
      </c>
      <c r="J9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0.4466863304562772</v>
      </c>
      <c r="K9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-0.1587163580209372</v>
      </c>
      <c r="L96" s="69">
        <f>SUM(ScenariosCombined[[#This Row],[SPY]:[VNQ]])</f>
        <v>0.9</v>
      </c>
      <c r="M96" s="69">
        <f>SUM(ScenariosCombined[[#This Row],[SPY]:[PE]])</f>
        <v>1</v>
      </c>
      <c r="N96" s="71" t="b">
        <f>ScenariosCombined[[#This Row],[SPY]]&gt;=SpyMin</f>
        <v>1</v>
      </c>
      <c r="O96" s="71" t="b">
        <f>ScenariosCombined[[#This Row],[AGG]]&gt;=AGGMin</f>
        <v>1</v>
      </c>
      <c r="P96" s="71" t="b">
        <f>AND(ScenariosCombined[[#This Row],[GLD]]&gt;=GLDMin,ScenariosCombined[[#This Row],[GLD]]&lt;=GLDMax)</f>
        <v>1</v>
      </c>
      <c r="Q96" s="71" t="b">
        <f>ScenariosCombined[[#This Row],[VNQ]]&gt;=VNQMin</f>
        <v>1</v>
      </c>
      <c r="R96" s="71" t="b">
        <f>AND(ScenariosCombined[[#This Row],[PE]]&gt;=PEMin,ScenariosCombined[[#This Row],[PE]]&lt;=PEMax)</f>
        <v>1</v>
      </c>
      <c r="S96" s="71" t="b">
        <f>ScenariosCombined[[#This Row],[Liquid Assets]]&gt;=LiquidMin</f>
        <v>1</v>
      </c>
      <c r="T96" s="71" t="b">
        <f>AND(ScenariosCombined[[#This Row],[Expected Return]]&gt;=ExpectedReturnMin,ScenariosCombined[[#This Row],[Expected Return]]&lt;=ExpectedReturnMax)</f>
        <v>1</v>
      </c>
      <c r="U96" s="71" t="b">
        <f>ScenariosCombined[[#This Row],[Max Drawdown]]&gt;=DrawdownMax</f>
        <v>1</v>
      </c>
      <c r="V9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6" s="46">
        <f>ScenariosCombined[[#This Row],[Sharpe Rank]]</f>
        <v>73</v>
      </c>
      <c r="X9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73</v>
      </c>
      <c r="Y9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25/35/20/10/10</v>
      </c>
      <c r="Z96">
        <f>_xlfn.XLOOKUP(ScenariosCombined[[#This Row],[Reference '#]],Scenarios1[Reference '#],Scenarios1[Sharpe Rank])</f>
        <v>71</v>
      </c>
      <c r="AA96">
        <f>_xlfn.XLOOKUP(ScenariosCombined[[#This Row],[Reference '#]],Scenarios2[Reference '#],Scenarios2[Sharpe Rank])</f>
        <v>71</v>
      </c>
      <c r="AB96">
        <f>_xlfn.XLOOKUP(ScenariosCombined[[#This Row],[Reference '#]],Scenarios3[Reference '#],Scenarios3[Sharpe Rank])</f>
        <v>69</v>
      </c>
      <c r="AD96" s="34"/>
      <c r="AE96" s="34"/>
      <c r="AI96" s="15"/>
    </row>
    <row r="97" spans="2:35" x14ac:dyDescent="0.2">
      <c r="B97" s="44">
        <v>66</v>
      </c>
      <c r="C97" s="68">
        <v>0.3</v>
      </c>
      <c r="D97" s="69">
        <v>0.3</v>
      </c>
      <c r="E97" s="69">
        <v>0.15</v>
      </c>
      <c r="F97" s="69">
        <v>0.15</v>
      </c>
      <c r="G97" s="69">
        <v>0.1</v>
      </c>
      <c r="H9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8.2322305658679776E-2</v>
      </c>
      <c r="I9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7.9687239397557827E-2</v>
      </c>
      <c r="J9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0.44319203890261233</v>
      </c>
      <c r="K9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-0.17373548486634538</v>
      </c>
      <c r="L97" s="69">
        <f>SUM(ScenariosCombined[[#This Row],[SPY]:[VNQ]])</f>
        <v>0.9</v>
      </c>
      <c r="M97" s="69">
        <f>SUM(ScenariosCombined[[#This Row],[SPY]:[PE]])</f>
        <v>1</v>
      </c>
      <c r="N97" s="71" t="b">
        <f>ScenariosCombined[[#This Row],[SPY]]&gt;=SpyMin</f>
        <v>1</v>
      </c>
      <c r="O97" s="71" t="b">
        <f>ScenariosCombined[[#This Row],[AGG]]&gt;=AGGMin</f>
        <v>1</v>
      </c>
      <c r="P97" s="71" t="b">
        <f>AND(ScenariosCombined[[#This Row],[GLD]]&gt;=GLDMin,ScenariosCombined[[#This Row],[GLD]]&lt;=GLDMax)</f>
        <v>1</v>
      </c>
      <c r="Q97" s="71" t="b">
        <f>ScenariosCombined[[#This Row],[VNQ]]&gt;=VNQMin</f>
        <v>1</v>
      </c>
      <c r="R97" s="71" t="b">
        <f>AND(ScenariosCombined[[#This Row],[PE]]&gt;=PEMin,ScenariosCombined[[#This Row],[PE]]&lt;=PEMax)</f>
        <v>1</v>
      </c>
      <c r="S97" s="71" t="b">
        <f>ScenariosCombined[[#This Row],[Liquid Assets]]&gt;=LiquidMin</f>
        <v>1</v>
      </c>
      <c r="T97" s="71" t="b">
        <f>AND(ScenariosCombined[[#This Row],[Expected Return]]&gt;=ExpectedReturnMin,ScenariosCombined[[#This Row],[Expected Return]]&lt;=ExpectedReturnMax)</f>
        <v>1</v>
      </c>
      <c r="U97" s="71" t="b">
        <f>ScenariosCombined[[#This Row],[Max Drawdown]]&gt;=DrawdownMax</f>
        <v>1</v>
      </c>
      <c r="V9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7" s="46">
        <f>ScenariosCombined[[#This Row],[Sharpe Rank]]</f>
        <v>74</v>
      </c>
      <c r="X9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74</v>
      </c>
      <c r="Y9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30/30/15/15/10</v>
      </c>
      <c r="Z97">
        <f>_xlfn.XLOOKUP(ScenariosCombined[[#This Row],[Reference '#]],Scenarios1[Reference '#],Scenarios1[Sharpe Rank])</f>
        <v>72</v>
      </c>
      <c r="AA97">
        <f>_xlfn.XLOOKUP(ScenariosCombined[[#This Row],[Reference '#]],Scenarios2[Reference '#],Scenarios2[Sharpe Rank])</f>
        <v>72</v>
      </c>
      <c r="AB97">
        <f>_xlfn.XLOOKUP(ScenariosCombined[[#This Row],[Reference '#]],Scenarios3[Reference '#],Scenarios3[Sharpe Rank])</f>
        <v>70</v>
      </c>
      <c r="AD97" s="34"/>
      <c r="AE97" s="34"/>
      <c r="AI97" s="15"/>
    </row>
    <row r="98" spans="2:35" x14ac:dyDescent="0.2">
      <c r="B98" s="44">
        <v>129</v>
      </c>
      <c r="C98" s="68">
        <v>0.25</v>
      </c>
      <c r="D98" s="69">
        <v>0.2</v>
      </c>
      <c r="E98" s="69">
        <v>0.15</v>
      </c>
      <c r="F98" s="69">
        <v>0.2</v>
      </c>
      <c r="G98" s="69">
        <v>0.2</v>
      </c>
      <c r="H9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8.1427241436364636E-2</v>
      </c>
      <c r="I9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7.7692321796851524E-2</v>
      </c>
      <c r="J9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0.44305132199310865</v>
      </c>
      <c r="K9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-0.16323092705506337</v>
      </c>
      <c r="L98" s="69">
        <f>SUM(ScenariosCombined[[#This Row],[SPY]:[VNQ]])</f>
        <v>0.8</v>
      </c>
      <c r="M98" s="69">
        <f>SUM(ScenariosCombined[[#This Row],[SPY]:[PE]])</f>
        <v>1</v>
      </c>
      <c r="N98" s="71" t="b">
        <f>ScenariosCombined[[#This Row],[SPY]]&gt;=SpyMin</f>
        <v>1</v>
      </c>
      <c r="O98" s="71" t="b">
        <f>ScenariosCombined[[#This Row],[AGG]]&gt;=AGGMin</f>
        <v>1</v>
      </c>
      <c r="P98" s="71" t="b">
        <f>AND(ScenariosCombined[[#This Row],[GLD]]&gt;=GLDMin,ScenariosCombined[[#This Row],[GLD]]&lt;=GLDMax)</f>
        <v>1</v>
      </c>
      <c r="Q98" s="71" t="b">
        <f>ScenariosCombined[[#This Row],[VNQ]]&gt;=VNQMin</f>
        <v>1</v>
      </c>
      <c r="R98" s="71" t="b">
        <f>AND(ScenariosCombined[[#This Row],[PE]]&gt;=PEMin,ScenariosCombined[[#This Row],[PE]]&lt;=PEMax)</f>
        <v>1</v>
      </c>
      <c r="S98" s="71" t="b">
        <f>ScenariosCombined[[#This Row],[Liquid Assets]]&gt;=LiquidMin</f>
        <v>1</v>
      </c>
      <c r="T98" s="71" t="b">
        <f>AND(ScenariosCombined[[#This Row],[Expected Return]]&gt;=ExpectedReturnMin,ScenariosCombined[[#This Row],[Expected Return]]&lt;=ExpectedReturnMax)</f>
        <v>1</v>
      </c>
      <c r="U98" s="71" t="b">
        <f>ScenariosCombined[[#This Row],[Max Drawdown]]&gt;=DrawdownMax</f>
        <v>1</v>
      </c>
      <c r="V9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8" s="46">
        <f>ScenariosCombined[[#This Row],[Sharpe Rank]]</f>
        <v>75</v>
      </c>
      <c r="X9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75</v>
      </c>
      <c r="Y9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25/20/15/20/20</v>
      </c>
      <c r="Z98">
        <f>_xlfn.XLOOKUP(ScenariosCombined[[#This Row],[Reference '#]],Scenarios1[Reference '#],Scenarios1[Sharpe Rank])</f>
        <v>84</v>
      </c>
      <c r="AA98">
        <f>_xlfn.XLOOKUP(ScenariosCombined[[#This Row],[Reference '#]],Scenarios2[Reference '#],Scenarios2[Sharpe Rank])</f>
        <v>79</v>
      </c>
      <c r="AB98">
        <f>_xlfn.XLOOKUP(ScenariosCombined[[#This Row],[Reference '#]],Scenarios3[Reference '#],Scenarios3[Sharpe Rank])</f>
        <v>62</v>
      </c>
      <c r="AD98" s="34"/>
      <c r="AE98" s="34"/>
      <c r="AI98" s="15"/>
    </row>
    <row r="99" spans="2:35" x14ac:dyDescent="0.2">
      <c r="B99" s="44">
        <v>36</v>
      </c>
      <c r="C99" s="68">
        <v>0.35</v>
      </c>
      <c r="D99" s="69">
        <v>0.3</v>
      </c>
      <c r="E99" s="69">
        <v>0.1</v>
      </c>
      <c r="F99" s="69">
        <v>0.15</v>
      </c>
      <c r="G99" s="69">
        <v>0.1</v>
      </c>
      <c r="H9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8.3430080432448941E-2</v>
      </c>
      <c r="I9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8.2480950584884388E-2</v>
      </c>
      <c r="J9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0.44161136139438018</v>
      </c>
      <c r="K9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-0.18102599925931473</v>
      </c>
      <c r="L99" s="69">
        <f>SUM(ScenariosCombined[[#This Row],[SPY]:[VNQ]])</f>
        <v>0.89999999999999991</v>
      </c>
      <c r="M99" s="69">
        <f>SUM(ScenariosCombined[[#This Row],[SPY]:[PE]])</f>
        <v>0.99999999999999989</v>
      </c>
      <c r="N99" s="71" t="b">
        <f>ScenariosCombined[[#This Row],[SPY]]&gt;=SpyMin</f>
        <v>1</v>
      </c>
      <c r="O99" s="71" t="b">
        <f>ScenariosCombined[[#This Row],[AGG]]&gt;=AGGMin</f>
        <v>1</v>
      </c>
      <c r="P99" s="71" t="b">
        <f>AND(ScenariosCombined[[#This Row],[GLD]]&gt;=GLDMin,ScenariosCombined[[#This Row],[GLD]]&lt;=GLDMax)</f>
        <v>1</v>
      </c>
      <c r="Q99" s="71" t="b">
        <f>ScenariosCombined[[#This Row],[VNQ]]&gt;=VNQMin</f>
        <v>1</v>
      </c>
      <c r="R99" s="71" t="b">
        <f>AND(ScenariosCombined[[#This Row],[PE]]&gt;=PEMin,ScenariosCombined[[#This Row],[PE]]&lt;=PEMax)</f>
        <v>1</v>
      </c>
      <c r="S99" s="71" t="b">
        <f>ScenariosCombined[[#This Row],[Liquid Assets]]&gt;=LiquidMin</f>
        <v>1</v>
      </c>
      <c r="T99" s="71" t="b">
        <f>AND(ScenariosCombined[[#This Row],[Expected Return]]&gt;=ExpectedReturnMin,ScenariosCombined[[#This Row],[Expected Return]]&lt;=ExpectedReturnMax)</f>
        <v>1</v>
      </c>
      <c r="U99" s="71" t="b">
        <f>ScenariosCombined[[#This Row],[Max Drawdown]]&gt;=DrawdownMax</f>
        <v>1</v>
      </c>
      <c r="V9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99" s="46">
        <f>ScenariosCombined[[#This Row],[Sharpe Rank]]</f>
        <v>76</v>
      </c>
      <c r="X9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76</v>
      </c>
      <c r="Y9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35/30/10/15/10</v>
      </c>
      <c r="Z99">
        <f>_xlfn.XLOOKUP(ScenariosCombined[[#This Row],[Reference '#]],Scenarios1[Reference '#],Scenarios1[Sharpe Rank])</f>
        <v>73</v>
      </c>
      <c r="AA99">
        <f>_xlfn.XLOOKUP(ScenariosCombined[[#This Row],[Reference '#]],Scenarios2[Reference '#],Scenarios2[Sharpe Rank])</f>
        <v>73</v>
      </c>
      <c r="AB99">
        <f>_xlfn.XLOOKUP(ScenariosCombined[[#This Row],[Reference '#]],Scenarios3[Reference '#],Scenarios3[Sharpe Rank])</f>
        <v>71</v>
      </c>
      <c r="AD99" s="34"/>
      <c r="AE99" s="34"/>
      <c r="AI99" s="15"/>
    </row>
    <row r="100" spans="2:35" x14ac:dyDescent="0.2">
      <c r="B100" s="44">
        <v>87</v>
      </c>
      <c r="C100" s="68">
        <v>0.3</v>
      </c>
      <c r="D100" s="69">
        <v>0.2</v>
      </c>
      <c r="E100" s="69">
        <v>0.1</v>
      </c>
      <c r="F100" s="69">
        <v>0.2</v>
      </c>
      <c r="G100" s="69">
        <v>0.2</v>
      </c>
      <c r="H10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8.2535016210133774E-2</v>
      </c>
      <c r="I10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8.0527809423735205E-2</v>
      </c>
      <c r="J10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0.44120734077867613</v>
      </c>
      <c r="K10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-0.17054442023968874</v>
      </c>
      <c r="L100" s="69">
        <f>SUM(ScenariosCombined[[#This Row],[SPY]:[VNQ]])</f>
        <v>0.8</v>
      </c>
      <c r="M100" s="69">
        <f>SUM(ScenariosCombined[[#This Row],[SPY]:[PE]])</f>
        <v>1</v>
      </c>
      <c r="N100" s="71" t="b">
        <f>ScenariosCombined[[#This Row],[SPY]]&gt;=SpyMin</f>
        <v>1</v>
      </c>
      <c r="O100" s="71" t="b">
        <f>ScenariosCombined[[#This Row],[AGG]]&gt;=AGGMin</f>
        <v>1</v>
      </c>
      <c r="P100" s="71" t="b">
        <f>AND(ScenariosCombined[[#This Row],[GLD]]&gt;=GLDMin,ScenariosCombined[[#This Row],[GLD]]&lt;=GLDMax)</f>
        <v>1</v>
      </c>
      <c r="Q100" s="71" t="b">
        <f>ScenariosCombined[[#This Row],[VNQ]]&gt;=VNQMin</f>
        <v>1</v>
      </c>
      <c r="R100" s="71" t="b">
        <f>AND(ScenariosCombined[[#This Row],[PE]]&gt;=PEMin,ScenariosCombined[[#This Row],[PE]]&lt;=PEMax)</f>
        <v>1</v>
      </c>
      <c r="S100" s="71" t="b">
        <f>ScenariosCombined[[#This Row],[Liquid Assets]]&gt;=LiquidMin</f>
        <v>1</v>
      </c>
      <c r="T100" s="71" t="b">
        <f>AND(ScenariosCombined[[#This Row],[Expected Return]]&gt;=ExpectedReturnMin,ScenariosCombined[[#This Row],[Expected Return]]&lt;=ExpectedReturnMax)</f>
        <v>1</v>
      </c>
      <c r="U100" s="71" t="b">
        <f>ScenariosCombined[[#This Row],[Max Drawdown]]&gt;=DrawdownMax</f>
        <v>1</v>
      </c>
      <c r="V10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0" s="46">
        <f>ScenariosCombined[[#This Row],[Sharpe Rank]]</f>
        <v>77</v>
      </c>
      <c r="X10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77</v>
      </c>
      <c r="Y10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30/20/10/20/20</v>
      </c>
      <c r="Z100">
        <f>_xlfn.XLOOKUP(ScenariosCombined[[#This Row],[Reference '#]],Scenarios1[Reference '#],Scenarios1[Sharpe Rank])</f>
        <v>85</v>
      </c>
      <c r="AA100">
        <f>_xlfn.XLOOKUP(ScenariosCombined[[#This Row],[Reference '#]],Scenarios2[Reference '#],Scenarios2[Sharpe Rank])</f>
        <v>81</v>
      </c>
      <c r="AB100">
        <f>_xlfn.XLOOKUP(ScenariosCombined[[#This Row],[Reference '#]],Scenarios3[Reference '#],Scenarios3[Sharpe Rank])</f>
        <v>64</v>
      </c>
      <c r="AD100" s="34"/>
      <c r="AE100" s="34"/>
      <c r="AI100" s="15"/>
    </row>
    <row r="101" spans="2:35" x14ac:dyDescent="0.2">
      <c r="B101" s="44">
        <v>107</v>
      </c>
      <c r="C101" s="68">
        <v>0.25</v>
      </c>
      <c r="D101" s="69">
        <v>0.3</v>
      </c>
      <c r="E101" s="69">
        <v>0.2</v>
      </c>
      <c r="F101" s="69">
        <v>0.15</v>
      </c>
      <c r="G101" s="69">
        <v>0.1</v>
      </c>
      <c r="H10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8.1214530884910638E-2</v>
      </c>
      <c r="I10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7.7870494491274769E-2</v>
      </c>
      <c r="J10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0.43930599841237861</v>
      </c>
      <c r="K10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-0.16646384132772141</v>
      </c>
      <c r="L101" s="69">
        <f>SUM(ScenariosCombined[[#This Row],[SPY]:[VNQ]])</f>
        <v>0.9</v>
      </c>
      <c r="M101" s="69">
        <f>SUM(ScenariosCombined[[#This Row],[SPY]:[PE]])</f>
        <v>1</v>
      </c>
      <c r="N101" s="71" t="b">
        <f>ScenariosCombined[[#This Row],[SPY]]&gt;=SpyMin</f>
        <v>1</v>
      </c>
      <c r="O101" s="71" t="b">
        <f>ScenariosCombined[[#This Row],[AGG]]&gt;=AGGMin</f>
        <v>1</v>
      </c>
      <c r="P101" s="71" t="b">
        <f>AND(ScenariosCombined[[#This Row],[GLD]]&gt;=GLDMin,ScenariosCombined[[#This Row],[GLD]]&lt;=GLDMax)</f>
        <v>1</v>
      </c>
      <c r="Q101" s="71" t="b">
        <f>ScenariosCombined[[#This Row],[VNQ]]&gt;=VNQMin</f>
        <v>1</v>
      </c>
      <c r="R101" s="71" t="b">
        <f>AND(ScenariosCombined[[#This Row],[PE]]&gt;=PEMin,ScenariosCombined[[#This Row],[PE]]&lt;=PEMax)</f>
        <v>1</v>
      </c>
      <c r="S101" s="71" t="b">
        <f>ScenariosCombined[[#This Row],[Liquid Assets]]&gt;=LiquidMin</f>
        <v>1</v>
      </c>
      <c r="T101" s="71" t="b">
        <f>AND(ScenariosCombined[[#This Row],[Expected Return]]&gt;=ExpectedReturnMin,ScenariosCombined[[#This Row],[Expected Return]]&lt;=ExpectedReturnMax)</f>
        <v>1</v>
      </c>
      <c r="U101" s="71" t="b">
        <f>ScenariosCombined[[#This Row],[Max Drawdown]]&gt;=DrawdownMax</f>
        <v>1</v>
      </c>
      <c r="V10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1" s="46">
        <f>ScenariosCombined[[#This Row],[Sharpe Rank]]</f>
        <v>78</v>
      </c>
      <c r="X10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78</v>
      </c>
      <c r="Y10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25/30/20/15/10</v>
      </c>
      <c r="Z101">
        <f>_xlfn.XLOOKUP(ScenariosCombined[[#This Row],[Reference '#]],Scenarios1[Reference '#],Scenarios1[Sharpe Rank])</f>
        <v>76</v>
      </c>
      <c r="AA101">
        <f>_xlfn.XLOOKUP(ScenariosCombined[[#This Row],[Reference '#]],Scenarios2[Reference '#],Scenarios2[Sharpe Rank])</f>
        <v>76</v>
      </c>
      <c r="AB101">
        <f>_xlfn.XLOOKUP(ScenariosCombined[[#This Row],[Reference '#]],Scenarios3[Reference '#],Scenarios3[Sharpe Rank])</f>
        <v>72</v>
      </c>
      <c r="AD101" s="34"/>
      <c r="AE101" s="34"/>
      <c r="AI101" s="15"/>
    </row>
    <row r="102" spans="2:35" x14ac:dyDescent="0.2">
      <c r="B102" s="44">
        <v>73</v>
      </c>
      <c r="C102" s="68">
        <v>0.3</v>
      </c>
      <c r="D102" s="69">
        <v>0.25</v>
      </c>
      <c r="E102" s="69">
        <v>0.15</v>
      </c>
      <c r="F102" s="69">
        <v>0.2</v>
      </c>
      <c r="G102" s="69">
        <v>0.1</v>
      </c>
      <c r="H10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8.3906045004843263E-2</v>
      </c>
      <c r="I10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8.492882166104225E-2</v>
      </c>
      <c r="J10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0.43448724152279566</v>
      </c>
      <c r="K10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-0.18146484085570624</v>
      </c>
      <c r="L102" s="69">
        <f>SUM(ScenariosCombined[[#This Row],[SPY]:[VNQ]])</f>
        <v>0.90000000000000013</v>
      </c>
      <c r="M102" s="69">
        <f>SUM(ScenariosCombined[[#This Row],[SPY]:[PE]])</f>
        <v>1.0000000000000002</v>
      </c>
      <c r="N102" s="71" t="b">
        <f>ScenariosCombined[[#This Row],[SPY]]&gt;=SpyMin</f>
        <v>1</v>
      </c>
      <c r="O102" s="71" t="b">
        <f>ScenariosCombined[[#This Row],[AGG]]&gt;=AGGMin</f>
        <v>1</v>
      </c>
      <c r="P102" s="71" t="b">
        <f>AND(ScenariosCombined[[#This Row],[GLD]]&gt;=GLDMin,ScenariosCombined[[#This Row],[GLD]]&lt;=GLDMax)</f>
        <v>1</v>
      </c>
      <c r="Q102" s="71" t="b">
        <f>ScenariosCombined[[#This Row],[VNQ]]&gt;=VNQMin</f>
        <v>1</v>
      </c>
      <c r="R102" s="71" t="b">
        <f>AND(ScenariosCombined[[#This Row],[PE]]&gt;=PEMin,ScenariosCombined[[#This Row],[PE]]&lt;=PEMax)</f>
        <v>1</v>
      </c>
      <c r="S102" s="71" t="b">
        <f>ScenariosCombined[[#This Row],[Liquid Assets]]&gt;=LiquidMin</f>
        <v>1</v>
      </c>
      <c r="T102" s="71" t="b">
        <f>AND(ScenariosCombined[[#This Row],[Expected Return]]&gt;=ExpectedReturnMin,ScenariosCombined[[#This Row],[Expected Return]]&lt;=ExpectedReturnMax)</f>
        <v>1</v>
      </c>
      <c r="U102" s="71" t="b">
        <f>ScenariosCombined[[#This Row],[Max Drawdown]]&gt;=DrawdownMax</f>
        <v>1</v>
      </c>
      <c r="V10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2" s="46">
        <f>ScenariosCombined[[#This Row],[Sharpe Rank]]</f>
        <v>79</v>
      </c>
      <c r="X10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79</v>
      </c>
      <c r="Y10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30/25/15/20/10</v>
      </c>
      <c r="Z102">
        <f>_xlfn.XLOOKUP(ScenariosCombined[[#This Row],[Reference '#]],Scenarios1[Reference '#],Scenarios1[Sharpe Rank])</f>
        <v>77</v>
      </c>
      <c r="AA102">
        <f>_xlfn.XLOOKUP(ScenariosCombined[[#This Row],[Reference '#]],Scenarios2[Reference '#],Scenarios2[Sharpe Rank])</f>
        <v>77</v>
      </c>
      <c r="AB102">
        <f>_xlfn.XLOOKUP(ScenariosCombined[[#This Row],[Reference '#]],Scenarios3[Reference '#],Scenarios3[Sharpe Rank])</f>
        <v>75</v>
      </c>
      <c r="AD102" s="34"/>
      <c r="AE102" s="34"/>
      <c r="AI102" s="15"/>
    </row>
    <row r="103" spans="2:35" x14ac:dyDescent="0.2">
      <c r="B103" s="44">
        <v>138</v>
      </c>
      <c r="C103" s="68">
        <v>0.25</v>
      </c>
      <c r="D103" s="69">
        <v>0.15</v>
      </c>
      <c r="E103" s="69">
        <v>0.15</v>
      </c>
      <c r="F103" s="69">
        <v>0.25</v>
      </c>
      <c r="G103" s="69">
        <v>0.2</v>
      </c>
      <c r="H10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8.3010980782528096E-2</v>
      </c>
      <c r="I10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8.3061725265277039E-2</v>
      </c>
      <c r="J10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0.43347793598051082</v>
      </c>
      <c r="K10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-0.17103679909467062</v>
      </c>
      <c r="L103" s="69">
        <f>SUM(ScenariosCombined[[#This Row],[SPY]:[VNQ]])</f>
        <v>0.8</v>
      </c>
      <c r="M103" s="69">
        <f>SUM(ScenariosCombined[[#This Row],[SPY]:[PE]])</f>
        <v>1</v>
      </c>
      <c r="N103" s="71" t="b">
        <f>ScenariosCombined[[#This Row],[SPY]]&gt;=SpyMin</f>
        <v>1</v>
      </c>
      <c r="O103" s="71" t="b">
        <f>ScenariosCombined[[#This Row],[AGG]]&gt;=AGGMin</f>
        <v>1</v>
      </c>
      <c r="P103" s="71" t="b">
        <f>AND(ScenariosCombined[[#This Row],[GLD]]&gt;=GLDMin,ScenariosCombined[[#This Row],[GLD]]&lt;=GLDMax)</f>
        <v>1</v>
      </c>
      <c r="Q103" s="71" t="b">
        <f>ScenariosCombined[[#This Row],[VNQ]]&gt;=VNQMin</f>
        <v>1</v>
      </c>
      <c r="R103" s="71" t="b">
        <f>AND(ScenariosCombined[[#This Row],[PE]]&gt;=PEMin,ScenariosCombined[[#This Row],[PE]]&lt;=PEMax)</f>
        <v>1</v>
      </c>
      <c r="S103" s="71" t="b">
        <f>ScenariosCombined[[#This Row],[Liquid Assets]]&gt;=LiquidMin</f>
        <v>1</v>
      </c>
      <c r="T103" s="71" t="b">
        <f>AND(ScenariosCombined[[#This Row],[Expected Return]]&gt;=ExpectedReturnMin,ScenariosCombined[[#This Row],[Expected Return]]&lt;=ExpectedReturnMax)</f>
        <v>1</v>
      </c>
      <c r="U103" s="71" t="b">
        <f>ScenariosCombined[[#This Row],[Max Drawdown]]&gt;=DrawdownMax</f>
        <v>1</v>
      </c>
      <c r="V10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3" s="46">
        <f>ScenariosCombined[[#This Row],[Sharpe Rank]]</f>
        <v>80</v>
      </c>
      <c r="X10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80</v>
      </c>
      <c r="Y10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25/15/15/25/20</v>
      </c>
      <c r="Z103">
        <f>_xlfn.XLOOKUP(ScenariosCombined[[#This Row],[Reference '#]],Scenarios1[Reference '#],Scenarios1[Sharpe Rank])</f>
        <v>88</v>
      </c>
      <c r="AA103">
        <f>_xlfn.XLOOKUP(ScenariosCombined[[#This Row],[Reference '#]],Scenarios2[Reference '#],Scenarios2[Sharpe Rank])</f>
        <v>84</v>
      </c>
      <c r="AB103">
        <f>_xlfn.XLOOKUP(ScenariosCombined[[#This Row],[Reference '#]],Scenarios3[Reference '#],Scenarios3[Sharpe Rank])</f>
        <v>65</v>
      </c>
      <c r="AD103" s="34"/>
      <c r="AE103" s="34"/>
      <c r="AI103" s="15"/>
    </row>
    <row r="104" spans="2:35" x14ac:dyDescent="0.2">
      <c r="B104" s="44">
        <v>41</v>
      </c>
      <c r="C104" s="68">
        <v>0.35</v>
      </c>
      <c r="D104" s="69">
        <v>0.25</v>
      </c>
      <c r="E104" s="69">
        <v>0.1</v>
      </c>
      <c r="F104" s="69">
        <v>0.2</v>
      </c>
      <c r="G104" s="69">
        <v>0.1</v>
      </c>
      <c r="H10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8.5013819778612401E-2</v>
      </c>
      <c r="I10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8.7821878349556792E-2</v>
      </c>
      <c r="J10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0.43278810402770979</v>
      </c>
      <c r="K10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-0.1887362491709641</v>
      </c>
      <c r="L104" s="69">
        <f>SUM(ScenariosCombined[[#This Row],[SPY]:[VNQ]])</f>
        <v>0.89999999999999991</v>
      </c>
      <c r="M104" s="69">
        <f>SUM(ScenariosCombined[[#This Row],[SPY]:[PE]])</f>
        <v>0.99999999999999989</v>
      </c>
      <c r="N104" s="71" t="b">
        <f>ScenariosCombined[[#This Row],[SPY]]&gt;=SpyMin</f>
        <v>1</v>
      </c>
      <c r="O104" s="71" t="b">
        <f>ScenariosCombined[[#This Row],[AGG]]&gt;=AGGMin</f>
        <v>1</v>
      </c>
      <c r="P104" s="71" t="b">
        <f>AND(ScenariosCombined[[#This Row],[GLD]]&gt;=GLDMin,ScenariosCombined[[#This Row],[GLD]]&lt;=GLDMax)</f>
        <v>1</v>
      </c>
      <c r="Q104" s="71" t="b">
        <f>ScenariosCombined[[#This Row],[VNQ]]&gt;=VNQMin</f>
        <v>1</v>
      </c>
      <c r="R104" s="71" t="b">
        <f>AND(ScenariosCombined[[#This Row],[PE]]&gt;=PEMin,ScenariosCombined[[#This Row],[PE]]&lt;=PEMax)</f>
        <v>1</v>
      </c>
      <c r="S104" s="71" t="b">
        <f>ScenariosCombined[[#This Row],[Liquid Assets]]&gt;=LiquidMin</f>
        <v>1</v>
      </c>
      <c r="T104" s="71" t="b">
        <f>AND(ScenariosCombined[[#This Row],[Expected Return]]&gt;=ExpectedReturnMin,ScenariosCombined[[#This Row],[Expected Return]]&lt;=ExpectedReturnMax)</f>
        <v>1</v>
      </c>
      <c r="U104" s="71" t="b">
        <f>ScenariosCombined[[#This Row],[Max Drawdown]]&gt;=DrawdownMax</f>
        <v>1</v>
      </c>
      <c r="V10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4" s="46">
        <f>ScenariosCombined[[#This Row],[Sharpe Rank]]</f>
        <v>81</v>
      </c>
      <c r="X10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81</v>
      </c>
      <c r="Y10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35/25/10/20/10</v>
      </c>
      <c r="Z104">
        <f>_xlfn.XLOOKUP(ScenariosCombined[[#This Row],[Reference '#]],Scenarios1[Reference '#],Scenarios1[Sharpe Rank])</f>
        <v>78</v>
      </c>
      <c r="AA104">
        <f>_xlfn.XLOOKUP(ScenariosCombined[[#This Row],[Reference '#]],Scenarios2[Reference '#],Scenarios2[Sharpe Rank])</f>
        <v>78</v>
      </c>
      <c r="AB104">
        <f>_xlfn.XLOOKUP(ScenariosCombined[[#This Row],[Reference '#]],Scenarios3[Reference '#],Scenarios3[Sharpe Rank])</f>
        <v>77</v>
      </c>
      <c r="AD104" s="34"/>
      <c r="AE104" s="34"/>
      <c r="AI104" s="15"/>
    </row>
    <row r="105" spans="2:35" x14ac:dyDescent="0.2">
      <c r="B105" s="44">
        <v>96</v>
      </c>
      <c r="C105" s="68">
        <v>0.3</v>
      </c>
      <c r="D105" s="69">
        <v>0.15</v>
      </c>
      <c r="E105" s="69">
        <v>0.1</v>
      </c>
      <c r="F105" s="69">
        <v>0.25</v>
      </c>
      <c r="G105" s="69">
        <v>0.2</v>
      </c>
      <c r="H10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8.4118755556297262E-2</v>
      </c>
      <c r="I10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8.5991906072449817E-2</v>
      </c>
      <c r="J10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0.43158945644806529</v>
      </c>
      <c r="K10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-0.17833167998995136</v>
      </c>
      <c r="L105" s="69">
        <f>SUM(ScenariosCombined[[#This Row],[SPY]:[VNQ]])</f>
        <v>0.79999999999999993</v>
      </c>
      <c r="M105" s="69">
        <f>SUM(ScenariosCombined[[#This Row],[SPY]:[PE]])</f>
        <v>1</v>
      </c>
      <c r="N105" s="71" t="b">
        <f>ScenariosCombined[[#This Row],[SPY]]&gt;=SpyMin</f>
        <v>1</v>
      </c>
      <c r="O105" s="71" t="b">
        <f>ScenariosCombined[[#This Row],[AGG]]&gt;=AGGMin</f>
        <v>1</v>
      </c>
      <c r="P105" s="71" t="b">
        <f>AND(ScenariosCombined[[#This Row],[GLD]]&gt;=GLDMin,ScenariosCombined[[#This Row],[GLD]]&lt;=GLDMax)</f>
        <v>1</v>
      </c>
      <c r="Q105" s="71" t="b">
        <f>ScenariosCombined[[#This Row],[VNQ]]&gt;=VNQMin</f>
        <v>1</v>
      </c>
      <c r="R105" s="71" t="b">
        <f>AND(ScenariosCombined[[#This Row],[PE]]&gt;=PEMin,ScenariosCombined[[#This Row],[PE]]&lt;=PEMax)</f>
        <v>1</v>
      </c>
      <c r="S105" s="71" t="b">
        <f>ScenariosCombined[[#This Row],[Liquid Assets]]&gt;=LiquidMin</f>
        <v>1</v>
      </c>
      <c r="T105" s="71" t="b">
        <f>AND(ScenariosCombined[[#This Row],[Expected Return]]&gt;=ExpectedReturnMin,ScenariosCombined[[#This Row],[Expected Return]]&lt;=ExpectedReturnMax)</f>
        <v>1</v>
      </c>
      <c r="U105" s="71" t="b">
        <f>ScenariosCombined[[#This Row],[Max Drawdown]]&gt;=DrawdownMax</f>
        <v>1</v>
      </c>
      <c r="V10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5" s="46">
        <f>ScenariosCombined[[#This Row],[Sharpe Rank]]</f>
        <v>82</v>
      </c>
      <c r="X10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82</v>
      </c>
      <c r="Y10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30/15/10/25/20</v>
      </c>
      <c r="Z105">
        <f>_xlfn.XLOOKUP(ScenariosCombined[[#This Row],[Reference '#]],Scenarios1[Reference '#],Scenarios1[Sharpe Rank])</f>
        <v>90</v>
      </c>
      <c r="AA105">
        <f>_xlfn.XLOOKUP(ScenariosCombined[[#This Row],[Reference '#]],Scenarios2[Reference '#],Scenarios2[Sharpe Rank])</f>
        <v>86</v>
      </c>
      <c r="AB105">
        <f>_xlfn.XLOOKUP(ScenariosCombined[[#This Row],[Reference '#]],Scenarios3[Reference '#],Scenarios3[Sharpe Rank])</f>
        <v>67</v>
      </c>
      <c r="AD105" s="34"/>
      <c r="AE105" s="34"/>
      <c r="AI105" s="15"/>
    </row>
    <row r="106" spans="2:35" x14ac:dyDescent="0.2">
      <c r="B106" s="44">
        <v>115</v>
      </c>
      <c r="C106" s="68">
        <v>0.25</v>
      </c>
      <c r="D106" s="69">
        <v>0.25</v>
      </c>
      <c r="E106" s="69">
        <v>0.2</v>
      </c>
      <c r="F106" s="69">
        <v>0.2</v>
      </c>
      <c r="G106" s="69">
        <v>0.1</v>
      </c>
      <c r="H10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8.2798270231074098E-2</v>
      </c>
      <c r="I10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8.2945379960045376E-2</v>
      </c>
      <c r="J10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0.43152149875930196</v>
      </c>
      <c r="K10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-0.17421131416336322</v>
      </c>
      <c r="L106" s="69">
        <f>SUM(ScenariosCombined[[#This Row],[SPY]:[VNQ]])</f>
        <v>0.89999999999999991</v>
      </c>
      <c r="M106" s="69">
        <f>SUM(ScenariosCombined[[#This Row],[SPY]:[PE]])</f>
        <v>0.99999999999999989</v>
      </c>
      <c r="N106" s="71" t="b">
        <f>ScenariosCombined[[#This Row],[SPY]]&gt;=SpyMin</f>
        <v>1</v>
      </c>
      <c r="O106" s="71" t="b">
        <f>ScenariosCombined[[#This Row],[AGG]]&gt;=AGGMin</f>
        <v>1</v>
      </c>
      <c r="P106" s="71" t="b">
        <f>AND(ScenariosCombined[[#This Row],[GLD]]&gt;=GLDMin,ScenariosCombined[[#This Row],[GLD]]&lt;=GLDMax)</f>
        <v>1</v>
      </c>
      <c r="Q106" s="71" t="b">
        <f>ScenariosCombined[[#This Row],[VNQ]]&gt;=VNQMin</f>
        <v>1</v>
      </c>
      <c r="R106" s="71" t="b">
        <f>AND(ScenariosCombined[[#This Row],[PE]]&gt;=PEMin,ScenariosCombined[[#This Row],[PE]]&lt;=PEMax)</f>
        <v>1</v>
      </c>
      <c r="S106" s="71" t="b">
        <f>ScenariosCombined[[#This Row],[Liquid Assets]]&gt;=LiquidMin</f>
        <v>1</v>
      </c>
      <c r="T106" s="71" t="b">
        <f>AND(ScenariosCombined[[#This Row],[Expected Return]]&gt;=ExpectedReturnMin,ScenariosCombined[[#This Row],[Expected Return]]&lt;=ExpectedReturnMax)</f>
        <v>1</v>
      </c>
      <c r="U106" s="71" t="b">
        <f>ScenariosCombined[[#This Row],[Max Drawdown]]&gt;=DrawdownMax</f>
        <v>1</v>
      </c>
      <c r="V10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6" s="46">
        <f>ScenariosCombined[[#This Row],[Sharpe Rank]]</f>
        <v>83</v>
      </c>
      <c r="X10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83</v>
      </c>
      <c r="Y10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25/25/20/20/10</v>
      </c>
      <c r="Z106">
        <f>_xlfn.XLOOKUP(ScenariosCombined[[#This Row],[Reference '#]],Scenarios1[Reference '#],Scenarios1[Sharpe Rank])</f>
        <v>81</v>
      </c>
      <c r="AA106">
        <f>_xlfn.XLOOKUP(ScenariosCombined[[#This Row],[Reference '#]],Scenarios2[Reference '#],Scenarios2[Sharpe Rank])</f>
        <v>80</v>
      </c>
      <c r="AB106">
        <f>_xlfn.XLOOKUP(ScenariosCombined[[#This Row],[Reference '#]],Scenarios3[Reference '#],Scenarios3[Sharpe Rank])</f>
        <v>76</v>
      </c>
      <c r="AD106" s="34"/>
      <c r="AE106" s="34"/>
      <c r="AI106" s="15"/>
    </row>
    <row r="107" spans="2:35" x14ac:dyDescent="0.2">
      <c r="B107" s="44">
        <v>82</v>
      </c>
      <c r="C107" s="68">
        <v>0.3</v>
      </c>
      <c r="D107" s="69">
        <v>0.2</v>
      </c>
      <c r="E107" s="69">
        <v>0.15</v>
      </c>
      <c r="F107" s="69">
        <v>0.25</v>
      </c>
      <c r="G107" s="69">
        <v>0.1</v>
      </c>
      <c r="H10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8.5489784351006737E-2</v>
      </c>
      <c r="I10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9.0347458747538925E-2</v>
      </c>
      <c r="J10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0.42595806599263636</v>
      </c>
      <c r="K10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-0.18919224107483956</v>
      </c>
      <c r="L107" s="69">
        <f>SUM(ScenariosCombined[[#This Row],[SPY]:[VNQ]])</f>
        <v>0.9</v>
      </c>
      <c r="M107" s="69">
        <f>SUM(ScenariosCombined[[#This Row],[SPY]:[PE]])</f>
        <v>1</v>
      </c>
      <c r="N107" s="71" t="b">
        <f>ScenariosCombined[[#This Row],[SPY]]&gt;=SpyMin</f>
        <v>1</v>
      </c>
      <c r="O107" s="71" t="b">
        <f>ScenariosCombined[[#This Row],[AGG]]&gt;=AGGMin</f>
        <v>1</v>
      </c>
      <c r="P107" s="71" t="b">
        <f>AND(ScenariosCombined[[#This Row],[GLD]]&gt;=GLDMin,ScenariosCombined[[#This Row],[GLD]]&lt;=GLDMax)</f>
        <v>1</v>
      </c>
      <c r="Q107" s="71" t="b">
        <f>ScenariosCombined[[#This Row],[VNQ]]&gt;=VNQMin</f>
        <v>1</v>
      </c>
      <c r="R107" s="71" t="b">
        <f>AND(ScenariosCombined[[#This Row],[PE]]&gt;=PEMin,ScenariosCombined[[#This Row],[PE]]&lt;=PEMax)</f>
        <v>1</v>
      </c>
      <c r="S107" s="71" t="b">
        <f>ScenariosCombined[[#This Row],[Liquid Assets]]&gt;=LiquidMin</f>
        <v>1</v>
      </c>
      <c r="T107" s="71" t="b">
        <f>AND(ScenariosCombined[[#This Row],[Expected Return]]&gt;=ExpectedReturnMin,ScenariosCombined[[#This Row],[Expected Return]]&lt;=ExpectedReturnMax)</f>
        <v>1</v>
      </c>
      <c r="U107" s="71" t="b">
        <f>ScenariosCombined[[#This Row],[Max Drawdown]]&gt;=DrawdownMax</f>
        <v>1</v>
      </c>
      <c r="V10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7" s="46">
        <f>ScenariosCombined[[#This Row],[Sharpe Rank]]</f>
        <v>84</v>
      </c>
      <c r="X10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84</v>
      </c>
      <c r="Y10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30/20/15/25/10</v>
      </c>
      <c r="Z107">
        <f>_xlfn.XLOOKUP(ScenariosCombined[[#This Row],[Reference '#]],Scenarios1[Reference '#],Scenarios1[Sharpe Rank])</f>
        <v>82</v>
      </c>
      <c r="AA107">
        <f>_xlfn.XLOOKUP(ScenariosCombined[[#This Row],[Reference '#]],Scenarios2[Reference '#],Scenarios2[Sharpe Rank])</f>
        <v>82</v>
      </c>
      <c r="AB107">
        <f>_xlfn.XLOOKUP(ScenariosCombined[[#This Row],[Reference '#]],Scenarios3[Reference '#],Scenarios3[Sharpe Rank])</f>
        <v>80</v>
      </c>
      <c r="AD107" s="34"/>
      <c r="AE107" s="34"/>
      <c r="AI107" s="15"/>
    </row>
    <row r="108" spans="2:35" x14ac:dyDescent="0.2">
      <c r="B108" s="44">
        <v>49</v>
      </c>
      <c r="C108" s="68">
        <v>0.35</v>
      </c>
      <c r="D108" s="69">
        <v>0.2</v>
      </c>
      <c r="E108" s="69">
        <v>0.1</v>
      </c>
      <c r="F108" s="69">
        <v>0.25</v>
      </c>
      <c r="G108" s="69">
        <v>0.1</v>
      </c>
      <c r="H10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8.6597559124775861E-2</v>
      </c>
      <c r="I10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9.332291975596492E-2</v>
      </c>
      <c r="J10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0.42424737323640915</v>
      </c>
      <c r="K10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-0.19644374610144166</v>
      </c>
      <c r="L108" s="69">
        <f>SUM(ScenariosCombined[[#This Row],[SPY]:[VNQ]])</f>
        <v>0.9</v>
      </c>
      <c r="M108" s="69">
        <f>SUM(ScenariosCombined[[#This Row],[SPY]:[PE]])</f>
        <v>1</v>
      </c>
      <c r="N108" s="71" t="b">
        <f>ScenariosCombined[[#This Row],[SPY]]&gt;=SpyMin</f>
        <v>1</v>
      </c>
      <c r="O108" s="71" t="b">
        <f>ScenariosCombined[[#This Row],[AGG]]&gt;=AGGMin</f>
        <v>1</v>
      </c>
      <c r="P108" s="71" t="b">
        <f>AND(ScenariosCombined[[#This Row],[GLD]]&gt;=GLDMin,ScenariosCombined[[#This Row],[GLD]]&lt;=GLDMax)</f>
        <v>1</v>
      </c>
      <c r="Q108" s="71" t="b">
        <f>ScenariosCombined[[#This Row],[VNQ]]&gt;=VNQMin</f>
        <v>1</v>
      </c>
      <c r="R108" s="71" t="b">
        <f>AND(ScenariosCombined[[#This Row],[PE]]&gt;=PEMin,ScenariosCombined[[#This Row],[PE]]&lt;=PEMax)</f>
        <v>1</v>
      </c>
      <c r="S108" s="71" t="b">
        <f>ScenariosCombined[[#This Row],[Liquid Assets]]&gt;=LiquidMin</f>
        <v>1</v>
      </c>
      <c r="T108" s="71" t="b">
        <f>AND(ScenariosCombined[[#This Row],[Expected Return]]&gt;=ExpectedReturnMin,ScenariosCombined[[#This Row],[Expected Return]]&lt;=ExpectedReturnMax)</f>
        <v>1</v>
      </c>
      <c r="U108" s="71" t="b">
        <f>ScenariosCombined[[#This Row],[Max Drawdown]]&gt;=DrawdownMax</f>
        <v>1</v>
      </c>
      <c r="V10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8" s="46">
        <f>ScenariosCombined[[#This Row],[Sharpe Rank]]</f>
        <v>85</v>
      </c>
      <c r="X10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85</v>
      </c>
      <c r="Y10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35/20/10/25/10</v>
      </c>
      <c r="Z108">
        <f>_xlfn.XLOOKUP(ScenariosCombined[[#This Row],[Reference '#]],Scenarios1[Reference '#],Scenarios1[Sharpe Rank])</f>
        <v>83</v>
      </c>
      <c r="AA108">
        <f>_xlfn.XLOOKUP(ScenariosCombined[[#This Row],[Reference '#]],Scenarios2[Reference '#],Scenarios2[Sharpe Rank])</f>
        <v>83</v>
      </c>
      <c r="AB108">
        <f>_xlfn.XLOOKUP(ScenariosCombined[[#This Row],[Reference '#]],Scenarios3[Reference '#],Scenarios3[Sharpe Rank])</f>
        <v>82</v>
      </c>
      <c r="AD108" s="34"/>
      <c r="AE108" s="34"/>
      <c r="AI108" s="15"/>
    </row>
    <row r="109" spans="2:35" x14ac:dyDescent="0.2">
      <c r="B109" s="44">
        <v>124</v>
      </c>
      <c r="C109" s="68">
        <v>0.25</v>
      </c>
      <c r="D109" s="69">
        <v>0.2</v>
      </c>
      <c r="E109" s="69">
        <v>0.2</v>
      </c>
      <c r="F109" s="69">
        <v>0.25</v>
      </c>
      <c r="G109" s="69">
        <v>0.1</v>
      </c>
      <c r="H10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8.4382009577237557E-2</v>
      </c>
      <c r="I10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8.8221131984307741E-2</v>
      </c>
      <c r="J10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0.42366781269968651</v>
      </c>
      <c r="K10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-0.18195764054702612</v>
      </c>
      <c r="L109" s="69">
        <f>SUM(ScenariosCombined[[#This Row],[SPY]:[VNQ]])</f>
        <v>0.9</v>
      </c>
      <c r="M109" s="69">
        <f>SUM(ScenariosCombined[[#This Row],[SPY]:[PE]])</f>
        <v>1</v>
      </c>
      <c r="N109" s="71" t="b">
        <f>ScenariosCombined[[#This Row],[SPY]]&gt;=SpyMin</f>
        <v>1</v>
      </c>
      <c r="O109" s="71" t="b">
        <f>ScenariosCombined[[#This Row],[AGG]]&gt;=AGGMin</f>
        <v>1</v>
      </c>
      <c r="P109" s="71" t="b">
        <f>AND(ScenariosCombined[[#This Row],[GLD]]&gt;=GLDMin,ScenariosCombined[[#This Row],[GLD]]&lt;=GLDMax)</f>
        <v>1</v>
      </c>
      <c r="Q109" s="71" t="b">
        <f>ScenariosCombined[[#This Row],[VNQ]]&gt;=VNQMin</f>
        <v>1</v>
      </c>
      <c r="R109" s="71" t="b">
        <f>AND(ScenariosCombined[[#This Row],[PE]]&gt;=PEMin,ScenariosCombined[[#This Row],[PE]]&lt;=PEMax)</f>
        <v>1</v>
      </c>
      <c r="S109" s="71" t="b">
        <f>ScenariosCombined[[#This Row],[Liquid Assets]]&gt;=LiquidMin</f>
        <v>1</v>
      </c>
      <c r="T109" s="71" t="b">
        <f>AND(ScenariosCombined[[#This Row],[Expected Return]]&gt;=ExpectedReturnMin,ScenariosCombined[[#This Row],[Expected Return]]&lt;=ExpectedReturnMax)</f>
        <v>1</v>
      </c>
      <c r="U109" s="71" t="b">
        <f>ScenariosCombined[[#This Row],[Max Drawdown]]&gt;=DrawdownMax</f>
        <v>1</v>
      </c>
      <c r="V10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09" s="46">
        <f>ScenariosCombined[[#This Row],[Sharpe Rank]]</f>
        <v>86</v>
      </c>
      <c r="X10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86</v>
      </c>
      <c r="Y10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25/20/20/25/10</v>
      </c>
      <c r="Z109">
        <f>_xlfn.XLOOKUP(ScenariosCombined[[#This Row],[Reference '#]],Scenarios1[Reference '#],Scenarios1[Sharpe Rank])</f>
        <v>86</v>
      </c>
      <c r="AA109">
        <f>_xlfn.XLOOKUP(ScenariosCombined[[#This Row],[Reference '#]],Scenarios2[Reference '#],Scenarios2[Sharpe Rank])</f>
        <v>85</v>
      </c>
      <c r="AB109">
        <f>_xlfn.XLOOKUP(ScenariosCombined[[#This Row],[Reference '#]],Scenarios3[Reference '#],Scenarios3[Sharpe Rank])</f>
        <v>81</v>
      </c>
      <c r="AD109" s="34"/>
      <c r="AE109" s="34"/>
      <c r="AI109" s="15"/>
    </row>
    <row r="110" spans="2:35" x14ac:dyDescent="0.2">
      <c r="B110" s="44">
        <v>64</v>
      </c>
      <c r="C110" s="68">
        <v>0.3</v>
      </c>
      <c r="D110" s="69">
        <v>0.35</v>
      </c>
      <c r="E110" s="69">
        <v>0.1</v>
      </c>
      <c r="F110" s="69">
        <v>0.1</v>
      </c>
      <c r="G110" s="69">
        <v>0.15</v>
      </c>
      <c r="H11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7.7265322791541816E-2</v>
      </c>
      <c r="I11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7.236874153699005E-2</v>
      </c>
      <c r="J11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0.41813311373556927</v>
      </c>
      <c r="K11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-0.16174572414969512</v>
      </c>
      <c r="L110" s="69">
        <f>SUM(ScenariosCombined[[#This Row],[SPY]:[VNQ]])</f>
        <v>0.84999999999999987</v>
      </c>
      <c r="M110" s="69">
        <f>SUM(ScenariosCombined[[#This Row],[SPY]:[PE]])</f>
        <v>0.99999999999999989</v>
      </c>
      <c r="N110" s="71" t="b">
        <f>ScenariosCombined[[#This Row],[SPY]]&gt;=SpyMin</f>
        <v>1</v>
      </c>
      <c r="O110" s="71" t="b">
        <f>ScenariosCombined[[#This Row],[AGG]]&gt;=AGGMin</f>
        <v>1</v>
      </c>
      <c r="P110" s="71" t="b">
        <f>AND(ScenariosCombined[[#This Row],[GLD]]&gt;=GLDMin,ScenariosCombined[[#This Row],[GLD]]&lt;=GLDMax)</f>
        <v>1</v>
      </c>
      <c r="Q110" s="71" t="b">
        <f>ScenariosCombined[[#This Row],[VNQ]]&gt;=VNQMin</f>
        <v>1</v>
      </c>
      <c r="R110" s="71" t="b">
        <f>AND(ScenariosCombined[[#This Row],[PE]]&gt;=PEMin,ScenariosCombined[[#This Row],[PE]]&lt;=PEMax)</f>
        <v>1</v>
      </c>
      <c r="S110" s="71" t="b">
        <f>ScenariosCombined[[#This Row],[Liquid Assets]]&gt;=LiquidMin</f>
        <v>1</v>
      </c>
      <c r="T110" s="71" t="b">
        <f>AND(ScenariosCombined[[#This Row],[Expected Return]]&gt;=ExpectedReturnMin,ScenariosCombined[[#This Row],[Expected Return]]&lt;=ExpectedReturnMax)</f>
        <v>1</v>
      </c>
      <c r="U110" s="71" t="b">
        <f>ScenariosCombined[[#This Row],[Max Drawdown]]&gt;=DrawdownMax</f>
        <v>1</v>
      </c>
      <c r="V11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0" s="46">
        <f>ScenariosCombined[[#This Row],[Sharpe Rank]]</f>
        <v>87</v>
      </c>
      <c r="X11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87</v>
      </c>
      <c r="Y11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30/35/10/10/15</v>
      </c>
      <c r="Z110">
        <f>_xlfn.XLOOKUP(ScenariosCombined[[#This Row],[Reference '#]],Scenarios1[Reference '#],Scenarios1[Sharpe Rank])</f>
        <v>91</v>
      </c>
      <c r="AA110">
        <f>_xlfn.XLOOKUP(ScenariosCombined[[#This Row],[Reference '#]],Scenarios2[Reference '#],Scenarios2[Sharpe Rank])</f>
        <v>89</v>
      </c>
      <c r="AB110">
        <f>_xlfn.XLOOKUP(ScenariosCombined[[#This Row],[Reference '#]],Scenarios3[Reference '#],Scenarios3[Sharpe Rank])</f>
        <v>74</v>
      </c>
      <c r="AD110" s="34"/>
      <c r="AE110" s="34"/>
      <c r="AI110" s="15"/>
    </row>
    <row r="111" spans="2:35" x14ac:dyDescent="0.2">
      <c r="B111" s="44">
        <v>91</v>
      </c>
      <c r="C111" s="68">
        <v>0.3</v>
      </c>
      <c r="D111" s="69">
        <v>0.15</v>
      </c>
      <c r="E111" s="69">
        <v>0.15</v>
      </c>
      <c r="F111" s="69">
        <v>0.3</v>
      </c>
      <c r="G111" s="69">
        <v>0.1</v>
      </c>
      <c r="H11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8.7073523697170183E-2</v>
      </c>
      <c r="I11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9.5913147081195707E-2</v>
      </c>
      <c r="J11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0.41775261641341954</v>
      </c>
      <c r="K11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-0.19691657346478753</v>
      </c>
      <c r="L111" s="69">
        <f>SUM(ScenariosCombined[[#This Row],[SPY]:[VNQ]])</f>
        <v>0.89999999999999991</v>
      </c>
      <c r="M111" s="69">
        <f>SUM(ScenariosCombined[[#This Row],[SPY]:[PE]])</f>
        <v>0.99999999999999989</v>
      </c>
      <c r="N111" s="71" t="b">
        <f>ScenariosCombined[[#This Row],[SPY]]&gt;=SpyMin</f>
        <v>1</v>
      </c>
      <c r="O111" s="71" t="b">
        <f>ScenariosCombined[[#This Row],[AGG]]&gt;=AGGMin</f>
        <v>1</v>
      </c>
      <c r="P111" s="71" t="b">
        <f>AND(ScenariosCombined[[#This Row],[GLD]]&gt;=GLDMin,ScenariosCombined[[#This Row],[GLD]]&lt;=GLDMax)</f>
        <v>1</v>
      </c>
      <c r="Q111" s="71" t="b">
        <f>ScenariosCombined[[#This Row],[VNQ]]&gt;=VNQMin</f>
        <v>1</v>
      </c>
      <c r="R111" s="71" t="b">
        <f>AND(ScenariosCombined[[#This Row],[PE]]&gt;=PEMin,ScenariosCombined[[#This Row],[PE]]&lt;=PEMax)</f>
        <v>1</v>
      </c>
      <c r="S111" s="71" t="b">
        <f>ScenariosCombined[[#This Row],[Liquid Assets]]&gt;=LiquidMin</f>
        <v>1</v>
      </c>
      <c r="T111" s="71" t="b">
        <f>AND(ScenariosCombined[[#This Row],[Expected Return]]&gt;=ExpectedReturnMin,ScenariosCombined[[#This Row],[Expected Return]]&lt;=ExpectedReturnMax)</f>
        <v>1</v>
      </c>
      <c r="U111" s="71" t="b">
        <f>ScenariosCombined[[#This Row],[Max Drawdown]]&gt;=DrawdownMax</f>
        <v>1</v>
      </c>
      <c r="V11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1" s="46">
        <f>ScenariosCombined[[#This Row],[Sharpe Rank]]</f>
        <v>88</v>
      </c>
      <c r="X11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88</v>
      </c>
      <c r="Y11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30/15/15/30/10</v>
      </c>
      <c r="Z111">
        <f>_xlfn.XLOOKUP(ScenariosCombined[[#This Row],[Reference '#]],Scenarios1[Reference '#],Scenarios1[Sharpe Rank])</f>
        <v>87</v>
      </c>
      <c r="AA111">
        <f>_xlfn.XLOOKUP(ScenariosCombined[[#This Row],[Reference '#]],Scenarios2[Reference '#],Scenarios2[Sharpe Rank])</f>
        <v>87</v>
      </c>
      <c r="AB111">
        <f>_xlfn.XLOOKUP(ScenariosCombined[[#This Row],[Reference '#]],Scenarios3[Reference '#],Scenarios3[Sharpe Rank])</f>
        <v>86</v>
      </c>
      <c r="AD111" s="34"/>
      <c r="AE111" s="34"/>
      <c r="AI111" s="15"/>
    </row>
    <row r="112" spans="2:35" x14ac:dyDescent="0.2">
      <c r="B112" s="44">
        <v>103</v>
      </c>
      <c r="C112" s="68">
        <v>0.25</v>
      </c>
      <c r="D112" s="69">
        <v>0.35</v>
      </c>
      <c r="E112" s="69">
        <v>0.15</v>
      </c>
      <c r="F112" s="69">
        <v>0.1</v>
      </c>
      <c r="G112" s="69">
        <v>0.15</v>
      </c>
      <c r="H11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7.615754801777265E-2</v>
      </c>
      <c r="I11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6.9916216057444192E-2</v>
      </c>
      <c r="J11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0.41695609553962992</v>
      </c>
      <c r="K11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-0.15442188773577281</v>
      </c>
      <c r="L112" s="69">
        <f>SUM(ScenariosCombined[[#This Row],[SPY]:[VNQ]])</f>
        <v>0.85</v>
      </c>
      <c r="M112" s="69">
        <f>SUM(ScenariosCombined[[#This Row],[SPY]:[PE]])</f>
        <v>1</v>
      </c>
      <c r="N112" s="71" t="b">
        <f>ScenariosCombined[[#This Row],[SPY]]&gt;=SpyMin</f>
        <v>1</v>
      </c>
      <c r="O112" s="71" t="b">
        <f>ScenariosCombined[[#This Row],[AGG]]&gt;=AGGMin</f>
        <v>1</v>
      </c>
      <c r="P112" s="71" t="b">
        <f>AND(ScenariosCombined[[#This Row],[GLD]]&gt;=GLDMin,ScenariosCombined[[#This Row],[GLD]]&lt;=GLDMax)</f>
        <v>1</v>
      </c>
      <c r="Q112" s="71" t="b">
        <f>ScenariosCombined[[#This Row],[VNQ]]&gt;=VNQMin</f>
        <v>1</v>
      </c>
      <c r="R112" s="71" t="b">
        <f>AND(ScenariosCombined[[#This Row],[PE]]&gt;=PEMin,ScenariosCombined[[#This Row],[PE]]&lt;=PEMax)</f>
        <v>1</v>
      </c>
      <c r="S112" s="71" t="b">
        <f>ScenariosCombined[[#This Row],[Liquid Assets]]&gt;=LiquidMin</f>
        <v>1</v>
      </c>
      <c r="T112" s="71" t="b">
        <f>AND(ScenariosCombined[[#This Row],[Expected Return]]&gt;=ExpectedReturnMin,ScenariosCombined[[#This Row],[Expected Return]]&lt;=ExpectedReturnMax)</f>
        <v>1</v>
      </c>
      <c r="U112" s="71" t="b">
        <f>ScenariosCombined[[#This Row],[Max Drawdown]]&gt;=DrawdownMax</f>
        <v>1</v>
      </c>
      <c r="V11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2" s="46">
        <f>ScenariosCombined[[#This Row],[Sharpe Rank]]</f>
        <v>89</v>
      </c>
      <c r="X11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89</v>
      </c>
      <c r="Y11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25/35/15/10/15</v>
      </c>
      <c r="Z112" t="str">
        <f>_xlfn.XLOOKUP(ScenariosCombined[[#This Row],[Reference '#]],Scenarios1[Reference '#],Scenarios1[Sharpe Rank])</f>
        <v/>
      </c>
      <c r="AA112">
        <f>_xlfn.XLOOKUP(ScenariosCombined[[#This Row],[Reference '#]],Scenarios2[Reference '#],Scenarios2[Sharpe Rank])</f>
        <v>90</v>
      </c>
      <c r="AB112">
        <f>_xlfn.XLOOKUP(ScenariosCombined[[#This Row],[Reference '#]],Scenarios3[Reference '#],Scenarios3[Sharpe Rank])</f>
        <v>73</v>
      </c>
      <c r="AD112" s="34"/>
      <c r="AE112" s="34"/>
      <c r="AI112" s="15"/>
    </row>
    <row r="113" spans="2:35" x14ac:dyDescent="0.2">
      <c r="B113" s="44">
        <v>58</v>
      </c>
      <c r="C113" s="68">
        <v>0.35</v>
      </c>
      <c r="D113" s="69">
        <v>0.15</v>
      </c>
      <c r="E113" s="69">
        <v>0.1</v>
      </c>
      <c r="F113" s="69">
        <v>0.3</v>
      </c>
      <c r="G113" s="69">
        <v>0.1</v>
      </c>
      <c r="H11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8.8181298470939348E-2</v>
      </c>
      <c r="I11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9.895737624951402E-2</v>
      </c>
      <c r="J11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0.41609574218663664</v>
      </c>
      <c r="K11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-0.20414738967609258</v>
      </c>
      <c r="L113" s="69">
        <f>SUM(ScenariosCombined[[#This Row],[SPY]:[VNQ]])</f>
        <v>0.89999999999999991</v>
      </c>
      <c r="M113" s="69">
        <f>SUM(ScenariosCombined[[#This Row],[SPY]:[PE]])</f>
        <v>0.99999999999999989</v>
      </c>
      <c r="N113" s="71" t="b">
        <f>ScenariosCombined[[#This Row],[SPY]]&gt;=SpyMin</f>
        <v>1</v>
      </c>
      <c r="O113" s="71" t="b">
        <f>ScenariosCombined[[#This Row],[AGG]]&gt;=AGGMin</f>
        <v>1</v>
      </c>
      <c r="P113" s="71" t="b">
        <f>AND(ScenariosCombined[[#This Row],[GLD]]&gt;=GLDMin,ScenariosCombined[[#This Row],[GLD]]&lt;=GLDMax)</f>
        <v>1</v>
      </c>
      <c r="Q113" s="71" t="b">
        <f>ScenariosCombined[[#This Row],[VNQ]]&gt;=VNQMin</f>
        <v>1</v>
      </c>
      <c r="R113" s="71" t="b">
        <f>AND(ScenariosCombined[[#This Row],[PE]]&gt;=PEMin,ScenariosCombined[[#This Row],[PE]]&lt;=PEMax)</f>
        <v>1</v>
      </c>
      <c r="S113" s="71" t="b">
        <f>ScenariosCombined[[#This Row],[Liquid Assets]]&gt;=LiquidMin</f>
        <v>1</v>
      </c>
      <c r="T113" s="71" t="b">
        <f>AND(ScenariosCombined[[#This Row],[Expected Return]]&gt;=ExpectedReturnMin,ScenariosCombined[[#This Row],[Expected Return]]&lt;=ExpectedReturnMax)</f>
        <v>1</v>
      </c>
      <c r="U113" s="71" t="b">
        <f>ScenariosCombined[[#This Row],[Max Drawdown]]&gt;=DrawdownMax</f>
        <v>0</v>
      </c>
      <c r="V11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13" s="46" t="str">
        <f>ScenariosCombined[[#This Row],[Sharpe Rank]]</f>
        <v/>
      </c>
      <c r="X113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1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35/15/10/30/10</v>
      </c>
      <c r="Z113" t="str">
        <f>_xlfn.XLOOKUP(ScenariosCombined[[#This Row],[Reference '#]],Scenarios1[Reference '#],Scenarios1[Sharpe Rank])</f>
        <v/>
      </c>
      <c r="AA113" t="str">
        <f>_xlfn.XLOOKUP(ScenariosCombined[[#This Row],[Reference '#]],Scenarios2[Reference '#],Scenarios2[Sharpe Rank])</f>
        <v/>
      </c>
      <c r="AB113" t="str">
        <f>_xlfn.XLOOKUP(ScenariosCombined[[#This Row],[Reference '#]],Scenarios3[Reference '#],Scenarios3[Sharpe Rank])</f>
        <v/>
      </c>
      <c r="AD113" s="34"/>
      <c r="AE113" s="34"/>
      <c r="AI113" s="15"/>
    </row>
    <row r="114" spans="2:35" x14ac:dyDescent="0.2">
      <c r="B114" s="44">
        <v>133</v>
      </c>
      <c r="C114" s="68">
        <v>0.25</v>
      </c>
      <c r="D114" s="69">
        <v>0.15</v>
      </c>
      <c r="E114" s="69">
        <v>0.2</v>
      </c>
      <c r="F114" s="69">
        <v>0.3</v>
      </c>
      <c r="G114" s="69">
        <v>0.1</v>
      </c>
      <c r="H11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8.5965748923401031E-2</v>
      </c>
      <c r="I11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9.3663814399930836E-2</v>
      </c>
      <c r="J11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0.41595779135676808</v>
      </c>
      <c r="K11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-0.18970169674832826</v>
      </c>
      <c r="L114" s="69">
        <f>SUM(ScenariosCombined[[#This Row],[SPY]:[VNQ]])</f>
        <v>0.90000000000000013</v>
      </c>
      <c r="M114" s="69">
        <f>SUM(ScenariosCombined[[#This Row],[SPY]:[PE]])</f>
        <v>1.0000000000000002</v>
      </c>
      <c r="N114" s="71" t="b">
        <f>ScenariosCombined[[#This Row],[SPY]]&gt;=SpyMin</f>
        <v>1</v>
      </c>
      <c r="O114" s="71" t="b">
        <f>ScenariosCombined[[#This Row],[AGG]]&gt;=AGGMin</f>
        <v>1</v>
      </c>
      <c r="P114" s="71" t="b">
        <f>AND(ScenariosCombined[[#This Row],[GLD]]&gt;=GLDMin,ScenariosCombined[[#This Row],[GLD]]&lt;=GLDMax)</f>
        <v>1</v>
      </c>
      <c r="Q114" s="71" t="b">
        <f>ScenariosCombined[[#This Row],[VNQ]]&gt;=VNQMin</f>
        <v>1</v>
      </c>
      <c r="R114" s="71" t="b">
        <f>AND(ScenariosCombined[[#This Row],[PE]]&gt;=PEMin,ScenariosCombined[[#This Row],[PE]]&lt;=PEMax)</f>
        <v>1</v>
      </c>
      <c r="S114" s="71" t="b">
        <f>ScenariosCombined[[#This Row],[Liquid Assets]]&gt;=LiquidMin</f>
        <v>1</v>
      </c>
      <c r="T114" s="71" t="b">
        <f>AND(ScenariosCombined[[#This Row],[Expected Return]]&gt;=ExpectedReturnMin,ScenariosCombined[[#This Row],[Expected Return]]&lt;=ExpectedReturnMax)</f>
        <v>1</v>
      </c>
      <c r="U114" s="71" t="b">
        <f>ScenariosCombined[[#This Row],[Max Drawdown]]&gt;=DrawdownMax</f>
        <v>1</v>
      </c>
      <c r="V11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4" s="46">
        <f>ScenariosCombined[[#This Row],[Sharpe Rank]]</f>
        <v>90</v>
      </c>
      <c r="X11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90</v>
      </c>
      <c r="Y11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25/15/20/30/10</v>
      </c>
      <c r="Z114">
        <f>_xlfn.XLOOKUP(ScenariosCombined[[#This Row],[Reference '#]],Scenarios1[Reference '#],Scenarios1[Sharpe Rank])</f>
        <v>89</v>
      </c>
      <c r="AA114">
        <f>_xlfn.XLOOKUP(ScenariosCombined[[#This Row],[Reference '#]],Scenarios2[Reference '#],Scenarios2[Sharpe Rank])</f>
        <v>88</v>
      </c>
      <c r="AB114">
        <f>_xlfn.XLOOKUP(ScenariosCombined[[#This Row],[Reference '#]],Scenarios3[Reference '#],Scenarios3[Sharpe Rank])</f>
        <v>87</v>
      </c>
      <c r="AD114" s="34"/>
      <c r="AE114" s="34"/>
      <c r="AI114" s="15"/>
    </row>
    <row r="115" spans="2:35" x14ac:dyDescent="0.2">
      <c r="B115" s="44">
        <v>69</v>
      </c>
      <c r="C115" s="68">
        <v>0.3</v>
      </c>
      <c r="D115" s="69">
        <v>0.3</v>
      </c>
      <c r="E115" s="69">
        <v>0.1</v>
      </c>
      <c r="F115" s="69">
        <v>0.15</v>
      </c>
      <c r="G115" s="69">
        <v>0.15</v>
      </c>
      <c r="H11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7.8849062137705317E-2</v>
      </c>
      <c r="I11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7.7470698579904629E-2</v>
      </c>
      <c r="J11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0.41103936282833198</v>
      </c>
      <c r="K11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-0.16949431138552595</v>
      </c>
      <c r="L115" s="69">
        <f>SUM(ScenariosCombined[[#This Row],[SPY]:[VNQ]])</f>
        <v>0.85</v>
      </c>
      <c r="M115" s="69">
        <f>SUM(ScenariosCombined[[#This Row],[SPY]:[PE]])</f>
        <v>1</v>
      </c>
      <c r="N115" s="71" t="b">
        <f>ScenariosCombined[[#This Row],[SPY]]&gt;=SpyMin</f>
        <v>1</v>
      </c>
      <c r="O115" s="71" t="b">
        <f>ScenariosCombined[[#This Row],[AGG]]&gt;=AGGMin</f>
        <v>1</v>
      </c>
      <c r="P115" s="71" t="b">
        <f>AND(ScenariosCombined[[#This Row],[GLD]]&gt;=GLDMin,ScenariosCombined[[#This Row],[GLD]]&lt;=GLDMax)</f>
        <v>1</v>
      </c>
      <c r="Q115" s="71" t="b">
        <f>ScenariosCombined[[#This Row],[VNQ]]&gt;=VNQMin</f>
        <v>1</v>
      </c>
      <c r="R115" s="71" t="b">
        <f>AND(ScenariosCombined[[#This Row],[PE]]&gt;=PEMin,ScenariosCombined[[#This Row],[PE]]&lt;=PEMax)</f>
        <v>1</v>
      </c>
      <c r="S115" s="71" t="b">
        <f>ScenariosCombined[[#This Row],[Liquid Assets]]&gt;=LiquidMin</f>
        <v>1</v>
      </c>
      <c r="T115" s="71" t="b">
        <f>AND(ScenariosCombined[[#This Row],[Expected Return]]&gt;=ExpectedReturnMin,ScenariosCombined[[#This Row],[Expected Return]]&lt;=ExpectedReturnMax)</f>
        <v>1</v>
      </c>
      <c r="U115" s="71" t="b">
        <f>ScenariosCombined[[#This Row],[Max Drawdown]]&gt;=DrawdownMax</f>
        <v>1</v>
      </c>
      <c r="V11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5" s="46">
        <f>ScenariosCombined[[#This Row],[Sharpe Rank]]</f>
        <v>91</v>
      </c>
      <c r="X11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91</v>
      </c>
      <c r="Y11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30/30/10/15/15</v>
      </c>
      <c r="Z115">
        <f>_xlfn.XLOOKUP(ScenariosCombined[[#This Row],[Reference '#]],Scenarios1[Reference '#],Scenarios1[Sharpe Rank])</f>
        <v>92</v>
      </c>
      <c r="AA115">
        <f>_xlfn.XLOOKUP(ScenariosCombined[[#This Row],[Reference '#]],Scenarios2[Reference '#],Scenarios2[Sharpe Rank])</f>
        <v>91</v>
      </c>
      <c r="AB115">
        <f>_xlfn.XLOOKUP(ScenariosCombined[[#This Row],[Reference '#]],Scenarios3[Reference '#],Scenarios3[Sharpe Rank])</f>
        <v>79</v>
      </c>
      <c r="AD115" s="34"/>
      <c r="AE115" s="34"/>
      <c r="AI115" s="15"/>
    </row>
    <row r="116" spans="2:35" x14ac:dyDescent="0.2">
      <c r="B116" s="44">
        <v>110</v>
      </c>
      <c r="C116" s="68">
        <v>0.25</v>
      </c>
      <c r="D116" s="69">
        <v>0.3</v>
      </c>
      <c r="E116" s="69">
        <v>0.15</v>
      </c>
      <c r="F116" s="69">
        <v>0.15</v>
      </c>
      <c r="G116" s="69">
        <v>0.15</v>
      </c>
      <c r="H11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7.7741287363936151E-2</v>
      </c>
      <c r="I11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7.4873394293789045E-2</v>
      </c>
      <c r="J11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0.41050271726401766</v>
      </c>
      <c r="K11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-0.16218772982575114</v>
      </c>
      <c r="L116" s="69">
        <f>SUM(ScenariosCombined[[#This Row],[SPY]:[VNQ]])</f>
        <v>0.85000000000000009</v>
      </c>
      <c r="M116" s="69">
        <f>SUM(ScenariosCombined[[#This Row],[SPY]:[PE]])</f>
        <v>1</v>
      </c>
      <c r="N116" s="71" t="b">
        <f>ScenariosCombined[[#This Row],[SPY]]&gt;=SpyMin</f>
        <v>1</v>
      </c>
      <c r="O116" s="71" t="b">
        <f>ScenariosCombined[[#This Row],[AGG]]&gt;=AGGMin</f>
        <v>1</v>
      </c>
      <c r="P116" s="71" t="b">
        <f>AND(ScenariosCombined[[#This Row],[GLD]]&gt;=GLDMin,ScenariosCombined[[#This Row],[GLD]]&lt;=GLDMax)</f>
        <v>1</v>
      </c>
      <c r="Q116" s="71" t="b">
        <f>ScenariosCombined[[#This Row],[VNQ]]&gt;=VNQMin</f>
        <v>1</v>
      </c>
      <c r="R116" s="71" t="b">
        <f>AND(ScenariosCombined[[#This Row],[PE]]&gt;=PEMin,ScenariosCombined[[#This Row],[PE]]&lt;=PEMax)</f>
        <v>1</v>
      </c>
      <c r="S116" s="71" t="b">
        <f>ScenariosCombined[[#This Row],[Liquid Assets]]&gt;=LiquidMin</f>
        <v>1</v>
      </c>
      <c r="T116" s="71" t="b">
        <f>AND(ScenariosCombined[[#This Row],[Expected Return]]&gt;=ExpectedReturnMin,ScenariosCombined[[#This Row],[Expected Return]]&lt;=ExpectedReturnMax)</f>
        <v>1</v>
      </c>
      <c r="U116" s="71" t="b">
        <f>ScenariosCombined[[#This Row],[Max Drawdown]]&gt;=DrawdownMax</f>
        <v>1</v>
      </c>
      <c r="V11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6" s="46">
        <f>ScenariosCombined[[#This Row],[Sharpe Rank]]</f>
        <v>92</v>
      </c>
      <c r="X11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92</v>
      </c>
      <c r="Y11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25/30/15/15/15</v>
      </c>
      <c r="Z116">
        <f>_xlfn.XLOOKUP(ScenariosCombined[[#This Row],[Reference '#]],Scenarios1[Reference '#],Scenarios1[Sharpe Rank])</f>
        <v>93</v>
      </c>
      <c r="AA116">
        <f>_xlfn.XLOOKUP(ScenariosCombined[[#This Row],[Reference '#]],Scenarios2[Reference '#],Scenarios2[Sharpe Rank])</f>
        <v>92</v>
      </c>
      <c r="AB116">
        <f>_xlfn.XLOOKUP(ScenariosCombined[[#This Row],[Reference '#]],Scenarios3[Reference '#],Scenarios3[Sharpe Rank])</f>
        <v>78</v>
      </c>
      <c r="AD116" s="34"/>
      <c r="AE116" s="34"/>
      <c r="AI116" s="15"/>
    </row>
    <row r="117" spans="2:35" x14ac:dyDescent="0.2">
      <c r="B117" s="44">
        <v>77</v>
      </c>
      <c r="C117" s="68">
        <v>0.3</v>
      </c>
      <c r="D117" s="69">
        <v>0.25</v>
      </c>
      <c r="E117" s="69">
        <v>0.1</v>
      </c>
      <c r="F117" s="69">
        <v>0.2</v>
      </c>
      <c r="G117" s="69">
        <v>0.15</v>
      </c>
      <c r="H11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8.0432801483868777E-2</v>
      </c>
      <c r="I11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8.2783412908292858E-2</v>
      </c>
      <c r="J11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0.40379159005371995</v>
      </c>
      <c r="K11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-0.1772423898155604</v>
      </c>
      <c r="L117" s="69">
        <f>SUM(ScenariosCombined[[#This Row],[SPY]:[VNQ]])</f>
        <v>0.85000000000000009</v>
      </c>
      <c r="M117" s="69">
        <f>SUM(ScenariosCombined[[#This Row],[SPY]:[PE]])</f>
        <v>1</v>
      </c>
      <c r="N117" s="71" t="b">
        <f>ScenariosCombined[[#This Row],[SPY]]&gt;=SpyMin</f>
        <v>1</v>
      </c>
      <c r="O117" s="71" t="b">
        <f>ScenariosCombined[[#This Row],[AGG]]&gt;=AGGMin</f>
        <v>1</v>
      </c>
      <c r="P117" s="71" t="b">
        <f>AND(ScenariosCombined[[#This Row],[GLD]]&gt;=GLDMin,ScenariosCombined[[#This Row],[GLD]]&lt;=GLDMax)</f>
        <v>1</v>
      </c>
      <c r="Q117" s="71" t="b">
        <f>ScenariosCombined[[#This Row],[VNQ]]&gt;=VNQMin</f>
        <v>1</v>
      </c>
      <c r="R117" s="71" t="b">
        <f>AND(ScenariosCombined[[#This Row],[PE]]&gt;=PEMin,ScenariosCombined[[#This Row],[PE]]&lt;=PEMax)</f>
        <v>1</v>
      </c>
      <c r="S117" s="71" t="b">
        <f>ScenariosCombined[[#This Row],[Liquid Assets]]&gt;=LiquidMin</f>
        <v>1</v>
      </c>
      <c r="T117" s="71" t="b">
        <f>AND(ScenariosCombined[[#This Row],[Expected Return]]&gt;=ExpectedReturnMin,ScenariosCombined[[#This Row],[Expected Return]]&lt;=ExpectedReturnMax)</f>
        <v>1</v>
      </c>
      <c r="U117" s="71" t="b">
        <f>ScenariosCombined[[#This Row],[Max Drawdown]]&gt;=DrawdownMax</f>
        <v>1</v>
      </c>
      <c r="V11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7" s="46">
        <f>ScenariosCombined[[#This Row],[Sharpe Rank]]</f>
        <v>93</v>
      </c>
      <c r="X11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93</v>
      </c>
      <c r="Y11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30/25/10/20/15</v>
      </c>
      <c r="Z117">
        <f>_xlfn.XLOOKUP(ScenariosCombined[[#This Row],[Reference '#]],Scenarios1[Reference '#],Scenarios1[Sharpe Rank])</f>
        <v>94</v>
      </c>
      <c r="AA117">
        <f>_xlfn.XLOOKUP(ScenariosCombined[[#This Row],[Reference '#]],Scenarios2[Reference '#],Scenarios2[Sharpe Rank])</f>
        <v>93</v>
      </c>
      <c r="AB117">
        <f>_xlfn.XLOOKUP(ScenariosCombined[[#This Row],[Reference '#]],Scenarios3[Reference '#],Scenarios3[Sharpe Rank])</f>
        <v>84</v>
      </c>
      <c r="AD117" s="34"/>
      <c r="AE117" s="34"/>
      <c r="AI117" s="15"/>
    </row>
    <row r="118" spans="2:35" x14ac:dyDescent="0.2">
      <c r="B118" s="44">
        <v>119</v>
      </c>
      <c r="C118" s="68">
        <v>0.25</v>
      </c>
      <c r="D118" s="69">
        <v>0.25</v>
      </c>
      <c r="E118" s="69">
        <v>0.15</v>
      </c>
      <c r="F118" s="69">
        <v>0.2</v>
      </c>
      <c r="G118" s="69">
        <v>0.15</v>
      </c>
      <c r="H11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7.9325026710099611E-2</v>
      </c>
      <c r="I11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8.0066740946730747E-2</v>
      </c>
      <c r="J11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0.40365663410786939</v>
      </c>
      <c r="K11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-0.16995388779893417</v>
      </c>
      <c r="L118" s="69">
        <f>SUM(ScenariosCombined[[#This Row],[SPY]:[VNQ]])</f>
        <v>0.85000000000000009</v>
      </c>
      <c r="M118" s="69">
        <f>SUM(ScenariosCombined[[#This Row],[SPY]:[PE]])</f>
        <v>1</v>
      </c>
      <c r="N118" s="71" t="b">
        <f>ScenariosCombined[[#This Row],[SPY]]&gt;=SpyMin</f>
        <v>1</v>
      </c>
      <c r="O118" s="71" t="b">
        <f>ScenariosCombined[[#This Row],[AGG]]&gt;=AGGMin</f>
        <v>1</v>
      </c>
      <c r="P118" s="71" t="b">
        <f>AND(ScenariosCombined[[#This Row],[GLD]]&gt;=GLDMin,ScenariosCombined[[#This Row],[GLD]]&lt;=GLDMax)</f>
        <v>1</v>
      </c>
      <c r="Q118" s="71" t="b">
        <f>ScenariosCombined[[#This Row],[VNQ]]&gt;=VNQMin</f>
        <v>1</v>
      </c>
      <c r="R118" s="71" t="b">
        <f>AND(ScenariosCombined[[#This Row],[PE]]&gt;=PEMin,ScenariosCombined[[#This Row],[PE]]&lt;=PEMax)</f>
        <v>1</v>
      </c>
      <c r="S118" s="71" t="b">
        <f>ScenariosCombined[[#This Row],[Liquid Assets]]&gt;=LiquidMin</f>
        <v>1</v>
      </c>
      <c r="T118" s="71" t="b">
        <f>AND(ScenariosCombined[[#This Row],[Expected Return]]&gt;=ExpectedReturnMin,ScenariosCombined[[#This Row],[Expected Return]]&lt;=ExpectedReturnMax)</f>
        <v>1</v>
      </c>
      <c r="U118" s="71" t="b">
        <f>ScenariosCombined[[#This Row],[Max Drawdown]]&gt;=DrawdownMax</f>
        <v>1</v>
      </c>
      <c r="V11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8" s="46">
        <f>ScenariosCombined[[#This Row],[Sharpe Rank]]</f>
        <v>94</v>
      </c>
      <c r="X11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94</v>
      </c>
      <c r="Y11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25/25/15/20/15</v>
      </c>
      <c r="Z118">
        <f>_xlfn.XLOOKUP(ScenariosCombined[[#This Row],[Reference '#]],Scenarios1[Reference '#],Scenarios1[Sharpe Rank])</f>
        <v>95</v>
      </c>
      <c r="AA118">
        <f>_xlfn.XLOOKUP(ScenariosCombined[[#This Row],[Reference '#]],Scenarios2[Reference '#],Scenarios2[Sharpe Rank])</f>
        <v>94</v>
      </c>
      <c r="AB118">
        <f>_xlfn.XLOOKUP(ScenariosCombined[[#This Row],[Reference '#]],Scenarios3[Reference '#],Scenarios3[Sharpe Rank])</f>
        <v>83</v>
      </c>
      <c r="AD118" s="34"/>
      <c r="AE118" s="34"/>
      <c r="AI118" s="15"/>
    </row>
    <row r="119" spans="2:35" x14ac:dyDescent="0.2">
      <c r="B119" s="44">
        <v>128</v>
      </c>
      <c r="C119" s="68">
        <v>0.25</v>
      </c>
      <c r="D119" s="69">
        <v>0.2</v>
      </c>
      <c r="E119" s="69">
        <v>0.15</v>
      </c>
      <c r="F119" s="69">
        <v>0.25</v>
      </c>
      <c r="G119" s="69">
        <v>0.15</v>
      </c>
      <c r="H11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8.0908766056263084E-2</v>
      </c>
      <c r="I11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8.5453208050162058E-2</v>
      </c>
      <c r="J11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0.39674590661132275</v>
      </c>
      <c r="K11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-0.17771921926106304</v>
      </c>
      <c r="L119" s="69">
        <f>SUM(ScenariosCombined[[#This Row],[SPY]:[VNQ]])</f>
        <v>0.85</v>
      </c>
      <c r="M119" s="69">
        <f>SUM(ScenariosCombined[[#This Row],[SPY]:[PE]])</f>
        <v>1</v>
      </c>
      <c r="N119" s="71" t="b">
        <f>ScenariosCombined[[#This Row],[SPY]]&gt;=SpyMin</f>
        <v>1</v>
      </c>
      <c r="O119" s="71" t="b">
        <f>ScenariosCombined[[#This Row],[AGG]]&gt;=AGGMin</f>
        <v>1</v>
      </c>
      <c r="P119" s="71" t="b">
        <f>AND(ScenariosCombined[[#This Row],[GLD]]&gt;=GLDMin,ScenariosCombined[[#This Row],[GLD]]&lt;=GLDMax)</f>
        <v>1</v>
      </c>
      <c r="Q119" s="71" t="b">
        <f>ScenariosCombined[[#This Row],[VNQ]]&gt;=VNQMin</f>
        <v>1</v>
      </c>
      <c r="R119" s="71" t="b">
        <f>AND(ScenariosCombined[[#This Row],[PE]]&gt;=PEMin,ScenariosCombined[[#This Row],[PE]]&lt;=PEMax)</f>
        <v>1</v>
      </c>
      <c r="S119" s="71" t="b">
        <f>ScenariosCombined[[#This Row],[Liquid Assets]]&gt;=LiquidMin</f>
        <v>1</v>
      </c>
      <c r="T119" s="71" t="b">
        <f>AND(ScenariosCombined[[#This Row],[Expected Return]]&gt;=ExpectedReturnMin,ScenariosCombined[[#This Row],[Expected Return]]&lt;=ExpectedReturnMax)</f>
        <v>1</v>
      </c>
      <c r="U119" s="71" t="b">
        <f>ScenariosCombined[[#This Row],[Max Drawdown]]&gt;=DrawdownMax</f>
        <v>1</v>
      </c>
      <c r="V11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19" s="46">
        <f>ScenariosCombined[[#This Row],[Sharpe Rank]]</f>
        <v>95</v>
      </c>
      <c r="X11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95</v>
      </c>
      <c r="Y11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25/20/15/25/15</v>
      </c>
      <c r="Z119">
        <f>_xlfn.XLOOKUP(ScenariosCombined[[#This Row],[Reference '#]],Scenarios1[Reference '#],Scenarios1[Sharpe Rank])</f>
        <v>97</v>
      </c>
      <c r="AA119">
        <f>_xlfn.XLOOKUP(ScenariosCombined[[#This Row],[Reference '#]],Scenarios2[Reference '#],Scenarios2[Sharpe Rank])</f>
        <v>96</v>
      </c>
      <c r="AB119">
        <f>_xlfn.XLOOKUP(ScenariosCombined[[#This Row],[Reference '#]],Scenarios3[Reference '#],Scenarios3[Sharpe Rank])</f>
        <v>88</v>
      </c>
      <c r="AD119" s="34"/>
      <c r="AE119" s="34"/>
      <c r="AI119" s="15"/>
    </row>
    <row r="120" spans="2:35" x14ac:dyDescent="0.2">
      <c r="B120" s="44">
        <v>86</v>
      </c>
      <c r="C120" s="68">
        <v>0.3</v>
      </c>
      <c r="D120" s="69">
        <v>0.2</v>
      </c>
      <c r="E120" s="69">
        <v>0.1</v>
      </c>
      <c r="F120" s="69">
        <v>0.25</v>
      </c>
      <c r="G120" s="69">
        <v>0.15</v>
      </c>
      <c r="H12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8.2016540830032236E-2</v>
      </c>
      <c r="I12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8.8268837618420512E-2</v>
      </c>
      <c r="J12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0.39664037976603383</v>
      </c>
      <c r="K12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-0.1849888286940925</v>
      </c>
      <c r="L120" s="69">
        <f>SUM(ScenariosCombined[[#This Row],[SPY]:[VNQ]])</f>
        <v>0.85</v>
      </c>
      <c r="M120" s="69">
        <f>SUM(ScenariosCombined[[#This Row],[SPY]:[PE]])</f>
        <v>1</v>
      </c>
      <c r="N120" s="71" t="b">
        <f>ScenariosCombined[[#This Row],[SPY]]&gt;=SpyMin</f>
        <v>1</v>
      </c>
      <c r="O120" s="71" t="b">
        <f>ScenariosCombined[[#This Row],[AGG]]&gt;=AGGMin</f>
        <v>1</v>
      </c>
      <c r="P120" s="71" t="b">
        <f>AND(ScenariosCombined[[#This Row],[GLD]]&gt;=GLDMin,ScenariosCombined[[#This Row],[GLD]]&lt;=GLDMax)</f>
        <v>1</v>
      </c>
      <c r="Q120" s="71" t="b">
        <f>ScenariosCombined[[#This Row],[VNQ]]&gt;=VNQMin</f>
        <v>1</v>
      </c>
      <c r="R120" s="71" t="b">
        <f>AND(ScenariosCombined[[#This Row],[PE]]&gt;=PEMin,ScenariosCombined[[#This Row],[PE]]&lt;=PEMax)</f>
        <v>1</v>
      </c>
      <c r="S120" s="71" t="b">
        <f>ScenariosCombined[[#This Row],[Liquid Assets]]&gt;=LiquidMin</f>
        <v>1</v>
      </c>
      <c r="T120" s="71" t="b">
        <f>AND(ScenariosCombined[[#This Row],[Expected Return]]&gt;=ExpectedReturnMin,ScenariosCombined[[#This Row],[Expected Return]]&lt;=ExpectedReturnMax)</f>
        <v>1</v>
      </c>
      <c r="U120" s="71" t="b">
        <f>ScenariosCombined[[#This Row],[Max Drawdown]]&gt;=DrawdownMax</f>
        <v>1</v>
      </c>
      <c r="V12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20" s="46">
        <f>ScenariosCombined[[#This Row],[Sharpe Rank]]</f>
        <v>96</v>
      </c>
      <c r="X12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96</v>
      </c>
      <c r="Y12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30/20/10/25/15</v>
      </c>
      <c r="Z120">
        <f>_xlfn.XLOOKUP(ScenariosCombined[[#This Row],[Reference '#]],Scenarios1[Reference '#],Scenarios1[Sharpe Rank])</f>
        <v>96</v>
      </c>
      <c r="AA120">
        <f>_xlfn.XLOOKUP(ScenariosCombined[[#This Row],[Reference '#]],Scenarios2[Reference '#],Scenarios2[Sharpe Rank])</f>
        <v>95</v>
      </c>
      <c r="AB120">
        <f>_xlfn.XLOOKUP(ScenariosCombined[[#This Row],[Reference '#]],Scenarios3[Reference '#],Scenarios3[Sharpe Rank])</f>
        <v>89</v>
      </c>
      <c r="AD120" s="34"/>
      <c r="AE120" s="34"/>
      <c r="AI120" s="15"/>
    </row>
    <row r="121" spans="2:35" x14ac:dyDescent="0.2">
      <c r="B121" s="44">
        <v>137</v>
      </c>
      <c r="C121" s="68">
        <v>0.25</v>
      </c>
      <c r="D121" s="69">
        <v>0.15</v>
      </c>
      <c r="E121" s="69">
        <v>0.15</v>
      </c>
      <c r="F121" s="69">
        <v>0.3</v>
      </c>
      <c r="G121" s="69">
        <v>0.15</v>
      </c>
      <c r="H12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8.2492505402426544E-2</v>
      </c>
      <c r="I12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9.0998507975534285E-2</v>
      </c>
      <c r="J12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0.38997287577958928</v>
      </c>
      <c r="K12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-0.18548259409266865</v>
      </c>
      <c r="L121" s="69">
        <f>SUM(ScenariosCombined[[#This Row],[SPY]:[VNQ]])</f>
        <v>0.85000000000000009</v>
      </c>
      <c r="M121" s="69">
        <f>SUM(ScenariosCombined[[#This Row],[SPY]:[PE]])</f>
        <v>1</v>
      </c>
      <c r="N121" s="71" t="b">
        <f>ScenariosCombined[[#This Row],[SPY]]&gt;=SpyMin</f>
        <v>1</v>
      </c>
      <c r="O121" s="71" t="b">
        <f>ScenariosCombined[[#This Row],[AGG]]&gt;=AGGMin</f>
        <v>1</v>
      </c>
      <c r="P121" s="71" t="b">
        <f>AND(ScenariosCombined[[#This Row],[GLD]]&gt;=GLDMin,ScenariosCombined[[#This Row],[GLD]]&lt;=GLDMax)</f>
        <v>1</v>
      </c>
      <c r="Q121" s="71" t="b">
        <f>ScenariosCombined[[#This Row],[VNQ]]&gt;=VNQMin</f>
        <v>1</v>
      </c>
      <c r="R121" s="71" t="b">
        <f>AND(ScenariosCombined[[#This Row],[PE]]&gt;=PEMin,ScenariosCombined[[#This Row],[PE]]&lt;=PEMax)</f>
        <v>1</v>
      </c>
      <c r="S121" s="71" t="b">
        <f>ScenariosCombined[[#This Row],[Liquid Assets]]&gt;=LiquidMin</f>
        <v>1</v>
      </c>
      <c r="T121" s="71" t="b">
        <f>AND(ScenariosCombined[[#This Row],[Expected Return]]&gt;=ExpectedReturnMin,ScenariosCombined[[#This Row],[Expected Return]]&lt;=ExpectedReturnMax)</f>
        <v>1</v>
      </c>
      <c r="U121" s="71" t="b">
        <f>ScenariosCombined[[#This Row],[Max Drawdown]]&gt;=DrawdownMax</f>
        <v>1</v>
      </c>
      <c r="V12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21" s="46">
        <f>ScenariosCombined[[#This Row],[Sharpe Rank]]</f>
        <v>97</v>
      </c>
      <c r="X12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97</v>
      </c>
      <c r="Y12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25/15/15/30/15</v>
      </c>
      <c r="Z121">
        <f>_xlfn.XLOOKUP(ScenariosCombined[[#This Row],[Reference '#]],Scenarios1[Reference '#],Scenarios1[Sharpe Rank])</f>
        <v>99</v>
      </c>
      <c r="AA121">
        <f>_xlfn.XLOOKUP(ScenariosCombined[[#This Row],[Reference '#]],Scenarios2[Reference '#],Scenarios2[Sharpe Rank])</f>
        <v>98</v>
      </c>
      <c r="AB121">
        <f>_xlfn.XLOOKUP(ScenariosCombined[[#This Row],[Reference '#]],Scenarios3[Reference '#],Scenarios3[Sharpe Rank])</f>
        <v>91</v>
      </c>
      <c r="AD121" s="34"/>
      <c r="AE121" s="34"/>
      <c r="AI121" s="15"/>
    </row>
    <row r="122" spans="2:35" x14ac:dyDescent="0.2">
      <c r="B122" s="44">
        <v>95</v>
      </c>
      <c r="C122" s="68">
        <v>0.3</v>
      </c>
      <c r="D122" s="69">
        <v>0.15</v>
      </c>
      <c r="E122" s="69">
        <v>0.1</v>
      </c>
      <c r="F122" s="69">
        <v>0.3</v>
      </c>
      <c r="G122" s="69">
        <v>0.15</v>
      </c>
      <c r="H12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8.3600280176195696E-2</v>
      </c>
      <c r="I12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9.3896708481953542E-2</v>
      </c>
      <c r="J12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0.38973383851547333</v>
      </c>
      <c r="K12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-0.19273250958379395</v>
      </c>
      <c r="L122" s="69">
        <f>SUM(ScenariosCombined[[#This Row],[SPY]:[VNQ]])</f>
        <v>0.84999999999999987</v>
      </c>
      <c r="M122" s="69">
        <f>SUM(ScenariosCombined[[#This Row],[SPY]:[PE]])</f>
        <v>0.99999999999999989</v>
      </c>
      <c r="N122" s="71" t="b">
        <f>ScenariosCombined[[#This Row],[SPY]]&gt;=SpyMin</f>
        <v>1</v>
      </c>
      <c r="O122" s="71" t="b">
        <f>ScenariosCombined[[#This Row],[AGG]]&gt;=AGGMin</f>
        <v>1</v>
      </c>
      <c r="P122" s="71" t="b">
        <f>AND(ScenariosCombined[[#This Row],[GLD]]&gt;=GLDMin,ScenariosCombined[[#This Row],[GLD]]&lt;=GLDMax)</f>
        <v>1</v>
      </c>
      <c r="Q122" s="71" t="b">
        <f>ScenariosCombined[[#This Row],[VNQ]]&gt;=VNQMin</f>
        <v>1</v>
      </c>
      <c r="R122" s="71" t="b">
        <f>AND(ScenariosCombined[[#This Row],[PE]]&gt;=PEMin,ScenariosCombined[[#This Row],[PE]]&lt;=PEMax)</f>
        <v>1</v>
      </c>
      <c r="S122" s="71" t="b">
        <f>ScenariosCombined[[#This Row],[Liquid Assets]]&gt;=LiquidMin</f>
        <v>1</v>
      </c>
      <c r="T122" s="71" t="b">
        <f>AND(ScenariosCombined[[#This Row],[Expected Return]]&gt;=ExpectedReturnMin,ScenariosCombined[[#This Row],[Expected Return]]&lt;=ExpectedReturnMax)</f>
        <v>1</v>
      </c>
      <c r="U122" s="71" t="b">
        <f>ScenariosCombined[[#This Row],[Max Drawdown]]&gt;=DrawdownMax</f>
        <v>1</v>
      </c>
      <c r="V12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22" s="46">
        <f>ScenariosCombined[[#This Row],[Sharpe Rank]]</f>
        <v>98</v>
      </c>
      <c r="X12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98</v>
      </c>
      <c r="Y12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30/15/10/30/15</v>
      </c>
      <c r="Z122">
        <f>_xlfn.XLOOKUP(ScenariosCombined[[#This Row],[Reference '#]],Scenarios1[Reference '#],Scenarios1[Sharpe Rank])</f>
        <v>98</v>
      </c>
      <c r="AA122">
        <f>_xlfn.XLOOKUP(ScenariosCombined[[#This Row],[Reference '#]],Scenarios2[Reference '#],Scenarios2[Sharpe Rank])</f>
        <v>97</v>
      </c>
      <c r="AB122">
        <f>_xlfn.XLOOKUP(ScenariosCombined[[#This Row],[Reference '#]],Scenarios3[Reference '#],Scenarios3[Sharpe Rank])</f>
        <v>93</v>
      </c>
      <c r="AD122" s="34"/>
      <c r="AE122" s="34"/>
      <c r="AI122" s="15"/>
    </row>
    <row r="123" spans="2:35" x14ac:dyDescent="0.2">
      <c r="B123" s="44">
        <v>106</v>
      </c>
      <c r="C123" s="68">
        <v>0.25</v>
      </c>
      <c r="D123" s="69">
        <v>0.35</v>
      </c>
      <c r="E123" s="69">
        <v>0.1</v>
      </c>
      <c r="F123" s="69">
        <v>0.1</v>
      </c>
      <c r="G123" s="69">
        <v>0.2</v>
      </c>
      <c r="H12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7.2684304496798205E-2</v>
      </c>
      <c r="I12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6.7597003402782796E-2</v>
      </c>
      <c r="J12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0.37987998947576895</v>
      </c>
      <c r="K12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-0.15012807245687076</v>
      </c>
      <c r="L123" s="69">
        <f>SUM(ScenariosCombined[[#This Row],[SPY]:[VNQ]])</f>
        <v>0.79999999999999993</v>
      </c>
      <c r="M123" s="69">
        <f>SUM(ScenariosCombined[[#This Row],[SPY]:[PE]])</f>
        <v>1</v>
      </c>
      <c r="N123" s="71" t="b">
        <f>ScenariosCombined[[#This Row],[SPY]]&gt;=SpyMin</f>
        <v>1</v>
      </c>
      <c r="O123" s="71" t="b">
        <f>ScenariosCombined[[#This Row],[AGG]]&gt;=AGGMin</f>
        <v>1</v>
      </c>
      <c r="P123" s="71" t="b">
        <f>AND(ScenariosCombined[[#This Row],[GLD]]&gt;=GLDMin,ScenariosCombined[[#This Row],[GLD]]&lt;=GLDMax)</f>
        <v>1</v>
      </c>
      <c r="Q123" s="71" t="b">
        <f>ScenariosCombined[[#This Row],[VNQ]]&gt;=VNQMin</f>
        <v>1</v>
      </c>
      <c r="R123" s="71" t="b">
        <f>AND(ScenariosCombined[[#This Row],[PE]]&gt;=PEMin,ScenariosCombined[[#This Row],[PE]]&lt;=PEMax)</f>
        <v>1</v>
      </c>
      <c r="S123" s="71" t="b">
        <f>ScenariosCombined[[#This Row],[Liquid Assets]]&gt;=LiquidMin</f>
        <v>1</v>
      </c>
      <c r="T123" s="71" t="b">
        <f>AND(ScenariosCombined[[#This Row],[Expected Return]]&gt;=ExpectedReturnMin,ScenariosCombined[[#This Row],[Expected Return]]&lt;=ExpectedReturnMax)</f>
        <v>0</v>
      </c>
      <c r="U123" s="71" t="b">
        <f>ScenariosCombined[[#This Row],[Max Drawdown]]&gt;=DrawdownMax</f>
        <v>1</v>
      </c>
      <c r="V12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23" s="46" t="str">
        <f>ScenariosCombined[[#This Row],[Sharpe Rank]]</f>
        <v/>
      </c>
      <c r="X123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2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25/35/10/10/20</v>
      </c>
      <c r="Z123" t="str">
        <f>_xlfn.XLOOKUP(ScenariosCombined[[#This Row],[Reference '#]],Scenarios1[Reference '#],Scenarios1[Sharpe Rank])</f>
        <v/>
      </c>
      <c r="AA123" t="str">
        <f>_xlfn.XLOOKUP(ScenariosCombined[[#This Row],[Reference '#]],Scenarios2[Reference '#],Scenarios2[Sharpe Rank])</f>
        <v/>
      </c>
      <c r="AB123">
        <f>_xlfn.XLOOKUP(ScenariosCombined[[#This Row],[Reference '#]],Scenarios3[Reference '#],Scenarios3[Sharpe Rank])</f>
        <v>85</v>
      </c>
      <c r="AD123" s="34"/>
      <c r="AE123" s="34"/>
      <c r="AI123" s="15"/>
    </row>
    <row r="124" spans="2:35" x14ac:dyDescent="0.2">
      <c r="B124" s="44">
        <v>61</v>
      </c>
      <c r="C124" s="68">
        <v>0.3</v>
      </c>
      <c r="D124" s="69">
        <v>0.4</v>
      </c>
      <c r="E124" s="69">
        <v>0.1</v>
      </c>
      <c r="F124" s="69">
        <v>0.1</v>
      </c>
      <c r="G124" s="69">
        <v>0.1</v>
      </c>
      <c r="H12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7.5163108065276804E-2</v>
      </c>
      <c r="I12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7.4760527273057001E-2</v>
      </c>
      <c r="J12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0.37663662278461452</v>
      </c>
      <c r="K12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-0.16849098057898348</v>
      </c>
      <c r="L124" s="69">
        <f>SUM(ScenariosCombined[[#This Row],[SPY]:[VNQ]])</f>
        <v>0.89999999999999991</v>
      </c>
      <c r="M124" s="69">
        <f>SUM(ScenariosCombined[[#This Row],[SPY]:[PE]])</f>
        <v>0.99999999999999989</v>
      </c>
      <c r="N124" s="71" t="b">
        <f>ScenariosCombined[[#This Row],[SPY]]&gt;=SpyMin</f>
        <v>1</v>
      </c>
      <c r="O124" s="71" t="b">
        <f>ScenariosCombined[[#This Row],[AGG]]&gt;=AGGMin</f>
        <v>1</v>
      </c>
      <c r="P124" s="71" t="b">
        <f>AND(ScenariosCombined[[#This Row],[GLD]]&gt;=GLDMin,ScenariosCombined[[#This Row],[GLD]]&lt;=GLDMax)</f>
        <v>1</v>
      </c>
      <c r="Q124" s="71" t="b">
        <f>ScenariosCombined[[#This Row],[VNQ]]&gt;=VNQMin</f>
        <v>1</v>
      </c>
      <c r="R124" s="71" t="b">
        <f>AND(ScenariosCombined[[#This Row],[PE]]&gt;=PEMin,ScenariosCombined[[#This Row],[PE]]&lt;=PEMax)</f>
        <v>1</v>
      </c>
      <c r="S124" s="71" t="b">
        <f>ScenariosCombined[[#This Row],[Liquid Assets]]&gt;=LiquidMin</f>
        <v>1</v>
      </c>
      <c r="T124" s="71" t="b">
        <f>AND(ScenariosCombined[[#This Row],[Expected Return]]&gt;=ExpectedReturnMin,ScenariosCombined[[#This Row],[Expected Return]]&lt;=ExpectedReturnMax)</f>
        <v>1</v>
      </c>
      <c r="U124" s="71" t="b">
        <f>ScenariosCombined[[#This Row],[Max Drawdown]]&gt;=DrawdownMax</f>
        <v>1</v>
      </c>
      <c r="V12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24" s="46">
        <f>ScenariosCombined[[#This Row],[Sharpe Rank]]</f>
        <v>99</v>
      </c>
      <c r="X12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99</v>
      </c>
      <c r="Y12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30/40/10/10/10</v>
      </c>
      <c r="Z124" t="str">
        <f>_xlfn.XLOOKUP(ScenariosCombined[[#This Row],[Reference '#]],Scenarios1[Reference '#],Scenarios1[Sharpe Rank])</f>
        <v/>
      </c>
      <c r="AA124" t="str">
        <f>_xlfn.XLOOKUP(ScenariosCombined[[#This Row],[Reference '#]],Scenarios2[Reference '#],Scenarios2[Sharpe Rank])</f>
        <v/>
      </c>
      <c r="AB124">
        <f>_xlfn.XLOOKUP(ScenariosCombined[[#This Row],[Reference '#]],Scenarios3[Reference '#],Scenarios3[Sharpe Rank])</f>
        <v>96</v>
      </c>
      <c r="AD124" s="34"/>
      <c r="AE124" s="34"/>
      <c r="AI124" s="15"/>
    </row>
    <row r="125" spans="2:35" x14ac:dyDescent="0.2">
      <c r="B125" s="44">
        <v>114</v>
      </c>
      <c r="C125" s="68">
        <v>0.25</v>
      </c>
      <c r="D125" s="69">
        <v>0.3</v>
      </c>
      <c r="E125" s="69">
        <v>0.1</v>
      </c>
      <c r="F125" s="69">
        <v>0.15</v>
      </c>
      <c r="G125" s="69">
        <v>0.2</v>
      </c>
      <c r="H12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7.4268043842961665E-2</v>
      </c>
      <c r="I12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7.2633590456997646E-2</v>
      </c>
      <c r="J12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0.37534270460644154</v>
      </c>
      <c r="K12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-0.15791202853953867</v>
      </c>
      <c r="L125" s="69">
        <f>SUM(ScenariosCombined[[#This Row],[SPY]:[VNQ]])</f>
        <v>0.8</v>
      </c>
      <c r="M125" s="69">
        <f>SUM(ScenariosCombined[[#This Row],[SPY]:[PE]])</f>
        <v>1</v>
      </c>
      <c r="N125" s="71" t="b">
        <f>ScenariosCombined[[#This Row],[SPY]]&gt;=SpyMin</f>
        <v>1</v>
      </c>
      <c r="O125" s="71" t="b">
        <f>ScenariosCombined[[#This Row],[AGG]]&gt;=AGGMin</f>
        <v>1</v>
      </c>
      <c r="P125" s="71" t="b">
        <f>AND(ScenariosCombined[[#This Row],[GLD]]&gt;=GLDMin,ScenariosCombined[[#This Row],[GLD]]&lt;=GLDMax)</f>
        <v>1</v>
      </c>
      <c r="Q125" s="71" t="b">
        <f>ScenariosCombined[[#This Row],[VNQ]]&gt;=VNQMin</f>
        <v>1</v>
      </c>
      <c r="R125" s="71" t="b">
        <f>AND(ScenariosCombined[[#This Row],[PE]]&gt;=PEMin,ScenariosCombined[[#This Row],[PE]]&lt;=PEMax)</f>
        <v>1</v>
      </c>
      <c r="S125" s="71" t="b">
        <f>ScenariosCombined[[#This Row],[Liquid Assets]]&gt;=LiquidMin</f>
        <v>1</v>
      </c>
      <c r="T125" s="71" t="b">
        <f>AND(ScenariosCombined[[#This Row],[Expected Return]]&gt;=ExpectedReturnMin,ScenariosCombined[[#This Row],[Expected Return]]&lt;=ExpectedReturnMax)</f>
        <v>0</v>
      </c>
      <c r="U125" s="71" t="b">
        <f>ScenariosCombined[[#This Row],[Max Drawdown]]&gt;=DrawdownMax</f>
        <v>1</v>
      </c>
      <c r="V12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25" s="46" t="str">
        <f>ScenariosCombined[[#This Row],[Sharpe Rank]]</f>
        <v/>
      </c>
      <c r="X125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2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25/30/10/15/20</v>
      </c>
      <c r="Z125" t="str">
        <f>_xlfn.XLOOKUP(ScenariosCombined[[#This Row],[Reference '#]],Scenarios1[Reference '#],Scenarios1[Sharpe Rank])</f>
        <v/>
      </c>
      <c r="AA125" t="str">
        <f>_xlfn.XLOOKUP(ScenariosCombined[[#This Row],[Reference '#]],Scenarios2[Reference '#],Scenarios2[Sharpe Rank])</f>
        <v/>
      </c>
      <c r="AB125">
        <f>_xlfn.XLOOKUP(ScenariosCombined[[#This Row],[Reference '#]],Scenarios3[Reference '#],Scenarios3[Sharpe Rank])</f>
        <v>90</v>
      </c>
      <c r="AD125" s="34"/>
      <c r="AE125" s="34"/>
      <c r="AI125" s="15"/>
    </row>
    <row r="126" spans="2:35" x14ac:dyDescent="0.2">
      <c r="B126" s="44">
        <v>98</v>
      </c>
      <c r="C126" s="68">
        <v>0.25</v>
      </c>
      <c r="D126" s="69">
        <v>0.4</v>
      </c>
      <c r="E126" s="69">
        <v>0.15</v>
      </c>
      <c r="F126" s="69">
        <v>0.1</v>
      </c>
      <c r="G126" s="69">
        <v>0.1</v>
      </c>
      <c r="H12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7.4055333291507638E-2</v>
      </c>
      <c r="I12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7.2432035259095945E-2</v>
      </c>
      <c r="J12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0.37345047173108686</v>
      </c>
      <c r="K12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-0.16119168260039207</v>
      </c>
      <c r="L126" s="69">
        <f>SUM(ScenariosCombined[[#This Row],[SPY]:[VNQ]])</f>
        <v>0.9</v>
      </c>
      <c r="M126" s="69">
        <f>SUM(ScenariosCombined[[#This Row],[SPY]:[PE]])</f>
        <v>1</v>
      </c>
      <c r="N126" s="71" t="b">
        <f>ScenariosCombined[[#This Row],[SPY]]&gt;=SpyMin</f>
        <v>1</v>
      </c>
      <c r="O126" s="71" t="b">
        <f>ScenariosCombined[[#This Row],[AGG]]&gt;=AGGMin</f>
        <v>1</v>
      </c>
      <c r="P126" s="71" t="b">
        <f>AND(ScenariosCombined[[#This Row],[GLD]]&gt;=GLDMin,ScenariosCombined[[#This Row],[GLD]]&lt;=GLDMax)</f>
        <v>1</v>
      </c>
      <c r="Q126" s="71" t="b">
        <f>ScenariosCombined[[#This Row],[VNQ]]&gt;=VNQMin</f>
        <v>1</v>
      </c>
      <c r="R126" s="71" t="b">
        <f>AND(ScenariosCombined[[#This Row],[PE]]&gt;=PEMin,ScenariosCombined[[#This Row],[PE]]&lt;=PEMax)</f>
        <v>1</v>
      </c>
      <c r="S126" s="71" t="b">
        <f>ScenariosCombined[[#This Row],[Liquid Assets]]&gt;=LiquidMin</f>
        <v>1</v>
      </c>
      <c r="T126" s="71" t="b">
        <f>AND(ScenariosCombined[[#This Row],[Expected Return]]&gt;=ExpectedReturnMin,ScenariosCombined[[#This Row],[Expected Return]]&lt;=ExpectedReturnMax)</f>
        <v>0</v>
      </c>
      <c r="U126" s="71" t="b">
        <f>ScenariosCombined[[#This Row],[Max Drawdown]]&gt;=DrawdownMax</f>
        <v>1</v>
      </c>
      <c r="V12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26" s="46" t="str">
        <f>ScenariosCombined[[#This Row],[Sharpe Rank]]</f>
        <v/>
      </c>
      <c r="X126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2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25/40/15/10/10</v>
      </c>
      <c r="Z126" t="str">
        <f>_xlfn.XLOOKUP(ScenariosCombined[[#This Row],[Reference '#]],Scenarios1[Reference '#],Scenarios1[Sharpe Rank])</f>
        <v/>
      </c>
      <c r="AA126" t="str">
        <f>_xlfn.XLOOKUP(ScenariosCombined[[#This Row],[Reference '#]],Scenarios2[Reference '#],Scenarios2[Sharpe Rank])</f>
        <v/>
      </c>
      <c r="AB126">
        <f>_xlfn.XLOOKUP(ScenariosCombined[[#This Row],[Reference '#]],Scenarios3[Reference '#],Scenarios3[Sharpe Rank])</f>
        <v>97</v>
      </c>
      <c r="AD126" s="34"/>
      <c r="AE126" s="34"/>
      <c r="AI126" s="15"/>
    </row>
    <row r="127" spans="2:35" x14ac:dyDescent="0.2">
      <c r="B127" s="44">
        <v>63</v>
      </c>
      <c r="C127" s="68">
        <v>0.3</v>
      </c>
      <c r="D127" s="69">
        <v>0.35</v>
      </c>
      <c r="E127" s="69">
        <v>0.1</v>
      </c>
      <c r="F127" s="69">
        <v>0.15</v>
      </c>
      <c r="G127" s="69">
        <v>0.1</v>
      </c>
      <c r="H12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7.6746847411440292E-2</v>
      </c>
      <c r="I12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7.9887578805035941E-2</v>
      </c>
      <c r="J12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0.37228931331700243</v>
      </c>
      <c r="K12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-0.17619937541805675</v>
      </c>
      <c r="L127" s="69">
        <f>SUM(ScenariosCombined[[#This Row],[SPY]:[VNQ]])</f>
        <v>0.89999999999999991</v>
      </c>
      <c r="M127" s="69">
        <f>SUM(ScenariosCombined[[#This Row],[SPY]:[PE]])</f>
        <v>0.99999999999999989</v>
      </c>
      <c r="N127" s="71" t="b">
        <f>ScenariosCombined[[#This Row],[SPY]]&gt;=SpyMin</f>
        <v>1</v>
      </c>
      <c r="O127" s="71" t="b">
        <f>ScenariosCombined[[#This Row],[AGG]]&gt;=AGGMin</f>
        <v>1</v>
      </c>
      <c r="P127" s="71" t="b">
        <f>AND(ScenariosCombined[[#This Row],[GLD]]&gt;=GLDMin,ScenariosCombined[[#This Row],[GLD]]&lt;=GLDMax)</f>
        <v>1</v>
      </c>
      <c r="Q127" s="71" t="b">
        <f>ScenariosCombined[[#This Row],[VNQ]]&gt;=VNQMin</f>
        <v>1</v>
      </c>
      <c r="R127" s="71" t="b">
        <f>AND(ScenariosCombined[[#This Row],[PE]]&gt;=PEMin,ScenariosCombined[[#This Row],[PE]]&lt;=PEMax)</f>
        <v>1</v>
      </c>
      <c r="S127" s="71" t="b">
        <f>ScenariosCombined[[#This Row],[Liquid Assets]]&gt;=LiquidMin</f>
        <v>1</v>
      </c>
      <c r="T127" s="71" t="b">
        <f>AND(ScenariosCombined[[#This Row],[Expected Return]]&gt;=ExpectedReturnMin,ScenariosCombined[[#This Row],[Expected Return]]&lt;=ExpectedReturnMax)</f>
        <v>1</v>
      </c>
      <c r="U127" s="71" t="b">
        <f>ScenariosCombined[[#This Row],[Max Drawdown]]&gt;=DrawdownMax</f>
        <v>1</v>
      </c>
      <c r="V12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27" s="46">
        <f>ScenariosCombined[[#This Row],[Sharpe Rank]]</f>
        <v>100</v>
      </c>
      <c r="X12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100</v>
      </c>
      <c r="Y12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30/35/10/15/10</v>
      </c>
      <c r="Z127">
        <f>_xlfn.XLOOKUP(ScenariosCombined[[#This Row],[Reference '#]],Scenarios1[Reference '#],Scenarios1[Sharpe Rank])</f>
        <v>100</v>
      </c>
      <c r="AA127">
        <f>_xlfn.XLOOKUP(ScenariosCombined[[#This Row],[Reference '#]],Scenarios2[Reference '#],Scenarios2[Sharpe Rank])</f>
        <v>99</v>
      </c>
      <c r="AB127">
        <f>_xlfn.XLOOKUP(ScenariosCombined[[#This Row],[Reference '#]],Scenarios3[Reference '#],Scenarios3[Sharpe Rank])</f>
        <v>98</v>
      </c>
      <c r="AD127" s="34"/>
      <c r="AE127" s="34"/>
      <c r="AI127" s="15"/>
    </row>
    <row r="128" spans="2:35" x14ac:dyDescent="0.2">
      <c r="B128" s="44">
        <v>123</v>
      </c>
      <c r="C128" s="68">
        <v>0.25</v>
      </c>
      <c r="D128" s="69">
        <v>0.25</v>
      </c>
      <c r="E128" s="69">
        <v>0.1</v>
      </c>
      <c r="F128" s="69">
        <v>0.2</v>
      </c>
      <c r="G128" s="69">
        <v>0.2</v>
      </c>
      <c r="H12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7.5851783189125124E-2</v>
      </c>
      <c r="I12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7.7902708449639882E-2</v>
      </c>
      <c r="J12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0.37028529826042167</v>
      </c>
      <c r="K12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-0.16569663106198762</v>
      </c>
      <c r="L128" s="69">
        <f>SUM(ScenariosCombined[[#This Row],[SPY]:[VNQ]])</f>
        <v>0.8</v>
      </c>
      <c r="M128" s="69">
        <f>SUM(ScenariosCombined[[#This Row],[SPY]:[PE]])</f>
        <v>1</v>
      </c>
      <c r="N128" s="71" t="b">
        <f>ScenariosCombined[[#This Row],[SPY]]&gt;=SpyMin</f>
        <v>1</v>
      </c>
      <c r="O128" s="71" t="b">
        <f>ScenariosCombined[[#This Row],[AGG]]&gt;=AGGMin</f>
        <v>1</v>
      </c>
      <c r="P128" s="71" t="b">
        <f>AND(ScenariosCombined[[#This Row],[GLD]]&gt;=GLDMin,ScenariosCombined[[#This Row],[GLD]]&lt;=GLDMax)</f>
        <v>1</v>
      </c>
      <c r="Q128" s="71" t="b">
        <f>ScenariosCombined[[#This Row],[VNQ]]&gt;=VNQMin</f>
        <v>1</v>
      </c>
      <c r="R128" s="71" t="b">
        <f>AND(ScenariosCombined[[#This Row],[PE]]&gt;=PEMin,ScenariosCombined[[#This Row],[PE]]&lt;=PEMax)</f>
        <v>1</v>
      </c>
      <c r="S128" s="71" t="b">
        <f>ScenariosCombined[[#This Row],[Liquid Assets]]&gt;=LiquidMin</f>
        <v>1</v>
      </c>
      <c r="T128" s="71" t="b">
        <f>AND(ScenariosCombined[[#This Row],[Expected Return]]&gt;=ExpectedReturnMin,ScenariosCombined[[#This Row],[Expected Return]]&lt;=ExpectedReturnMax)</f>
        <v>1</v>
      </c>
      <c r="U128" s="71" t="b">
        <f>ScenariosCombined[[#This Row],[Max Drawdown]]&gt;=DrawdownMax</f>
        <v>1</v>
      </c>
      <c r="V12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28" s="46">
        <f>ScenariosCombined[[#This Row],[Sharpe Rank]]</f>
        <v>101</v>
      </c>
      <c r="X128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101</v>
      </c>
      <c r="Y12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25/25/10/20/20</v>
      </c>
      <c r="Z128" t="str">
        <f>_xlfn.XLOOKUP(ScenariosCombined[[#This Row],[Reference '#]],Scenarios1[Reference '#],Scenarios1[Sharpe Rank])</f>
        <v/>
      </c>
      <c r="AA128" t="str">
        <f>_xlfn.XLOOKUP(ScenariosCombined[[#This Row],[Reference '#]],Scenarios2[Reference '#],Scenarios2[Sharpe Rank])</f>
        <v/>
      </c>
      <c r="AB128">
        <f>_xlfn.XLOOKUP(ScenariosCombined[[#This Row],[Reference '#]],Scenarios3[Reference '#],Scenarios3[Sharpe Rank])</f>
        <v>92</v>
      </c>
      <c r="AD128" s="34"/>
      <c r="AE128" s="34"/>
      <c r="AI128" s="15"/>
    </row>
    <row r="129" spans="2:35" x14ac:dyDescent="0.2">
      <c r="B129" s="44">
        <v>102</v>
      </c>
      <c r="C129" s="68">
        <v>0.25</v>
      </c>
      <c r="D129" s="69">
        <v>0.35</v>
      </c>
      <c r="E129" s="69">
        <v>0.15</v>
      </c>
      <c r="F129" s="69">
        <v>0.15</v>
      </c>
      <c r="G129" s="69">
        <v>0.1</v>
      </c>
      <c r="H12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7.5639072637671126E-2</v>
      </c>
      <c r="I12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7.7411640335491291E-2</v>
      </c>
      <c r="J12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0.36988645322618013</v>
      </c>
      <c r="K12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-0.16891762307251379</v>
      </c>
      <c r="L129" s="69">
        <f>SUM(ScenariosCombined[[#This Row],[SPY]:[VNQ]])</f>
        <v>0.9</v>
      </c>
      <c r="M129" s="69">
        <f>SUM(ScenariosCombined[[#This Row],[SPY]:[PE]])</f>
        <v>1</v>
      </c>
      <c r="N129" s="71" t="b">
        <f>ScenariosCombined[[#This Row],[SPY]]&gt;=SpyMin</f>
        <v>1</v>
      </c>
      <c r="O129" s="71" t="b">
        <f>ScenariosCombined[[#This Row],[AGG]]&gt;=AGGMin</f>
        <v>1</v>
      </c>
      <c r="P129" s="71" t="b">
        <f>AND(ScenariosCombined[[#This Row],[GLD]]&gt;=GLDMin,ScenariosCombined[[#This Row],[GLD]]&lt;=GLDMax)</f>
        <v>1</v>
      </c>
      <c r="Q129" s="71" t="b">
        <f>ScenariosCombined[[#This Row],[VNQ]]&gt;=VNQMin</f>
        <v>1</v>
      </c>
      <c r="R129" s="71" t="b">
        <f>AND(ScenariosCombined[[#This Row],[PE]]&gt;=PEMin,ScenariosCombined[[#This Row],[PE]]&lt;=PEMax)</f>
        <v>1</v>
      </c>
      <c r="S129" s="71" t="b">
        <f>ScenariosCombined[[#This Row],[Liquid Assets]]&gt;=LiquidMin</f>
        <v>1</v>
      </c>
      <c r="T129" s="71" t="b">
        <f>AND(ScenariosCombined[[#This Row],[Expected Return]]&gt;=ExpectedReturnMin,ScenariosCombined[[#This Row],[Expected Return]]&lt;=ExpectedReturnMax)</f>
        <v>1</v>
      </c>
      <c r="U129" s="71" t="b">
        <f>ScenariosCombined[[#This Row],[Max Drawdown]]&gt;=DrawdownMax</f>
        <v>1</v>
      </c>
      <c r="V12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29" s="46">
        <f>ScenariosCombined[[#This Row],[Sharpe Rank]]</f>
        <v>102</v>
      </c>
      <c r="X12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102</v>
      </c>
      <c r="Y12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25/35/15/15/10</v>
      </c>
      <c r="Z129" t="str">
        <f>_xlfn.XLOOKUP(ScenariosCombined[[#This Row],[Reference '#]],Scenarios1[Reference '#],Scenarios1[Sharpe Rank])</f>
        <v/>
      </c>
      <c r="AA129" t="str">
        <f>_xlfn.XLOOKUP(ScenariosCombined[[#This Row],[Reference '#]],Scenarios2[Reference '#],Scenarios2[Sharpe Rank])</f>
        <v/>
      </c>
      <c r="AB129">
        <f>_xlfn.XLOOKUP(ScenariosCombined[[#This Row],[Reference '#]],Scenarios3[Reference '#],Scenarios3[Sharpe Rank])</f>
        <v>99</v>
      </c>
      <c r="AD129" s="34"/>
      <c r="AE129" s="34"/>
      <c r="AI129" s="15"/>
    </row>
    <row r="130" spans="2:35" x14ac:dyDescent="0.2">
      <c r="B130" s="44">
        <v>68</v>
      </c>
      <c r="C130" s="68">
        <v>0.3</v>
      </c>
      <c r="D130" s="69">
        <v>0.3</v>
      </c>
      <c r="E130" s="69">
        <v>0.1</v>
      </c>
      <c r="F130" s="69">
        <v>0.2</v>
      </c>
      <c r="G130" s="69">
        <v>0.1</v>
      </c>
      <c r="H13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7.8330586757603779E-2</v>
      </c>
      <c r="I13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8.5216336368045431E-2</v>
      </c>
      <c r="J13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0.36759420243973939</v>
      </c>
      <c r="K13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-0.18390694878202885</v>
      </c>
      <c r="L130" s="69">
        <f>SUM(ScenariosCombined[[#This Row],[SPY]:[VNQ]])</f>
        <v>0.89999999999999991</v>
      </c>
      <c r="M130" s="69">
        <f>SUM(ScenariosCombined[[#This Row],[SPY]:[PE]])</f>
        <v>0.99999999999999989</v>
      </c>
      <c r="N130" s="71" t="b">
        <f>ScenariosCombined[[#This Row],[SPY]]&gt;=SpyMin</f>
        <v>1</v>
      </c>
      <c r="O130" s="71" t="b">
        <f>ScenariosCombined[[#This Row],[AGG]]&gt;=AGGMin</f>
        <v>1</v>
      </c>
      <c r="P130" s="71" t="b">
        <f>AND(ScenariosCombined[[#This Row],[GLD]]&gt;=GLDMin,ScenariosCombined[[#This Row],[GLD]]&lt;=GLDMax)</f>
        <v>1</v>
      </c>
      <c r="Q130" s="71" t="b">
        <f>ScenariosCombined[[#This Row],[VNQ]]&gt;=VNQMin</f>
        <v>1</v>
      </c>
      <c r="R130" s="71" t="b">
        <f>AND(ScenariosCombined[[#This Row],[PE]]&gt;=PEMin,ScenariosCombined[[#This Row],[PE]]&lt;=PEMax)</f>
        <v>1</v>
      </c>
      <c r="S130" s="71" t="b">
        <f>ScenariosCombined[[#This Row],[Liquid Assets]]&gt;=LiquidMin</f>
        <v>1</v>
      </c>
      <c r="T130" s="71" t="b">
        <f>AND(ScenariosCombined[[#This Row],[Expected Return]]&gt;=ExpectedReturnMin,ScenariosCombined[[#This Row],[Expected Return]]&lt;=ExpectedReturnMax)</f>
        <v>1</v>
      </c>
      <c r="U130" s="71" t="b">
        <f>ScenariosCombined[[#This Row],[Max Drawdown]]&gt;=DrawdownMax</f>
        <v>1</v>
      </c>
      <c r="V13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0" s="46">
        <f>ScenariosCombined[[#This Row],[Sharpe Rank]]</f>
        <v>103</v>
      </c>
      <c r="X130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103</v>
      </c>
      <c r="Y13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30/30/10/20/10</v>
      </c>
      <c r="Z130">
        <f>_xlfn.XLOOKUP(ScenariosCombined[[#This Row],[Reference '#]],Scenarios1[Reference '#],Scenarios1[Sharpe Rank])</f>
        <v>101</v>
      </c>
      <c r="AA130">
        <f>_xlfn.XLOOKUP(ScenariosCombined[[#This Row],[Reference '#]],Scenarios2[Reference '#],Scenarios2[Sharpe Rank])</f>
        <v>100</v>
      </c>
      <c r="AB130">
        <f>_xlfn.XLOOKUP(ScenariosCombined[[#This Row],[Reference '#]],Scenarios3[Reference '#],Scenarios3[Sharpe Rank])</f>
        <v>100</v>
      </c>
      <c r="AE130"/>
      <c r="AI130" s="15"/>
    </row>
    <row r="131" spans="2:35" x14ac:dyDescent="0.2">
      <c r="B131" s="44">
        <v>109</v>
      </c>
      <c r="C131" s="68">
        <v>0.25</v>
      </c>
      <c r="D131" s="69">
        <v>0.3</v>
      </c>
      <c r="E131" s="69">
        <v>0.15</v>
      </c>
      <c r="F131" s="69">
        <v>0.2</v>
      </c>
      <c r="G131" s="69">
        <v>0.1</v>
      </c>
      <c r="H13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7.7222811983834613E-2</v>
      </c>
      <c r="I13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8.2617397166478854E-2</v>
      </c>
      <c r="J13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0.36574931509146347</v>
      </c>
      <c r="K13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-0.17664355978662594</v>
      </c>
      <c r="L131" s="69">
        <f>SUM(ScenariosCombined[[#This Row],[SPY]:[VNQ]])</f>
        <v>0.90000000000000013</v>
      </c>
      <c r="M131" s="69">
        <f>SUM(ScenariosCombined[[#This Row],[SPY]:[PE]])</f>
        <v>1.0000000000000002</v>
      </c>
      <c r="N131" s="71" t="b">
        <f>ScenariosCombined[[#This Row],[SPY]]&gt;=SpyMin</f>
        <v>1</v>
      </c>
      <c r="O131" s="71" t="b">
        <f>ScenariosCombined[[#This Row],[AGG]]&gt;=AGGMin</f>
        <v>1</v>
      </c>
      <c r="P131" s="71" t="b">
        <f>AND(ScenariosCombined[[#This Row],[GLD]]&gt;=GLDMin,ScenariosCombined[[#This Row],[GLD]]&lt;=GLDMax)</f>
        <v>1</v>
      </c>
      <c r="Q131" s="71" t="b">
        <f>ScenariosCombined[[#This Row],[VNQ]]&gt;=VNQMin</f>
        <v>1</v>
      </c>
      <c r="R131" s="71" t="b">
        <f>AND(ScenariosCombined[[#This Row],[PE]]&gt;=PEMin,ScenariosCombined[[#This Row],[PE]]&lt;=PEMax)</f>
        <v>1</v>
      </c>
      <c r="S131" s="71" t="b">
        <f>ScenariosCombined[[#This Row],[Liquid Assets]]&gt;=LiquidMin</f>
        <v>1</v>
      </c>
      <c r="T131" s="71" t="b">
        <f>AND(ScenariosCombined[[#This Row],[Expected Return]]&gt;=ExpectedReturnMin,ScenariosCombined[[#This Row],[Expected Return]]&lt;=ExpectedReturnMax)</f>
        <v>1</v>
      </c>
      <c r="U131" s="71" t="b">
        <f>ScenariosCombined[[#This Row],[Max Drawdown]]&gt;=DrawdownMax</f>
        <v>1</v>
      </c>
      <c r="V13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1" s="46">
        <f>ScenariosCombined[[#This Row],[Sharpe Rank]]</f>
        <v>104</v>
      </c>
      <c r="X131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104</v>
      </c>
      <c r="Y13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25/30/15/20/10</v>
      </c>
      <c r="Z131">
        <f>_xlfn.XLOOKUP(ScenariosCombined[[#This Row],[Reference '#]],Scenarios1[Reference '#],Scenarios1[Sharpe Rank])</f>
        <v>102</v>
      </c>
      <c r="AA131">
        <f>_xlfn.XLOOKUP(ScenariosCombined[[#This Row],[Reference '#]],Scenarios2[Reference '#],Scenarios2[Sharpe Rank])</f>
        <v>101</v>
      </c>
      <c r="AB131">
        <f>_xlfn.XLOOKUP(ScenariosCombined[[#This Row],[Reference '#]],Scenarios3[Reference '#],Scenarios3[Sharpe Rank])</f>
        <v>101</v>
      </c>
      <c r="AE131"/>
      <c r="AI131" s="15"/>
    </row>
    <row r="132" spans="2:35" x14ac:dyDescent="0.2">
      <c r="B132" s="44">
        <v>132</v>
      </c>
      <c r="C132" s="68">
        <v>0.25</v>
      </c>
      <c r="D132" s="69">
        <v>0.2</v>
      </c>
      <c r="E132" s="69">
        <v>0.1</v>
      </c>
      <c r="F132" s="69">
        <v>0.25</v>
      </c>
      <c r="G132" s="69">
        <v>0.2</v>
      </c>
      <c r="H13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7.7435522535288612E-2</v>
      </c>
      <c r="I13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8.3360274905856888E-2</v>
      </c>
      <c r="J13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0.36504158622436406</v>
      </c>
      <c r="K13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-0.17348073118349583</v>
      </c>
      <c r="L132" s="69">
        <f>SUM(ScenariosCombined[[#This Row],[SPY]:[VNQ]])</f>
        <v>0.8</v>
      </c>
      <c r="M132" s="69">
        <f>SUM(ScenariosCombined[[#This Row],[SPY]:[PE]])</f>
        <v>1</v>
      </c>
      <c r="N132" s="71" t="b">
        <f>ScenariosCombined[[#This Row],[SPY]]&gt;=SpyMin</f>
        <v>1</v>
      </c>
      <c r="O132" s="71" t="b">
        <f>ScenariosCombined[[#This Row],[AGG]]&gt;=AGGMin</f>
        <v>1</v>
      </c>
      <c r="P132" s="71" t="b">
        <f>AND(ScenariosCombined[[#This Row],[GLD]]&gt;=GLDMin,ScenariosCombined[[#This Row],[GLD]]&lt;=GLDMax)</f>
        <v>1</v>
      </c>
      <c r="Q132" s="71" t="b">
        <f>ScenariosCombined[[#This Row],[VNQ]]&gt;=VNQMin</f>
        <v>1</v>
      </c>
      <c r="R132" s="71" t="b">
        <f>AND(ScenariosCombined[[#This Row],[PE]]&gt;=PEMin,ScenariosCombined[[#This Row],[PE]]&lt;=PEMax)</f>
        <v>1</v>
      </c>
      <c r="S132" s="71" t="b">
        <f>ScenariosCombined[[#This Row],[Liquid Assets]]&gt;=LiquidMin</f>
        <v>1</v>
      </c>
      <c r="T132" s="71" t="b">
        <f>AND(ScenariosCombined[[#This Row],[Expected Return]]&gt;=ExpectedReturnMin,ScenariosCombined[[#This Row],[Expected Return]]&lt;=ExpectedReturnMax)</f>
        <v>1</v>
      </c>
      <c r="U132" s="71" t="b">
        <f>ScenariosCombined[[#This Row],[Max Drawdown]]&gt;=DrawdownMax</f>
        <v>1</v>
      </c>
      <c r="V13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2" s="46">
        <f>ScenariosCombined[[#This Row],[Sharpe Rank]]</f>
        <v>105</v>
      </c>
      <c r="X132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105</v>
      </c>
      <c r="Y13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25/20/10/25/20</v>
      </c>
      <c r="Z132" t="str">
        <f>_xlfn.XLOOKUP(ScenariosCombined[[#This Row],[Reference '#]],Scenarios1[Reference '#],Scenarios1[Sharpe Rank])</f>
        <v/>
      </c>
      <c r="AA132">
        <f>_xlfn.XLOOKUP(ScenariosCombined[[#This Row],[Reference '#]],Scenarios2[Reference '#],Scenarios2[Sharpe Rank])</f>
        <v>106</v>
      </c>
      <c r="AB132">
        <f>_xlfn.XLOOKUP(ScenariosCombined[[#This Row],[Reference '#]],Scenarios3[Reference '#],Scenarios3[Sharpe Rank])</f>
        <v>94</v>
      </c>
      <c r="AE132"/>
      <c r="AI132" s="15"/>
    </row>
    <row r="133" spans="2:35" x14ac:dyDescent="0.2">
      <c r="B133" s="44">
        <v>76</v>
      </c>
      <c r="C133" s="68">
        <v>0.3</v>
      </c>
      <c r="D133" s="69">
        <v>0.25</v>
      </c>
      <c r="E133" s="69">
        <v>0.1</v>
      </c>
      <c r="F133" s="69">
        <v>0.25</v>
      </c>
      <c r="G133" s="69">
        <v>0.1</v>
      </c>
      <c r="H13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7.9914326103767239E-2</v>
      </c>
      <c r="I13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9.0711259764863786E-2</v>
      </c>
      <c r="J13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0.36278594998587593</v>
      </c>
      <c r="K13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-0.19161257876741677</v>
      </c>
      <c r="L133" s="69">
        <f>SUM(ScenariosCombined[[#This Row],[SPY]:[VNQ]])</f>
        <v>0.9</v>
      </c>
      <c r="M133" s="69">
        <f>SUM(ScenariosCombined[[#This Row],[SPY]:[PE]])</f>
        <v>1</v>
      </c>
      <c r="N133" s="71" t="b">
        <f>ScenariosCombined[[#This Row],[SPY]]&gt;=SpyMin</f>
        <v>1</v>
      </c>
      <c r="O133" s="71" t="b">
        <f>ScenariosCombined[[#This Row],[AGG]]&gt;=AGGMin</f>
        <v>1</v>
      </c>
      <c r="P133" s="71" t="b">
        <f>AND(ScenariosCombined[[#This Row],[GLD]]&gt;=GLDMin,ScenariosCombined[[#This Row],[GLD]]&lt;=GLDMax)</f>
        <v>1</v>
      </c>
      <c r="Q133" s="71" t="b">
        <f>ScenariosCombined[[#This Row],[VNQ]]&gt;=VNQMin</f>
        <v>1</v>
      </c>
      <c r="R133" s="71" t="b">
        <f>AND(ScenariosCombined[[#This Row],[PE]]&gt;=PEMin,ScenariosCombined[[#This Row],[PE]]&lt;=PEMax)</f>
        <v>1</v>
      </c>
      <c r="S133" s="71" t="b">
        <f>ScenariosCombined[[#This Row],[Liquid Assets]]&gt;=LiquidMin</f>
        <v>1</v>
      </c>
      <c r="T133" s="71" t="b">
        <f>AND(ScenariosCombined[[#This Row],[Expected Return]]&gt;=ExpectedReturnMin,ScenariosCombined[[#This Row],[Expected Return]]&lt;=ExpectedReturnMax)</f>
        <v>1</v>
      </c>
      <c r="U133" s="71" t="b">
        <f>ScenariosCombined[[#This Row],[Max Drawdown]]&gt;=DrawdownMax</f>
        <v>1</v>
      </c>
      <c r="V13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3" s="46">
        <f>ScenariosCombined[[#This Row],[Sharpe Rank]]</f>
        <v>106</v>
      </c>
      <c r="X13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106</v>
      </c>
      <c r="Y13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30/25/10/25/10</v>
      </c>
      <c r="Z133">
        <f>_xlfn.XLOOKUP(ScenariosCombined[[#This Row],[Reference '#]],Scenarios1[Reference '#],Scenarios1[Sharpe Rank])</f>
        <v>103</v>
      </c>
      <c r="AA133">
        <f>_xlfn.XLOOKUP(ScenariosCombined[[#This Row],[Reference '#]],Scenarios2[Reference '#],Scenarios2[Sharpe Rank])</f>
        <v>102</v>
      </c>
      <c r="AB133">
        <f>_xlfn.XLOOKUP(ScenariosCombined[[#This Row],[Reference '#]],Scenarios3[Reference '#],Scenarios3[Sharpe Rank])</f>
        <v>102</v>
      </c>
      <c r="AE133"/>
      <c r="AI133" s="15"/>
    </row>
    <row r="134" spans="2:35" x14ac:dyDescent="0.2">
      <c r="B134" s="44">
        <v>118</v>
      </c>
      <c r="C134" s="68">
        <v>0.25</v>
      </c>
      <c r="D134" s="69">
        <v>0.25</v>
      </c>
      <c r="E134" s="69">
        <v>0.15</v>
      </c>
      <c r="F134" s="69">
        <v>0.25</v>
      </c>
      <c r="G134" s="69">
        <v>0.1</v>
      </c>
      <c r="H13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7.8806551329998073E-2</v>
      </c>
      <c r="I13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8.8009184163765894E-2</v>
      </c>
      <c r="J13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0.36133724084145369</v>
      </c>
      <c r="K13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-0.184368359214654</v>
      </c>
      <c r="L134" s="69">
        <f>SUM(ScenariosCombined[[#This Row],[SPY]:[VNQ]])</f>
        <v>0.9</v>
      </c>
      <c r="M134" s="69">
        <f>SUM(ScenariosCombined[[#This Row],[SPY]:[PE]])</f>
        <v>1</v>
      </c>
      <c r="N134" s="71" t="b">
        <f>ScenariosCombined[[#This Row],[SPY]]&gt;=SpyMin</f>
        <v>1</v>
      </c>
      <c r="O134" s="71" t="b">
        <f>ScenariosCombined[[#This Row],[AGG]]&gt;=AGGMin</f>
        <v>1</v>
      </c>
      <c r="P134" s="71" t="b">
        <f>AND(ScenariosCombined[[#This Row],[GLD]]&gt;=GLDMin,ScenariosCombined[[#This Row],[GLD]]&lt;=GLDMax)</f>
        <v>1</v>
      </c>
      <c r="Q134" s="71" t="b">
        <f>ScenariosCombined[[#This Row],[VNQ]]&gt;=VNQMin</f>
        <v>1</v>
      </c>
      <c r="R134" s="71" t="b">
        <f>AND(ScenariosCombined[[#This Row],[PE]]&gt;=PEMin,ScenariosCombined[[#This Row],[PE]]&lt;=PEMax)</f>
        <v>1</v>
      </c>
      <c r="S134" s="71" t="b">
        <f>ScenariosCombined[[#This Row],[Liquid Assets]]&gt;=LiquidMin</f>
        <v>1</v>
      </c>
      <c r="T134" s="71" t="b">
        <f>AND(ScenariosCombined[[#This Row],[Expected Return]]&gt;=ExpectedReturnMin,ScenariosCombined[[#This Row],[Expected Return]]&lt;=ExpectedReturnMax)</f>
        <v>1</v>
      </c>
      <c r="U134" s="71" t="b">
        <f>ScenariosCombined[[#This Row],[Max Drawdown]]&gt;=DrawdownMax</f>
        <v>1</v>
      </c>
      <c r="V13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4" s="46">
        <f>ScenariosCombined[[#This Row],[Sharpe Rank]]</f>
        <v>107</v>
      </c>
      <c r="X13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107</v>
      </c>
      <c r="Y13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25/25/15/25/10</v>
      </c>
      <c r="Z134">
        <f>_xlfn.XLOOKUP(ScenariosCombined[[#This Row],[Reference '#]],Scenarios1[Reference '#],Scenarios1[Sharpe Rank])</f>
        <v>104</v>
      </c>
      <c r="AA134">
        <f>_xlfn.XLOOKUP(ScenariosCombined[[#This Row],[Reference '#]],Scenarios2[Reference '#],Scenarios2[Sharpe Rank])</f>
        <v>103</v>
      </c>
      <c r="AB134">
        <f>_xlfn.XLOOKUP(ScenariosCombined[[#This Row],[Reference '#]],Scenarios3[Reference '#],Scenarios3[Sharpe Rank])</f>
        <v>103</v>
      </c>
      <c r="AE134"/>
      <c r="AI134" s="15"/>
    </row>
    <row r="135" spans="2:35" x14ac:dyDescent="0.2">
      <c r="B135" s="44">
        <v>141</v>
      </c>
      <c r="C135" s="68">
        <v>0.25</v>
      </c>
      <c r="D135" s="69">
        <v>0.15</v>
      </c>
      <c r="E135" s="69">
        <v>0.1</v>
      </c>
      <c r="F135" s="69">
        <v>0.3</v>
      </c>
      <c r="G135" s="69">
        <v>0.2</v>
      </c>
      <c r="H13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7.9019261881452071E-2</v>
      </c>
      <c r="I13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8.8971617993864618E-2</v>
      </c>
      <c r="J13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0.35981931145844909</v>
      </c>
      <c r="K13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-0.18126319236251531</v>
      </c>
      <c r="L135" s="69">
        <f>SUM(ScenariosCombined[[#This Row],[SPY]:[VNQ]])</f>
        <v>0.8</v>
      </c>
      <c r="M135" s="69">
        <f>SUM(ScenariosCombined[[#This Row],[SPY]:[PE]])</f>
        <v>1</v>
      </c>
      <c r="N135" s="71" t="b">
        <f>ScenariosCombined[[#This Row],[SPY]]&gt;=SpyMin</f>
        <v>1</v>
      </c>
      <c r="O135" s="71" t="b">
        <f>ScenariosCombined[[#This Row],[AGG]]&gt;=AGGMin</f>
        <v>1</v>
      </c>
      <c r="P135" s="71" t="b">
        <f>AND(ScenariosCombined[[#This Row],[GLD]]&gt;=GLDMin,ScenariosCombined[[#This Row],[GLD]]&lt;=GLDMax)</f>
        <v>1</v>
      </c>
      <c r="Q135" s="71" t="b">
        <f>ScenariosCombined[[#This Row],[VNQ]]&gt;=VNQMin</f>
        <v>1</v>
      </c>
      <c r="R135" s="71" t="b">
        <f>AND(ScenariosCombined[[#This Row],[PE]]&gt;=PEMin,ScenariosCombined[[#This Row],[PE]]&lt;=PEMax)</f>
        <v>1</v>
      </c>
      <c r="S135" s="71" t="b">
        <f>ScenariosCombined[[#This Row],[Liquid Assets]]&gt;=LiquidMin</f>
        <v>1</v>
      </c>
      <c r="T135" s="71" t="b">
        <f>AND(ScenariosCombined[[#This Row],[Expected Return]]&gt;=ExpectedReturnMin,ScenariosCombined[[#This Row],[Expected Return]]&lt;=ExpectedReturnMax)</f>
        <v>1</v>
      </c>
      <c r="U135" s="71" t="b">
        <f>ScenariosCombined[[#This Row],[Max Drawdown]]&gt;=DrawdownMax</f>
        <v>1</v>
      </c>
      <c r="V13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5" s="46">
        <f>ScenariosCombined[[#This Row],[Sharpe Rank]]</f>
        <v>108</v>
      </c>
      <c r="X13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108</v>
      </c>
      <c r="Y13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25/15/10/30/20</v>
      </c>
      <c r="Z135">
        <f>_xlfn.XLOOKUP(ScenariosCombined[[#This Row],[Reference '#]],Scenarios1[Reference '#],Scenarios1[Sharpe Rank])</f>
        <v>108</v>
      </c>
      <c r="AA135">
        <f>_xlfn.XLOOKUP(ScenariosCombined[[#This Row],[Reference '#]],Scenarios2[Reference '#],Scenarios2[Sharpe Rank])</f>
        <v>108</v>
      </c>
      <c r="AB135">
        <f>_xlfn.XLOOKUP(ScenariosCombined[[#This Row],[Reference '#]],Scenarios3[Reference '#],Scenarios3[Sharpe Rank])</f>
        <v>95</v>
      </c>
      <c r="AE135"/>
      <c r="AI135" s="15"/>
    </row>
    <row r="136" spans="2:35" x14ac:dyDescent="0.2">
      <c r="B136" s="44">
        <v>85</v>
      </c>
      <c r="C136" s="68">
        <v>0.3</v>
      </c>
      <c r="D136" s="69">
        <v>0.2</v>
      </c>
      <c r="E136" s="69">
        <v>0.1</v>
      </c>
      <c r="F136" s="69">
        <v>0.3</v>
      </c>
      <c r="G136" s="69">
        <v>0.1</v>
      </c>
      <c r="H13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8.1498065449930698E-2</v>
      </c>
      <c r="I13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9.6343921654357831E-2</v>
      </c>
      <c r="J13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0.35801438536122721</v>
      </c>
      <c r="K13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-0.19931515574132885</v>
      </c>
      <c r="L136" s="69">
        <f>SUM(ScenariosCombined[[#This Row],[SPY]:[VNQ]])</f>
        <v>0.89999999999999991</v>
      </c>
      <c r="M136" s="69">
        <f>SUM(ScenariosCombined[[#This Row],[SPY]:[PE]])</f>
        <v>0.99999999999999989</v>
      </c>
      <c r="N136" s="71" t="b">
        <f>ScenariosCombined[[#This Row],[SPY]]&gt;=SpyMin</f>
        <v>1</v>
      </c>
      <c r="O136" s="71" t="b">
        <f>ScenariosCombined[[#This Row],[AGG]]&gt;=AGGMin</f>
        <v>1</v>
      </c>
      <c r="P136" s="71" t="b">
        <f>AND(ScenariosCombined[[#This Row],[GLD]]&gt;=GLDMin,ScenariosCombined[[#This Row],[GLD]]&lt;=GLDMax)</f>
        <v>1</v>
      </c>
      <c r="Q136" s="71" t="b">
        <f>ScenariosCombined[[#This Row],[VNQ]]&gt;=VNQMin</f>
        <v>1</v>
      </c>
      <c r="R136" s="71" t="b">
        <f>AND(ScenariosCombined[[#This Row],[PE]]&gt;=PEMin,ScenariosCombined[[#This Row],[PE]]&lt;=PEMax)</f>
        <v>1</v>
      </c>
      <c r="S136" s="71" t="b">
        <f>ScenariosCombined[[#This Row],[Liquid Assets]]&gt;=LiquidMin</f>
        <v>1</v>
      </c>
      <c r="T136" s="71" t="b">
        <f>AND(ScenariosCombined[[#This Row],[Expected Return]]&gt;=ExpectedReturnMin,ScenariosCombined[[#This Row],[Expected Return]]&lt;=ExpectedReturnMax)</f>
        <v>1</v>
      </c>
      <c r="U136" s="71" t="b">
        <f>ScenariosCombined[[#This Row],[Max Drawdown]]&gt;=DrawdownMax</f>
        <v>1</v>
      </c>
      <c r="V13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6" s="46">
        <f>ScenariosCombined[[#This Row],[Sharpe Rank]]</f>
        <v>109</v>
      </c>
      <c r="X136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109</v>
      </c>
      <c r="Y13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30/20/10/30/10</v>
      </c>
      <c r="Z136">
        <f>_xlfn.XLOOKUP(ScenariosCombined[[#This Row],[Reference '#]],Scenarios1[Reference '#],Scenarios1[Sharpe Rank])</f>
        <v>105</v>
      </c>
      <c r="AA136">
        <f>_xlfn.XLOOKUP(ScenariosCombined[[#This Row],[Reference '#]],Scenarios2[Reference '#],Scenarios2[Sharpe Rank])</f>
        <v>104</v>
      </c>
      <c r="AB136">
        <f>_xlfn.XLOOKUP(ScenariosCombined[[#This Row],[Reference '#]],Scenarios3[Reference '#],Scenarios3[Sharpe Rank])</f>
        <v>104</v>
      </c>
      <c r="AE136"/>
      <c r="AI136" s="15"/>
    </row>
    <row r="137" spans="2:35" x14ac:dyDescent="0.2">
      <c r="B137" s="44">
        <v>127</v>
      </c>
      <c r="C137" s="68">
        <v>0.25</v>
      </c>
      <c r="D137" s="69">
        <v>0.2</v>
      </c>
      <c r="E137" s="69">
        <v>0.15</v>
      </c>
      <c r="F137" s="69">
        <v>0.3</v>
      </c>
      <c r="G137" s="69">
        <v>0.1</v>
      </c>
      <c r="H13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8.0390290676161533E-2</v>
      </c>
      <c r="I13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9.3554842778208525E-2</v>
      </c>
      <c r="J13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0.35684668082604271</v>
      </c>
      <c r="K13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-0.19209090006663587</v>
      </c>
      <c r="L137" s="69">
        <f>SUM(ScenariosCombined[[#This Row],[SPY]:[VNQ]])</f>
        <v>0.89999999999999991</v>
      </c>
      <c r="M137" s="69">
        <f>SUM(ScenariosCombined[[#This Row],[SPY]:[PE]])</f>
        <v>0.99999999999999989</v>
      </c>
      <c r="N137" s="71" t="b">
        <f>ScenariosCombined[[#This Row],[SPY]]&gt;=SpyMin</f>
        <v>1</v>
      </c>
      <c r="O137" s="71" t="b">
        <f>ScenariosCombined[[#This Row],[AGG]]&gt;=AGGMin</f>
        <v>1</v>
      </c>
      <c r="P137" s="71" t="b">
        <f>AND(ScenariosCombined[[#This Row],[GLD]]&gt;=GLDMin,ScenariosCombined[[#This Row],[GLD]]&lt;=GLDMax)</f>
        <v>1</v>
      </c>
      <c r="Q137" s="71" t="b">
        <f>ScenariosCombined[[#This Row],[VNQ]]&gt;=VNQMin</f>
        <v>1</v>
      </c>
      <c r="R137" s="71" t="b">
        <f>AND(ScenariosCombined[[#This Row],[PE]]&gt;=PEMin,ScenariosCombined[[#This Row],[PE]]&lt;=PEMax)</f>
        <v>1</v>
      </c>
      <c r="S137" s="71" t="b">
        <f>ScenariosCombined[[#This Row],[Liquid Assets]]&gt;=LiquidMin</f>
        <v>1</v>
      </c>
      <c r="T137" s="71" t="b">
        <f>AND(ScenariosCombined[[#This Row],[Expected Return]]&gt;=ExpectedReturnMin,ScenariosCombined[[#This Row],[Expected Return]]&lt;=ExpectedReturnMax)</f>
        <v>1</v>
      </c>
      <c r="U137" s="71" t="b">
        <f>ScenariosCombined[[#This Row],[Max Drawdown]]&gt;=DrawdownMax</f>
        <v>1</v>
      </c>
      <c r="V13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7" s="46">
        <f>ScenariosCombined[[#This Row],[Sharpe Rank]]</f>
        <v>110</v>
      </c>
      <c r="X137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110</v>
      </c>
      <c r="Y13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25/20/15/30/10</v>
      </c>
      <c r="Z137">
        <f>_xlfn.XLOOKUP(ScenariosCombined[[#This Row],[Reference '#]],Scenarios1[Reference '#],Scenarios1[Sharpe Rank])</f>
        <v>106</v>
      </c>
      <c r="AA137">
        <f>_xlfn.XLOOKUP(ScenariosCombined[[#This Row],[Reference '#]],Scenarios2[Reference '#],Scenarios2[Sharpe Rank])</f>
        <v>105</v>
      </c>
      <c r="AB137">
        <f>_xlfn.XLOOKUP(ScenariosCombined[[#This Row],[Reference '#]],Scenarios3[Reference '#],Scenarios3[Sharpe Rank])</f>
        <v>105</v>
      </c>
      <c r="AE137"/>
      <c r="AI137" s="15"/>
    </row>
    <row r="138" spans="2:35" x14ac:dyDescent="0.2">
      <c r="B138" s="44">
        <v>94</v>
      </c>
      <c r="C138" s="68">
        <v>0.3</v>
      </c>
      <c r="D138" s="69">
        <v>0.15</v>
      </c>
      <c r="E138" s="69">
        <v>0.1</v>
      </c>
      <c r="F138" s="69">
        <v>0.35</v>
      </c>
      <c r="G138" s="69">
        <v>0.1</v>
      </c>
      <c r="H13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8.3081804796094158E-2</v>
      </c>
      <c r="I13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0.1020915263811311</v>
      </c>
      <c r="J13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0.35337163150894324</v>
      </c>
      <c r="K13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-0.20701358240872292</v>
      </c>
      <c r="L138" s="69">
        <f>SUM(ScenariosCombined[[#This Row],[SPY]:[VNQ]])</f>
        <v>0.89999999999999991</v>
      </c>
      <c r="M138" s="69">
        <f>SUM(ScenariosCombined[[#This Row],[SPY]:[PE]])</f>
        <v>0.99999999999999989</v>
      </c>
      <c r="N138" s="71" t="b">
        <f>ScenariosCombined[[#This Row],[SPY]]&gt;=SpyMin</f>
        <v>1</v>
      </c>
      <c r="O138" s="71" t="b">
        <f>ScenariosCombined[[#This Row],[AGG]]&gt;=AGGMin</f>
        <v>1</v>
      </c>
      <c r="P138" s="71" t="b">
        <f>AND(ScenariosCombined[[#This Row],[GLD]]&gt;=GLDMin,ScenariosCombined[[#This Row],[GLD]]&lt;=GLDMax)</f>
        <v>1</v>
      </c>
      <c r="Q138" s="71" t="b">
        <f>ScenariosCombined[[#This Row],[VNQ]]&gt;=VNQMin</f>
        <v>1</v>
      </c>
      <c r="R138" s="71" t="b">
        <f>AND(ScenariosCombined[[#This Row],[PE]]&gt;=PEMin,ScenariosCombined[[#This Row],[PE]]&lt;=PEMax)</f>
        <v>1</v>
      </c>
      <c r="S138" s="71" t="b">
        <f>ScenariosCombined[[#This Row],[Liquid Assets]]&gt;=LiquidMin</f>
        <v>1</v>
      </c>
      <c r="T138" s="71" t="b">
        <f>AND(ScenariosCombined[[#This Row],[Expected Return]]&gt;=ExpectedReturnMin,ScenariosCombined[[#This Row],[Expected Return]]&lt;=ExpectedReturnMax)</f>
        <v>1</v>
      </c>
      <c r="U138" s="71" t="b">
        <f>ScenariosCombined[[#This Row],[Max Drawdown]]&gt;=DrawdownMax</f>
        <v>0</v>
      </c>
      <c r="V138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38" s="46" t="str">
        <f>ScenariosCombined[[#This Row],[Sharpe Rank]]</f>
        <v/>
      </c>
      <c r="X138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38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30/15/10/35/10</v>
      </c>
      <c r="Z138" t="str">
        <f>_xlfn.XLOOKUP(ScenariosCombined[[#This Row],[Reference '#]],Scenarios1[Reference '#],Scenarios1[Sharpe Rank])</f>
        <v/>
      </c>
      <c r="AA138" t="str">
        <f>_xlfn.XLOOKUP(ScenariosCombined[[#This Row],[Reference '#]],Scenarios2[Reference '#],Scenarios2[Sharpe Rank])</f>
        <v/>
      </c>
      <c r="AB138" t="str">
        <f>_xlfn.XLOOKUP(ScenariosCombined[[#This Row],[Reference '#]],Scenarios3[Reference '#],Scenarios3[Sharpe Rank])</f>
        <v/>
      </c>
      <c r="AE138"/>
      <c r="AI138" s="15"/>
    </row>
    <row r="139" spans="2:35" x14ac:dyDescent="0.2">
      <c r="B139" s="44">
        <v>136</v>
      </c>
      <c r="C139" s="68">
        <v>0.25</v>
      </c>
      <c r="D139" s="69">
        <v>0.15</v>
      </c>
      <c r="E139" s="69">
        <v>0.15</v>
      </c>
      <c r="F139" s="69">
        <v>0.35</v>
      </c>
      <c r="G139" s="69">
        <v>0.1</v>
      </c>
      <c r="H13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8.1974030022325006E-2</v>
      </c>
      <c r="I13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9.9228577762732639E-2</v>
      </c>
      <c r="J13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0.35240326179402931</v>
      </c>
      <c r="K13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-0.19981007336081691</v>
      </c>
      <c r="L139" s="69">
        <f>SUM(ScenariosCombined[[#This Row],[SPY]:[VNQ]])</f>
        <v>0.9</v>
      </c>
      <c r="M139" s="69">
        <f>SUM(ScenariosCombined[[#This Row],[SPY]:[PE]])</f>
        <v>1</v>
      </c>
      <c r="N139" s="71" t="b">
        <f>ScenariosCombined[[#This Row],[SPY]]&gt;=SpyMin</f>
        <v>1</v>
      </c>
      <c r="O139" s="71" t="b">
        <f>ScenariosCombined[[#This Row],[AGG]]&gt;=AGGMin</f>
        <v>1</v>
      </c>
      <c r="P139" s="71" t="b">
        <f>AND(ScenariosCombined[[#This Row],[GLD]]&gt;=GLDMin,ScenariosCombined[[#This Row],[GLD]]&lt;=GLDMax)</f>
        <v>1</v>
      </c>
      <c r="Q139" s="71" t="b">
        <f>ScenariosCombined[[#This Row],[VNQ]]&gt;=VNQMin</f>
        <v>1</v>
      </c>
      <c r="R139" s="71" t="b">
        <f>AND(ScenariosCombined[[#This Row],[PE]]&gt;=PEMin,ScenariosCombined[[#This Row],[PE]]&lt;=PEMax)</f>
        <v>1</v>
      </c>
      <c r="S139" s="71" t="b">
        <f>ScenariosCombined[[#This Row],[Liquid Assets]]&gt;=LiquidMin</f>
        <v>1</v>
      </c>
      <c r="T139" s="71" t="b">
        <f>AND(ScenariosCombined[[#This Row],[Expected Return]]&gt;=ExpectedReturnMin,ScenariosCombined[[#This Row],[Expected Return]]&lt;=ExpectedReturnMax)</f>
        <v>1</v>
      </c>
      <c r="U139" s="71" t="b">
        <f>ScenariosCombined[[#This Row],[Max Drawdown]]&gt;=DrawdownMax</f>
        <v>1</v>
      </c>
      <c r="V13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39" s="46">
        <f>ScenariosCombined[[#This Row],[Sharpe Rank]]</f>
        <v>111</v>
      </c>
      <c r="X139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111</v>
      </c>
      <c r="Y13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25/15/15/35/10</v>
      </c>
      <c r="Z139">
        <f>_xlfn.XLOOKUP(ScenariosCombined[[#This Row],[Reference '#]],Scenarios1[Reference '#],Scenarios1[Sharpe Rank])</f>
        <v>107</v>
      </c>
      <c r="AA139">
        <f>_xlfn.XLOOKUP(ScenariosCombined[[#This Row],[Reference '#]],Scenarios2[Reference '#],Scenarios2[Sharpe Rank])</f>
        <v>107</v>
      </c>
      <c r="AB139">
        <f>_xlfn.XLOOKUP(ScenariosCombined[[#This Row],[Reference '#]],Scenarios3[Reference '#],Scenarios3[Sharpe Rank])</f>
        <v>107</v>
      </c>
      <c r="AE139"/>
      <c r="AI139" s="15"/>
    </row>
    <row r="140" spans="2:35" x14ac:dyDescent="0.2">
      <c r="B140" s="44">
        <v>100</v>
      </c>
      <c r="C140" s="68">
        <v>0.25</v>
      </c>
      <c r="D140" s="69">
        <v>0.4</v>
      </c>
      <c r="E140" s="69">
        <v>0.1</v>
      </c>
      <c r="F140" s="69">
        <v>0.1</v>
      </c>
      <c r="G140" s="69">
        <v>0.15</v>
      </c>
      <c r="H14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7.0582089770533166E-2</v>
      </c>
      <c r="I14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6.9895718523983838E-2</v>
      </c>
      <c r="J14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0.3373101344810932</v>
      </c>
      <c r="K14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-0.15692283600631585</v>
      </c>
      <c r="L140" s="69">
        <f>SUM(ScenariosCombined[[#This Row],[SPY]:[VNQ]])</f>
        <v>0.85</v>
      </c>
      <c r="M140" s="69">
        <f>SUM(ScenariosCombined[[#This Row],[SPY]:[PE]])</f>
        <v>1</v>
      </c>
      <c r="N140" s="71" t="b">
        <f>ScenariosCombined[[#This Row],[SPY]]&gt;=SpyMin</f>
        <v>1</v>
      </c>
      <c r="O140" s="71" t="b">
        <f>ScenariosCombined[[#This Row],[AGG]]&gt;=AGGMin</f>
        <v>1</v>
      </c>
      <c r="P140" s="71" t="b">
        <f>AND(ScenariosCombined[[#This Row],[GLD]]&gt;=GLDMin,ScenariosCombined[[#This Row],[GLD]]&lt;=GLDMax)</f>
        <v>1</v>
      </c>
      <c r="Q140" s="71" t="b">
        <f>ScenariosCombined[[#This Row],[VNQ]]&gt;=VNQMin</f>
        <v>1</v>
      </c>
      <c r="R140" s="71" t="b">
        <f>AND(ScenariosCombined[[#This Row],[PE]]&gt;=PEMin,ScenariosCombined[[#This Row],[PE]]&lt;=PEMax)</f>
        <v>1</v>
      </c>
      <c r="S140" s="71" t="b">
        <f>ScenariosCombined[[#This Row],[Liquid Assets]]&gt;=LiquidMin</f>
        <v>1</v>
      </c>
      <c r="T140" s="71" t="b">
        <f>AND(ScenariosCombined[[#This Row],[Expected Return]]&gt;=ExpectedReturnMin,ScenariosCombined[[#This Row],[Expected Return]]&lt;=ExpectedReturnMax)</f>
        <v>0</v>
      </c>
      <c r="U140" s="71" t="b">
        <f>ScenariosCombined[[#This Row],[Max Drawdown]]&gt;=DrawdownMax</f>
        <v>1</v>
      </c>
      <c r="V14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0" s="46" t="str">
        <f>ScenariosCombined[[#This Row],[Sharpe Rank]]</f>
        <v/>
      </c>
      <c r="X140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25/40/10/10/15</v>
      </c>
      <c r="Z140" t="str">
        <f>_xlfn.XLOOKUP(ScenariosCombined[[#This Row],[Reference '#]],Scenarios1[Reference '#],Scenarios1[Sharpe Rank])</f>
        <v/>
      </c>
      <c r="AA140" t="str">
        <f>_xlfn.XLOOKUP(ScenariosCombined[[#This Row],[Reference '#]],Scenarios2[Reference '#],Scenarios2[Sharpe Rank])</f>
        <v/>
      </c>
      <c r="AB140" t="str">
        <f>_xlfn.XLOOKUP(ScenariosCombined[[#This Row],[Reference '#]],Scenarios3[Reference '#],Scenarios3[Sharpe Rank])</f>
        <v/>
      </c>
      <c r="AE140"/>
      <c r="AI140" s="15"/>
    </row>
    <row r="141" spans="2:35" x14ac:dyDescent="0.2">
      <c r="B141" s="44">
        <v>105</v>
      </c>
      <c r="C141" s="68">
        <v>0.25</v>
      </c>
      <c r="D141" s="69">
        <v>0.35</v>
      </c>
      <c r="E141" s="69">
        <v>0.1</v>
      </c>
      <c r="F141" s="69">
        <v>0.15</v>
      </c>
      <c r="G141" s="69">
        <v>0.15</v>
      </c>
      <c r="H14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7.2165829116696653E-2</v>
      </c>
      <c r="I14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7.4967389470339485E-2</v>
      </c>
      <c r="J14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0.33561624246093896</v>
      </c>
      <c r="K14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-0.16466692181154297</v>
      </c>
      <c r="L141" s="69">
        <f>SUM(ScenariosCombined[[#This Row],[SPY]:[VNQ]])</f>
        <v>0.85</v>
      </c>
      <c r="M141" s="69">
        <f>SUM(ScenariosCombined[[#This Row],[SPY]:[PE]])</f>
        <v>1</v>
      </c>
      <c r="N141" s="71" t="b">
        <f>ScenariosCombined[[#This Row],[SPY]]&gt;=SpyMin</f>
        <v>1</v>
      </c>
      <c r="O141" s="71" t="b">
        <f>ScenariosCombined[[#This Row],[AGG]]&gt;=AGGMin</f>
        <v>1</v>
      </c>
      <c r="P141" s="71" t="b">
        <f>AND(ScenariosCombined[[#This Row],[GLD]]&gt;=GLDMin,ScenariosCombined[[#This Row],[GLD]]&lt;=GLDMax)</f>
        <v>1</v>
      </c>
      <c r="Q141" s="71" t="b">
        <f>ScenariosCombined[[#This Row],[VNQ]]&gt;=VNQMin</f>
        <v>1</v>
      </c>
      <c r="R141" s="71" t="b">
        <f>AND(ScenariosCombined[[#This Row],[PE]]&gt;=PEMin,ScenariosCombined[[#This Row],[PE]]&lt;=PEMax)</f>
        <v>1</v>
      </c>
      <c r="S141" s="71" t="b">
        <f>ScenariosCombined[[#This Row],[Liquid Assets]]&gt;=LiquidMin</f>
        <v>1</v>
      </c>
      <c r="T141" s="71" t="b">
        <f>AND(ScenariosCombined[[#This Row],[Expected Return]]&gt;=ExpectedReturnMin,ScenariosCombined[[#This Row],[Expected Return]]&lt;=ExpectedReturnMax)</f>
        <v>0</v>
      </c>
      <c r="U141" s="71" t="b">
        <f>ScenariosCombined[[#This Row],[Max Drawdown]]&gt;=DrawdownMax</f>
        <v>1</v>
      </c>
      <c r="V14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1" s="46" t="str">
        <f>ScenariosCombined[[#This Row],[Sharpe Rank]]</f>
        <v/>
      </c>
      <c r="X141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25/35/10/15/15</v>
      </c>
      <c r="Z141" t="str">
        <f>_xlfn.XLOOKUP(ScenariosCombined[[#This Row],[Reference '#]],Scenarios1[Reference '#],Scenarios1[Sharpe Rank])</f>
        <v/>
      </c>
      <c r="AA141" t="str">
        <f>_xlfn.XLOOKUP(ScenariosCombined[[#This Row],[Reference '#]],Scenarios2[Reference '#],Scenarios2[Sharpe Rank])</f>
        <v/>
      </c>
      <c r="AB141">
        <f>_xlfn.XLOOKUP(ScenariosCombined[[#This Row],[Reference '#]],Scenarios3[Reference '#],Scenarios3[Sharpe Rank])</f>
        <v>106</v>
      </c>
      <c r="AE141"/>
      <c r="AI141" s="15"/>
    </row>
    <row r="142" spans="2:35" x14ac:dyDescent="0.2">
      <c r="B142" s="44">
        <v>113</v>
      </c>
      <c r="C142" s="68">
        <v>0.25</v>
      </c>
      <c r="D142" s="69">
        <v>0.3</v>
      </c>
      <c r="E142" s="69">
        <v>0.1</v>
      </c>
      <c r="F142" s="69">
        <v>0.2</v>
      </c>
      <c r="G142" s="69">
        <v>0.15</v>
      </c>
      <c r="H14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7.3749568462860127E-2</v>
      </c>
      <c r="I14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8.0260310412350544E-2</v>
      </c>
      <c r="J14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0.33321591668288858</v>
      </c>
      <c r="K14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-0.17241133098208905</v>
      </c>
      <c r="L142" s="69">
        <f>SUM(ScenariosCombined[[#This Row],[SPY]:[VNQ]])</f>
        <v>0.85000000000000009</v>
      </c>
      <c r="M142" s="69">
        <f>SUM(ScenariosCombined[[#This Row],[SPY]:[PE]])</f>
        <v>1</v>
      </c>
      <c r="N142" s="71" t="b">
        <f>ScenariosCombined[[#This Row],[SPY]]&gt;=SpyMin</f>
        <v>1</v>
      </c>
      <c r="O142" s="71" t="b">
        <f>ScenariosCombined[[#This Row],[AGG]]&gt;=AGGMin</f>
        <v>1</v>
      </c>
      <c r="P142" s="71" t="b">
        <f>AND(ScenariosCombined[[#This Row],[GLD]]&gt;=GLDMin,ScenariosCombined[[#This Row],[GLD]]&lt;=GLDMax)</f>
        <v>1</v>
      </c>
      <c r="Q142" s="71" t="b">
        <f>ScenariosCombined[[#This Row],[VNQ]]&gt;=VNQMin</f>
        <v>1</v>
      </c>
      <c r="R142" s="71" t="b">
        <f>AND(ScenariosCombined[[#This Row],[PE]]&gt;=PEMin,ScenariosCombined[[#This Row],[PE]]&lt;=PEMax)</f>
        <v>1</v>
      </c>
      <c r="S142" s="71" t="b">
        <f>ScenariosCombined[[#This Row],[Liquid Assets]]&gt;=LiquidMin</f>
        <v>1</v>
      </c>
      <c r="T142" s="71" t="b">
        <f>AND(ScenariosCombined[[#This Row],[Expected Return]]&gt;=ExpectedReturnMin,ScenariosCombined[[#This Row],[Expected Return]]&lt;=ExpectedReturnMax)</f>
        <v>0</v>
      </c>
      <c r="U142" s="71" t="b">
        <f>ScenariosCombined[[#This Row],[Max Drawdown]]&gt;=DrawdownMax</f>
        <v>1</v>
      </c>
      <c r="V142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2" s="46" t="str">
        <f>ScenariosCombined[[#This Row],[Sharpe Rank]]</f>
        <v/>
      </c>
      <c r="X142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2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25/30/10/20/15</v>
      </c>
      <c r="Z142" t="str">
        <f>_xlfn.XLOOKUP(ScenariosCombined[[#This Row],[Reference '#]],Scenarios1[Reference '#],Scenarios1[Sharpe Rank])</f>
        <v/>
      </c>
      <c r="AA142" t="str">
        <f>_xlfn.XLOOKUP(ScenariosCombined[[#This Row],[Reference '#]],Scenarios2[Reference '#],Scenarios2[Sharpe Rank])</f>
        <v/>
      </c>
      <c r="AB142">
        <f>_xlfn.XLOOKUP(ScenariosCombined[[#This Row],[Reference '#]],Scenarios3[Reference '#],Scenarios3[Sharpe Rank])</f>
        <v>108</v>
      </c>
      <c r="AE142"/>
      <c r="AI142" s="15"/>
    </row>
    <row r="143" spans="2:35" x14ac:dyDescent="0.2">
      <c r="B143" s="44">
        <v>122</v>
      </c>
      <c r="C143" s="68">
        <v>0.25</v>
      </c>
      <c r="D143" s="69">
        <v>0.25</v>
      </c>
      <c r="E143" s="69">
        <v>0.1</v>
      </c>
      <c r="F143" s="69">
        <v>0.25</v>
      </c>
      <c r="G143" s="69">
        <v>0.15</v>
      </c>
      <c r="H143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7.5333307809023586E-2</v>
      </c>
      <c r="I143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8.573351327486739E-2</v>
      </c>
      <c r="J143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0.33041632345856814</v>
      </c>
      <c r="K143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-0.18015492357456253</v>
      </c>
      <c r="L143" s="69">
        <f>SUM(ScenariosCombined[[#This Row],[SPY]:[VNQ]])</f>
        <v>0.85</v>
      </c>
      <c r="M143" s="69">
        <f>SUM(ScenariosCombined[[#This Row],[SPY]:[PE]])</f>
        <v>1</v>
      </c>
      <c r="N143" s="71" t="b">
        <f>ScenariosCombined[[#This Row],[SPY]]&gt;=SpyMin</f>
        <v>1</v>
      </c>
      <c r="O143" s="71" t="b">
        <f>ScenariosCombined[[#This Row],[AGG]]&gt;=AGGMin</f>
        <v>1</v>
      </c>
      <c r="P143" s="71" t="b">
        <f>AND(ScenariosCombined[[#This Row],[GLD]]&gt;=GLDMin,ScenariosCombined[[#This Row],[GLD]]&lt;=GLDMax)</f>
        <v>1</v>
      </c>
      <c r="Q143" s="71" t="b">
        <f>ScenariosCombined[[#This Row],[VNQ]]&gt;=VNQMin</f>
        <v>1</v>
      </c>
      <c r="R143" s="71" t="b">
        <f>AND(ScenariosCombined[[#This Row],[PE]]&gt;=PEMin,ScenariosCombined[[#This Row],[PE]]&lt;=PEMax)</f>
        <v>1</v>
      </c>
      <c r="S143" s="71" t="b">
        <f>ScenariosCombined[[#This Row],[Liquid Assets]]&gt;=LiquidMin</f>
        <v>1</v>
      </c>
      <c r="T143" s="71" t="b">
        <f>AND(ScenariosCombined[[#This Row],[Expected Return]]&gt;=ExpectedReturnMin,ScenariosCombined[[#This Row],[Expected Return]]&lt;=ExpectedReturnMax)</f>
        <v>1</v>
      </c>
      <c r="U143" s="71" t="b">
        <f>ScenariosCombined[[#This Row],[Max Drawdown]]&gt;=DrawdownMax</f>
        <v>1</v>
      </c>
      <c r="V143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43" s="46">
        <f>ScenariosCombined[[#This Row],[Sharpe Rank]]</f>
        <v>112</v>
      </c>
      <c r="X143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112</v>
      </c>
      <c r="Y143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25/25/10/25/15</v>
      </c>
      <c r="Z143" t="str">
        <f>_xlfn.XLOOKUP(ScenariosCombined[[#This Row],[Reference '#]],Scenarios1[Reference '#],Scenarios1[Sharpe Rank])</f>
        <v/>
      </c>
      <c r="AA143" t="str">
        <f>_xlfn.XLOOKUP(ScenariosCombined[[#This Row],[Reference '#]],Scenarios2[Reference '#],Scenarios2[Sharpe Rank])</f>
        <v/>
      </c>
      <c r="AB143">
        <f>_xlfn.XLOOKUP(ScenariosCombined[[#This Row],[Reference '#]],Scenarios3[Reference '#],Scenarios3[Sharpe Rank])</f>
        <v>109</v>
      </c>
      <c r="AE143"/>
      <c r="AI143" s="15"/>
    </row>
    <row r="144" spans="2:35" x14ac:dyDescent="0.2">
      <c r="B144" s="44">
        <v>131</v>
      </c>
      <c r="C144" s="68">
        <v>0.25</v>
      </c>
      <c r="D144" s="69">
        <v>0.2</v>
      </c>
      <c r="E144" s="69">
        <v>0.1</v>
      </c>
      <c r="F144" s="69">
        <v>0.3</v>
      </c>
      <c r="G144" s="69">
        <v>0.15</v>
      </c>
      <c r="H144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7.691704715518706E-2</v>
      </c>
      <c r="I144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9.1354600852352072E-2</v>
      </c>
      <c r="J144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0.32742184105182248</v>
      </c>
      <c r="K144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-0.18789657190822107</v>
      </c>
      <c r="L144" s="69">
        <f>SUM(ScenariosCombined[[#This Row],[SPY]:[VNQ]])</f>
        <v>0.85000000000000009</v>
      </c>
      <c r="M144" s="69">
        <f>SUM(ScenariosCombined[[#This Row],[SPY]:[PE]])</f>
        <v>1</v>
      </c>
      <c r="N144" s="71" t="b">
        <f>ScenariosCombined[[#This Row],[SPY]]&gt;=SpyMin</f>
        <v>1</v>
      </c>
      <c r="O144" s="71" t="b">
        <f>ScenariosCombined[[#This Row],[AGG]]&gt;=AGGMin</f>
        <v>1</v>
      </c>
      <c r="P144" s="71" t="b">
        <f>AND(ScenariosCombined[[#This Row],[GLD]]&gt;=GLDMin,ScenariosCombined[[#This Row],[GLD]]&lt;=GLDMax)</f>
        <v>1</v>
      </c>
      <c r="Q144" s="71" t="b">
        <f>ScenariosCombined[[#This Row],[VNQ]]&gt;=VNQMin</f>
        <v>1</v>
      </c>
      <c r="R144" s="71" t="b">
        <f>AND(ScenariosCombined[[#This Row],[PE]]&gt;=PEMin,ScenariosCombined[[#This Row],[PE]]&lt;=PEMax)</f>
        <v>1</v>
      </c>
      <c r="S144" s="71" t="b">
        <f>ScenariosCombined[[#This Row],[Liquid Assets]]&gt;=LiquidMin</f>
        <v>1</v>
      </c>
      <c r="T144" s="71" t="b">
        <f>AND(ScenariosCombined[[#This Row],[Expected Return]]&gt;=ExpectedReturnMin,ScenariosCombined[[#This Row],[Expected Return]]&lt;=ExpectedReturnMax)</f>
        <v>1</v>
      </c>
      <c r="U144" s="71" t="b">
        <f>ScenariosCombined[[#This Row],[Max Drawdown]]&gt;=DrawdownMax</f>
        <v>1</v>
      </c>
      <c r="V144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44" s="46">
        <f>ScenariosCombined[[#This Row],[Sharpe Rank]]</f>
        <v>113</v>
      </c>
      <c r="X144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113</v>
      </c>
      <c r="Y144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25/20/10/30/15</v>
      </c>
      <c r="Z144">
        <f>_xlfn.XLOOKUP(ScenariosCombined[[#This Row],[Reference '#]],Scenarios1[Reference '#],Scenarios1[Sharpe Rank])</f>
        <v>109</v>
      </c>
      <c r="AA144">
        <f>_xlfn.XLOOKUP(ScenariosCombined[[#This Row],[Reference '#]],Scenarios2[Reference '#],Scenarios2[Sharpe Rank])</f>
        <v>109</v>
      </c>
      <c r="AB144">
        <f>_xlfn.XLOOKUP(ScenariosCombined[[#This Row],[Reference '#]],Scenarios3[Reference '#],Scenarios3[Sharpe Rank])</f>
        <v>110</v>
      </c>
      <c r="AE144"/>
      <c r="AI144" s="15"/>
    </row>
    <row r="145" spans="2:35" x14ac:dyDescent="0.2">
      <c r="B145" s="44">
        <v>140</v>
      </c>
      <c r="C145" s="68">
        <v>0.25</v>
      </c>
      <c r="D145" s="69">
        <v>0.15</v>
      </c>
      <c r="E145" s="69">
        <v>0.1</v>
      </c>
      <c r="F145" s="69">
        <v>0.35</v>
      </c>
      <c r="G145" s="69">
        <v>0.15</v>
      </c>
      <c r="H145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7.850078650135052E-2</v>
      </c>
      <c r="I145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9.7097892988514276E-2</v>
      </c>
      <c r="J145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0.32436575065043433</v>
      </c>
      <c r="K145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-0.19563516063567976</v>
      </c>
      <c r="L145" s="69">
        <f>SUM(ScenariosCombined[[#This Row],[SPY]:[VNQ]])</f>
        <v>0.85</v>
      </c>
      <c r="M145" s="69">
        <f>SUM(ScenariosCombined[[#This Row],[SPY]:[PE]])</f>
        <v>1</v>
      </c>
      <c r="N145" s="71" t="b">
        <f>ScenariosCombined[[#This Row],[SPY]]&gt;=SpyMin</f>
        <v>1</v>
      </c>
      <c r="O145" s="71" t="b">
        <f>ScenariosCombined[[#This Row],[AGG]]&gt;=AGGMin</f>
        <v>1</v>
      </c>
      <c r="P145" s="71" t="b">
        <f>AND(ScenariosCombined[[#This Row],[GLD]]&gt;=GLDMin,ScenariosCombined[[#This Row],[GLD]]&lt;=GLDMax)</f>
        <v>1</v>
      </c>
      <c r="Q145" s="71" t="b">
        <f>ScenariosCombined[[#This Row],[VNQ]]&gt;=VNQMin</f>
        <v>1</v>
      </c>
      <c r="R145" s="71" t="b">
        <f>AND(ScenariosCombined[[#This Row],[PE]]&gt;=PEMin,ScenariosCombined[[#This Row],[PE]]&lt;=PEMax)</f>
        <v>1</v>
      </c>
      <c r="S145" s="71" t="b">
        <f>ScenariosCombined[[#This Row],[Liquid Assets]]&gt;=LiquidMin</f>
        <v>1</v>
      </c>
      <c r="T145" s="71" t="b">
        <f>AND(ScenariosCombined[[#This Row],[Expected Return]]&gt;=ExpectedReturnMin,ScenariosCombined[[#This Row],[Expected Return]]&lt;=ExpectedReturnMax)</f>
        <v>1</v>
      </c>
      <c r="U145" s="71" t="b">
        <f>ScenariosCombined[[#This Row],[Max Drawdown]]&gt;=DrawdownMax</f>
        <v>1</v>
      </c>
      <c r="V145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1</v>
      </c>
      <c r="W145" s="46">
        <f>ScenariosCombined[[#This Row],[Sharpe Rank]]</f>
        <v>114</v>
      </c>
      <c r="X145" s="44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>114</v>
      </c>
      <c r="Y145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25/15/10/35/15</v>
      </c>
      <c r="Z145">
        <f>_xlfn.XLOOKUP(ScenariosCombined[[#This Row],[Reference '#]],Scenarios1[Reference '#],Scenarios1[Sharpe Rank])</f>
        <v>110</v>
      </c>
      <c r="AA145">
        <f>_xlfn.XLOOKUP(ScenariosCombined[[#This Row],[Reference '#]],Scenarios2[Reference '#],Scenarios2[Sharpe Rank])</f>
        <v>110</v>
      </c>
      <c r="AB145">
        <f>_xlfn.XLOOKUP(ScenariosCombined[[#This Row],[Reference '#]],Scenarios3[Reference '#],Scenarios3[Sharpe Rank])</f>
        <v>111</v>
      </c>
      <c r="AE145"/>
      <c r="AI145" s="15"/>
    </row>
    <row r="146" spans="2:35" x14ac:dyDescent="0.2">
      <c r="B146" s="44">
        <v>104</v>
      </c>
      <c r="C146" s="68">
        <v>0.25</v>
      </c>
      <c r="D146" s="69">
        <v>0.35</v>
      </c>
      <c r="E146" s="69">
        <v>0.1</v>
      </c>
      <c r="F146" s="69">
        <v>0.2</v>
      </c>
      <c r="G146" s="69">
        <v>0.1</v>
      </c>
      <c r="H146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7.1647353736595101E-2</v>
      </c>
      <c r="I146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8.2794734375270448E-2</v>
      </c>
      <c r="J146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0.29762518555044359</v>
      </c>
      <c r="K146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-0.17909271339796062</v>
      </c>
      <c r="L146" s="69">
        <f>SUM(ScenariosCombined[[#This Row],[SPY]:[VNQ]])</f>
        <v>0.89999999999999991</v>
      </c>
      <c r="M146" s="69">
        <f>SUM(ScenariosCombined[[#This Row],[SPY]:[PE]])</f>
        <v>0.99999999999999989</v>
      </c>
      <c r="N146" s="71" t="b">
        <f>ScenariosCombined[[#This Row],[SPY]]&gt;=SpyMin</f>
        <v>1</v>
      </c>
      <c r="O146" s="71" t="b">
        <f>ScenariosCombined[[#This Row],[AGG]]&gt;=AGGMin</f>
        <v>1</v>
      </c>
      <c r="P146" s="71" t="b">
        <f>AND(ScenariosCombined[[#This Row],[GLD]]&gt;=GLDMin,ScenariosCombined[[#This Row],[GLD]]&lt;=GLDMax)</f>
        <v>1</v>
      </c>
      <c r="Q146" s="71" t="b">
        <f>ScenariosCombined[[#This Row],[VNQ]]&gt;=VNQMin</f>
        <v>1</v>
      </c>
      <c r="R146" s="71" t="b">
        <f>AND(ScenariosCombined[[#This Row],[PE]]&gt;=PEMin,ScenariosCombined[[#This Row],[PE]]&lt;=PEMax)</f>
        <v>1</v>
      </c>
      <c r="S146" s="71" t="b">
        <f>ScenariosCombined[[#This Row],[Liquid Assets]]&gt;=LiquidMin</f>
        <v>1</v>
      </c>
      <c r="T146" s="71" t="b">
        <f>AND(ScenariosCombined[[#This Row],[Expected Return]]&gt;=ExpectedReturnMin,ScenariosCombined[[#This Row],[Expected Return]]&lt;=ExpectedReturnMax)</f>
        <v>0</v>
      </c>
      <c r="U146" s="71" t="b">
        <f>ScenariosCombined[[#This Row],[Max Drawdown]]&gt;=DrawdownMax</f>
        <v>1</v>
      </c>
      <c r="V146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6" s="46" t="str">
        <f>ScenariosCombined[[#This Row],[Sharpe Rank]]</f>
        <v/>
      </c>
      <c r="X146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6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25/35/10/20/10</v>
      </c>
      <c r="Z146" t="str">
        <f>_xlfn.XLOOKUP(ScenariosCombined[[#This Row],[Reference '#]],Scenarios1[Reference '#],Scenarios1[Sharpe Rank])</f>
        <v/>
      </c>
      <c r="AA146" t="str">
        <f>_xlfn.XLOOKUP(ScenariosCombined[[#This Row],[Reference '#]],Scenarios2[Reference '#],Scenarios2[Sharpe Rank])</f>
        <v/>
      </c>
      <c r="AB146" t="str">
        <f>_xlfn.XLOOKUP(ScenariosCombined[[#This Row],[Reference '#]],Scenarios3[Reference '#],Scenarios3[Sharpe Rank])</f>
        <v/>
      </c>
      <c r="AE146"/>
      <c r="AI146" s="15"/>
    </row>
    <row r="147" spans="2:35" x14ac:dyDescent="0.2">
      <c r="B147" s="44">
        <v>99</v>
      </c>
      <c r="C147" s="68">
        <v>0.25</v>
      </c>
      <c r="D147" s="69">
        <v>0.4</v>
      </c>
      <c r="E147" s="69">
        <v>0.1</v>
      </c>
      <c r="F147" s="69">
        <v>0.15</v>
      </c>
      <c r="G147" s="69">
        <v>0.1</v>
      </c>
      <c r="H147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7.0063614390431628E-2</v>
      </c>
      <c r="I147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7.7491584539275848E-2</v>
      </c>
      <c r="J147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0.29755565035825704</v>
      </c>
      <c r="K147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-0.17138849256768163</v>
      </c>
      <c r="L147" s="69">
        <f>SUM(ScenariosCombined[[#This Row],[SPY]:[VNQ]])</f>
        <v>0.9</v>
      </c>
      <c r="M147" s="69">
        <f>SUM(ScenariosCombined[[#This Row],[SPY]:[PE]])</f>
        <v>1</v>
      </c>
      <c r="N147" s="71" t="b">
        <f>ScenariosCombined[[#This Row],[SPY]]&gt;=SpyMin</f>
        <v>1</v>
      </c>
      <c r="O147" s="71" t="b">
        <f>ScenariosCombined[[#This Row],[AGG]]&gt;=AGGMin</f>
        <v>1</v>
      </c>
      <c r="P147" s="71" t="b">
        <f>AND(ScenariosCombined[[#This Row],[GLD]]&gt;=GLDMin,ScenariosCombined[[#This Row],[GLD]]&lt;=GLDMax)</f>
        <v>1</v>
      </c>
      <c r="Q147" s="71" t="b">
        <f>ScenariosCombined[[#This Row],[VNQ]]&gt;=VNQMin</f>
        <v>1</v>
      </c>
      <c r="R147" s="71" t="b">
        <f>AND(ScenariosCombined[[#This Row],[PE]]&gt;=PEMin,ScenariosCombined[[#This Row],[PE]]&lt;=PEMax)</f>
        <v>1</v>
      </c>
      <c r="S147" s="71" t="b">
        <f>ScenariosCombined[[#This Row],[Liquid Assets]]&gt;=LiquidMin</f>
        <v>1</v>
      </c>
      <c r="T147" s="71" t="b">
        <f>AND(ScenariosCombined[[#This Row],[Expected Return]]&gt;=ExpectedReturnMin,ScenariosCombined[[#This Row],[Expected Return]]&lt;=ExpectedReturnMax)</f>
        <v>0</v>
      </c>
      <c r="U147" s="71" t="b">
        <f>ScenariosCombined[[#This Row],[Max Drawdown]]&gt;=DrawdownMax</f>
        <v>1</v>
      </c>
      <c r="V147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7" s="46" t="str">
        <f>ScenariosCombined[[#This Row],[Sharpe Rank]]</f>
        <v/>
      </c>
      <c r="X147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7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25/40/10/15/10</v>
      </c>
      <c r="Z147" t="str">
        <f>_xlfn.XLOOKUP(ScenariosCombined[[#This Row],[Reference '#]],Scenarios1[Reference '#],Scenarios1[Sharpe Rank])</f>
        <v/>
      </c>
      <c r="AA147" t="str">
        <f>_xlfn.XLOOKUP(ScenariosCombined[[#This Row],[Reference '#]],Scenarios2[Reference '#],Scenarios2[Sharpe Rank])</f>
        <v/>
      </c>
      <c r="AB147" t="str">
        <f>_xlfn.XLOOKUP(ScenariosCombined[[#This Row],[Reference '#]],Scenarios3[Reference '#],Scenarios3[Sharpe Rank])</f>
        <v/>
      </c>
      <c r="AE147"/>
      <c r="AI147" s="15"/>
    </row>
    <row r="148" spans="2:35" x14ac:dyDescent="0.2">
      <c r="B148" s="112">
        <v>112</v>
      </c>
      <c r="C148" s="113">
        <v>0.25</v>
      </c>
      <c r="D148" s="114">
        <v>0.3</v>
      </c>
      <c r="E148" s="114">
        <v>0.1</v>
      </c>
      <c r="F148" s="114">
        <v>0.25</v>
      </c>
      <c r="G148" s="114">
        <v>0.1</v>
      </c>
      <c r="H148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7.3231093082758589E-2</v>
      </c>
      <c r="I148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8.827174142165288E-2</v>
      </c>
      <c r="J148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0.29710003569466181</v>
      </c>
      <c r="K148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-0.1867958072968543</v>
      </c>
      <c r="L148" s="114">
        <f>SUM(ScenariosCombined[[#This Row],[SPY]:[VNQ]])</f>
        <v>0.9</v>
      </c>
      <c r="M148" s="114">
        <f>SUM(ScenariosCombined[[#This Row],[SPY]:[PE]])</f>
        <v>1</v>
      </c>
      <c r="N148" s="116" t="b">
        <f>ScenariosCombined[[#This Row],[SPY]]&gt;=SpyMin</f>
        <v>1</v>
      </c>
      <c r="O148" s="116" t="b">
        <f>ScenariosCombined[[#This Row],[AGG]]&gt;=AGGMin</f>
        <v>1</v>
      </c>
      <c r="P148" s="116" t="b">
        <f>AND(ScenariosCombined[[#This Row],[GLD]]&gt;=GLDMin,ScenariosCombined[[#This Row],[GLD]]&lt;=GLDMax)</f>
        <v>1</v>
      </c>
      <c r="Q148" s="116" t="b">
        <f>ScenariosCombined[[#This Row],[VNQ]]&gt;=VNQMin</f>
        <v>1</v>
      </c>
      <c r="R148" s="116" t="b">
        <f>AND(ScenariosCombined[[#This Row],[PE]]&gt;=PEMin,ScenariosCombined[[#This Row],[PE]]&lt;=PEMax)</f>
        <v>1</v>
      </c>
      <c r="S148" s="116" t="b">
        <f>ScenariosCombined[[#This Row],[Liquid Assets]]&gt;=LiquidMin</f>
        <v>1</v>
      </c>
      <c r="T148" s="116" t="b">
        <f>AND(ScenariosCombined[[#This Row],[Expected Return]]&gt;=ExpectedReturnMin,ScenariosCombined[[#This Row],[Expected Return]]&lt;=ExpectedReturnMax)</f>
        <v>0</v>
      </c>
      <c r="U148" s="116" t="b">
        <f>ScenariosCombined[[#This Row],[Max Drawdown]]&gt;=DrawdownMax</f>
        <v>1</v>
      </c>
      <c r="V148" s="117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8" s="118" t="str">
        <f>ScenariosCombined[[#This Row],[Sharpe Rank]]</f>
        <v/>
      </c>
      <c r="X148" s="112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8" s="119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25/30/10/25/10</v>
      </c>
      <c r="Z148" s="120" t="str">
        <f>_xlfn.XLOOKUP(ScenariosCombined[[#This Row],[Reference '#]],Scenarios1[Reference '#],Scenarios1[Sharpe Rank])</f>
        <v/>
      </c>
      <c r="AA148" s="120" t="str">
        <f>_xlfn.XLOOKUP(ScenariosCombined[[#This Row],[Reference '#]],Scenarios2[Reference '#],Scenarios2[Sharpe Rank])</f>
        <v/>
      </c>
      <c r="AB148" s="120">
        <f>_xlfn.XLOOKUP(ScenariosCombined[[#This Row],[Reference '#]],Scenarios3[Reference '#],Scenarios3[Sharpe Rank])</f>
        <v>112</v>
      </c>
      <c r="AE148"/>
      <c r="AI148" s="15"/>
    </row>
    <row r="149" spans="2:35" x14ac:dyDescent="0.2">
      <c r="B149" s="44">
        <v>97</v>
      </c>
      <c r="C149" s="68">
        <v>0.25</v>
      </c>
      <c r="D149" s="69">
        <v>0.45</v>
      </c>
      <c r="E149" s="69">
        <v>0.1</v>
      </c>
      <c r="F149" s="69">
        <v>0.1</v>
      </c>
      <c r="G149" s="69">
        <v>0.1</v>
      </c>
      <c r="H149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6.8479875044268154E-2</v>
      </c>
      <c r="I149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7.2400505771849311E-2</v>
      </c>
      <c r="J149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0.29660455075249259</v>
      </c>
      <c r="K149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-0.16368427588701906</v>
      </c>
      <c r="L149" s="69">
        <f>SUM(ScenariosCombined[[#This Row],[SPY]:[VNQ]])</f>
        <v>0.89999999999999991</v>
      </c>
      <c r="M149" s="69">
        <f>SUM(ScenariosCombined[[#This Row],[SPY]:[PE]])</f>
        <v>0.99999999999999989</v>
      </c>
      <c r="N149" s="71" t="b">
        <f>ScenariosCombined[[#This Row],[SPY]]&gt;=SpyMin</f>
        <v>1</v>
      </c>
      <c r="O149" s="71" t="b">
        <f>ScenariosCombined[[#This Row],[AGG]]&gt;=AGGMin</f>
        <v>1</v>
      </c>
      <c r="P149" s="71" t="b">
        <f>AND(ScenariosCombined[[#This Row],[GLD]]&gt;=GLDMin,ScenariosCombined[[#This Row],[GLD]]&lt;=GLDMax)</f>
        <v>1</v>
      </c>
      <c r="Q149" s="71" t="b">
        <f>ScenariosCombined[[#This Row],[VNQ]]&gt;=VNQMin</f>
        <v>1</v>
      </c>
      <c r="R149" s="71" t="b">
        <f>AND(ScenariosCombined[[#This Row],[PE]]&gt;=PEMin,ScenariosCombined[[#This Row],[PE]]&lt;=PEMax)</f>
        <v>1</v>
      </c>
      <c r="S149" s="71" t="b">
        <f>ScenariosCombined[[#This Row],[Liquid Assets]]&gt;=LiquidMin</f>
        <v>1</v>
      </c>
      <c r="T149" s="71" t="b">
        <f>AND(ScenariosCombined[[#This Row],[Expected Return]]&gt;=ExpectedReturnMin,ScenariosCombined[[#This Row],[Expected Return]]&lt;=ExpectedReturnMax)</f>
        <v>0</v>
      </c>
      <c r="U149" s="71" t="b">
        <f>ScenariosCombined[[#This Row],[Max Drawdown]]&gt;=DrawdownMax</f>
        <v>1</v>
      </c>
      <c r="V149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49" s="46" t="str">
        <f>ScenariosCombined[[#This Row],[Sharpe Rank]]</f>
        <v/>
      </c>
      <c r="X149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49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25/45/10/10/10</v>
      </c>
      <c r="Z149" t="str">
        <f>_xlfn.XLOOKUP(ScenariosCombined[[#This Row],[Reference '#]],Scenarios1[Reference '#],Scenarios1[Sharpe Rank])</f>
        <v/>
      </c>
      <c r="AA149" t="str">
        <f>_xlfn.XLOOKUP(ScenariosCombined[[#This Row],[Reference '#]],Scenarios2[Reference '#],Scenarios2[Sharpe Rank])</f>
        <v/>
      </c>
      <c r="AB149" t="str">
        <f>_xlfn.XLOOKUP(ScenariosCombined[[#This Row],[Reference '#]],Scenarios3[Reference '#],Scenarios3[Sharpe Rank])</f>
        <v/>
      </c>
      <c r="AE149"/>
      <c r="AI149" s="15"/>
    </row>
    <row r="150" spans="2:35" x14ac:dyDescent="0.2">
      <c r="B150" s="44">
        <v>121</v>
      </c>
      <c r="C150" s="68">
        <v>0.25</v>
      </c>
      <c r="D150" s="69">
        <v>0.25</v>
      </c>
      <c r="E150" s="69">
        <v>0.1</v>
      </c>
      <c r="F150" s="69">
        <v>0.3</v>
      </c>
      <c r="G150" s="69">
        <v>0.1</v>
      </c>
      <c r="H150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7.4814832428922048E-2</v>
      </c>
      <c r="I150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9.389218580066401E-2</v>
      </c>
      <c r="J150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0.2961830810117303</v>
      </c>
      <c r="K150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-0.19449665540918404</v>
      </c>
      <c r="L150" s="69">
        <f>SUM(ScenariosCombined[[#This Row],[SPY]:[VNQ]])</f>
        <v>0.89999999999999991</v>
      </c>
      <c r="M150" s="69">
        <f>SUM(ScenariosCombined[[#This Row],[SPY]:[PE]])</f>
        <v>0.99999999999999989</v>
      </c>
      <c r="N150" s="71" t="b">
        <f>ScenariosCombined[[#This Row],[SPY]]&gt;=SpyMin</f>
        <v>1</v>
      </c>
      <c r="O150" s="71" t="b">
        <f>ScenariosCombined[[#This Row],[AGG]]&gt;=AGGMin</f>
        <v>1</v>
      </c>
      <c r="P150" s="71" t="b">
        <f>AND(ScenariosCombined[[#This Row],[GLD]]&gt;=GLDMin,ScenariosCombined[[#This Row],[GLD]]&lt;=GLDMax)</f>
        <v>1</v>
      </c>
      <c r="Q150" s="71" t="b">
        <f>ScenariosCombined[[#This Row],[VNQ]]&gt;=VNQMin</f>
        <v>1</v>
      </c>
      <c r="R150" s="71" t="b">
        <f>AND(ScenariosCombined[[#This Row],[PE]]&gt;=PEMin,ScenariosCombined[[#This Row],[PE]]&lt;=PEMax)</f>
        <v>1</v>
      </c>
      <c r="S150" s="71" t="b">
        <f>ScenariosCombined[[#This Row],[Liquid Assets]]&gt;=LiquidMin</f>
        <v>1</v>
      </c>
      <c r="T150" s="71" t="b">
        <f>AND(ScenariosCombined[[#This Row],[Expected Return]]&gt;=ExpectedReturnMin,ScenariosCombined[[#This Row],[Expected Return]]&lt;=ExpectedReturnMax)</f>
        <v>0</v>
      </c>
      <c r="U150" s="71" t="b">
        <f>ScenariosCombined[[#This Row],[Max Drawdown]]&gt;=DrawdownMax</f>
        <v>1</v>
      </c>
      <c r="V150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50" s="46" t="str">
        <f>ScenariosCombined[[#This Row],[Sharpe Rank]]</f>
        <v/>
      </c>
      <c r="X150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50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25/25/10/30/10</v>
      </c>
      <c r="Z150" t="str">
        <f>_xlfn.XLOOKUP(ScenariosCombined[[#This Row],[Reference '#]],Scenarios1[Reference '#],Scenarios1[Sharpe Rank])</f>
        <v/>
      </c>
      <c r="AA150" t="str">
        <f>_xlfn.XLOOKUP(ScenariosCombined[[#This Row],[Reference '#]],Scenarios2[Reference '#],Scenarios2[Sharpe Rank])</f>
        <v/>
      </c>
      <c r="AB150">
        <f>_xlfn.XLOOKUP(ScenariosCombined[[#This Row],[Reference '#]],Scenarios3[Reference '#],Scenarios3[Sharpe Rank])</f>
        <v>113</v>
      </c>
      <c r="AE150"/>
      <c r="AI150" s="15"/>
    </row>
    <row r="151" spans="2:35" x14ac:dyDescent="0.2">
      <c r="B151" s="44">
        <v>130</v>
      </c>
      <c r="C151" s="68">
        <v>0.25</v>
      </c>
      <c r="D151" s="69">
        <v>0.2</v>
      </c>
      <c r="E151" s="69">
        <v>0.1</v>
      </c>
      <c r="F151" s="69">
        <v>0.35</v>
      </c>
      <c r="G151" s="69">
        <v>0.1</v>
      </c>
      <c r="H151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7.6398571775085508E-2</v>
      </c>
      <c r="I151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9.9631795641338214E-2</v>
      </c>
      <c r="J151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0.29501642553287993</v>
      </c>
      <c r="K151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-0.20219415117514361</v>
      </c>
      <c r="L151" s="69">
        <f>SUM(ScenariosCombined[[#This Row],[SPY]:[VNQ]])</f>
        <v>0.9</v>
      </c>
      <c r="M151" s="69">
        <f>SUM(ScenariosCombined[[#This Row],[SPY]:[PE]])</f>
        <v>1</v>
      </c>
      <c r="N151" s="71" t="b">
        <f>ScenariosCombined[[#This Row],[SPY]]&gt;=SpyMin</f>
        <v>1</v>
      </c>
      <c r="O151" s="71" t="b">
        <f>ScenariosCombined[[#This Row],[AGG]]&gt;=AGGMin</f>
        <v>1</v>
      </c>
      <c r="P151" s="71" t="b">
        <f>AND(ScenariosCombined[[#This Row],[GLD]]&gt;=GLDMin,ScenariosCombined[[#This Row],[GLD]]&lt;=GLDMax)</f>
        <v>1</v>
      </c>
      <c r="Q151" s="71" t="b">
        <f>ScenariosCombined[[#This Row],[VNQ]]&gt;=VNQMin</f>
        <v>1</v>
      </c>
      <c r="R151" s="71" t="b">
        <f>AND(ScenariosCombined[[#This Row],[PE]]&gt;=PEMin,ScenariosCombined[[#This Row],[PE]]&lt;=PEMax)</f>
        <v>1</v>
      </c>
      <c r="S151" s="71" t="b">
        <f>ScenariosCombined[[#This Row],[Liquid Assets]]&gt;=LiquidMin</f>
        <v>1</v>
      </c>
      <c r="T151" s="71" t="b">
        <f>AND(ScenariosCombined[[#This Row],[Expected Return]]&gt;=ExpectedReturnMin,ScenariosCombined[[#This Row],[Expected Return]]&lt;=ExpectedReturnMax)</f>
        <v>1</v>
      </c>
      <c r="U151" s="71" t="b">
        <f>ScenariosCombined[[#This Row],[Max Drawdown]]&gt;=DrawdownMax</f>
        <v>0</v>
      </c>
      <c r="V151" s="72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51" s="46" t="str">
        <f>ScenariosCombined[[#This Row],[Sharpe Rank]]</f>
        <v/>
      </c>
      <c r="X151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51" s="47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25/20/10/35/10</v>
      </c>
      <c r="Z151" t="str">
        <f>_xlfn.XLOOKUP(ScenariosCombined[[#This Row],[Reference '#]],Scenarios1[Reference '#],Scenarios1[Sharpe Rank])</f>
        <v/>
      </c>
      <c r="AA151" t="str">
        <f>_xlfn.XLOOKUP(ScenariosCombined[[#This Row],[Reference '#]],Scenarios2[Reference '#],Scenarios2[Sharpe Rank])</f>
        <v/>
      </c>
      <c r="AB151" t="str">
        <f>_xlfn.XLOOKUP(ScenariosCombined[[#This Row],[Reference '#]],Scenarios3[Reference '#],Scenarios3[Sharpe Rank])</f>
        <v/>
      </c>
      <c r="AE151"/>
      <c r="AI151" s="15"/>
    </row>
    <row r="152" spans="2:35" x14ac:dyDescent="0.2">
      <c r="B152" s="44">
        <v>139</v>
      </c>
      <c r="C152" s="77">
        <v>0.25</v>
      </c>
      <c r="D152" s="78">
        <v>0.15</v>
      </c>
      <c r="E152" s="78">
        <v>0.1</v>
      </c>
      <c r="F152" s="78">
        <v>0.4</v>
      </c>
      <c r="G152" s="78">
        <v>0.1</v>
      </c>
      <c r="H152" s="69">
        <f>AVERAGE(_xlfn.XLOOKUP(ScenariosCombined[[#This Row],[Reference '#]],Scenarios1[Reference '#],Scenarios1[Expected Return]),_xlfn.XLOOKUP(ScenariosCombined[[#This Row],[Reference '#]],Scenarios2[Reference '#],Scenarios2[Expected Return]),_xlfn.XLOOKUP(ScenariosCombined[[#This Row],[Reference '#]],Scenarios3[Reference '#],Scenarios3[Expected Return]))</f>
        <v>7.7982311121248982E-2</v>
      </c>
      <c r="I152" s="69">
        <f>AVERAGE(_xlfn.XLOOKUP(ScenariosCombined[[#This Row],[Reference '#]],Scenarios1[Reference '#],Scenarios1[36M Vol]),_xlfn.XLOOKUP(ScenariosCombined[[#This Row],[Reference '#]],Scenarios2[Reference '#],Scenarios2[36M Vol]),_xlfn.XLOOKUP(ScenariosCombined[[#This Row],[Reference '#]],Scenarios3[Reference '#],Scenarios3[36M Vol]))</f>
        <v>0.1054711182195583</v>
      </c>
      <c r="J152" s="136">
        <f>AVERAGE(_xlfn.XLOOKUP(ScenariosCombined[[#This Row],[Reference '#]],Scenarios1[Reference '#],Scenarios1[Sharpe]),_xlfn.XLOOKUP(ScenariosCombined[[#This Row],[Reference '#]],Scenarios2[Reference '#],Scenarios2[Sharpe]),_xlfn.XLOOKUP(ScenariosCombined[[#This Row],[Reference '#]],Scenarios3[Reference '#],Scenarios3[Sharpe]))</f>
        <v>0.29369893946899656</v>
      </c>
      <c r="K152" s="107">
        <f>AVERAGE(_xlfn.XLOOKUP(ScenariosCombined[[#This Row],[Reference '#]],Scenarios1[Reference '#],Scenarios1[Max Drawdown]),_xlfn.XLOOKUP(ScenariosCombined[[#This Row],[Reference '#]],Scenarios2[Reference '#],Scenarios2[Max Drawdown]),_xlfn.XLOOKUP(ScenariosCombined[[#This Row],[Reference '#]],Scenarios3[Reference '#],Scenarios3[Max Drawdown]))</f>
        <v>-0.20988720039690845</v>
      </c>
      <c r="L152" s="78">
        <f>SUM(ScenariosCombined[[#This Row],[SPY]:[VNQ]])</f>
        <v>0.9</v>
      </c>
      <c r="M152" s="78">
        <f>SUM(ScenariosCombined[[#This Row],[SPY]:[PE]])</f>
        <v>1</v>
      </c>
      <c r="N152" s="71" t="b">
        <f>ScenariosCombined[[#This Row],[SPY]]&gt;=SpyMin</f>
        <v>1</v>
      </c>
      <c r="O152" s="71" t="b">
        <f>ScenariosCombined[[#This Row],[AGG]]&gt;=AGGMin</f>
        <v>1</v>
      </c>
      <c r="P152" s="71" t="b">
        <f>AND(ScenariosCombined[[#This Row],[GLD]]&gt;=GLDMin,ScenariosCombined[[#This Row],[GLD]]&lt;=GLDMax)</f>
        <v>1</v>
      </c>
      <c r="Q152" s="71" t="b">
        <f>ScenariosCombined[[#This Row],[VNQ]]&gt;=VNQMin</f>
        <v>1</v>
      </c>
      <c r="R152" s="71" t="b">
        <f>AND(ScenariosCombined[[#This Row],[PE]]&gt;=PEMin,ScenariosCombined[[#This Row],[PE]]&lt;=PEMax)</f>
        <v>1</v>
      </c>
      <c r="S152" s="71" t="b">
        <f>ScenariosCombined[[#This Row],[Liquid Assets]]&gt;=LiquidMin</f>
        <v>1</v>
      </c>
      <c r="T152" s="71" t="b">
        <f>AND(ScenariosCombined[[#This Row],[Expected Return]]&gt;=ExpectedReturnMin,ScenariosCombined[[#This Row],[Expected Return]]&lt;=ExpectedReturnMax)</f>
        <v>1</v>
      </c>
      <c r="U152" s="71" t="b">
        <f>ScenariosCombined[[#This Row],[Max Drawdown]]&gt;=DrawdownMax</f>
        <v>0</v>
      </c>
      <c r="V152" s="79" t="b">
        <f>AND(ScenariosCombined[[#This Row],[Weight Sum]]=100%,ScenariosCombined[[#This Row],[SPY&gt;=25%]],ScenariosCombined[[#This Row],[AGG&gt;=15%]],ScenariosCombined[[#This Row],[GLD 10%-20%]],ScenariosCombined[[#This Row],[VNQ&gt;=10%]],ScenariosCombined[[#This Row],[PE 10%-20%]],ScenariosCombined[[#This Row],[Liquid&gt;=80%]],ScenariosCombined[[#This Row],[Return 7.5%-10%]],ScenariosCombined[[#This Row],[MDD&gt;=-20%]])</f>
        <v>0</v>
      </c>
      <c r="W152" s="48" t="str">
        <f>ScenariosCombined[[#This Row],[Sharpe Rank]]</f>
        <v/>
      </c>
      <c r="X152" s="44" t="str">
        <f>IF(ScenariosCombined[[#This Row],[Eligible]],COUNTIFS(ScenariosCombined[Sharpe],"&gt;"&amp;ScenariosCombined[[#This Row],[Sharpe]],ScenariosCombined[Eligible],TRUE())+COUNTIFS(ScenariosCombined[Sharpe],ScenariosCombined[[#This Row],[Sharpe]],ScenariosCombined[Eligible],TRUE()),"")</f>
        <v/>
      </c>
      <c r="Y152" s="49" t="str">
        <f>TEXT(ScenariosCombined[[#This Row],[SPY]]*100,"##")&amp;"/"&amp;TEXT(ScenariosCombined[[#This Row],[AGG]]*100,"##")&amp;"/"&amp;TEXT(ScenariosCombined[[#This Row],[GLD]]*100,"##")&amp;"/"&amp;TEXT(ScenariosCombined[[#This Row],[VNQ]]*100,"##")&amp;"/"&amp;TEXT(ScenariosCombined[[#This Row],[PE]]*100,"##")</f>
        <v>25/15/10/40/10</v>
      </c>
      <c r="Z152" t="str">
        <f>_xlfn.XLOOKUP(ScenariosCombined[[#This Row],[Reference '#]],Scenarios1[Reference '#],Scenarios1[Sharpe Rank])</f>
        <v/>
      </c>
      <c r="AA152" t="str">
        <f>_xlfn.XLOOKUP(ScenariosCombined[[#This Row],[Reference '#]],Scenarios2[Reference '#],Scenarios2[Sharpe Rank])</f>
        <v/>
      </c>
      <c r="AB152" t="str">
        <f>_xlfn.XLOOKUP(ScenariosCombined[[#This Row],[Reference '#]],Scenarios3[Reference '#],Scenarios3[Sharpe Rank])</f>
        <v/>
      </c>
      <c r="AE152"/>
      <c r="AI152" s="15"/>
    </row>
  </sheetData>
  <mergeCells count="1">
    <mergeCell ref="H10:K10"/>
  </mergeCells>
  <conditionalFormatting sqref="V12:V152">
    <cfRule type="containsText" dxfId="1" priority="1" operator="containsText" text="TRUE">
      <formula>NOT(ISERROR(SEARCH("TRUE",V12)))</formula>
    </cfRule>
    <cfRule type="containsText" dxfId="0" priority="2" operator="containsText" text="FALSE">
      <formula>NOT(ISERROR(SEARCH("FALSE",V12)))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N47"/>
  <sheetViews>
    <sheetView topLeftCell="A50" zoomScaleNormal="100" workbookViewId="0">
      <selection activeCell="I65" sqref="I65"/>
    </sheetView>
  </sheetViews>
  <sheetFormatPr baseColWidth="10" defaultColWidth="8.83203125" defaultRowHeight="15" outlineLevelCol="1" x14ac:dyDescent="0.2"/>
  <cols>
    <col min="1" max="1" width="3.5" customWidth="1"/>
    <col min="2" max="3" width="15.5" customWidth="1"/>
    <col min="4" max="8" width="15.5" customWidth="1" outlineLevel="1"/>
    <col min="9" max="9" width="15.5" customWidth="1"/>
    <col min="10" max="14" width="15.5" customWidth="1" outlineLevel="1"/>
  </cols>
  <sheetData>
    <row r="1" spans="2:14" ht="19" x14ac:dyDescent="0.25">
      <c r="B1" s="82" t="s">
        <v>33</v>
      </c>
    </row>
    <row r="2" spans="2:14" ht="16" thickBot="1" x14ac:dyDescent="0.25"/>
    <row r="3" spans="2:14" ht="17" thickBot="1" x14ac:dyDescent="0.25">
      <c r="B3" s="66" t="s">
        <v>648</v>
      </c>
      <c r="C3" s="94">
        <v>1</v>
      </c>
      <c r="F3" s="190" t="s">
        <v>652</v>
      </c>
      <c r="G3" s="191"/>
      <c r="H3" s="191"/>
      <c r="I3" s="161"/>
    </row>
    <row r="4" spans="2:14" ht="16" x14ac:dyDescent="0.2">
      <c r="B4" s="10" t="s">
        <v>0</v>
      </c>
      <c r="C4" s="11" t="s">
        <v>34</v>
      </c>
      <c r="D4" s="12" t="s">
        <v>649</v>
      </c>
      <c r="F4" s="60" t="s">
        <v>35</v>
      </c>
      <c r="G4" s="60" t="s">
        <v>36</v>
      </c>
      <c r="H4" s="21" t="s">
        <v>651</v>
      </c>
      <c r="I4" s="161"/>
    </row>
    <row r="5" spans="2:14" x14ac:dyDescent="0.2">
      <c r="B5" s="61" t="s">
        <v>8</v>
      </c>
      <c r="C5" s="53">
        <f>_xlfn.XLOOKUP($C$3,OverallRank[Overall Rank],OverallRank[SPY])</f>
        <v>0.35</v>
      </c>
      <c r="D5" s="83">
        <f>C5*AUM</f>
        <v>87.5</v>
      </c>
      <c r="F5" s="91">
        <v>43862</v>
      </c>
      <c r="G5" s="91">
        <v>44166</v>
      </c>
      <c r="H5" s="57" cm="1">
        <f t="array" ref="H5">PRODUCT(1+INDEX(AssetMonthlyReturns[Portfolio Return],MATCH(StressWindow[[#This Row],[Start]],AssetMonthlyReturns[Date],0)):INDEX(AssetMonthlyReturns[Portfolio Return],MATCH(StressWindow[[#This Row],[End]],AssetMonthlyReturns[Date],0)))-1</f>
        <v>0.12253513593302912</v>
      </c>
      <c r="I5" s="162"/>
    </row>
    <row r="6" spans="2:14" x14ac:dyDescent="0.2">
      <c r="B6" s="61" t="s">
        <v>9</v>
      </c>
      <c r="C6" s="53">
        <f>_xlfn.XLOOKUP($C$3,OverallRank[Overall Rank],OverallRank[AGG])</f>
        <v>0.15</v>
      </c>
      <c r="D6" s="83">
        <f>C6*AUM</f>
        <v>37.5</v>
      </c>
      <c r="F6" s="91">
        <v>44562</v>
      </c>
      <c r="G6" s="91">
        <v>44835</v>
      </c>
      <c r="H6" s="57" cm="1">
        <f t="array" ref="H6">PRODUCT(1+INDEX(AssetMonthlyReturns[Portfolio Return],MATCH(StressWindow[[#This Row],[Start]],AssetMonthlyReturns[Date],0)):INDEX(AssetMonthlyReturns[Portfolio Return],MATCH(StressWindow[[#This Row],[End]],AssetMonthlyReturns[Date],0)))-1</f>
        <v>-0.128020205923293</v>
      </c>
      <c r="I6" s="162"/>
    </row>
    <row r="7" spans="2:14" x14ac:dyDescent="0.2">
      <c r="B7" s="61" t="s">
        <v>10</v>
      </c>
      <c r="C7" s="53">
        <f>_xlfn.XLOOKUP($C$3,OverallRank[Overall Rank],OverallRank[GLD])</f>
        <v>0.2</v>
      </c>
      <c r="D7" s="83">
        <f>C7*AUM</f>
        <v>50</v>
      </c>
      <c r="F7" s="92">
        <v>45689</v>
      </c>
      <c r="G7" s="92">
        <v>45748</v>
      </c>
      <c r="H7" s="57" cm="1">
        <f t="array" ref="H7">PRODUCT(1+INDEX(AssetMonthlyReturns[Portfolio Return],MATCH(StressWindow[[#This Row],[Start]],AssetMonthlyReturns[Date],0)):INDEX(AssetMonthlyReturns[Portfolio Return],MATCH(StressWindow[[#This Row],[End]],AssetMonthlyReturns[Date],0)))-1</f>
        <v>3.9973401982575929E-3</v>
      </c>
      <c r="I7" s="162"/>
    </row>
    <row r="8" spans="2:14" x14ac:dyDescent="0.2">
      <c r="B8" s="61" t="s">
        <v>11</v>
      </c>
      <c r="C8" s="53">
        <f>_xlfn.XLOOKUP($C$3,OverallRank[Overall Rank],OverallRank[VNQ])</f>
        <v>0.1</v>
      </c>
      <c r="D8" s="83">
        <f>C8*AUM</f>
        <v>25</v>
      </c>
    </row>
    <row r="9" spans="2:14" x14ac:dyDescent="0.2">
      <c r="B9" s="63" t="s">
        <v>12</v>
      </c>
      <c r="C9" s="53">
        <f>_xlfn.XLOOKUP($C$3,OverallRank[Overall Rank],OverallRank[PE])</f>
        <v>0.2</v>
      </c>
      <c r="D9" s="83">
        <f>C9*AUM</f>
        <v>50</v>
      </c>
    </row>
    <row r="10" spans="2:14" x14ac:dyDescent="0.2">
      <c r="B10" s="15"/>
      <c r="C10" s="89"/>
      <c r="D10" s="90"/>
    </row>
    <row r="11" spans="2:14" x14ac:dyDescent="0.2">
      <c r="B11" s="211" t="s">
        <v>639</v>
      </c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</row>
    <row r="12" spans="2:14" ht="16" x14ac:dyDescent="0.2">
      <c r="B12" s="13" t="s">
        <v>635</v>
      </c>
      <c r="C12" s="13" t="s">
        <v>645</v>
      </c>
      <c r="D12" s="13" t="s">
        <v>8</v>
      </c>
      <c r="E12" s="13" t="s">
        <v>9</v>
      </c>
      <c r="F12" s="13" t="s">
        <v>10</v>
      </c>
      <c r="G12" s="13" t="s">
        <v>11</v>
      </c>
      <c r="H12" s="13" t="s">
        <v>12</v>
      </c>
      <c r="I12" s="13" t="s">
        <v>17</v>
      </c>
      <c r="J12" s="13" t="s">
        <v>14</v>
      </c>
      <c r="K12" s="13" t="s">
        <v>18</v>
      </c>
      <c r="L12" s="13" t="s">
        <v>19</v>
      </c>
      <c r="M12" s="13" t="s">
        <v>20</v>
      </c>
      <c r="N12" s="13" t="s">
        <v>662</v>
      </c>
    </row>
    <row r="13" spans="2:14" x14ac:dyDescent="0.2">
      <c r="B13" s="71" t="str">
        <f>_xlfn.XLOOKUP(C13,ScenariosCombined[S1],ScenariosCombined[Sharpe Rank])</f>
        <v/>
      </c>
      <c r="C13" s="71" cm="1">
        <f t="array" ref="C13:N17">Scenario1Rank[#Data]</f>
        <v>1</v>
      </c>
      <c r="D13" s="69">
        <v>0.4</v>
      </c>
      <c r="E13" s="69">
        <v>0.15</v>
      </c>
      <c r="F13" s="69">
        <v>0.2</v>
      </c>
      <c r="G13" s="69">
        <v>0.1</v>
      </c>
      <c r="H13" s="69">
        <v>0.15</v>
      </c>
      <c r="I13" s="69">
        <v>9.9898857071326314E-2</v>
      </c>
      <c r="J13" s="69">
        <v>7.7747942072710019E-2</v>
      </c>
      <c r="K13" s="69">
        <v>0.68031770495359023</v>
      </c>
      <c r="L13" s="136">
        <v>-0.1664981537878889</v>
      </c>
      <c r="M13" s="69">
        <v>0.85</v>
      </c>
      <c r="N13" s="69" t="str">
        <v>40/15/20/10/15</v>
      </c>
    </row>
    <row r="14" spans="2:14" x14ac:dyDescent="0.2">
      <c r="B14" s="67">
        <f>_xlfn.XLOOKUP(C14,ScenariosCombined[S1],ScenariosCombined[Sharpe Rank])</f>
        <v>1</v>
      </c>
      <c r="C14" s="67">
        <v>2</v>
      </c>
      <c r="D14" s="74">
        <v>0.35</v>
      </c>
      <c r="E14" s="74">
        <v>0.15</v>
      </c>
      <c r="F14" s="74">
        <v>0.2</v>
      </c>
      <c r="G14" s="74">
        <v>0.1</v>
      </c>
      <c r="H14" s="74">
        <v>0.2</v>
      </c>
      <c r="I14" s="74">
        <v>9.4689889357678719E-2</v>
      </c>
      <c r="J14" s="74">
        <v>7.3031963043220252E-2</v>
      </c>
      <c r="K14" s="74">
        <v>0.65292416929699149</v>
      </c>
      <c r="L14" s="75">
        <v>-0.15484931096251686</v>
      </c>
      <c r="M14" s="74">
        <v>0.79999999999999993</v>
      </c>
      <c r="N14" s="74" t="str">
        <v>35/15/20/10/20</v>
      </c>
    </row>
    <row r="15" spans="2:14" x14ac:dyDescent="0.2">
      <c r="B15" s="67">
        <f>_xlfn.XLOOKUP(C15,ScenariosCombined[S1],ScenariosCombined[Sharpe Rank])</f>
        <v>2</v>
      </c>
      <c r="C15" s="67">
        <v>3</v>
      </c>
      <c r="D15" s="74">
        <v>0.4</v>
      </c>
      <c r="E15" s="74">
        <v>0.15</v>
      </c>
      <c r="F15" s="74">
        <v>0.15</v>
      </c>
      <c r="G15" s="74">
        <v>0.1</v>
      </c>
      <c r="H15" s="74">
        <v>0.2</v>
      </c>
      <c r="I15" s="74">
        <v>9.5797664131447885E-2</v>
      </c>
      <c r="J15" s="74">
        <v>7.5583071565287943E-2</v>
      </c>
      <c r="K15" s="74">
        <v>0.64554281223866605</v>
      </c>
      <c r="L15" s="75">
        <v>-0.16220725630038224</v>
      </c>
      <c r="M15" s="74">
        <v>0.8</v>
      </c>
      <c r="N15" s="74" t="str">
        <v>40/15/15/10/20</v>
      </c>
    </row>
    <row r="16" spans="2:14" x14ac:dyDescent="0.2">
      <c r="B16" s="67">
        <f>_xlfn.XLOOKUP(C16,ScenariosCombined[S1],ScenariosCombined[Sharpe Rank])</f>
        <v>4</v>
      </c>
      <c r="C16" s="67">
        <v>4</v>
      </c>
      <c r="D16" s="74">
        <v>0.4</v>
      </c>
      <c r="E16" s="74">
        <v>0.2</v>
      </c>
      <c r="F16" s="74">
        <v>0.2</v>
      </c>
      <c r="G16" s="74">
        <v>0.1</v>
      </c>
      <c r="H16" s="74">
        <v>0.1</v>
      </c>
      <c r="I16" s="74">
        <v>9.842459176396523E-2</v>
      </c>
      <c r="J16" s="74">
        <v>7.9943764058617736E-2</v>
      </c>
      <c r="K16" s="74">
        <v>0.64319008260240706</v>
      </c>
      <c r="L16" s="75">
        <v>-0.17322688100654049</v>
      </c>
      <c r="M16" s="74">
        <v>0.9</v>
      </c>
      <c r="N16" s="74" t="str">
        <v>40/20/20/10/10</v>
      </c>
    </row>
    <row r="17" spans="2:14" x14ac:dyDescent="0.2">
      <c r="B17" s="71" t="str">
        <f>_xlfn.XLOOKUP(C17,ScenariosCombined[S1],ScenariosCombined[Sharpe Rank])</f>
        <v/>
      </c>
      <c r="C17" s="71">
        <v>5</v>
      </c>
      <c r="D17" s="69">
        <v>0.45</v>
      </c>
      <c r="E17" s="69">
        <v>0.2</v>
      </c>
      <c r="F17" s="69">
        <v>0.15</v>
      </c>
      <c r="G17" s="69">
        <v>0.1</v>
      </c>
      <c r="H17" s="69">
        <v>0.1</v>
      </c>
      <c r="I17" s="69">
        <v>9.9532366537734396E-2</v>
      </c>
      <c r="J17" s="69">
        <v>8.2591069958370428E-2</v>
      </c>
      <c r="K17" s="69">
        <v>0.63598656620691185</v>
      </c>
      <c r="L17" s="136">
        <v>-0.18054317991848512</v>
      </c>
      <c r="M17" s="69">
        <v>0.9</v>
      </c>
      <c r="N17" s="69" t="str">
        <v>45/20/15/10/10</v>
      </c>
    </row>
    <row r="18" spans="2:14" x14ac:dyDescent="0.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86"/>
      <c r="M18" s="15"/>
      <c r="N18" s="15"/>
    </row>
    <row r="19" spans="2:14" x14ac:dyDescent="0.2">
      <c r="B19" s="211" t="s">
        <v>640</v>
      </c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</row>
    <row r="20" spans="2:14" ht="16" x14ac:dyDescent="0.2">
      <c r="B20" s="13" t="s">
        <v>635</v>
      </c>
      <c r="C20" s="13" t="s">
        <v>646</v>
      </c>
      <c r="D20" s="13" t="s">
        <v>8</v>
      </c>
      <c r="E20" s="13" t="s">
        <v>9</v>
      </c>
      <c r="F20" s="13" t="s">
        <v>10</v>
      </c>
      <c r="G20" s="13" t="s">
        <v>11</v>
      </c>
      <c r="H20" s="13" t="s">
        <v>12</v>
      </c>
      <c r="I20" s="13" t="s">
        <v>17</v>
      </c>
      <c r="J20" s="13" t="s">
        <v>14</v>
      </c>
      <c r="K20" s="87" t="s">
        <v>18</v>
      </c>
      <c r="L20" s="13" t="s">
        <v>19</v>
      </c>
      <c r="M20" s="13" t="s">
        <v>20</v>
      </c>
      <c r="N20" s="13" t="s">
        <v>662</v>
      </c>
    </row>
    <row r="21" spans="2:14" x14ac:dyDescent="0.2">
      <c r="B21" s="67">
        <f>_xlfn.XLOOKUP(C21,ScenariosCombined[S2],ScenariosCombined[Sharpe Rank])</f>
        <v>1</v>
      </c>
      <c r="C21" s="67" cm="1">
        <f t="array" ref="C21:N25">Scenario2Rank[#Data]</f>
        <v>1</v>
      </c>
      <c r="D21" s="74">
        <v>0.35</v>
      </c>
      <c r="E21" s="74">
        <v>0.15</v>
      </c>
      <c r="F21" s="74">
        <v>0.2</v>
      </c>
      <c r="G21" s="74">
        <v>0.1</v>
      </c>
      <c r="H21" s="74">
        <v>0.2</v>
      </c>
      <c r="I21" s="74">
        <v>9.567461158867431E-2</v>
      </c>
      <c r="J21" s="74">
        <v>7.3031963043220252E-2</v>
      </c>
      <c r="K21" s="74">
        <v>0.66640761120328174</v>
      </c>
      <c r="L21" s="75">
        <v>-0.15484931096251686</v>
      </c>
      <c r="M21" s="74">
        <v>0.79999999999999993</v>
      </c>
      <c r="N21" s="74" t="str">
        <v>35/15/20/10/20</v>
      </c>
    </row>
    <row r="22" spans="2:14" x14ac:dyDescent="0.2">
      <c r="B22" s="67">
        <f>_xlfn.XLOOKUP(C22,ScenariosCombined[S2],ScenariosCombined[Sharpe Rank])</f>
        <v>2</v>
      </c>
      <c r="C22" s="67">
        <v>2</v>
      </c>
      <c r="D22" s="74">
        <v>0.4</v>
      </c>
      <c r="E22" s="74">
        <v>0.15</v>
      </c>
      <c r="F22" s="74">
        <v>0.15</v>
      </c>
      <c r="G22" s="74">
        <v>0.1</v>
      </c>
      <c r="H22" s="74">
        <v>0.2</v>
      </c>
      <c r="I22" s="74">
        <v>9.6782386362443476E-2</v>
      </c>
      <c r="J22" s="74">
        <v>7.5583071565287943E-2</v>
      </c>
      <c r="K22" s="74">
        <v>0.65857115589555226</v>
      </c>
      <c r="L22" s="75">
        <v>-0.16220725630038224</v>
      </c>
      <c r="M22" s="74">
        <v>0.8</v>
      </c>
      <c r="N22" s="74" t="str">
        <v>40/15/15/10/20</v>
      </c>
    </row>
    <row r="23" spans="2:14" x14ac:dyDescent="0.2">
      <c r="B23" s="67">
        <f>_xlfn.XLOOKUP(C23,ScenariosCombined[S2],ScenariosCombined[Sharpe Rank])</f>
        <v>4</v>
      </c>
      <c r="C23" s="67">
        <v>3</v>
      </c>
      <c r="D23" s="74">
        <v>0.4</v>
      </c>
      <c r="E23" s="74">
        <v>0.2</v>
      </c>
      <c r="F23" s="74">
        <v>0.2</v>
      </c>
      <c r="G23" s="74">
        <v>0.1</v>
      </c>
      <c r="H23" s="74">
        <v>0.1</v>
      </c>
      <c r="I23" s="74">
        <v>9.8916952879463033E-2</v>
      </c>
      <c r="J23" s="74">
        <v>7.9943764058617736E-2</v>
      </c>
      <c r="K23" s="74">
        <v>0.6493489259005133</v>
      </c>
      <c r="L23" s="75">
        <v>-0.17322688100654049</v>
      </c>
      <c r="M23" s="74">
        <v>0.9</v>
      </c>
      <c r="N23" s="74" t="str">
        <v>40/20/20/10/10</v>
      </c>
    </row>
    <row r="24" spans="2:14" x14ac:dyDescent="0.2">
      <c r="B24" s="67">
        <f>_xlfn.XLOOKUP(C24,ScenariosCombined[S2],ScenariosCombined[Sharpe Rank])</f>
        <v>3</v>
      </c>
      <c r="C24" s="67">
        <v>4</v>
      </c>
      <c r="D24" s="74">
        <v>0.45</v>
      </c>
      <c r="E24" s="74">
        <v>0.15</v>
      </c>
      <c r="F24" s="74">
        <v>0.1</v>
      </c>
      <c r="G24" s="74">
        <v>0.1</v>
      </c>
      <c r="H24" s="74">
        <v>0.2</v>
      </c>
      <c r="I24" s="74">
        <v>9.7890161136212642E-2</v>
      </c>
      <c r="J24" s="74">
        <v>7.911221564736387E-2</v>
      </c>
      <c r="K24" s="74">
        <v>0.6431953038386764</v>
      </c>
      <c r="L24" s="75">
        <v>-0.16958426219189504</v>
      </c>
      <c r="M24" s="74">
        <v>0.79999999999999993</v>
      </c>
      <c r="N24" s="74" t="str">
        <v>45/15/10/10/20</v>
      </c>
    </row>
    <row r="25" spans="2:14" x14ac:dyDescent="0.2">
      <c r="B25" s="67">
        <f>_xlfn.XLOOKUP(C25,ScenariosCombined[S2],ScenariosCombined[Sharpe Rank])</f>
        <v>5</v>
      </c>
      <c r="C25" s="67">
        <v>5</v>
      </c>
      <c r="D25" s="74">
        <v>0.35</v>
      </c>
      <c r="E25" s="74">
        <v>0.2</v>
      </c>
      <c r="F25" s="74">
        <v>0.2</v>
      </c>
      <c r="G25" s="74">
        <v>0.1</v>
      </c>
      <c r="H25" s="74">
        <v>0.15</v>
      </c>
      <c r="I25" s="74">
        <v>9.395416572356434E-2</v>
      </c>
      <c r="J25" s="74">
        <v>7.5127128613537944E-2</v>
      </c>
      <c r="K25" s="74">
        <v>0.62492219567604546</v>
      </c>
      <c r="L25" s="75">
        <v>-0.16162825703486428</v>
      </c>
      <c r="M25" s="74">
        <v>0.85</v>
      </c>
      <c r="N25" s="74" t="str">
        <v>35/20/20/10/15</v>
      </c>
    </row>
    <row r="26" spans="2:14" x14ac:dyDescent="0.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86"/>
      <c r="M26" s="15"/>
      <c r="N26" s="15"/>
    </row>
    <row r="27" spans="2:14" x14ac:dyDescent="0.2">
      <c r="B27" s="211" t="s">
        <v>641</v>
      </c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</row>
    <row r="28" spans="2:14" ht="16" x14ac:dyDescent="0.2">
      <c r="B28" s="13" t="s">
        <v>635</v>
      </c>
      <c r="C28" s="13" t="s">
        <v>647</v>
      </c>
      <c r="D28" s="13" t="s">
        <v>8</v>
      </c>
      <c r="E28" s="13" t="s">
        <v>9</v>
      </c>
      <c r="F28" s="13" t="s">
        <v>10</v>
      </c>
      <c r="G28" s="13" t="s">
        <v>11</v>
      </c>
      <c r="H28" s="13" t="s">
        <v>12</v>
      </c>
      <c r="I28" s="13" t="s">
        <v>17</v>
      </c>
      <c r="J28" s="13" t="s">
        <v>14</v>
      </c>
      <c r="K28" s="87" t="s">
        <v>18</v>
      </c>
      <c r="L28" s="13" t="s">
        <v>19</v>
      </c>
      <c r="M28" s="13" t="s">
        <v>20</v>
      </c>
      <c r="N28" s="13" t="s">
        <v>662</v>
      </c>
    </row>
    <row r="29" spans="2:14" x14ac:dyDescent="0.2">
      <c r="B29" s="67">
        <f>_xlfn.XLOOKUP(C29,ScenariosCombined[S3],ScenariosCombined[Sharpe Rank])</f>
        <v>5</v>
      </c>
      <c r="C29" s="67" cm="1">
        <f t="array" ref="C29:N33">Scenario3Rank[#Data]</f>
        <v>1</v>
      </c>
      <c r="D29" s="74">
        <v>0.35</v>
      </c>
      <c r="E29" s="74">
        <v>0.2</v>
      </c>
      <c r="F29" s="74">
        <v>0.2</v>
      </c>
      <c r="G29" s="74">
        <v>0.1</v>
      </c>
      <c r="H29" s="74">
        <v>0.15</v>
      </c>
      <c r="I29" s="74">
        <v>9.8128627147206382E-2</v>
      </c>
      <c r="J29" s="74">
        <v>7.5127128613537944E-2</v>
      </c>
      <c r="K29" s="74">
        <v>0.68048749546430065</v>
      </c>
      <c r="L29" s="75">
        <v>-0.16162825703486428</v>
      </c>
      <c r="M29" s="74">
        <v>0.85</v>
      </c>
      <c r="N29" s="74" t="str">
        <v>35/20/20/10/15</v>
      </c>
    </row>
    <row r="30" spans="2:14" x14ac:dyDescent="0.2">
      <c r="B30" s="126">
        <f>_xlfn.XLOOKUP(C30,ScenariosCombined[S3],ScenariosCombined[Sharpe Rank])</f>
        <v>9</v>
      </c>
      <c r="C30" s="71">
        <v>2</v>
      </c>
      <c r="D30" s="69">
        <v>0.3</v>
      </c>
      <c r="E30" s="69">
        <v>0.2</v>
      </c>
      <c r="F30" s="69">
        <v>0.2</v>
      </c>
      <c r="G30" s="69">
        <v>0.1</v>
      </c>
      <c r="H30" s="69">
        <v>0.2</v>
      </c>
      <c r="I30" s="69">
        <v>9.4557327132521726E-2</v>
      </c>
      <c r="J30" s="69">
        <v>7.0515905232183831E-2</v>
      </c>
      <c r="K30" s="69">
        <v>0.67434107837650359</v>
      </c>
      <c r="L30" s="136">
        <v>-0.14997953387901686</v>
      </c>
      <c r="M30" s="69">
        <v>0.79999999999999993</v>
      </c>
      <c r="N30" s="69" t="str">
        <v>30/20/20/10/20</v>
      </c>
    </row>
    <row r="31" spans="2:14" x14ac:dyDescent="0.2">
      <c r="B31" s="126">
        <f>_xlfn.XLOOKUP(C31,ScenariosCombined[S3],ScenariosCombined[Sharpe Rank])</f>
        <v>6</v>
      </c>
      <c r="C31" s="126">
        <v>3</v>
      </c>
      <c r="D31" s="124">
        <v>0.4</v>
      </c>
      <c r="E31" s="124">
        <v>0.2</v>
      </c>
      <c r="F31" s="124">
        <v>0.15</v>
      </c>
      <c r="G31" s="124">
        <v>0.1</v>
      </c>
      <c r="H31" s="124">
        <v>0.15</v>
      </c>
      <c r="I31" s="124">
        <v>9.9236401920975534E-2</v>
      </c>
      <c r="J31" s="124">
        <v>7.7569309378944171E-2</v>
      </c>
      <c r="K31" s="124">
        <v>0.67334422316769782</v>
      </c>
      <c r="L31" s="125">
        <v>-0.16896122731263008</v>
      </c>
      <c r="M31" s="124">
        <v>0.85000000000000009</v>
      </c>
      <c r="N31" s="124" t="str">
        <v>40/20/15/10/15</v>
      </c>
    </row>
    <row r="32" spans="2:14" x14ac:dyDescent="0.2">
      <c r="B32" s="126">
        <f>_xlfn.XLOOKUP(C32,ScenariosCombined[S3],ScenariosCombined[Sharpe Rank])</f>
        <v>11</v>
      </c>
      <c r="C32" s="71">
        <v>4</v>
      </c>
      <c r="D32" s="69">
        <v>0.35</v>
      </c>
      <c r="E32" s="69">
        <v>0.2</v>
      </c>
      <c r="F32" s="69">
        <v>0.15</v>
      </c>
      <c r="G32" s="69">
        <v>0.1</v>
      </c>
      <c r="H32" s="69">
        <v>0.2</v>
      </c>
      <c r="I32" s="69">
        <v>9.5665101906290878E-2</v>
      </c>
      <c r="J32" s="69">
        <v>7.2718897635541749E-2</v>
      </c>
      <c r="K32" s="69">
        <v>0.66914581948988061</v>
      </c>
      <c r="L32" s="136">
        <v>-0.15732759310777245</v>
      </c>
      <c r="M32" s="69">
        <v>0.8</v>
      </c>
      <c r="N32" s="69" t="str">
        <v>35/20/15/10/20</v>
      </c>
    </row>
    <row r="33" spans="2:14" x14ac:dyDescent="0.2">
      <c r="B33" s="126">
        <f>_xlfn.XLOOKUP(C33,ScenariosCombined[S3],ScenariosCombined[Sharpe Rank])</f>
        <v>8</v>
      </c>
      <c r="C33" s="126">
        <v>5</v>
      </c>
      <c r="D33" s="124">
        <v>0.35</v>
      </c>
      <c r="E33" s="124">
        <v>0.15</v>
      </c>
      <c r="F33" s="124">
        <v>0.2</v>
      </c>
      <c r="G33" s="124">
        <v>0.15</v>
      </c>
      <c r="H33" s="124">
        <v>0.15</v>
      </c>
      <c r="I33" s="124">
        <v>9.9712366493369856E-2</v>
      </c>
      <c r="J33" s="124">
        <v>8.0027720134087321E-2</v>
      </c>
      <c r="K33" s="124">
        <v>0.65860692831813106</v>
      </c>
      <c r="L33" s="125">
        <v>-0.16942426563268254</v>
      </c>
      <c r="M33" s="124">
        <v>0.85</v>
      </c>
      <c r="N33" s="124" t="str">
        <v>35/15/20/15/15</v>
      </c>
    </row>
    <row r="34" spans="2:14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86"/>
      <c r="M34" s="15"/>
      <c r="N34" s="15"/>
    </row>
    <row r="35" spans="2:14" x14ac:dyDescent="0.2">
      <c r="B35" s="190" t="s">
        <v>660</v>
      </c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</row>
    <row r="36" spans="2:14" ht="32" x14ac:dyDescent="0.2">
      <c r="B36" s="17" t="s">
        <v>46</v>
      </c>
      <c r="C36" s="160" t="s">
        <v>635</v>
      </c>
      <c r="D36" s="160" t="s">
        <v>8</v>
      </c>
      <c r="E36" s="160" t="s">
        <v>9</v>
      </c>
      <c r="F36" s="160" t="s">
        <v>10</v>
      </c>
      <c r="G36" s="160" t="s">
        <v>11</v>
      </c>
      <c r="H36" s="160" t="s">
        <v>12</v>
      </c>
      <c r="I36" s="160" t="s">
        <v>17</v>
      </c>
      <c r="J36" s="18" t="s">
        <v>14</v>
      </c>
      <c r="K36" s="88" t="s">
        <v>18</v>
      </c>
      <c r="L36" s="18" t="s">
        <v>19</v>
      </c>
      <c r="M36" s="18" t="s">
        <v>20</v>
      </c>
      <c r="N36" s="18" t="s">
        <v>665</v>
      </c>
    </row>
    <row r="37" spans="2:14" x14ac:dyDescent="0.2">
      <c r="B37" s="80">
        <f>_xlfn.XLOOKUP(OverallRank[[#This Row],[Overall Rank]],ScenariosCombined[Sharpe Rank],ScenariosCombined[Reference '#])</f>
        <v>54</v>
      </c>
      <c r="C37" s="67">
        <v>1</v>
      </c>
      <c r="D37" s="74">
        <f>_xlfn.XLOOKUP(OverallRank[[#This Row],[Overall Rank]],ScenariosCombined[Sharpe Rank],ScenariosCombined[SPY])</f>
        <v>0.35</v>
      </c>
      <c r="E37" s="74">
        <f>_xlfn.XLOOKUP(OverallRank[[#This Row],[Overall Rank]],ScenariosCombined[Sharpe Rank],ScenariosCombined[AGG])</f>
        <v>0.15</v>
      </c>
      <c r="F37" s="74">
        <f>_xlfn.XLOOKUP(OverallRank[[#This Row],[Overall Rank]],ScenariosCombined[Sharpe Rank],ScenariosCombined[GLD])</f>
        <v>0.2</v>
      </c>
      <c r="G37" s="74">
        <f>_xlfn.XLOOKUP(OverallRank[[#This Row],[Overall Rank]],ScenariosCombined[Sharpe Rank],ScenariosCombined[VNQ])</f>
        <v>0.1</v>
      </c>
      <c r="H37" s="74">
        <f>_xlfn.XLOOKUP(OverallRank[[#This Row],[Overall Rank]],ScenariosCombined[Sharpe Rank],ScenariosCombined[PE])</f>
        <v>0.2</v>
      </c>
      <c r="I37" s="74">
        <f>_xlfn.XLOOKUP(OverallRank[[#This Row],[Overall Rank]],ScenariosCombined[Sharpe Rank],ScenariosCombined[Expected Return])</f>
        <v>9.7201687033294459E-2</v>
      </c>
      <c r="J37" s="154">
        <f>_xlfn.XLOOKUP(OverallRank[[#This Row],[Overall Rank]],ScenariosCombined[Sharpe Rank],ScenariosCombined[36M Vol])</f>
        <v>7.3031963043220252E-2</v>
      </c>
      <c r="K37" s="164">
        <f>_xlfn.XLOOKUP(OverallRank[[#This Row],[Overall Rank]],ScenariosCombined[Sharpe Rank],ScenariosCombined[Sharpe])</f>
        <v>0.68731729760615756</v>
      </c>
      <c r="L37" s="154">
        <f>_xlfn.XLOOKUP(OverallRank[[#This Row],[Overall Rank]],ScenariosCombined[Sharpe Rank],ScenariosCombined[Max Drawdown])</f>
        <v>-0.15484931096251686</v>
      </c>
      <c r="M37" s="154">
        <f>_xlfn.XLOOKUP(OverallRank[[#This Row],[Overall Rank]],ScenariosCombined[Sharpe Rank],ScenariosCombined[Liquid Assets])</f>
        <v>0.79999999999999993</v>
      </c>
      <c r="N37" s="154" t="str">
        <f>_xlfn.XLOOKUP(OverallRank[[#This Row],[Overall Rank]],ScenariosCombined[Sharpe Rank],ScenariosCombined[Label])</f>
        <v>35/15/20/10/20</v>
      </c>
    </row>
    <row r="38" spans="2:14" x14ac:dyDescent="0.2">
      <c r="B38" s="80">
        <f>_xlfn.XLOOKUP(OverallRank[[#This Row],[Overall Rank]],ScenariosCombined[Sharpe Rank],ScenariosCombined[Reference '#])</f>
        <v>30</v>
      </c>
      <c r="C38" s="67">
        <v>2</v>
      </c>
      <c r="D38" s="74">
        <f>_xlfn.XLOOKUP(OverallRank[[#This Row],[Overall Rank]],ScenariosCombined[Sharpe Rank],ScenariosCombined[SPY])</f>
        <v>0.4</v>
      </c>
      <c r="E38" s="74">
        <f>_xlfn.XLOOKUP(OverallRank[[#This Row],[Overall Rank]],ScenariosCombined[Sharpe Rank],ScenariosCombined[AGG])</f>
        <v>0.15</v>
      </c>
      <c r="F38" s="74">
        <f>_xlfn.XLOOKUP(OverallRank[[#This Row],[Overall Rank]],ScenariosCombined[Sharpe Rank],ScenariosCombined[GLD])</f>
        <v>0.15</v>
      </c>
      <c r="G38" s="74">
        <f>_xlfn.XLOOKUP(OverallRank[[#This Row],[Overall Rank]],ScenariosCombined[Sharpe Rank],ScenariosCombined[VNQ])</f>
        <v>0.1</v>
      </c>
      <c r="H38" s="74">
        <f>_xlfn.XLOOKUP(OverallRank[[#This Row],[Overall Rank]],ScenariosCombined[Sharpe Rank],ScenariosCombined[PE])</f>
        <v>0.2</v>
      </c>
      <c r="I38" s="74">
        <f>_xlfn.XLOOKUP(OverallRank[[#This Row],[Overall Rank]],ScenariosCombined[Sharpe Rank],ScenariosCombined[Expected Return])</f>
        <v>9.8309461807063639E-2</v>
      </c>
      <c r="J38" s="74">
        <f>_xlfn.XLOOKUP(OverallRank[[#This Row],[Overall Rank]],ScenariosCombined[Sharpe Rank],ScenariosCombined[36M Vol])</f>
        <v>7.5583071565287943E-2</v>
      </c>
      <c r="K38" s="75">
        <f>_xlfn.XLOOKUP(OverallRank[[#This Row],[Overall Rank]],ScenariosCombined[Sharpe Rank],ScenariosCombined[Sharpe])</f>
        <v>0.6787750906258454</v>
      </c>
      <c r="L38" s="74">
        <f>_xlfn.XLOOKUP(OverallRank[[#This Row],[Overall Rank]],ScenariosCombined[Sharpe Rank],ScenariosCombined[Max Drawdown])</f>
        <v>-0.16220725630038224</v>
      </c>
      <c r="M38" s="74">
        <f>_xlfn.XLOOKUP(OverallRank[[#This Row],[Overall Rank]],ScenariosCombined[Sharpe Rank],ScenariosCombined[Liquid Assets])</f>
        <v>0.8</v>
      </c>
      <c r="N38" s="154" t="str">
        <f>_xlfn.XLOOKUP(OverallRank[[#This Row],[Overall Rank]],ScenariosCombined[Sharpe Rank],ScenariosCombined[Label])</f>
        <v>40/15/15/10/20</v>
      </c>
    </row>
    <row r="39" spans="2:14" x14ac:dyDescent="0.2">
      <c r="B39" s="80">
        <f>_xlfn.XLOOKUP(OverallRank[[#This Row],[Overall Rank]],ScenariosCombined[Sharpe Rank],ScenariosCombined[Reference '#])</f>
        <v>15</v>
      </c>
      <c r="C39" s="67">
        <v>3</v>
      </c>
      <c r="D39" s="74">
        <f>_xlfn.XLOOKUP(OverallRank[[#This Row],[Overall Rank]],ScenariosCombined[Sharpe Rank],ScenariosCombined[SPY])</f>
        <v>0.45</v>
      </c>
      <c r="E39" s="74">
        <f>_xlfn.XLOOKUP(OverallRank[[#This Row],[Overall Rank]],ScenariosCombined[Sharpe Rank],ScenariosCombined[AGG])</f>
        <v>0.15</v>
      </c>
      <c r="F39" s="74">
        <f>_xlfn.XLOOKUP(OverallRank[[#This Row],[Overall Rank]],ScenariosCombined[Sharpe Rank],ScenariosCombined[GLD])</f>
        <v>0.1</v>
      </c>
      <c r="G39" s="74">
        <f>_xlfn.XLOOKUP(OverallRank[[#This Row],[Overall Rank]],ScenariosCombined[Sharpe Rank],ScenariosCombined[VNQ])</f>
        <v>0.1</v>
      </c>
      <c r="H39" s="74">
        <f>_xlfn.XLOOKUP(OverallRank[[#This Row],[Overall Rank]],ScenariosCombined[Sharpe Rank],ScenariosCombined[PE])</f>
        <v>0.2</v>
      </c>
      <c r="I39" s="74">
        <f>_xlfn.XLOOKUP(OverallRank[[#This Row],[Overall Rank]],ScenariosCombined[Sharpe Rank],ScenariosCombined[Expected Return])</f>
        <v>9.9417236580832791E-2</v>
      </c>
      <c r="J39" s="74">
        <f>_xlfn.XLOOKUP(OverallRank[[#This Row],[Overall Rank]],ScenariosCombined[Sharpe Rank],ScenariosCombined[36M Vol])</f>
        <v>7.911221564736387E-2</v>
      </c>
      <c r="K39" s="75">
        <f>_xlfn.XLOOKUP(OverallRank[[#This Row],[Overall Rank]],ScenariosCombined[Sharpe Rank],ScenariosCombined[Sharpe])</f>
        <v>0.66249795428430369</v>
      </c>
      <c r="L39" s="74">
        <f>_xlfn.XLOOKUP(OverallRank[[#This Row],[Overall Rank]],ScenariosCombined[Sharpe Rank],ScenariosCombined[Max Drawdown])</f>
        <v>-0.16958426219189504</v>
      </c>
      <c r="M39" s="74">
        <f>_xlfn.XLOOKUP(OverallRank[[#This Row],[Overall Rank]],ScenariosCombined[Sharpe Rank],ScenariosCombined[Liquid Assets])</f>
        <v>0.79999999999999993</v>
      </c>
      <c r="N39" s="154" t="str">
        <f>_xlfn.XLOOKUP(OverallRank[[#This Row],[Overall Rank]],ScenariosCombined[Sharpe Rank],ScenariosCombined[Label])</f>
        <v>45/15/10/10/20</v>
      </c>
    </row>
    <row r="40" spans="2:14" x14ac:dyDescent="0.2">
      <c r="B40" s="80">
        <f>_xlfn.XLOOKUP(OverallRank[[#This Row],[Overall Rank]],ScenariosCombined[Sharpe Rank],ScenariosCombined[Reference '#])</f>
        <v>20</v>
      </c>
      <c r="C40" s="67">
        <v>4</v>
      </c>
      <c r="D40" s="74">
        <f>_xlfn.XLOOKUP(OverallRank[[#This Row],[Overall Rank]],ScenariosCombined[Sharpe Rank],ScenariosCombined[SPY])</f>
        <v>0.4</v>
      </c>
      <c r="E40" s="74">
        <f>_xlfn.XLOOKUP(OverallRank[[#This Row],[Overall Rank]],ScenariosCombined[Sharpe Rank],ScenariosCombined[AGG])</f>
        <v>0.2</v>
      </c>
      <c r="F40" s="74">
        <f>_xlfn.XLOOKUP(OverallRank[[#This Row],[Overall Rank]],ScenariosCombined[Sharpe Rank],ScenariosCombined[GLD])</f>
        <v>0.2</v>
      </c>
      <c r="G40" s="74">
        <f>_xlfn.XLOOKUP(OverallRank[[#This Row],[Overall Rank]],ScenariosCombined[Sharpe Rank],ScenariosCombined[VNQ])</f>
        <v>0.1</v>
      </c>
      <c r="H40" s="74">
        <f>_xlfn.XLOOKUP(OverallRank[[#This Row],[Overall Rank]],ScenariosCombined[Sharpe Rank],ScenariosCombined[PE])</f>
        <v>0.1</v>
      </c>
      <c r="I40" s="74">
        <f>_xlfn.XLOOKUP(OverallRank[[#This Row],[Overall Rank]],ScenariosCombined[Sharpe Rank],ScenariosCombined[Expected Return])</f>
        <v>9.96804906017731E-2</v>
      </c>
      <c r="J40" s="74">
        <f>_xlfn.XLOOKUP(OverallRank[[#This Row],[Overall Rank]],ScenariosCombined[Sharpe Rank],ScenariosCombined[36M Vol])</f>
        <v>7.9943764058617736E-2</v>
      </c>
      <c r="K40" s="75">
        <f>_xlfn.XLOOKUP(OverallRank[[#This Row],[Overall Rank]],ScenariosCombined[Sharpe Rank],ScenariosCombined[Sharpe])</f>
        <v>0.65889986125239652</v>
      </c>
      <c r="L40" s="74">
        <f>_xlfn.XLOOKUP(OverallRank[[#This Row],[Overall Rank]],ScenariosCombined[Sharpe Rank],ScenariosCombined[Max Drawdown])</f>
        <v>-0.17322688100654049</v>
      </c>
      <c r="M40" s="74">
        <f>_xlfn.XLOOKUP(OverallRank[[#This Row],[Overall Rank]],ScenariosCombined[Sharpe Rank],ScenariosCombined[Liquid Assets])</f>
        <v>0.9</v>
      </c>
      <c r="N40" s="154" t="str">
        <f>_xlfn.XLOOKUP(OverallRank[[#This Row],[Overall Rank]],ScenariosCombined[Sharpe Rank],ScenariosCombined[Label])</f>
        <v>40/20/20/10/10</v>
      </c>
    </row>
    <row r="41" spans="2:14" x14ac:dyDescent="0.2">
      <c r="B41" s="80">
        <f>_xlfn.XLOOKUP(OverallRank[[#This Row],[Overall Rank]],ScenariosCombined[Sharpe Rank],ScenariosCombined[Reference '#])</f>
        <v>45</v>
      </c>
      <c r="C41" s="81">
        <v>5</v>
      </c>
      <c r="D41" s="74">
        <f>_xlfn.XLOOKUP(OverallRank[[#This Row],[Overall Rank]],ScenariosCombined[Sharpe Rank],ScenariosCombined[SPY])</f>
        <v>0.35</v>
      </c>
      <c r="E41" s="74">
        <f>_xlfn.XLOOKUP(OverallRank[[#This Row],[Overall Rank]],ScenariosCombined[Sharpe Rank],ScenariosCombined[AGG])</f>
        <v>0.2</v>
      </c>
      <c r="F41" s="74">
        <f>_xlfn.XLOOKUP(OverallRank[[#This Row],[Overall Rank]],ScenariosCombined[Sharpe Rank],ScenariosCombined[GLD])</f>
        <v>0.2</v>
      </c>
      <c r="G41" s="74">
        <f>_xlfn.XLOOKUP(OverallRank[[#This Row],[Overall Rank]],ScenariosCombined[Sharpe Rank],ScenariosCombined[VNQ])</f>
        <v>0.1</v>
      </c>
      <c r="H41" s="74">
        <f>_xlfn.XLOOKUP(OverallRank[[#This Row],[Overall Rank]],ScenariosCombined[Sharpe Rank],ScenariosCombined[PE])</f>
        <v>0.15</v>
      </c>
      <c r="I41" s="74">
        <f>_xlfn.XLOOKUP(OverallRank[[#This Row],[Overall Rank]],ScenariosCombined[Sharpe Rank],ScenariosCombined[Expected Return])</f>
        <v>9.5099472307029462E-2</v>
      </c>
      <c r="J41" s="165">
        <f>_xlfn.XLOOKUP(OverallRank[[#This Row],[Overall Rank]],ScenariosCombined[Sharpe Rank],ScenariosCombined[36M Vol])</f>
        <v>7.5127128613537944E-2</v>
      </c>
      <c r="K41" s="166">
        <f>_xlfn.XLOOKUP(OverallRank[[#This Row],[Overall Rank]],ScenariosCombined[Sharpe Rank],ScenariosCombined[Sharpe])</f>
        <v>0.64016710925921583</v>
      </c>
      <c r="L41" s="165">
        <f>_xlfn.XLOOKUP(OverallRank[[#This Row],[Overall Rank]],ScenariosCombined[Sharpe Rank],ScenariosCombined[Max Drawdown])</f>
        <v>-0.16162825703486428</v>
      </c>
      <c r="M41" s="165">
        <f>_xlfn.XLOOKUP(OverallRank[[#This Row],[Overall Rank]],ScenariosCombined[Sharpe Rank],ScenariosCombined[Liquid Assets])</f>
        <v>0.85</v>
      </c>
      <c r="N41" s="163" t="str">
        <f>_xlfn.XLOOKUP(OverallRank[[#This Row],[Overall Rank]],ScenariosCombined[Sharpe Rank],ScenariosCombined[Label])</f>
        <v>35/20/20/10/15</v>
      </c>
    </row>
    <row r="43" spans="2:14" x14ac:dyDescent="0.2">
      <c r="B43" s="55" t="s">
        <v>650</v>
      </c>
    </row>
    <row r="44" spans="2:14" x14ac:dyDescent="0.2">
      <c r="B44" t="s">
        <v>661</v>
      </c>
    </row>
    <row r="47" spans="2:14" x14ac:dyDescent="0.2">
      <c r="B47" s="167">
        <f>100%-SUM(C5:C8)</f>
        <v>0.20000000000000007</v>
      </c>
    </row>
  </sheetData>
  <mergeCells count="5">
    <mergeCell ref="F3:H3"/>
    <mergeCell ref="B27:N27"/>
    <mergeCell ref="B19:N19"/>
    <mergeCell ref="B11:N11"/>
    <mergeCell ref="B35:N35"/>
  </mergeCells>
  <dataValidations count="1">
    <dataValidation type="list" allowBlank="1" showInputMessage="1" showErrorMessage="1" sqref="C3" xr:uid="{0585A7C3-5C10-4A20-8BD7-50530798DE07}">
      <formula1>$C$37:$C$41</formula1>
    </dataValidation>
  </dataValidations>
  <pageMargins left="0.7" right="0.7" top="0.75" bottom="0.75" header="0.3" footer="0.3"/>
  <pageSetup scale="57" orientation="landscape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18</vt:i4>
      </vt:variant>
    </vt:vector>
  </HeadingPairs>
  <TitlesOfParts>
    <vt:vector size="35" baseType="lpstr">
      <vt:lpstr>Assumptions</vt:lpstr>
      <vt:lpstr>Asset Stats</vt:lpstr>
      <vt:lpstr>SPY</vt:lpstr>
      <vt:lpstr>AGG</vt:lpstr>
      <vt:lpstr>GLD</vt:lpstr>
      <vt:lpstr>VNQ</vt:lpstr>
      <vt:lpstr>PE</vt:lpstr>
      <vt:lpstr>T-Bills</vt:lpstr>
      <vt:lpstr>Combined</vt:lpstr>
      <vt:lpstr>Corr_Cov 36- Month</vt:lpstr>
      <vt:lpstr>Portfolio Frontier</vt:lpstr>
      <vt:lpstr>Portfolio references</vt:lpstr>
      <vt:lpstr>Optimization Details</vt:lpstr>
      <vt:lpstr>Optimization Details (2)</vt:lpstr>
      <vt:lpstr>Optimization Details (3)</vt:lpstr>
      <vt:lpstr>Rank</vt:lpstr>
      <vt:lpstr>Optimization Summary</vt:lpstr>
      <vt:lpstr>AGGMin</vt:lpstr>
      <vt:lpstr>AUM</vt:lpstr>
      <vt:lpstr>DrawdownMax</vt:lpstr>
      <vt:lpstr>EndDate</vt:lpstr>
      <vt:lpstr>EndDate36M</vt:lpstr>
      <vt:lpstr>ExpectedReturnMax</vt:lpstr>
      <vt:lpstr>ExpectedReturnMin</vt:lpstr>
      <vt:lpstr>GLDMax</vt:lpstr>
      <vt:lpstr>GLDMin</vt:lpstr>
      <vt:lpstr>LiquidMin</vt:lpstr>
      <vt:lpstr>PE_Return</vt:lpstr>
      <vt:lpstr>PEMax</vt:lpstr>
      <vt:lpstr>PEMin</vt:lpstr>
      <vt:lpstr>RiskFree</vt:lpstr>
      <vt:lpstr>SpyMin</vt:lpstr>
      <vt:lpstr>StartDate</vt:lpstr>
      <vt:lpstr>StartDate36M</vt:lpstr>
      <vt:lpstr>VNQMin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2026-04-27T03:52:52Z</dcterms:created>
  <dcterms:modified xsi:type="dcterms:W3CDTF">2026-07-21T00:32:44Z</dcterms:modified>
</cp:coreProperties>
</file>